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slicerCaches/slicerCache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novo e540\Desktop\Pulpit\Wykres pudełkowy na tabeli przestawnej\"/>
    </mc:Choice>
  </mc:AlternateContent>
  <xr:revisionPtr revIDLastSave="0" documentId="13_ncr:1_{6EAB59AC-3834-4057-9FE0-AE662D5E93A1}" xr6:coauthVersionLast="45" xr6:coauthVersionMax="45" xr10:uidLastSave="{00000000-0000-0000-0000-000000000000}"/>
  <bookViews>
    <workbookView xWindow="-108" yWindow="-108" windowWidth="23256" windowHeight="12576" activeTab="2" xr2:uid="{BC3033B0-287B-4AE4-814E-4B6B59813BCD}"/>
  </bookViews>
  <sheets>
    <sheet name="dane" sheetId="1" r:id="rId1"/>
    <sheet name="pivot" sheetId="5" r:id="rId2"/>
    <sheet name="pivot2" sheetId="6" r:id="rId3"/>
  </sheets>
  <definedNames>
    <definedName name="_xlchart.v1.0" hidden="1">pivot2!$B$2:$B$9144</definedName>
    <definedName name="_xlchart.v1.1" hidden="1">pivot2!$C$1</definedName>
    <definedName name="_xlchart.v1.10" hidden="1">pivot2!$G$2:$G$8</definedName>
    <definedName name="_xlchart.v1.2" hidden="1">pivot2!$C$2:$C$9144</definedName>
    <definedName name="_xlchart.v1.3" hidden="1">pivot2!$F$2:$F$8</definedName>
    <definedName name="_xlchart.v1.4" hidden="1">pivot2!$G$1</definedName>
    <definedName name="_xlchart.v1.5" hidden="1">pivot2!$G$2:$G$8</definedName>
    <definedName name="_xlchart.v1.8" hidden="1">pivot2!$F$2:$F$8</definedName>
    <definedName name="_xlchart.v1.9" hidden="1">pivot2!$G$1</definedName>
    <definedName name="Fragmentator_Kategoria_produktu">#N/A</definedName>
    <definedName name="kolumna1">OFFSET(pivot!$A$1,1,0,COUNTA(pivot!$A:$A)-1,1)</definedName>
    <definedName name="kolumna2">OFFSET(pivot!$B$1,1,0,COUNTA(pivot!$A:$A)-1,1)</definedName>
    <definedName name="kolumna3">OFFSET(pivot!$C$1,1,0,COUNTA(pivot!$A:$A)-1,1)</definedName>
    <definedName name="kolumna4">OFFSET(pivot!$D$1,1,0,COUNTA(pivot!$A:$A)-1,1)</definedName>
    <definedName name="kolumna5">OFFSET(pivot!$D$1,1,0,COUNTA(pivot!$E:$E)-1,1)</definedName>
    <definedName name="kolumna6">OFFSET(pivot!$D$1,1,0,COUNTA(pivot!$F:$F)-1,1)</definedName>
    <definedName name="seria">OFFSET(pivot2!$B$1,1,0,COUNTA(pivot2!$B:$B)-1,1)</definedName>
    <definedName name="wartosc">OFFSET(pivot2!$C$1,1,0,COUNTA(pivot2!$C:$C)-1,1)</definedName>
  </definedNames>
  <calcPr calcId="191029"/>
  <pivotCaches>
    <pivotCache cacheId="4" r:id="rId4"/>
    <pivotCache cacheId="59" r:id="rId5"/>
  </pivotCaches>
  <extLst>
    <ext xmlns:x14="http://schemas.microsoft.com/office/spreadsheetml/2009/9/main" uri="{876F7934-8845-4945-9796-88D515C7AA90}">
      <x14:pivotCaches>
        <pivotCache cacheId="41" r:id="rId6"/>
      </x14:pivotCaches>
    </ext>
    <ext xmlns:x14="http://schemas.microsoft.com/office/spreadsheetml/2009/9/main" uri="{BBE1A952-AA13-448e-AADC-164F8A28A991}">
      <x14:slicerCaches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ane_c726200d-b890-4951-98f1-d1c7a94ef21d" name="dane" connection="Zapytanie — dan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9427" i="1" l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3C54B33-264E-4938-8EA2-F0A2DCFBE00F}" keepAlive="1" name="ThisWorkbookDataModel" description="Model danych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796E67D8-B96C-475E-BD2B-C23A27AD8660}" name="Zapytanie — dane" description="Połączenie z zapytaniem „dane” w skoroszycie." type="100" refreshedVersion="6" minRefreshableVersion="5">
    <extLst>
      <ext xmlns:x15="http://schemas.microsoft.com/office/spreadsheetml/2010/11/main" uri="{DE250136-89BD-433C-8126-D09CA5730AF9}">
        <x15:connection id="96d3ca7c-902b-4744-970b-b840a7ed4299"/>
      </ext>
    </extLst>
  </connection>
</connections>
</file>

<file path=xl/sharedStrings.xml><?xml version="1.0" encoding="utf-8"?>
<sst xmlns="http://schemas.openxmlformats.org/spreadsheetml/2006/main" count="150162" uniqueCount="16501">
  <si>
    <t>Nr wiersza</t>
  </si>
  <si>
    <t>Nr zamówienia</t>
  </si>
  <si>
    <t>Data zamówienia</t>
  </si>
  <si>
    <t>Priorytet zamówienia</t>
  </si>
  <si>
    <t>Wielkość zamówienia</t>
  </si>
  <si>
    <t>Data wysyłki</t>
  </si>
  <si>
    <t>Rodzaj transportu</t>
  </si>
  <si>
    <t>Rodzaj opakowania</t>
  </si>
  <si>
    <t>Segment rynku</t>
  </si>
  <si>
    <t>Sprzedaż</t>
  </si>
  <si>
    <t>Rabat procentowy</t>
  </si>
  <si>
    <t>Marża podstawowa</t>
  </si>
  <si>
    <t>Koszt dostawy</t>
  </si>
  <si>
    <t>Zysk</t>
  </si>
  <si>
    <t>Region</t>
  </si>
  <si>
    <t>Nr klienta</t>
  </si>
  <si>
    <t>Klient</t>
  </si>
  <si>
    <t>Województwo</t>
  </si>
  <si>
    <t>Miasto</t>
  </si>
  <si>
    <t>Kod pocztowy</t>
  </si>
  <si>
    <t>Nazwa produktu</t>
  </si>
  <si>
    <t>Kategoria produktu</t>
  </si>
  <si>
    <t>Podkategoria produktu</t>
  </si>
  <si>
    <t>Cena jednostkowa</t>
  </si>
  <si>
    <t>PL-2012-007335</t>
  </si>
  <si>
    <t>niski</t>
  </si>
  <si>
    <t>lotniczy standardowy</t>
  </si>
  <si>
    <t>małe pudełko</t>
  </si>
  <si>
    <t>korporacja</t>
  </si>
  <si>
    <t>północno-zachodni</t>
  </si>
  <si>
    <t>K02238</t>
  </si>
  <si>
    <t>Anna Bejnarowicz</t>
  </si>
  <si>
    <t>wielkopolskie</t>
  </si>
  <si>
    <t>Poznań</t>
  </si>
  <si>
    <t>61-625</t>
  </si>
  <si>
    <t>T60</t>
  </si>
  <si>
    <t>urządzenia techniczne</t>
  </si>
  <si>
    <t>telefony</t>
  </si>
  <si>
    <t>PL-2011-007364</t>
  </si>
  <si>
    <t>wysoki</t>
  </si>
  <si>
    <t>centralny</t>
  </si>
  <si>
    <t>K02189</t>
  </si>
  <si>
    <t>Łukasz Stręciwilk</t>
  </si>
  <si>
    <t>mazowieckie</t>
  </si>
  <si>
    <t>Warszawa</t>
  </si>
  <si>
    <t>00-324</t>
  </si>
  <si>
    <t>Brown Kraft Recycled Envelopes</t>
  </si>
  <si>
    <t>artykuły biurowe</t>
  </si>
  <si>
    <t>koperty</t>
  </si>
  <si>
    <t>PL-2012-007619</t>
  </si>
  <si>
    <t>nieokreślony</t>
  </si>
  <si>
    <t>małe opakowanie</t>
  </si>
  <si>
    <t>osoba fizyczna</t>
  </si>
  <si>
    <t>północny</t>
  </si>
  <si>
    <t>K02882</t>
  </si>
  <si>
    <t>Elżbieta Szablewska</t>
  </si>
  <si>
    <t>kujawsko-pomorskie</t>
  </si>
  <si>
    <t>Toruń</t>
  </si>
  <si>
    <t>87-103</t>
  </si>
  <si>
    <t>Maxell Pro 80 Minute CD-R, 10/Pack</t>
  </si>
  <si>
    <t>akcesoria komputerowe</t>
  </si>
  <si>
    <t>PL-2011-007623</t>
  </si>
  <si>
    <t>krytyczny</t>
  </si>
  <si>
    <t>duże pudełko</t>
  </si>
  <si>
    <t>południowy</t>
  </si>
  <si>
    <t>K03011</t>
  </si>
  <si>
    <t>Marcin Rowiński</t>
  </si>
  <si>
    <t>śląskie</t>
  </si>
  <si>
    <t>Rybnik</t>
  </si>
  <si>
    <t>44-207</t>
  </si>
  <si>
    <t>Honeywell Enviracaire Portable HEPA Air Cleaner for 17' x 22' Room</t>
  </si>
  <si>
    <t>przyrządy</t>
  </si>
  <si>
    <t>US Robotics 56K V.92 Internal PCI Faxmodem</t>
  </si>
  <si>
    <t>Xerox 1941</t>
  </si>
  <si>
    <t>papier</t>
  </si>
  <si>
    <t>PL-2014-007751</t>
  </si>
  <si>
    <t>lądowy</t>
  </si>
  <si>
    <t>kontener</t>
  </si>
  <si>
    <t>K00181</t>
  </si>
  <si>
    <t>Artur Ostaszewski</t>
  </si>
  <si>
    <t>Radom</t>
  </si>
  <si>
    <t>26-617</t>
  </si>
  <si>
    <t>Global Deluxe Office Fabric Chairs</t>
  </si>
  <si>
    <t>meble</t>
  </si>
  <si>
    <t>krzesła</t>
  </si>
  <si>
    <t>PL-2011-000646</t>
  </si>
  <si>
    <t>mała firma</t>
  </si>
  <si>
    <t>wschodni</t>
  </si>
  <si>
    <t>K01106</t>
  </si>
  <si>
    <t>Mirosław Budynek</t>
  </si>
  <si>
    <t>lubelskie</t>
  </si>
  <si>
    <t>Lublin</t>
  </si>
  <si>
    <t>20-240</t>
  </si>
  <si>
    <t>Acme® Forged Steel Scissors with Black Enamel Handles</t>
  </si>
  <si>
    <t>nożyczki i linijki</t>
  </si>
  <si>
    <t>PL-2011-007909</t>
  </si>
  <si>
    <t>woreczek foliowy</t>
  </si>
  <si>
    <t>biuro w domu</t>
  </si>
  <si>
    <t>K00117</t>
  </si>
  <si>
    <t>Sergiusz Karżanowski</t>
  </si>
  <si>
    <t>warmińsko-mazurskie</t>
  </si>
  <si>
    <t>Olsztyn</t>
  </si>
  <si>
    <t>10-183</t>
  </si>
  <si>
    <t>Dixon Prang® Watercolor Pencils, 10-Color Set with Brush</t>
  </si>
  <si>
    <t>akcesoria piśmiennicze</t>
  </si>
  <si>
    <t>PL-2012-008000</t>
  </si>
  <si>
    <t>K01733</t>
  </si>
  <si>
    <t>Karol Lewkowicz</t>
  </si>
  <si>
    <t>Ruda Śląska</t>
  </si>
  <si>
    <t>41-717</t>
  </si>
  <si>
    <t>GBC Prepunched Paper, 19-Hole, for Binding Systems, 24-lb</t>
  </si>
  <si>
    <t>segregatory</t>
  </si>
  <si>
    <t>Wilson Jones Turn Tabs Binder Tool for Ring Binders</t>
  </si>
  <si>
    <t>PL-2012-008001</t>
  </si>
  <si>
    <t>K00640</t>
  </si>
  <si>
    <t>Wojciech Remiszewski</t>
  </si>
  <si>
    <t>10-222</t>
  </si>
  <si>
    <t>Ampad® Evidence® Wirebond Steno Books, 6" x 9"</t>
  </si>
  <si>
    <t>Acco Perma® 3000 Stacking Storage Drawers</t>
  </si>
  <si>
    <t>teczki</t>
  </si>
  <si>
    <t>PL-2012-008131</t>
  </si>
  <si>
    <t>K01488</t>
  </si>
  <si>
    <t>Marek Kasierski</t>
  </si>
  <si>
    <t>00-696</t>
  </si>
  <si>
    <t>Verbatim DVD-RAM, 5.2GB, Rewritable, Type 1, DS</t>
  </si>
  <si>
    <t>PL-2011-008165</t>
  </si>
  <si>
    <t>K00553</t>
  </si>
  <si>
    <t>Ryszard Marszewski</t>
  </si>
  <si>
    <t>małopolskie</t>
  </si>
  <si>
    <t>Kraków</t>
  </si>
  <si>
    <t>31-012</t>
  </si>
  <si>
    <t>Xerox 1922</t>
  </si>
  <si>
    <t>PL-2012-000738</t>
  </si>
  <si>
    <t>K00607</t>
  </si>
  <si>
    <t>Sławomir Kossakowski</t>
  </si>
  <si>
    <t>00-166</t>
  </si>
  <si>
    <t>Belkin 8 Outlet SurgeMaster II Gold Surge Protector with Phone Protection</t>
  </si>
  <si>
    <t>PL-2014-008257</t>
  </si>
  <si>
    <t>K00949</t>
  </si>
  <si>
    <t>Jan Szymański</t>
  </si>
  <si>
    <t>31-532</t>
  </si>
  <si>
    <t>Epson DFX5000+ Dot Matrix Printer</t>
  </si>
  <si>
    <t>urządzenia biurowe</t>
  </si>
  <si>
    <t>PL-2011-008257</t>
  </si>
  <si>
    <t>Xerox 1910</t>
  </si>
  <si>
    <t>Newell 320</t>
  </si>
  <si>
    <t>Xerox 23</t>
  </si>
  <si>
    <t>PL-2014-008353</t>
  </si>
  <si>
    <t>średni</t>
  </si>
  <si>
    <t>K00491</t>
  </si>
  <si>
    <t>Antoni Bartos</t>
  </si>
  <si>
    <t>00-346</t>
  </si>
  <si>
    <t>Imation 3.5 IBM Formatted Diskettes, 10/Box</t>
  </si>
  <si>
    <t>PL-2011-008353</t>
  </si>
  <si>
    <t>Newell 343</t>
  </si>
  <si>
    <t>PL-2013-008419</t>
  </si>
  <si>
    <t>lotniczy ekspresowy</t>
  </si>
  <si>
    <t>K02498</t>
  </si>
  <si>
    <t>Marek Iwańczyk</t>
  </si>
  <si>
    <t>Bydgoszcz</t>
  </si>
  <si>
    <t>85-112</t>
  </si>
  <si>
    <t>Xerox 1936</t>
  </si>
  <si>
    <t>Xerox 214</t>
  </si>
  <si>
    <t>PL-2012-000773</t>
  </si>
  <si>
    <t>Talkabout T8367</t>
  </si>
  <si>
    <t>PL-2014-008833</t>
  </si>
  <si>
    <t>Carina Double Wide Media Storage Towers in Natural &amp; Black</t>
  </si>
  <si>
    <t>PL-2011-008994</t>
  </si>
  <si>
    <t>K00698</t>
  </si>
  <si>
    <t>Adrian Szatkowski</t>
  </si>
  <si>
    <t>10-464</t>
  </si>
  <si>
    <t>Keytronic Designer 104- Key Black Keyboard</t>
  </si>
  <si>
    <t>PL-2013-009062</t>
  </si>
  <si>
    <t>K01193</t>
  </si>
  <si>
    <t>Henryk Nawój</t>
  </si>
  <si>
    <t>Staples Vinyl Coated Paper Clips</t>
  </si>
  <si>
    <t>spinacze i zszywki</t>
  </si>
  <si>
    <t>GE 48" Fluorescent Tube, Cool White Energy Saver, 34 Watts, 30/Box</t>
  </si>
  <si>
    <t>wyposażenie wnętrza</t>
  </si>
  <si>
    <t>PL-2011-009285</t>
  </si>
  <si>
    <t>Avery Trapezoid Ring Binder, 3" Capacity, Black, 1040 sheets</t>
  </si>
  <si>
    <t>PL-2013-009344</t>
  </si>
  <si>
    <t>NA</t>
  </si>
  <si>
    <t>K00699</t>
  </si>
  <si>
    <t>Sylwia Szarzyńska</t>
  </si>
  <si>
    <t>31-101</t>
  </si>
  <si>
    <t>Safco Industrial Wire Shelving</t>
  </si>
  <si>
    <t>SC7868i</t>
  </si>
  <si>
    <t>PL-2014-009409</t>
  </si>
  <si>
    <t>K03342</t>
  </si>
  <si>
    <t>Monika Wojtowicz</t>
  </si>
  <si>
    <t>41-709</t>
  </si>
  <si>
    <t>Adesso Programmable 142-Key Keyboard</t>
  </si>
  <si>
    <t>PL-2014-009476</t>
  </si>
  <si>
    <t>K02867</t>
  </si>
  <si>
    <t>Wojciech Kadzikowski</t>
  </si>
  <si>
    <t>41-710</t>
  </si>
  <si>
    <t>GBC Pre-Punched Binding Paper, Plastic, White, 8-1/2" x 11"</t>
  </si>
  <si>
    <t>PL-2011-009606</t>
  </si>
  <si>
    <t>K00898</t>
  </si>
  <si>
    <t>Monika Szymańska</t>
  </si>
  <si>
    <t>00-680</t>
  </si>
  <si>
    <t>Round Specialty Laser Printer Labels</t>
  </si>
  <si>
    <t>etykiety</t>
  </si>
  <si>
    <t>Array® Memo Cubes</t>
  </si>
  <si>
    <t>PL-2013-000835</t>
  </si>
  <si>
    <t>PL-2014-009894</t>
  </si>
  <si>
    <t>Hon 4700 Series Mobuis™ Mid-Back Task Chairs with Adjustable Arms</t>
  </si>
  <si>
    <t>PL-2012-009895</t>
  </si>
  <si>
    <t>K00021</t>
  </si>
  <si>
    <t>Emilia Kochaniewicz</t>
  </si>
  <si>
    <t>00-668</t>
  </si>
  <si>
    <t>Dixon My First Ticonderoga Pencil, #2</t>
  </si>
  <si>
    <t>PL-2012-010080</t>
  </si>
  <si>
    <t>K01413</t>
  </si>
  <si>
    <t>Henryk Gauza</t>
  </si>
  <si>
    <t>Fellowes 17-key keypad for PS/2 interface</t>
  </si>
  <si>
    <t>PL-2012-010081</t>
  </si>
  <si>
    <t>K02920</t>
  </si>
  <si>
    <t>Kazimierz Kubik</t>
  </si>
  <si>
    <t>łódzkie</t>
  </si>
  <si>
    <t>Łódź</t>
  </si>
  <si>
    <t>90-440</t>
  </si>
  <si>
    <t>Seth Thomas 8 1/2" Cubicle Clock</t>
  </si>
  <si>
    <t>PL-2012-010147</t>
  </si>
  <si>
    <t>południowo-zachodni</t>
  </si>
  <si>
    <t>K01630</t>
  </si>
  <si>
    <t>Małgorzata Szczepanik</t>
  </si>
  <si>
    <t>dolnośląskie</t>
  </si>
  <si>
    <t>Wrocław</t>
  </si>
  <si>
    <t>51-664</t>
  </si>
  <si>
    <t>Storex DuraTech Recycled Plastic Frosted Binders</t>
  </si>
  <si>
    <t>PL-2012-010247</t>
  </si>
  <si>
    <t>K01129</t>
  </si>
  <si>
    <t>Jan Białek</t>
  </si>
  <si>
    <t>44-251</t>
  </si>
  <si>
    <t>Xerox 1952</t>
  </si>
  <si>
    <t>Memorex Slim 80 Minute CD-R, 10/Pack</t>
  </si>
  <si>
    <t>PL-2011-010277</t>
  </si>
  <si>
    <t>g520</t>
  </si>
  <si>
    <t>PL-2012-010373</t>
  </si>
  <si>
    <t>Xerox 21</t>
  </si>
  <si>
    <t>PL-2012-010435</t>
  </si>
  <si>
    <t>K01280</t>
  </si>
  <si>
    <t>Małgorzata Dzwonnik</t>
  </si>
  <si>
    <t>10-615</t>
  </si>
  <si>
    <t>Boston KS Multi-Size Manual Pencil Sharpener</t>
  </si>
  <si>
    <t>PL-2014-010435</t>
  </si>
  <si>
    <t>Hunt BOSTON® Vista® Battery-Operated Pencil Sharpener, Black</t>
  </si>
  <si>
    <t>PL-2011-010464</t>
  </si>
  <si>
    <t>Xerox 1897</t>
  </si>
  <si>
    <t>PL-2014-010470</t>
  </si>
  <si>
    <t>K01959</t>
  </si>
  <si>
    <t>Barbara Antkowiak</t>
  </si>
  <si>
    <t>Jastrzębie-Zdrój</t>
  </si>
  <si>
    <t>44-330</t>
  </si>
  <si>
    <t>Eldon® Expressions™ Wood Desk Accessories, Oak</t>
  </si>
  <si>
    <t>PL-2014-010567</t>
  </si>
  <si>
    <t>wielkie pudło</t>
  </si>
  <si>
    <t>K03121</t>
  </si>
  <si>
    <t>Dorota Zimna</t>
  </si>
  <si>
    <t>00-686</t>
  </si>
  <si>
    <t>Bevis Round Conference Table Top &amp; Single Column Base</t>
  </si>
  <si>
    <t>stoły</t>
  </si>
  <si>
    <t>PL-2014-010624</t>
  </si>
  <si>
    <t>K00894</t>
  </si>
  <si>
    <t>Halina Stachowiak</t>
  </si>
  <si>
    <t>DS/HD IBM Formatted Diskettes, 200/Pack - Staples</t>
  </si>
  <si>
    <t>PL-2012-010819</t>
  </si>
  <si>
    <t>K02382</t>
  </si>
  <si>
    <t>Tomasz Kubiak</t>
  </si>
  <si>
    <t>00-446</t>
  </si>
  <si>
    <t>Xerox 1905</t>
  </si>
  <si>
    <t>PL-2011-000962</t>
  </si>
  <si>
    <t>GBC Therma-A-Bind 250T Electric Binding System</t>
  </si>
  <si>
    <t>PL-2012-010919</t>
  </si>
  <si>
    <t>K02842</t>
  </si>
  <si>
    <t>Dariusz Hnatiuk</t>
  </si>
  <si>
    <t>31-510</t>
  </si>
  <si>
    <t>Tennsco Industrial Shelving</t>
  </si>
  <si>
    <t>PL-2013-010944</t>
  </si>
  <si>
    <t>średnie pudełko</t>
  </si>
  <si>
    <t>Canon P1-DHIII Palm Printing Calculator</t>
  </si>
  <si>
    <t>PL-2014-010949</t>
  </si>
  <si>
    <t>K00272</t>
  </si>
  <si>
    <t>Maria Potyrało</t>
  </si>
  <si>
    <t>Hewlett-Packard Deskjet 940 REFURBISHED Color Inkjet Printer</t>
  </si>
  <si>
    <t>Holmes Replacement Filter for HEPA Air Cleaner, Very Large Room, HEPA Filter</t>
  </si>
  <si>
    <t>PL-2014-010982</t>
  </si>
  <si>
    <t>K03106</t>
  </si>
  <si>
    <t>Wiesława Skierczyńska</t>
  </si>
  <si>
    <t>50-375</t>
  </si>
  <si>
    <t>Flexible Leather- Look Classic Collection Ring Binder</t>
  </si>
  <si>
    <t>OIC Thumb-Tacks</t>
  </si>
  <si>
    <t>PL-2011-011013</t>
  </si>
  <si>
    <t>M70</t>
  </si>
  <si>
    <t>PL-2011-011077</t>
  </si>
  <si>
    <t>Rush Hierlooms Collection Rich Wood Bookcases</t>
  </si>
  <si>
    <t>szafki</t>
  </si>
  <si>
    <t>PL-2011-011206</t>
  </si>
  <si>
    <t>Zoom V.92 USB External Faxmodem</t>
  </si>
  <si>
    <t>Lock-Up Easel 'Spel-Binder'</t>
  </si>
  <si>
    <t>PL-2013-011425</t>
  </si>
  <si>
    <t>K02571</t>
  </si>
  <si>
    <t>Julian Nowicki</t>
  </si>
  <si>
    <t>00-542</t>
  </si>
  <si>
    <t>Tenex Personal Self-Stacking Standard File Box, Black/Gray</t>
  </si>
  <si>
    <t>CF 688</t>
  </si>
  <si>
    <t>PL-2012-011460</t>
  </si>
  <si>
    <t>K00563</t>
  </si>
  <si>
    <t>Kamil Maciołek</t>
  </si>
  <si>
    <t>20-148</t>
  </si>
  <si>
    <t>Avery 487</t>
  </si>
  <si>
    <t>PL-2011-011527</t>
  </si>
  <si>
    <t>K00349</t>
  </si>
  <si>
    <t>Tomasz Soroczyński</t>
  </si>
  <si>
    <t>44-268</t>
  </si>
  <si>
    <t>PL-2013-011651</t>
  </si>
  <si>
    <t>K01228</t>
  </si>
  <si>
    <t>Ryszard Kaczmarek</t>
  </si>
  <si>
    <t>61-813</t>
  </si>
  <si>
    <t>Newell 329</t>
  </si>
  <si>
    <t>PL-2014-011683</t>
  </si>
  <si>
    <t>K01313</t>
  </si>
  <si>
    <t>Marcin Ossowicz</t>
  </si>
  <si>
    <t>61-689</t>
  </si>
  <si>
    <t>i1000</t>
  </si>
  <si>
    <t>PL-2011-011712</t>
  </si>
  <si>
    <t>K02491</t>
  </si>
  <si>
    <t>Piotr Caban</t>
  </si>
  <si>
    <t>31-102</t>
  </si>
  <si>
    <t>Newell 336</t>
  </si>
  <si>
    <t>PL-2012-011779</t>
  </si>
  <si>
    <t>K00102</t>
  </si>
  <si>
    <t>Monika Królik</t>
  </si>
  <si>
    <t>44-217</t>
  </si>
  <si>
    <t>Adams Phone Message Book, 200 Message Capacity, 8 1/16” x 11”</t>
  </si>
  <si>
    <t>Micro Innovations 104 Keyboard</t>
  </si>
  <si>
    <t>PL-2014-011808</t>
  </si>
  <si>
    <t>K03289</t>
  </si>
  <si>
    <t>Paweł Kolanek</t>
  </si>
  <si>
    <t>31-020</t>
  </si>
  <si>
    <t>Iceberg OfficeWorks 42" Round Tables</t>
  </si>
  <si>
    <t>PL-2014-011874</t>
  </si>
  <si>
    <t>Fellowes Internet Keyboard, Platinum</t>
  </si>
  <si>
    <t>Blue String-Tie &amp; Button Interoffice Envelopes, 10 x 13</t>
  </si>
  <si>
    <t>PL-2013-011876</t>
  </si>
  <si>
    <t>K01745</t>
  </si>
  <si>
    <t>Wioleta Baran</t>
  </si>
  <si>
    <t>Legnica</t>
  </si>
  <si>
    <t>59-220</t>
  </si>
  <si>
    <t>Tenex Contemporary Contur Chairmats for Low and Medium Pile Carpet, Computer, 39" x 49"</t>
  </si>
  <si>
    <t>PL-2013-011968</t>
  </si>
  <si>
    <t>Avery Hi-Liter® Fluorescent Desk Style Markers</t>
  </si>
  <si>
    <t>PL-2014-012129</t>
  </si>
  <si>
    <t>K01402</t>
  </si>
  <si>
    <t>Jan Rybowski</t>
  </si>
  <si>
    <t>90-326</t>
  </si>
  <si>
    <t>Global High-Back Leather Tilter, Burgundy</t>
  </si>
  <si>
    <t>PL-2011-012224</t>
  </si>
  <si>
    <t>Bevis 36 x 72 Conference Tables</t>
  </si>
  <si>
    <t>Accessory17</t>
  </si>
  <si>
    <t>PL-2014-012256</t>
  </si>
  <si>
    <t>Avery 49</t>
  </si>
  <si>
    <t>PL-2013-012320</t>
  </si>
  <si>
    <t>Anderson Hickey Conga Table Tops &amp; Accessories</t>
  </si>
  <si>
    <t>PL-2011-012480</t>
  </si>
  <si>
    <t>K03079</t>
  </si>
  <si>
    <t>Henryk Hyży</t>
  </si>
  <si>
    <t>61-658</t>
  </si>
  <si>
    <t>O'Sullivan Cherrywood Estates Traditional Barrister Bookcase</t>
  </si>
  <si>
    <t>PL-2012-012643</t>
  </si>
  <si>
    <t>White GlueTop Scratch Pads</t>
  </si>
  <si>
    <t>PL-2014-012804</t>
  </si>
  <si>
    <t>K02670</t>
  </si>
  <si>
    <t>Sylwia Waluszko</t>
  </si>
  <si>
    <t>31-477</t>
  </si>
  <si>
    <t>Avery 497</t>
  </si>
  <si>
    <t>Assorted Color Push Pins</t>
  </si>
  <si>
    <t>Letter/Legal File Tote with Clear Snap-On Lid, Black Granite</t>
  </si>
  <si>
    <t>PL-2013-012868</t>
  </si>
  <si>
    <t>K02403</t>
  </si>
  <si>
    <t>Adam Cirin</t>
  </si>
  <si>
    <t>90-147</t>
  </si>
  <si>
    <t>Newell 310</t>
  </si>
  <si>
    <t>Spiral Phone Message Books with Labels by Adams</t>
  </si>
  <si>
    <t>PL-2013-012897</t>
  </si>
  <si>
    <t>Xerox 216</t>
  </si>
  <si>
    <t>PL-2012-085820</t>
  </si>
  <si>
    <t>K02409</t>
  </si>
  <si>
    <t>Bożena Myśliwiec</t>
  </si>
  <si>
    <t>opolskie</t>
  </si>
  <si>
    <t>Popielów</t>
  </si>
  <si>
    <t>46-090</t>
  </si>
  <si>
    <t>Eldon Base for stackable storage shelf, platinum</t>
  </si>
  <si>
    <t>PL-2014-085831</t>
  </si>
  <si>
    <t>K02868</t>
  </si>
  <si>
    <t>Marek Dobrowolski</t>
  </si>
  <si>
    <t>podkarpackie</t>
  </si>
  <si>
    <t>Kańczuga</t>
  </si>
  <si>
    <t>37-220</t>
  </si>
  <si>
    <t>Kleencut® Forged Office Shears by Acme United Corporation</t>
  </si>
  <si>
    <t>PL-2013-085838</t>
  </si>
  <si>
    <t>K02067</t>
  </si>
  <si>
    <t>Małgorzata Makaroyj</t>
  </si>
  <si>
    <t>Połajewo</t>
  </si>
  <si>
    <t>64-710</t>
  </si>
  <si>
    <t>KI Conference Tables</t>
  </si>
  <si>
    <t>Bell Sonecor JB700 Caller ID</t>
  </si>
  <si>
    <t>K02065</t>
  </si>
  <si>
    <t>Bronisław Bujniewicz</t>
  </si>
  <si>
    <t>Orzesze</t>
  </si>
  <si>
    <t>43-180</t>
  </si>
  <si>
    <t>Imation 3.5 IBM Diskettes, 10/Box</t>
  </si>
  <si>
    <t>PL-2013-085847</t>
  </si>
  <si>
    <t>K01798</t>
  </si>
  <si>
    <t>Dariusz Kalinowski</t>
  </si>
  <si>
    <t>Miasteczko Śląskie</t>
  </si>
  <si>
    <t>42-610</t>
  </si>
  <si>
    <t>Dixon Ticonderoga Core-Lock Colored Pencils</t>
  </si>
  <si>
    <t>PL-2013-085849</t>
  </si>
  <si>
    <t>K02905</t>
  </si>
  <si>
    <t>Roman Mazierski</t>
  </si>
  <si>
    <t>Muszyna</t>
  </si>
  <si>
    <t>33-370</t>
  </si>
  <si>
    <t>6162i</t>
  </si>
  <si>
    <t>PL-2012-012900</t>
  </si>
  <si>
    <t>K01999</t>
  </si>
  <si>
    <t>Mirosława Zielony</t>
  </si>
  <si>
    <t>50-347</t>
  </si>
  <si>
    <t>Nu-Dell Executive Frame</t>
  </si>
  <si>
    <t>PL-2013-085852</t>
  </si>
  <si>
    <t>K03145</t>
  </si>
  <si>
    <t>Ireneusz Górski</t>
  </si>
  <si>
    <t>Szczyrk</t>
  </si>
  <si>
    <t>43-370</t>
  </si>
  <si>
    <t>Verbatim DVD-R, 4.7GB, Spindle, WE, Blank, Ink Jet/Thermal, 20/Spindle</t>
  </si>
  <si>
    <t>PL-2011-085857</t>
  </si>
  <si>
    <t>K00259</t>
  </si>
  <si>
    <t>Józef Sekuła</t>
  </si>
  <si>
    <t>pomorskie</t>
  </si>
  <si>
    <t>Nowy Dwór Gdański</t>
  </si>
  <si>
    <t>82-100</t>
  </si>
  <si>
    <t>Newell 340</t>
  </si>
  <si>
    <t>PL-2011-085866</t>
  </si>
  <si>
    <t>K01737</t>
  </si>
  <si>
    <t>Anna Stor</t>
  </si>
  <si>
    <t>Lądek</t>
  </si>
  <si>
    <t>62-406</t>
  </si>
  <si>
    <t>Advantus Employee of the Month Certificate Frame, 11 x 13-1/2</t>
  </si>
  <si>
    <t>Newell 308</t>
  </si>
  <si>
    <t>PL-2012-085882</t>
  </si>
  <si>
    <t>K01496</t>
  </si>
  <si>
    <t>Helena Kowalska</t>
  </si>
  <si>
    <t>Gniewoszów</t>
  </si>
  <si>
    <t>26-920</t>
  </si>
  <si>
    <t>Super Bands, 12/Pack</t>
  </si>
  <si>
    <t>PL-2011-085895</t>
  </si>
  <si>
    <t>K01916</t>
  </si>
  <si>
    <t>Leszek Lewkowicz</t>
  </si>
  <si>
    <t>zachodniopomorskie</t>
  </si>
  <si>
    <t>Świnoujście</t>
  </si>
  <si>
    <t>72-600</t>
  </si>
  <si>
    <t>PL-2012-085907</t>
  </si>
  <si>
    <t>K00810</t>
  </si>
  <si>
    <t>Anna Turska</t>
  </si>
  <si>
    <t>Węgliniec</t>
  </si>
  <si>
    <t>59-940</t>
  </si>
  <si>
    <t>Avery 498</t>
  </si>
  <si>
    <t>PL-2014-085927</t>
  </si>
  <si>
    <t>K02628</t>
  </si>
  <si>
    <t>Magdalena Kusiakiewicz</t>
  </si>
  <si>
    <t>Przemków</t>
  </si>
  <si>
    <t>59-170</t>
  </si>
  <si>
    <t>Xerox 217</t>
  </si>
  <si>
    <t>PL-2014-085934</t>
  </si>
  <si>
    <t>K02846</t>
  </si>
  <si>
    <t>Helena Chodyniecka</t>
  </si>
  <si>
    <t>Stryków</t>
  </si>
  <si>
    <t>95-010</t>
  </si>
  <si>
    <t>Canon MP41DH Printing Calculator</t>
  </si>
  <si>
    <t>Okidata ML184 Turbo Dot Matrix Printers</t>
  </si>
  <si>
    <t>Computer Printout Paper with Letter-Trim Perforations</t>
  </si>
  <si>
    <t>Filing/Storage Totes and Swivel Casters</t>
  </si>
  <si>
    <t>PL-2012-085941</t>
  </si>
  <si>
    <t>K01188</t>
  </si>
  <si>
    <t>Marek Szymkowiak</t>
  </si>
  <si>
    <t>Łącko</t>
  </si>
  <si>
    <t>33-390</t>
  </si>
  <si>
    <t>K01187</t>
  </si>
  <si>
    <t>Michał Lewandowski</t>
  </si>
  <si>
    <t>Miłomłyn</t>
  </si>
  <si>
    <t>14-140</t>
  </si>
  <si>
    <t>O'Sullivan Elevations Bookcase, Cherry Finish</t>
  </si>
  <si>
    <t>PL-2014-085960</t>
  </si>
  <si>
    <t>K02280</t>
  </si>
  <si>
    <t>Zbigniew Krasowski</t>
  </si>
  <si>
    <t>świętokrzyskie</t>
  </si>
  <si>
    <t>Radoszyce</t>
  </si>
  <si>
    <t>26-230</t>
  </si>
  <si>
    <t>PL-2013-085973</t>
  </si>
  <si>
    <t>K00210</t>
  </si>
  <si>
    <t>Marika Nowak</t>
  </si>
  <si>
    <t>Biecz</t>
  </si>
  <si>
    <t>38-340</t>
  </si>
  <si>
    <t>Imation 3.5", DISKETTE 44766 HGHLD3.52HD/FM, 10/Pack</t>
  </si>
  <si>
    <t>PL-2013-085983</t>
  </si>
  <si>
    <t>K03337</t>
  </si>
  <si>
    <t>Paweł Balicki</t>
  </si>
  <si>
    <t>Praszka</t>
  </si>
  <si>
    <t>46-320</t>
  </si>
  <si>
    <t>i270</t>
  </si>
  <si>
    <t>PL-2012-085994</t>
  </si>
  <si>
    <t>K01820</t>
  </si>
  <si>
    <t>Monika Żuchowska</t>
  </si>
  <si>
    <t>Pawłowiczki</t>
  </si>
  <si>
    <t>47-280</t>
  </si>
  <si>
    <t>Eldon Simplefile® Box Office®</t>
  </si>
  <si>
    <t>PL-2014-086007</t>
  </si>
  <si>
    <t>K02138</t>
  </si>
  <si>
    <t>Marta Jastrzębska</t>
  </si>
  <si>
    <t>Trzciana</t>
  </si>
  <si>
    <t>32-733</t>
  </si>
  <si>
    <t>Master Caster Door Stop, Large Neon Orange</t>
  </si>
  <si>
    <t>Serrated Blade or Curved Handle Hand Letter Openers</t>
  </si>
  <si>
    <t>PL-2012-086020</t>
  </si>
  <si>
    <t>K00450</t>
  </si>
  <si>
    <t>Józef Kirejczyk</t>
  </si>
  <si>
    <t>Tarnów</t>
  </si>
  <si>
    <t>33-100</t>
  </si>
  <si>
    <t>Dixon Ticonderoga Core-Lock Colored Pencils, 48-Color Set</t>
  </si>
  <si>
    <t>PL-2013-086035</t>
  </si>
  <si>
    <t>K02641</t>
  </si>
  <si>
    <t>Dariusz Głowacki</t>
  </si>
  <si>
    <t>Biłgoraj</t>
  </si>
  <si>
    <t>23-400</t>
  </si>
  <si>
    <t>Acme® 8" Straight Scissors</t>
  </si>
  <si>
    <t>PL-2011-086041</t>
  </si>
  <si>
    <t>K00317</t>
  </si>
  <si>
    <t>Anna Łuksza</t>
  </si>
  <si>
    <t>Rusinów</t>
  </si>
  <si>
    <t>26-411</t>
  </si>
  <si>
    <t>Xerox 193</t>
  </si>
  <si>
    <t>Decoflex Hanging Personal Folder File, Blue</t>
  </si>
  <si>
    <t>PL-2013-086046</t>
  </si>
  <si>
    <t>K01847</t>
  </si>
  <si>
    <t>Stanisław Kurek</t>
  </si>
  <si>
    <t>Żukowice</t>
  </si>
  <si>
    <t>67-210</t>
  </si>
  <si>
    <t>Newell 314</t>
  </si>
  <si>
    <t>Prismacolor Color Pencil Set</t>
  </si>
  <si>
    <t>PL-2012-086056</t>
  </si>
  <si>
    <t>K02200</t>
  </si>
  <si>
    <t>Mariusz Walaszczyk</t>
  </si>
  <si>
    <t>Żarów</t>
  </si>
  <si>
    <t>58-130</t>
  </si>
  <si>
    <t>PL-2012-086067</t>
  </si>
  <si>
    <t>K02655</t>
  </si>
  <si>
    <t>Dariusz Jarosz</t>
  </si>
  <si>
    <t>GBC Standard Therm-A-Bind Covers</t>
  </si>
  <si>
    <t>PL-2012-086079</t>
  </si>
  <si>
    <t>K01236</t>
  </si>
  <si>
    <t>Żaneta Bińkowska</t>
  </si>
  <si>
    <t>Miejska Górka</t>
  </si>
  <si>
    <t>63-910</t>
  </si>
  <si>
    <t>Boston 1645 Deluxe Heavier-Duty Electric Pencil Sharpener</t>
  </si>
  <si>
    <t>StarTAC ST7762</t>
  </si>
  <si>
    <t>PL-2011-086086</t>
  </si>
  <si>
    <t>K02968</t>
  </si>
  <si>
    <t>Dariusz Pyrcz</t>
  </si>
  <si>
    <t>Bochnia</t>
  </si>
  <si>
    <t>32-700</t>
  </si>
  <si>
    <t>Hoover WindTunnel™ Plus Canister Vacuum</t>
  </si>
  <si>
    <t>PL-2012-086095</t>
  </si>
  <si>
    <t>K02077</t>
  </si>
  <si>
    <t>Katarzyna Mróz</t>
  </si>
  <si>
    <t>Stare Babice</t>
  </si>
  <si>
    <t>05-082</t>
  </si>
  <si>
    <t>Xerox 1984</t>
  </si>
  <si>
    <t>K02078</t>
  </si>
  <si>
    <t>Monika Zabłocka</t>
  </si>
  <si>
    <t>Rakszawa</t>
  </si>
  <si>
    <t>37-111</t>
  </si>
  <si>
    <t>Tennsco Lockers, Gray</t>
  </si>
  <si>
    <t>K02080</t>
  </si>
  <si>
    <t>Joanna Zarzycka</t>
  </si>
  <si>
    <t>Sokolniki</t>
  </si>
  <si>
    <t>98-420</t>
  </si>
  <si>
    <t>Wilson Jones® Four-Pocket Poly Binders</t>
  </si>
  <si>
    <t>PL-2012-086108</t>
  </si>
  <si>
    <t>K03041</t>
  </si>
  <si>
    <t>Marian Maliński</t>
  </si>
  <si>
    <t>Jabłonka</t>
  </si>
  <si>
    <t>34-480</t>
  </si>
  <si>
    <t>PL-2011-086118</t>
  </si>
  <si>
    <t>K02610</t>
  </si>
  <si>
    <t>Stanisław Krechowicz</t>
  </si>
  <si>
    <t>Środa Śląska</t>
  </si>
  <si>
    <t>55-300</t>
  </si>
  <si>
    <t>3M Organizer Strips</t>
  </si>
  <si>
    <t>PL-2011-086122</t>
  </si>
  <si>
    <t>K01085</t>
  </si>
  <si>
    <t>Roksana Herman</t>
  </si>
  <si>
    <t>Pacanów</t>
  </si>
  <si>
    <t>28-133</t>
  </si>
  <si>
    <t>Rediform Wirebound "Phone Memo" Message Book, 11 x 5-3/4</t>
  </si>
  <si>
    <t>PL-2014-085985</t>
  </si>
  <si>
    <t>K03341</t>
  </si>
  <si>
    <t>Barbara Falecka</t>
  </si>
  <si>
    <t>Dorohusk</t>
  </si>
  <si>
    <t>22-175</t>
  </si>
  <si>
    <t>#6 3/4 Gummed Flap White Envelopes</t>
  </si>
  <si>
    <t>PL-2014-086135</t>
  </si>
  <si>
    <t>K00303</t>
  </si>
  <si>
    <t>Hanna Brzezińska</t>
  </si>
  <si>
    <t>Nowe</t>
  </si>
  <si>
    <t>86-170</t>
  </si>
  <si>
    <t>1.7 Cubic Foot Compact "Cube" Office Refrigerators</t>
  </si>
  <si>
    <t>Cardinal Slant-D® Ring Binder, Heavy Gauge Vinyl</t>
  </si>
  <si>
    <t>PL-2012-086136</t>
  </si>
  <si>
    <t>K02915</t>
  </si>
  <si>
    <t>Monika Rogowska</t>
  </si>
  <si>
    <t>Wojnicz</t>
  </si>
  <si>
    <t>32-830</t>
  </si>
  <si>
    <t>Fellowes Staxonsteel® Drawer Files</t>
  </si>
  <si>
    <t>PL-2014-086148</t>
  </si>
  <si>
    <t>K01403</t>
  </si>
  <si>
    <t>Zenon Wrzesiński</t>
  </si>
  <si>
    <t>Baboszewo</t>
  </si>
  <si>
    <t>09-130</t>
  </si>
  <si>
    <t>I888 World Phone</t>
  </si>
  <si>
    <t>K01404</t>
  </si>
  <si>
    <t>Jan Kaźmierczak</t>
  </si>
  <si>
    <t>Łaziska Górne</t>
  </si>
  <si>
    <t>43-170</t>
  </si>
  <si>
    <t>Xerox 1997</t>
  </si>
  <si>
    <t>PL-2011-086153</t>
  </si>
  <si>
    <t>K00880</t>
  </si>
  <si>
    <t>Waldemar Suliński</t>
  </si>
  <si>
    <t>Zawiercie</t>
  </si>
  <si>
    <t>42-400</t>
  </si>
  <si>
    <t>Staples Standard Envelopes</t>
  </si>
  <si>
    <t>Xerox 1964</t>
  </si>
  <si>
    <t>PL-2014-086161</t>
  </si>
  <si>
    <t>K01295</t>
  </si>
  <si>
    <t>Urszula Głod</t>
  </si>
  <si>
    <t>podlaskie</t>
  </si>
  <si>
    <t>Mały Płock</t>
  </si>
  <si>
    <t>18-500</t>
  </si>
  <si>
    <t>VTech VT20-2481 2.4GHz Two-Line Phone System w/Answering Machine</t>
  </si>
  <si>
    <t>PL-2012-085909</t>
  </si>
  <si>
    <t>K00815</t>
  </si>
  <si>
    <t>Mirosław Jaskulski</t>
  </si>
  <si>
    <t>Borzechów</t>
  </si>
  <si>
    <t>24-224</t>
  </si>
  <si>
    <t>PL-2013-086169</t>
  </si>
  <si>
    <t>K02350</t>
  </si>
  <si>
    <t>Paweł Hryciów</t>
  </si>
  <si>
    <t>Goleszów</t>
  </si>
  <si>
    <t>43-440</t>
  </si>
  <si>
    <t>DXL™ Angle-View Binders with Locking Rings, Black</t>
  </si>
  <si>
    <t>K02351</t>
  </si>
  <si>
    <t>Sławomir Ciborski</t>
  </si>
  <si>
    <t>Komorniki</t>
  </si>
  <si>
    <t>62-052</t>
  </si>
  <si>
    <t>Advantus Push Pins, Aluminum Head</t>
  </si>
  <si>
    <t>PL-2012-086177</t>
  </si>
  <si>
    <t>K00964</t>
  </si>
  <si>
    <t>Damian Łukasik</t>
  </si>
  <si>
    <t>Głubczyce</t>
  </si>
  <si>
    <t>48-100</t>
  </si>
  <si>
    <t>Quartet Alpha® White Chalk, 12/Pack</t>
  </si>
  <si>
    <t>PL-2011-086181</t>
  </si>
  <si>
    <t>K01505</t>
  </si>
  <si>
    <t>Elżbieta Marciniszyn</t>
  </si>
  <si>
    <t>lubuskie</t>
  </si>
  <si>
    <t>Kostrzyn nad Odrą</t>
  </si>
  <si>
    <t>66-470</t>
  </si>
  <si>
    <t>Accessory4</t>
  </si>
  <si>
    <t>PL-2012-086186</t>
  </si>
  <si>
    <t>K02746</t>
  </si>
  <si>
    <t>Monika Dobrowolska</t>
  </si>
  <si>
    <t>Obrazów</t>
  </si>
  <si>
    <t>27-641</t>
  </si>
  <si>
    <t>O'Sullivan 2-Shelf Heavy-Duty Bookcases</t>
  </si>
  <si>
    <t>80 Minute CD-R Spindle, 100/Pack - Staples</t>
  </si>
  <si>
    <t>PL-2011-086192</t>
  </si>
  <si>
    <t>K00555</t>
  </si>
  <si>
    <t>Cezary Jaskólski</t>
  </si>
  <si>
    <t>Narol</t>
  </si>
  <si>
    <t>37-610</t>
  </si>
  <si>
    <t>PL-2014-086202</t>
  </si>
  <si>
    <t>K03038</t>
  </si>
  <si>
    <t>Bogumiła Mikołajczyk</t>
  </si>
  <si>
    <t>Kłobuck</t>
  </si>
  <si>
    <t>42-100</t>
  </si>
  <si>
    <t>BPI Conference Tables</t>
  </si>
  <si>
    <t>PL-2013-086207</t>
  </si>
  <si>
    <t>K03295</t>
  </si>
  <si>
    <t>Piotr Paszkiewicz</t>
  </si>
  <si>
    <t>Drelów</t>
  </si>
  <si>
    <t>21-570</t>
  </si>
  <si>
    <t>Avery 501</t>
  </si>
  <si>
    <t>Avery Hi-Liter Pen Style Six-Color Fluorescent Set</t>
  </si>
  <si>
    <t>PL-2014-086219</t>
  </si>
  <si>
    <t>K01628</t>
  </si>
  <si>
    <t>Jan Lemczak</t>
  </si>
  <si>
    <t>Wolbórz</t>
  </si>
  <si>
    <t>97-320</t>
  </si>
  <si>
    <t>Harmony HEPA Quiet Air Purifiers</t>
  </si>
  <si>
    <t>PL-2012-086223</t>
  </si>
  <si>
    <t>K03094</t>
  </si>
  <si>
    <t>Michał Zinowik</t>
  </si>
  <si>
    <t>Prószków</t>
  </si>
  <si>
    <t>46-061</t>
  </si>
  <si>
    <t>PL-2011-086227</t>
  </si>
  <si>
    <t>K02803</t>
  </si>
  <si>
    <t>Piotr Barański</t>
  </si>
  <si>
    <t>Milejczyce</t>
  </si>
  <si>
    <t>17-330</t>
  </si>
  <si>
    <t>Hewlett-Packard cp1700 [D, PS] Series Color Inkjet Printers</t>
  </si>
  <si>
    <t>Hot File® 7-Pocket, Floor Stand</t>
  </si>
  <si>
    <t>PL-2013-086239</t>
  </si>
  <si>
    <t>K03274</t>
  </si>
  <si>
    <t>Adam Fedeńczak</t>
  </si>
  <si>
    <t>Zwoleń</t>
  </si>
  <si>
    <t>09-500</t>
  </si>
  <si>
    <t>Xerox 190</t>
  </si>
  <si>
    <t>Xerox 1950</t>
  </si>
  <si>
    <t>PL-2013-086022</t>
  </si>
  <si>
    <t>iDENi80s</t>
  </si>
  <si>
    <t>PL-2013-086254</t>
  </si>
  <si>
    <t>K00546</t>
  </si>
  <si>
    <t>Sławomira Kowalczuk</t>
  </si>
  <si>
    <t>Boguchwała</t>
  </si>
  <si>
    <t>36-040</t>
  </si>
  <si>
    <t>PL-2013-086262</t>
  </si>
  <si>
    <t>K02206</t>
  </si>
  <si>
    <t>Jan Terelak</t>
  </si>
  <si>
    <t>Cedry Wielkie</t>
  </si>
  <si>
    <t>83-020</t>
  </si>
  <si>
    <t>Panasonic KP-350BK Electric Pencil Sharpener with Auto Stop</t>
  </si>
  <si>
    <t>Hanging Personal Folder File</t>
  </si>
  <si>
    <t>PL-2013-086265</t>
  </si>
  <si>
    <t>K00899</t>
  </si>
  <si>
    <t>Piotr Chmielewski</t>
  </si>
  <si>
    <t>Babimost</t>
  </si>
  <si>
    <t>66-110</t>
  </si>
  <si>
    <t>Staples Bulk Pack Metal Binder Clips</t>
  </si>
  <si>
    <t>PL-2014-086277</t>
  </si>
  <si>
    <t>K00254</t>
  </si>
  <si>
    <t>Tomasz Szatkiewicz</t>
  </si>
  <si>
    <t>Chrząstowice</t>
  </si>
  <si>
    <t>46-053</t>
  </si>
  <si>
    <t>PL-2013-012930</t>
  </si>
  <si>
    <t>Belkin F5C206VTEL 6 Outlet Surge</t>
  </si>
  <si>
    <t>PL-2013-086282</t>
  </si>
  <si>
    <t>K00767</t>
  </si>
  <si>
    <t>Eugeniusz Saryczew</t>
  </si>
  <si>
    <t>Nowe Miasteczko</t>
  </si>
  <si>
    <t>67-124</t>
  </si>
  <si>
    <t>R380</t>
  </si>
  <si>
    <t>PL-2014-086290</t>
  </si>
  <si>
    <t>K03330</t>
  </si>
  <si>
    <t>Ewa Rafałko</t>
  </si>
  <si>
    <t>Tarnowskie Góry</t>
  </si>
  <si>
    <t>42-600</t>
  </si>
  <si>
    <t>Belkin 6 Outlet Metallic Surge Strip</t>
  </si>
  <si>
    <t>PL-2013-086295</t>
  </si>
  <si>
    <t>K02899</t>
  </si>
  <si>
    <t>Andrzej Mazur</t>
  </si>
  <si>
    <t>Sieniawa</t>
  </si>
  <si>
    <t>37-530</t>
  </si>
  <si>
    <t>Lifetime Advantage™ Folding Chairs, 4/Carton</t>
  </si>
  <si>
    <t>PL-2013-086302</t>
  </si>
  <si>
    <t>K00262</t>
  </si>
  <si>
    <t>Bożena Leśniewska</t>
  </si>
  <si>
    <t>Piotrków Trybunalski</t>
  </si>
  <si>
    <t>97-300</t>
  </si>
  <si>
    <t>Global Leather &amp; Oak Executive Chair, Burgundy</t>
  </si>
  <si>
    <t>PL-2012-086316</t>
  </si>
  <si>
    <t>K00591</t>
  </si>
  <si>
    <t>Aldona Piaskowska</t>
  </si>
  <si>
    <t>Wyszogród</t>
  </si>
  <si>
    <t>09-450</t>
  </si>
  <si>
    <t>Holmes HEPA Air Purifier</t>
  </si>
  <si>
    <t>K00592</t>
  </si>
  <si>
    <t>Barbara Kozioł</t>
  </si>
  <si>
    <t>Wieprz</t>
  </si>
  <si>
    <t>34-122</t>
  </si>
  <si>
    <t>G.E. Longer-Life Indoor Recessed Floodlight Bulbs</t>
  </si>
  <si>
    <t>PL-2011-086327</t>
  </si>
  <si>
    <t>K03105</t>
  </si>
  <si>
    <t>Ryszard Klimczak</t>
  </si>
  <si>
    <t>Czerwin</t>
  </si>
  <si>
    <t>07-407</t>
  </si>
  <si>
    <t>Avery 481</t>
  </si>
  <si>
    <t>Xerox 1976</t>
  </si>
  <si>
    <t>V3682</t>
  </si>
  <si>
    <t>PL-2014-086337</t>
  </si>
  <si>
    <t>K01945</t>
  </si>
  <si>
    <t>Kazimierz Grzywacz</t>
  </si>
  <si>
    <t>Lubowidz</t>
  </si>
  <si>
    <t>09-304</t>
  </si>
  <si>
    <t>PL-2013-086342</t>
  </si>
  <si>
    <t>K01695</t>
  </si>
  <si>
    <t>Robert Szymański</t>
  </si>
  <si>
    <t>Brzeg Dolny</t>
  </si>
  <si>
    <t>56-120</t>
  </si>
  <si>
    <t>Xerox 195</t>
  </si>
  <si>
    <t>PL-2012-086298</t>
  </si>
  <si>
    <t>Portfile® Personal File Boxes</t>
  </si>
  <si>
    <t>PL-2014-086351</t>
  </si>
  <si>
    <t>K03010</t>
  </si>
  <si>
    <t>Dorota Tarczyńska</t>
  </si>
  <si>
    <t>Nowy Duninów</t>
  </si>
  <si>
    <t>09-505</t>
  </si>
  <si>
    <t>Xerox 1928</t>
  </si>
  <si>
    <t>PL-2013-086354</t>
  </si>
  <si>
    <t>K00561</t>
  </si>
  <si>
    <t>Marek Syrnyk</t>
  </si>
  <si>
    <t>Świdwin</t>
  </si>
  <si>
    <t>78-300</t>
  </si>
  <si>
    <t>Angle-D Binders with Locking Rings, Label Holders</t>
  </si>
  <si>
    <t>SAFCO Mobile Desk Side File, Wire Frame</t>
  </si>
  <si>
    <t>PL-2014-086366</t>
  </si>
  <si>
    <t>K00913</t>
  </si>
  <si>
    <t>Jolanta Kupień</t>
  </si>
  <si>
    <t>Piątek</t>
  </si>
  <si>
    <t>99-120</t>
  </si>
  <si>
    <t>Nu-Dell Leatherette Frames</t>
  </si>
  <si>
    <t>Balt Split Level Computer Training Table</t>
  </si>
  <si>
    <t>PL-2012-086370</t>
  </si>
  <si>
    <t>K03141</t>
  </si>
  <si>
    <t>Piotr Błaszczyk</t>
  </si>
  <si>
    <t>Iława</t>
  </si>
  <si>
    <t>14-200</t>
  </si>
  <si>
    <t>O'Sullivan Living Dimensions 2-Shelf Bookcases</t>
  </si>
  <si>
    <t>Xerox 1939</t>
  </si>
  <si>
    <t>PL-2013-086377</t>
  </si>
  <si>
    <t>K02397</t>
  </si>
  <si>
    <t>Farhad Mohamad</t>
  </si>
  <si>
    <t>Ostrowite</t>
  </si>
  <si>
    <t>62-235</t>
  </si>
  <si>
    <t>SAFCO Commercial Wire Shelving, Black</t>
  </si>
  <si>
    <t>PL-2014-086393</t>
  </si>
  <si>
    <t>K00393</t>
  </si>
  <si>
    <t>Krzysztof Borkowski</t>
  </si>
  <si>
    <t>Żółkiewka</t>
  </si>
  <si>
    <t>22-335</t>
  </si>
  <si>
    <t>Hon 4070 Series Pagoda™ Round Back Stacking Chairs</t>
  </si>
  <si>
    <t>PL-2011-086397</t>
  </si>
  <si>
    <t>K01461</t>
  </si>
  <si>
    <t>Wojciech Mac</t>
  </si>
  <si>
    <t>Trzebiatów</t>
  </si>
  <si>
    <t>72-320</t>
  </si>
  <si>
    <t>GBC Binding covers</t>
  </si>
  <si>
    <t>PL-2011-086411</t>
  </si>
  <si>
    <t>K01107</t>
  </si>
  <si>
    <t>Krystyna Mazur</t>
  </si>
  <si>
    <t>Skąpe</t>
  </si>
  <si>
    <t>66-213</t>
  </si>
  <si>
    <t>PL-2012-086423</t>
  </si>
  <si>
    <t>K01074</t>
  </si>
  <si>
    <t>Przemysław Burtny</t>
  </si>
  <si>
    <t>Zgorzelec</t>
  </si>
  <si>
    <t>59-900</t>
  </si>
  <si>
    <t>Xerox 198</t>
  </si>
  <si>
    <t>PL-2013-086429</t>
  </si>
  <si>
    <t>K02954</t>
  </si>
  <si>
    <t>Agnieszka Łępicka</t>
  </si>
  <si>
    <t>Margonin</t>
  </si>
  <si>
    <t>64-830</t>
  </si>
  <si>
    <t>Newell 326</t>
  </si>
  <si>
    <t>PL-2012-086433</t>
  </si>
  <si>
    <t>K03118</t>
  </si>
  <si>
    <t>Sebastian Rylowski</t>
  </si>
  <si>
    <t>Susiec</t>
  </si>
  <si>
    <t>22-672</t>
  </si>
  <si>
    <t>Avery Poly Binder Pockets</t>
  </si>
  <si>
    <t>Deflect-o EconoMat Studded, No Bevel Mat for Low Pile Carpeting</t>
  </si>
  <si>
    <t>Panasonic KX-P1150 Dot Matrix Printer</t>
  </si>
  <si>
    <t>PL-2012-086437</t>
  </si>
  <si>
    <t>K00608</t>
  </si>
  <si>
    <t>Waldemar Karaśkiewicz</t>
  </si>
  <si>
    <t>Kąty Wrocławskie</t>
  </si>
  <si>
    <t>55-080</t>
  </si>
  <si>
    <t>PL-2013-086451</t>
  </si>
  <si>
    <t>K03190</t>
  </si>
  <si>
    <t>Maciej Dziekanowski</t>
  </si>
  <si>
    <t>Żarki</t>
  </si>
  <si>
    <t>42-310</t>
  </si>
  <si>
    <t>Avery White Multi-Purpose Labels</t>
  </si>
  <si>
    <t>PL-2012-086455</t>
  </si>
  <si>
    <t>K02850</t>
  </si>
  <si>
    <t>Marian Mazurkiewicz</t>
  </si>
  <si>
    <t>Bukowiec</t>
  </si>
  <si>
    <t>86-320</t>
  </si>
  <si>
    <t>Hewlett-Packard Deskjet 5550 Color Inkjet Printer</t>
  </si>
  <si>
    <t>PL-2013-086461</t>
  </si>
  <si>
    <t>K00907</t>
  </si>
  <si>
    <t>Stanisław Bęben</t>
  </si>
  <si>
    <t>Kluczewsko</t>
  </si>
  <si>
    <t>29-120</t>
  </si>
  <si>
    <t>Xerox 1949</t>
  </si>
  <si>
    <t>PL-2012-086467</t>
  </si>
  <si>
    <t>K02560</t>
  </si>
  <si>
    <t>Mirosława Biernat</t>
  </si>
  <si>
    <t>Zabór</t>
  </si>
  <si>
    <t>66-003</t>
  </si>
  <si>
    <t>Bionaire 99.97% HEPA Air Cleaner</t>
  </si>
  <si>
    <t>PL-2012-086472</t>
  </si>
  <si>
    <t>K01486</t>
  </si>
  <si>
    <t>Mirosław Krajewski</t>
  </si>
  <si>
    <t>Prusice</t>
  </si>
  <si>
    <t>55-110</t>
  </si>
  <si>
    <t>PL-2013-086481</t>
  </si>
  <si>
    <t>K03029</t>
  </si>
  <si>
    <t>Rafał Wandachowicz</t>
  </si>
  <si>
    <t>Hoover Portapower™ Portable Vacuum</t>
  </si>
  <si>
    <t>PL-2013-086487</t>
  </si>
  <si>
    <t>K02661</t>
  </si>
  <si>
    <t>Henryk Bąk</t>
  </si>
  <si>
    <t>Olszewo-Borki</t>
  </si>
  <si>
    <t>07-415</t>
  </si>
  <si>
    <t>Bagged Rubber Bands</t>
  </si>
  <si>
    <t>K02662</t>
  </si>
  <si>
    <t>Jan Olejnik</t>
  </si>
  <si>
    <t>Lubień</t>
  </si>
  <si>
    <t>32-433</t>
  </si>
  <si>
    <t>PL-2014-086498</t>
  </si>
  <si>
    <t>K03165</t>
  </si>
  <si>
    <t>Edyta Wencel</t>
  </si>
  <si>
    <t>Filipów</t>
  </si>
  <si>
    <t>16-424</t>
  </si>
  <si>
    <t>Rogers Handheld Barrel Pencil Sharpener</t>
  </si>
  <si>
    <t>PL-2013-086503</t>
  </si>
  <si>
    <t>K01906</t>
  </si>
  <si>
    <t>Jerzy Adamczyk</t>
  </si>
  <si>
    <t>Nowy Wiśnicz</t>
  </si>
  <si>
    <t>32-720</t>
  </si>
  <si>
    <t>Fellowes Binding Cases</t>
  </si>
  <si>
    <t>AT&amp;T Black Trimline Phone, Model 210</t>
  </si>
  <si>
    <t>PL-2013-086512</t>
  </si>
  <si>
    <t>K03224</t>
  </si>
  <si>
    <t>Sylwia Szarek</t>
  </si>
  <si>
    <t>Rybczewice</t>
  </si>
  <si>
    <t>21-065</t>
  </si>
  <si>
    <t>DAX Value U-Channel Document Frames, Easel Back</t>
  </si>
  <si>
    <t>PL-2012-086516</t>
  </si>
  <si>
    <t>K02472</t>
  </si>
  <si>
    <t>Piotr Winiecki</t>
  </si>
  <si>
    <t>Mława</t>
  </si>
  <si>
    <t>06-500</t>
  </si>
  <si>
    <t>Xerox 1980</t>
  </si>
  <si>
    <t>Advantus Map Pennant Flags and Round Head Tacks</t>
  </si>
  <si>
    <t>PL-2014-086526</t>
  </si>
  <si>
    <t>K00119</t>
  </si>
  <si>
    <t>Przemysław Krzyżanowski</t>
  </si>
  <si>
    <t>Białaczów</t>
  </si>
  <si>
    <t>26-307</t>
  </si>
  <si>
    <t>PL-2011-086528</t>
  </si>
  <si>
    <t>K02553</t>
  </si>
  <si>
    <t>Krzysztof Sielicki</t>
  </si>
  <si>
    <t>Pleszew</t>
  </si>
  <si>
    <t>63-300</t>
  </si>
  <si>
    <t>GBC ProClick Spines for 32-Hole Punch</t>
  </si>
  <si>
    <t>PL-2011-086535</t>
  </si>
  <si>
    <t>K01257</t>
  </si>
  <si>
    <t>Sylwia Karwowska</t>
  </si>
  <si>
    <t>Ostrów Wielkopolski</t>
  </si>
  <si>
    <t>63-400</t>
  </si>
  <si>
    <t>PL-2013-086417</t>
  </si>
  <si>
    <t>K01108</t>
  </si>
  <si>
    <t>Paweł Chyt</t>
  </si>
  <si>
    <t>Różan</t>
  </si>
  <si>
    <t>06-230</t>
  </si>
  <si>
    <t>PL-2011-086546</t>
  </si>
  <si>
    <t>K02979</t>
  </si>
  <si>
    <t>Marek Bobrowski</t>
  </si>
  <si>
    <t>Jeziorzany</t>
  </si>
  <si>
    <t>21-146</t>
  </si>
  <si>
    <t>Avery Hi-Liter® Smear-Safe Highlighters</t>
  </si>
  <si>
    <t>PL-2014-086561</t>
  </si>
  <si>
    <t>K00572</t>
  </si>
  <si>
    <t>Robert Tobiasz</t>
  </si>
  <si>
    <t>Bardo</t>
  </si>
  <si>
    <t>57-256</t>
  </si>
  <si>
    <t>PL-2012-086285</t>
  </si>
  <si>
    <t>Tripp Lite Isotel 8 Ultra 8 Outlet Metal Surge</t>
  </si>
  <si>
    <t>PL-2013-086570</t>
  </si>
  <si>
    <t>K00945</t>
  </si>
  <si>
    <t>Sebastian Chowański</t>
  </si>
  <si>
    <t>Spiczyn</t>
  </si>
  <si>
    <t>21-077</t>
  </si>
  <si>
    <t>Eldon Expressions Mahogany Wood Desk Collection</t>
  </si>
  <si>
    <t>PL-2012-086578</t>
  </si>
  <si>
    <t>K01138</t>
  </si>
  <si>
    <t>Weronika Kuźmińska</t>
  </si>
  <si>
    <t>Bojanowo</t>
  </si>
  <si>
    <t>63-940</t>
  </si>
  <si>
    <t>PL-2012-086594</t>
  </si>
  <si>
    <t>K02923</t>
  </si>
  <si>
    <t>Ludwik Szczur</t>
  </si>
  <si>
    <t>Chociwel</t>
  </si>
  <si>
    <t>73-120</t>
  </si>
  <si>
    <t>Logitech Access Keyboard</t>
  </si>
  <si>
    <t>Hon 94000 Series Round Tables</t>
  </si>
  <si>
    <t>PL-2011-086599</t>
  </si>
  <si>
    <t>K01840</t>
  </si>
  <si>
    <t>Tomasz Hnat</t>
  </si>
  <si>
    <t>Krzeszyce</t>
  </si>
  <si>
    <t>66-435</t>
  </si>
  <si>
    <t>PL-2011-086611</t>
  </si>
  <si>
    <t>K02264</t>
  </si>
  <si>
    <t>Zbigniew Sikorski</t>
  </si>
  <si>
    <t>Łaskarzew</t>
  </si>
  <si>
    <t>08-450</t>
  </si>
  <si>
    <t>Kensington 7 Outlet MasterPiece Power Center with Fax/Phone Line Protection</t>
  </si>
  <si>
    <t>PL-2013-086622</t>
  </si>
  <si>
    <t>K00237</t>
  </si>
  <si>
    <t>Magdalena Borowik</t>
  </si>
  <si>
    <t>Knurów</t>
  </si>
  <si>
    <t>44-190</t>
  </si>
  <si>
    <t>Belkin 8 Outlet SurgeMaster II Gold Surge Protector</t>
  </si>
  <si>
    <t>DAX Clear Channel Poster Frame</t>
  </si>
  <si>
    <t>PL-2014-086632</t>
  </si>
  <si>
    <t>K02094</t>
  </si>
  <si>
    <t>Anna Banaśkiewicz</t>
  </si>
  <si>
    <t>Ropczyce</t>
  </si>
  <si>
    <t>39-100</t>
  </si>
  <si>
    <t>PL-2011-086633</t>
  </si>
  <si>
    <t>K02677</t>
  </si>
  <si>
    <t>Szymon Piasecki</t>
  </si>
  <si>
    <t>Sobienie-Jeziory</t>
  </si>
  <si>
    <t>08-443</t>
  </si>
  <si>
    <t>PL-2014-086644</t>
  </si>
  <si>
    <t>K00759</t>
  </si>
  <si>
    <t>Maria ŚŚwiderska</t>
  </si>
  <si>
    <t>Biała Rawska</t>
  </si>
  <si>
    <t>96-230</t>
  </si>
  <si>
    <t>Wilson Jones 1" Hanging DublLock® Ring Binders</t>
  </si>
  <si>
    <t>PL-2011-086646</t>
  </si>
  <si>
    <t>K01679</t>
  </si>
  <si>
    <t>Robert Dudczak</t>
  </si>
  <si>
    <t>Stawiszyn</t>
  </si>
  <si>
    <t>62-820</t>
  </si>
  <si>
    <t>DAX Wood Document Frame.</t>
  </si>
  <si>
    <t>PL-2011-086655</t>
  </si>
  <si>
    <t>K02379</t>
  </si>
  <si>
    <t>Marianna Lewusz</t>
  </si>
  <si>
    <t>Kramsk</t>
  </si>
  <si>
    <t>62-511</t>
  </si>
  <si>
    <t>K02380</t>
  </si>
  <si>
    <t>Czesław Klimczak</t>
  </si>
  <si>
    <t>Świdnik</t>
  </si>
  <si>
    <t>21-040</t>
  </si>
  <si>
    <t>PL-2013-086663</t>
  </si>
  <si>
    <t>K03057</t>
  </si>
  <si>
    <t>Janusz Stawicki</t>
  </si>
  <si>
    <t>Rakoniewice</t>
  </si>
  <si>
    <t>62-067</t>
  </si>
  <si>
    <t>Avery Hanging File Binders</t>
  </si>
  <si>
    <t>K03055</t>
  </si>
  <si>
    <t>Stanisław Wolski</t>
  </si>
  <si>
    <t>Gubin</t>
  </si>
  <si>
    <t>66-620</t>
  </si>
  <si>
    <t>Peel-Off® China Markers</t>
  </si>
  <si>
    <t>PL-2013-086674</t>
  </si>
  <si>
    <t>K01591</t>
  </si>
  <si>
    <t>Dagmara Słowińska</t>
  </si>
  <si>
    <t>Sztutowo</t>
  </si>
  <si>
    <t>82-110</t>
  </si>
  <si>
    <t>Global Adaptabilities™ Conference Tables</t>
  </si>
  <si>
    <t>PL-2014-086683</t>
  </si>
  <si>
    <t>K02230</t>
  </si>
  <si>
    <t>Marek Płaza</t>
  </si>
  <si>
    <t>Żory</t>
  </si>
  <si>
    <t>44-240</t>
  </si>
  <si>
    <t>Sharp EL500L Fraction Calculator</t>
  </si>
  <si>
    <t>Panasonic KP-150 Electric Pencil Sharpener</t>
  </si>
  <si>
    <t>Hon Rectangular Conference Tables</t>
  </si>
  <si>
    <t>PL-2011-086687</t>
  </si>
  <si>
    <t>K01933</t>
  </si>
  <si>
    <t>Krzysztof Cysewski</t>
  </si>
  <si>
    <t>Zgierz</t>
  </si>
  <si>
    <t>95-100</t>
  </si>
  <si>
    <t>OIC Colored Binder Clips, Assorted Sizes</t>
  </si>
  <si>
    <t>PL-2013-086517</t>
  </si>
  <si>
    <t>Ultra Commercial Grade Dual Valve Door Closer</t>
  </si>
  <si>
    <t>PL-2011-086694</t>
  </si>
  <si>
    <t>K00129</t>
  </si>
  <si>
    <t>Tomasz Bernacki</t>
  </si>
  <si>
    <t>Janowiec</t>
  </si>
  <si>
    <t>24-123</t>
  </si>
  <si>
    <t>#10-4 1/8" x 9 1/2" Premium Diagonal Seam Envelopes</t>
  </si>
  <si>
    <t>PL-2012-086701</t>
  </si>
  <si>
    <t>K02247</t>
  </si>
  <si>
    <t>Ewa Wołożyńska</t>
  </si>
  <si>
    <t>Koszęcin</t>
  </si>
  <si>
    <t>42-286</t>
  </si>
  <si>
    <t>Fellowes Stor/Drawer® Steel Plus™ Storage Drawers</t>
  </si>
  <si>
    <t>PL-2014-086715</t>
  </si>
  <si>
    <t>K01446</t>
  </si>
  <si>
    <t>Hieronim Michalak</t>
  </si>
  <si>
    <t>Stopnica</t>
  </si>
  <si>
    <t>28-130</t>
  </si>
  <si>
    <t>Hon Metal Bookcases, Putty</t>
  </si>
  <si>
    <t>PL-2011-086258</t>
  </si>
  <si>
    <t>Memorex 4.7GB DVD+RW, 3/Pack</t>
  </si>
  <si>
    <t>PL-2011-086592</t>
  </si>
  <si>
    <t>C-Line Peel &amp; Stick Add-On Filing Pockets, 8-3/4 x 5-1/8, 10/Pack</t>
  </si>
  <si>
    <t>PL-2014-086718</t>
  </si>
  <si>
    <t>K00245</t>
  </si>
  <si>
    <t>Bartosz Roman</t>
  </si>
  <si>
    <t>Moryń</t>
  </si>
  <si>
    <t>74-503</t>
  </si>
  <si>
    <t>Imation 3.5", RTS 247544 3M 3.5 DSDD, 10/Pack</t>
  </si>
  <si>
    <t>PL-2012-086726</t>
  </si>
  <si>
    <t>K01670</t>
  </si>
  <si>
    <t>Witold Kopera</t>
  </si>
  <si>
    <t>Hel</t>
  </si>
  <si>
    <t>84-150</t>
  </si>
  <si>
    <t>T28 WORLD</t>
  </si>
  <si>
    <t>PL-2011-086545</t>
  </si>
  <si>
    <t>Wilson Jones 14 Line Acrylic Coated Pressboard Data Binders</t>
  </si>
  <si>
    <t>Wilson Jones Ledger-Size, Piano-Hinge Binder, 2", Blue</t>
  </si>
  <si>
    <t>PL-2012-086737</t>
  </si>
  <si>
    <t>K01458</t>
  </si>
  <si>
    <t>Jadwiga Róg</t>
  </si>
  <si>
    <t>Świerczów</t>
  </si>
  <si>
    <t>46-100</t>
  </si>
  <si>
    <t>Vinyl Sectional Post Binders</t>
  </si>
  <si>
    <t>PL-2014-086761</t>
  </si>
  <si>
    <t>K02417</t>
  </si>
  <si>
    <t>Kamilla Sichau</t>
  </si>
  <si>
    <t>Świercze</t>
  </si>
  <si>
    <t>06-150</t>
  </si>
  <si>
    <t>Microsoft Internet Keyboard</t>
  </si>
  <si>
    <t>PL-2013-086775</t>
  </si>
  <si>
    <t>K01115</t>
  </si>
  <si>
    <t>Piotr Klimczak</t>
  </si>
  <si>
    <t>Nowa Ruda</t>
  </si>
  <si>
    <t>57-401</t>
  </si>
  <si>
    <t>PL-2013-086225</t>
  </si>
  <si>
    <t>Rubbermaid ClusterMat Chairmats, Mat Size- 66" x 60", Lip 20" x 11" -90 Degree Angle</t>
  </si>
  <si>
    <t>PL-2014-086802</t>
  </si>
  <si>
    <t>K03131</t>
  </si>
  <si>
    <t>Michał Dudkowski</t>
  </si>
  <si>
    <t>Radziejów</t>
  </si>
  <si>
    <t>88-200</t>
  </si>
  <si>
    <t>Hon 4-Shelf Metal Bookcases</t>
  </si>
  <si>
    <t>Lesro Sheffield Collection Coffee Table, End Table, Center Table, Corner Table</t>
  </si>
  <si>
    <t>PL-2014-086808</t>
  </si>
  <si>
    <t>K03174</t>
  </si>
  <si>
    <t>Marcin Wolny</t>
  </si>
  <si>
    <t>Zakliczyn</t>
  </si>
  <si>
    <t>32-406</t>
  </si>
  <si>
    <t>Avery 493</t>
  </si>
  <si>
    <t>K03173</t>
  </si>
  <si>
    <t>Andrzej Wasiak</t>
  </si>
  <si>
    <t>Lubliniec</t>
  </si>
  <si>
    <t>42-700</t>
  </si>
  <si>
    <t>PL-2014-086823</t>
  </si>
  <si>
    <t>K01525</t>
  </si>
  <si>
    <t>Andrzej Jarmuszka</t>
  </si>
  <si>
    <t>Granowo</t>
  </si>
  <si>
    <t>62-065</t>
  </si>
  <si>
    <t>Xerox 194</t>
  </si>
  <si>
    <t>PL-2014-086834</t>
  </si>
  <si>
    <t>K01432</t>
  </si>
  <si>
    <t>Maciej Dolak</t>
  </si>
  <si>
    <t>Gdynia</t>
  </si>
  <si>
    <t>81-223</t>
  </si>
  <si>
    <t>PL-2011-086837</t>
  </si>
  <si>
    <t>K00015</t>
  </si>
  <si>
    <t>Irena Ciesielska</t>
  </si>
  <si>
    <t>Polkowice</t>
  </si>
  <si>
    <t>59-101</t>
  </si>
  <si>
    <t>Grip Seal Envelopes</t>
  </si>
  <si>
    <t>PL-2013-086855</t>
  </si>
  <si>
    <t>K01863</t>
  </si>
  <si>
    <t>Karol Banaśkiewicz</t>
  </si>
  <si>
    <t>Rzeczenica</t>
  </si>
  <si>
    <t>77-304</t>
  </si>
  <si>
    <t>Barricks 18" x 48" Non-Folding Utility Table with Bottom Storage Shelf</t>
  </si>
  <si>
    <t>PL-2014-086864</t>
  </si>
  <si>
    <t>K03112</t>
  </si>
  <si>
    <t>Zdzisław Płażalski</t>
  </si>
  <si>
    <t>Kalwaria Zebrzydowska</t>
  </si>
  <si>
    <t>34-130</t>
  </si>
  <si>
    <t>PL-2011-086869</t>
  </si>
  <si>
    <t>K00796</t>
  </si>
  <si>
    <t>Joanna Kluska</t>
  </si>
  <si>
    <t>Ciepielów</t>
  </si>
  <si>
    <t>27-310</t>
  </si>
  <si>
    <t>Holmes Odor Grabber</t>
  </si>
  <si>
    <t>PL-2014-086880</t>
  </si>
  <si>
    <t>K02009</t>
  </si>
  <si>
    <t>Józef Wilk</t>
  </si>
  <si>
    <t>Tereszpol</t>
  </si>
  <si>
    <t>23-407</t>
  </si>
  <si>
    <t>Avery Printable Repositionable Plastic Tabs</t>
  </si>
  <si>
    <t>K02010</t>
  </si>
  <si>
    <t>Anna Kawalec</t>
  </si>
  <si>
    <t>Międzychód</t>
  </si>
  <si>
    <t>64-400</t>
  </si>
  <si>
    <t>GBC DocuBind TL300 Electric Binding System</t>
  </si>
  <si>
    <t>PL-2012-086888</t>
  </si>
  <si>
    <t>K02495</t>
  </si>
  <si>
    <t>Krzysztof Psykała</t>
  </si>
  <si>
    <t>Korczew</t>
  </si>
  <si>
    <t>08-108</t>
  </si>
  <si>
    <t>Xerox 1981</t>
  </si>
  <si>
    <t>PL-2012-086903</t>
  </si>
  <si>
    <t>K03153</t>
  </si>
  <si>
    <t>Jadwiga Gardzińska</t>
  </si>
  <si>
    <t>Lyski</t>
  </si>
  <si>
    <t>44-295</t>
  </si>
  <si>
    <t>Fellowes Bankers Box™ Stor/Drawer® Steel Plus™</t>
  </si>
  <si>
    <t>PL-2012-086736</t>
  </si>
  <si>
    <t>PL-2014-086918</t>
  </si>
  <si>
    <t>K01180</t>
  </si>
  <si>
    <t>Andrzej Fedorowicz</t>
  </si>
  <si>
    <t>Gnojno</t>
  </si>
  <si>
    <t>28-114</t>
  </si>
  <si>
    <t>Memorex 4.7GB DVD-RAM, 3/Pack</t>
  </si>
  <si>
    <t>Prang Drawing Pencil Set</t>
  </si>
  <si>
    <t>PL-2014-086932</t>
  </si>
  <si>
    <t>K02896</t>
  </si>
  <si>
    <t>Jacek Petryszyn</t>
  </si>
  <si>
    <t>Michałowo</t>
  </si>
  <si>
    <t>16-050</t>
  </si>
  <si>
    <t>BoxOffice By Design Rectangular and Half-Moon Meeting Room Tables</t>
  </si>
  <si>
    <t>PL-2012-086935</t>
  </si>
  <si>
    <t>K02017</t>
  </si>
  <si>
    <t>Marek Łysko</t>
  </si>
  <si>
    <t>Jedlnia-Letnisko</t>
  </si>
  <si>
    <t>26-630</t>
  </si>
  <si>
    <t>Wilson Jones Impact Binders</t>
  </si>
  <si>
    <t>Accessory20</t>
  </si>
  <si>
    <t>PL-2011-086951</t>
  </si>
  <si>
    <t>K02393</t>
  </si>
  <si>
    <t>Dorota Sudnikowicz</t>
  </si>
  <si>
    <t>Bytów</t>
  </si>
  <si>
    <t>77-100</t>
  </si>
  <si>
    <t>Eldon Antistatic Chair Mats for Low to Medium Pile Carpets</t>
  </si>
  <si>
    <t>PL-2011-086927</t>
  </si>
  <si>
    <t>Xerox 1973</t>
  </si>
  <si>
    <t>PL-2011-086959</t>
  </si>
  <si>
    <t>K01826</t>
  </si>
  <si>
    <t>Jerzy Rusa</t>
  </si>
  <si>
    <t>Lubomierz</t>
  </si>
  <si>
    <t>59-623</t>
  </si>
  <si>
    <t>Wirebound Message Books, Four 2 3/4" x 5" Forms per Page, 600 Sets per Book</t>
  </si>
  <si>
    <t>PL-2013-086969</t>
  </si>
  <si>
    <t>K01574</t>
  </si>
  <si>
    <t>Ryszard Patkowski</t>
  </si>
  <si>
    <t>Krosno</t>
  </si>
  <si>
    <t>38-400</t>
  </si>
  <si>
    <t>PL-2014-086979</t>
  </si>
  <si>
    <t>K01686</t>
  </si>
  <si>
    <t>Leokadia Szumczyk</t>
  </si>
  <si>
    <t>Końskie</t>
  </si>
  <si>
    <t>26-200</t>
  </si>
  <si>
    <t>LX 788</t>
  </si>
  <si>
    <t>PL-2014-086988</t>
  </si>
  <si>
    <t>K02783</t>
  </si>
  <si>
    <t>Danuta Pietrzela</t>
  </si>
  <si>
    <t>Szczurowa</t>
  </si>
  <si>
    <t>32-820</t>
  </si>
  <si>
    <t>Bush Westfield Collection Bookcases, Fully Assembled</t>
  </si>
  <si>
    <t>PL-2014-086993</t>
  </si>
  <si>
    <t>K03179</t>
  </si>
  <si>
    <t>Kazimierz Gawęcki</t>
  </si>
  <si>
    <t>Łubianka</t>
  </si>
  <si>
    <t>87-152</t>
  </si>
  <si>
    <t>PL-2012-086997</t>
  </si>
  <si>
    <t>K00777</t>
  </si>
  <si>
    <t>Arkadiusz Ewert</t>
  </si>
  <si>
    <t>Pogorzela</t>
  </si>
  <si>
    <t>63-860</t>
  </si>
  <si>
    <t>Accessory37</t>
  </si>
  <si>
    <t>K00778</t>
  </si>
  <si>
    <t>Janina Szupieńko</t>
  </si>
  <si>
    <t>Niemcza</t>
  </si>
  <si>
    <t>58-230</t>
  </si>
  <si>
    <t>Ibico Presentation Index for Binding Systems</t>
  </si>
  <si>
    <t>K00779</t>
  </si>
  <si>
    <t>Wiesława Szczęsna</t>
  </si>
  <si>
    <t>Gozdnica</t>
  </si>
  <si>
    <t>68-130</t>
  </si>
  <si>
    <t>Bush Cubix Collection Bookcases, Fully Assembled</t>
  </si>
  <si>
    <t>PL-2012-087007</t>
  </si>
  <si>
    <t>K01303</t>
  </si>
  <si>
    <t>Teresa Kwiatkowska</t>
  </si>
  <si>
    <t>Huszlew</t>
  </si>
  <si>
    <t>08-206</t>
  </si>
  <si>
    <t>Deluxe Rollaway Locking File with Drawer</t>
  </si>
  <si>
    <t>PL-2011-087016</t>
  </si>
  <si>
    <t>K01124</t>
  </si>
  <si>
    <t>Piotr Janczura</t>
  </si>
  <si>
    <t>K01123</t>
  </si>
  <si>
    <t>Joanna Lipik</t>
  </si>
  <si>
    <t>Sandomierz</t>
  </si>
  <si>
    <t>27-600</t>
  </si>
  <si>
    <t>PL-2012-086313</t>
  </si>
  <si>
    <t>Avery 52</t>
  </si>
  <si>
    <t>Plymouth Boxed Rubber Bands by Plymouth</t>
  </si>
  <si>
    <t>PL-2013-087022</t>
  </si>
  <si>
    <t>K00602</t>
  </si>
  <si>
    <t>Jacek Leśniak</t>
  </si>
  <si>
    <t>Słomniki</t>
  </si>
  <si>
    <t>32-090</t>
  </si>
  <si>
    <t>Balt Solid Wood Rectangular Table</t>
  </si>
  <si>
    <t>PL-2013-087027</t>
  </si>
  <si>
    <t>K03060</t>
  </si>
  <si>
    <t>Henryk Mruk</t>
  </si>
  <si>
    <t>Frampol</t>
  </si>
  <si>
    <t>23-440</t>
  </si>
  <si>
    <t>Executive Impressions 12" Wall Clock</t>
  </si>
  <si>
    <t>PL-2011-087033</t>
  </si>
  <si>
    <t>K02507</t>
  </si>
  <si>
    <t>Monika Wiśniewska</t>
  </si>
  <si>
    <t>Górzyca</t>
  </si>
  <si>
    <t>69-113</t>
  </si>
  <si>
    <t>Canon PC1060 Personal Laser Copier</t>
  </si>
  <si>
    <t>kopiarki i faksy</t>
  </si>
  <si>
    <t>K02522</t>
  </si>
  <si>
    <t>Robert Piskorz</t>
  </si>
  <si>
    <t>Tarnogród</t>
  </si>
  <si>
    <t>23-420</t>
  </si>
  <si>
    <t>Okidata ML395C Color Dot Matrix Printer</t>
  </si>
  <si>
    <t>K02506</t>
  </si>
  <si>
    <t>Karina Kochańska</t>
  </si>
  <si>
    <t>Rachanie</t>
  </si>
  <si>
    <t>22-640</t>
  </si>
  <si>
    <t>K02516</t>
  </si>
  <si>
    <t>Stefan Dymański</t>
  </si>
  <si>
    <t>Wodzisław</t>
  </si>
  <si>
    <t>28-330</t>
  </si>
  <si>
    <t>Advantus Rolling Storage Box</t>
  </si>
  <si>
    <t>K02520</t>
  </si>
  <si>
    <t>Anna Sierecka</t>
  </si>
  <si>
    <t>Malbork</t>
  </si>
  <si>
    <t>82-200</t>
  </si>
  <si>
    <t>Xerox 1979</t>
  </si>
  <si>
    <t>PL-2013-087048</t>
  </si>
  <si>
    <t>K02998</t>
  </si>
  <si>
    <t>Henryk Bryćko</t>
  </si>
  <si>
    <t>Działoszyn</t>
  </si>
  <si>
    <t>98-355</t>
  </si>
  <si>
    <t>GBC DocuBind 200 Manual Binding Machine</t>
  </si>
  <si>
    <t>Staples SlimLine Pencil Sharpener</t>
  </si>
  <si>
    <t>PL-2014-087069</t>
  </si>
  <si>
    <t>K00304</t>
  </si>
  <si>
    <t>Dawid Stawski</t>
  </si>
  <si>
    <t>Dobroszyce</t>
  </si>
  <si>
    <t>56-410</t>
  </si>
  <si>
    <t>SC-3160</t>
  </si>
  <si>
    <t>PL-2014-087075</t>
  </si>
  <si>
    <t>K02146</t>
  </si>
  <si>
    <t>Mirosław Pawlak</t>
  </si>
  <si>
    <t>Kosakowo</t>
  </si>
  <si>
    <t>81-198</t>
  </si>
  <si>
    <t>TDK 4.7GB DVD-R</t>
  </si>
  <si>
    <t>PL-2012-087080</t>
  </si>
  <si>
    <t>K01471</t>
  </si>
  <si>
    <t>Janusz Chmielewski</t>
  </si>
  <si>
    <t>Kłecko</t>
  </si>
  <si>
    <t>62-270</t>
  </si>
  <si>
    <t>PL-2014-087095</t>
  </si>
  <si>
    <t>K01414</t>
  </si>
  <si>
    <t>Grzegorz Ufniarz</t>
  </si>
  <si>
    <t>Chybie</t>
  </si>
  <si>
    <t>43-520</t>
  </si>
  <si>
    <t>Peel &amp; Stick Add-On Corner Pockets</t>
  </si>
  <si>
    <t>PL-2013-087100</t>
  </si>
  <si>
    <t>K03162</t>
  </si>
  <si>
    <t>Rafał Szpilkowski</t>
  </si>
  <si>
    <t>Miejsce Piastowe</t>
  </si>
  <si>
    <t>38-430</t>
  </si>
  <si>
    <t>PL-2013-087107</t>
  </si>
  <si>
    <t>K00565</t>
  </si>
  <si>
    <t>Agnieszka Szeremeta</t>
  </si>
  <si>
    <t>Susz</t>
  </si>
  <si>
    <t>14-240</t>
  </si>
  <si>
    <t>Maxell 3.5" DS/HD IBM-Formatted Diskettes, 10/Pack</t>
  </si>
  <si>
    <t>PL-2014-087115</t>
  </si>
  <si>
    <t>K01068</t>
  </si>
  <si>
    <t>Maria Dembowska</t>
  </si>
  <si>
    <t>Koprzywnica</t>
  </si>
  <si>
    <t>27-660</t>
  </si>
  <si>
    <t>Newell 335</t>
  </si>
  <si>
    <t>PL-2012-087119</t>
  </si>
  <si>
    <t>K02032</t>
  </si>
  <si>
    <t>Maria Pokorska</t>
  </si>
  <si>
    <t>Wąwolnica</t>
  </si>
  <si>
    <t>24-160</t>
  </si>
  <si>
    <t>Belkin Premiere Surge Master II 8-outlet surge protector</t>
  </si>
  <si>
    <t>K02033</t>
  </si>
  <si>
    <t>Piotr Zimny</t>
  </si>
  <si>
    <t>Zabłudów</t>
  </si>
  <si>
    <t>16-060</t>
  </si>
  <si>
    <t>Steel Personal Filing/Posting Tote</t>
  </si>
  <si>
    <t>PL-2014-087133</t>
  </si>
  <si>
    <t>K02026</t>
  </si>
  <si>
    <t>Arkadiusz Zalas</t>
  </si>
  <si>
    <t>Miastko</t>
  </si>
  <si>
    <t>77-200</t>
  </si>
  <si>
    <t>Global Push Button Manager's Chair, Indigo</t>
  </si>
  <si>
    <t>PL-2013-087140</t>
  </si>
  <si>
    <t>K00922</t>
  </si>
  <si>
    <t>Sylwester Matusiak</t>
  </si>
  <si>
    <t>Wołomin</t>
  </si>
  <si>
    <t>05-200</t>
  </si>
  <si>
    <t>Rediform S.O.S. Phone Message Books</t>
  </si>
  <si>
    <t>PL-2012-087149</t>
  </si>
  <si>
    <t>K02061</t>
  </si>
  <si>
    <t>Maciej Starnawski</t>
  </si>
  <si>
    <t>Michów</t>
  </si>
  <si>
    <t>21-140</t>
  </si>
  <si>
    <t>Eldon Expressions™ Desk Accessory, Wood Pencil Holder, Oak</t>
  </si>
  <si>
    <t>PL-2012-087164</t>
  </si>
  <si>
    <t>K02778</t>
  </si>
  <si>
    <t>Monika Czajkowska</t>
  </si>
  <si>
    <t>Hajnówka</t>
  </si>
  <si>
    <t>17-200</t>
  </si>
  <si>
    <t>PL-2013-087181</t>
  </si>
  <si>
    <t>K00090</t>
  </si>
  <si>
    <t>Agnieszka Maślińska</t>
  </si>
  <si>
    <t>Gryfice</t>
  </si>
  <si>
    <t>72-300</t>
  </si>
  <si>
    <t>Belkin OmniView SE Rackmount Kit</t>
  </si>
  <si>
    <t>K00091</t>
  </si>
  <si>
    <t>Agnieszka Jakubik</t>
  </si>
  <si>
    <t>Goleniów</t>
  </si>
  <si>
    <t>72-100</t>
  </si>
  <si>
    <t>US Robotics 56K V.92 External Faxmodem</t>
  </si>
  <si>
    <t>Boston School Pro Electric Pencil Sharpener, 1670</t>
  </si>
  <si>
    <t>PL-2013-087189</t>
  </si>
  <si>
    <t>K02972</t>
  </si>
  <si>
    <t>Teresa Sadowska</t>
  </si>
  <si>
    <t>Izabelin</t>
  </si>
  <si>
    <t>05-126</t>
  </si>
  <si>
    <t>Strathmore Photo Mount Cards</t>
  </si>
  <si>
    <t>PL-2011-087193</t>
  </si>
  <si>
    <t>K01725</t>
  </si>
  <si>
    <t>Barbara Kordas</t>
  </si>
  <si>
    <t>Krzyżanowice</t>
  </si>
  <si>
    <t>47-450</t>
  </si>
  <si>
    <t>Accessory35</t>
  </si>
  <si>
    <t>PL-2013-087212</t>
  </si>
  <si>
    <t>K02526</t>
  </si>
  <si>
    <t>Mirosław Ekiert</t>
  </si>
  <si>
    <t>Wieluń</t>
  </si>
  <si>
    <t>98-300</t>
  </si>
  <si>
    <t>GBC ProClick™ 150 Presentation Binding System</t>
  </si>
  <si>
    <t>PL-2012-087215</t>
  </si>
  <si>
    <t>K00250</t>
  </si>
  <si>
    <t>Bożena Tacher</t>
  </si>
  <si>
    <t>Czchów</t>
  </si>
  <si>
    <t>32-860</t>
  </si>
  <si>
    <t>#10 Self-Seal White Envelopes</t>
  </si>
  <si>
    <t>PL-2014-087226</t>
  </si>
  <si>
    <t>K01126</t>
  </si>
  <si>
    <t>Sylwia Zduńczyk</t>
  </si>
  <si>
    <t>Wilamowice</t>
  </si>
  <si>
    <t>43-330</t>
  </si>
  <si>
    <t>Imation Printable White 80 Minute CD-R Spindle, 50/Pack</t>
  </si>
  <si>
    <t>Dana Halogen Swing-Arm Architect Lamp</t>
  </si>
  <si>
    <t>PL-2013-087230</t>
  </si>
  <si>
    <t>K00220</t>
  </si>
  <si>
    <t>Andrzej Myzik</t>
  </si>
  <si>
    <t>Krynice</t>
  </si>
  <si>
    <t>22-610</t>
  </si>
  <si>
    <t>SANFORD Liquid Accent™ Tank-Style Highlighters</t>
  </si>
  <si>
    <t>PL-2012-087106</t>
  </si>
  <si>
    <t>K00566</t>
  </si>
  <si>
    <t>Maksymilian Perkowski</t>
  </si>
  <si>
    <t>Canon PC940 Copier</t>
  </si>
  <si>
    <t>PL-2011-087234</t>
  </si>
  <si>
    <t>K02052</t>
  </si>
  <si>
    <t>Joanna Sosnowska</t>
  </si>
  <si>
    <t>Opole</t>
  </si>
  <si>
    <t>45-676</t>
  </si>
  <si>
    <t>Wausau Papers Astrobrights® Colored Envelopes</t>
  </si>
  <si>
    <t>PL-2014-086713</t>
  </si>
  <si>
    <t>Southworth 25% Cotton Antique Laid Paper &amp; Envelopes</t>
  </si>
  <si>
    <t>PL-2013-087242</t>
  </si>
  <si>
    <t>K02822</t>
  </si>
  <si>
    <t>Filip Marcińczak</t>
  </si>
  <si>
    <t>Wojcieszków</t>
  </si>
  <si>
    <t>21-411</t>
  </si>
  <si>
    <t>PL-2012-086317</t>
  </si>
  <si>
    <t>Tenex Personal Project File with Scoop Front Design, Black</t>
  </si>
  <si>
    <t>PL-2014-087254</t>
  </si>
  <si>
    <t>K01746</t>
  </si>
  <si>
    <t>Ewelina Langner</t>
  </si>
  <si>
    <t>Złotów</t>
  </si>
  <si>
    <t>77-400</t>
  </si>
  <si>
    <t>GBC Standard Plastic Binding Systems' Combs</t>
  </si>
  <si>
    <t>PL-2014-087271</t>
  </si>
  <si>
    <t>K00981</t>
  </si>
  <si>
    <t>Teresa Orsztynowicz</t>
  </si>
  <si>
    <t>Gózd</t>
  </si>
  <si>
    <t>26-634</t>
  </si>
  <si>
    <t>ACCOHIDE® 3-Ring Binder, Blue, 1"</t>
  </si>
  <si>
    <t>PL-2011-087272</t>
  </si>
  <si>
    <t>K03327</t>
  </si>
  <si>
    <t>Maria Janowicz</t>
  </si>
  <si>
    <t>Rusiec</t>
  </si>
  <si>
    <t>97-438</t>
  </si>
  <si>
    <t>Hon Comfortask® Task/Swivel Chairs</t>
  </si>
  <si>
    <t>Xerox 204</t>
  </si>
  <si>
    <t>PL-2011-087277</t>
  </si>
  <si>
    <t>K00335</t>
  </si>
  <si>
    <t>Jadwiga Kamińska</t>
  </si>
  <si>
    <t>Szydłowiec</t>
  </si>
  <si>
    <t>26-500</t>
  </si>
  <si>
    <t>SAFCO Arco Folding Chair</t>
  </si>
  <si>
    <t>Eldon® 200 Class™ Desk Accessories, Burgundy</t>
  </si>
  <si>
    <t>PL-2012-086840</t>
  </si>
  <si>
    <t>PL-2014-087293</t>
  </si>
  <si>
    <t>K03126</t>
  </si>
  <si>
    <t>Marek Jakutajć</t>
  </si>
  <si>
    <t>Rudka</t>
  </si>
  <si>
    <t>17-120</t>
  </si>
  <si>
    <t>Hammermill CopyPlus Copy Paper (20Lb. and 84 Bright)</t>
  </si>
  <si>
    <t>PL-2011-087297</t>
  </si>
  <si>
    <t>K03248</t>
  </si>
  <si>
    <t>Dawid Jurczyk</t>
  </si>
  <si>
    <t>Kościelisko</t>
  </si>
  <si>
    <t>34-511</t>
  </si>
  <si>
    <t>Wilson Jones Suede Grain Vinyl Binders</t>
  </si>
  <si>
    <t>PL-2012-086333</t>
  </si>
  <si>
    <t>K01946</t>
  </si>
  <si>
    <t>Maciej Lewandowski</t>
  </si>
  <si>
    <t>Andrzejewo</t>
  </si>
  <si>
    <t>07-305</t>
  </si>
  <si>
    <t>Sauder Facets Collection Locker/File Cabinet, Sky Alder Finish</t>
  </si>
  <si>
    <t>PL-2014-087312</t>
  </si>
  <si>
    <t>K00095</t>
  </si>
  <si>
    <t>Wojciech Staniszewski</t>
  </si>
  <si>
    <t>Dobroń</t>
  </si>
  <si>
    <t>95-082</t>
  </si>
  <si>
    <t>Euro Pro Shark Stick Mini Vacuum</t>
  </si>
  <si>
    <t>M3682</t>
  </si>
  <si>
    <t>StarTAC 6500</t>
  </si>
  <si>
    <t>PL-2012-087318</t>
  </si>
  <si>
    <t>K02853</t>
  </si>
  <si>
    <t>Bożena Nowak</t>
  </si>
  <si>
    <t>Ryglice</t>
  </si>
  <si>
    <t>33-160</t>
  </si>
  <si>
    <t>DIXON Ticonderoga® Erasable Checking Pencils</t>
  </si>
  <si>
    <t>PL-2012-087329</t>
  </si>
  <si>
    <t>K03108</t>
  </si>
  <si>
    <t>Aurelia Szołtun</t>
  </si>
  <si>
    <t>Łęczyca</t>
  </si>
  <si>
    <t>99-100</t>
  </si>
  <si>
    <t>Bevis Steel Folding Chairs</t>
  </si>
  <si>
    <t>PL-2012-087337</t>
  </si>
  <si>
    <t>K01912</t>
  </si>
  <si>
    <t>Andrzej Choma</t>
  </si>
  <si>
    <t>Lwówek Śląski</t>
  </si>
  <si>
    <t>59-600</t>
  </si>
  <si>
    <t>Hon iLevel™ Computer Training Table</t>
  </si>
  <si>
    <t>K01913</t>
  </si>
  <si>
    <t>Mariusz Jezierski</t>
  </si>
  <si>
    <t>Kulesze Kościelne</t>
  </si>
  <si>
    <t>18-208</t>
  </si>
  <si>
    <t>Newell® 3-Hole Punched Plastic Slotted Magazine Holders for Binders</t>
  </si>
  <si>
    <t>PL-2011-087342</t>
  </si>
  <si>
    <t>K01644</t>
  </si>
  <si>
    <t>Arkadiusz Sadowski</t>
  </si>
  <si>
    <t>Miłakowo</t>
  </si>
  <si>
    <t>14-310</t>
  </si>
  <si>
    <t>PL-2011-087345</t>
  </si>
  <si>
    <t>K01699</t>
  </si>
  <si>
    <t>Marzena Dyguda</t>
  </si>
  <si>
    <t>Firlej</t>
  </si>
  <si>
    <t>21-136</t>
  </si>
  <si>
    <t>Xerox 207</t>
  </si>
  <si>
    <t>PL-2011-086950</t>
  </si>
  <si>
    <t>PL-2011-087347</t>
  </si>
  <si>
    <t>K00366</t>
  </si>
  <si>
    <t>Alicja Wójcik</t>
  </si>
  <si>
    <t>Brwinów</t>
  </si>
  <si>
    <t>05-840</t>
  </si>
  <si>
    <t>Sanyo Counter Height Refrigerator with Crisper, 3.6 Cubic Foot, Stainless Steel/Black</t>
  </si>
  <si>
    <t>PL-2014-087362</t>
  </si>
  <si>
    <t>K00507</t>
  </si>
  <si>
    <t>Marian Cybulski</t>
  </si>
  <si>
    <t>Chojna</t>
  </si>
  <si>
    <t>74-500</t>
  </si>
  <si>
    <t>Memorex 80 Minute CD-R, 30/Pack</t>
  </si>
  <si>
    <t>K00506</t>
  </si>
  <si>
    <t>Jacek Kasiński</t>
  </si>
  <si>
    <t>Siedlce</t>
  </si>
  <si>
    <t>08-119</t>
  </si>
  <si>
    <t>PL-2011-087365</t>
  </si>
  <si>
    <t>K00083</t>
  </si>
  <si>
    <t>Paweł Giedo</t>
  </si>
  <si>
    <t>Błędów</t>
  </si>
  <si>
    <t>05-620</t>
  </si>
  <si>
    <t>PL-2012-087376</t>
  </si>
  <si>
    <t>K02903</t>
  </si>
  <si>
    <t>Zdzisława Graczyk</t>
  </si>
  <si>
    <t>Trzciel</t>
  </si>
  <si>
    <t>66-320</t>
  </si>
  <si>
    <t>Heavy-Duty E-Z-D® Binders</t>
  </si>
  <si>
    <t>PL-2011-087378</t>
  </si>
  <si>
    <t>K01885</t>
  </si>
  <si>
    <t>Stanisław Komar</t>
  </si>
  <si>
    <t>Gzy</t>
  </si>
  <si>
    <t>06-126</t>
  </si>
  <si>
    <t>Epson LQ-870 Dot Matrix Printer</t>
  </si>
  <si>
    <t>K01882</t>
  </si>
  <si>
    <t>Andrzej Malec</t>
  </si>
  <si>
    <t>Zwierzyniec</t>
  </si>
  <si>
    <t>22-304</t>
  </si>
  <si>
    <t>Xerox 1978</t>
  </si>
  <si>
    <t>PL-2013-087386</t>
  </si>
  <si>
    <t>K02607</t>
  </si>
  <si>
    <t>Krzysztof Chabaj</t>
  </si>
  <si>
    <t>Dziemiany</t>
  </si>
  <si>
    <t>83-425</t>
  </si>
  <si>
    <t>PL-2014-087394</t>
  </si>
  <si>
    <t>K00301</t>
  </si>
  <si>
    <t>Magdalena Łomako</t>
  </si>
  <si>
    <t>Wola Uhruska</t>
  </si>
  <si>
    <t>22-230</t>
  </si>
  <si>
    <t>3M Polarizing Task Lamp with Clamp Arm, Light Gray</t>
  </si>
  <si>
    <t>Okidata ML320 Series Turbo Dot Matrix Printers</t>
  </si>
  <si>
    <t>PL-2012-087398</t>
  </si>
  <si>
    <t>K02910</t>
  </si>
  <si>
    <t>Zenon Pikuła</t>
  </si>
  <si>
    <t>Wysokie Mazowieckie</t>
  </si>
  <si>
    <t>18-200</t>
  </si>
  <si>
    <t>Imation 3.5, DISKETTE 44766 HGHLD3.52HD/FM, 10/Pack</t>
  </si>
  <si>
    <t>PL-2014-087416</t>
  </si>
  <si>
    <t>K00059</t>
  </si>
  <si>
    <t>Grzegorz Grochowski</t>
  </si>
  <si>
    <t>Kazimierza Wielka</t>
  </si>
  <si>
    <t>28-500</t>
  </si>
  <si>
    <t>Hoover Replacement Belts For Soft Guard™ &amp; Commercial Ltweight Upright Vacs, 2/Pk</t>
  </si>
  <si>
    <t>PL-2014-086296</t>
  </si>
  <si>
    <t>K02900</t>
  </si>
  <si>
    <t>Bogusław Rajnert</t>
  </si>
  <si>
    <t>Waganiec</t>
  </si>
  <si>
    <t>87-731</t>
  </si>
  <si>
    <t>Keytronic 105-Key Spanish Keyboard</t>
  </si>
  <si>
    <t>PL-2012-087261</t>
  </si>
  <si>
    <t>3.6 Cubic Foot Counter Height Office Refrigerator</t>
  </si>
  <si>
    <t>Tripp Lite Isotel 6 Outlet Surge Protector with Fax/Modem Protection</t>
  </si>
  <si>
    <t>PL-2011-087425</t>
  </si>
  <si>
    <t>K01556</t>
  </si>
  <si>
    <t>Helena Sługocka</t>
  </si>
  <si>
    <t>Oława</t>
  </si>
  <si>
    <t>55-200</t>
  </si>
  <si>
    <t>Avery 482</t>
  </si>
  <si>
    <t>PL-2014-087434</t>
  </si>
  <si>
    <t>K02799</t>
  </si>
  <si>
    <t>Jacek Woźniak</t>
  </si>
  <si>
    <t>ACCOHIDE® Binder by Acco</t>
  </si>
  <si>
    <t>PL-2013-087439</t>
  </si>
  <si>
    <t>K03228</t>
  </si>
  <si>
    <t>Radosław Kluszczyński</t>
  </si>
  <si>
    <t>Koźminek</t>
  </si>
  <si>
    <t>62-840</t>
  </si>
  <si>
    <t>Global Troy™ Executive Leather Low-Back Tilter</t>
  </si>
  <si>
    <t>PL-2014-087450</t>
  </si>
  <si>
    <t>K01904</t>
  </si>
  <si>
    <t>Łukasz Neumann</t>
  </si>
  <si>
    <t>Tarnowiec</t>
  </si>
  <si>
    <t>38-204</t>
  </si>
  <si>
    <t>Seth Thomas 12" Clock w/ Goldtone Case</t>
  </si>
  <si>
    <t>PL-2012-087457</t>
  </si>
  <si>
    <t>K02529</t>
  </si>
  <si>
    <t>Anna Dworek</t>
  </si>
  <si>
    <t>Krasnystaw</t>
  </si>
  <si>
    <t>22-300</t>
  </si>
  <si>
    <t>#10- 4 1/8" x 9 1/2" Recycled Envelopes</t>
  </si>
  <si>
    <t>PL-2012-087465</t>
  </si>
  <si>
    <t>K00170</t>
  </si>
  <si>
    <t>Natalia Wiśniewska</t>
  </si>
  <si>
    <t>Łukowica</t>
  </si>
  <si>
    <t>34-606</t>
  </si>
  <si>
    <t>Xerox 1893</t>
  </si>
  <si>
    <t>PL-2011-087357</t>
  </si>
  <si>
    <t>Xerox 1908</t>
  </si>
  <si>
    <t>K00508</t>
  </si>
  <si>
    <t>Edward Bodnar</t>
  </si>
  <si>
    <t>Czarna Woda</t>
  </si>
  <si>
    <t>83-262</t>
  </si>
  <si>
    <t>SAFCO Folding Chair Trolley</t>
  </si>
  <si>
    <t>PL-2011-085865</t>
  </si>
  <si>
    <t>K01738</t>
  </si>
  <si>
    <t>Teresa Polańska</t>
  </si>
  <si>
    <t>Parczew</t>
  </si>
  <si>
    <t>21-200</t>
  </si>
  <si>
    <t>PL-2014-087443</t>
  </si>
  <si>
    <t>K03229</t>
  </si>
  <si>
    <t>Krzysztof Haberski</t>
  </si>
  <si>
    <t>Wielowieś</t>
  </si>
  <si>
    <t>44-187</t>
  </si>
  <si>
    <t>Avery 479</t>
  </si>
  <si>
    <t>PL-2014-086717</t>
  </si>
  <si>
    <t>K01445</t>
  </si>
  <si>
    <t>Krzysztof Płuska</t>
  </si>
  <si>
    <t>Zarszyn</t>
  </si>
  <si>
    <t>38-530</t>
  </si>
  <si>
    <t>Belkin 8 Outlet Surge Protector</t>
  </si>
  <si>
    <t>PL-2012-087469</t>
  </si>
  <si>
    <t>K02092</t>
  </si>
  <si>
    <t>Anna Kobylińska</t>
  </si>
  <si>
    <t>Trzcińsko-Zdrój</t>
  </si>
  <si>
    <t>74-510</t>
  </si>
  <si>
    <t>Eldon Expressions Punched Metal &amp; Wood Desk Accessories, Black &amp; Cherry</t>
  </si>
  <si>
    <t>PL-2011-087473</t>
  </si>
  <si>
    <t>K03374</t>
  </si>
  <si>
    <t>Jolanta Pluto</t>
  </si>
  <si>
    <t>Lubicz</t>
  </si>
  <si>
    <t>87-162</t>
  </si>
  <si>
    <t>Bevis Round Conference Table Top, X-Base</t>
  </si>
  <si>
    <t>PL-2013-086691</t>
  </si>
  <si>
    <t>Avery 494</t>
  </si>
  <si>
    <t>K01934</t>
  </si>
  <si>
    <t>Marek Pietraszewski</t>
  </si>
  <si>
    <t>Ścinawa</t>
  </si>
  <si>
    <t>OIC Bulk Pack Metal Binder Clips</t>
  </si>
  <si>
    <t>PL-2013-087496</t>
  </si>
  <si>
    <t>K01550</t>
  </si>
  <si>
    <t>Antoni Sławnikowski</t>
  </si>
  <si>
    <t>Orneta</t>
  </si>
  <si>
    <t>11-130</t>
  </si>
  <si>
    <t>Ibico Covers for Plastic or Wire Binding Elements</t>
  </si>
  <si>
    <t>Hewlett Packard LaserJet 3310 Copier</t>
  </si>
  <si>
    <t>PL-2014-087510</t>
  </si>
  <si>
    <t>K02643</t>
  </si>
  <si>
    <t>Danuta Godlewska</t>
  </si>
  <si>
    <t>Stromiec</t>
  </si>
  <si>
    <t>26-804</t>
  </si>
  <si>
    <t>Wirebound Voice Message Log Book</t>
  </si>
  <si>
    <t>270c</t>
  </si>
  <si>
    <t>PL-2011-087474</t>
  </si>
  <si>
    <t>Universal Premium White Copier/Laser Paper (20Lb. and 87 Bright)</t>
  </si>
  <si>
    <t>Barrel Sharpener</t>
  </si>
  <si>
    <t>PL-2012-087375</t>
  </si>
  <si>
    <t>Xerox 1924</t>
  </si>
  <si>
    <t>PL-2014-087517</t>
  </si>
  <si>
    <t>K02948</t>
  </si>
  <si>
    <t>Adam Walterowicz</t>
  </si>
  <si>
    <t>Osina</t>
  </si>
  <si>
    <t>Eldon Expressions Punched Metal &amp; Wood Desk Accessories, Pewter &amp; Cherry</t>
  </si>
  <si>
    <t>Boston Model 1800 Electric Pencil Sharpener, Gray</t>
  </si>
  <si>
    <t>PL-2012-087512</t>
  </si>
  <si>
    <t>Large Capacity Hanging Post Binders</t>
  </si>
  <si>
    <t>PL-2012-087522</t>
  </si>
  <si>
    <t>K01170</t>
  </si>
  <si>
    <t>Kazimierz Lipiński</t>
  </si>
  <si>
    <t>Suraż</t>
  </si>
  <si>
    <t>18-100</t>
  </si>
  <si>
    <t>Durable Pressboard Binders</t>
  </si>
  <si>
    <t>PL-2014-087528</t>
  </si>
  <si>
    <t>K00762</t>
  </si>
  <si>
    <t>Piotr Kowalisko</t>
  </si>
  <si>
    <t>Olkusz</t>
  </si>
  <si>
    <t>32-300</t>
  </si>
  <si>
    <t>Okidata Pacemark 4410N Wide Format Dot Matrix Printer</t>
  </si>
  <si>
    <t>PL-2012-087531</t>
  </si>
  <si>
    <t>K03402</t>
  </si>
  <si>
    <t>Aneta Olszacka</t>
  </si>
  <si>
    <t>Wolin</t>
  </si>
  <si>
    <t>72-510</t>
  </si>
  <si>
    <t>Bush Advantage Collection® Round Conference Table</t>
  </si>
  <si>
    <t>PL-2014-087550</t>
  </si>
  <si>
    <t>K03396</t>
  </si>
  <si>
    <t>Andrzej Katuszonek</t>
  </si>
  <si>
    <t>Lubraniec</t>
  </si>
  <si>
    <t>87-890</t>
  </si>
  <si>
    <t>Col-Erase® Pencils with Erasers</t>
  </si>
  <si>
    <t>PL-2013-087111</t>
  </si>
  <si>
    <t>Imation 3.5" DS/HD IBM Formatted Diskettes, 10/Pack</t>
  </si>
  <si>
    <t>White Dual Perf Computer Printout Paper, 2700 Sheets, 1 Part, Heavyweight, 20 lbs., 14 7/8 x 11</t>
  </si>
  <si>
    <t>PL-2012-087557</t>
  </si>
  <si>
    <t>K02794</t>
  </si>
  <si>
    <t>Michał Jaczyński</t>
  </si>
  <si>
    <t>Legnickie Pole</t>
  </si>
  <si>
    <t>59-241</t>
  </si>
  <si>
    <t>Office Star - Task Chair with Contemporary Loop Arms</t>
  </si>
  <si>
    <t>PL-2012-087571</t>
  </si>
  <si>
    <t>K02141</t>
  </si>
  <si>
    <t>Mieczysław Kuźniarski</t>
  </si>
  <si>
    <t>Kotla</t>
  </si>
  <si>
    <t>Bush Westfield Collection Bookcases, Dark Cherry Finish, Fully Assembled</t>
  </si>
  <si>
    <t>Xerox 1923</t>
  </si>
  <si>
    <t>K02142</t>
  </si>
  <si>
    <t>Waldemar Filipowicz</t>
  </si>
  <si>
    <t>Roźwienica</t>
  </si>
  <si>
    <t>37-565</t>
  </si>
  <si>
    <t>Iceberg Mobile Mega Data/Printer Cart ®</t>
  </si>
  <si>
    <t>PL-2013-087576</t>
  </si>
  <si>
    <t>K02075</t>
  </si>
  <si>
    <t>Paulina Makaroyj</t>
  </si>
  <si>
    <t>Świebodzin</t>
  </si>
  <si>
    <t>66-200</t>
  </si>
  <si>
    <t>Acco Four Pocket Poly Ring Binder with Label Holder, Smoke, 1"</t>
  </si>
  <si>
    <t>PL-2012-087580</t>
  </si>
  <si>
    <t>K00599</t>
  </si>
  <si>
    <t>Alicja Grabiec</t>
  </si>
  <si>
    <t>Ruda-Huta</t>
  </si>
  <si>
    <t>22-110</t>
  </si>
  <si>
    <t>PL-2013-087596</t>
  </si>
  <si>
    <t>K01189</t>
  </si>
  <si>
    <t>Grażyna Hes</t>
  </si>
  <si>
    <t>Sieradz</t>
  </si>
  <si>
    <t>98-200</t>
  </si>
  <si>
    <t>PL-2013-087609</t>
  </si>
  <si>
    <t>K01315</t>
  </si>
  <si>
    <t>Tomasz Orman</t>
  </si>
  <si>
    <t>Grudziądz</t>
  </si>
  <si>
    <t>86-300</t>
  </si>
  <si>
    <t>Eldon Executive Woodline II Cherry Finish Desk Accessories</t>
  </si>
  <si>
    <t>PL-2012-087613</t>
  </si>
  <si>
    <t>K01622</t>
  </si>
  <si>
    <t>Zbigniew Strzelczyk</t>
  </si>
  <si>
    <t>Mogielnica</t>
  </si>
  <si>
    <t>Fellowes Strictly Business® Drawer File, Letter/Legal Size</t>
  </si>
  <si>
    <t>PL-2012-087621</t>
  </si>
  <si>
    <t>K02930</t>
  </si>
  <si>
    <t>Monika Wajsprych</t>
  </si>
  <si>
    <t>Byczyna</t>
  </si>
  <si>
    <t>46-220</t>
  </si>
  <si>
    <t>Xerox 1899</t>
  </si>
  <si>
    <t>PL-2012-087637</t>
  </si>
  <si>
    <t>K02883</t>
  </si>
  <si>
    <t>Jolanta Szymańska</t>
  </si>
  <si>
    <t>Buczek</t>
  </si>
  <si>
    <t>95-060</t>
  </si>
  <si>
    <t>Holmes Replacement Filter for HEPA Air Cleaner, Large Room</t>
  </si>
  <si>
    <t>PL-2011-086591</t>
  </si>
  <si>
    <t>K02924</t>
  </si>
  <si>
    <t>Władysława Stefanowicz</t>
  </si>
  <si>
    <t>Klembów</t>
  </si>
  <si>
    <t>05-205</t>
  </si>
  <si>
    <t>TOPS Money Receipt Book, Consecutively Numbered in Red,</t>
  </si>
  <si>
    <t>PL-2011-086867</t>
  </si>
  <si>
    <t>PL-2012-087648</t>
  </si>
  <si>
    <t>K03363</t>
  </si>
  <si>
    <t>Janusz Garbacz</t>
  </si>
  <si>
    <t>Szczawin Kościelny</t>
  </si>
  <si>
    <t>09-550</t>
  </si>
  <si>
    <t>Avery Round Ring Poly Binders</t>
  </si>
  <si>
    <t>PL-2011-086190</t>
  </si>
  <si>
    <t>Lexmark 4227 Plus Dot Matrix Printer</t>
  </si>
  <si>
    <t>PL-2013-087660</t>
  </si>
  <si>
    <t>K00023</t>
  </si>
  <si>
    <t>Krzysztof Gołaszewski</t>
  </si>
  <si>
    <t>Miedziana Góra</t>
  </si>
  <si>
    <t>26-085</t>
  </si>
  <si>
    <t>Xerox 1929</t>
  </si>
  <si>
    <t>PL-2012-087673</t>
  </si>
  <si>
    <t>K00156</t>
  </si>
  <si>
    <t>Andrzej Badowski</t>
  </si>
  <si>
    <t>Czeladź</t>
  </si>
  <si>
    <t>41-250</t>
  </si>
  <si>
    <t>GBC White Gloss Covers, Plain Front</t>
  </si>
  <si>
    <t>Accessory31</t>
  </si>
  <si>
    <t>PL-2013-087562</t>
  </si>
  <si>
    <t>PL-2011-087676</t>
  </si>
  <si>
    <t>K02696</t>
  </si>
  <si>
    <t>Piotr Pasikowski</t>
  </si>
  <si>
    <t>Radzionków</t>
  </si>
  <si>
    <t>41-922</t>
  </si>
  <si>
    <t>PL-2013-086442</t>
  </si>
  <si>
    <t>PL-2014-087699</t>
  </si>
  <si>
    <t>K02300</t>
  </si>
  <si>
    <t>Jolanta Skrobot</t>
  </si>
  <si>
    <t>Strzelin</t>
  </si>
  <si>
    <t>57-100</t>
  </si>
  <si>
    <t>i470</t>
  </si>
  <si>
    <t>PL-2014-087708</t>
  </si>
  <si>
    <t>K00417</t>
  </si>
  <si>
    <t>Andrzej Kusyk</t>
  </si>
  <si>
    <t>Skoki</t>
  </si>
  <si>
    <t>62-085</t>
  </si>
  <si>
    <t>Cardinal Poly Pocket Divider Pockets for Ring Binders</t>
  </si>
  <si>
    <t>PL-2012-086005</t>
  </si>
  <si>
    <t>Avery 506</t>
  </si>
  <si>
    <t>1726 Digital Answering Machine</t>
  </si>
  <si>
    <t>PL-2011-087554</t>
  </si>
  <si>
    <t>PL-2013-087714</t>
  </si>
  <si>
    <t>K00048</t>
  </si>
  <si>
    <t>Krystyna Wajda</t>
  </si>
  <si>
    <t>Środa Wielkopolska</t>
  </si>
  <si>
    <t>63-000</t>
  </si>
  <si>
    <t>Self-Adhesive Address Labels for Typewriters by Universal</t>
  </si>
  <si>
    <t>PL-2012-087722</t>
  </si>
  <si>
    <t>K02827</t>
  </si>
  <si>
    <t>Adam Kościelny</t>
  </si>
  <si>
    <t>Sierpc</t>
  </si>
  <si>
    <t>09-200</t>
  </si>
  <si>
    <t>TDK 4.7GB DVD+RW</t>
  </si>
  <si>
    <t>PL-2014-087083</t>
  </si>
  <si>
    <t>PL-2014-087734</t>
  </si>
  <si>
    <t>K00744</t>
  </si>
  <si>
    <t>Sylwester Olszewski</t>
  </si>
  <si>
    <t>Złoczew</t>
  </si>
  <si>
    <t>98-270</t>
  </si>
  <si>
    <t>Fuji Slim Jewel Case CD-R</t>
  </si>
  <si>
    <t>Staples 1 Part Blank Computer Paper</t>
  </si>
  <si>
    <t>Xerox 1891</t>
  </si>
  <si>
    <t>PL-2012-087743</t>
  </si>
  <si>
    <t>K00477</t>
  </si>
  <si>
    <t>Grzegorz Jaromin</t>
  </si>
  <si>
    <t>Czernikowo</t>
  </si>
  <si>
    <t>87-640</t>
  </si>
  <si>
    <t>Newell 315</t>
  </si>
  <si>
    <t>PL-2012-087752</t>
  </si>
  <si>
    <t>K01711</t>
  </si>
  <si>
    <t>Jadwiga Kuczyńska</t>
  </si>
  <si>
    <t>Rzepin</t>
  </si>
  <si>
    <t>69-110</t>
  </si>
  <si>
    <t>Hon Deluxe Fabric Upholstered Stacking Chairs, Rounded Back</t>
  </si>
  <si>
    <t>PL-2013-087763</t>
  </si>
  <si>
    <t>K01978</t>
  </si>
  <si>
    <t>Grzegorz Kowalczyk</t>
  </si>
  <si>
    <t>Śrem</t>
  </si>
  <si>
    <t>63-100</t>
  </si>
  <si>
    <t>Riverside Palais Royal Lawyers Bookcase, Royale Cherry Finish</t>
  </si>
  <si>
    <t>Advantus Panel Wall Acrylic Frame</t>
  </si>
  <si>
    <t>K01979</t>
  </si>
  <si>
    <t>Barbara Szczerkowska</t>
  </si>
  <si>
    <t>Jabłonowo Pomorskie</t>
  </si>
  <si>
    <t>87-330</t>
  </si>
  <si>
    <t>PL-2013-087766</t>
  </si>
  <si>
    <t>K00683</t>
  </si>
  <si>
    <t>Józef Robak</t>
  </si>
  <si>
    <t>Avery 504</t>
  </si>
  <si>
    <t>PL-2012-087767</t>
  </si>
  <si>
    <t>K01145</t>
  </si>
  <si>
    <t>Iwona Skawińska</t>
  </si>
  <si>
    <t>Młodzieszyn</t>
  </si>
  <si>
    <t>96-512</t>
  </si>
  <si>
    <t>*Staples* Letter Opener</t>
  </si>
  <si>
    <t>PL-2014-087783</t>
  </si>
  <si>
    <t>K02591</t>
  </si>
  <si>
    <t>Irena Łęcka</t>
  </si>
  <si>
    <t>Wleń</t>
  </si>
  <si>
    <t>59-610</t>
  </si>
  <si>
    <t>While You Were Out Pads, 50 per Pad, 4 x 5 1/4, Green Cycle</t>
  </si>
  <si>
    <t>PL-2012-087785</t>
  </si>
  <si>
    <t>K01542</t>
  </si>
  <si>
    <t>Dariusz Dutkiewicz</t>
  </si>
  <si>
    <t>Kuźnica</t>
  </si>
  <si>
    <t>16-123</t>
  </si>
  <si>
    <t>Fuji 5.2GB DVD-RAM</t>
  </si>
  <si>
    <t>PL-2012-087791</t>
  </si>
  <si>
    <t>K02447</t>
  </si>
  <si>
    <t>Karina Królicka</t>
  </si>
  <si>
    <t>Witkowo</t>
  </si>
  <si>
    <t>62-230</t>
  </si>
  <si>
    <t>Hon Non-Folding Utility Tables</t>
  </si>
  <si>
    <t>Accessory13</t>
  </si>
  <si>
    <t>PL-2013-087802</t>
  </si>
  <si>
    <t>K03302</t>
  </si>
  <si>
    <t>Krzysztof Kłoda</t>
  </si>
  <si>
    <t>Strzyżów</t>
  </si>
  <si>
    <t>38-100</t>
  </si>
  <si>
    <t>Sanyo 2.5 Cubic Foot Mid-Size Office Refrigerators</t>
  </si>
  <si>
    <t>PL-2013-087806</t>
  </si>
  <si>
    <t>K00401</t>
  </si>
  <si>
    <t>Marianna Lorent</t>
  </si>
  <si>
    <t>Lidzbark</t>
  </si>
  <si>
    <t>13-230</t>
  </si>
  <si>
    <t>PL-2012-086521</t>
  </si>
  <si>
    <t>PL-2014-086496</t>
  </si>
  <si>
    <t>Accessory8</t>
  </si>
  <si>
    <t>K03166</t>
  </si>
  <si>
    <t>Nikodem Stasik</t>
  </si>
  <si>
    <t>Szamotuły</t>
  </si>
  <si>
    <t>64-500</t>
  </si>
  <si>
    <t>T39m</t>
  </si>
  <si>
    <t>PL-2014-087103</t>
  </si>
  <si>
    <t>Atlantic Metals Mobile 3-Shelf Bookcases, Custom Colors</t>
  </si>
  <si>
    <t>PL-2012-087815</t>
  </si>
  <si>
    <t>K00695</t>
  </si>
  <si>
    <t>Isadora Freyer</t>
  </si>
  <si>
    <t>Stanisławów</t>
  </si>
  <si>
    <t>05-304</t>
  </si>
  <si>
    <t>StarTAC 7760</t>
  </si>
  <si>
    <t>PL-2011-087823</t>
  </si>
  <si>
    <t>K01614</t>
  </si>
  <si>
    <t>Marcin Zarzycki</t>
  </si>
  <si>
    <t>Uchanie</t>
  </si>
  <si>
    <t>22-510</t>
  </si>
  <si>
    <t>TDK 4.7GB DVD-R Spindle, 15/Pack</t>
  </si>
  <si>
    <t>PL-2011-087135</t>
  </si>
  <si>
    <t>PL-2012-087438</t>
  </si>
  <si>
    <t>Staples Bulldog Clip</t>
  </si>
  <si>
    <t>Multi-Use Personal File Cart and Caster Set, Three Stacking Bins</t>
  </si>
  <si>
    <t>PL-2011-087831</t>
  </si>
  <si>
    <t>K02667</t>
  </si>
  <si>
    <t>Piotr Niemczyk</t>
  </si>
  <si>
    <t>Brusy</t>
  </si>
  <si>
    <t>89-632</t>
  </si>
  <si>
    <t>Kensington 6 Outlet MasterPiece® HOMEOFFICE Power Control Center</t>
  </si>
  <si>
    <t>Xerox 1938</t>
  </si>
  <si>
    <t>PL-2014-087843</t>
  </si>
  <si>
    <t>K01571</t>
  </si>
  <si>
    <t>Marcin Kwiatkowski</t>
  </si>
  <si>
    <t>Rytro</t>
  </si>
  <si>
    <t>33-343</t>
  </si>
  <si>
    <t>Xerox 1904</t>
  </si>
  <si>
    <t>PL-2011-087846</t>
  </si>
  <si>
    <t>K01041</t>
  </si>
  <si>
    <t>Beata Rybczyńska</t>
  </si>
  <si>
    <t>Wołczyn</t>
  </si>
  <si>
    <t>46-250</t>
  </si>
  <si>
    <t>Fellowes Smart Design 104-Key Enhanced Keyboard, PS/2 Adapter, Platinum</t>
  </si>
  <si>
    <t>Avery 48</t>
  </si>
  <si>
    <t>PL-2013-087857</t>
  </si>
  <si>
    <t>K01792</t>
  </si>
  <si>
    <t>Teresa Halasz</t>
  </si>
  <si>
    <t>Jeleśnia</t>
  </si>
  <si>
    <t>34-340</t>
  </si>
  <si>
    <t>PL-2013-087871</t>
  </si>
  <si>
    <t>K02109</t>
  </si>
  <si>
    <t>Ryszard Kusyk</t>
  </si>
  <si>
    <t>Kosów Lacki</t>
  </si>
  <si>
    <t>08-330</t>
  </si>
  <si>
    <t>PL-2012-087744</t>
  </si>
  <si>
    <t>Belkin ErgoBoard™ Keyboard</t>
  </si>
  <si>
    <t>PL-2011-087570</t>
  </si>
  <si>
    <t>Wilson Jones Custom Binder Spines &amp; Labels</t>
  </si>
  <si>
    <t>Sharp 1540cs Digital Laser Copier</t>
  </si>
  <si>
    <t>Boston 16801 Nautilus™ Battery Pencil Sharpener</t>
  </si>
  <si>
    <t>PL-2011-087877</t>
  </si>
  <si>
    <t>K01250</t>
  </si>
  <si>
    <t>Grzegorz Kupisz</t>
  </si>
  <si>
    <t>Międzylesie</t>
  </si>
  <si>
    <t>57-530</t>
  </si>
  <si>
    <t>Avery Binder Labels</t>
  </si>
  <si>
    <t>Hon Every-Day® Chair Series Swivel Task Chairs</t>
  </si>
  <si>
    <t>IBM Multi-Purpose Copy Paper, 8 1/2 x 11", Case</t>
  </si>
  <si>
    <t>PL-2011-087884</t>
  </si>
  <si>
    <t>K02840</t>
  </si>
  <si>
    <t>Beata Mokrzycka</t>
  </si>
  <si>
    <t>Łosice</t>
  </si>
  <si>
    <t>08-200</t>
  </si>
  <si>
    <t>Panasonic KP-310 Heavy-Duty Electric Pencil Sharpener</t>
  </si>
  <si>
    <t>PL-2011-087889</t>
  </si>
  <si>
    <t>K02097</t>
  </si>
  <si>
    <t>Małgorzata Puława</t>
  </si>
  <si>
    <t>Chorzele</t>
  </si>
  <si>
    <t>06-330</t>
  </si>
  <si>
    <t>Gyration Ultra Professional Cordless Optical Suite</t>
  </si>
  <si>
    <t>K02098</t>
  </si>
  <si>
    <t>Andrzej Jaskulski</t>
  </si>
  <si>
    <t>Puck</t>
  </si>
  <si>
    <t>84-100</t>
  </si>
  <si>
    <t>PL-2011-087885</t>
  </si>
  <si>
    <t>Artistic Insta-Plaque</t>
  </si>
  <si>
    <t>GE 4 Foot Flourescent Tube, 40 Watt</t>
  </si>
  <si>
    <t>Xerox 1892</t>
  </si>
  <si>
    <t>PL-2013-087902</t>
  </si>
  <si>
    <t>K02820</t>
  </si>
  <si>
    <t>Rafał Rosołowski</t>
  </si>
  <si>
    <t>Bobrowo</t>
  </si>
  <si>
    <t>87-327</t>
  </si>
  <si>
    <t>Tennsco Double-Tier Lockers</t>
  </si>
  <si>
    <t>PL-2014-086919</t>
  </si>
  <si>
    <t>Eldon Advantage® Chair Mats for Low to Medium Pile Carpets</t>
  </si>
  <si>
    <t>PL-2012-087890</t>
  </si>
  <si>
    <t>K02099</t>
  </si>
  <si>
    <t>Ewa Włodyka</t>
  </si>
  <si>
    <t>Pysznica</t>
  </si>
  <si>
    <t>37-403</t>
  </si>
  <si>
    <t>PL-2011-087905</t>
  </si>
  <si>
    <t>K00411</t>
  </si>
  <si>
    <t>Małgorzata Chatłas</t>
  </si>
  <si>
    <t>Nowy Sącz</t>
  </si>
  <si>
    <t>33-300</t>
  </si>
  <si>
    <t>PL-2013-087912</t>
  </si>
  <si>
    <t>K03393</t>
  </si>
  <si>
    <t>Grażyna Dudka</t>
  </si>
  <si>
    <t>Budzyń</t>
  </si>
  <si>
    <t>64-840</t>
  </si>
  <si>
    <t>Office Star - Mid Back Dual function Ergonomic High Back Chair with 2-Way Adjustable Arms</t>
  </si>
  <si>
    <t>PL-2013-087560</t>
  </si>
  <si>
    <t>Fellowes Bankers Box™ Staxonsteel® Drawer File/Stacking System</t>
  </si>
  <si>
    <t>PL-2014-087929</t>
  </si>
  <si>
    <t>K02543</t>
  </si>
  <si>
    <t>Maria Skaba</t>
  </si>
  <si>
    <t>Puławy</t>
  </si>
  <si>
    <t>24-100</t>
  </si>
  <si>
    <t>Xerox 212</t>
  </si>
  <si>
    <t>Decoflex Hanging Personal Folder File</t>
  </si>
  <si>
    <t>PL-2014-085855</t>
  </si>
  <si>
    <t>Epson DFX-8500 Dot Matrix Printer</t>
  </si>
  <si>
    <t>PL-2012-086680</t>
  </si>
  <si>
    <t>PL-2011-087933</t>
  </si>
  <si>
    <t>K03205</t>
  </si>
  <si>
    <t>Tomasz Kwiatkowski</t>
  </si>
  <si>
    <t>Czerwińsk nad Wisłą</t>
  </si>
  <si>
    <t>09-150</t>
  </si>
  <si>
    <t>K03206</t>
  </si>
  <si>
    <t>Piotr Słomski</t>
  </si>
  <si>
    <t>Serock</t>
  </si>
  <si>
    <t>05-140</t>
  </si>
  <si>
    <t>Microsoft Natural Keyboard Elite</t>
  </si>
  <si>
    <t>PL-2013-087508</t>
  </si>
  <si>
    <t>Xerox 1930</t>
  </si>
  <si>
    <t>PL-2012-087942</t>
  </si>
  <si>
    <t>K01135</t>
  </si>
  <si>
    <t>Henryk Michalski</t>
  </si>
  <si>
    <t>Niedźwiedź</t>
  </si>
  <si>
    <t>PL-2013-087948</t>
  </si>
  <si>
    <t>K00065</t>
  </si>
  <si>
    <t>Małgorzata Łuczkiewicz</t>
  </si>
  <si>
    <t>Janów Lubelski</t>
  </si>
  <si>
    <t>23-300</t>
  </si>
  <si>
    <t>iDEN i550</t>
  </si>
  <si>
    <t>K00066</t>
  </si>
  <si>
    <t>Jan Adamczyk</t>
  </si>
  <si>
    <t>Bieruń</t>
  </si>
  <si>
    <t>43-155</t>
  </si>
  <si>
    <t>Multimedia Mailers</t>
  </si>
  <si>
    <t>K00069</t>
  </si>
  <si>
    <t>Krystyna Kościńska</t>
  </si>
  <si>
    <t>Mycielin</t>
  </si>
  <si>
    <t>62-831</t>
  </si>
  <si>
    <t>2160i</t>
  </si>
  <si>
    <t>PL-2013-087960</t>
  </si>
  <si>
    <t>K00637</t>
  </si>
  <si>
    <t>Jan Grudziński</t>
  </si>
  <si>
    <t>Koło</t>
  </si>
  <si>
    <t>62-600</t>
  </si>
  <si>
    <t>PL-2012-087966</t>
  </si>
  <si>
    <t>K02256</t>
  </si>
  <si>
    <t>Marek Pacek</t>
  </si>
  <si>
    <t>Ujsoły</t>
  </si>
  <si>
    <t>34-371</t>
  </si>
  <si>
    <t>PL-2014-086470</t>
  </si>
  <si>
    <t>K02561</t>
  </si>
  <si>
    <t>Mariola Figurska</t>
  </si>
  <si>
    <t>Golczewo</t>
  </si>
  <si>
    <t>72-410</t>
  </si>
  <si>
    <t>Ibico Hi-Tech Manual Binding System</t>
  </si>
  <si>
    <t>PL-2012-087973</t>
  </si>
  <si>
    <t>K03299</t>
  </si>
  <si>
    <t>Marta Łapińska</t>
  </si>
  <si>
    <t>Rajgród</t>
  </si>
  <si>
    <t>19-206</t>
  </si>
  <si>
    <t>PL-2011-087980</t>
  </si>
  <si>
    <t>K00700</t>
  </si>
  <si>
    <t>Janusz Marchewka</t>
  </si>
  <si>
    <t>Pyskowice</t>
  </si>
  <si>
    <t>44-120</t>
  </si>
  <si>
    <t>PL-2013-087331</t>
  </si>
  <si>
    <t>PL-2011-087993</t>
  </si>
  <si>
    <t>K01606</t>
  </si>
  <si>
    <t>Grzegorz Kujda</t>
  </si>
  <si>
    <t>Korczyna</t>
  </si>
  <si>
    <t>38-420</t>
  </si>
  <si>
    <t>Avery Reinforcements for Hole-Punch Pages</t>
  </si>
  <si>
    <t>Polycom ViewStation™ ISDN Videoconferencing Unit</t>
  </si>
  <si>
    <t>PL-2012-086120</t>
  </si>
  <si>
    <t>K02612</t>
  </si>
  <si>
    <t>Zbigniew Kałdus</t>
  </si>
  <si>
    <t>Radowo Małe</t>
  </si>
  <si>
    <t>72-314</t>
  </si>
  <si>
    <t>Hon 4070 Series Pagoda™ Armless Upholstered Stacking Chairs</t>
  </si>
  <si>
    <t>PL-2012-088002</t>
  </si>
  <si>
    <t>K00956</t>
  </si>
  <si>
    <t>Żaneta Pielech</t>
  </si>
  <si>
    <t>Łęknica</t>
  </si>
  <si>
    <t>68-208</t>
  </si>
  <si>
    <t>Xerox 224</t>
  </si>
  <si>
    <t>Boston 16701 Slimline Battery Pencil Sharpener</t>
  </si>
  <si>
    <t>PL-2012-087784</t>
  </si>
  <si>
    <t>K01540</t>
  </si>
  <si>
    <t>Stanisław Kaźmierczyk</t>
  </si>
  <si>
    <t>Libiąż</t>
  </si>
  <si>
    <t>32-590</t>
  </si>
  <si>
    <t>Crayola Anti Dust Chalk, 12/Pack</t>
  </si>
  <si>
    <t>PL-2012-087152</t>
  </si>
  <si>
    <t>Executive Impressions 14" Contract Wall Clock with Quartz Movement</t>
  </si>
  <si>
    <t>Talkabout T8097</t>
  </si>
  <si>
    <t>PL-2014-013284</t>
  </si>
  <si>
    <t>PL-2011-088004</t>
  </si>
  <si>
    <t>K01492</t>
  </si>
  <si>
    <t>Jan Słomiński</t>
  </si>
  <si>
    <t>Brzeźnio</t>
  </si>
  <si>
    <t>98-275</t>
  </si>
  <si>
    <t>Epson C82 Color Inkjet Printer</t>
  </si>
  <si>
    <t>PL-2011-088015</t>
  </si>
  <si>
    <t>K02619</t>
  </si>
  <si>
    <t>Jolanta Jank</t>
  </si>
  <si>
    <t>Jasło</t>
  </si>
  <si>
    <t>38-200</t>
  </si>
  <si>
    <t>PL-2011-088023</t>
  </si>
  <si>
    <t>K00472</t>
  </si>
  <si>
    <t>Arkadiusz Rojek</t>
  </si>
  <si>
    <t>Motorola SB4200 Cable Modem</t>
  </si>
  <si>
    <t>PL-2013-088033</t>
  </si>
  <si>
    <t>K02210</t>
  </si>
  <si>
    <t>Małgorzata Kisielewska</t>
  </si>
  <si>
    <t>Korytnica</t>
  </si>
  <si>
    <t>07-120</t>
  </si>
  <si>
    <t>IBM 3.5" DS/HD IBM Formatted Diskettes, 50/Pack</t>
  </si>
  <si>
    <t>PL-2014-087998</t>
  </si>
  <si>
    <t>Master Big Foot® Doorstop, Beige</t>
  </si>
  <si>
    <t>PL-2012-088042</t>
  </si>
  <si>
    <t>K02058</t>
  </si>
  <si>
    <t>Ewa Czycz</t>
  </si>
  <si>
    <t>Glinojeck</t>
  </si>
  <si>
    <t>06-450</t>
  </si>
  <si>
    <t>PL-2014-088057</t>
  </si>
  <si>
    <t>K00215</t>
  </si>
  <si>
    <t>Monika Grudzińska</t>
  </si>
  <si>
    <t>Piotrków Kujawski</t>
  </si>
  <si>
    <t>88-230</t>
  </si>
  <si>
    <t>Accessory39</t>
  </si>
  <si>
    <t>PL-2011-088061</t>
  </si>
  <si>
    <t>K00463</t>
  </si>
  <si>
    <t>Olga Rzepczyńska</t>
  </si>
  <si>
    <t>Nowogród</t>
  </si>
  <si>
    <t>18-414</t>
  </si>
  <si>
    <t>Economy Rollaway Files</t>
  </si>
  <si>
    <t>PL-2014-088074</t>
  </si>
  <si>
    <t>K02752</t>
  </si>
  <si>
    <t>Marian Lefek</t>
  </si>
  <si>
    <t>Rzewnie</t>
  </si>
  <si>
    <t>06-225</t>
  </si>
  <si>
    <t>Nu-Form 106-Key Ergonomic Keyboard w/ Touchpad</t>
  </si>
  <si>
    <t>PL-2014-088081</t>
  </si>
  <si>
    <t>K00055</t>
  </si>
  <si>
    <t>Mieczysław Dekaban</t>
  </si>
  <si>
    <t>Grodzisk Mazowiecki</t>
  </si>
  <si>
    <t>05-825</t>
  </si>
  <si>
    <t>PL-2014-088090</t>
  </si>
  <si>
    <t>K00443</t>
  </si>
  <si>
    <t>Mateusz Białczak</t>
  </si>
  <si>
    <t>XtraLife® ClearVue™ Slant-D® Ring Binders by Cardinal</t>
  </si>
  <si>
    <t>PL-2013-088097</t>
  </si>
  <si>
    <t>K01561</t>
  </si>
  <si>
    <t>Wiktor Kwarciński</t>
  </si>
  <si>
    <t>Skarszewy</t>
  </si>
  <si>
    <t>83-250</t>
  </si>
  <si>
    <t>Sterling Rubber Bands by Alliance</t>
  </si>
  <si>
    <t>PL-2013-088109</t>
  </si>
  <si>
    <t>K01130</t>
  </si>
  <si>
    <t>Artur Dziwoń</t>
  </si>
  <si>
    <t>Golub-Dobrzyń</t>
  </si>
  <si>
    <t>87-400</t>
  </si>
  <si>
    <t>PL-2013-087252</t>
  </si>
  <si>
    <t>K01747</t>
  </si>
  <si>
    <t>Sylwester Goszkiewicz</t>
  </si>
  <si>
    <t>Kartuzy</t>
  </si>
  <si>
    <t>83-300</t>
  </si>
  <si>
    <t>Panasonic KX-P1131 Dot Matrix Printer</t>
  </si>
  <si>
    <t>REDIFORM Incoming/Outgoing Call Register, 11" X 8 1/2", 100 Messages</t>
  </si>
  <si>
    <t>PL-2014-088125</t>
  </si>
  <si>
    <t>K02727</t>
  </si>
  <si>
    <t>Wioletta Dymecka</t>
  </si>
  <si>
    <t>Nowa Dęba</t>
  </si>
  <si>
    <t>39-460</t>
  </si>
  <si>
    <t>Smead Alpha-Z Color-Coded Name Labels First Letter Starter Set</t>
  </si>
  <si>
    <t>PL-2013-088130</t>
  </si>
  <si>
    <t>K00542</t>
  </si>
  <si>
    <t>Jadwiga Grabowska</t>
  </si>
  <si>
    <t>Gniezno</t>
  </si>
  <si>
    <t>62-200</t>
  </si>
  <si>
    <t>PL-2014-087669</t>
  </si>
  <si>
    <t>PL-2012-088139</t>
  </si>
  <si>
    <t>K02467</t>
  </si>
  <si>
    <t>Marek Leciaho</t>
  </si>
  <si>
    <t>Krzyż Wielkopolski</t>
  </si>
  <si>
    <t>64-761</t>
  </si>
  <si>
    <t>Avery 508</t>
  </si>
  <si>
    <t>PL-2011-088152</t>
  </si>
  <si>
    <t>K00344</t>
  </si>
  <si>
    <t>Grażyna Karpowicz</t>
  </si>
  <si>
    <t>Ozimek</t>
  </si>
  <si>
    <t>46-040</t>
  </si>
  <si>
    <t>Avery Hi-Liter GlideStik Fluorescent Highlighter, Yellow Ink</t>
  </si>
  <si>
    <t>PL-2014-088162</t>
  </si>
  <si>
    <t>K02907</t>
  </si>
  <si>
    <t>Ilona Dadełło</t>
  </si>
  <si>
    <t>Mikstat</t>
  </si>
  <si>
    <t>63-510</t>
  </si>
  <si>
    <t>PL-2014-088171</t>
  </si>
  <si>
    <t>K02289</t>
  </si>
  <si>
    <t>Henryk Broda</t>
  </si>
  <si>
    <t>Kórnik</t>
  </si>
  <si>
    <t>62-035</t>
  </si>
  <si>
    <t>Xerox 1927</t>
  </si>
  <si>
    <t>PL-2013-088179</t>
  </si>
  <si>
    <t>K00673</t>
  </si>
  <si>
    <t>Bożena Szpak</t>
  </si>
  <si>
    <t>Mielno</t>
  </si>
  <si>
    <t>76-032</t>
  </si>
  <si>
    <t>Eldon® Gobal File Keepers</t>
  </si>
  <si>
    <t>PL-2013-088188</t>
  </si>
  <si>
    <t>K01357</t>
  </si>
  <si>
    <t>Zdzisław Twardowski</t>
  </si>
  <si>
    <t>Pasym</t>
  </si>
  <si>
    <t>12-130</t>
  </si>
  <si>
    <t>PL-2013-088193</t>
  </si>
  <si>
    <t>K03068</t>
  </si>
  <si>
    <t>Jan Kolanek</t>
  </si>
  <si>
    <t>Recz</t>
  </si>
  <si>
    <t>73-210</t>
  </si>
  <si>
    <t>DAX Two-Tone Rosewood/Black Document Frame, Desktop, 5 x 7</t>
  </si>
  <si>
    <t>PL-2011-088198</t>
  </si>
  <si>
    <t>K00618</t>
  </si>
  <si>
    <t>Anna Raźna</t>
  </si>
  <si>
    <t>Gdów</t>
  </si>
  <si>
    <t>32-420</t>
  </si>
  <si>
    <t>Acco PRESSTEX® Data Binder with Storage Hooks, Dark Blue, 14 7/8" X 11"</t>
  </si>
  <si>
    <t>1/4 Fold Party Design Invitations &amp; White Envelopes, 24 8-1/2" X 11" Cards, 25 Env./Pack</t>
  </si>
  <si>
    <t>K00617</t>
  </si>
  <si>
    <t>Krzysztof Panek</t>
  </si>
  <si>
    <t>Jordanów Śląski</t>
  </si>
  <si>
    <t>55-040</t>
  </si>
  <si>
    <t>Park Ridge™ Embossed Executive Business Envelopes</t>
  </si>
  <si>
    <t>Iris® 3-Drawer Stacking Bin, Black</t>
  </si>
  <si>
    <t>PL-2011-088205</t>
  </si>
  <si>
    <t>K00101</t>
  </si>
  <si>
    <t>Izabela Małecka</t>
  </si>
  <si>
    <t>Mucharz</t>
  </si>
  <si>
    <t>34-106</t>
  </si>
  <si>
    <t>Belkin 105-Key Black Keyboard</t>
  </si>
  <si>
    <t>K00109</t>
  </si>
  <si>
    <t>Beata Frankowska</t>
  </si>
  <si>
    <t>Gizałki</t>
  </si>
  <si>
    <t>63-308</t>
  </si>
  <si>
    <t>Avery Durable Binders</t>
  </si>
  <si>
    <t>PL-2012-088215</t>
  </si>
  <si>
    <t>K01378</t>
  </si>
  <si>
    <t>Mirosława Butryn</t>
  </si>
  <si>
    <t>Skała</t>
  </si>
  <si>
    <t>32-043</t>
  </si>
  <si>
    <t>PL-2011-088220</t>
  </si>
  <si>
    <t>K02049</t>
  </si>
  <si>
    <t>Sylwia Legieć</t>
  </si>
  <si>
    <t>Zbąszynek</t>
  </si>
  <si>
    <t>66-210</t>
  </si>
  <si>
    <t>Memorex 4.7GB DVD+R, 3/Pack</t>
  </si>
  <si>
    <t>PL-2011-088232</t>
  </si>
  <si>
    <t>K01351</t>
  </si>
  <si>
    <t>Marcin Wyder</t>
  </si>
  <si>
    <t>Sieraków</t>
  </si>
  <si>
    <t>64-410</t>
  </si>
  <si>
    <t>LX 677</t>
  </si>
  <si>
    <t>PL-2013-088247</t>
  </si>
  <si>
    <t>K03076</t>
  </si>
  <si>
    <t>Andrzej Przeździęk</t>
  </si>
  <si>
    <t>Szadek</t>
  </si>
  <si>
    <t>98-240</t>
  </si>
  <si>
    <t>Perma STOR-ALL™ Hanging File Box, 13 1/8"W x 12 1/4"D x 10 1/2"H</t>
  </si>
  <si>
    <t>PL-2012-088254</t>
  </si>
  <si>
    <t>K03116</t>
  </si>
  <si>
    <t>Halina Kmita</t>
  </si>
  <si>
    <t>Łaszczów</t>
  </si>
  <si>
    <t>22-650</t>
  </si>
  <si>
    <t>Accessory32</t>
  </si>
  <si>
    <t>StarTAC 7797</t>
  </si>
  <si>
    <t>PL-2012-088259</t>
  </si>
  <si>
    <t>K01789</t>
  </si>
  <si>
    <t>Janina Chrystofiak</t>
  </si>
  <si>
    <t>Teresin</t>
  </si>
  <si>
    <t>05-340</t>
  </si>
  <si>
    <t>PL-2013-088271</t>
  </si>
  <si>
    <t>K02358</t>
  </si>
  <si>
    <t>Krystyna Rogoża</t>
  </si>
  <si>
    <t>Sopot</t>
  </si>
  <si>
    <t>81-747</t>
  </si>
  <si>
    <t>PL-2011-088282</t>
  </si>
  <si>
    <t>K02858</t>
  </si>
  <si>
    <t>Józef Łuszczek</t>
  </si>
  <si>
    <t>Wisznice</t>
  </si>
  <si>
    <t>21-580</t>
  </si>
  <si>
    <t>Catalog Binders with Expanding Posts</t>
  </si>
  <si>
    <t>Newell 318</t>
  </si>
  <si>
    <t>PL-2012-088300</t>
  </si>
  <si>
    <t>K02577</t>
  </si>
  <si>
    <t>Robert Mikołajczyk</t>
  </si>
  <si>
    <t>Kutno</t>
  </si>
  <si>
    <t>99-300</t>
  </si>
  <si>
    <t>PL-2014-088318</t>
  </si>
  <si>
    <t>K01386</t>
  </si>
  <si>
    <t>Marcin Rusinek</t>
  </si>
  <si>
    <t>Brańszczyk</t>
  </si>
  <si>
    <t>07-221</t>
  </si>
  <si>
    <t>PL-2011-087426</t>
  </si>
  <si>
    <t>K01557</t>
  </si>
  <si>
    <t>Mirosław Napieracz</t>
  </si>
  <si>
    <t>Dąbrówka</t>
  </si>
  <si>
    <t>26-800</t>
  </si>
  <si>
    <t>PL-2014-088325</t>
  </si>
  <si>
    <t>K02499</t>
  </si>
  <si>
    <t>Andrzej Basarab</t>
  </si>
  <si>
    <t>Łukowa</t>
  </si>
  <si>
    <t>23-412</t>
  </si>
  <si>
    <t>PL-2013-088131</t>
  </si>
  <si>
    <t>PL-2013-088333</t>
  </si>
  <si>
    <t>K03241</t>
  </si>
  <si>
    <t>Joanna Jemilianowicz</t>
  </si>
  <si>
    <t>Lipsko</t>
  </si>
  <si>
    <t>27-300</t>
  </si>
  <si>
    <t>Eldon® 500 Class™ Desk Accessories</t>
  </si>
  <si>
    <t>PL-2011-088279</t>
  </si>
  <si>
    <t>PL-2013-088344</t>
  </si>
  <si>
    <t>K01952</t>
  </si>
  <si>
    <t>Andrzej Danielewicz</t>
  </si>
  <si>
    <t>Raszków</t>
  </si>
  <si>
    <t>63-440</t>
  </si>
  <si>
    <t>Xerox 1881</t>
  </si>
  <si>
    <t>PL-2014-088218</t>
  </si>
  <si>
    <t>Binder Posts</t>
  </si>
  <si>
    <t>K01377</t>
  </si>
  <si>
    <t>Jan Ziętek</t>
  </si>
  <si>
    <t>Burzenin</t>
  </si>
  <si>
    <t>98-260</t>
  </si>
  <si>
    <t>PL-2014-088358</t>
  </si>
  <si>
    <t>K02088</t>
  </si>
  <si>
    <t>Wojciech Niechajczyk</t>
  </si>
  <si>
    <t>Pieszyce</t>
  </si>
  <si>
    <t>58-250</t>
  </si>
  <si>
    <t>Acco Pressboard Covers with Storage Hooks, 14 7/8" x 11", Dark Blue</t>
  </si>
  <si>
    <t>PL-2011-088361</t>
  </si>
  <si>
    <t>K00188</t>
  </si>
  <si>
    <t>Stefan Romecki</t>
  </si>
  <si>
    <t>Gościeradów</t>
  </si>
  <si>
    <t>23-275</t>
  </si>
  <si>
    <t>Riverleaf Stik-Withit® Designer Note Cubes®</t>
  </si>
  <si>
    <t>Newell 323</t>
  </si>
  <si>
    <t>PL-2012-088370</t>
  </si>
  <si>
    <t>K02015</t>
  </si>
  <si>
    <t>Lech Żuromski</t>
  </si>
  <si>
    <t>Sierakowice</t>
  </si>
  <si>
    <t>83-340</t>
  </si>
  <si>
    <t>DAX Copper Panel Document Frame, 5 x 7 Size</t>
  </si>
  <si>
    <t>PL-2013-088304</t>
  </si>
  <si>
    <t>Staples 4 Outlet Surge Protector</t>
  </si>
  <si>
    <t>Keytronic French Keyboard</t>
  </si>
  <si>
    <t>Lexmark Z54se Color Inkjet Printer</t>
  </si>
  <si>
    <t>PL-2011-088371</t>
  </si>
  <si>
    <t>K01008</t>
  </si>
  <si>
    <t>Piotr Piwoni</t>
  </si>
  <si>
    <t>Szelków</t>
  </si>
  <si>
    <t>06-220</t>
  </si>
  <si>
    <t>Self-Adhesive Removable Labels</t>
  </si>
  <si>
    <t>PL-2012-088379</t>
  </si>
  <si>
    <t>K01507</t>
  </si>
  <si>
    <t>Tomasz Karkoszka</t>
  </si>
  <si>
    <t>Mrocza</t>
  </si>
  <si>
    <t>89-115</t>
  </si>
  <si>
    <t>Avanti 1.7 Cu. Ft. Refrigerator</t>
  </si>
  <si>
    <t>Global Leather Task Chair, Black</t>
  </si>
  <si>
    <t>PL-2012-087592</t>
  </si>
  <si>
    <t>Staples Brown Kraft Recycled Clasp Envelopes</t>
  </si>
  <si>
    <t>PL-2013-088385</t>
  </si>
  <si>
    <t>K03086</t>
  </si>
  <si>
    <t>Andrzej Goryń</t>
  </si>
  <si>
    <t>Koźmin Wielkopolski</t>
  </si>
  <si>
    <t>63-720</t>
  </si>
  <si>
    <t>PL-2012-087833</t>
  </si>
  <si>
    <t>K02668</t>
  </si>
  <si>
    <t>Bartłomiej Grzesiak</t>
  </si>
  <si>
    <t>Wasilków</t>
  </si>
  <si>
    <t>16-010</t>
  </si>
  <si>
    <t>KH 688</t>
  </si>
  <si>
    <t>PL-2011-086013</t>
  </si>
  <si>
    <t>K00451</t>
  </si>
  <si>
    <t>Krzysztof Motyliński</t>
  </si>
  <si>
    <t>Krzykosy</t>
  </si>
  <si>
    <t>62-650</t>
  </si>
  <si>
    <t>GBC Instant Index™ System for Binding Systems</t>
  </si>
  <si>
    <t>Avery 514</t>
  </si>
  <si>
    <t>PL-2014-088400</t>
  </si>
  <si>
    <t>K01015</t>
  </si>
  <si>
    <t>Urszula Sroka</t>
  </si>
  <si>
    <t>Alwernia</t>
  </si>
  <si>
    <t>32-566</t>
  </si>
  <si>
    <t>Hon Multipurpose Stacking Arm Chairs</t>
  </si>
  <si>
    <t>PL-2011-088403</t>
  </si>
  <si>
    <t>K02114</t>
  </si>
  <si>
    <t>Iwona Obel</t>
  </si>
  <si>
    <t>Świdnica</t>
  </si>
  <si>
    <t>58-100</t>
  </si>
  <si>
    <t>Sanford Liquid Accent Highlighters</t>
  </si>
  <si>
    <t>PL-2014-086857</t>
  </si>
  <si>
    <t>K01852</t>
  </si>
  <si>
    <t>Paulina Matejek</t>
  </si>
  <si>
    <t>Andrychów</t>
  </si>
  <si>
    <t>34-120</t>
  </si>
  <si>
    <t>Eldon® Wave Desk Accessories</t>
  </si>
  <si>
    <t>K01856</t>
  </si>
  <si>
    <t>Jadwiga Jasińska</t>
  </si>
  <si>
    <t>Irządze</t>
  </si>
  <si>
    <t>42-446</t>
  </si>
  <si>
    <t>Soundgear Copyboard Conference Phone, Optional Battery</t>
  </si>
  <si>
    <t>K01858</t>
  </si>
  <si>
    <t>Laura Rymaszewska</t>
  </si>
  <si>
    <t>Słubice</t>
  </si>
  <si>
    <t>69-100</t>
  </si>
  <si>
    <t>PL-2014-086247</t>
  </si>
  <si>
    <t>Timeport L7089</t>
  </si>
  <si>
    <t>PL-2014-088415</t>
  </si>
  <si>
    <t>K01273</t>
  </si>
  <si>
    <t>Marcin Kucharski</t>
  </si>
  <si>
    <t>Subkowy</t>
  </si>
  <si>
    <t>83-110</t>
  </si>
  <si>
    <t>Xerox 2</t>
  </si>
  <si>
    <t>K01275</t>
  </si>
  <si>
    <t>Paulina Mikołajczyk</t>
  </si>
  <si>
    <t>Łomża</t>
  </si>
  <si>
    <t>18-400</t>
  </si>
  <si>
    <t>PL-2014-086660</t>
  </si>
  <si>
    <t>Newell 35</t>
  </si>
  <si>
    <t>PL-2012-088419</t>
  </si>
  <si>
    <t>K02127</t>
  </si>
  <si>
    <t>Michał Bamburak</t>
  </si>
  <si>
    <t>Zakopane</t>
  </si>
  <si>
    <t>34-500</t>
  </si>
  <si>
    <t>Acco® Hot Clips™ Clips to Go</t>
  </si>
  <si>
    <t>PL-2012-088423</t>
  </si>
  <si>
    <t>K01244</t>
  </si>
  <si>
    <t>Irena Kilimnik</t>
  </si>
  <si>
    <t>Radzyń Podlaski</t>
  </si>
  <si>
    <t>21-300</t>
  </si>
  <si>
    <t>Deflect-o SuperTray™ Unbreakable Stackable Tray, Letter, Black</t>
  </si>
  <si>
    <t>PL-2011-088426</t>
  </si>
  <si>
    <t>K00052</t>
  </si>
  <si>
    <t>Grzegorz Kostecki</t>
  </si>
  <si>
    <t>Tolkmicko</t>
  </si>
  <si>
    <t>82-340</t>
  </si>
  <si>
    <t>K00053</t>
  </si>
  <si>
    <t>Agnieszka Drobinska</t>
  </si>
  <si>
    <t>Przysucha</t>
  </si>
  <si>
    <t>26-400</t>
  </si>
  <si>
    <t>Xerox 1903</t>
  </si>
  <si>
    <t>PL-2013-088431</t>
  </si>
  <si>
    <t>K01942</t>
  </si>
  <si>
    <t>Magdalena Grzywacz</t>
  </si>
  <si>
    <t>Biała Piska</t>
  </si>
  <si>
    <t>12-230</t>
  </si>
  <si>
    <t>Mead 1st Gear 2" Zipper Binder, Asst. Colors</t>
  </si>
  <si>
    <t>PL-2013-086841</t>
  </si>
  <si>
    <t>Xerox 1992</t>
  </si>
  <si>
    <t>PL-2011-087765</t>
  </si>
  <si>
    <t>PL-2012-088434</t>
  </si>
  <si>
    <t>K01002</t>
  </si>
  <si>
    <t>Grażyna Okoniewska</t>
  </si>
  <si>
    <t>Kędzierzyn-Koźle</t>
  </si>
  <si>
    <t>47-200</t>
  </si>
  <si>
    <t>Verbatim DVD-RAM, 9.4GB, Rewritable, Type 1, DS, DataLife Plus</t>
  </si>
  <si>
    <t>Xerox 1898</t>
  </si>
  <si>
    <t>PL-2012-085871</t>
  </si>
  <si>
    <t>Imation Neon Mac Format Diskettes, 10/Pack</t>
  </si>
  <si>
    <t>Xerox 227</t>
  </si>
  <si>
    <t>PL-2011-088404</t>
  </si>
  <si>
    <t>*Staples* Packaging Labels</t>
  </si>
  <si>
    <t>PL-2014-086911</t>
  </si>
  <si>
    <t>PL-2013-088439</t>
  </si>
  <si>
    <t>K03200</t>
  </si>
  <si>
    <t>Artur Pietrzycki</t>
  </si>
  <si>
    <t>Bielawa</t>
  </si>
  <si>
    <t>58-260</t>
  </si>
  <si>
    <t>Eldon Portable Mobile Manager</t>
  </si>
  <si>
    <t>PL-2011-088443</t>
  </si>
  <si>
    <t>K01734</t>
  </si>
  <si>
    <t>Teresa Trojanowska</t>
  </si>
  <si>
    <t>Skołyszyn</t>
  </si>
  <si>
    <t>38-242</t>
  </si>
  <si>
    <t>Fellowes PB500 Electric Punch Plastic Comb Binding Machine with Manual Bind</t>
  </si>
  <si>
    <t>StarTAC 8000</t>
  </si>
  <si>
    <t>PL-2014-088451</t>
  </si>
  <si>
    <t>K03062</t>
  </si>
  <si>
    <t>Krzysztof Tyrpień</t>
  </si>
  <si>
    <t>Kościan</t>
  </si>
  <si>
    <t>64-000</t>
  </si>
  <si>
    <t>12-1/2 Diameter Round Wall Clock</t>
  </si>
  <si>
    <t>Document Clip Frames</t>
  </si>
  <si>
    <t>PL-2012-087384</t>
  </si>
  <si>
    <t>K02605</t>
  </si>
  <si>
    <t>Jerzy Szczubełek</t>
  </si>
  <si>
    <t>Karlino</t>
  </si>
  <si>
    <t>78-230</t>
  </si>
  <si>
    <t>Xerox 1885</t>
  </si>
  <si>
    <t>PL-2012-088453</t>
  </si>
  <si>
    <t>K02404</t>
  </si>
  <si>
    <t>Martyna Jasiak</t>
  </si>
  <si>
    <t>PL-2014-087820</t>
  </si>
  <si>
    <t>K00693</t>
  </si>
  <si>
    <t>Dariusz Szałowiński</t>
  </si>
  <si>
    <t>Białogard</t>
  </si>
  <si>
    <t>78-200</t>
  </si>
  <si>
    <t>Avery Flip-Chart Easel Binder, Black</t>
  </si>
  <si>
    <t>Logitech Cordless Access Keyboard</t>
  </si>
  <si>
    <t>PL-2012-088462</t>
  </si>
  <si>
    <t>K01079</t>
  </si>
  <si>
    <t>Dorota Tujek</t>
  </si>
  <si>
    <t>Uniejów</t>
  </si>
  <si>
    <t>99-210</t>
  </si>
  <si>
    <t>PL-2013-087704</t>
  </si>
  <si>
    <t>PL-2012-088471</t>
  </si>
  <si>
    <t>K01924</t>
  </si>
  <si>
    <t>Krystyna Pasek</t>
  </si>
  <si>
    <t>Unisław</t>
  </si>
  <si>
    <t>86-260</t>
  </si>
  <si>
    <t>Boston 19500 Mighty Mite Electric Pencil Sharpener</t>
  </si>
  <si>
    <t>K01922</t>
  </si>
  <si>
    <t>Jolanta Wencka</t>
  </si>
  <si>
    <t>Janowiec Kościelny</t>
  </si>
  <si>
    <t>13-111</t>
  </si>
  <si>
    <t>PL-2014-088478</t>
  </si>
  <si>
    <t>K00670</t>
  </si>
  <si>
    <t>Katarzyna Gajewska</t>
  </si>
  <si>
    <t>Warlubie</t>
  </si>
  <si>
    <t>86-160</t>
  </si>
  <si>
    <t>Tennsco Lockers, Sand</t>
  </si>
  <si>
    <t>PL-2014-088485</t>
  </si>
  <si>
    <t>K00426</t>
  </si>
  <si>
    <t>Bolesław Łęcki</t>
  </si>
  <si>
    <t>Stalowa Wola</t>
  </si>
  <si>
    <t>37-450</t>
  </si>
  <si>
    <t>PL-2012-086347</t>
  </si>
  <si>
    <t>K03012</t>
  </si>
  <si>
    <t>Jarosław Krześniak</t>
  </si>
  <si>
    <t>Tarnobrzeg</t>
  </si>
  <si>
    <t>39-400</t>
  </si>
  <si>
    <t>*Staples* Highlighting Markers</t>
  </si>
  <si>
    <t>PL-2013-086672</t>
  </si>
  <si>
    <t>Snap-A-Way® Black Print Carbonless Ruled Speed Letter, Triplicate</t>
  </si>
  <si>
    <t>PL-2012-088490</t>
  </si>
  <si>
    <t>K01545</t>
  </si>
  <si>
    <t>Mirosław Turów</t>
  </si>
  <si>
    <t>Józefów nad Wisłą</t>
  </si>
  <si>
    <t>24-340</t>
  </si>
  <si>
    <t>Conquest™ 14 Commercial Heavy-Duty Upright Vacuum, Collection System, Accessory Kit</t>
  </si>
  <si>
    <t>Tennsco Snap-Together Open Shelving Units, Starter Sets and Add-On Units</t>
  </si>
  <si>
    <t>PL-2012-087907</t>
  </si>
  <si>
    <t>K00414</t>
  </si>
  <si>
    <t>Zofia Jezierska</t>
  </si>
  <si>
    <t>Gołcza</t>
  </si>
  <si>
    <t>32-075</t>
  </si>
  <si>
    <t>Home/Office Personal File Carts</t>
  </si>
  <si>
    <t>K00413</t>
  </si>
  <si>
    <t>Wioleta Kozłowska</t>
  </si>
  <si>
    <t>DMI Eclipse Executive Suite Bookcases</t>
  </si>
  <si>
    <t>PL-2012-088505</t>
  </si>
  <si>
    <t>K00688</t>
  </si>
  <si>
    <t>Mirosław Gruchot</t>
  </si>
  <si>
    <t>Krzynowłoga Mała</t>
  </si>
  <si>
    <t>06-316</t>
  </si>
  <si>
    <t>Eldon Cleatmat Plus™ Chair Mats for High Pile Carpets</t>
  </si>
  <si>
    <t>Bevis Rectangular Conference Tables</t>
  </si>
  <si>
    <t>PL-2012-088512</t>
  </si>
  <si>
    <t>K00533</t>
  </si>
  <si>
    <t>Andrzej Maślanka</t>
  </si>
  <si>
    <t>Lelów</t>
  </si>
  <si>
    <t>42-235</t>
  </si>
  <si>
    <t>Xerox 213</t>
  </si>
  <si>
    <t>PL-2014-087055</t>
  </si>
  <si>
    <t>Wilson Jones Hanging View Binder, White, 1"</t>
  </si>
  <si>
    <t>PL-2014-086748</t>
  </si>
  <si>
    <t>Xerox 215</t>
  </si>
  <si>
    <t>Staples Metal Binder Clips</t>
  </si>
  <si>
    <t>PL-2013-086341</t>
  </si>
  <si>
    <t>PL-2014-086394</t>
  </si>
  <si>
    <t>Avery 51</t>
  </si>
  <si>
    <t>PL-2014-086786</t>
  </si>
  <si>
    <t>K01116</t>
  </si>
  <si>
    <t>Gracjan Drabik</t>
  </si>
  <si>
    <t>Oleśnica</t>
  </si>
  <si>
    <t>56-400</t>
  </si>
  <si>
    <t>Staples #10 Laser &amp; Inkjet Envelopes, 4 1/8" x 9 1/2", 100/Box</t>
  </si>
  <si>
    <t>PL-2014-088376</t>
  </si>
  <si>
    <t>K01011</t>
  </si>
  <si>
    <t>Anna Żyłka</t>
  </si>
  <si>
    <t>Przytuły</t>
  </si>
  <si>
    <t>18-420</t>
  </si>
  <si>
    <t>Boston 16765 Mini Stand Up Battery Pencil Sharpener</t>
  </si>
  <si>
    <t>PL-2013-088518</t>
  </si>
  <si>
    <t>K00125</t>
  </si>
  <si>
    <t>Zygmunt Ostrowski</t>
  </si>
  <si>
    <t>Nowa Sarzyna</t>
  </si>
  <si>
    <t>37-310</t>
  </si>
  <si>
    <t>Xerox 1948</t>
  </si>
  <si>
    <t>PL-2013-088525</t>
  </si>
  <si>
    <t>K00002</t>
  </si>
  <si>
    <t>Jacek Muryn</t>
  </si>
  <si>
    <t>Czyżew</t>
  </si>
  <si>
    <t>18-220</t>
  </si>
  <si>
    <t>PL-2013-088530</t>
  </si>
  <si>
    <t>K00223</t>
  </si>
  <si>
    <t>Roman Kostyk</t>
  </si>
  <si>
    <t>Połaniec</t>
  </si>
  <si>
    <t>28-230</t>
  </si>
  <si>
    <t>Microsoft Multimedia Keyboard</t>
  </si>
  <si>
    <t>PL-2014-088537</t>
  </si>
  <si>
    <t>K00138</t>
  </si>
  <si>
    <t>Joanna Hońko</t>
  </si>
  <si>
    <t>Kondratowice</t>
  </si>
  <si>
    <t>57-150</t>
  </si>
  <si>
    <t>PL-2012-087776</t>
  </si>
  <si>
    <t>K02592</t>
  </si>
  <si>
    <t>Helena Elert</t>
  </si>
  <si>
    <t>Dąbrowa Tarnowska</t>
  </si>
  <si>
    <t>33-200</t>
  </si>
  <si>
    <t>PL-2011-088156</t>
  </si>
  <si>
    <t>K02908</t>
  </si>
  <si>
    <t>Czesława Borgul</t>
  </si>
  <si>
    <t>Przyrów</t>
  </si>
  <si>
    <t>42-248</t>
  </si>
  <si>
    <t>Avery 491</t>
  </si>
  <si>
    <t>Executive Impressions 14" Two-Color Numerals Wall Clock</t>
  </si>
  <si>
    <t>PL-2012-087758</t>
  </si>
  <si>
    <t>Hewlett-Packard 4.7GB DVD+R Discs</t>
  </si>
  <si>
    <t>PL-2014-088541</t>
  </si>
  <si>
    <t>K00530</t>
  </si>
  <si>
    <t>Zbigniew Potępa</t>
  </si>
  <si>
    <t>Milanówek</t>
  </si>
  <si>
    <t>05-822</t>
  </si>
  <si>
    <t>Coloredge Poster Frame</t>
  </si>
  <si>
    <t>PL-2014-088551</t>
  </si>
  <si>
    <t>K03151</t>
  </si>
  <si>
    <t>Tomasz Rofka</t>
  </si>
  <si>
    <t>Zarzecze</t>
  </si>
  <si>
    <t>PL-2013-088561</t>
  </si>
  <si>
    <t>K02070</t>
  </si>
  <si>
    <t>Jarosław Mechliński</t>
  </si>
  <si>
    <t>Kleszczele</t>
  </si>
  <si>
    <t>17-250</t>
  </si>
  <si>
    <t>PL-2014-086882</t>
  </si>
  <si>
    <t>Xerox 1947</t>
  </si>
  <si>
    <t>PL-2014-013383</t>
  </si>
  <si>
    <t>Tennsco Commercial Shelving</t>
  </si>
  <si>
    <t>K02011</t>
  </si>
  <si>
    <t>Bogdan Liberra</t>
  </si>
  <si>
    <t>96-314</t>
  </si>
  <si>
    <t>PL-2014-086661</t>
  </si>
  <si>
    <t>Eldon Regeneration Recycled Desk Accessories, Smoke</t>
  </si>
  <si>
    <t>PL-2011-085916</t>
  </si>
  <si>
    <t>Avery 4027 File Folder Labels for Dot Matrix Printers, 5000 Labels per Box, White</t>
  </si>
  <si>
    <t>PL-2013-088573</t>
  </si>
  <si>
    <t>K00850</t>
  </si>
  <si>
    <t>Dariusz Szalla</t>
  </si>
  <si>
    <t>Obryte</t>
  </si>
  <si>
    <t>07-215</t>
  </si>
  <si>
    <t>Sanford 52201 APSCO Electric Pencil Sharpener</t>
  </si>
  <si>
    <t>PL-2011-086076</t>
  </si>
  <si>
    <t>K01237</t>
  </si>
  <si>
    <t>Maciej Bałdyga</t>
  </si>
  <si>
    <t>Bartoszyce</t>
  </si>
  <si>
    <t>11-200</t>
  </si>
  <si>
    <t>PL-2012-088581</t>
  </si>
  <si>
    <t>K01927</t>
  </si>
  <si>
    <t>Monika Majcher</t>
  </si>
  <si>
    <t>Barczewo</t>
  </si>
  <si>
    <t>11-010</t>
  </si>
  <si>
    <t>Crate-A-Files™</t>
  </si>
  <si>
    <t>PL-2013-088158</t>
  </si>
  <si>
    <t>PL-2011-088588</t>
  </si>
  <si>
    <t>K03356</t>
  </si>
  <si>
    <t>Halina Samek</t>
  </si>
  <si>
    <t>Linia</t>
  </si>
  <si>
    <t>84-223</t>
  </si>
  <si>
    <t>Pressboard Data Binder, Crimson, 12" X 8 1/2"</t>
  </si>
  <si>
    <t>PL-2011-013408</t>
  </si>
  <si>
    <t>Tenex Traditional Chairmats for Medium Pile Carpet, Standard Lip, 36" x 48"</t>
  </si>
  <si>
    <t>PL-2014-086542</t>
  </si>
  <si>
    <t>PL-2014-088608</t>
  </si>
  <si>
    <t>K01211</t>
  </si>
  <si>
    <t>Piotr Kalisz</t>
  </si>
  <si>
    <t>Mielec</t>
  </si>
  <si>
    <t>39-300</t>
  </si>
  <si>
    <t>GBC DocuBind P100 Manual Binding Machine</t>
  </si>
  <si>
    <t>PL-2013-088614</t>
  </si>
  <si>
    <t>K02962</t>
  </si>
  <si>
    <t>Anna Siwek</t>
  </si>
  <si>
    <t>Obrowo</t>
  </si>
  <si>
    <t>87-123</t>
  </si>
  <si>
    <t>Executive Impressions 13" Chairman Wall Clock</t>
  </si>
  <si>
    <t>Boston 1730 StandUp Electric Pencil Sharpener</t>
  </si>
  <si>
    <t>PL-2011-086901</t>
  </si>
  <si>
    <t>K03154</t>
  </si>
  <si>
    <t>Tomasz Antonyk</t>
  </si>
  <si>
    <t>Płośnica</t>
  </si>
  <si>
    <t>13-206</t>
  </si>
  <si>
    <t>PL-2011-088598</t>
  </si>
  <si>
    <t>PL-2012-088620</t>
  </si>
  <si>
    <t>K02321</t>
  </si>
  <si>
    <t>Ryszard Czepulonis</t>
  </si>
  <si>
    <t>Goraj</t>
  </si>
  <si>
    <t>23-450</t>
  </si>
  <si>
    <t>Master Giant Foot® Doorstop, Safety Yellow</t>
  </si>
  <si>
    <t>PL-2012-088624</t>
  </si>
  <si>
    <t>K02966</t>
  </si>
  <si>
    <t>Marzenna Zajączkowska</t>
  </si>
  <si>
    <t>Jelenia Góra</t>
  </si>
  <si>
    <t>58-560</t>
  </si>
  <si>
    <t>PL-2013-088159</t>
  </si>
  <si>
    <t>PL-2011-087908</t>
  </si>
  <si>
    <t>StarTAC 3000</t>
  </si>
  <si>
    <t>PL-2014-087480</t>
  </si>
  <si>
    <t>Canon BP1200DH 12-Digit Bubble Jet Printing Calculator</t>
  </si>
  <si>
    <t>PL-2011-088626</t>
  </si>
  <si>
    <t>K02880</t>
  </si>
  <si>
    <t>Marian Wiśniewski</t>
  </si>
  <si>
    <t>Skępe</t>
  </si>
  <si>
    <t>87-630</t>
  </si>
  <si>
    <t>HP Office Paper (20Lb. and 87 Bright)</t>
  </si>
  <si>
    <t>PL-2012-085917</t>
  </si>
  <si>
    <t>K02629</t>
  </si>
  <si>
    <t>Dorota Szajnowska</t>
  </si>
  <si>
    <t>Knyszyn</t>
  </si>
  <si>
    <t>19-120</t>
  </si>
  <si>
    <t>EcoTones® Memo Sheets</t>
  </si>
  <si>
    <t>PL-2011-088185</t>
  </si>
  <si>
    <t>Epson C62 Color Inkjet Printer</t>
  </si>
  <si>
    <t>PL-2014-088292</t>
  </si>
  <si>
    <t>K02859</t>
  </si>
  <si>
    <t>Marzena Stachnio</t>
  </si>
  <si>
    <t>Szczytno</t>
  </si>
  <si>
    <t>12-100</t>
  </si>
  <si>
    <t>DAX Contemporary Wood Frame with Silver Metal Mat, Desktop, 11 x 14 Size</t>
  </si>
  <si>
    <t>PL-2013-088639</t>
  </si>
  <si>
    <t>K01021</t>
  </si>
  <si>
    <t>Katarzyna Domańska</t>
  </si>
  <si>
    <t>Tuchomie</t>
  </si>
  <si>
    <t>77-133</t>
  </si>
  <si>
    <t>Satellite Sectional Post Binders</t>
  </si>
  <si>
    <t>PL-2012-088651</t>
  </si>
  <si>
    <t>K00585</t>
  </si>
  <si>
    <t>Katarzyna Nowicka</t>
  </si>
  <si>
    <t>PL-2014-086811</t>
  </si>
  <si>
    <t>K03172</t>
  </si>
  <si>
    <t>Jerzy Filipczak</t>
  </si>
  <si>
    <t>36-041</t>
  </si>
  <si>
    <t>Tyvek® Side-Opening Peel &amp; Seel® Expanding Envelopes</t>
  </si>
  <si>
    <t>PL-2011-087964</t>
  </si>
  <si>
    <t>Novimex Turbo Task Chair</t>
  </si>
  <si>
    <t>PL-2012-088659</t>
  </si>
  <si>
    <t>K02550</t>
  </si>
  <si>
    <t>Mieczysław Sandorski</t>
  </si>
  <si>
    <t>Krościenko Wyżne</t>
  </si>
  <si>
    <t>38-422</t>
  </si>
  <si>
    <t>80 Minute Slim Jewel Case CD-R , 10/Pack - Staples</t>
  </si>
  <si>
    <t>#10 White Business Envelopes,4 1/8 x 9 1/2</t>
  </si>
  <si>
    <t>PL-2012-088381</t>
  </si>
  <si>
    <t>PL-2012-086976</t>
  </si>
  <si>
    <t>PL-2013-087049</t>
  </si>
  <si>
    <t>K02999</t>
  </si>
  <si>
    <t>Jerzy Nowicki</t>
  </si>
  <si>
    <t>Rymań</t>
  </si>
  <si>
    <t>78-125</t>
  </si>
  <si>
    <t>Imation 3.5" DS-HD Macintosh Formatted Diskettes, 10/Pack</t>
  </si>
  <si>
    <t>Project Tote Personal File</t>
  </si>
  <si>
    <t>PL-2011-088667</t>
  </si>
  <si>
    <t>K00770</t>
  </si>
  <si>
    <t>Andrzej Jacyna</t>
  </si>
  <si>
    <t>Stubno</t>
  </si>
  <si>
    <t>37-723</t>
  </si>
  <si>
    <t>K00771</t>
  </si>
  <si>
    <t>Ewa Jakubowska</t>
  </si>
  <si>
    <t>Acco 6 Outlet Guardian Premium Surge Suppressor</t>
  </si>
  <si>
    <t>Brother DCP1000 Digital 3 in 1 Multifunction Machine</t>
  </si>
  <si>
    <t>PL-2011-088644</t>
  </si>
  <si>
    <t>K00580</t>
  </si>
  <si>
    <t>Tomasz Srebrzyński</t>
  </si>
  <si>
    <t>Accessory6</t>
  </si>
  <si>
    <t>Acme Hot Forged Carbon Steel Scissors with Nickel-Plated Handles, 3 7/8" Cut, 8"L</t>
  </si>
  <si>
    <t>K00578</t>
  </si>
  <si>
    <t>Andrzej Wiśniewski</t>
  </si>
  <si>
    <t>Skarbimierz</t>
  </si>
  <si>
    <t>49-300</t>
  </si>
  <si>
    <t>K00579</t>
  </si>
  <si>
    <t>Dorota Szczęsna</t>
  </si>
  <si>
    <t>Mochowo</t>
  </si>
  <si>
    <t>09-214</t>
  </si>
  <si>
    <t>Peel &amp; Seel® Recycled Catalog Envelopes, Brown</t>
  </si>
  <si>
    <t>PL-2013-088428</t>
  </si>
  <si>
    <t>Deflect-O® Glasstique™ Clear Desk Accessories</t>
  </si>
  <si>
    <t>PL-2011-088678</t>
  </si>
  <si>
    <t>K00665</t>
  </si>
  <si>
    <t>Krystyna Szameto</t>
  </si>
  <si>
    <t>Reda</t>
  </si>
  <si>
    <t>84-240</t>
  </si>
  <si>
    <t>Office Star - Contemporary Task Swivel chair with 2-way adjustable arms, Plum</t>
  </si>
  <si>
    <t>PL-2012-087168</t>
  </si>
  <si>
    <t>4009® Highlighters by Sanford</t>
  </si>
  <si>
    <t>PL-2013-087232</t>
  </si>
  <si>
    <t>PL-2012-013440</t>
  </si>
  <si>
    <t>K01682</t>
  </si>
  <si>
    <t>Iwona Pietrzak</t>
  </si>
  <si>
    <t>90-731</t>
  </si>
  <si>
    <t>Memorex 80 Minute CD-R Spindle, 100/Pack</t>
  </si>
  <si>
    <t>K00221</t>
  </si>
  <si>
    <t>Jakub Florek</t>
  </si>
  <si>
    <t>Kietrz</t>
  </si>
  <si>
    <t>48-130</t>
  </si>
  <si>
    <t>Avery 510</t>
  </si>
  <si>
    <t>PL-2014-088683</t>
  </si>
  <si>
    <t>K00040</t>
  </si>
  <si>
    <t>Krzysztof Sikorski</t>
  </si>
  <si>
    <t>Strzałkowo</t>
  </si>
  <si>
    <t>62-420</t>
  </si>
  <si>
    <t>Iris Project Case</t>
  </si>
  <si>
    <t>PL-2014-088070</t>
  </si>
  <si>
    <t>PL-2011-086163</t>
  </si>
  <si>
    <t>Xerox 220</t>
  </si>
  <si>
    <t>PL-2012-085930</t>
  </si>
  <si>
    <t>Adams Telephone Message Book W/Dividers/Space For Phone Numbers, 5 1/4"X8 1/2", 300/Messages</t>
  </si>
  <si>
    <t>PL-2014-086571</t>
  </si>
  <si>
    <t>PL-2012-088407</t>
  </si>
  <si>
    <t>Newell 338</t>
  </si>
  <si>
    <t>PL-2014-086627</t>
  </si>
  <si>
    <t>K00236</t>
  </si>
  <si>
    <t>Katarzyna Góralska</t>
  </si>
  <si>
    <t>Eldon® 400 Class™ Desk Accessories, Black Carbon</t>
  </si>
  <si>
    <t>PL-2014-013444</t>
  </si>
  <si>
    <t>K02645</t>
  </si>
  <si>
    <t>Marcin Frankiewicz</t>
  </si>
  <si>
    <t>10-203</t>
  </si>
  <si>
    <t>PL-2012-088187</t>
  </si>
  <si>
    <t>PL-2013-088688</t>
  </si>
  <si>
    <t>K00350</t>
  </si>
  <si>
    <t>Edyta Klepczyńska</t>
  </si>
  <si>
    <t>Leśnica</t>
  </si>
  <si>
    <t>47-150</t>
  </si>
  <si>
    <t>PL-2014-087992</t>
  </si>
  <si>
    <t>K00701</t>
  </si>
  <si>
    <t>Sylwester Janiszewski</t>
  </si>
  <si>
    <t>Lędziny</t>
  </si>
  <si>
    <t>43-143</t>
  </si>
  <si>
    <t>PL-2011-088137</t>
  </si>
  <si>
    <t>K02468</t>
  </si>
  <si>
    <t>Tomasz Stanisławczyk</t>
  </si>
  <si>
    <t>Sośnicowice</t>
  </si>
  <si>
    <t>44-153</t>
  </si>
  <si>
    <t>PL-2013-086097</t>
  </si>
  <si>
    <t>K02082</t>
  </si>
  <si>
    <t>Jolanta Szejgiec</t>
  </si>
  <si>
    <t>Białowieża</t>
  </si>
  <si>
    <t>17-230</t>
  </si>
  <si>
    <t>K02079</t>
  </si>
  <si>
    <t>Krzysztof Sobko</t>
  </si>
  <si>
    <t>Siedliszcze</t>
  </si>
  <si>
    <t>22-145</t>
  </si>
  <si>
    <t>PL-2012-088693</t>
  </si>
  <si>
    <t>K02044</t>
  </si>
  <si>
    <t>Andrzej Ryłyk</t>
  </si>
  <si>
    <t>Szklarska Poręba</t>
  </si>
  <si>
    <t>58-580</t>
  </si>
  <si>
    <t>PC Concepts 116 Key Quantum 3000 Keyboard</t>
  </si>
  <si>
    <t>PL-2014-088699</t>
  </si>
  <si>
    <t>K02244</t>
  </si>
  <si>
    <t>Antoni Mońko</t>
  </si>
  <si>
    <t>Majdan Królewski</t>
  </si>
  <si>
    <t>36-110</t>
  </si>
  <si>
    <t>Fellowes Twister Kit, Gray/Clear, 3/pkg</t>
  </si>
  <si>
    <t>Newell 309</t>
  </si>
  <si>
    <t>PL-2014-087339</t>
  </si>
  <si>
    <t>Imation Neon 80 Minute CD-R Spindle, 50/Pack</t>
  </si>
  <si>
    <t>PL-2014-086243</t>
  </si>
  <si>
    <t>K03275</t>
  </si>
  <si>
    <t>Bogumił Gała</t>
  </si>
  <si>
    <t>Krynica Morska</t>
  </si>
  <si>
    <t>82-120</t>
  </si>
  <si>
    <t>Xerox 210</t>
  </si>
  <si>
    <t>PL-2011-086536</t>
  </si>
  <si>
    <t>Letter Slitter</t>
  </si>
  <si>
    <t>PL-2011-087632</t>
  </si>
  <si>
    <t>PL-2014-088712</t>
  </si>
  <si>
    <t>K02712</t>
  </si>
  <si>
    <t>Bogdan Błaszczyk</t>
  </si>
  <si>
    <t>Jedwabne</t>
  </si>
  <si>
    <t>PL-2011-086629</t>
  </si>
  <si>
    <t>Bretford CR8500 Series Meeting Room Furniture</t>
  </si>
  <si>
    <t>PL-2013-088717</t>
  </si>
  <si>
    <t>K02462</t>
  </si>
  <si>
    <t>Maria Makowska</t>
  </si>
  <si>
    <t>Świeradów-Zdrój</t>
  </si>
  <si>
    <t>59-850</t>
  </si>
  <si>
    <t>PL-2014-088725</t>
  </si>
  <si>
    <t>K02324</t>
  </si>
  <si>
    <t>Piotr Buda</t>
  </si>
  <si>
    <t>Blizanów</t>
  </si>
  <si>
    <t>62-814</t>
  </si>
  <si>
    <t>Imation DVD-RAM discs</t>
  </si>
  <si>
    <t>K02325</t>
  </si>
  <si>
    <t>Lucyna Jasek</t>
  </si>
  <si>
    <t>Lubień Kujawski</t>
  </si>
  <si>
    <t>87-840</t>
  </si>
  <si>
    <t>i600</t>
  </si>
  <si>
    <t>K02327</t>
  </si>
  <si>
    <t>Wioletta Lebiedź</t>
  </si>
  <si>
    <t>Kołczygłowy</t>
  </si>
  <si>
    <t>77-140</t>
  </si>
  <si>
    <t>Wilson Jones “Snap” Scratch Pad Binder Tool for Ring Binders</t>
  </si>
  <si>
    <t>PL-2011-088731</t>
  </si>
  <si>
    <t>K01390</t>
  </si>
  <si>
    <t>Lucyna Urbaniak</t>
  </si>
  <si>
    <t>Głogów</t>
  </si>
  <si>
    <t>Wirebound Message Forms, Four 2 3/4 x 5 Forms per Page, Pink Paper</t>
  </si>
  <si>
    <t>T18</t>
  </si>
  <si>
    <t>PL-2012-088482</t>
  </si>
  <si>
    <t>K00427</t>
  </si>
  <si>
    <t>Dariusz Stefański</t>
  </si>
  <si>
    <t>Słupsk</t>
  </si>
  <si>
    <t>76-200</t>
  </si>
  <si>
    <t>Speediset Carbonless Redi-Letter® 7" x 8 1/2"</t>
  </si>
  <si>
    <t>PL-2012-088748</t>
  </si>
  <si>
    <t>K03384</t>
  </si>
  <si>
    <t>Janusz Kostrzewa</t>
  </si>
  <si>
    <t>Sokołów Małopolski</t>
  </si>
  <si>
    <t>36-050</t>
  </si>
  <si>
    <t>*Staples* vLetter Openers, 2/Pack</t>
  </si>
  <si>
    <t>PL-2013-088755</t>
  </si>
  <si>
    <t>K00791</t>
  </si>
  <si>
    <t>Danuta Trocka</t>
  </si>
  <si>
    <t>K00790</t>
  </si>
  <si>
    <t>Andrzej Mozelewski</t>
  </si>
  <si>
    <t>Święciechowa</t>
  </si>
  <si>
    <t>64-115</t>
  </si>
  <si>
    <t>Global Leather and Oak Executive Chair, Black</t>
  </si>
  <si>
    <t>PL-2012-086121</t>
  </si>
  <si>
    <t>K02611</t>
  </si>
  <si>
    <t>Sebastian Ochnio</t>
  </si>
  <si>
    <t>Komarów-Osada</t>
  </si>
  <si>
    <t>22-435</t>
  </si>
  <si>
    <t>Honeywell Enviracaire® Portable Air Cleaner for up to 8 x 10 Room</t>
  </si>
  <si>
    <t>K02614</t>
  </si>
  <si>
    <t>Daniel ŚŚwitoń</t>
  </si>
  <si>
    <t>Miłki</t>
  </si>
  <si>
    <t>11-513</t>
  </si>
  <si>
    <t>Xerox 196</t>
  </si>
  <si>
    <t>PL-2014-088764</t>
  </si>
  <si>
    <t>K02790</t>
  </si>
  <si>
    <t>Roman Ciarka</t>
  </si>
  <si>
    <t>Krapkowice</t>
  </si>
  <si>
    <t>47-300</t>
  </si>
  <si>
    <t>Letter Size Cart</t>
  </si>
  <si>
    <t>PL-2014-087764</t>
  </si>
  <si>
    <t>PL-2012-088769</t>
  </si>
  <si>
    <t>K02720</t>
  </si>
  <si>
    <t>Marek Pawelczak</t>
  </si>
  <si>
    <t>Cedynia</t>
  </si>
  <si>
    <t>74-520</t>
  </si>
  <si>
    <t>PL-2012-088773</t>
  </si>
  <si>
    <t>K02983</t>
  </si>
  <si>
    <t>Monika Bakalarska</t>
  </si>
  <si>
    <t>58-500</t>
  </si>
  <si>
    <t>Newell 346</t>
  </si>
  <si>
    <t>PL-2013-088789</t>
  </si>
  <si>
    <t>K01707</t>
  </si>
  <si>
    <t>Joanna Jarosz</t>
  </si>
  <si>
    <t>Miączyn</t>
  </si>
  <si>
    <t>22-455</t>
  </si>
  <si>
    <t>PL-2012-088795</t>
  </si>
  <si>
    <t>K02164</t>
  </si>
  <si>
    <t>Zdzisław Strzelczak</t>
  </si>
  <si>
    <t>Pruszcz Gdański</t>
  </si>
  <si>
    <t>83-000</t>
  </si>
  <si>
    <t>Sanford Prismacolor® Professional Thick Lead Art Pencils, 36-Color Set</t>
  </si>
  <si>
    <t>PL-2014-088812</t>
  </si>
  <si>
    <t>K02006</t>
  </si>
  <si>
    <t>Krzysztof Ciuła</t>
  </si>
  <si>
    <t>PL-2014-088710</t>
  </si>
  <si>
    <t>Accessory2</t>
  </si>
  <si>
    <t>PL-2013-086474</t>
  </si>
  <si>
    <t>PL-2011-088814</t>
  </si>
  <si>
    <t>K02649</t>
  </si>
  <si>
    <t>Małgorzata Łabędź</t>
  </si>
  <si>
    <t>Kostomłoty</t>
  </si>
  <si>
    <t>PL-2013-088065</t>
  </si>
  <si>
    <t>PL-2012-088413</t>
  </si>
  <si>
    <t>K01271</t>
  </si>
  <si>
    <t>Marek Krakowski</t>
  </si>
  <si>
    <t>Sianów</t>
  </si>
  <si>
    <t>76-004</t>
  </si>
  <si>
    <t>K01276</t>
  </si>
  <si>
    <t>Agnieszka Furmańska</t>
  </si>
  <si>
    <t>Rzezawa</t>
  </si>
  <si>
    <t>32-765</t>
  </si>
  <si>
    <t>K01272</t>
  </si>
  <si>
    <t>Mateusz Paździurek</t>
  </si>
  <si>
    <t>PL-2013-087872</t>
  </si>
  <si>
    <t>K02110</t>
  </si>
  <si>
    <t>Andrzej Czerniachowicz</t>
  </si>
  <si>
    <t>Skwierzyna</t>
  </si>
  <si>
    <t>66-440</t>
  </si>
  <si>
    <t>PL-2013-088820</t>
  </si>
  <si>
    <t>K02812</t>
  </si>
  <si>
    <t>Marek Piekarz</t>
  </si>
  <si>
    <t>Turek</t>
  </si>
  <si>
    <t>62-700</t>
  </si>
  <si>
    <t>PL-2011-088825</t>
  </si>
  <si>
    <t>K03257</t>
  </si>
  <si>
    <t>Andrzej Kania</t>
  </si>
  <si>
    <t>Lipsk</t>
  </si>
  <si>
    <t>16-315</t>
  </si>
  <si>
    <t>SAFCO PlanMaster Heigh-Adjustable Drafting Table Base, 43w x 30d x 30-37h, Black</t>
  </si>
  <si>
    <t>PL-2013-085853</t>
  </si>
  <si>
    <t>PL-2014-088848</t>
  </si>
  <si>
    <t>K03378</t>
  </si>
  <si>
    <t>Tomasz Filipek</t>
  </si>
  <si>
    <t>Bieżuń</t>
  </si>
  <si>
    <t>09-320</t>
  </si>
  <si>
    <t>PL-2013-088855</t>
  </si>
  <si>
    <t>K01531</t>
  </si>
  <si>
    <t>Helena Franków</t>
  </si>
  <si>
    <t>Luxo Professional Fluorescent Magnifier Lamp with Clamp-Mount Base</t>
  </si>
  <si>
    <t>PL-2011-088184</t>
  </si>
  <si>
    <t>PL-2013-087231</t>
  </si>
  <si>
    <t>PL-2011-086279</t>
  </si>
  <si>
    <t>PL-2011-087812</t>
  </si>
  <si>
    <t>Bush Heritage Pine Collection 5-Shelf Bookcase, Albany Pine Finish, *Special Order</t>
  </si>
  <si>
    <t>PL-2012-086259</t>
  </si>
  <si>
    <t>Kensington 7 Outlet MasterPiece® HOMEOFFICE Power Control Center</t>
  </si>
  <si>
    <t>PL-2012-088859</t>
  </si>
  <si>
    <t>K01960</t>
  </si>
  <si>
    <t>Zbigniew Orsztynowicz</t>
  </si>
  <si>
    <t>Szamocin</t>
  </si>
  <si>
    <t>64-820</t>
  </si>
  <si>
    <t>Eldon ClusterMat Chair Mat with Cordless Antistatic Protection</t>
  </si>
  <si>
    <t>K01961</t>
  </si>
  <si>
    <t>Janusz Machała</t>
  </si>
  <si>
    <t>Sędziszów</t>
  </si>
  <si>
    <t>28-340</t>
  </si>
  <si>
    <t>Sauder Forest Hills Library, Woodland Oak Finish</t>
  </si>
  <si>
    <t>PL-2013-088874</t>
  </si>
  <si>
    <t>K01939</t>
  </si>
  <si>
    <t>Wanda Wilk</t>
  </si>
  <si>
    <t>Olszówka</t>
  </si>
  <si>
    <t>62-641</t>
  </si>
  <si>
    <t>PL-2012-088884</t>
  </si>
  <si>
    <t>K00569</t>
  </si>
  <si>
    <t>Krzysztof Pastusiak</t>
  </si>
  <si>
    <t>Stęszew</t>
  </si>
  <si>
    <t>62-060</t>
  </si>
  <si>
    <t>Holmes Replacement Filter for HEPA Air Cleaner, Medium Room</t>
  </si>
  <si>
    <t>K00568</t>
  </si>
  <si>
    <t>Kamila Trojanowska</t>
  </si>
  <si>
    <t>Korycin</t>
  </si>
  <si>
    <t>16-140</t>
  </si>
  <si>
    <t>PL-2014-088898</t>
  </si>
  <si>
    <t>K00678</t>
  </si>
  <si>
    <t>Maria Sroczyńska</t>
  </si>
  <si>
    <t>PL-2012-086577</t>
  </si>
  <si>
    <t>PL-2014-086171</t>
  </si>
  <si>
    <t>Nu-Dell Float Frame 11 x 14 1/2</t>
  </si>
  <si>
    <t>PL-2014-087707</t>
  </si>
  <si>
    <t>PL-2014-088900</t>
  </si>
  <si>
    <t>K01065</t>
  </si>
  <si>
    <t>Mirosław Senderek</t>
  </si>
  <si>
    <t>Czarny Dunajec</t>
  </si>
  <si>
    <t>34-470</t>
  </si>
  <si>
    <t>Unpadded Memo Slips</t>
  </si>
  <si>
    <t>PL-2012-086167</t>
  </si>
  <si>
    <t>PL-2011-088906</t>
  </si>
  <si>
    <t>K00493</t>
  </si>
  <si>
    <t>Małgorzata Laskowska</t>
  </si>
  <si>
    <t>Chełmiec</t>
  </si>
  <si>
    <t>33-395</t>
  </si>
  <si>
    <t>PL-2013-088913</t>
  </si>
  <si>
    <t>K01292</t>
  </si>
  <si>
    <t>Wacław Matułowicz</t>
  </si>
  <si>
    <t>Oborniki</t>
  </si>
  <si>
    <t>64-600</t>
  </si>
  <si>
    <t>PL-2014-013507</t>
  </si>
  <si>
    <t>K00198</t>
  </si>
  <si>
    <t>Mirosław Nejman</t>
  </si>
  <si>
    <t>Rzeszów</t>
  </si>
  <si>
    <t>35-050</t>
  </si>
  <si>
    <t>PL-2012-085951</t>
  </si>
  <si>
    <t>K02281</t>
  </si>
  <si>
    <t>Małogorzata Hałuszka</t>
  </si>
  <si>
    <t>Szubin</t>
  </si>
  <si>
    <t>89-200</t>
  </si>
  <si>
    <t>Binney &amp; Smith Crayola® Metallic Colored Pencils, 8-Color Set</t>
  </si>
  <si>
    <t>PL-2011-086827</t>
  </si>
  <si>
    <t>Manila Recycled Extra-Heavyweight Clasp Envelopes, 6" x 9"</t>
  </si>
  <si>
    <t>PL-2012-086848</t>
  </si>
  <si>
    <t>Xerox 1966</t>
  </si>
  <si>
    <t>PL-2014-088918</t>
  </si>
  <si>
    <t>K02994</t>
  </si>
  <si>
    <t>Tomasz Buchholc</t>
  </si>
  <si>
    <t>Kołaki Kościelne</t>
  </si>
  <si>
    <t>18-300</t>
  </si>
  <si>
    <t>PL-2012-088922</t>
  </si>
  <si>
    <t>K00196</t>
  </si>
  <si>
    <t>Agnieszka Bień</t>
  </si>
  <si>
    <t>Kętrzyn</t>
  </si>
  <si>
    <t>11-400</t>
  </si>
  <si>
    <t>HP Office Recycled Paper (20Lb. and 87 Bright)</t>
  </si>
  <si>
    <t>KF 788</t>
  </si>
  <si>
    <t>PL-2012-088932</t>
  </si>
  <si>
    <t>K00380</t>
  </si>
  <si>
    <t>Marek Wierzbowski</t>
  </si>
  <si>
    <t>Grodziczno</t>
  </si>
  <si>
    <t>13-324</t>
  </si>
  <si>
    <t>PL-2011-088941</t>
  </si>
  <si>
    <t>K00268</t>
  </si>
  <si>
    <t>August Szkoda</t>
  </si>
  <si>
    <t>Puszczykowo</t>
  </si>
  <si>
    <t>62-040</t>
  </si>
  <si>
    <t>PL-2012-088373</t>
  </si>
  <si>
    <t>K01010</t>
  </si>
  <si>
    <t>Łukasz Makowski</t>
  </si>
  <si>
    <t>Topólka</t>
  </si>
  <si>
    <t>87-875</t>
  </si>
  <si>
    <t>Wirebound Service Call Books, 5 1/2" x 4"</t>
  </si>
  <si>
    <t>PL-2011-087214</t>
  </si>
  <si>
    <t>DIXON Oriole® Pencils</t>
  </si>
  <si>
    <t>StarTAC Series</t>
  </si>
  <si>
    <t>PL-2012-088261</t>
  </si>
  <si>
    <t>Binding Machine Supplies</t>
  </si>
  <si>
    <t>PL-2012-088954</t>
  </si>
  <si>
    <t>K01311</t>
  </si>
  <si>
    <t>Zbigniew Kołodziej</t>
  </si>
  <si>
    <t>Nowodwór</t>
  </si>
  <si>
    <t>08-503</t>
  </si>
  <si>
    <t>K01312</t>
  </si>
  <si>
    <t>Emilia Majdosz</t>
  </si>
  <si>
    <t>PL-2013-088962</t>
  </si>
  <si>
    <t>K02723</t>
  </si>
  <si>
    <t>Renata Wrzesień</t>
  </si>
  <si>
    <t>Włoszakowice</t>
  </si>
  <si>
    <t>64-140</t>
  </si>
  <si>
    <t>PL-2012-088967</t>
  </si>
  <si>
    <t>K01309</t>
  </si>
  <si>
    <t>Jan Geldner</t>
  </si>
  <si>
    <t>Chojnów</t>
  </si>
  <si>
    <t>59-225</t>
  </si>
  <si>
    <t>PL-2011-088972</t>
  </si>
  <si>
    <t>K00202</t>
  </si>
  <si>
    <t>Magdalena Lipska</t>
  </si>
  <si>
    <t>Imation 3.5" Unformatted DS/HD Diskettes, 10/Box</t>
  </si>
  <si>
    <t>PL-2013-088979</t>
  </si>
  <si>
    <t>K02769</t>
  </si>
  <si>
    <t>Dariusz Zawadzki</t>
  </si>
  <si>
    <t>Dopiewo</t>
  </si>
  <si>
    <t>62-070</t>
  </si>
  <si>
    <t>Xerox 1895</t>
  </si>
  <si>
    <t>PL-2014-088987</t>
  </si>
  <si>
    <t>K01343</t>
  </si>
  <si>
    <t>Dorota Więckowska</t>
  </si>
  <si>
    <t>Kielce</t>
  </si>
  <si>
    <t>25-258</t>
  </si>
  <si>
    <t>Aluminum Document Frame</t>
  </si>
  <si>
    <t>PL-2013-088992</t>
  </si>
  <si>
    <t>K02341</t>
  </si>
  <si>
    <t>Anna Bańkowska</t>
  </si>
  <si>
    <t>Raniżów</t>
  </si>
  <si>
    <t>36-130</t>
  </si>
  <si>
    <t>PL-2014-089002</t>
  </si>
  <si>
    <t>K02483</t>
  </si>
  <si>
    <t>Artur Walkowiak</t>
  </si>
  <si>
    <t>Brzostek</t>
  </si>
  <si>
    <t>39-230</t>
  </si>
  <si>
    <t>DAX Cubicle Frames - 8x10</t>
  </si>
  <si>
    <t>PL-2013-089011</t>
  </si>
  <si>
    <t>K01025</t>
  </si>
  <si>
    <t>Wojciech Seredyński</t>
  </si>
  <si>
    <t>Zbójno</t>
  </si>
  <si>
    <t>87-645</t>
  </si>
  <si>
    <t>PL-2011-089019</t>
  </si>
  <si>
    <t>K02737</t>
  </si>
  <si>
    <t>Jakub Rzepiński</t>
  </si>
  <si>
    <t>Brudzew</t>
  </si>
  <si>
    <t>62-720</t>
  </si>
  <si>
    <t>Eldon Jumbo ProFile™ Portable File Boxes Graphite/Black</t>
  </si>
  <si>
    <t>PL-2013-089029</t>
  </si>
  <si>
    <t>K03186</t>
  </si>
  <si>
    <t>Tadeusz Borzeszkowski</t>
  </si>
  <si>
    <t>Krzeszów</t>
  </si>
  <si>
    <t>37-418</t>
  </si>
  <si>
    <t>GBC DocuBind 300 Electric Binding Machine</t>
  </si>
  <si>
    <t>JM Magazine Binder</t>
  </si>
  <si>
    <t>Imation 3.5" IBM-Formatted Diskettes, 10/Pack</t>
  </si>
  <si>
    <t>PL-2014-086709</t>
  </si>
  <si>
    <t>K02248</t>
  </si>
  <si>
    <t>Małgorzata Jabłońska</t>
  </si>
  <si>
    <t>Nisko</t>
  </si>
  <si>
    <t>37-400</t>
  </si>
  <si>
    <t>X-Rack™ File for Hanging Folders</t>
  </si>
  <si>
    <t>PL-2011-089040</t>
  </si>
  <si>
    <t>K01974</t>
  </si>
  <si>
    <t>Wiesław Raczyński</t>
  </si>
  <si>
    <t>Stąporków</t>
  </si>
  <si>
    <t>26-220</t>
  </si>
  <si>
    <t>Kensington 6 Outlet Guardian Standard Surge Protector</t>
  </si>
  <si>
    <t>PL-2014-089051</t>
  </si>
  <si>
    <t>K02976</t>
  </si>
  <si>
    <t>Piotr Jasina</t>
  </si>
  <si>
    <t>Drohiczyn</t>
  </si>
  <si>
    <t>17-312</t>
  </si>
  <si>
    <t>Super Decoflex Portable Personal File</t>
  </si>
  <si>
    <t>PL-2012-087090</t>
  </si>
  <si>
    <t>K01410</t>
  </si>
  <si>
    <t>Halina Olejarnik</t>
  </si>
  <si>
    <t>Nysa</t>
  </si>
  <si>
    <t>48-304</t>
  </si>
  <si>
    <t>PL-2012-001222</t>
  </si>
  <si>
    <t>PL-2012-087248</t>
  </si>
  <si>
    <t>K01748</t>
  </si>
  <si>
    <t>Dorota Fil</t>
  </si>
  <si>
    <t>Reszel</t>
  </si>
  <si>
    <t>11-440</t>
  </si>
  <si>
    <t>PL-2011-086268</t>
  </si>
  <si>
    <t>PL-2011-089053</t>
  </si>
  <si>
    <t>K02422</t>
  </si>
  <si>
    <t>Lucjan Makochoń</t>
  </si>
  <si>
    <t>Lwówek</t>
  </si>
  <si>
    <t>64-310</t>
  </si>
  <si>
    <t>Global Airflow Leather Mesh Back Chair, Black</t>
  </si>
  <si>
    <t>PL-2012-089061</t>
  </si>
  <si>
    <t>K00875</t>
  </si>
  <si>
    <t>Marek Kubiak</t>
  </si>
  <si>
    <t>Chojnice</t>
  </si>
  <si>
    <t>89-600</t>
  </si>
  <si>
    <t>PL-2011-085868</t>
  </si>
  <si>
    <t>Xerox 1880</t>
  </si>
  <si>
    <t>PL-2014-089070</t>
  </si>
  <si>
    <t>K01658</t>
  </si>
  <si>
    <t>Daniel Janiak</t>
  </si>
  <si>
    <t>Wiązownica</t>
  </si>
  <si>
    <t>37-523</t>
  </si>
  <si>
    <t>Micro Innovations Micro Digital Wireless Keyboard and Mouse, Gray</t>
  </si>
  <si>
    <t>PL-2013-087501</t>
  </si>
  <si>
    <t>PL-2011-088474</t>
  </si>
  <si>
    <t>PL-2012-089072</t>
  </si>
  <si>
    <t>K03018</t>
  </si>
  <si>
    <t>Paulina Maksymiuk</t>
  </si>
  <si>
    <t>Brzeziny</t>
  </si>
  <si>
    <t>PL-2011-087813</t>
  </si>
  <si>
    <t>Bush® Cubix Conference Tables, Fully Assembled</t>
  </si>
  <si>
    <t>PL-2014-086483</t>
  </si>
  <si>
    <t>Eureka The Boss® Cordless Rechargeable Stick Vac</t>
  </si>
  <si>
    <t>K03030</t>
  </si>
  <si>
    <t>Mariola Smolińska</t>
  </si>
  <si>
    <t>Gaszowice</t>
  </si>
  <si>
    <t>44-293</t>
  </si>
  <si>
    <t>PL-2014-088056</t>
  </si>
  <si>
    <t>PL-2012-089079</t>
  </si>
  <si>
    <t>K01441</t>
  </si>
  <si>
    <t>Beata Jeszka</t>
  </si>
  <si>
    <t>Będków</t>
  </si>
  <si>
    <t>97-319</t>
  </si>
  <si>
    <t>PL-2014-089091</t>
  </si>
  <si>
    <t>K00950</t>
  </si>
  <si>
    <t>Piotr Kaczmarek</t>
  </si>
  <si>
    <t>Accessory21</t>
  </si>
  <si>
    <t>PL-2014-086278</t>
  </si>
  <si>
    <t>Avery Legal 4-Ring Binder</t>
  </si>
  <si>
    <t>PL-2011-089092</t>
  </si>
  <si>
    <t>K00190</t>
  </si>
  <si>
    <t>Robert Kaczmarek</t>
  </si>
  <si>
    <t>Miechów</t>
  </si>
  <si>
    <t>32-200</t>
  </si>
  <si>
    <t>Avery Arch Ring Binders</t>
  </si>
  <si>
    <t>K00191</t>
  </si>
  <si>
    <t>Dariusz Lebiedowicz</t>
  </si>
  <si>
    <t>Otwock</t>
  </si>
  <si>
    <t>05-402</t>
  </si>
  <si>
    <t>APC 7 Outlet Network SurgeArrest Surge Protector</t>
  </si>
  <si>
    <t>PL-2011-089096</t>
  </si>
  <si>
    <t>K02432</t>
  </si>
  <si>
    <t>Sebastian Staszczak</t>
  </si>
  <si>
    <t>Lewin Brzeski</t>
  </si>
  <si>
    <t>49-340</t>
  </si>
  <si>
    <t>Dual Level, Single-Width Filing Carts</t>
  </si>
  <si>
    <t>PL-2011-089102</t>
  </si>
  <si>
    <t>K02240</t>
  </si>
  <si>
    <t>Wanda Kamyk</t>
  </si>
  <si>
    <t>Myślenice</t>
  </si>
  <si>
    <t>32-400</t>
  </si>
  <si>
    <t>Fellowes Personal Hanging Folder Files, Navy</t>
  </si>
  <si>
    <t>PL-2013-089108</t>
  </si>
  <si>
    <t>K01769</t>
  </si>
  <si>
    <t>Robert Lubczyk</t>
  </si>
  <si>
    <t>Nowe Miasto nad Pilicą</t>
  </si>
  <si>
    <t>26-420</t>
  </si>
  <si>
    <t>Deflect-o RollaMat Studded, Beveled Mat for Medium Pile Carpeting</t>
  </si>
  <si>
    <t>PL-2014-088346</t>
  </si>
  <si>
    <t>Epson FX-2180 Wide Format Dot Matrix Printer</t>
  </si>
  <si>
    <t>PL-2012-086818</t>
  </si>
  <si>
    <t>K01526</t>
  </si>
  <si>
    <t>Adam Kobylarz</t>
  </si>
  <si>
    <t>Starogard Gdański</t>
  </si>
  <si>
    <t>83-200</t>
  </si>
  <si>
    <t>Bush Mission Pointe Library</t>
  </si>
  <si>
    <t>PL-2013-088739</t>
  </si>
  <si>
    <t>K01389</t>
  </si>
  <si>
    <t>Jacek Sarkowski</t>
  </si>
  <si>
    <t>Ulanów</t>
  </si>
  <si>
    <t>37-410</t>
  </si>
  <si>
    <t>PL-2011-087584</t>
  </si>
  <si>
    <t>Staples Plastic Wall Frames</t>
  </si>
  <si>
    <t>PL-2014-089116</t>
  </si>
  <si>
    <t>K01283</t>
  </si>
  <si>
    <t>Dariusz Zybała</t>
  </si>
  <si>
    <t>Kaczory</t>
  </si>
  <si>
    <t>64-810</t>
  </si>
  <si>
    <t>Belkin 325VA UPS Surge Protector, 6'</t>
  </si>
  <si>
    <t>Global Deluxe Stacking Chair, Gray</t>
  </si>
  <si>
    <t>PL-2012-086139</t>
  </si>
  <si>
    <t>Sharp AL-1530CS Digital Copier</t>
  </si>
  <si>
    <t>PL-2013-089121</t>
  </si>
  <si>
    <t>K01161</t>
  </si>
  <si>
    <t>Zbigniew Ptaszyński</t>
  </si>
  <si>
    <t>3M Office Air Cleaner</t>
  </si>
  <si>
    <t>PL-2012-089124</t>
  </si>
  <si>
    <t>K01208</t>
  </si>
  <si>
    <t>Kazimierz Odziomek</t>
  </si>
  <si>
    <t>Gryfino</t>
  </si>
  <si>
    <t>74-100</t>
  </si>
  <si>
    <t>Xerox 200</t>
  </si>
  <si>
    <t>PL-2014-089132</t>
  </si>
  <si>
    <t>K03034</t>
  </si>
  <si>
    <t>Antoni Gołąb</t>
  </si>
  <si>
    <t>Szemud</t>
  </si>
  <si>
    <t>84-217</t>
  </si>
  <si>
    <t>Personal Creations™ Ink Jet Cards and Labels</t>
  </si>
  <si>
    <t>PL-2014-089137</t>
  </si>
  <si>
    <t>K03217</t>
  </si>
  <si>
    <t>Tadeusz Dubiniecki</t>
  </si>
  <si>
    <t>Master Caster Door Stop, Brown</t>
  </si>
  <si>
    <t>K03218</t>
  </si>
  <si>
    <t>Dariusz Kielan</t>
  </si>
  <si>
    <t>Xerox 1882</t>
  </si>
  <si>
    <t>PL-2011-089140</t>
  </si>
  <si>
    <t>K00247</t>
  </si>
  <si>
    <t>Magdalena Chałat</t>
  </si>
  <si>
    <t>Polanka Wielka</t>
  </si>
  <si>
    <t>32-607</t>
  </si>
  <si>
    <t>PL-2012-089149</t>
  </si>
  <si>
    <t>K02685</t>
  </si>
  <si>
    <t>Marianna Caban</t>
  </si>
  <si>
    <t>Sokoły</t>
  </si>
  <si>
    <t>18-520</t>
  </si>
  <si>
    <t>Lexmark Z25 Color Inkjet Printer</t>
  </si>
  <si>
    <t>Hon 2111 Invitation™ Series Corner Table</t>
  </si>
  <si>
    <t>PL-2012-089157</t>
  </si>
  <si>
    <t>K02227</t>
  </si>
  <si>
    <t>Łukasz Jankiewicz</t>
  </si>
  <si>
    <t>Trzebiel</t>
  </si>
  <si>
    <t>68-212</t>
  </si>
  <si>
    <t>PL-2013-087182</t>
  </si>
  <si>
    <t>PL-2013-089161</t>
  </si>
  <si>
    <t>K02296</t>
  </si>
  <si>
    <t>Andrzej Haraj</t>
  </si>
  <si>
    <t>Suchedniów</t>
  </si>
  <si>
    <t>26-130</t>
  </si>
  <si>
    <t>PL-2011-089139</t>
  </si>
  <si>
    <t>PL-2012-086261</t>
  </si>
  <si>
    <t>Seth Thomas 13 1/2" Wall Clock</t>
  </si>
  <si>
    <t>PL-2011-089166</t>
  </si>
  <si>
    <t>K00315</t>
  </si>
  <si>
    <t>Natalia Moroz</t>
  </si>
  <si>
    <t>Godów</t>
  </si>
  <si>
    <t>44-340</t>
  </si>
  <si>
    <t>K00314</t>
  </si>
  <si>
    <t>Marcin Szostakiewicz</t>
  </si>
  <si>
    <t>Boleszkowice</t>
  </si>
  <si>
    <t>74-407</t>
  </si>
  <si>
    <t>High Speed Automatic Electric Letter Opener</t>
  </si>
  <si>
    <t>PL-2014-088059</t>
  </si>
  <si>
    <t>Executive Impressions 14"</t>
  </si>
  <si>
    <t>PL-2011-088701</t>
  </si>
  <si>
    <t>K02713</t>
  </si>
  <si>
    <t>Przemysław Kiełkowski</t>
  </si>
  <si>
    <t>Myślibórz</t>
  </si>
  <si>
    <t>74-300</t>
  </si>
  <si>
    <t>Avery 492</t>
  </si>
  <si>
    <t>Bretford CR4500 Series Slim Rectangular Table</t>
  </si>
  <si>
    <t>PL-2013-089181</t>
  </si>
  <si>
    <t>K02195</t>
  </si>
  <si>
    <t>Radosław Serowski</t>
  </si>
  <si>
    <t>Dobrzyniewo Duże</t>
  </si>
  <si>
    <t>16-002</t>
  </si>
  <si>
    <t>PL-2014-089192</t>
  </si>
  <si>
    <t>K02384</t>
  </si>
  <si>
    <t>Teresa Kropielnicka</t>
  </si>
  <si>
    <t>PL-2011-087520</t>
  </si>
  <si>
    <t>PL-2013-086328</t>
  </si>
  <si>
    <t>K03103</t>
  </si>
  <si>
    <t>Krzysztof Żurek</t>
  </si>
  <si>
    <t>Pszów</t>
  </si>
  <si>
    <t>44-370</t>
  </si>
  <si>
    <t>PL-2014-087548</t>
  </si>
  <si>
    <t>PL-2014-086822</t>
  </si>
  <si>
    <t>Xerox 1916</t>
  </si>
  <si>
    <t>PL-2011-087208</t>
  </si>
  <si>
    <t>K02527</t>
  </si>
  <si>
    <t>Monika Piskorz</t>
  </si>
  <si>
    <t>Czarnków</t>
  </si>
  <si>
    <t>64-700</t>
  </si>
  <si>
    <t>PL-2011-089194</t>
  </si>
  <si>
    <t>K01502</t>
  </si>
  <si>
    <t>Józef Głuszko</t>
  </si>
  <si>
    <t>Kluczbork</t>
  </si>
  <si>
    <t>46-203</t>
  </si>
  <si>
    <t>Quartet Omega® Colored Chalk, 12/Pack</t>
  </si>
  <si>
    <t>PL-2011-087832</t>
  </si>
  <si>
    <t>PL-2012-088960</t>
  </si>
  <si>
    <t>Accessory28</t>
  </si>
  <si>
    <t>K02724</t>
  </si>
  <si>
    <t>Ryszard Jezierski</t>
  </si>
  <si>
    <t>Żary</t>
  </si>
  <si>
    <t>68-200</t>
  </si>
  <si>
    <t>Tenex 46" x 60" Computer Anti-Static Chairmat, Rectangular Shaped</t>
  </si>
  <si>
    <t>PL-2013-086541</t>
  </si>
  <si>
    <t>PL-2012-087444</t>
  </si>
  <si>
    <t>PL-2013-089206</t>
  </si>
  <si>
    <t>K00031</t>
  </si>
  <si>
    <t>Stanisław Karpiński</t>
  </si>
  <si>
    <t>Ostróda</t>
  </si>
  <si>
    <t>14-100</t>
  </si>
  <si>
    <t>PL-2012-087759</t>
  </si>
  <si>
    <t>Avery 474</t>
  </si>
  <si>
    <t>PL-2011-089209</t>
  </si>
  <si>
    <t>K01869</t>
  </si>
  <si>
    <t>Robert Koperski</t>
  </si>
  <si>
    <t>Dubiecko</t>
  </si>
  <si>
    <t>37-750</t>
  </si>
  <si>
    <t>6" Cubicle Wall Clock, Black</t>
  </si>
  <si>
    <t>PL-2012-088973</t>
  </si>
  <si>
    <t>PL-2013-089213</t>
  </si>
  <si>
    <t>K01767</t>
  </si>
  <si>
    <t>Andrzej Leśniewicz</t>
  </si>
  <si>
    <t>Lubniewice</t>
  </si>
  <si>
    <t>69-210</t>
  </si>
  <si>
    <t>PL-2013-086962</t>
  </si>
  <si>
    <t>Tenex Carpeted, Granite-Look or Clear Contemporary Contour Shape Chair Mats</t>
  </si>
  <si>
    <t>Bretford Rectangular Conference Table Tops</t>
  </si>
  <si>
    <t>PL-2014-085879</t>
  </si>
  <si>
    <t>K01739</t>
  </si>
  <si>
    <t>Witold Kaczmarczyk</t>
  </si>
  <si>
    <t>Dobrzany</t>
  </si>
  <si>
    <t>73-130</t>
  </si>
  <si>
    <t>PL-2011-086621</t>
  </si>
  <si>
    <t>Okidata ML390 Turbo Dot Matrix Printers</t>
  </si>
  <si>
    <t>PL-2011-088372</t>
  </si>
  <si>
    <t>K01009</t>
  </si>
  <si>
    <t>Marzenna Góralska</t>
  </si>
  <si>
    <t>Chromcraft Bull-Nose Wood Oval Conference Tables &amp; Bases</t>
  </si>
  <si>
    <t>PL-2014-088375</t>
  </si>
  <si>
    <t>PL-2013-089214</t>
  </si>
  <si>
    <t>K02743</t>
  </si>
  <si>
    <t>Stanisław Kardynał</t>
  </si>
  <si>
    <t>Torzym</t>
  </si>
  <si>
    <t>66-235</t>
  </si>
  <si>
    <t>Imation 3.5" Diskettes, IBM Format, DS/HD, 10/Box, Neon</t>
  </si>
  <si>
    <t>Binder Clips by OIC</t>
  </si>
  <si>
    <t>PL-2014-013570</t>
  </si>
  <si>
    <t>PL-2013-089226</t>
  </si>
  <si>
    <t>K02453</t>
  </si>
  <si>
    <t>Ewa Baran</t>
  </si>
  <si>
    <t>Udanin</t>
  </si>
  <si>
    <t>Acme® Box Cutter Scissors</t>
  </si>
  <si>
    <t>PL-2013-087199</t>
  </si>
  <si>
    <t>Smead Adjustable Mobile File Trolley with Lockable Top</t>
  </si>
  <si>
    <t>PL-2011-088268</t>
  </si>
  <si>
    <t>PL-2013-086942</t>
  </si>
  <si>
    <t>PL-2013-088034</t>
  </si>
  <si>
    <t>PL-2011-087555</t>
  </si>
  <si>
    <t>PL-2012-089236</t>
  </si>
  <si>
    <t>K00204</t>
  </si>
  <si>
    <t>Michał Wiśniewski</t>
  </si>
  <si>
    <t>20-864</t>
  </si>
  <si>
    <t>DAX Solid Wood Frames</t>
  </si>
  <si>
    <t>PL-2011-089240</t>
  </si>
  <si>
    <t>K02709</t>
  </si>
  <si>
    <t>Grzegorz Wielgórski</t>
  </si>
  <si>
    <t>Ostaszewo</t>
  </si>
  <si>
    <t>PL-2013-089248</t>
  </si>
  <si>
    <t>K00072</t>
  </si>
  <si>
    <t>Arkadiusz Witowski</t>
  </si>
  <si>
    <t>22-130</t>
  </si>
  <si>
    <t>PL-2011-089251</t>
  </si>
  <si>
    <t>K01808</t>
  </si>
  <si>
    <t>Elżbieta Sekuła</t>
  </si>
  <si>
    <t>Borowa</t>
  </si>
  <si>
    <t>39-305</t>
  </si>
  <si>
    <t>PL-2014-086248</t>
  </si>
  <si>
    <t>Avery Hi-Liter Comfort Grip Fluorescent Highlighter, Yellow Ink</t>
  </si>
  <si>
    <t>PL-2014-089145</t>
  </si>
  <si>
    <t>K00248</t>
  </si>
  <si>
    <t>Leszek Doliński</t>
  </si>
  <si>
    <t>Bytom</t>
  </si>
  <si>
    <t>41-905</t>
  </si>
  <si>
    <t>PL-2013-086705</t>
  </si>
  <si>
    <t>PL-2014-089273</t>
  </si>
  <si>
    <t>K00822</t>
  </si>
  <si>
    <t>Piotr Suchojad</t>
  </si>
  <si>
    <t>Końskowola</t>
  </si>
  <si>
    <t>24-130</t>
  </si>
  <si>
    <t>PL-2012-089274</t>
  </si>
  <si>
    <t>K01662</t>
  </si>
  <si>
    <t>Renata Matuszewska</t>
  </si>
  <si>
    <t>Tarczyn</t>
  </si>
  <si>
    <t>05-555</t>
  </si>
  <si>
    <t>Eureka Sanitaire ® Multi-Pro Heavy-Duty Upright, Disposable Bags</t>
  </si>
  <si>
    <t>PL-2014-088684</t>
  </si>
  <si>
    <t>K00039</t>
  </si>
  <si>
    <t>Edward Szulc</t>
  </si>
  <si>
    <t>Boston Electric Pencil Sharpener, Model 1818, Charcoal Black</t>
  </si>
  <si>
    <t>PL-2013-089281</t>
  </si>
  <si>
    <t>K02253</t>
  </si>
  <si>
    <t>Andrzej Krawiec</t>
  </si>
  <si>
    <t>Piechowice</t>
  </si>
  <si>
    <t>58-573</t>
  </si>
  <si>
    <t>K02254</t>
  </si>
  <si>
    <t>Mateusz Poręba</t>
  </si>
  <si>
    <t>Podedwórze</t>
  </si>
  <si>
    <t>21-222</t>
  </si>
  <si>
    <t>PL-2011-088908</t>
  </si>
  <si>
    <t>K00494</t>
  </si>
  <si>
    <t>Marek Subocz</t>
  </si>
  <si>
    <t>10-291</t>
  </si>
  <si>
    <t>PL-2013-089282</t>
  </si>
  <si>
    <t>K00207</t>
  </si>
  <si>
    <t>Sylwester Gawroński</t>
  </si>
  <si>
    <t>Piława Górna</t>
  </si>
  <si>
    <t>58-240</t>
  </si>
  <si>
    <t>PL-2013-087338</t>
  </si>
  <si>
    <t>PL-2011-086369</t>
  </si>
  <si>
    <t>Acme Design Line 8" Stainless Steel Bent Scissors w/Champagne Handles, 3-1/8" Cut</t>
  </si>
  <si>
    <t>PL-2013-089287</t>
  </si>
  <si>
    <t>K00635</t>
  </si>
  <si>
    <t>Danuta Baran</t>
  </si>
  <si>
    <t>Stoczek</t>
  </si>
  <si>
    <t>07-104</t>
  </si>
  <si>
    <t>PL-2012-088283</t>
  </si>
  <si>
    <t>PL-2011-088633</t>
  </si>
  <si>
    <t>K01023</t>
  </si>
  <si>
    <t>Krzysztof Świtała</t>
  </si>
  <si>
    <t>Kozielice</t>
  </si>
  <si>
    <t>74-200</t>
  </si>
  <si>
    <t>Ibico Recycled Linen-Style Covers</t>
  </si>
  <si>
    <t>PL-2012-088670</t>
  </si>
  <si>
    <t>Executive Impressions 13" Clairmont Wall Clock</t>
  </si>
  <si>
    <t>PL-2014-089297</t>
  </si>
  <si>
    <t>K00274</t>
  </si>
  <si>
    <t>Małgorzata Becker</t>
  </si>
  <si>
    <t>Katowice</t>
  </si>
  <si>
    <t>40-368</t>
  </si>
  <si>
    <t>PL-2014-089311</t>
  </si>
  <si>
    <t>K02445</t>
  </si>
  <si>
    <t>Ariusz Kwieciński</t>
  </si>
  <si>
    <t>Fellowes Black Plastic Comb Bindings</t>
  </si>
  <si>
    <t>PL-2012-088302</t>
  </si>
  <si>
    <t>K02578</t>
  </si>
  <si>
    <t>Władysław Chojnacki</t>
  </si>
  <si>
    <t>Fabianki</t>
  </si>
  <si>
    <t>87-811</t>
  </si>
  <si>
    <t>PL-2014-013601</t>
  </si>
  <si>
    <t>Eureka Hand Vacuum, Bagless</t>
  </si>
  <si>
    <t>PL-2011-089316</t>
  </si>
  <si>
    <t>K03098</t>
  </si>
  <si>
    <t>Bartosz Janecki</t>
  </si>
  <si>
    <t>Sułoszowa</t>
  </si>
  <si>
    <t>32-045</t>
  </si>
  <si>
    <t>PL-2012-086229</t>
  </si>
  <si>
    <t>PL-2013-089323</t>
  </si>
  <si>
    <t>K00397</t>
  </si>
  <si>
    <t>Anna Ulan</t>
  </si>
  <si>
    <t>Krzepice</t>
  </si>
  <si>
    <t>42-160</t>
  </si>
  <si>
    <t>PL-2013-086690</t>
  </si>
  <si>
    <t>PL-2014-089330</t>
  </si>
  <si>
    <t>K00521</t>
  </si>
  <si>
    <t>Justyna Kłos</t>
  </si>
  <si>
    <t>Gorzów Wielkopolski</t>
  </si>
  <si>
    <t>66-400</t>
  </si>
  <si>
    <t>Riverside Furniture Stanwyck Manor Table Series</t>
  </si>
  <si>
    <t>PL-2014-089230</t>
  </si>
  <si>
    <t>PL-2013-087705</t>
  </si>
  <si>
    <t>PL-2013-089336</t>
  </si>
  <si>
    <t>K02037</t>
  </si>
  <si>
    <t>Wioleta Konieczna</t>
  </si>
  <si>
    <t>Łobżenica</t>
  </si>
  <si>
    <t>89-310</t>
  </si>
  <si>
    <t>Canon MP25DIII Desktop Whisper-Quiet Printing Calculator</t>
  </si>
  <si>
    <t>PL-2011-087435</t>
  </si>
  <si>
    <t>K03230</t>
  </si>
  <si>
    <t>Marek Antczak</t>
  </si>
  <si>
    <t>Mońki</t>
  </si>
  <si>
    <t>19-100</t>
  </si>
  <si>
    <t>Imation 3.5" DS/HD IBM Formatted Diskettes, 50/Pack</t>
  </si>
  <si>
    <t>PL-2012-089341</t>
  </si>
  <si>
    <t>K01930</t>
  </si>
  <si>
    <t>Justyna Kostyk</t>
  </si>
  <si>
    <t>Choszczno</t>
  </si>
  <si>
    <t>73-200</t>
  </si>
  <si>
    <t>PL-2012-089345</t>
  </si>
  <si>
    <t>K00717</t>
  </si>
  <si>
    <t>Waldemar Skrzypiec</t>
  </si>
  <si>
    <t>Elbląg</t>
  </si>
  <si>
    <t>82-300</t>
  </si>
  <si>
    <t>K00718</t>
  </si>
  <si>
    <t>Witold Zalewski</t>
  </si>
  <si>
    <t>Wejherowo</t>
  </si>
  <si>
    <t>84-200</t>
  </si>
  <si>
    <t>PL-2011-089355</t>
  </si>
  <si>
    <t>K03347</t>
  </si>
  <si>
    <t>Justyna Kuras</t>
  </si>
  <si>
    <t>Międzybórz</t>
  </si>
  <si>
    <t>56-513</t>
  </si>
  <si>
    <t>GBC VeloBinder Strips</t>
  </si>
  <si>
    <t>PL-2011-089361</t>
  </si>
  <si>
    <t>K02652</t>
  </si>
  <si>
    <t>Dariusz Bajko</t>
  </si>
  <si>
    <t>Piła</t>
  </si>
  <si>
    <t>64-920</t>
  </si>
  <si>
    <t>PL-2011-089128</t>
  </si>
  <si>
    <t>K03035</t>
  </si>
  <si>
    <t>Ewa Nowy</t>
  </si>
  <si>
    <t>Rymanów</t>
  </si>
  <si>
    <t>38-480</t>
  </si>
  <si>
    <t>Telephone Message Books with Fax/Mobile Section, 5 1/2" x 3 3/16"</t>
  </si>
  <si>
    <t>PL-2014-089369</t>
  </si>
  <si>
    <t>K00847</t>
  </si>
  <si>
    <t>Krzysztof Mosejczuk</t>
  </si>
  <si>
    <t>Pawonków</t>
  </si>
  <si>
    <t>42-772</t>
  </si>
  <si>
    <t>K00843</t>
  </si>
  <si>
    <t>Anna Kozioł</t>
  </si>
  <si>
    <t>TI 36X Solar Scientific Calculator</t>
  </si>
  <si>
    <t>PL-2014-086682</t>
  </si>
  <si>
    <t>K02231</t>
  </si>
  <si>
    <t>Marek Niesłuchowski</t>
  </si>
  <si>
    <t>Morąg</t>
  </si>
  <si>
    <t>14-300</t>
  </si>
  <si>
    <t>PL-2013-089249</t>
  </si>
  <si>
    <t>K00074</t>
  </si>
  <si>
    <t>Ewa Ciszak</t>
  </si>
  <si>
    <t>Barciany</t>
  </si>
  <si>
    <t>11-410</t>
  </si>
  <si>
    <t>PL-2012-089372</t>
  </si>
  <si>
    <t>K00159</t>
  </si>
  <si>
    <t>Aleksandra Makowska</t>
  </si>
  <si>
    <t>PL-2013-089379</t>
  </si>
  <si>
    <t>K01233</t>
  </si>
  <si>
    <t>Lucyna Łopyta</t>
  </si>
  <si>
    <t>Poniatowa</t>
  </si>
  <si>
    <t>24-320</t>
  </si>
  <si>
    <t>PL-2013-089383</t>
  </si>
  <si>
    <t>K02084</t>
  </si>
  <si>
    <t>Teresa Fryczkowska</t>
  </si>
  <si>
    <t>Deflect-o EconoMat Nonstudded, No Bevel Mat</t>
  </si>
  <si>
    <t>PL-2012-089386</t>
  </si>
  <si>
    <t>K02681</t>
  </si>
  <si>
    <t>Marek Kowalski</t>
  </si>
  <si>
    <t>Lubochnia</t>
  </si>
  <si>
    <t>97-217</t>
  </si>
  <si>
    <t>PL-2014-089392</t>
  </si>
  <si>
    <t>K01049</t>
  </si>
  <si>
    <t>Wanda Kowalska</t>
  </si>
  <si>
    <t>Siewierz</t>
  </si>
  <si>
    <t>42-470</t>
  </si>
  <si>
    <t>Accessory24</t>
  </si>
  <si>
    <t>PL-2012-086272</t>
  </si>
  <si>
    <t>PL-2011-085893</t>
  </si>
  <si>
    <t>TI 30X Scientific Calculator</t>
  </si>
  <si>
    <t>PL-2012-089396</t>
  </si>
  <si>
    <t>K02717</t>
  </si>
  <si>
    <t>Klaudia Krzemińska</t>
  </si>
  <si>
    <t>Łęczyce</t>
  </si>
  <si>
    <t>84-218</t>
  </si>
  <si>
    <t>PL-2013-088465</t>
  </si>
  <si>
    <t>K01080</t>
  </si>
  <si>
    <t>Kazimierz Błaszczyk</t>
  </si>
  <si>
    <t>Świeszyno</t>
  </si>
  <si>
    <t>75-016</t>
  </si>
  <si>
    <t>PL-2012-086055</t>
  </si>
  <si>
    <t>T65</t>
  </si>
  <si>
    <t>PL-2014-089405</t>
  </si>
  <si>
    <t>K00960</t>
  </si>
  <si>
    <t>Patryk Wendland</t>
  </si>
  <si>
    <t>Opalenica</t>
  </si>
  <si>
    <t>64-330</t>
  </si>
  <si>
    <t>PL-2011-088726</t>
  </si>
  <si>
    <t>PL-2014-089159</t>
  </si>
  <si>
    <t>GBC Standard Plastic Binding Systems Combs</t>
  </si>
  <si>
    <t>PL-2013-089074</t>
  </si>
  <si>
    <t>K03019</t>
  </si>
  <si>
    <t>Jarosław Ślęga</t>
  </si>
  <si>
    <t>K03020</t>
  </si>
  <si>
    <t>Jerzy Rumieńczyk</t>
  </si>
  <si>
    <t>Wolanów</t>
  </si>
  <si>
    <t>26-625</t>
  </si>
  <si>
    <t>PL-2013-089411</t>
  </si>
  <si>
    <t>K01383</t>
  </si>
  <si>
    <t>Zbigniew Filip</t>
  </si>
  <si>
    <t>Marki</t>
  </si>
  <si>
    <t>05-270</t>
  </si>
  <si>
    <t>PL-2012-086185</t>
  </si>
  <si>
    <t>PL-2012-087739</t>
  </si>
  <si>
    <t>K00479</t>
  </si>
  <si>
    <t>Roman Karaźniewicz</t>
  </si>
  <si>
    <t>Grodzisko Dolne</t>
  </si>
  <si>
    <t>37-306</t>
  </si>
  <si>
    <t>Hon 2090 “Pillow Soft” Series Mid Back Swivel/Tilt Chairs</t>
  </si>
  <si>
    <t>PL-2011-013606</t>
  </si>
  <si>
    <t>Eureka Recycled Copy Paper 8 1/2" x 11", Ream</t>
  </si>
  <si>
    <t>PL-2012-087358</t>
  </si>
  <si>
    <t>Eureka Disposable Bags for Sanitaire® Vibra Groomer I® Upright Vac</t>
  </si>
  <si>
    <t>PL-2014-089417</t>
  </si>
  <si>
    <t>K03008</t>
  </si>
  <si>
    <t>Kamil Bukowiec</t>
  </si>
  <si>
    <t>Turobin</t>
  </si>
  <si>
    <t>23-465</t>
  </si>
  <si>
    <t>GBC Laser Imprintable Binding System Covers, Desert Sand</t>
  </si>
  <si>
    <t>Gyration RF Keyboard</t>
  </si>
  <si>
    <t>Fellowes Super Stor/Drawer®</t>
  </si>
  <si>
    <t>PL-2014-089423</t>
  </si>
  <si>
    <t>K03071</t>
  </si>
  <si>
    <t>Bogdan Olejniczak</t>
  </si>
  <si>
    <t>Eldon Advantage® Foldable Chair Mats for Low Pile Carpets</t>
  </si>
  <si>
    <t>K03072</t>
  </si>
  <si>
    <t>Łukasz Jarczak</t>
  </si>
  <si>
    <t>Radomyśl Wielki</t>
  </si>
  <si>
    <t>39-310</t>
  </si>
  <si>
    <t>Recycled Steel Personal File for Standard File Folders</t>
  </si>
  <si>
    <t>PL-2013-087541</t>
  </si>
  <si>
    <t>PL-2011-088367</t>
  </si>
  <si>
    <t>K02014</t>
  </si>
  <si>
    <t>Waldemar Maruszewski</t>
  </si>
  <si>
    <t>Zawadzkie</t>
  </si>
  <si>
    <t>47-120</t>
  </si>
  <si>
    <t>PL-2013-086196</t>
  </si>
  <si>
    <t>PL-2012-086876</t>
  </si>
  <si>
    <t>Career Cubicle Clock, 8 1/4", Black</t>
  </si>
  <si>
    <t>V8162</t>
  </si>
  <si>
    <t>PL-2013-089429</t>
  </si>
  <si>
    <t>K00166</t>
  </si>
  <si>
    <t>Andrzej Jerenkiewicz</t>
  </si>
  <si>
    <t>Trzebiechów</t>
  </si>
  <si>
    <t>66-132</t>
  </si>
  <si>
    <t>PL-2014-088440</t>
  </si>
  <si>
    <t>DAX Wood Document Frame</t>
  </si>
  <si>
    <t>PL-2012-088005</t>
  </si>
  <si>
    <t>Hon Metal Bookcases, Black</t>
  </si>
  <si>
    <t>PL-2011-085826</t>
  </si>
  <si>
    <t>PL-2013-086871</t>
  </si>
  <si>
    <t>PL-2014-086762</t>
  </si>
  <si>
    <t>PL-2011-086754</t>
  </si>
  <si>
    <t>PL-2011-089433</t>
  </si>
  <si>
    <t>K01000</t>
  </si>
  <si>
    <t>Marek Wancisiewicz</t>
  </si>
  <si>
    <t>Nieborów</t>
  </si>
  <si>
    <t>99-416</t>
  </si>
  <si>
    <t>Linden® 12" Wall Clock With Oak Frame</t>
  </si>
  <si>
    <t>K00999</t>
  </si>
  <si>
    <t>Grzegorz Nizio</t>
  </si>
  <si>
    <t>Gać</t>
  </si>
  <si>
    <t>37-207</t>
  </si>
  <si>
    <t>K00994</t>
  </si>
  <si>
    <t>Marlena Hubicka</t>
  </si>
  <si>
    <t>PL-2012-088352</t>
  </si>
  <si>
    <t>PL-2012-089439</t>
  </si>
  <si>
    <t>K02237</t>
  </si>
  <si>
    <t>Roman Pietrowski</t>
  </si>
  <si>
    <t>PL-2012-086861</t>
  </si>
  <si>
    <t>Eldon Delta Triangular Chair Mat, 52" x 58", Clear</t>
  </si>
  <si>
    <t>PL-2011-089440</t>
  </si>
  <si>
    <t>K02187</t>
  </si>
  <si>
    <t>Antoni Więcławski</t>
  </si>
  <si>
    <t>Płońsk</t>
  </si>
  <si>
    <t>09-100</t>
  </si>
  <si>
    <t>PL-2013-089021</t>
  </si>
  <si>
    <t>K02735</t>
  </si>
  <si>
    <t>Jerzy Stachowiak</t>
  </si>
  <si>
    <t>Wirebound Message Book, 4 per Page</t>
  </si>
  <si>
    <t>K02734</t>
  </si>
  <si>
    <t>Zenon Kaczmarek</t>
  </si>
  <si>
    <t>Godziszów</t>
  </si>
  <si>
    <t>23-302</t>
  </si>
  <si>
    <t>Sony MFD2HD Formatted Diskettes, 10/Pack</t>
  </si>
  <si>
    <t>PL-2011-086868</t>
  </si>
  <si>
    <t>K00797</t>
  </si>
  <si>
    <t>Mariola Sobczak</t>
  </si>
  <si>
    <t>Rydzyna</t>
  </si>
  <si>
    <t>64-130</t>
  </si>
  <si>
    <t>Space Solutions Commercial Steel Shelving</t>
  </si>
  <si>
    <t>PL-2014-089217</t>
  </si>
  <si>
    <t>PL-2012-086270</t>
  </si>
  <si>
    <t>K00256</t>
  </si>
  <si>
    <t>Mariusz Krajczyński</t>
  </si>
  <si>
    <t>Przytyk</t>
  </si>
  <si>
    <t>26-650</t>
  </si>
  <si>
    <t>DAX Natural Wood-Tone Poster Frame</t>
  </si>
  <si>
    <t>PL-2012-089167</t>
  </si>
  <si>
    <t>PL-2011-089406</t>
  </si>
  <si>
    <t>Eldon Pizzaz™ Desk Accessories</t>
  </si>
  <si>
    <t>PL-2012-089444</t>
  </si>
  <si>
    <t>K01206</t>
  </si>
  <si>
    <t>Kacper Kowalczyk</t>
  </si>
  <si>
    <t>Drzewica</t>
  </si>
  <si>
    <t>26-340</t>
  </si>
  <si>
    <t>Tyvek Interoffice Envelopes, 9 1/2" x 12 1/2", 100/Box</t>
  </si>
  <si>
    <t>PL-2014-086608</t>
  </si>
  <si>
    <t>K01838</t>
  </si>
  <si>
    <t>Krystyna Sak</t>
  </si>
  <si>
    <t>Ostroróg</t>
  </si>
  <si>
    <t>Acco Recycled 2" Capacity Laser Printer Hanging Data Binders</t>
  </si>
  <si>
    <t>K01839</t>
  </si>
  <si>
    <t>Jan Łyszyk</t>
  </si>
  <si>
    <t>Gowarczów</t>
  </si>
  <si>
    <t>26-225</t>
  </si>
  <si>
    <t>K01836</t>
  </si>
  <si>
    <t>Ryszard Sobczyński</t>
  </si>
  <si>
    <t>26-606</t>
  </si>
  <si>
    <t>PL-2011-089448</t>
  </si>
  <si>
    <t>K01424</t>
  </si>
  <si>
    <t>Mariusz Różycki</t>
  </si>
  <si>
    <t>Czerniewice</t>
  </si>
  <si>
    <t>97-216</t>
  </si>
  <si>
    <t>Global Leather Executive Chair</t>
  </si>
  <si>
    <t>Brites Rubber Bands, 1 1/2 oz. Box</t>
  </si>
  <si>
    <t>PL-2013-087129</t>
  </si>
  <si>
    <t>PL-2014-089353</t>
  </si>
  <si>
    <t>PL-2012-089457</t>
  </si>
  <si>
    <t>K01966</t>
  </si>
  <si>
    <t>Krzysztof Beca</t>
  </si>
  <si>
    <t>Świecie</t>
  </si>
  <si>
    <t>86-105</t>
  </si>
  <si>
    <t>O'Sullivan Manor Hill 2-Door Library in Brianna Oak</t>
  </si>
  <si>
    <t>PL-2013-089471</t>
  </si>
  <si>
    <t>K02181</t>
  </si>
  <si>
    <t>Krzysztof Czajkowski</t>
  </si>
  <si>
    <t>Michałów</t>
  </si>
  <si>
    <t>27-423</t>
  </si>
  <si>
    <t>PL-2011-087917</t>
  </si>
  <si>
    <t>PL-2014-089354</t>
  </si>
  <si>
    <t>PL-2012-086235</t>
  </si>
  <si>
    <t>PL-2012-087778</t>
  </si>
  <si>
    <t>Fellowes Basic 104-Key Keyboard, Platinum</t>
  </si>
  <si>
    <t>PL-2013-089473</t>
  </si>
  <si>
    <t>K00893</t>
  </si>
  <si>
    <t>Arkadiusz Ruth</t>
  </si>
  <si>
    <t>Strzegom</t>
  </si>
  <si>
    <t>58-150</t>
  </si>
  <si>
    <t>Accessory29</t>
  </si>
  <si>
    <t>PL-2012-087638</t>
  </si>
  <si>
    <t>PL-2011-086346</t>
  </si>
  <si>
    <t>PL-2014-089477</t>
  </si>
  <si>
    <t>K01667</t>
  </si>
  <si>
    <t>Waldemar Pacewicz</t>
  </si>
  <si>
    <t>Lasowice Wielkie</t>
  </si>
  <si>
    <t>46-282</t>
  </si>
  <si>
    <t>PL-2012-089482</t>
  </si>
  <si>
    <t>K02740</t>
  </si>
  <si>
    <t>Bartłomiej Kardynał</t>
  </si>
  <si>
    <t>Avery 05222 Permanent Self-Adhesive File Folder Labels for Typewriters, on Rolls, White, 250/Roll</t>
  </si>
  <si>
    <t>PL-2013-089490</t>
  </si>
  <si>
    <t>K01676</t>
  </si>
  <si>
    <t>Robert Mastalerz</t>
  </si>
  <si>
    <t>Kamienica</t>
  </si>
  <si>
    <t>PL-2011-086233</t>
  </si>
  <si>
    <t>PL-2011-086500</t>
  </si>
  <si>
    <t>Ibico EB-19 Dual Function Manual Binding System</t>
  </si>
  <si>
    <t>K01907</t>
  </si>
  <si>
    <t>Agnieszka Łotysz</t>
  </si>
  <si>
    <t>Chocianów</t>
  </si>
  <si>
    <t>59-140</t>
  </si>
  <si>
    <t>#10- 4 1/8" x 9 1/2" Security-Tint Envelopes</t>
  </si>
  <si>
    <t>PL-2013-013634</t>
  </si>
  <si>
    <t>K00471</t>
  </si>
  <si>
    <t>Alicja Grzejdak</t>
  </si>
  <si>
    <t>IBM Active Response Keyboard, Black</t>
  </si>
  <si>
    <t>PL-2012-089499</t>
  </si>
  <si>
    <t>K02825</t>
  </si>
  <si>
    <t>Anita Patro</t>
  </si>
  <si>
    <t>Southworth 25% Cotton Premium Laser Paper and Envelopes</t>
  </si>
  <si>
    <t>PL-2014-088366</t>
  </si>
  <si>
    <t>K00183</t>
  </si>
  <si>
    <t>Agata Sapieha</t>
  </si>
  <si>
    <t>PL-2011-089504</t>
  </si>
  <si>
    <t>K02345</t>
  </si>
  <si>
    <t>Ewa Zielińska</t>
  </si>
  <si>
    <t>Global Leather Highback Executive Chair with Pneumatic Height Adjustment, Black</t>
  </si>
  <si>
    <t>PL-2011-087963</t>
  </si>
  <si>
    <t>PL-2014-089517</t>
  </si>
  <si>
    <t>K01267</t>
  </si>
  <si>
    <t>Elżbieta Majewska</t>
  </si>
  <si>
    <t>Ząbkowice Śląskie</t>
  </si>
  <si>
    <t>57-200</t>
  </si>
  <si>
    <t>PL-2013-086853</t>
  </si>
  <si>
    <t>Howard Miller Distant Time Traveler Alarm Clock</t>
  </si>
  <si>
    <t>Chromcraft 48" x 96" Racetrack Double Pedestal Table</t>
  </si>
  <si>
    <t>PL-2011-089521</t>
  </si>
  <si>
    <t>K00151</t>
  </si>
  <si>
    <t>Kazimiera Chojnicka</t>
  </si>
  <si>
    <t>Radymno</t>
  </si>
  <si>
    <t>37-550</t>
  </si>
  <si>
    <t>PL-2013-089362</t>
  </si>
  <si>
    <t>PL-2014-089555</t>
  </si>
  <si>
    <t>K00885</t>
  </si>
  <si>
    <t>Marek Moryson</t>
  </si>
  <si>
    <t>Żyrardów</t>
  </si>
  <si>
    <t>96-300</t>
  </si>
  <si>
    <t>Electrix Fluorescent Magnifier Lamps &amp; Weighted Base</t>
  </si>
  <si>
    <t>PL-2011-087436</t>
  </si>
  <si>
    <t>Acco Pressboard Covers with Storage Hooks, 14 7/8" x 11", Light Blue</t>
  </si>
  <si>
    <t>PL-2013-086361</t>
  </si>
  <si>
    <t>Economy Binders</t>
  </si>
  <si>
    <t>Micro Innovations Micro 3000 Keyboard, Black</t>
  </si>
  <si>
    <t>Regeneration Desk Collection</t>
  </si>
  <si>
    <t>PL-2013-086614</t>
  </si>
  <si>
    <t>O'Sullivan 5-Shelf Heavy-Duty Bookcases</t>
  </si>
  <si>
    <t>DAX Cubicle Frames, 8-1/2 x 11</t>
  </si>
  <si>
    <t>PL-2012-089565</t>
  </si>
  <si>
    <t>K03238</t>
  </si>
  <si>
    <t>Paweł Błaszczyk</t>
  </si>
  <si>
    <t>Szczawnica</t>
  </si>
  <si>
    <t>34-460</t>
  </si>
  <si>
    <t>PL-2011-089571</t>
  </si>
  <si>
    <t>K02268</t>
  </si>
  <si>
    <t>Aleksander Woźnicki</t>
  </si>
  <si>
    <t>Serokomla</t>
  </si>
  <si>
    <t>21-413</t>
  </si>
  <si>
    <t>Bevis Round Bullnose 29" High Table Top</t>
  </si>
  <si>
    <t>PL-2011-089579</t>
  </si>
  <si>
    <t>K00377</t>
  </si>
  <si>
    <t>Jacek Jankowski</t>
  </si>
  <si>
    <t>Gietrzwałd</t>
  </si>
  <si>
    <t>11-036</t>
  </si>
  <si>
    <t>PL-2011-089583</t>
  </si>
  <si>
    <t>K00114</t>
  </si>
  <si>
    <t>Estera Dadan</t>
  </si>
  <si>
    <t>Piecki</t>
  </si>
  <si>
    <t>11-710</t>
  </si>
  <si>
    <t>PL-2012-089593</t>
  </si>
  <si>
    <t>K01216</t>
  </si>
  <si>
    <t>Małgorzata Mirzejewska</t>
  </si>
  <si>
    <t>Korfantów</t>
  </si>
  <si>
    <t>48-317</t>
  </si>
  <si>
    <t>Tenex B1-RE Series Chair Mats for Low Pile Carpets</t>
  </si>
  <si>
    <t>Xerox 1932</t>
  </si>
  <si>
    <t>PL-2012-088816</t>
  </si>
  <si>
    <t>O'Sullivan 3-Shelf Heavy-Duty Bookcases</t>
  </si>
  <si>
    <t>PL-2012-088648</t>
  </si>
  <si>
    <t>K00577</t>
  </si>
  <si>
    <t>Karolina Cerazy</t>
  </si>
  <si>
    <t>Cegłów</t>
  </si>
  <si>
    <t>05-319</t>
  </si>
  <si>
    <t>K00588</t>
  </si>
  <si>
    <t>Janusz Sroka</t>
  </si>
  <si>
    <t>K00576</t>
  </si>
  <si>
    <t>Zbigniew Wolny</t>
  </si>
  <si>
    <t>Myszków</t>
  </si>
  <si>
    <t>42-300</t>
  </si>
  <si>
    <t>Global Deluxe High-Back Office Chair in Storm</t>
  </si>
  <si>
    <t>PL-2014-088144</t>
  </si>
  <si>
    <t>PL-2012-089598</t>
  </si>
  <si>
    <t>K01360</t>
  </si>
  <si>
    <t>Kamil Olszewski</t>
  </si>
  <si>
    <t>Siennica</t>
  </si>
  <si>
    <t>05-190</t>
  </si>
  <si>
    <t>Novimex Swivel Fabric Task Chair</t>
  </si>
  <si>
    <t>PL-2012-088445</t>
  </si>
  <si>
    <t>PL-2012-087956</t>
  </si>
  <si>
    <t>PL-2014-086873</t>
  </si>
  <si>
    <t>GBC Recycled Grain Textured Covers</t>
  </si>
  <si>
    <t>PL-2013-086224</t>
  </si>
  <si>
    <t>K03095</t>
  </si>
  <si>
    <t>Wojciech Piasecki</t>
  </si>
  <si>
    <t>Zelów</t>
  </si>
  <si>
    <t>97-425</t>
  </si>
  <si>
    <t>Xerox 1977</t>
  </si>
  <si>
    <t>PL-2014-089604</t>
  </si>
  <si>
    <t>K02262</t>
  </si>
  <si>
    <t>Eugenia Imbiorowska</t>
  </si>
  <si>
    <t>Bobowo</t>
  </si>
  <si>
    <t>K02260</t>
  </si>
  <si>
    <t>Joanna Banaszczak</t>
  </si>
  <si>
    <t>Kamień Krajeński</t>
  </si>
  <si>
    <t>89-430</t>
  </si>
  <si>
    <t>AT&amp;T 2230 Dual Handset Phone With Caller ID/Call Waiting</t>
  </si>
  <si>
    <t>PL-2014-089617</t>
  </si>
  <si>
    <t>K02332</t>
  </si>
  <si>
    <t>Sara Wilczyńska</t>
  </si>
  <si>
    <t>Stawiski</t>
  </si>
  <si>
    <t>PL-2014-089626</t>
  </si>
  <si>
    <t>K01030</t>
  </si>
  <si>
    <t>Anna Hackiewicz</t>
  </si>
  <si>
    <t>Bełżyce</t>
  </si>
  <si>
    <t>24-200</t>
  </si>
  <si>
    <t>Staples Surge Protector 6 outlet</t>
  </si>
  <si>
    <t>Berol Giant Pencil Sharpener</t>
  </si>
  <si>
    <t>Hon 61000 Series Interactive Training Tables</t>
  </si>
  <si>
    <t>PL-2014-089632</t>
  </si>
  <si>
    <t>K01071</t>
  </si>
  <si>
    <t>Jan Serdakowski</t>
  </si>
  <si>
    <t>Lubiewo</t>
  </si>
  <si>
    <t>89-526</t>
  </si>
  <si>
    <t>PL-2014-089154</t>
  </si>
  <si>
    <t>Staples Colored Interoffice Envelopes</t>
  </si>
  <si>
    <t>PL-2013-088235</t>
  </si>
  <si>
    <t>K01350</t>
  </si>
  <si>
    <t>Marcin Zięcina</t>
  </si>
  <si>
    <t>Racławice</t>
  </si>
  <si>
    <t>38-323</t>
  </si>
  <si>
    <t>Hon Deluxe Fabric Upholstered Stacking Chairs</t>
  </si>
  <si>
    <t>PL-2014-089438</t>
  </si>
  <si>
    <t>K00998</t>
  </si>
  <si>
    <t>Mirosław Zakrzewski</t>
  </si>
  <si>
    <t>Kępice</t>
  </si>
  <si>
    <t>77-230</t>
  </si>
  <si>
    <t>PL-2013-013638</t>
  </si>
  <si>
    <t>PL-2014-088981</t>
  </si>
  <si>
    <t>PL-2012-089636</t>
  </si>
  <si>
    <t>K01096</t>
  </si>
  <si>
    <t>Stanisław Gołuchowski</t>
  </si>
  <si>
    <t>PL-2012-086681</t>
  </si>
  <si>
    <t>K02232</t>
  </si>
  <si>
    <t>Mariusz Sydoruk</t>
  </si>
  <si>
    <t>Błaszki</t>
  </si>
  <si>
    <t>98-235</t>
  </si>
  <si>
    <t>PL-2011-089639</t>
  </si>
  <si>
    <t>K00408</t>
  </si>
  <si>
    <t>Ilona Kamińska</t>
  </si>
  <si>
    <t>Zalewo</t>
  </si>
  <si>
    <t>14-230</t>
  </si>
  <si>
    <t>PL-2014-089644</t>
  </si>
  <si>
    <t>K02876</t>
  </si>
  <si>
    <t>Urszula Woźniak</t>
  </si>
  <si>
    <t>PL-2012-086471</t>
  </si>
  <si>
    <t>K01487</t>
  </si>
  <si>
    <t>Augustyn Rola</t>
  </si>
  <si>
    <t>Dzierzkowice</t>
  </si>
  <si>
    <t>23-251</t>
  </si>
  <si>
    <t>PL-2011-089647</t>
  </si>
  <si>
    <t>K00353</t>
  </si>
  <si>
    <t>Henryk Grygiel</t>
  </si>
  <si>
    <t>Biała Podlaska</t>
  </si>
  <si>
    <t>21-500</t>
  </si>
  <si>
    <t>PL-2013-088715</t>
  </si>
  <si>
    <t>PL-2013-087170</t>
  </si>
  <si>
    <t>PL-2011-088729</t>
  </si>
  <si>
    <t>PL-2011-089175</t>
  </si>
  <si>
    <t>K02196</t>
  </si>
  <si>
    <t>Wioleta Bawoł</t>
  </si>
  <si>
    <t>Jastków</t>
  </si>
  <si>
    <t>21-002</t>
  </si>
  <si>
    <t>Belkin MediaBoard 104- Keyboard</t>
  </si>
  <si>
    <t>PL-2011-086191</t>
  </si>
  <si>
    <t>PL-2014-089495</t>
  </si>
  <si>
    <t>Xerox 1894</t>
  </si>
  <si>
    <t>PL-2013-089244</t>
  </si>
  <si>
    <t>Array® Parchment Paper, Assorted Colors</t>
  </si>
  <si>
    <t>K02710</t>
  </si>
  <si>
    <t>Wiktor Szostało</t>
  </si>
  <si>
    <t>Ożarowice</t>
  </si>
  <si>
    <t>42-624</t>
  </si>
  <si>
    <t>Master Caster Door Stop, Gray</t>
  </si>
  <si>
    <t>Newell 337</t>
  </si>
  <si>
    <t>PL-2014-089656</t>
  </si>
  <si>
    <t>K01716</t>
  </si>
  <si>
    <t>Elżbieta Władyko</t>
  </si>
  <si>
    <t>Rząśnia</t>
  </si>
  <si>
    <t>98-332</t>
  </si>
  <si>
    <t>PL-2012-088175</t>
  </si>
  <si>
    <t>K00672</t>
  </si>
  <si>
    <t>Grzegorz Maksymowicz</t>
  </si>
  <si>
    <t>Kobierzyce</t>
  </si>
  <si>
    <t>Imation Primaris 3.5" 2HD Unformatted Diskettes, 10/Pack</t>
  </si>
  <si>
    <t>PL-2011-089657</t>
  </si>
  <si>
    <t>K02583</t>
  </si>
  <si>
    <t>Bartosz Góral</t>
  </si>
  <si>
    <t>Przedecz</t>
  </si>
  <si>
    <t>62-635</t>
  </si>
  <si>
    <t>Okidata ML520 Series Dot Matrix Printers</t>
  </si>
  <si>
    <t>TOPS Voice Message Log Book, Flash Format</t>
  </si>
  <si>
    <t>PL-2014-085925</t>
  </si>
  <si>
    <t>PL-2011-089084</t>
  </si>
  <si>
    <t>PL-2011-088093</t>
  </si>
  <si>
    <t>PL-2011-086063</t>
  </si>
  <si>
    <t>PL-2013-089671</t>
  </si>
  <si>
    <t>K02121</t>
  </si>
  <si>
    <t>Jerzy Hawraniak</t>
  </si>
  <si>
    <t>Gierałtowice</t>
  </si>
  <si>
    <t>44-177</t>
  </si>
  <si>
    <t>GBC Recycled Regency Composition Covers</t>
  </si>
  <si>
    <t>PL-2014-089475</t>
  </si>
  <si>
    <t>PL-2011-089658</t>
  </si>
  <si>
    <t>K02584</t>
  </si>
  <si>
    <t>Daniel Sawicki</t>
  </si>
  <si>
    <t>Bliżyn</t>
  </si>
  <si>
    <t>26-120</t>
  </si>
  <si>
    <t>PL-2012-089118</t>
  </si>
  <si>
    <t>K01163</t>
  </si>
  <si>
    <t>Magdalena Wodzińska</t>
  </si>
  <si>
    <t>Drawsko Pomorskie</t>
  </si>
  <si>
    <t>78-500</t>
  </si>
  <si>
    <t>PL-2014-089684</t>
  </si>
  <si>
    <t>K01604</t>
  </si>
  <si>
    <t>Dariusz Gaczyński</t>
  </si>
  <si>
    <t>K01602</t>
  </si>
  <si>
    <t>Eryk Bzdak</t>
  </si>
  <si>
    <t>Łubniany</t>
  </si>
  <si>
    <t>46-024</t>
  </si>
  <si>
    <t>PL-2014-089693</t>
  </si>
  <si>
    <t>K01346</t>
  </si>
  <si>
    <t>Marcin Kuzdak</t>
  </si>
  <si>
    <t>Nowogród Bobrzański</t>
  </si>
  <si>
    <t>66-010</t>
  </si>
  <si>
    <t>PL-2011-089697</t>
  </si>
  <si>
    <t>K01849</t>
  </si>
  <si>
    <t>Renata Bąk</t>
  </si>
  <si>
    <t>Haczów</t>
  </si>
  <si>
    <t>36-213</t>
  </si>
  <si>
    <t>i2000</t>
  </si>
  <si>
    <t>PL-2011-086847</t>
  </si>
  <si>
    <t>K01854</t>
  </si>
  <si>
    <t>Marta Nowak</t>
  </si>
  <si>
    <t>PL-2013-086675</t>
  </si>
  <si>
    <t>K01592</t>
  </si>
  <si>
    <t>Paweł Baszczuk</t>
  </si>
  <si>
    <t>Żuromin</t>
  </si>
  <si>
    <t>09-300</t>
  </si>
  <si>
    <t>PL-2011-089704</t>
  </si>
  <si>
    <t>K01636</t>
  </si>
  <si>
    <t>Jerzy Kopaszewski</t>
  </si>
  <si>
    <t>Police</t>
  </si>
  <si>
    <t>72-010</t>
  </si>
  <si>
    <t>PL-2011-088905</t>
  </si>
  <si>
    <t>PL-2012-089573</t>
  </si>
  <si>
    <t>PL-2012-089717</t>
  </si>
  <si>
    <t>K03148</t>
  </si>
  <si>
    <t>Agnieszka Mądrawska</t>
  </si>
  <si>
    <t>Uścimów</t>
  </si>
  <si>
    <t>21-109</t>
  </si>
  <si>
    <t>GBC Wire Binding Strips</t>
  </si>
  <si>
    <t>PL-2013-013730</t>
  </si>
  <si>
    <t>PL-2014-086533</t>
  </si>
  <si>
    <t>K02554</t>
  </si>
  <si>
    <t>Ewa Kuźma</t>
  </si>
  <si>
    <t>Zagórz</t>
  </si>
  <si>
    <t>38-540</t>
  </si>
  <si>
    <t>Adams Phone Message Book, Professional, 400 Message Capacity, 5 3/6” x 11”</t>
  </si>
  <si>
    <t>PL-2014-086920</t>
  </si>
  <si>
    <t>Logitech Internet Navigator Keyboard</t>
  </si>
  <si>
    <t>PL-2013-086800</t>
  </si>
  <si>
    <t>K03132</t>
  </si>
  <si>
    <t>Czesław Gaj</t>
  </si>
  <si>
    <t>Nowa Brzeźnica</t>
  </si>
  <si>
    <t>98-331</t>
  </si>
  <si>
    <t>PL-2012-089724</t>
  </si>
  <si>
    <t>K02497</t>
  </si>
  <si>
    <t>Grażyna Pogonowicz</t>
  </si>
  <si>
    <t>PL-2013-088323</t>
  </si>
  <si>
    <t>PL-2011-089726</t>
  </si>
  <si>
    <t>K00331</t>
  </si>
  <si>
    <t>Zbigniew Białek</t>
  </si>
  <si>
    <t>Markusy</t>
  </si>
  <si>
    <t>Acco Keyboard-In-A-Box®</t>
  </si>
  <si>
    <t>K00329</t>
  </si>
  <si>
    <t>Andrzej Pędziwiatr</t>
  </si>
  <si>
    <t>PL-2014-089736</t>
  </si>
  <si>
    <t>K01264</t>
  </si>
  <si>
    <t>Danuta Grochocka</t>
  </si>
  <si>
    <t>Zawoja</t>
  </si>
  <si>
    <t>34-222</t>
  </si>
  <si>
    <t>Belkin 5 Outlet SurgeMaster™ Power Centers</t>
  </si>
  <si>
    <t>Staples® General Use 3-Ring Binders</t>
  </si>
  <si>
    <t>PL-2014-089742</t>
  </si>
  <si>
    <t>K00685</t>
  </si>
  <si>
    <t>Danuta Pietrzyk</t>
  </si>
  <si>
    <t>Rychtal</t>
  </si>
  <si>
    <t>63-630</t>
  </si>
  <si>
    <t>PL-2013-089747</t>
  </si>
  <si>
    <t>K02815</t>
  </si>
  <si>
    <t>Tomasz Erbacher</t>
  </si>
  <si>
    <t>Czerwieńsk</t>
  </si>
  <si>
    <t>66-016</t>
  </si>
  <si>
    <t>PL-2013-089755</t>
  </si>
  <si>
    <t>K01337</t>
  </si>
  <si>
    <t>Agnieszka Parada</t>
  </si>
  <si>
    <t>Dzierzążnia</t>
  </si>
  <si>
    <t>09-164</t>
  </si>
  <si>
    <t>K01335</t>
  </si>
  <si>
    <t>Marta Cieślak</t>
  </si>
  <si>
    <t>Słopnice</t>
  </si>
  <si>
    <t>34-615</t>
  </si>
  <si>
    <t>Acco Six-Outlet Power Strip, 4' Cord Length</t>
  </si>
  <si>
    <t>PL-2012-087273</t>
  </si>
  <si>
    <t>K03328</t>
  </si>
  <si>
    <t>Ewa Zyguła</t>
  </si>
  <si>
    <t>Zalesie</t>
  </si>
  <si>
    <t>21-020</t>
  </si>
  <si>
    <t>PL-2011-089761</t>
  </si>
  <si>
    <t>K00286</t>
  </si>
  <si>
    <t>Katarzyna Faryniarz</t>
  </si>
  <si>
    <t>Wieruszów</t>
  </si>
  <si>
    <t>98-400</t>
  </si>
  <si>
    <t>PL-2011-013735</t>
  </si>
  <si>
    <t>PL-2014-087923</t>
  </si>
  <si>
    <t>K02544</t>
  </si>
  <si>
    <t>Maria Kaczmarczyk</t>
  </si>
  <si>
    <t>Sulechów</t>
  </si>
  <si>
    <t>66-100</t>
  </si>
  <si>
    <t>PL-2011-086612</t>
  </si>
  <si>
    <t>K02265</t>
  </si>
  <si>
    <t>Paweł Jakubiak</t>
  </si>
  <si>
    <t>Chorzów</t>
  </si>
  <si>
    <t>41-500</t>
  </si>
  <si>
    <t>PL-2011-089770</t>
  </si>
  <si>
    <t>K00833</t>
  </si>
  <si>
    <t>Justyna Pusiarska</t>
  </si>
  <si>
    <t>Otmuchów</t>
  </si>
  <si>
    <t>48-385</t>
  </si>
  <si>
    <t>PL-2013-088227</t>
  </si>
  <si>
    <t>Staples 10" Round Wall Clock</t>
  </si>
  <si>
    <t>PL-2013-089781</t>
  </si>
  <si>
    <t>K01762</t>
  </si>
  <si>
    <t>Aneta Szczuka</t>
  </si>
  <si>
    <t>Jastrowie</t>
  </si>
  <si>
    <t>64-915</t>
  </si>
  <si>
    <t>K01763</t>
  </si>
  <si>
    <t>Elżbieta Ciszewska</t>
  </si>
  <si>
    <t>Siemiatycze</t>
  </si>
  <si>
    <t>17-300</t>
  </si>
  <si>
    <t>Hoover Commercial Soft Guard Upright Vacuum And Disposable Filtration Bags</t>
  </si>
  <si>
    <t>PL-2012-086569</t>
  </si>
  <si>
    <t>Deflect-o DuraMat Antistatic Studded Beveled Mat for Medium Pile Carpeting</t>
  </si>
  <si>
    <t>PL-2014-087325</t>
  </si>
  <si>
    <t>PL-2011-089564</t>
  </si>
  <si>
    <t>PL-2012-087774</t>
  </si>
  <si>
    <t>K02593</t>
  </si>
  <si>
    <t>Sylwester Myk</t>
  </si>
  <si>
    <t>Ropa</t>
  </si>
  <si>
    <t>38-312</t>
  </si>
  <si>
    <t>Avery 503</t>
  </si>
  <si>
    <t>PL-2011-089787</t>
  </si>
  <si>
    <t>K01178</t>
  </si>
  <si>
    <t>Marian Świderski</t>
  </si>
  <si>
    <t>Mrozy</t>
  </si>
  <si>
    <t>05-320</t>
  </si>
  <si>
    <t>Targus USB Numeric Keypad</t>
  </si>
  <si>
    <t>PL-2014-089796</t>
  </si>
  <si>
    <t>K03049</t>
  </si>
  <si>
    <t>Robert Patora</t>
  </si>
  <si>
    <t>Trav-L-File Heavy-Duty Shuttle II, Black</t>
  </si>
  <si>
    <t>PL-2014-088433</t>
  </si>
  <si>
    <t>Acco Perma® 2700 Stacking Storage Drawers</t>
  </si>
  <si>
    <t>PL-2014-089799</t>
  </si>
  <si>
    <t>K02831</t>
  </si>
  <si>
    <t>Wiesław Parus</t>
  </si>
  <si>
    <t>Black Print Carbonless Snap-Off® Rapid Letter, 8 1/2" x 7"</t>
  </si>
  <si>
    <t>PL-2013-087685</t>
  </si>
  <si>
    <t>K02697</t>
  </si>
  <si>
    <t>Lidia Szczęsna</t>
  </si>
  <si>
    <t>Goniądz</t>
  </si>
  <si>
    <t>19-110</t>
  </si>
  <si>
    <t>PL-2011-089801</t>
  </si>
  <si>
    <t>K02837</t>
  </si>
  <si>
    <t>Joanna Gładysz</t>
  </si>
  <si>
    <t>Konin</t>
  </si>
  <si>
    <t>62-500</t>
  </si>
  <si>
    <t>PL-2011-085850</t>
  </si>
  <si>
    <t>K03146</t>
  </si>
  <si>
    <t>Daniel Stawicki</t>
  </si>
  <si>
    <t>"While you Were Out" Message Book, One Form per Page</t>
  </si>
  <si>
    <t>PL-2013-089485</t>
  </si>
  <si>
    <t>PL-2013-086930</t>
  </si>
  <si>
    <t>Accessory36</t>
  </si>
  <si>
    <t>PL-2014-089809</t>
  </si>
  <si>
    <t>K03195</t>
  </si>
  <si>
    <t>Lech Jurek</t>
  </si>
  <si>
    <t>Laszki</t>
  </si>
  <si>
    <t>37-543</t>
  </si>
  <si>
    <t>PL-2013-089812</t>
  </si>
  <si>
    <t>K03128</t>
  </si>
  <si>
    <t>Renata Czarniak</t>
  </si>
  <si>
    <t>Ciechanów</t>
  </si>
  <si>
    <t>06-400</t>
  </si>
  <si>
    <t>Honeywell Enviracaire® Portable HEPA Air Cleaner for up to 10 x 16 Room</t>
  </si>
  <si>
    <t>PL-2014-088851</t>
  </si>
  <si>
    <t>K03379</t>
  </si>
  <si>
    <t>Zbigniew Jakomulski</t>
  </si>
  <si>
    <t>Sobolew</t>
  </si>
  <si>
    <t>08-460</t>
  </si>
  <si>
    <t>Surelock™ Post Binders</t>
  </si>
  <si>
    <t>PL-2012-089302</t>
  </si>
  <si>
    <t>K02444</t>
  </si>
  <si>
    <t>Bogusława Kozłowska</t>
  </si>
  <si>
    <t>Baruchowo</t>
  </si>
  <si>
    <t>87-821</t>
  </si>
  <si>
    <t>K02440</t>
  </si>
  <si>
    <t>Piotr Erbacher</t>
  </si>
  <si>
    <t>i1000plus</t>
  </si>
  <si>
    <t>PL-2014-088742</t>
  </si>
  <si>
    <t>PL-2014-088326</t>
  </si>
  <si>
    <t>PL-2012-089821</t>
  </si>
  <si>
    <t>K01955</t>
  </si>
  <si>
    <t>Joanna Wojtczak</t>
  </si>
  <si>
    <t>Srokowo</t>
  </si>
  <si>
    <t>11-420</t>
  </si>
  <si>
    <t>K01957</t>
  </si>
  <si>
    <t>Renata Grosiak</t>
  </si>
  <si>
    <t>Błażowa</t>
  </si>
  <si>
    <t>36-030</t>
  </si>
  <si>
    <t>PL-2011-088094</t>
  </si>
  <si>
    <t>Advantus Panel Wall Certificate Holder - 8.5x11</t>
  </si>
  <si>
    <t>PL-2011-087725</t>
  </si>
  <si>
    <t>PL-2012-089177</t>
  </si>
  <si>
    <t>Xerox 19</t>
  </si>
  <si>
    <t>PL-2013-089832</t>
  </si>
  <si>
    <t>K00310</t>
  </si>
  <si>
    <t>Łukasz Nowacki</t>
  </si>
  <si>
    <t>Krzywiń</t>
  </si>
  <si>
    <t>64-010</t>
  </si>
  <si>
    <t>Canon F603 Scientific Calculator</t>
  </si>
  <si>
    <t>PL-2013-089410</t>
  </si>
  <si>
    <t>PL-2011-089835</t>
  </si>
  <si>
    <t>K03264</t>
  </si>
  <si>
    <t>Michał Krata</t>
  </si>
  <si>
    <t>Banie Mazurskie</t>
  </si>
  <si>
    <t>19-520</t>
  </si>
  <si>
    <t>Hammermill Color Copier Paper (28Lb. and 96 Bright)</t>
  </si>
  <si>
    <t>PL-2012-087470</t>
  </si>
  <si>
    <t>Wilson Jones Elliptical Ring 3 1/2" Capacity Binders, 800 sheets</t>
  </si>
  <si>
    <t>PL-2012-089739</t>
  </si>
  <si>
    <t>PL-2013-089068</t>
  </si>
  <si>
    <t>K01657</t>
  </si>
  <si>
    <t>Piotr Szczepański</t>
  </si>
  <si>
    <t>Władysławów</t>
  </si>
  <si>
    <t>62-710</t>
  </si>
  <si>
    <t>PL-2012-087046</t>
  </si>
  <si>
    <t>Hon Olson Stacker Stools</t>
  </si>
  <si>
    <t>PL-2013-089842</t>
  </si>
  <si>
    <t>K03091</t>
  </si>
  <si>
    <t>Anna Rodak</t>
  </si>
  <si>
    <t>Sejny</t>
  </si>
  <si>
    <t>16-500</t>
  </si>
  <si>
    <t>PL-2011-089848</t>
  </si>
  <si>
    <t>K00696</t>
  </si>
  <si>
    <t>Piotr Kisielewski</t>
  </si>
  <si>
    <t>Budry</t>
  </si>
  <si>
    <t>11-606</t>
  </si>
  <si>
    <t>PL-2013-089580</t>
  </si>
  <si>
    <t>K00378</t>
  </si>
  <si>
    <t>Renata Nowak</t>
  </si>
  <si>
    <t>Nekla</t>
  </si>
  <si>
    <t>62-330</t>
  </si>
  <si>
    <t>Luxo Professional Combination Clamp-On Lamps</t>
  </si>
  <si>
    <t>Revere Boxed Rubber Bands by Revere</t>
  </si>
  <si>
    <t>PL-2013-086907</t>
  </si>
  <si>
    <t>PL-2011-086234</t>
  </si>
  <si>
    <t>Newell 312</t>
  </si>
  <si>
    <t>PL-2012-087118</t>
  </si>
  <si>
    <t>Verbatim DVD-R, 3.95GB, SR, Mitsubishi Branded, Jewel</t>
  </si>
  <si>
    <t>PL-2011-089857</t>
  </si>
  <si>
    <t>K01781</t>
  </si>
  <si>
    <t>Józef Borowski</t>
  </si>
  <si>
    <t>Zębowice</t>
  </si>
  <si>
    <t>46-048</t>
  </si>
  <si>
    <t>PL-2014-087381</t>
  </si>
  <si>
    <t>K01881</t>
  </si>
  <si>
    <t>Katarzyna Budzyńska</t>
  </si>
  <si>
    <t>Wadowice Górne</t>
  </si>
  <si>
    <t>39-308</t>
  </si>
  <si>
    <t>K01880</t>
  </si>
  <si>
    <t>Bogdan Dańczak</t>
  </si>
  <si>
    <t>Mędrzechów</t>
  </si>
  <si>
    <t>33-221</t>
  </si>
  <si>
    <t>K01884</t>
  </si>
  <si>
    <t>Rajmund Brzeziński</t>
  </si>
  <si>
    <t>Sadkowice</t>
  </si>
  <si>
    <t>96-206</t>
  </si>
  <si>
    <t>Microsoft Office Keyboard</t>
  </si>
  <si>
    <t>PL-2013-086458</t>
  </si>
  <si>
    <t>PL-2012-089870</t>
  </si>
  <si>
    <t>K02305</t>
  </si>
  <si>
    <t>Urszula Dżega</t>
  </si>
  <si>
    <t>Gołymin-Ośrodek</t>
  </si>
  <si>
    <t>06-420</t>
  </si>
  <si>
    <t>PL-2011-088165</t>
  </si>
  <si>
    <t>PL-2013-087595</t>
  </si>
  <si>
    <t>K01195</t>
  </si>
  <si>
    <t>Jacek Wilczak</t>
  </si>
  <si>
    <t>K01192</t>
  </si>
  <si>
    <t>Urszula Andrzejczak</t>
  </si>
  <si>
    <t>Biały Bór</t>
  </si>
  <si>
    <t>78-425</t>
  </si>
  <si>
    <t>PL-2011-089874</t>
  </si>
  <si>
    <t>K02874</t>
  </si>
  <si>
    <t>Krzysztof Karolak</t>
  </si>
  <si>
    <t>Naruszewo</t>
  </si>
  <si>
    <t>09-152</t>
  </si>
  <si>
    <t>V 3600 Series</t>
  </si>
  <si>
    <t>PL-2012-089881</t>
  </si>
  <si>
    <t>K03084</t>
  </si>
  <si>
    <t>Bożena Przybylska</t>
  </si>
  <si>
    <t>Jastarnia</t>
  </si>
  <si>
    <t>84-140</t>
  </si>
  <si>
    <t>PL-2012-087655</t>
  </si>
  <si>
    <t>PL-2011-089885</t>
  </si>
  <si>
    <t>K01653</t>
  </si>
  <si>
    <t>Dorota Rybińska</t>
  </si>
  <si>
    <t>Bielsk Podlaski</t>
  </si>
  <si>
    <t>17-100</t>
  </si>
  <si>
    <t>Tennsco Regal Shelving Units</t>
  </si>
  <si>
    <t>PL-2013-089895</t>
  </si>
  <si>
    <t>K00838</t>
  </si>
  <si>
    <t>Wasilij Głuscow</t>
  </si>
  <si>
    <t>Chąśno</t>
  </si>
  <si>
    <t>99-413</t>
  </si>
  <si>
    <t>PL-2013-089900</t>
  </si>
  <si>
    <t>K03288</t>
  </si>
  <si>
    <t>Kazimierz Kania</t>
  </si>
  <si>
    <t>Stoczek Łukowski</t>
  </si>
  <si>
    <t>21-450</t>
  </si>
  <si>
    <t>PL-2012-086260</t>
  </si>
  <si>
    <t>K02207</t>
  </si>
  <si>
    <t>Alina Serpina</t>
  </si>
  <si>
    <t>Łobez</t>
  </si>
  <si>
    <t>73-150</t>
  </si>
  <si>
    <t>PL-2013-089196</t>
  </si>
  <si>
    <t>Xerox 1926</t>
  </si>
  <si>
    <t>PL-2011-086794</t>
  </si>
  <si>
    <t>Acco Smartsocket™ Table Surge Protector, 6 Color-Coded Adapter Outlets</t>
  </si>
  <si>
    <t>PL-2013-089902</t>
  </si>
  <si>
    <t>K00537</t>
  </si>
  <si>
    <t>Iwona Brożek</t>
  </si>
  <si>
    <t>Łasin</t>
  </si>
  <si>
    <t>PL-2012-089905</t>
  </si>
  <si>
    <t>K03081</t>
  </si>
  <si>
    <t>Tomasz Chojnowski</t>
  </si>
  <si>
    <t>PL-2014-089825</t>
  </si>
  <si>
    <t>GBC Linen Binding Covers</t>
  </si>
  <si>
    <t>PL-2011-089059</t>
  </si>
  <si>
    <t>PL-2013-086457</t>
  </si>
  <si>
    <t>Avanti 4.4 Cu. Ft. Refrigerator</t>
  </si>
  <si>
    <t>PL-2011-089910</t>
  </si>
  <si>
    <t>K00800</t>
  </si>
  <si>
    <t>Agnieszka Jaszczak</t>
  </si>
  <si>
    <t>Microsoft Natural Multimedia Keyboard</t>
  </si>
  <si>
    <t>PL-2013-089917</t>
  </si>
  <si>
    <t>K00691</t>
  </si>
  <si>
    <t>Beata Kosmalska</t>
  </si>
  <si>
    <t>Rumia</t>
  </si>
  <si>
    <t>84-230</t>
  </si>
  <si>
    <t>Bravo II™ Megaboss® 12-Amp Hard Body Upright, Replacement Belts, 2 Belts per Pack</t>
  </si>
  <si>
    <t>PL-2011-086812</t>
  </si>
  <si>
    <t>Xerox 188</t>
  </si>
  <si>
    <t>PL-2011-086166</t>
  </si>
  <si>
    <t>K02352</t>
  </si>
  <si>
    <t>Mirosław Kabaciński</t>
  </si>
  <si>
    <t>Przechlewo</t>
  </si>
  <si>
    <t>77-320</t>
  </si>
  <si>
    <t>PL-2012-089924</t>
  </si>
  <si>
    <t>K00080</t>
  </si>
  <si>
    <t>Alina Anton</t>
  </si>
  <si>
    <t>Tychowo</t>
  </si>
  <si>
    <t>78-220</t>
  </si>
  <si>
    <t>Companion Letter/Legal File, Black</t>
  </si>
  <si>
    <t>PL-2012-088734</t>
  </si>
  <si>
    <t>PL-2014-089062</t>
  </si>
  <si>
    <t>K00874</t>
  </si>
  <si>
    <t>Łucja Kindel</t>
  </si>
  <si>
    <t>Siennica Różana</t>
  </si>
  <si>
    <t>Howard Miller 13" Diameter Goldtone Round Wall Clock</t>
  </si>
  <si>
    <t>PL-2012-089911</t>
  </si>
  <si>
    <t>K00799</t>
  </si>
  <si>
    <t>Zbigniew Kurkiewicz</t>
  </si>
  <si>
    <t>Avery 478</t>
  </si>
  <si>
    <t>PL-2014-087413</t>
  </si>
  <si>
    <t>Newell 339</t>
  </si>
  <si>
    <t>PL-2011-089083</t>
  </si>
  <si>
    <t>PL-2013-088831</t>
  </si>
  <si>
    <t>PL-2014-089908</t>
  </si>
  <si>
    <t>Global Stack Chair without Arms, Black</t>
  </si>
  <si>
    <t>PL-2013-087987</t>
  </si>
  <si>
    <t>PL-2014-086172</t>
  </si>
  <si>
    <t>PL-2014-089561</t>
  </si>
  <si>
    <t>PL-2011-087747</t>
  </si>
  <si>
    <t>PL-2014-089932</t>
  </si>
  <si>
    <t>K03343</t>
  </si>
  <si>
    <t>Sebastian Matułojć</t>
  </si>
  <si>
    <t>22-310</t>
  </si>
  <si>
    <t>PL-2013-089936</t>
  </si>
  <si>
    <t>K01429</t>
  </si>
  <si>
    <t>Dominik Kotowski</t>
  </si>
  <si>
    <t>Imielno</t>
  </si>
  <si>
    <t>28-313</t>
  </si>
  <si>
    <t>PL-2014-085878</t>
  </si>
  <si>
    <t>Tenex File Box, Personal Filing Tote with Lid, Black</t>
  </si>
  <si>
    <t>PL-2011-085828</t>
  </si>
  <si>
    <t>PL-2011-087830</t>
  </si>
  <si>
    <t>Executive Impressions 8-1/2" Career Panel/Partition Cubicle Clock</t>
  </si>
  <si>
    <t>Xerox 1962</t>
  </si>
  <si>
    <t>PL-2014-087334</t>
  </si>
  <si>
    <t>PL-2014-087574</t>
  </si>
  <si>
    <t>PL-2014-089111</t>
  </si>
  <si>
    <t>Xerox 1887</t>
  </si>
  <si>
    <t>PL-2013-087614</t>
  </si>
  <si>
    <t>K01623</t>
  </si>
  <si>
    <t>Marcin Ciechanowicz</t>
  </si>
  <si>
    <t>Morawica</t>
  </si>
  <si>
    <t>26-026</t>
  </si>
  <si>
    <t>PL-2012-087196</t>
  </si>
  <si>
    <t>K01726</t>
  </si>
  <si>
    <t>Jan Łączny</t>
  </si>
  <si>
    <t>Wysoka</t>
  </si>
  <si>
    <t>89-320</t>
  </si>
  <si>
    <t>PL-2014-086921</t>
  </si>
  <si>
    <t>K01182</t>
  </si>
  <si>
    <t>Anna Sendłak</t>
  </si>
  <si>
    <t>Białopole</t>
  </si>
  <si>
    <t>22-135</t>
  </si>
  <si>
    <t>PL-2013-089949</t>
  </si>
  <si>
    <t>K01775</t>
  </si>
  <si>
    <t>Ireneusz Kozłowski</t>
  </si>
  <si>
    <t>Kozienice</t>
  </si>
  <si>
    <t>26-900</t>
  </si>
  <si>
    <t>PL-2014-089960</t>
  </si>
  <si>
    <t>K01517</t>
  </si>
  <si>
    <t>Jan Sypniewicz</t>
  </si>
  <si>
    <t>Rudziniec</t>
  </si>
  <si>
    <t>44-160</t>
  </si>
  <si>
    <t>Lexmark Z55se Color Inkjet Printer</t>
  </si>
  <si>
    <t>K01521</t>
  </si>
  <si>
    <t>Paulina Nadzikiewicz</t>
  </si>
  <si>
    <t>Maków</t>
  </si>
  <si>
    <t>96-124</t>
  </si>
  <si>
    <t>K01518</t>
  </si>
  <si>
    <t>Daniel Bońdos</t>
  </si>
  <si>
    <t>Łęczna</t>
  </si>
  <si>
    <t>21-010</t>
  </si>
  <si>
    <t>Sauder Camden County Collection Library</t>
  </si>
  <si>
    <t>PL-2011-086264</t>
  </si>
  <si>
    <t>PL-2014-089965</t>
  </si>
  <si>
    <t>K00162</t>
  </si>
  <si>
    <t>Jarosław Kalenik</t>
  </si>
  <si>
    <t>GBC VeloBinder Electric Binding Machine</t>
  </si>
  <si>
    <t>PL-2011-087464</t>
  </si>
  <si>
    <t>K00171</t>
  </si>
  <si>
    <t>Arkadiusz Antoszewski</t>
  </si>
  <si>
    <t>Suszec</t>
  </si>
  <si>
    <t>43-267</t>
  </si>
  <si>
    <t>PL-2011-087463</t>
  </si>
  <si>
    <t>K00169</t>
  </si>
  <si>
    <t>Wanda Włodarczyk</t>
  </si>
  <si>
    <t>Świętochłowice</t>
  </si>
  <si>
    <t>41-600</t>
  </si>
  <si>
    <t>Fellowes Mobile Numeric Keypad, Graphite</t>
  </si>
  <si>
    <t>Polycom ViaVideo™ Desktop Video Communications Unit</t>
  </si>
  <si>
    <t>Staples Wirebound Steno Books, 6" x 9", 12/Pack</t>
  </si>
  <si>
    <t>PL-2012-087278</t>
  </si>
  <si>
    <t>K00336</t>
  </si>
  <si>
    <t>Maria Kolasa</t>
  </si>
  <si>
    <t>Tuczno</t>
  </si>
  <si>
    <t>78-640</t>
  </si>
  <si>
    <t>PL-2012-089971</t>
  </si>
  <si>
    <t>K02223</t>
  </si>
  <si>
    <t>Krzysztof Sobierajski</t>
  </si>
  <si>
    <t>Drobin</t>
  </si>
  <si>
    <t>09-210</t>
  </si>
  <si>
    <t>PL-2011-089981</t>
  </si>
  <si>
    <t>K01253</t>
  </si>
  <si>
    <t>Magdalena Fronc</t>
  </si>
  <si>
    <t>Czaplinek</t>
  </si>
  <si>
    <t>78-550</t>
  </si>
  <si>
    <t>Bionaire Personal Warm Mist Humidifier/Vaporizer</t>
  </si>
  <si>
    <t>PL-2011-088504</t>
  </si>
  <si>
    <t>Avery® Durable Slant Ring Binders With Label Holder</t>
  </si>
  <si>
    <t>PL-2011-088889</t>
  </si>
  <si>
    <t>PL-2013-086862</t>
  </si>
  <si>
    <t>PL-2013-086743</t>
  </si>
  <si>
    <t>Wilson Jones DublLock® D-Ring Binders</t>
  </si>
  <si>
    <t>PL-2013-089991</t>
  </si>
  <si>
    <t>K03100</t>
  </si>
  <si>
    <t>Marian Bednarczyk</t>
  </si>
  <si>
    <t>Zator</t>
  </si>
  <si>
    <t>32-640</t>
  </si>
  <si>
    <t>PL-2012-088377</t>
  </si>
  <si>
    <t>PL-2011-089994</t>
  </si>
  <si>
    <t>K01364</t>
  </si>
  <si>
    <t>Krzysztof Sadowski</t>
  </si>
  <si>
    <t>PL-2014-087442</t>
  </si>
  <si>
    <t>K03231</t>
  </si>
  <si>
    <t>Michał Wiatr</t>
  </si>
  <si>
    <t>Węgorzyno</t>
  </si>
  <si>
    <t>73-155</t>
  </si>
  <si>
    <t>PL-2011-089999</t>
  </si>
  <si>
    <t>K01988</t>
  </si>
  <si>
    <t>Dariusz Iwaniec</t>
  </si>
  <si>
    <t>Chełm Śląski</t>
  </si>
  <si>
    <t>41-403</t>
  </si>
  <si>
    <t>36X48 HARDFLOOR CHAIRMAT</t>
  </si>
  <si>
    <t>PL-2013-087713</t>
  </si>
  <si>
    <t>PL-2014-089804</t>
  </si>
  <si>
    <t>PL-2013-090016</t>
  </si>
  <si>
    <t>K02891</t>
  </si>
  <si>
    <t>Anna Muraszka</t>
  </si>
  <si>
    <t>Gołdap</t>
  </si>
  <si>
    <t>19-500</t>
  </si>
  <si>
    <t>PL-2014-088616</t>
  </si>
  <si>
    <t>Acme® Preferred Stainless Steel Scissors</t>
  </si>
  <si>
    <t>PL-2012-088427</t>
  </si>
  <si>
    <t>PL-2013-088438</t>
  </si>
  <si>
    <t>Fellowes Premier Superior Surge Suppressor, 10-Outlet, With Phone and Remote</t>
  </si>
  <si>
    <t>Sanford Colorific Colored Pencils, 12/Box</t>
  </si>
  <si>
    <t>PL-2014-088856</t>
  </si>
  <si>
    <t>PL-2013-085984</t>
  </si>
  <si>
    <t>PL-2012-090028</t>
  </si>
  <si>
    <t>K00528</t>
  </si>
  <si>
    <t>Wiktoria Łuczak</t>
  </si>
  <si>
    <t>Koszarawa</t>
  </si>
  <si>
    <t>34-332</t>
  </si>
  <si>
    <t>9-3/4 Diameter Round Wall Clock</t>
  </si>
  <si>
    <t>K00526</t>
  </si>
  <si>
    <t>Wanda Gierach</t>
  </si>
  <si>
    <t>Koszalin</t>
  </si>
  <si>
    <t>75-669</t>
  </si>
  <si>
    <t>PL-2012-089458</t>
  </si>
  <si>
    <t>PL-2014-089290</t>
  </si>
  <si>
    <t>PL-2013-087190</t>
  </si>
  <si>
    <t>PL-2011-089203</t>
  </si>
  <si>
    <t>K00032</t>
  </si>
  <si>
    <t>Natalia Warchoł</t>
  </si>
  <si>
    <t>Żerków</t>
  </si>
  <si>
    <t>63-210</t>
  </si>
  <si>
    <t>TimeportP7382</t>
  </si>
  <si>
    <t>PL-2014-088877</t>
  </si>
  <si>
    <t>K01938</t>
  </si>
  <si>
    <t>Mirosław Malec</t>
  </si>
  <si>
    <t>Wielkie Oczy</t>
  </si>
  <si>
    <t>37-627</t>
  </si>
  <si>
    <t>Tyvek ® Top-Opening Peel &amp; Seel Envelopes, Plain White</t>
  </si>
  <si>
    <t>PL-2011-086574</t>
  </si>
  <si>
    <t>PL-2011-087583</t>
  </si>
  <si>
    <t>K01197</t>
  </si>
  <si>
    <t>Mariusz Poleszczuk</t>
  </si>
  <si>
    <t>Godzianów</t>
  </si>
  <si>
    <t>96-126</t>
  </si>
  <si>
    <t>PL-2012-090033</t>
  </si>
  <si>
    <t>K00017</t>
  </si>
  <si>
    <t>Daniel Ostaszewski</t>
  </si>
  <si>
    <t>Głuszyca</t>
  </si>
  <si>
    <t>58-340</t>
  </si>
  <si>
    <t>PL-2013-089528</t>
  </si>
  <si>
    <t>PL-2013-087493</t>
  </si>
  <si>
    <t>K01551</t>
  </si>
  <si>
    <t>Tomasz Rosołowski</t>
  </si>
  <si>
    <t>Ośno Lubuskie</t>
  </si>
  <si>
    <t>69-220</t>
  </si>
  <si>
    <t>PL-2011-089284</t>
  </si>
  <si>
    <t>PL-2014-089289</t>
  </si>
  <si>
    <t>Avery Trapezoid Extra Heavy Duty 4" Binders</t>
  </si>
  <si>
    <t>PL-2011-090040</t>
  </si>
  <si>
    <t>K02363</t>
  </si>
  <si>
    <t>Kazimierz Szyszka</t>
  </si>
  <si>
    <t>Zapolice</t>
  </si>
  <si>
    <t>97-512</t>
  </si>
  <si>
    <t>PL-2013-087542</t>
  </si>
  <si>
    <t>PL-2014-087573</t>
  </si>
  <si>
    <t>K02143</t>
  </si>
  <si>
    <t>Izydor Palka</t>
  </si>
  <si>
    <t>Office Impressions Heavy Duty Welded Shelving &amp; Multimedia Storage Drawers</t>
  </si>
  <si>
    <t>PL-2011-086491</t>
  </si>
  <si>
    <t>K03167</t>
  </si>
  <si>
    <t>Antoni Bielida</t>
  </si>
  <si>
    <t>Miedźno</t>
  </si>
  <si>
    <t>42-120</t>
  </si>
  <si>
    <t>Fluorescent Highlighters by Dixon</t>
  </si>
  <si>
    <t>PL-2013-085839</t>
  </si>
  <si>
    <t>PL-2012-089811</t>
  </si>
  <si>
    <t>Binney &amp; Smith inkTank™ Erasable Pocket Highlighter, Chisel Tip, Yellow</t>
  </si>
  <si>
    <t>PL-2012-088116</t>
  </si>
  <si>
    <t>K02728</t>
  </si>
  <si>
    <t>Anna Sobocińska</t>
  </si>
  <si>
    <t>Kłodzko</t>
  </si>
  <si>
    <t>57-300</t>
  </si>
  <si>
    <t>PL-2011-090043</t>
  </si>
  <si>
    <t>K01005</t>
  </si>
  <si>
    <t>Bartłomiej Nowicki</t>
  </si>
  <si>
    <t>Gołańcz</t>
  </si>
  <si>
    <t>62-130</t>
  </si>
  <si>
    <t>PL-2011-086102</t>
  </si>
  <si>
    <t>PL-2011-088569</t>
  </si>
  <si>
    <t>Zebra Zazzle Fluorescent Highlighters</t>
  </si>
  <si>
    <t>K00851</t>
  </si>
  <si>
    <t>Waldemar Trzemżalski</t>
  </si>
  <si>
    <t>Holmes Cool Mist Humidifier for the Whole House with 8-Gallon Output per Day, Extended Life Filter</t>
  </si>
  <si>
    <t>PL-2014-090053</t>
  </si>
  <si>
    <t>K00804</t>
  </si>
  <si>
    <t>Anna Wysocka</t>
  </si>
  <si>
    <t>Raba Wyżna</t>
  </si>
  <si>
    <t>34-721</t>
  </si>
  <si>
    <t>PL-2013-085885</t>
  </si>
  <si>
    <t>K01494</t>
  </si>
  <si>
    <t>Grzegorz Krukowski</t>
  </si>
  <si>
    <t>Pleśna</t>
  </si>
  <si>
    <t>33-171</t>
  </si>
  <si>
    <t>PL-2012-087089</t>
  </si>
  <si>
    <t>PL-2012-090055</t>
  </si>
  <si>
    <t>K02918</t>
  </si>
  <si>
    <t>Maciej Pietruczak</t>
  </si>
  <si>
    <t>Piekary Śląskie</t>
  </si>
  <si>
    <t>41-943</t>
  </si>
  <si>
    <t>PL-2012-088619</t>
  </si>
  <si>
    <t>K02319</t>
  </si>
  <si>
    <t>Jarosław Szuba</t>
  </si>
  <si>
    <t>Kochanowice</t>
  </si>
  <si>
    <t>42-713</t>
  </si>
  <si>
    <t>PL-2012-090062</t>
  </si>
  <si>
    <t>K00510</t>
  </si>
  <si>
    <t>Marta Kępska</t>
  </si>
  <si>
    <t>Bystrzyca Kłodzka</t>
  </si>
  <si>
    <t>57-500</t>
  </si>
  <si>
    <t>PL-2013-086110</t>
  </si>
  <si>
    <t>K03042</t>
  </si>
  <si>
    <t>Jerzy Kosiorowski</t>
  </si>
  <si>
    <t>Rzeczyca</t>
  </si>
  <si>
    <t>97-220</t>
  </si>
  <si>
    <t>PL-2011-088411</t>
  </si>
  <si>
    <t>Hand-Finished Solid Wood Document Frame</t>
  </si>
  <si>
    <t>PL-2012-086216</t>
  </si>
  <si>
    <t>PL-2011-087811</t>
  </si>
  <si>
    <t>PL-2011-089537</t>
  </si>
  <si>
    <t>PL-2012-087391</t>
  </si>
  <si>
    <t>K00295</t>
  </si>
  <si>
    <t>Adrian Kurzawski</t>
  </si>
  <si>
    <t>K00297</t>
  </si>
  <si>
    <t>Krystian Pozaroszczyk</t>
  </si>
  <si>
    <t>PL-2013-088043</t>
  </si>
  <si>
    <t>PL-2012-088827</t>
  </si>
  <si>
    <t>Eaton Premium Continuous-Feed Paper, 25% Cotton, Letter Size, White, 1000 Shts/Box</t>
  </si>
  <si>
    <t>PL-2013-090072</t>
  </si>
  <si>
    <t>K01052</t>
  </si>
  <si>
    <t>Arkadiusz Małecki</t>
  </si>
  <si>
    <t>Mikołajki</t>
  </si>
  <si>
    <t>11-730</t>
  </si>
  <si>
    <t>PL-2012-090081</t>
  </si>
  <si>
    <t>K02129</t>
  </si>
  <si>
    <t>Daniel Sapilak</t>
  </si>
  <si>
    <t>PL-2013-090096</t>
  </si>
  <si>
    <t>K02574</t>
  </si>
  <si>
    <t>Marek Zygan</t>
  </si>
  <si>
    <t>Szczecinek</t>
  </si>
  <si>
    <t>78-400</t>
  </si>
  <si>
    <t>PL-2013-089294</t>
  </si>
  <si>
    <t>K00284</t>
  </si>
  <si>
    <t>Adam Ziętek</t>
  </si>
  <si>
    <t>K00280</t>
  </si>
  <si>
    <t>Agnieszka Kijko</t>
  </si>
  <si>
    <t>Avery Durable Poly Binders</t>
  </si>
  <si>
    <t>PL-2012-088106</t>
  </si>
  <si>
    <t>K01131</t>
  </si>
  <si>
    <t>Krzysztof Pilipczuk</t>
  </si>
  <si>
    <t>Zabrze</t>
  </si>
  <si>
    <t>41-806</t>
  </si>
  <si>
    <t>PL-2011-090099</t>
  </si>
  <si>
    <t>K01873</t>
  </si>
  <si>
    <t>Jacek Marcinkowski</t>
  </si>
  <si>
    <t>Nowe Skalmierzyce</t>
  </si>
  <si>
    <t>63-460</t>
  </si>
  <si>
    <t>Xerox 1991</t>
  </si>
  <si>
    <t>PL-2011-087086</t>
  </si>
  <si>
    <t>PL-2013-088980</t>
  </si>
  <si>
    <t>PL-2011-089858</t>
  </si>
  <si>
    <t>PL-2012-086877</t>
  </si>
  <si>
    <t>PL-2013-089622</t>
  </si>
  <si>
    <t>PL-2011-090104</t>
  </si>
  <si>
    <t>K03319</t>
  </si>
  <si>
    <t>Jerzy Nałęcz</t>
  </si>
  <si>
    <t>Pakość</t>
  </si>
  <si>
    <t>88-170</t>
  </si>
  <si>
    <t>PL-2011-088173</t>
  </si>
  <si>
    <t>PL-2013-087392</t>
  </si>
  <si>
    <t>K00294</t>
  </si>
  <si>
    <t>Elżbieta Cieślik</t>
  </si>
  <si>
    <t>Mszana Dolna</t>
  </si>
  <si>
    <t>34-730</t>
  </si>
  <si>
    <t>K00298</t>
  </si>
  <si>
    <t>Dariusz Wójciak</t>
  </si>
  <si>
    <t>Radomyśl nad Sanem</t>
  </si>
  <si>
    <t>37-455</t>
  </si>
  <si>
    <t>PL-2013-088066</t>
  </si>
  <si>
    <t>PL-2013-087400</t>
  </si>
  <si>
    <t>Hon Pagoda™ Stacking Chairs</t>
  </si>
  <si>
    <t>K02911</t>
  </si>
  <si>
    <t>Artur Wolski</t>
  </si>
  <si>
    <t>Prudnik</t>
  </si>
  <si>
    <t>48-200</t>
  </si>
  <si>
    <t>PL-2014-087335</t>
  </si>
  <si>
    <t>PL-2013-089616</t>
  </si>
  <si>
    <t>Sauder Camden County Collection Libraries, Planked Cherry Finish</t>
  </si>
  <si>
    <t>Polycom Soundstation EX Audio-Conferencing Telephone, Black</t>
  </si>
  <si>
    <t>PL-2013-089463</t>
  </si>
  <si>
    <t>K01967</t>
  </si>
  <si>
    <t>Grzegorz Grygiel</t>
  </si>
  <si>
    <t>Osielsko</t>
  </si>
  <si>
    <t>86-031</t>
  </si>
  <si>
    <t>Imation IBM Formatted Diskettes, 100/Pack</t>
  </si>
  <si>
    <t>PL-2011-090110</t>
  </si>
  <si>
    <t>K02272</t>
  </si>
  <si>
    <t>Adam Gołębiewski</t>
  </si>
  <si>
    <t>Trąbki Wielkie</t>
  </si>
  <si>
    <t>83-033</t>
  </si>
  <si>
    <t>Acme Galleria® Hot Forged Steel Scissors with Colored Handles</t>
  </si>
  <si>
    <t>PL-2012-087636</t>
  </si>
  <si>
    <t>K02884</t>
  </si>
  <si>
    <t>Janina Surówka</t>
  </si>
  <si>
    <t>Kalinowo</t>
  </si>
  <si>
    <t>11-500</t>
  </si>
  <si>
    <t>PL-2014-086113</t>
  </si>
  <si>
    <t>PL-2011-089611</t>
  </si>
  <si>
    <t>K02333</t>
  </si>
  <si>
    <t>Paweł Chojnacki</t>
  </si>
  <si>
    <t>Nakło nad Notecią</t>
  </si>
  <si>
    <t>89-100</t>
  </si>
  <si>
    <t>Global Ergonomic Managers Chair</t>
  </si>
  <si>
    <t>PL-2012-090117</t>
  </si>
  <si>
    <t>K01278</t>
  </si>
  <si>
    <t>Ewa Antczak</t>
  </si>
  <si>
    <t>Głogówek</t>
  </si>
  <si>
    <t>48-250</t>
  </si>
  <si>
    <t>PL-2013-086851</t>
  </si>
  <si>
    <t>K01862</t>
  </si>
  <si>
    <t>Elżbieta Kacperek</t>
  </si>
  <si>
    <t>Marianowo</t>
  </si>
  <si>
    <t>73-121</t>
  </si>
  <si>
    <t>PL-2011-088899</t>
  </si>
  <si>
    <t>PL-2014-088122</t>
  </si>
  <si>
    <t>Belkin 107-key enhanced keyboard, USB/PS/2 interface</t>
  </si>
  <si>
    <t>Stacking Tray, Side-Loading, Legal, Smoke</t>
  </si>
  <si>
    <t>PL-2011-088907</t>
  </si>
  <si>
    <t>PL-2014-088417</t>
  </si>
  <si>
    <t>PL-2014-090125</t>
  </si>
  <si>
    <t>K01437</t>
  </si>
  <si>
    <t>Damian Walczak</t>
  </si>
  <si>
    <t>Przedbórz</t>
  </si>
  <si>
    <t>97-570</t>
  </si>
  <si>
    <t>Acco Smartsocket® Color-Coded Six-Outlet AC Adapter Model Surge Protectors</t>
  </si>
  <si>
    <t>PL-2014-088865</t>
  </si>
  <si>
    <t>PL-2012-090128</t>
  </si>
  <si>
    <t>K01660</t>
  </si>
  <si>
    <t>Dawid Gazda</t>
  </si>
  <si>
    <t>Łowicz</t>
  </si>
  <si>
    <t>99-400</t>
  </si>
  <si>
    <t>PL-2012-090135</t>
  </si>
  <si>
    <t>K01088</t>
  </si>
  <si>
    <t>Jolanta Pawłowska</t>
  </si>
  <si>
    <t>Bevis Boat-Shaped Conference Table</t>
  </si>
  <si>
    <t>PL-2012-089699</t>
  </si>
  <si>
    <t>PL-2011-090148</t>
  </si>
  <si>
    <t>K02285</t>
  </si>
  <si>
    <t>Agnieszka Bęben</t>
  </si>
  <si>
    <t>Ryki</t>
  </si>
  <si>
    <t>08-500</t>
  </si>
  <si>
    <t>PL-2011-089356</t>
  </si>
  <si>
    <t>PL-2013-090136</t>
  </si>
  <si>
    <t>PL-2011-090154</t>
  </si>
  <si>
    <t>K03388</t>
  </si>
  <si>
    <t>Jowita Ferenc</t>
  </si>
  <si>
    <t>Ozorków</t>
  </si>
  <si>
    <t>95-035</t>
  </si>
  <si>
    <t>PL-2012-089859</t>
  </si>
  <si>
    <t>Hoover Upright Vacuum With Dirt Cup</t>
  </si>
  <si>
    <t>PL-2014-090163</t>
  </si>
  <si>
    <t>K03120</t>
  </si>
  <si>
    <t>Robert Kmieć</t>
  </si>
  <si>
    <t>Mysłowice</t>
  </si>
  <si>
    <t>41-404</t>
  </si>
  <si>
    <t>PL-2014-086931</t>
  </si>
  <si>
    <t>PL-2011-090167</t>
  </si>
  <si>
    <t>K00896</t>
  </si>
  <si>
    <t>Marek Krzyżanowski</t>
  </si>
  <si>
    <t>Świebodzice</t>
  </si>
  <si>
    <t>58-160</t>
  </si>
  <si>
    <t>PL-2012-088032</t>
  </si>
  <si>
    <t>K02211</t>
  </si>
  <si>
    <t>Elżbieta Piekarska</t>
  </si>
  <si>
    <t>Czarne</t>
  </si>
  <si>
    <t>77-300</t>
  </si>
  <si>
    <t>PL-2011-085880</t>
  </si>
  <si>
    <t>Westinghouse Clip-On Gooseneck Lamps</t>
  </si>
  <si>
    <t>Xerox 1996</t>
  </si>
  <si>
    <t>PL-2012-090175</t>
  </si>
  <si>
    <t>K02634</t>
  </si>
  <si>
    <t>Marek Maj</t>
  </si>
  <si>
    <t>Kalisz</t>
  </si>
  <si>
    <t>62-800</t>
  </si>
  <si>
    <t>PL-2012-087429</t>
  </si>
  <si>
    <t>PL-2011-090178</t>
  </si>
  <si>
    <t>K01754</t>
  </si>
  <si>
    <t>Ilona Olejniczak</t>
  </si>
  <si>
    <t>Łuków</t>
  </si>
  <si>
    <t>21-400</t>
  </si>
  <si>
    <t>600 Series Flip</t>
  </si>
  <si>
    <t>PL-2011-090187</t>
  </si>
  <si>
    <t>K00910</t>
  </si>
  <si>
    <t>Bernadetta Grochowicka</t>
  </si>
  <si>
    <t>Murów</t>
  </si>
  <si>
    <t>46-030</t>
  </si>
  <si>
    <t>Xerox 1954</t>
  </si>
  <si>
    <t>PL-2011-090189</t>
  </si>
  <si>
    <t>K01692</t>
  </si>
  <si>
    <t>Jan Chlewicki</t>
  </si>
  <si>
    <t>Grudusk</t>
  </si>
  <si>
    <t>06-460</t>
  </si>
  <si>
    <t>K01693</t>
  </si>
  <si>
    <t>Agnieszka Ziarkowska</t>
  </si>
  <si>
    <t>PL-2013-090197</t>
  </si>
  <si>
    <t>K00005</t>
  </si>
  <si>
    <t>Artur Wezgraj</t>
  </si>
  <si>
    <t>Krasnobród</t>
  </si>
  <si>
    <t>22-440</t>
  </si>
  <si>
    <t>PL-2011-086913</t>
  </si>
  <si>
    <t>PL-2014-085913</t>
  </si>
  <si>
    <t>K00812</t>
  </si>
  <si>
    <t>Andrzej Krzywicki</t>
  </si>
  <si>
    <t>Eldon Econocleat® Chair Mats for Low Pile Carpets</t>
  </si>
  <si>
    <t>PL-2011-087556</t>
  </si>
  <si>
    <t>K02795</t>
  </si>
  <si>
    <t>Artur Dąbkowski</t>
  </si>
  <si>
    <t>Szydłów</t>
  </si>
  <si>
    <t>28-225</t>
  </si>
  <si>
    <t>A1228</t>
  </si>
  <si>
    <t>PL-2013-090208</t>
  </si>
  <si>
    <t>K00983</t>
  </si>
  <si>
    <t>Piotr Oziembło</t>
  </si>
  <si>
    <t>Widawa</t>
  </si>
  <si>
    <t>98-170</t>
  </si>
  <si>
    <t>V70</t>
  </si>
  <si>
    <t>PL-2013-086128</t>
  </si>
  <si>
    <t>Xerox 199</t>
  </si>
  <si>
    <t>PL-2013-090217</t>
  </si>
  <si>
    <t>K01058</t>
  </si>
  <si>
    <t>Michał Wartalski</t>
  </si>
  <si>
    <t>PL-2012-090219</t>
  </si>
  <si>
    <t>K02926</t>
  </si>
  <si>
    <t>Zdzisław Tondel</t>
  </si>
  <si>
    <t>Stawiguda</t>
  </si>
  <si>
    <t>11-034</t>
  </si>
  <si>
    <t>PL-2012-087476</t>
  </si>
  <si>
    <t>K03375</t>
  </si>
  <si>
    <t>Violetta Zbytek</t>
  </si>
  <si>
    <t>Siedlisko</t>
  </si>
  <si>
    <t>67-100</t>
  </si>
  <si>
    <t>Avery Self-Adhesive Photo Pockets for Polaroid Photos</t>
  </si>
  <si>
    <t>PL-2012-090232</t>
  </si>
  <si>
    <t>K01568</t>
  </si>
  <si>
    <t>Alfred Borysewicz</t>
  </si>
  <si>
    <t>Kłoczew</t>
  </si>
  <si>
    <t>08-550</t>
  </si>
  <si>
    <t>PL-2013-090241</t>
  </si>
  <si>
    <t>K00232</t>
  </si>
  <si>
    <t>Łukasz Kręciejewski</t>
  </si>
  <si>
    <t>Debrzno</t>
  </si>
  <si>
    <t>77-310</t>
  </si>
  <si>
    <t>Xerox Blank Computer Paper</t>
  </si>
  <si>
    <t>PL-2012-086656</t>
  </si>
  <si>
    <t>PL-2013-090245</t>
  </si>
  <si>
    <t>K00819</t>
  </si>
  <si>
    <t>Piotr Czech</t>
  </si>
  <si>
    <t>PL-2011-013959</t>
  </si>
  <si>
    <t>PL-2014-085891</t>
  </si>
  <si>
    <t>PL-2011-090248</t>
  </si>
  <si>
    <t>K01618</t>
  </si>
  <si>
    <t>Agnieszka Stankiewicz</t>
  </si>
  <si>
    <t>Rzekuń</t>
  </si>
  <si>
    <t>07-411</t>
  </si>
  <si>
    <t>Martin-Yale Premier Letter Opener</t>
  </si>
  <si>
    <t>K01620</t>
  </si>
  <si>
    <t>Jolanta Gajewska</t>
  </si>
  <si>
    <t>Tuchów</t>
  </si>
  <si>
    <t>33-170</t>
  </si>
  <si>
    <t>600 Series Non-Flip</t>
  </si>
  <si>
    <t>PL-2012-086400</t>
  </si>
  <si>
    <t>Recycled Premium Regency Composition Covers</t>
  </si>
  <si>
    <t>Atlantic Metals Mobile 5-Shelf Bookcases, Custom Colors</t>
  </si>
  <si>
    <t>PL-2011-087727</t>
  </si>
  <si>
    <t>PL-2011-087678</t>
  </si>
  <si>
    <t>Hewlett-Packard 2600DN Business Color Inkjet Printer</t>
  </si>
  <si>
    <t>PL-2012-089923</t>
  </si>
  <si>
    <t>Office Star - Ergonomic Mid Back Chair with 2-Way Adjustable Arms</t>
  </si>
  <si>
    <t>PL-2013-087274</t>
  </si>
  <si>
    <t>PL-2014-086525</t>
  </si>
  <si>
    <t>PL-2012-090256</t>
  </si>
  <si>
    <t>K02843</t>
  </si>
  <si>
    <t>Maria Spirzak</t>
  </si>
  <si>
    <t>Mała Wieś</t>
  </si>
  <si>
    <t>05-622</t>
  </si>
  <si>
    <t>PL-2013-086659</t>
  </si>
  <si>
    <t>PL-2014-089398</t>
  </si>
  <si>
    <t>K02718</t>
  </si>
  <si>
    <t>Emilia Świderek</t>
  </si>
  <si>
    <t>PL-2014-088575</t>
  </si>
  <si>
    <t>PL-2011-088940</t>
  </si>
  <si>
    <t>K00271</t>
  </si>
  <si>
    <t>Adam Boguszewski</t>
  </si>
  <si>
    <t>Karsin</t>
  </si>
  <si>
    <t>83-440</t>
  </si>
  <si>
    <t>PL-2014-088150</t>
  </si>
  <si>
    <t>Dana Fluorescent Magnifying Lamp, White, 36"</t>
  </si>
  <si>
    <t>PL-2011-086508</t>
  </si>
  <si>
    <t>Novimex Fabric Task Chair</t>
  </si>
  <si>
    <t>PL-2013-089530</t>
  </si>
  <si>
    <t>Xerox 191</t>
  </si>
  <si>
    <t>PL-2014-013984</t>
  </si>
  <si>
    <t>PL-2012-090259</t>
  </si>
  <si>
    <t>K00756</t>
  </si>
  <si>
    <t>Barbara Piórkowska</t>
  </si>
  <si>
    <t>Kcynia</t>
  </si>
  <si>
    <t>89-240</t>
  </si>
  <si>
    <t>StarTAC ST7868</t>
  </si>
  <si>
    <t>PL-2014-086330</t>
  </si>
  <si>
    <t>PL-2011-086486</t>
  </si>
  <si>
    <t>K02660</t>
  </si>
  <si>
    <t>Mariusz Olejnik</t>
  </si>
  <si>
    <t>PL-2014-089759</t>
  </si>
  <si>
    <t>K01336</t>
  </si>
  <si>
    <t>Stanisław Kulig</t>
  </si>
  <si>
    <t>Atlantic Metals Mobile 2-Shelf Bookcases, Custom Colors</t>
  </si>
  <si>
    <t>K01332</t>
  </si>
  <si>
    <t>Tomasz Pasikowski</t>
  </si>
  <si>
    <t>K01328</t>
  </si>
  <si>
    <t>Krzysztof Mordal</t>
  </si>
  <si>
    <t>PL-2011-085827</t>
  </si>
  <si>
    <t>PL-2012-088594</t>
  </si>
  <si>
    <t>K03354</t>
  </si>
  <si>
    <t>Mariusz Nagórski</t>
  </si>
  <si>
    <t>Pieniężno</t>
  </si>
  <si>
    <t>14-520</t>
  </si>
  <si>
    <t>PL-2013-090266</t>
  </si>
  <si>
    <t>K02957</t>
  </si>
  <si>
    <t>Mateusz Malik</t>
  </si>
  <si>
    <t>Płock</t>
  </si>
  <si>
    <t>09-410</t>
  </si>
  <si>
    <t>Recycled Interoffice Envelopes with String and Button Closure, 10 x 13</t>
  </si>
  <si>
    <t>PL-2014-087404</t>
  </si>
  <si>
    <t>PL-2014-086543</t>
  </si>
  <si>
    <t>PL-2012-086817</t>
  </si>
  <si>
    <t>Chromcraft Bull-Nose Wood 48" x 96" Rectangular Conference Tables</t>
  </si>
  <si>
    <t>PL-2013-090275</t>
  </si>
  <si>
    <t>K00830</t>
  </si>
  <si>
    <t>Stanisław Pilc</t>
  </si>
  <si>
    <t>Staroźreby</t>
  </si>
  <si>
    <t>09-440</t>
  </si>
  <si>
    <t>PL-2011-087953</t>
  </si>
  <si>
    <t>PL-2014-013988</t>
  </si>
  <si>
    <t>K02190</t>
  </si>
  <si>
    <t>Jarosław Dąbrowski</t>
  </si>
  <si>
    <t>35-020</t>
  </si>
  <si>
    <t>Eldon® 300 Class™ Desk Accessories, Black</t>
  </si>
  <si>
    <t>PL-2014-089270</t>
  </si>
  <si>
    <t>K00823</t>
  </si>
  <si>
    <t>Tomasz Antochowski</t>
  </si>
  <si>
    <t>Halinów</t>
  </si>
  <si>
    <t>05-074</t>
  </si>
  <si>
    <t>Xerox 1994</t>
  </si>
  <si>
    <t>PL-2013-090224</t>
  </si>
  <si>
    <t>It's Hot Message Books with Stickers, 2 3/4" x 5"</t>
  </si>
  <si>
    <t>PL-2013-090123</t>
  </si>
  <si>
    <t>K01438</t>
  </si>
  <si>
    <t>Władysław Kosiorkiewicz</t>
  </si>
  <si>
    <t>Jedlicze</t>
  </si>
  <si>
    <t>38-460</t>
  </si>
  <si>
    <t>PL-2014-086698</t>
  </si>
  <si>
    <t>Fellowes Recycled Storage Drawers</t>
  </si>
  <si>
    <t>PL-2014-087238</t>
  </si>
  <si>
    <t>Magna Visual Magnetic Picture Hangers</t>
  </si>
  <si>
    <t>PL-2012-088892</t>
  </si>
  <si>
    <t>K00679</t>
  </si>
  <si>
    <t>Paweł Wróbel</t>
  </si>
  <si>
    <t>Juchnowiec Kościelny</t>
  </si>
  <si>
    <t>16-001</t>
  </si>
  <si>
    <t>Staples Copy Paper (20Lb. and 84 Bright)</t>
  </si>
  <si>
    <t>PL-2014-090283</t>
  </si>
  <si>
    <t>K01588</t>
  </si>
  <si>
    <t>Izabela Kowalska</t>
  </si>
  <si>
    <t>Wiślica</t>
  </si>
  <si>
    <t>28-160</t>
  </si>
  <si>
    <t>PL-2011-088410</t>
  </si>
  <si>
    <t>PL-2014-089171</t>
  </si>
  <si>
    <t>PL-2011-087587</t>
  </si>
  <si>
    <t>K01203</t>
  </si>
  <si>
    <t>Renata Dąbrowska</t>
  </si>
  <si>
    <t>K01191</t>
  </si>
  <si>
    <t>Waldemar Pender</t>
  </si>
  <si>
    <t>Kolno</t>
  </si>
  <si>
    <t>PL-2013-090286</t>
  </si>
  <si>
    <t>K01831</t>
  </si>
  <si>
    <t>Tadeusz Banaśkiewicz</t>
  </si>
  <si>
    <t>PL-2012-086230</t>
  </si>
  <si>
    <t>Binney &amp; Smith inkTank™ Erasable Desk Highlighter, Chisel Tip, Yellow, 12/Box</t>
  </si>
  <si>
    <t>K02809</t>
  </si>
  <si>
    <t>Małgorzata Maj</t>
  </si>
  <si>
    <t>Hanna</t>
  </si>
  <si>
    <t>22-220</t>
  </si>
  <si>
    <t>K02810</t>
  </si>
  <si>
    <t>Daniel Puwalski</t>
  </si>
  <si>
    <t>Baligród</t>
  </si>
  <si>
    <t>38-606</t>
  </si>
  <si>
    <t>Cardinal Holdit Business Card Pockets</t>
  </si>
  <si>
    <t>PL-2014-090289</t>
  </si>
  <si>
    <t>K01616</t>
  </si>
  <si>
    <t>Zbigniew Grzęda</t>
  </si>
  <si>
    <t>Staples 6 Outlet Surge</t>
  </si>
  <si>
    <t>PL-2014-086408</t>
  </si>
  <si>
    <t>K01462</t>
  </si>
  <si>
    <t>Krzysztof Florczuk</t>
  </si>
  <si>
    <t>Kleczew</t>
  </si>
  <si>
    <t>62-540</t>
  </si>
  <si>
    <t>PL-2013-086908</t>
  </si>
  <si>
    <t>PL-2013-090293</t>
  </si>
  <si>
    <t>K00372</t>
  </si>
  <si>
    <t>Wioletta Kurdziel</t>
  </si>
  <si>
    <t>Zdzieszowice</t>
  </si>
  <si>
    <t>47-330</t>
  </si>
  <si>
    <t>PL-2014-090300</t>
  </si>
  <si>
    <t>K03261</t>
  </si>
  <si>
    <t>Renata Breyer</t>
  </si>
  <si>
    <t>Pacyna</t>
  </si>
  <si>
    <t>09-541</t>
  </si>
  <si>
    <t>PL-2011-090301</t>
  </si>
  <si>
    <t>K02437</t>
  </si>
  <si>
    <t>Aleksandra Błądek</t>
  </si>
  <si>
    <t>PL-2011-088558</t>
  </si>
  <si>
    <t>Accessory41</t>
  </si>
  <si>
    <t>K02071</t>
  </si>
  <si>
    <t>Paweł Kaźmierski</t>
  </si>
  <si>
    <t>Złocieniec</t>
  </si>
  <si>
    <t>78-520</t>
  </si>
  <si>
    <t>i500plus</t>
  </si>
  <si>
    <t>PL-2011-089602</t>
  </si>
  <si>
    <t>PL-2014-090308</t>
  </si>
  <si>
    <t>K01509</t>
  </si>
  <si>
    <t>Andrzej Romaniuk</t>
  </si>
  <si>
    <t>K01510</t>
  </si>
  <si>
    <t>Janina Ostry</t>
  </si>
  <si>
    <t>Pilawa</t>
  </si>
  <si>
    <t>05-532</t>
  </si>
  <si>
    <t>PL-2011-090309</t>
  </si>
  <si>
    <t>K02944</t>
  </si>
  <si>
    <t>Rafał Stańko</t>
  </si>
  <si>
    <t>Szczuczyn</t>
  </si>
  <si>
    <t>19-230</t>
  </si>
  <si>
    <t>Presstex Flexible Ring Binders</t>
  </si>
  <si>
    <t>PL-2014-090319</t>
  </si>
  <si>
    <t>K02215</t>
  </si>
  <si>
    <t>Daniel Dutkiewicz</t>
  </si>
  <si>
    <t>Telatyn</t>
  </si>
  <si>
    <t>22-652</t>
  </si>
  <si>
    <t>PL-2014-090326</t>
  </si>
  <si>
    <t>K02450</t>
  </si>
  <si>
    <t>Wioleta Dzwolak</t>
  </si>
  <si>
    <t>Imielin</t>
  </si>
  <si>
    <t>41-407</t>
  </si>
  <si>
    <t>Prang Colored Pencils</t>
  </si>
  <si>
    <t>PL-2013-090331</t>
  </si>
  <si>
    <t>K02572</t>
  </si>
  <si>
    <t>Tadeusz Dudziński</t>
  </si>
  <si>
    <t>Sypniewo</t>
  </si>
  <si>
    <t>06-216</t>
  </si>
  <si>
    <t>PL-2011-090334</t>
  </si>
  <si>
    <t>K01997</t>
  </si>
  <si>
    <t>Mateusz Soćko</t>
  </si>
  <si>
    <t>Maxell DVD-RAM Discs</t>
  </si>
  <si>
    <t>PL-2012-087918</t>
  </si>
  <si>
    <t>K02545</t>
  </si>
  <si>
    <t>Małgorzata Hawrylak</t>
  </si>
  <si>
    <t>Narew</t>
  </si>
  <si>
    <t>17-210</t>
  </si>
  <si>
    <t>PL-2014-090346</t>
  </si>
  <si>
    <t>K00385</t>
  </si>
  <si>
    <t>Sławomir Marciniak</t>
  </si>
  <si>
    <t>Choroszcz</t>
  </si>
  <si>
    <t>16-070</t>
  </si>
  <si>
    <t>PL-2012-089681</t>
  </si>
  <si>
    <t>GBC Imprintable Covers</t>
  </si>
  <si>
    <t>PL-2014-089446</t>
  </si>
  <si>
    <t>PL-2012-090133</t>
  </si>
  <si>
    <t>PL-2012-086353</t>
  </si>
  <si>
    <t>PL-2012-089542</t>
  </si>
  <si>
    <t>K00886</t>
  </si>
  <si>
    <t>Małgorzata Piesiak</t>
  </si>
  <si>
    <t>Inowrocław</t>
  </si>
  <si>
    <t>88-100</t>
  </si>
  <si>
    <t>3.5" IBM Formatted Diskettes, DS/HD</t>
  </si>
  <si>
    <t>PL-2013-088638</t>
  </si>
  <si>
    <t>Staples Pen Style Liquid Stix; Assorted (yellow, pink, green, blue, orange), 5/Pack</t>
  </si>
  <si>
    <t>PL-2013-090356</t>
  </si>
  <si>
    <t>K00482</t>
  </si>
  <si>
    <t>Barbara Wilczek</t>
  </si>
  <si>
    <t>Żmigród</t>
  </si>
  <si>
    <t>55-140</t>
  </si>
  <si>
    <t>PL-2011-088686</t>
  </si>
  <si>
    <t>K00351</t>
  </si>
  <si>
    <t>Emil Lewandowski</t>
  </si>
  <si>
    <t>Przyłęk</t>
  </si>
  <si>
    <t>PL-2011-086958</t>
  </si>
  <si>
    <t>Gould Plastics 9-Pocket Panel Bin, 18-3/8w x 5-1/4d x 20-1/2h, Black</t>
  </si>
  <si>
    <t>K01827</t>
  </si>
  <si>
    <t>Marcin Wołk</t>
  </si>
  <si>
    <t>Nowinka</t>
  </si>
  <si>
    <t>Accessory34</t>
  </si>
  <si>
    <t>PL-2011-089047</t>
  </si>
  <si>
    <t>PL-2011-090359</t>
  </si>
  <si>
    <t>K00727</t>
  </si>
  <si>
    <t>Anna Brożek</t>
  </si>
  <si>
    <t>K00724</t>
  </si>
  <si>
    <t>Zdzisław Kaliszka</t>
  </si>
  <si>
    <t>Szczebrzeszyn</t>
  </si>
  <si>
    <t>22-460</t>
  </si>
  <si>
    <t>PL-2013-090368</t>
  </si>
  <si>
    <t>K00499</t>
  </si>
  <si>
    <t>Kazimierz Jaroszewicz</t>
  </si>
  <si>
    <t>Jasień</t>
  </si>
  <si>
    <t>68-320</t>
  </si>
  <si>
    <t>Rogers® Profile Extra Capacity Storage Tub</t>
  </si>
  <si>
    <t>PL-2014-090377</t>
  </si>
  <si>
    <t>K03335</t>
  </si>
  <si>
    <t>Maria Kramarczyk</t>
  </si>
  <si>
    <t>Bulkowo</t>
  </si>
  <si>
    <t>09-454</t>
  </si>
  <si>
    <t>K03333</t>
  </si>
  <si>
    <t>Aleksander Mikulski</t>
  </si>
  <si>
    <t>PL-2013-090380</t>
  </si>
  <si>
    <t>K01230</t>
  </si>
  <si>
    <t>Lucyna Pawłowska</t>
  </si>
  <si>
    <t>Jeżewo</t>
  </si>
  <si>
    <t>86-131</t>
  </si>
  <si>
    <t>PL-2013-086532</t>
  </si>
  <si>
    <t>K02555</t>
  </si>
  <si>
    <t>Roman Pietrasz</t>
  </si>
  <si>
    <t>Pruszków</t>
  </si>
  <si>
    <t>05-800</t>
  </si>
  <si>
    <t>PL-2011-087177</t>
  </si>
  <si>
    <t>PL-2012-086016</t>
  </si>
  <si>
    <t>PL-2014-088956</t>
  </si>
  <si>
    <t>PL-2014-090255</t>
  </si>
  <si>
    <t>PL-2011-085948</t>
  </si>
  <si>
    <t>PL-2013-086178</t>
  </si>
  <si>
    <t>K00968</t>
  </si>
  <si>
    <t>Elżbieta Skoczylas</t>
  </si>
  <si>
    <t>Post-it® “Important Message” Note Pad, Neon Colors, 50 Sheets/Pad</t>
  </si>
  <si>
    <t>PL-2011-086885</t>
  </si>
  <si>
    <t>PL-2011-088544</t>
  </si>
  <si>
    <t>PL-2012-014023</t>
  </si>
  <si>
    <t>Acco D-Ring Binder w/DublLock®</t>
  </si>
  <si>
    <t>PL-2013-085902</t>
  </si>
  <si>
    <t>K01917</t>
  </si>
  <si>
    <t>Ewa Dziurla</t>
  </si>
  <si>
    <t>Kruszwica</t>
  </si>
  <si>
    <t>88-150</t>
  </si>
  <si>
    <t>Epson Stylus 1520 Color Inkjet Printer</t>
  </si>
  <si>
    <t>SouthWestern Bell FA970 Digital Answering Machine with Time/Day Stamp</t>
  </si>
  <si>
    <t>PL-2014-090402</t>
  </si>
  <si>
    <t>K02155</t>
  </si>
  <si>
    <t>Urszula Mejer</t>
  </si>
  <si>
    <t>Nasielsk</t>
  </si>
  <si>
    <t>PL-2012-088000</t>
  </si>
  <si>
    <t>PL-2011-088543</t>
  </si>
  <si>
    <t>PL-2014-088181</t>
  </si>
  <si>
    <t>PL-2011-087488</t>
  </si>
  <si>
    <t>PL-2012-088208</t>
  </si>
  <si>
    <t>K00108</t>
  </si>
  <si>
    <t>Małgorzata Latos</t>
  </si>
  <si>
    <t>Wicko</t>
  </si>
  <si>
    <t>84-352</t>
  </si>
  <si>
    <t>K00112</t>
  </si>
  <si>
    <t>Anna Ostaszewska</t>
  </si>
  <si>
    <t>Grabów nad Pilicą</t>
  </si>
  <si>
    <t>26-902</t>
  </si>
  <si>
    <t>PL-2012-088332</t>
  </si>
  <si>
    <t>Southworth Structures Collection™</t>
  </si>
  <si>
    <t>PL-2014-090407</t>
  </si>
  <si>
    <t>K02151</t>
  </si>
  <si>
    <t>Barbara Zmuda</t>
  </si>
  <si>
    <t>Mszczonów</t>
  </si>
  <si>
    <t>96-320</t>
  </si>
  <si>
    <t>Panasonic All Digital Answering System with Caller ID*, KX-TM150B</t>
  </si>
  <si>
    <t>PL-2014-086213</t>
  </si>
  <si>
    <t>PL-2013-090413</t>
  </si>
  <si>
    <t>K02368</t>
  </si>
  <si>
    <t>Mirosław Tessikowski</t>
  </si>
  <si>
    <t>Borek Wielkopolski</t>
  </si>
  <si>
    <t>63-810</t>
  </si>
  <si>
    <t>PL-2011-087909</t>
  </si>
  <si>
    <t>Ampad #10 Peel &amp; Seel® Holiday Envelopes</t>
  </si>
  <si>
    <t>PL-2012-090112</t>
  </si>
  <si>
    <t>K02273</t>
  </si>
  <si>
    <t>Urszula Kober</t>
  </si>
  <si>
    <t>Wojkowice</t>
  </si>
  <si>
    <t>42-580</t>
  </si>
  <si>
    <t>Xerox 1940</t>
  </si>
  <si>
    <t>PL-2011-087726</t>
  </si>
  <si>
    <t>K00745</t>
  </si>
  <si>
    <t>Zbigniew Hejak</t>
  </si>
  <si>
    <t>Kraśnik</t>
  </si>
  <si>
    <t>23-200</t>
  </si>
  <si>
    <t>PL-2012-090416</t>
  </si>
  <si>
    <t>K01948</t>
  </si>
  <si>
    <t>Grażyna Falkowska</t>
  </si>
  <si>
    <t>Tomaszów Lubelski</t>
  </si>
  <si>
    <t>22-600</t>
  </si>
  <si>
    <t>2300 Heavy-Duty Transfer File Systems by Perma</t>
  </si>
  <si>
    <t>PL-2014-086214</t>
  </si>
  <si>
    <t>PL-2014-088920</t>
  </si>
  <si>
    <t>PL-2013-087251</t>
  </si>
  <si>
    <t>PL-2012-088001</t>
  </si>
  <si>
    <t>PL-2012-090127</t>
  </si>
  <si>
    <t>PL-2012-090389</t>
  </si>
  <si>
    <t>Hewlett-Packard Deskjet 3820 Color Inkjet Printer</t>
  </si>
  <si>
    <t>PL-2012-089667</t>
  </si>
  <si>
    <t>PL-2011-088449</t>
  </si>
  <si>
    <t>K03063</t>
  </si>
  <si>
    <t>Katarzyna Patora</t>
  </si>
  <si>
    <t>Nidzica</t>
  </si>
  <si>
    <t>13-100</t>
  </si>
  <si>
    <t>Accessory25</t>
  </si>
  <si>
    <t>PL-2013-089918</t>
  </si>
  <si>
    <t>PL-2012-087941</t>
  </si>
  <si>
    <t>K01136</t>
  </si>
  <si>
    <t>Mirosław Staciwa</t>
  </si>
  <si>
    <t>Kunów</t>
  </si>
  <si>
    <t>27-415</t>
  </si>
  <si>
    <t>GBC Twin Loop™ Wire Binding Elements, 9/16" Spine, Black</t>
  </si>
  <si>
    <t>PL-2012-090230</t>
  </si>
  <si>
    <t>PL-2012-088450</t>
  </si>
  <si>
    <t>PL-2013-089852</t>
  </si>
  <si>
    <t>PL-2014-090426</t>
  </si>
  <si>
    <t>K01537</t>
  </si>
  <si>
    <t>Aleksandra Trusewicz</t>
  </si>
  <si>
    <t>Lututów</t>
  </si>
  <si>
    <t>98-360</t>
  </si>
  <si>
    <t>Carina Mini System Audio Rack, Model AR050B</t>
  </si>
  <si>
    <t>PL-2011-090430</t>
  </si>
  <si>
    <t>K00193</t>
  </si>
  <si>
    <t>Marcin Waszkiewicz</t>
  </si>
  <si>
    <t>Krzeszowice</t>
  </si>
  <si>
    <t>32-065</t>
  </si>
  <si>
    <t>Panasonic KX-P2130 Dot Matrix Printer</t>
  </si>
  <si>
    <t>PL-2013-086704</t>
  </si>
  <si>
    <t>K02249</t>
  </si>
  <si>
    <t>Dariusz Szymański</t>
  </si>
  <si>
    <t>Węgorzewo</t>
  </si>
  <si>
    <t>11-600</t>
  </si>
  <si>
    <t>PL-2014-086179</t>
  </si>
  <si>
    <t>K00967</t>
  </si>
  <si>
    <t>Anna Goszczyńska</t>
  </si>
  <si>
    <t>PL-2011-088590</t>
  </si>
  <si>
    <t>PL-2013-086760</t>
  </si>
  <si>
    <t>PL-2012-088649</t>
  </si>
  <si>
    <t>PL-2013-087849</t>
  </si>
  <si>
    <t>PL-2012-086510</t>
  </si>
  <si>
    <t>DAX Charcoal/Nickel-Tone Document Frame, 5 x 7</t>
  </si>
  <si>
    <t>iDEN i95</t>
  </si>
  <si>
    <t>PL-2014-088996</t>
  </si>
  <si>
    <t>K02342</t>
  </si>
  <si>
    <t>Robert Małkiewicz</t>
  </si>
  <si>
    <t>Brok</t>
  </si>
  <si>
    <t>07-306</t>
  </si>
  <si>
    <t>Electrix Halogen Magnifier Lamp</t>
  </si>
  <si>
    <t>PL-2012-086904</t>
  </si>
  <si>
    <t>PL-2011-090438</t>
  </si>
  <si>
    <t>K00753</t>
  </si>
  <si>
    <t>Marek Gajzler</t>
  </si>
  <si>
    <t>Dobiegniew</t>
  </si>
  <si>
    <t>66-520</t>
  </si>
  <si>
    <t>PL-2014-086152</t>
  </si>
  <si>
    <t>PL-2013-090446</t>
  </si>
  <si>
    <t>K01408</t>
  </si>
  <si>
    <t>Adam Sobczyk</t>
  </si>
  <si>
    <t>Ujście</t>
  </si>
  <si>
    <t>64-850</t>
  </si>
  <si>
    <t>Flat Face Poster Frame</t>
  </si>
  <si>
    <t>PL-2012-089544</t>
  </si>
  <si>
    <t>PL-2013-087969</t>
  </si>
  <si>
    <t>PL-2012-087974</t>
  </si>
  <si>
    <t>PL-2013-086963</t>
  </si>
  <si>
    <t>PL-2011-087245</t>
  </si>
  <si>
    <t>PL-2014-087256</t>
  </si>
  <si>
    <t>PL-2011-090449</t>
  </si>
  <si>
    <t>K00447</t>
  </si>
  <si>
    <t>Edward Stanisławczyk</t>
  </si>
  <si>
    <t>Stepnica</t>
  </si>
  <si>
    <t>72-112</t>
  </si>
  <si>
    <t>PL-2014-087257</t>
  </si>
  <si>
    <t>PL-2011-086688</t>
  </si>
  <si>
    <t>K01935</t>
  </si>
  <si>
    <t>Marta Ziatyk</t>
  </si>
  <si>
    <t>Bolesławiec</t>
  </si>
  <si>
    <t>59-700</t>
  </si>
  <si>
    <t>PL-2012-086755</t>
  </si>
  <si>
    <t>K02418</t>
  </si>
  <si>
    <t>Marta Michalska</t>
  </si>
  <si>
    <t>Działoszyce</t>
  </si>
  <si>
    <t>28-440</t>
  </si>
  <si>
    <t>PL-2012-086983</t>
  </si>
  <si>
    <t>K02784</t>
  </si>
  <si>
    <t>Piotr Maj</t>
  </si>
  <si>
    <t>Drużbice</t>
  </si>
  <si>
    <t>97-403</t>
  </si>
  <si>
    <t>PL-2013-089864</t>
  </si>
  <si>
    <t>PL-2013-090454</t>
  </si>
  <si>
    <t>K00862</t>
  </si>
  <si>
    <t>Ewa Żekieć</t>
  </si>
  <si>
    <t>Kazimierz Dolny</t>
  </si>
  <si>
    <t>24-120</t>
  </si>
  <si>
    <t>Belkin 7 Outlet SurgeMaster Surge Protector with Phone Protection</t>
  </si>
  <si>
    <t>PL-2013-090357</t>
  </si>
  <si>
    <t>PL-2014-089824</t>
  </si>
  <si>
    <t>PL-2013-086404</t>
  </si>
  <si>
    <t>PL-2013-086210</t>
  </si>
  <si>
    <t>K03297</t>
  </si>
  <si>
    <t>Genowefa Polak</t>
  </si>
  <si>
    <t>PL-2013-090288</t>
  </si>
  <si>
    <t>PL-2013-088225</t>
  </si>
  <si>
    <t>K02048</t>
  </si>
  <si>
    <t>Adam Wencewicz</t>
  </si>
  <si>
    <t>Dziadowa Kłoda</t>
  </si>
  <si>
    <t>Plastic Binding Combs</t>
  </si>
  <si>
    <t>PL-2013-090465</t>
  </si>
  <si>
    <t>K03316</t>
  </si>
  <si>
    <t>Janina Piasecka</t>
  </si>
  <si>
    <t>Seth Thomas 14" Putty-Colored Wall Clock</t>
  </si>
  <si>
    <t>PL-2014-090468</t>
  </si>
  <si>
    <t>K01514</t>
  </si>
  <si>
    <t>Mieczysława Oraczewska</t>
  </si>
  <si>
    <t>Krośniewice</t>
  </si>
  <si>
    <t>99-340</t>
  </si>
  <si>
    <t>PL-2013-088343</t>
  </si>
  <si>
    <t>Pizazz® Global Quick File™</t>
  </si>
  <si>
    <t>K01953</t>
  </si>
  <si>
    <t>Marcin Rapsiewicz</t>
  </si>
  <si>
    <t>PL-2014-087914</t>
  </si>
  <si>
    <t>PL-2011-088164</t>
  </si>
  <si>
    <t>K02290</t>
  </si>
  <si>
    <t>Roman Osman</t>
  </si>
  <si>
    <t>Barcin</t>
  </si>
  <si>
    <t>88-190</t>
  </si>
  <si>
    <t>Logitech Cordless Navigator Duo</t>
  </si>
  <si>
    <t>PL-2014-088170</t>
  </si>
  <si>
    <t>SimpliFile™ Personal File, Black Granite, 15w x 6-15/16d x 11-1/4h</t>
  </si>
  <si>
    <t>PL-2012-090471</t>
  </si>
  <si>
    <t>K00626</t>
  </si>
  <si>
    <t>Andrzej Gostołek</t>
  </si>
  <si>
    <t>Chęciny</t>
  </si>
  <si>
    <t>26-060</t>
  </si>
  <si>
    <t>PL-2014-086781</t>
  </si>
  <si>
    <t>PL-2013-086801</t>
  </si>
  <si>
    <t>Polycom ViewStation™ Adapter H323 Videoconferencing Unit</t>
  </si>
  <si>
    <t>PL-2012-090475</t>
  </si>
  <si>
    <t>K01701</t>
  </si>
  <si>
    <t>Kazimierz Dacko</t>
  </si>
  <si>
    <t>Chrzanów</t>
  </si>
  <si>
    <t>32-500</t>
  </si>
  <si>
    <t>PL-2013-089013</t>
  </si>
  <si>
    <t>GBC Plastic Binding Combs</t>
  </si>
  <si>
    <t>Global Commerce™ Series High-Back Swivel/Tilt Chairs</t>
  </si>
  <si>
    <t>PL-2012-090481</t>
  </si>
  <si>
    <t>K00240</t>
  </si>
  <si>
    <t>Dorota Połczyńska</t>
  </si>
  <si>
    <t>Szumowo</t>
  </si>
  <si>
    <t>18-305</t>
  </si>
  <si>
    <t>PL-2011-089333</t>
  </si>
  <si>
    <t>PL-2012-086493</t>
  </si>
  <si>
    <t>PL-2012-090342</t>
  </si>
  <si>
    <t>Fellowes PB300 Plastic Comb Binding Machine</t>
  </si>
  <si>
    <t>K00386</t>
  </si>
  <si>
    <t>Andrzej Nowak</t>
  </si>
  <si>
    <t>Gielniów</t>
  </si>
  <si>
    <t>26-434</t>
  </si>
  <si>
    <t>Xerox 1934</t>
  </si>
  <si>
    <t>PL-2011-088241</t>
  </si>
  <si>
    <t>PL-2013-089350</t>
  </si>
  <si>
    <t>IBM 80 Minute CD-R Spindle, 50/Pack</t>
  </si>
  <si>
    <t>PL-2012-090489</t>
  </si>
  <si>
    <t>K03254</t>
  </si>
  <si>
    <t>Marian Jeż</t>
  </si>
  <si>
    <t>Nowa Sól</t>
  </si>
  <si>
    <t>Advantus 10-Drawer Portable Organizer, Chrome Metal Frame, Smoke Drawers</t>
  </si>
  <si>
    <t>PL-2012-087879</t>
  </si>
  <si>
    <t>Hon GuestStacker Chair</t>
  </si>
  <si>
    <t>PL-2013-090495</t>
  </si>
  <si>
    <t>K00918</t>
  </si>
  <si>
    <t>Bożena Terefenko</t>
  </si>
  <si>
    <t>K00919</t>
  </si>
  <si>
    <t>Maria Bodziewska</t>
  </si>
  <si>
    <t>Grójec</t>
  </si>
  <si>
    <t>05-600</t>
  </si>
  <si>
    <t>Kensington 6 Outlet SmartSocket Surge Protector</t>
  </si>
  <si>
    <t>PL-2012-088723</t>
  </si>
  <si>
    <t>K02326</t>
  </si>
  <si>
    <t>Łukasz Czechowski</t>
  </si>
  <si>
    <t>Ulan-Majorat</t>
  </si>
  <si>
    <t>21-307</t>
  </si>
  <si>
    <t>PL-2011-090501</t>
  </si>
  <si>
    <t>K03366</t>
  </si>
  <si>
    <t>Artur Krzemień</t>
  </si>
  <si>
    <t>Lipnica Wielka</t>
  </si>
  <si>
    <t>33-323</t>
  </si>
  <si>
    <t>Xerox 231</t>
  </si>
  <si>
    <t>PL-2011-086973</t>
  </si>
  <si>
    <t>PL-2014-090522</t>
  </si>
  <si>
    <t>K01367</t>
  </si>
  <si>
    <t>Tadeusz Stawarz</t>
  </si>
  <si>
    <t>Będzin</t>
  </si>
  <si>
    <t>42-506</t>
  </si>
  <si>
    <t>PL-2013-089661</t>
  </si>
  <si>
    <t>PL-2012-087136</t>
  </si>
  <si>
    <t>K00928</t>
  </si>
  <si>
    <t>Elżbieta Iwańska</t>
  </si>
  <si>
    <t>Czeremcha</t>
  </si>
  <si>
    <t>17-240</t>
  </si>
  <si>
    <t>Newell 342</t>
  </si>
  <si>
    <t>PL-2011-089879</t>
  </si>
  <si>
    <t>PL-2013-090527</t>
  </si>
  <si>
    <t>K01813</t>
  </si>
  <si>
    <t>Edmund Skibiński</t>
  </si>
  <si>
    <t>Kobylin</t>
  </si>
  <si>
    <t>63-740</t>
  </si>
  <si>
    <t>PL-2012-089861</t>
  </si>
  <si>
    <t>K01782</t>
  </si>
  <si>
    <t>Barbara Myśków</t>
  </si>
  <si>
    <t>Grodków</t>
  </si>
  <si>
    <t>49-200</t>
  </si>
  <si>
    <t>Honeywell Quietcare HEPA Air Cleaner</t>
  </si>
  <si>
    <t>Avery 496</t>
  </si>
  <si>
    <t>PL-2011-014115</t>
  </si>
  <si>
    <t>Eldon® 200 Class™ Desk Accessories</t>
  </si>
  <si>
    <t>PL-2012-088071</t>
  </si>
  <si>
    <t>PL-2013-088052</t>
  </si>
  <si>
    <t>K00216</t>
  </si>
  <si>
    <t>Gniewomir Szczerba</t>
  </si>
  <si>
    <t>Mikołajki Pomorskie</t>
  </si>
  <si>
    <t>82-400</t>
  </si>
  <si>
    <t>Xerox 1935</t>
  </si>
  <si>
    <t>PL-2011-088135</t>
  </si>
  <si>
    <t>PL-2014-088145</t>
  </si>
  <si>
    <t>PL-2012-088362</t>
  </si>
  <si>
    <t>K00187</t>
  </si>
  <si>
    <t>Arkadiusz Steckiewicz</t>
  </si>
  <si>
    <t>PL-2011-090530</t>
  </si>
  <si>
    <t>K01632</t>
  </si>
  <si>
    <t>Daniel Makrzanowski</t>
  </si>
  <si>
    <t>Kalisz Pomorski</t>
  </si>
  <si>
    <t>78-540</t>
  </si>
  <si>
    <t>PL-2014-014115</t>
  </si>
  <si>
    <t>PL-2012-086312</t>
  </si>
  <si>
    <t>PL-2011-090493</t>
  </si>
  <si>
    <t>PL-2012-089925</t>
  </si>
  <si>
    <t>PL-2012-090155</t>
  </si>
  <si>
    <t>Crayola Colored Pencils</t>
  </si>
  <si>
    <t>PL-2012-088787</t>
  </si>
  <si>
    <t>PL-2014-086863</t>
  </si>
  <si>
    <t>K03113</t>
  </si>
  <si>
    <t>Adam Tyszer</t>
  </si>
  <si>
    <t>Lubomino</t>
  </si>
  <si>
    <t>11-135</t>
  </si>
  <si>
    <t>PL-2012-086182</t>
  </si>
  <si>
    <t>PL-2012-090388</t>
  </si>
  <si>
    <t>K02156</t>
  </si>
  <si>
    <t>Tomasz Padykuła</t>
  </si>
  <si>
    <t>Dębowa Łąka</t>
  </si>
  <si>
    <t>87-207</t>
  </si>
  <si>
    <t>PL-2011-086686</t>
  </si>
  <si>
    <t>Belkin F9M820V08 8 Outlet Surge</t>
  </si>
  <si>
    <t>PL-2011-086307</t>
  </si>
  <si>
    <t>K00593</t>
  </si>
  <si>
    <t>Danuta Lesiak</t>
  </si>
  <si>
    <t>Przecław</t>
  </si>
  <si>
    <t>39-320</t>
  </si>
  <si>
    <t>PL-2013-090545</t>
  </si>
  <si>
    <t>K01416</t>
  </si>
  <si>
    <t>Artur Gruszczyński</t>
  </si>
  <si>
    <t>81-524</t>
  </si>
  <si>
    <t>Acco Suede Grain Vinyl Round Ring Binder</t>
  </si>
  <si>
    <t>Eldon Image Series Black Desk Accessories</t>
  </si>
  <si>
    <t>K01417</t>
  </si>
  <si>
    <t>Katarzyna Strzelecka</t>
  </si>
  <si>
    <t>Płoty</t>
  </si>
  <si>
    <t>72-310</t>
  </si>
  <si>
    <t>PL-2012-088299</t>
  </si>
  <si>
    <t>Portable Personal File Box</t>
  </si>
  <si>
    <t>PL-2014-090553</t>
  </si>
  <si>
    <t>K02671</t>
  </si>
  <si>
    <t>Iwona Filipczak</t>
  </si>
  <si>
    <t>Mirosławiec</t>
  </si>
  <si>
    <t>78-600</t>
  </si>
  <si>
    <t>PL-2013-086112</t>
  </si>
  <si>
    <t>Jet-Pak Recycled Peel 'N' Seal Padded Mailers</t>
  </si>
  <si>
    <t>PL-2014-086367</t>
  </si>
  <si>
    <t>K00914</t>
  </si>
  <si>
    <t>Renata Janowska</t>
  </si>
  <si>
    <t>Sanok</t>
  </si>
  <si>
    <t>38-500</t>
  </si>
  <si>
    <t>PL-2013-086494</t>
  </si>
  <si>
    <t>PL-2013-088454</t>
  </si>
  <si>
    <t>K02407</t>
  </si>
  <si>
    <t>Patryk Włodarczyk</t>
  </si>
  <si>
    <t>Zielonki</t>
  </si>
  <si>
    <t>32-087</t>
  </si>
  <si>
    <t>K02402</t>
  </si>
  <si>
    <t>Danuta Bugaj</t>
  </si>
  <si>
    <t>PL-2011-090333</t>
  </si>
  <si>
    <t>5170i</t>
  </si>
  <si>
    <t>PL-2013-090562</t>
  </si>
  <si>
    <t>K02313</t>
  </si>
  <si>
    <t>Jerzy Stawniak</t>
  </si>
  <si>
    <t>Kazimierz Biskupi</t>
  </si>
  <si>
    <t>62-530</t>
  </si>
  <si>
    <t>PL-2013-088111</t>
  </si>
  <si>
    <t>PL-2012-090569</t>
  </si>
  <si>
    <t>K02000</t>
  </si>
  <si>
    <t>Maciej Berlicki</t>
  </si>
  <si>
    <t>Skórcz</t>
  </si>
  <si>
    <t>83-220</t>
  </si>
  <si>
    <t>PL-2012-090581</t>
  </si>
  <si>
    <t>K00870</t>
  </si>
  <si>
    <t>Jacek Jarczewski</t>
  </si>
  <si>
    <t>Głowaczów</t>
  </si>
  <si>
    <t>26-903</t>
  </si>
  <si>
    <t>K00871</t>
  </si>
  <si>
    <t>Jarosław Topa</t>
  </si>
  <si>
    <t>Racibórz</t>
  </si>
  <si>
    <t>47-400</t>
  </si>
  <si>
    <t>O'Sullivan 4-Shelf Bookcase in Odessa Pine</t>
  </si>
  <si>
    <t>PL-2011-089988</t>
  </si>
  <si>
    <t>PL-2012-086975</t>
  </si>
  <si>
    <t>K01687</t>
  </si>
  <si>
    <t>Renata Romanowska</t>
  </si>
  <si>
    <t>Ulhówek</t>
  </si>
  <si>
    <t>22-678</t>
  </si>
  <si>
    <t>Global Enterprise Series Seating High-Back Swivel/Tilt Chairs</t>
  </si>
  <si>
    <t>PL-2013-087094</t>
  </si>
  <si>
    <t>PL-2014-089637</t>
  </si>
  <si>
    <t>K01099</t>
  </si>
  <si>
    <t>Oliwier Wróblewski</t>
  </si>
  <si>
    <t>Jaktorów</t>
  </si>
  <si>
    <t>96-313</t>
  </si>
  <si>
    <t>PL-2011-086826</t>
  </si>
  <si>
    <t>K01433</t>
  </si>
  <si>
    <t>Zbigniew Pupiec</t>
  </si>
  <si>
    <t>PL-2012-089073</t>
  </si>
  <si>
    <t>K03017</t>
  </si>
  <si>
    <t>Stanisław Rusin</t>
  </si>
  <si>
    <t>Gniewkowo</t>
  </si>
  <si>
    <t>88-140</t>
  </si>
  <si>
    <t>PL-2012-089409</t>
  </si>
  <si>
    <t>K01384</t>
  </si>
  <si>
    <t>Grażyna Wiśniewska</t>
  </si>
  <si>
    <t>PL-2014-089757</t>
  </si>
  <si>
    <t>K01330</t>
  </si>
  <si>
    <t>Marian Galus</t>
  </si>
  <si>
    <t>Wiżajny</t>
  </si>
  <si>
    <t>16-407</t>
  </si>
  <si>
    <t>PL-2011-089314</t>
  </si>
  <si>
    <t>PL-2011-089055</t>
  </si>
  <si>
    <t>PL-2014-087519</t>
  </si>
  <si>
    <t>K02949</t>
  </si>
  <si>
    <t>Janusz Medyński</t>
  </si>
  <si>
    <t>Przytoczna</t>
  </si>
  <si>
    <t>66-340</t>
  </si>
  <si>
    <t>PL-2011-089018</t>
  </si>
  <si>
    <t>Logitech Cordless Elite Duo</t>
  </si>
  <si>
    <t>PL-2012-090584</t>
  </si>
  <si>
    <t>K00339</t>
  </si>
  <si>
    <t>Krzysztof Rególski</t>
  </si>
  <si>
    <t>Sosnowiec</t>
  </si>
  <si>
    <t>41-216</t>
  </si>
  <si>
    <t>PL-2013-089368</t>
  </si>
  <si>
    <t>K00848</t>
  </si>
  <si>
    <t>Marcin Suwaj</t>
  </si>
  <si>
    <t>Herby</t>
  </si>
  <si>
    <t>42-284</t>
  </si>
  <si>
    <t>PL-2012-090590</t>
  </si>
  <si>
    <t>K00936</t>
  </si>
  <si>
    <t>Ewa Kołosowska</t>
  </si>
  <si>
    <t>Karczew</t>
  </si>
  <si>
    <t>05-480</t>
  </si>
  <si>
    <t>PL-2011-090594</t>
  </si>
  <si>
    <t>K00266</t>
  </si>
  <si>
    <t>Łukasz Kowalski</t>
  </si>
  <si>
    <t>Szczecin</t>
  </si>
  <si>
    <t>71-344</t>
  </si>
  <si>
    <t>PL-2012-089912</t>
  </si>
  <si>
    <t>PL-2011-089944</t>
  </si>
  <si>
    <t>PL-2014-089956</t>
  </si>
  <si>
    <t>PL-2012-088747</t>
  </si>
  <si>
    <t>K03385</t>
  </si>
  <si>
    <t>Zenon Wiśniewski</t>
  </si>
  <si>
    <t>Iwanowice</t>
  </si>
  <si>
    <t>32-095</t>
  </si>
  <si>
    <t>PL-2012-090598</t>
  </si>
  <si>
    <t>K00088</t>
  </si>
  <si>
    <t>Piotr Dura</t>
  </si>
  <si>
    <t>Paprotnia</t>
  </si>
  <si>
    <t>08-107</t>
  </si>
  <si>
    <t>PL-2013-088121</t>
  </si>
  <si>
    <t>Canon PC1080F Personal Copier</t>
  </si>
  <si>
    <t>K02729</t>
  </si>
  <si>
    <t>Tadeusz Pyrak</t>
  </si>
  <si>
    <t>Wąbrzeźno</t>
  </si>
  <si>
    <t>87-200</t>
  </si>
  <si>
    <t>PL-2012-086292</t>
  </si>
  <si>
    <t>PL-2013-090604</t>
  </si>
  <si>
    <t>K01625</t>
  </si>
  <si>
    <t>Krzysztof Ćwiok</t>
  </si>
  <si>
    <t>Radgoszcz</t>
  </si>
  <si>
    <t>33-207</t>
  </si>
  <si>
    <t>Eldon Radial Chair Mat for Low to Medium Pile Carpets</t>
  </si>
  <si>
    <t>PL-2014-087265</t>
  </si>
  <si>
    <t>K00972</t>
  </si>
  <si>
    <t>Robert Jakubiak</t>
  </si>
  <si>
    <t>Stargard Szczeciński</t>
  </si>
  <si>
    <t>73-102</t>
  </si>
  <si>
    <t>PL-2014-088878</t>
  </si>
  <si>
    <t>PL-2011-088589</t>
  </si>
  <si>
    <t>PL-2011-086465</t>
  </si>
  <si>
    <t>PL-2014-086469</t>
  </si>
  <si>
    <t>PL-2011-087536</t>
  </si>
  <si>
    <t>K03397</t>
  </si>
  <si>
    <t>Kazimierz Hnatkowski</t>
  </si>
  <si>
    <t>Wyśmierzyce</t>
  </si>
  <si>
    <t>26-811</t>
  </si>
  <si>
    <t>PL-2014-087326</t>
  </si>
  <si>
    <t>K02854</t>
  </si>
  <si>
    <t>Ryszard Kowal</t>
  </si>
  <si>
    <t>Leśna</t>
  </si>
  <si>
    <t>57-343</t>
  </si>
  <si>
    <t>Fellowes EZ Multi-Media Keyboard</t>
  </si>
  <si>
    <t>PL-2014-088458</t>
  </si>
  <si>
    <t>K02405</t>
  </si>
  <si>
    <t>Ryszard Hawańczak</t>
  </si>
  <si>
    <t>Choceń</t>
  </si>
  <si>
    <t>87-850</t>
  </si>
  <si>
    <t>K02406</t>
  </si>
  <si>
    <t>Ilona Polan</t>
  </si>
  <si>
    <t>Lądek-Zdrój</t>
  </si>
  <si>
    <t>57-540</t>
  </si>
  <si>
    <t>PL-2014-089133</t>
  </si>
  <si>
    <t>Holmes 99% HEPA Air Purifier</t>
  </si>
  <si>
    <t>PL-2011-089129</t>
  </si>
  <si>
    <t>K03036</t>
  </si>
  <si>
    <t>Marcin Gibki</t>
  </si>
  <si>
    <t>Tensor "Hersey Kiss" Styled Floor Lamp</t>
  </si>
  <si>
    <t>Xerox 1906</t>
  </si>
  <si>
    <t>PL-2011-088728</t>
  </si>
  <si>
    <t>PL-2014-090350</t>
  </si>
  <si>
    <t>Fiskars® Softgrip Scissors</t>
  </si>
  <si>
    <t>PL-2014-090143</t>
  </si>
  <si>
    <t>PL-2012-087646</t>
  </si>
  <si>
    <t>PL-2012-086647</t>
  </si>
  <si>
    <t>PL-2012-086849</t>
  </si>
  <si>
    <t>K01865</t>
  </si>
  <si>
    <t>Grażyna Zajkowska</t>
  </si>
  <si>
    <t>Bojanów</t>
  </si>
  <si>
    <t>37-433</t>
  </si>
  <si>
    <t>PL-2011-087382</t>
  </si>
  <si>
    <t>K02601</t>
  </si>
  <si>
    <t>Antoni Miściur</t>
  </si>
  <si>
    <t>Rozprza</t>
  </si>
  <si>
    <t>97-340</t>
  </si>
  <si>
    <t>Acme Kleencut® Forged Steel Scissors</t>
  </si>
  <si>
    <t>PL-2011-088758</t>
  </si>
  <si>
    <t>K02791</t>
  </si>
  <si>
    <t>Krzysztof Burda</t>
  </si>
  <si>
    <t>Dołhobyczów</t>
  </si>
  <si>
    <t>22-540</t>
  </si>
  <si>
    <t>PL-2013-087478</t>
  </si>
  <si>
    <t>PL-2014-086419</t>
  </si>
  <si>
    <t>PL-2011-087244</t>
  </si>
  <si>
    <t>K01749</t>
  </si>
  <si>
    <t>Iwona Moszyńska</t>
  </si>
  <si>
    <t>Zielonka</t>
  </si>
  <si>
    <t>05-220</t>
  </si>
  <si>
    <t>PL-2012-088481</t>
  </si>
  <si>
    <t>PL-2012-090608</t>
  </si>
  <si>
    <t>K01842</t>
  </si>
  <si>
    <t>Ryszard Wątroba</t>
  </si>
  <si>
    <t>Warta</t>
  </si>
  <si>
    <t>98-290</t>
  </si>
  <si>
    <t>PL-2012-090615</t>
  </si>
  <si>
    <t>K01683</t>
  </si>
  <si>
    <t>Bartłomiej Wilk</t>
  </si>
  <si>
    <t>Tłuszcz</t>
  </si>
  <si>
    <t>05-240</t>
  </si>
  <si>
    <t>PL-2014-087509</t>
  </si>
  <si>
    <t>PL-2012-090619</t>
  </si>
  <si>
    <t>K02558</t>
  </si>
  <si>
    <t>Irena Maciąg</t>
  </si>
  <si>
    <t>PL-2013-086999</t>
  </si>
  <si>
    <t>K00780</t>
  </si>
  <si>
    <t>Roman Sałachub</t>
  </si>
  <si>
    <t>PL-2012-087036</t>
  </si>
  <si>
    <t>K02510</t>
  </si>
  <si>
    <t>Denis Tomala</t>
  </si>
  <si>
    <t>K02519</t>
  </si>
  <si>
    <t>Tomasz Teper</t>
  </si>
  <si>
    <t>Rudna</t>
  </si>
  <si>
    <t>59-305</t>
  </si>
  <si>
    <t>K02518</t>
  </si>
  <si>
    <t>Małgorzata Andrusiów</t>
  </si>
  <si>
    <t>PL-2011-089376</t>
  </si>
  <si>
    <t>PL-2014-088927</t>
  </si>
  <si>
    <t>PL-2011-087176</t>
  </si>
  <si>
    <t>PL-2012-086936</t>
  </si>
  <si>
    <t>PL-2012-089027</t>
  </si>
  <si>
    <t>K03188</t>
  </si>
  <si>
    <t>Stanisław Saniuk</t>
  </si>
  <si>
    <t>Stary Zamość</t>
  </si>
  <si>
    <t>22-417</t>
  </si>
  <si>
    <t>T193</t>
  </si>
  <si>
    <t>Stockwell Push Pins</t>
  </si>
  <si>
    <t>Recycled Eldon Regeneration Jumbo File</t>
  </si>
  <si>
    <t>PL-2011-090621</t>
  </si>
  <si>
    <t>K01718</t>
  </si>
  <si>
    <t>Bogusław Adamów</t>
  </si>
  <si>
    <t>PL-2014-090622</t>
  </si>
  <si>
    <t>PL-2014-087468</t>
  </si>
  <si>
    <t>PL-2013-088652</t>
  </si>
  <si>
    <t>PL-2014-087098</t>
  </si>
  <si>
    <t>PL-2014-090627</t>
  </si>
  <si>
    <t>K02690</t>
  </si>
  <si>
    <t>Małgorzata Danielewicz</t>
  </si>
  <si>
    <t>PL-2014-089271</t>
  </si>
  <si>
    <t>PL-2014-087255</t>
  </si>
  <si>
    <t>PL-2014-090067</t>
  </si>
  <si>
    <t>PL-2011-090058</t>
  </si>
  <si>
    <t>PL-2014-088606</t>
  </si>
  <si>
    <t>PL-2011-086654</t>
  </si>
  <si>
    <t>PL-2012-089974</t>
  </si>
  <si>
    <t>PL-2011-087915</t>
  </si>
  <si>
    <t>PL-2014-087417</t>
  </si>
  <si>
    <t>DMI Arturo Collection Mission-style Design Wood Chair</t>
  </si>
  <si>
    <t>PL-2013-088026</t>
  </si>
  <si>
    <t>PL-2011-088959</t>
  </si>
  <si>
    <t>PL-2011-086925</t>
  </si>
  <si>
    <t>PL-2013-088246</t>
  </si>
  <si>
    <t>PL-2014-089276</t>
  </si>
  <si>
    <t>PL-2014-086276</t>
  </si>
  <si>
    <t>PL-2013-087543</t>
  </si>
  <si>
    <t>PL-2011-088028</t>
  </si>
  <si>
    <t>PL-2013-088027</t>
  </si>
  <si>
    <t>PL-2012-088331</t>
  </si>
  <si>
    <t>K03247</t>
  </si>
  <si>
    <t>Ireneusz Kosmalski</t>
  </si>
  <si>
    <t>Osjaków</t>
  </si>
  <si>
    <t>98-320</t>
  </si>
  <si>
    <t>PL-2011-088103</t>
  </si>
  <si>
    <t>PL-2011-090631</t>
  </si>
  <si>
    <t>K01889</t>
  </si>
  <si>
    <t>Urszula Górka</t>
  </si>
  <si>
    <t>Więcbork</t>
  </si>
  <si>
    <t>89-410</t>
  </si>
  <si>
    <t>Space Solutions™ Industrial Galvanized Steel Shelving.</t>
  </si>
  <si>
    <t>PL-2012-090642</t>
  </si>
  <si>
    <t>K01038</t>
  </si>
  <si>
    <t>Włodzimierz Sacharczuk</t>
  </si>
  <si>
    <t>Trzebielino</t>
  </si>
  <si>
    <t>77-235</t>
  </si>
  <si>
    <t>Security-Tint Envelopes</t>
  </si>
  <si>
    <t>Avery 520</t>
  </si>
  <si>
    <t>PL-2013-086334</t>
  </si>
  <si>
    <t>PL-2011-090646</t>
  </si>
  <si>
    <t>K02960</t>
  </si>
  <si>
    <t>Jan Kamiński</t>
  </si>
  <si>
    <t>PL-2012-087209</t>
  </si>
  <si>
    <t>Accessory9</t>
  </si>
  <si>
    <t>K02525</t>
  </si>
  <si>
    <t>Grzegorz Soćko</t>
  </si>
  <si>
    <t>Wiśniewo</t>
  </si>
  <si>
    <t>06-521</t>
  </si>
  <si>
    <t>PL-2013-085822</t>
  </si>
  <si>
    <t>PL-2012-086476</t>
  </si>
  <si>
    <t>PL-2011-088213</t>
  </si>
  <si>
    <t>K01380</t>
  </si>
  <si>
    <t>Ewa Chmielewska</t>
  </si>
  <si>
    <t>Kikół</t>
  </si>
  <si>
    <t>87-620</t>
  </si>
  <si>
    <t>PL-2011-089915</t>
  </si>
  <si>
    <t>PL-2011-089869</t>
  </si>
  <si>
    <t>PL-2012-090651</t>
  </si>
  <si>
    <t>K00174</t>
  </si>
  <si>
    <t>Bogusław Szpinda</t>
  </si>
  <si>
    <t>Kurów</t>
  </si>
  <si>
    <t>24-170</t>
  </si>
  <si>
    <t>PL-2013-090656</t>
  </si>
  <si>
    <t>K01731</t>
  </si>
  <si>
    <t>Andrzej Bieliński</t>
  </si>
  <si>
    <t>Jastrzębia</t>
  </si>
  <si>
    <t>Global Enterprise™ Series Seating Low-Back Swivel/Tilt Chairs</t>
  </si>
  <si>
    <t>PL-2014-090667</t>
  </si>
  <si>
    <t>K01298</t>
  </si>
  <si>
    <t>Dariusz Chytryj</t>
  </si>
  <si>
    <t>Masłowice</t>
  </si>
  <si>
    <t>97-515</t>
  </si>
  <si>
    <t>PL-2014-089803</t>
  </si>
  <si>
    <t>Accessory23</t>
  </si>
  <si>
    <t>PL-2012-089614</t>
  </si>
  <si>
    <t>PL-2014-090673</t>
  </si>
  <si>
    <t>K00123</t>
  </si>
  <si>
    <t>Mieczysław Załuski</t>
  </si>
  <si>
    <t>Obsza</t>
  </si>
  <si>
    <t>23-413</t>
  </si>
  <si>
    <t>PL-2011-090669</t>
  </si>
  <si>
    <t>Acme® Office Executive Series Stainless Steel Trimmers</t>
  </si>
  <si>
    <t>PL-2014-086785</t>
  </si>
  <si>
    <t>K01121</t>
  </si>
  <si>
    <t>Anna Sokołowska</t>
  </si>
  <si>
    <t>Pionki</t>
  </si>
  <si>
    <t>26-670</t>
  </si>
  <si>
    <t>Hewlett-Packard Deskjet 6122 Color Inkjet Printer</t>
  </si>
  <si>
    <t>PL-2011-090675</t>
  </si>
  <si>
    <t>K00865</t>
  </si>
  <si>
    <t>Cezary Skrzypczak</t>
  </si>
  <si>
    <t>Kobylin-Borzymy</t>
  </si>
  <si>
    <t>18-204</t>
  </si>
  <si>
    <t>Xerox 1985</t>
  </si>
  <si>
    <t>PL-2013-090250</t>
  </si>
  <si>
    <t>PL-2012-090679</t>
  </si>
  <si>
    <t>K01665</t>
  </si>
  <si>
    <t>Krystyna Skurat</t>
  </si>
  <si>
    <t>PL-2011-089584</t>
  </si>
  <si>
    <t>PL-2014-088867</t>
  </si>
  <si>
    <t>PL-2013-089042</t>
  </si>
  <si>
    <t>PL-2014-090690</t>
  </si>
  <si>
    <t>K02191</t>
  </si>
  <si>
    <t>Marek Golas</t>
  </si>
  <si>
    <t>Zawichost</t>
  </si>
  <si>
    <t>27-630</t>
  </si>
  <si>
    <t>K02192</t>
  </si>
  <si>
    <t>Franciszek Łobocki</t>
  </si>
  <si>
    <t>Ińsko</t>
  </si>
  <si>
    <t>73-140</t>
  </si>
  <si>
    <t>PL-2014-089772</t>
  </si>
  <si>
    <t>Hon 4060 Series Tables</t>
  </si>
  <si>
    <t>PL-2014-089569</t>
  </si>
  <si>
    <t>K03239</t>
  </si>
  <si>
    <t>Piotr Wojciechowski</t>
  </si>
  <si>
    <t>PL-2014-014241</t>
  </si>
  <si>
    <t>PL-2012-088049</t>
  </si>
  <si>
    <t>PL-2013-088342</t>
  </si>
  <si>
    <t>Newell 307</t>
  </si>
  <si>
    <t>PL-2012-088107</t>
  </si>
  <si>
    <t>PL-2012-087456</t>
  </si>
  <si>
    <t>K02530</t>
  </si>
  <si>
    <t>Zyta Makarewicz</t>
  </si>
  <si>
    <t>Sztum</t>
  </si>
  <si>
    <t>PL-2011-085897</t>
  </si>
  <si>
    <t>Executive Impressions 14" Contract Wall Clock</t>
  </si>
  <si>
    <t>PL-2012-088076</t>
  </si>
  <si>
    <t>PL-2012-088077</t>
  </si>
  <si>
    <t>K00056</t>
  </si>
  <si>
    <t>Ewa Waśkowska</t>
  </si>
  <si>
    <t>Radzymin</t>
  </si>
  <si>
    <t>05-250</t>
  </si>
  <si>
    <t>PL-2011-086119</t>
  </si>
  <si>
    <t>K02613</t>
  </si>
  <si>
    <t>Krzysztof Filipowicz</t>
  </si>
  <si>
    <t>Kamionka Wielka</t>
  </si>
  <si>
    <t>33-334</t>
  </si>
  <si>
    <t>PL-2013-085888</t>
  </si>
  <si>
    <t>PL-2011-087134</t>
  </si>
  <si>
    <t>K00925</t>
  </si>
  <si>
    <t>Henryk Ciesielski</t>
  </si>
  <si>
    <t>Jaraczewo</t>
  </si>
  <si>
    <t>63-233</t>
  </si>
  <si>
    <t>Advantus Push Pins</t>
  </si>
  <si>
    <t>K00929</t>
  </si>
  <si>
    <t>Krzysztof Kinasiewicz</t>
  </si>
  <si>
    <t>Bielsk</t>
  </si>
  <si>
    <t>09-230</t>
  </si>
  <si>
    <t>Rush Hierlooms Collection 1" Thick Stackable Bookcases</t>
  </si>
  <si>
    <t>PL-2014-087142</t>
  </si>
  <si>
    <t>K00930</t>
  </si>
  <si>
    <t>Marek Giłka</t>
  </si>
  <si>
    <t>Rościszewo</t>
  </si>
  <si>
    <t>09-204</t>
  </si>
  <si>
    <t>PL-2011-090612</t>
  </si>
  <si>
    <t>PL-2014-090617</t>
  </si>
  <si>
    <t>PL-2013-090137</t>
  </si>
  <si>
    <t>K01089</t>
  </si>
  <si>
    <t>Justyna Gredka</t>
  </si>
  <si>
    <t>PL-2012-089223</t>
  </si>
  <si>
    <t>PL-2012-087798</t>
  </si>
  <si>
    <t>K03304</t>
  </si>
  <si>
    <t>Stanisław Mikołajczyk</t>
  </si>
  <si>
    <t>Czastary</t>
  </si>
  <si>
    <t>98-410</t>
  </si>
  <si>
    <t>Eldon® Image Series Desk Accessories, Burgundy</t>
  </si>
  <si>
    <t>Accessory27</t>
  </si>
  <si>
    <t>PL-2012-090692</t>
  </si>
  <si>
    <t>K03183</t>
  </si>
  <si>
    <t>Renata Piwowarczyk</t>
  </si>
  <si>
    <t>Leszno</t>
  </si>
  <si>
    <t>64-100</t>
  </si>
  <si>
    <t>Xerox 1953</t>
  </si>
  <si>
    <t>PL-2011-089481</t>
  </si>
  <si>
    <t>K02741</t>
  </si>
  <si>
    <t>Izabela Zielińska</t>
  </si>
  <si>
    <t>Golina</t>
  </si>
  <si>
    <t>62-590</t>
  </si>
  <si>
    <t>PL-2011-090695</t>
  </si>
  <si>
    <t>K00437</t>
  </si>
  <si>
    <t>Dorota Grzywacz</t>
  </si>
  <si>
    <t>Iłów</t>
  </si>
  <si>
    <t>96-520</t>
  </si>
  <si>
    <t>PL-2014-085892</t>
  </si>
  <si>
    <t>Verbatim 4.7GB DVD-R</t>
  </si>
  <si>
    <t>PL-2011-090662</t>
  </si>
  <si>
    <t>Fellowes High-Stak® Drawer Files</t>
  </si>
  <si>
    <t>PL-2014-090246</t>
  </si>
  <si>
    <t>K00820</t>
  </si>
  <si>
    <t>Anna Szweda</t>
  </si>
  <si>
    <t>PL-2014-086858</t>
  </si>
  <si>
    <t>K01853</t>
  </si>
  <si>
    <t>Marek Klonowski</t>
  </si>
  <si>
    <t>Kozłowo</t>
  </si>
  <si>
    <t>11-731</t>
  </si>
  <si>
    <t>PL-2014-088709</t>
  </si>
  <si>
    <t>PL-2014-090689</t>
  </si>
  <si>
    <t>PL-2013-089623</t>
  </si>
  <si>
    <t>K01031</t>
  </si>
  <si>
    <t>Krzysztof Dobrowolski</t>
  </si>
  <si>
    <t>87-100</t>
  </si>
  <si>
    <t>PL-2012-090707</t>
  </si>
  <si>
    <t>K00496</t>
  </si>
  <si>
    <t>Maria Bielecka</t>
  </si>
  <si>
    <t>Boćki</t>
  </si>
  <si>
    <t>17-111</t>
  </si>
  <si>
    <t>PL-2013-090713</t>
  </si>
  <si>
    <t>K01035</t>
  </si>
  <si>
    <t>Mariusz Majak</t>
  </si>
  <si>
    <t>Frombork</t>
  </si>
  <si>
    <t>14-530</t>
  </si>
  <si>
    <t>PL-2014-000006</t>
  </si>
  <si>
    <t>PL-2014-087479</t>
  </si>
  <si>
    <t>PL-2011-089909</t>
  </si>
  <si>
    <t>PL-2012-089597</t>
  </si>
  <si>
    <t>PL-2011-086874</t>
  </si>
  <si>
    <t>Staples Battery-Operated Desktop Pencil Sharpener</t>
  </si>
  <si>
    <t>PL-2011-090059</t>
  </si>
  <si>
    <t>PL-2011-088380</t>
  </si>
  <si>
    <t>Zoom V.92 V.44 PCI Internal Controllerless FaxModem</t>
  </si>
  <si>
    <t>PL-2012-090716</t>
  </si>
  <si>
    <t>K02371</t>
  </si>
  <si>
    <t>Piotr Bielankiewicz</t>
  </si>
  <si>
    <t>Dukla</t>
  </si>
  <si>
    <t>38-450</t>
  </si>
  <si>
    <t>PL-2011-090201</t>
  </si>
  <si>
    <t>PL-2013-090424</t>
  </si>
  <si>
    <t>K01538</t>
  </si>
  <si>
    <t>Zbigniew Marszałek</t>
  </si>
  <si>
    <t>Rutka-Tartak</t>
  </si>
  <si>
    <t>16-406</t>
  </si>
  <si>
    <t>PL-2014-088939</t>
  </si>
  <si>
    <t>Sauder Facets Collection Library, Sky Alder Finish</t>
  </si>
  <si>
    <t>PL-2012-090726</t>
  </si>
  <si>
    <t>K02761</t>
  </si>
  <si>
    <t>Zbigniew Kacprzak</t>
  </si>
  <si>
    <t>Stare Kurowo</t>
  </si>
  <si>
    <t>66-540</t>
  </si>
  <si>
    <t>K02763</t>
  </si>
  <si>
    <t>Helena Kietla</t>
  </si>
  <si>
    <t>Bieliny</t>
  </si>
  <si>
    <t>26-004</t>
  </si>
  <si>
    <t>Airmail Envelopes</t>
  </si>
  <si>
    <t>PL-2011-090731</t>
  </si>
  <si>
    <t>K01499</t>
  </si>
  <si>
    <t>Krystyna Czerwińska</t>
  </si>
  <si>
    <t>Korsze</t>
  </si>
  <si>
    <t>11-430</t>
  </si>
  <si>
    <t>PL-2013-089683</t>
  </si>
  <si>
    <t>PL-2012-089067</t>
  </si>
  <si>
    <t>PL-2012-090736</t>
  </si>
  <si>
    <t>K00646</t>
  </si>
  <si>
    <t>Ireneusz Sawczyszyn</t>
  </si>
  <si>
    <t>Kamieńsk</t>
  </si>
  <si>
    <t>97-360</t>
  </si>
  <si>
    <t>PL-2013-090742</t>
  </si>
  <si>
    <t>K03208</t>
  </si>
  <si>
    <t>Marzena Marcinkiewicz</t>
  </si>
  <si>
    <t>Grajewo</t>
  </si>
  <si>
    <t>19-200</t>
  </si>
  <si>
    <t>PL-2014-089015</t>
  </si>
  <si>
    <t>Canon imageCLASS 2200 Advanced Copier</t>
  </si>
  <si>
    <t>PL-2014-090444</t>
  </si>
  <si>
    <t>PL-2013-088707</t>
  </si>
  <si>
    <t>3M Polarizing Light Filter Sleeves</t>
  </si>
  <si>
    <t>PL-2014-087332</t>
  </si>
  <si>
    <t>K03109</t>
  </si>
  <si>
    <t>Dariusz Wołczak</t>
  </si>
  <si>
    <t>Orzysz</t>
  </si>
  <si>
    <t>12-250</t>
  </si>
  <si>
    <t>PL-2012-090746</t>
  </si>
  <si>
    <t>K01479</t>
  </si>
  <si>
    <t>Bożena Szostak</t>
  </si>
  <si>
    <t>Lutomiersk</t>
  </si>
  <si>
    <t>95-083</t>
  </si>
  <si>
    <t>PL-2013-090755</t>
  </si>
  <si>
    <t>K03282</t>
  </si>
  <si>
    <t>Karolina Iwanów</t>
  </si>
  <si>
    <t>Żukowo</t>
  </si>
  <si>
    <t>83-330</t>
  </si>
  <si>
    <t>PL-2013-088514</t>
  </si>
  <si>
    <t>PL-2011-086846</t>
  </si>
  <si>
    <t>K01860</t>
  </si>
  <si>
    <t>Leszek Kwiatkowski</t>
  </si>
  <si>
    <t>Czarnożyły</t>
  </si>
  <si>
    <t>98-310</t>
  </si>
  <si>
    <t>PL-2012-090762</t>
  </si>
  <si>
    <t>K02023</t>
  </si>
  <si>
    <t>Jarosław Wentrys</t>
  </si>
  <si>
    <t>PL-2011-090766</t>
  </si>
  <si>
    <t>K03279</t>
  </si>
  <si>
    <t>Izabela Pacer</t>
  </si>
  <si>
    <t>Nowy Dwór Mazowiecki</t>
  </si>
  <si>
    <t>05-100</t>
  </si>
  <si>
    <t>Fellowes Officeware™ Wire Shelving</t>
  </si>
  <si>
    <t>PL-2012-086286</t>
  </si>
  <si>
    <t>K03331</t>
  </si>
  <si>
    <t>Andrzej Pękalski</t>
  </si>
  <si>
    <t>08-504</t>
  </si>
  <si>
    <t>PL-2012-089599</t>
  </si>
  <si>
    <t>PL-2013-087281</t>
  </si>
  <si>
    <t>PL-2011-090166</t>
  </si>
  <si>
    <t>PL-2012-088803</t>
  </si>
  <si>
    <t>K02007</t>
  </si>
  <si>
    <t>Wioleta Maśnik</t>
  </si>
  <si>
    <t>45-058</t>
  </si>
  <si>
    <t>PL-2011-086101</t>
  </si>
  <si>
    <t>PL-2014-088459</t>
  </si>
  <si>
    <t>K02400</t>
  </si>
  <si>
    <t>Paweł Pawlak</t>
  </si>
  <si>
    <t>Ostrowiec Świętokrzyski</t>
  </si>
  <si>
    <t>27-400</t>
  </si>
  <si>
    <t>PL-2012-088800</t>
  </si>
  <si>
    <t>IBM Numeric Access II Keypad, 17-Key, Black</t>
  </si>
  <si>
    <t>PL-2013-086856</t>
  </si>
  <si>
    <t>K01857</t>
  </si>
  <si>
    <t>Dariusz Porębski</t>
  </si>
  <si>
    <t>Kamienica Polska</t>
  </si>
  <si>
    <t>42-260</t>
  </si>
  <si>
    <t>Prang Dustless Chalk Sticks</t>
  </si>
  <si>
    <t>K01859</t>
  </si>
  <si>
    <t>Weronika Socha</t>
  </si>
  <si>
    <t>Cielądz</t>
  </si>
  <si>
    <t>96-214</t>
  </si>
  <si>
    <t>PL-2013-090168</t>
  </si>
  <si>
    <t>Xerox 221</t>
  </si>
  <si>
    <t>PL-2014-086719</t>
  </si>
  <si>
    <t>PL-2014-089399</t>
  </si>
  <si>
    <t>PL-2014-090704</t>
  </si>
  <si>
    <t>K00433</t>
  </si>
  <si>
    <t>Jerzy Machlański</t>
  </si>
  <si>
    <t>Karpacz</t>
  </si>
  <si>
    <t>58-540</t>
  </si>
  <si>
    <t>K00436</t>
  </si>
  <si>
    <t>Piotr Łukasiuk</t>
  </si>
  <si>
    <t>PL-2012-088242</t>
  </si>
  <si>
    <t>PL-2014-089424</t>
  </si>
  <si>
    <t>PL-2014-087746</t>
  </si>
  <si>
    <t>PL-2011-086887</t>
  </si>
  <si>
    <t>K02488</t>
  </si>
  <si>
    <t>Andrzej Lipski</t>
  </si>
  <si>
    <t>Opatówek</t>
  </si>
  <si>
    <t>62-860</t>
  </si>
  <si>
    <t>PL-2012-087514</t>
  </si>
  <si>
    <t>PL-2012-088221</t>
  </si>
  <si>
    <t>TIMEPORT P8767</t>
  </si>
  <si>
    <t>PL-2012-086352</t>
  </si>
  <si>
    <t>K00562</t>
  </si>
  <si>
    <t>Katarzyna Krawczyk</t>
  </si>
  <si>
    <t>Gawłuszowice</t>
  </si>
  <si>
    <t>39-307</t>
  </si>
  <si>
    <t>PL-2014-085958</t>
  </si>
  <si>
    <t>PL-2011-090771</t>
  </si>
  <si>
    <t>K00954</t>
  </si>
  <si>
    <t>Edyta Boruch</t>
  </si>
  <si>
    <t>Inowłódz</t>
  </si>
  <si>
    <t>97-215</t>
  </si>
  <si>
    <t>Turquoise Lead Holder with Pocket Clip</t>
  </si>
  <si>
    <t>PL-2014-090779</t>
  </si>
  <si>
    <t>K01796</t>
  </si>
  <si>
    <t>Zbigniew Rewkowski</t>
  </si>
  <si>
    <t>26-610</t>
  </si>
  <si>
    <t>Canon Image Class D660 Copier</t>
  </si>
  <si>
    <t>PL-2013-090783</t>
  </si>
  <si>
    <t>K00180</t>
  </si>
  <si>
    <t>Tomasz Konieczny</t>
  </si>
  <si>
    <t>PL-2012-089745</t>
  </si>
  <si>
    <t>K02816</t>
  </si>
  <si>
    <t>Sławomir Kargul</t>
  </si>
  <si>
    <t>Woźniki</t>
  </si>
  <si>
    <t>42-289</t>
  </si>
  <si>
    <t>PL-2012-090788</t>
  </si>
  <si>
    <t>K01720</t>
  </si>
  <si>
    <t>Leszek Matusik</t>
  </si>
  <si>
    <t>Suchowola</t>
  </si>
  <si>
    <t>16-150</t>
  </si>
  <si>
    <t>PL-2013-090799</t>
  </si>
  <si>
    <t>K01596</t>
  </si>
  <si>
    <t>Danuta Szatkowska</t>
  </si>
  <si>
    <t>Choczewo</t>
  </si>
  <si>
    <t>84-210</t>
  </si>
  <si>
    <t>PL-2013-087697</t>
  </si>
  <si>
    <t>PL-2014-086971</t>
  </si>
  <si>
    <t>PL-2014-086198</t>
  </si>
  <si>
    <t>PL-2013-088915</t>
  </si>
  <si>
    <t>K02995</t>
  </si>
  <si>
    <t>Krzysztof Bajkowski</t>
  </si>
  <si>
    <t>Krynki</t>
  </si>
  <si>
    <t>16-120</t>
  </si>
  <si>
    <t>PL-2012-088735</t>
  </si>
  <si>
    <t>K01391</t>
  </si>
  <si>
    <t>Dariusz Ostrowski</t>
  </si>
  <si>
    <t>Ząbki</t>
  </si>
  <si>
    <t>05-091</t>
  </si>
  <si>
    <t>PL-2013-088396</t>
  </si>
  <si>
    <t>12 Colored Short Pencils</t>
  </si>
  <si>
    <t>PL-2013-087686</t>
  </si>
  <si>
    <t>PL-2012-088767</t>
  </si>
  <si>
    <t>PL-2014-087472</t>
  </si>
  <si>
    <t>PL-2012-086772</t>
  </si>
  <si>
    <t>PL-2011-087160</t>
  </si>
  <si>
    <t>PL-2013-090804</t>
  </si>
  <si>
    <t>K01223</t>
  </si>
  <si>
    <t>Julita Kupisz</t>
  </si>
  <si>
    <t>K01218</t>
  </si>
  <si>
    <t>Krzysztof Szurko</t>
  </si>
  <si>
    <t>Podegrodzie</t>
  </si>
  <si>
    <t>33-386</t>
  </si>
  <si>
    <t>Staples #10 Colored Envelopes</t>
  </si>
  <si>
    <t>PL-2012-087099</t>
  </si>
  <si>
    <t>K03163</t>
  </si>
  <si>
    <t>Bożena Krawczyk</t>
  </si>
  <si>
    <t>PL-2012-089975</t>
  </si>
  <si>
    <t>PL-2014-088888</t>
  </si>
  <si>
    <t>PL-2014-088607</t>
  </si>
  <si>
    <t>PL-2012-089382</t>
  </si>
  <si>
    <t>K02085</t>
  </si>
  <si>
    <t>Piotr Laskowski</t>
  </si>
  <si>
    <t>PL-2011-087935</t>
  </si>
  <si>
    <t>PL-2011-089300</t>
  </si>
  <si>
    <t>K02441</t>
  </si>
  <si>
    <t>Wojciech Molcan</t>
  </si>
  <si>
    <t>Krosno Odrzańskie</t>
  </si>
  <si>
    <t>66-600</t>
  </si>
  <si>
    <t>Howard Miller 16" Diameter Gallery Wall Clock</t>
  </si>
  <si>
    <t>K02442</t>
  </si>
  <si>
    <t>Grzegorz Starczyk</t>
  </si>
  <si>
    <t>Mietków</t>
  </si>
  <si>
    <t>PL-2012-090633</t>
  </si>
  <si>
    <t>PL-2012-089592</t>
  </si>
  <si>
    <t>Xerox 1917</t>
  </si>
  <si>
    <t>PL-2014-089489</t>
  </si>
  <si>
    <t>Tuff Stuff™ Recycled Round Ring Binders</t>
  </si>
  <si>
    <t>PL-2011-088730</t>
  </si>
  <si>
    <t>PL-2013-086424</t>
  </si>
  <si>
    <t>Newell 327</t>
  </si>
  <si>
    <t>PL-2011-090044</t>
  </si>
  <si>
    <t>PL-2012-090082</t>
  </si>
  <si>
    <t>K02130</t>
  </si>
  <si>
    <t>Joanna Czerwiak</t>
  </si>
  <si>
    <t>Czempiń</t>
  </si>
  <si>
    <t>64-020</t>
  </si>
  <si>
    <t>PL-2014-090782</t>
  </si>
  <si>
    <t>Kensington 4 Outlet MasterPiece® Compact Power Control Center</t>
  </si>
  <si>
    <t>PL-2011-086828</t>
  </si>
  <si>
    <t>PL-2014-086616</t>
  </si>
  <si>
    <t>PL-2011-086447</t>
  </si>
  <si>
    <t>K03191</t>
  </si>
  <si>
    <t>Daniel Gęglawy</t>
  </si>
  <si>
    <t>Bierawa</t>
  </si>
  <si>
    <t>47-240</t>
  </si>
  <si>
    <t>PL-2012-090808</t>
  </si>
  <si>
    <t>K00901</t>
  </si>
  <si>
    <t>Zofia Karpińska</t>
  </si>
  <si>
    <t>Radomsko</t>
  </si>
  <si>
    <t>97-500</t>
  </si>
  <si>
    <t>PL-2013-087854</t>
  </si>
  <si>
    <t>PL-2012-087433</t>
  </si>
  <si>
    <t>PL-2012-090816</t>
  </si>
  <si>
    <t>K03220</t>
  </si>
  <si>
    <t>Jan Szymaniak</t>
  </si>
  <si>
    <t>Kampinos</t>
  </si>
  <si>
    <t>05-085</t>
  </si>
  <si>
    <t>K03221</t>
  </si>
  <si>
    <t>Beata Augustynek</t>
  </si>
  <si>
    <t>Jędrzejów</t>
  </si>
  <si>
    <t>28-300</t>
  </si>
  <si>
    <t>PL-2014-086944</t>
  </si>
  <si>
    <t>K02018</t>
  </si>
  <si>
    <t>Roman Margielewski</t>
  </si>
  <si>
    <t>Kunice</t>
  </si>
  <si>
    <t>59-216</t>
  </si>
  <si>
    <t>PL-2013-088690</t>
  </si>
  <si>
    <t>PL-2011-086002</t>
  </si>
  <si>
    <t>K02137</t>
  </si>
  <si>
    <t>Grażyna Góral</t>
  </si>
  <si>
    <t>Hrubieszów</t>
  </si>
  <si>
    <t>22-500</t>
  </si>
  <si>
    <t>PL-2012-087523</t>
  </si>
  <si>
    <t>K01171</t>
  </si>
  <si>
    <t>Marzena Podzińska</t>
  </si>
  <si>
    <t>Bukowno</t>
  </si>
  <si>
    <t>32-332</t>
  </si>
  <si>
    <t>PL-2014-089001</t>
  </si>
  <si>
    <t>K02484</t>
  </si>
  <si>
    <t>Krzysztof Grzywnowicz</t>
  </si>
  <si>
    <t>Tyszowce</t>
  </si>
  <si>
    <t>22-630</t>
  </si>
  <si>
    <t>Fellowes Super Stor/Drawer® Files</t>
  </si>
  <si>
    <t>PL-2013-086195</t>
  </si>
  <si>
    <t>K00556</t>
  </si>
  <si>
    <t>Edwin Grzechowiak</t>
  </si>
  <si>
    <t>Mrągowo</t>
  </si>
  <si>
    <t>11-700</t>
  </si>
  <si>
    <t>Astroparche® Fine Business Paper</t>
  </si>
  <si>
    <t>PL-2012-087606</t>
  </si>
  <si>
    <t>Avery® Durable Plastic 1" Binders</t>
  </si>
  <si>
    <t>PL-2014-087564</t>
  </si>
  <si>
    <t>PL-2012-090080</t>
  </si>
  <si>
    <t>K02131</t>
  </si>
  <si>
    <t>Katarzyna Romaniec</t>
  </si>
  <si>
    <t>Milówka</t>
  </si>
  <si>
    <t>34-360</t>
  </si>
  <si>
    <t>Ibico Laser Imprintable Binding System Covers</t>
  </si>
  <si>
    <t>PL-2012-090822</t>
  </si>
  <si>
    <t>K03176</t>
  </si>
  <si>
    <t>Wiesław Buczyński</t>
  </si>
  <si>
    <t>Częstochowa</t>
  </si>
  <si>
    <t>42-224</t>
  </si>
  <si>
    <t>PL-2012-087796</t>
  </si>
  <si>
    <t>DS/HD IBM Formatted Diskettes, 10/Pack - Staples</t>
  </si>
  <si>
    <t>PL-2014-087355</t>
  </si>
  <si>
    <t>K00365</t>
  </si>
  <si>
    <t>Roman Poniecki</t>
  </si>
  <si>
    <t>Sępopol</t>
  </si>
  <si>
    <t>11-210</t>
  </si>
  <si>
    <t>K00364</t>
  </si>
  <si>
    <t>Jadwiga Cyunel</t>
  </si>
  <si>
    <t>Sosnówka</t>
  </si>
  <si>
    <t>21-518</t>
  </si>
  <si>
    <t>K00362</t>
  </si>
  <si>
    <t>Kazimierz Pasternacki</t>
  </si>
  <si>
    <t>PL-2013-090005</t>
  </si>
  <si>
    <t>U.S. Robotics 56K Internet Call Modem</t>
  </si>
  <si>
    <t>PL-2013-086477</t>
  </si>
  <si>
    <t>PL-2013-087895</t>
  </si>
  <si>
    <t>PL-2012-090116</t>
  </si>
  <si>
    <t>K01279</t>
  </si>
  <si>
    <t>Henryk Kuca</t>
  </si>
  <si>
    <t>Trzebnica</t>
  </si>
  <si>
    <t>55-100</t>
  </si>
  <si>
    <t>Xerox 1920</t>
  </si>
  <si>
    <t>PL-2014-090563</t>
  </si>
  <si>
    <t>PL-2014-090623</t>
  </si>
  <si>
    <t>PL-2014-088089</t>
  </si>
  <si>
    <t>PL-2014-088654</t>
  </si>
  <si>
    <t>Newell 31</t>
  </si>
  <si>
    <t>PL-2012-089946</t>
  </si>
  <si>
    <t>K01776</t>
  </si>
  <si>
    <t>Marcin Łuczków</t>
  </si>
  <si>
    <t>Białobrzegi</t>
  </si>
  <si>
    <t>PL-2013-089838</t>
  </si>
  <si>
    <t>K03268</t>
  </si>
  <si>
    <t>Marlena Lisowska</t>
  </si>
  <si>
    <t>Sośno</t>
  </si>
  <si>
    <t>89-412</t>
  </si>
  <si>
    <t>K03267</t>
  </si>
  <si>
    <t>Ryszard Lis</t>
  </si>
  <si>
    <t>Koszyce</t>
  </si>
  <si>
    <t>32-130</t>
  </si>
  <si>
    <t>PL-2013-089600</t>
  </si>
  <si>
    <t>PL-2013-088199</t>
  </si>
  <si>
    <t>Xerox 1993</t>
  </si>
  <si>
    <t>PL-2014-090831</t>
  </si>
  <si>
    <t>K00178</t>
  </si>
  <si>
    <t>Andrzej Krzyżanowski</t>
  </si>
  <si>
    <t>Pierzchnica</t>
  </si>
  <si>
    <t>26-015</t>
  </si>
  <si>
    <t>Fellowes Smart Surge Ten-Outlet Protector, Platinum</t>
  </si>
  <si>
    <t>Carina 42"Hx23 3/4"W Media Storage Unit</t>
  </si>
  <si>
    <t>Bevis Round Conference Room Tables and Bases</t>
  </si>
  <si>
    <t>PL-2011-090832</t>
  </si>
  <si>
    <t>K01112</t>
  </si>
  <si>
    <t>Eliza Turczuk</t>
  </si>
  <si>
    <t>Bolków</t>
  </si>
  <si>
    <t>59-420</t>
  </si>
  <si>
    <t>PL-2014-087354</t>
  </si>
  <si>
    <t>K00367</t>
  </si>
  <si>
    <t>Oktawiusz Jeż</t>
  </si>
  <si>
    <t>Włodawa</t>
  </si>
  <si>
    <t>22-200</t>
  </si>
  <si>
    <t>PL-2014-089313</t>
  </si>
  <si>
    <t>PL-2013-090686</t>
  </si>
  <si>
    <t>PL-2014-088586</t>
  </si>
  <si>
    <t>PL-2011-086544</t>
  </si>
  <si>
    <t>K02980</t>
  </si>
  <si>
    <t>Agnieszka Szmyt</t>
  </si>
  <si>
    <t>Sadlinki</t>
  </si>
  <si>
    <t>82-522</t>
  </si>
  <si>
    <t>PL-2013-087800</t>
  </si>
  <si>
    <t>PL-2012-086669</t>
  </si>
  <si>
    <t>PL-2011-089601</t>
  </si>
  <si>
    <t>Accessory15</t>
  </si>
  <si>
    <t>PL-2012-090838</t>
  </si>
  <si>
    <t>K00290</t>
  </si>
  <si>
    <t>Dorota Pilżys</t>
  </si>
  <si>
    <t>Niepołomice</t>
  </si>
  <si>
    <t>32-005</t>
  </si>
  <si>
    <t>PL-2013-086449</t>
  </si>
  <si>
    <t>PL-2014-090849</t>
  </si>
  <si>
    <t>K00939</t>
  </si>
  <si>
    <t>Tadeusz Gnojewski</t>
  </si>
  <si>
    <t>Sobótka</t>
  </si>
  <si>
    <t>55-050</t>
  </si>
  <si>
    <t>PL-2014-089493</t>
  </si>
  <si>
    <t>PL-2012-090343</t>
  </si>
  <si>
    <t>3M Hangers With Command Adhesive</t>
  </si>
  <si>
    <t>K00387</t>
  </si>
  <si>
    <t>Wiesława Stelmach</t>
  </si>
  <si>
    <t>Ciechanowiec</t>
  </si>
  <si>
    <t>18-230</t>
  </si>
  <si>
    <t>PL-2011-086949</t>
  </si>
  <si>
    <t>K02394</t>
  </si>
  <si>
    <t>Joanna Leszczyńska</t>
  </si>
  <si>
    <t>Rawa Mazowiecka</t>
  </si>
  <si>
    <t>96-200</t>
  </si>
  <si>
    <t>PL-2014-088013</t>
  </si>
  <si>
    <t>PL-2012-090718</t>
  </si>
  <si>
    <t>PL-2011-090103</t>
  </si>
  <si>
    <t>K03320</t>
  </si>
  <si>
    <t>Janina Czarnyszka</t>
  </si>
  <si>
    <t>Ustrzyki Dolne</t>
  </si>
  <si>
    <t>38-700</t>
  </si>
  <si>
    <t>PL-2012-087887</t>
  </si>
  <si>
    <t>K02841</t>
  </si>
  <si>
    <t>Arleta Zaucha</t>
  </si>
  <si>
    <t>PL-2013-090852</t>
  </si>
  <si>
    <t>K03197</t>
  </si>
  <si>
    <t>Marcin Nieradka</t>
  </si>
  <si>
    <t>Młynary</t>
  </si>
  <si>
    <t>14-420</t>
  </si>
  <si>
    <t>Wirebound Message Books, 2 7/8" x 5", 3 Forms per Page</t>
  </si>
  <si>
    <t>PL-2014-086381</t>
  </si>
  <si>
    <t>K02398</t>
  </si>
  <si>
    <t>Paweł Adamczak</t>
  </si>
  <si>
    <t>Izbica Kujawska</t>
  </si>
  <si>
    <t>87-865</t>
  </si>
  <si>
    <t>PL-2013-086170</t>
  </si>
  <si>
    <t>PL-2011-090855</t>
  </si>
  <si>
    <t>K01156</t>
  </si>
  <si>
    <t>Jerzy Wroński</t>
  </si>
  <si>
    <t>Dobryszyce</t>
  </si>
  <si>
    <t>97-505</t>
  </si>
  <si>
    <t>PL-2013-090863</t>
  </si>
  <si>
    <t>K02425</t>
  </si>
  <si>
    <t>Krzysztof Zadka</t>
  </si>
  <si>
    <t>Książ Wielkopolski</t>
  </si>
  <si>
    <t>63-130</t>
  </si>
  <si>
    <t>Staples Gold Paper Clips</t>
  </si>
  <si>
    <t>K02426</t>
  </si>
  <si>
    <t>Tadeusz Kowalski</t>
  </si>
  <si>
    <t>Starachowice</t>
  </si>
  <si>
    <t>27-200</t>
  </si>
  <si>
    <t>PL-2014-089105</t>
  </si>
  <si>
    <t>PL-2011-090867</t>
  </si>
  <si>
    <t>K00518</t>
  </si>
  <si>
    <t>Piotr Marszałek</t>
  </si>
  <si>
    <t>Stare Czarnowo</t>
  </si>
  <si>
    <t>74-106</t>
  </si>
  <si>
    <t>PL-2014-086745</t>
  </si>
  <si>
    <t>K01453</t>
  </si>
  <si>
    <t>Natalia Michałowska</t>
  </si>
  <si>
    <t>Nowe Miasto nad Wartą</t>
  </si>
  <si>
    <t>63-040</t>
  </si>
  <si>
    <t>K01455</t>
  </si>
  <si>
    <t>Jadwiga Zielińska</t>
  </si>
  <si>
    <t>Chlewiska</t>
  </si>
  <si>
    <t>26-510</t>
  </si>
  <si>
    <t>K01456</t>
  </si>
  <si>
    <t>Witold Król</t>
  </si>
  <si>
    <t>K01457</t>
  </si>
  <si>
    <t>Kazimierz Trela</t>
  </si>
  <si>
    <t>Drwinia</t>
  </si>
  <si>
    <t>32-708</t>
  </si>
  <si>
    <t>PL-2014-088993</t>
  </si>
  <si>
    <t>PL-2012-090872</t>
  </si>
  <si>
    <t>K02864</t>
  </si>
  <si>
    <t>Andrzej Dybza</t>
  </si>
  <si>
    <t>Wieliczka</t>
  </si>
  <si>
    <t>32-020</t>
  </si>
  <si>
    <t>K02865</t>
  </si>
  <si>
    <t>Eugeniusz Bieliński</t>
  </si>
  <si>
    <t>Stara Biała</t>
  </si>
  <si>
    <t>09-411</t>
  </si>
  <si>
    <t>PL-2013-086456</t>
  </si>
  <si>
    <t>K02851</t>
  </si>
  <si>
    <t>Henryk Rzepczak</t>
  </si>
  <si>
    <t>PL-2014-090877</t>
  </si>
  <si>
    <t>K02568</t>
  </si>
  <si>
    <t>Tomasz Kwaśnik</t>
  </si>
  <si>
    <t>K02566</t>
  </si>
  <si>
    <t>Tomasz Królikowski</t>
  </si>
  <si>
    <t>Szczekociny</t>
  </si>
  <si>
    <t>42-445</t>
  </si>
  <si>
    <t>PL-2013-090878</t>
  </si>
  <si>
    <t>K02596</t>
  </si>
  <si>
    <t>Mirosława Folta</t>
  </si>
  <si>
    <t>PL-2011-090193</t>
  </si>
  <si>
    <t>PL-2014-086008</t>
  </si>
  <si>
    <t>K02139</t>
  </si>
  <si>
    <t>Kamila Wiatr</t>
  </si>
  <si>
    <t>Wierzbno</t>
  </si>
  <si>
    <t>07-111</t>
  </si>
  <si>
    <t>PL-2013-090150</t>
  </si>
  <si>
    <t>PL-2014-087529</t>
  </si>
  <si>
    <t>PL-2011-090881</t>
  </si>
  <si>
    <t>K01241</t>
  </si>
  <si>
    <t>Henryk Patora</t>
  </si>
  <si>
    <t>Sułkowice</t>
  </si>
  <si>
    <t>34-125</t>
  </si>
  <si>
    <t>PL-2011-086054</t>
  </si>
  <si>
    <t>K02201</t>
  </si>
  <si>
    <t>Paweł Rusin</t>
  </si>
  <si>
    <t>Skoczów</t>
  </si>
  <si>
    <t>43-430</t>
  </si>
  <si>
    <t>Tensor Computer Mounted Lamp</t>
  </si>
  <si>
    <t>PL-2014-089235</t>
  </si>
  <si>
    <t>PL-2013-090890</t>
  </si>
  <si>
    <t>K01986</t>
  </si>
  <si>
    <t>Sylwester Pietrzycki</t>
  </si>
  <si>
    <t>Kościerzyna</t>
  </si>
  <si>
    <t>83-400</t>
  </si>
  <si>
    <t>PL-2014-089045</t>
  </si>
  <si>
    <t>K01975</t>
  </si>
  <si>
    <t>Robert Szczepaniuk</t>
  </si>
  <si>
    <t>35-602</t>
  </si>
  <si>
    <t>PL-2014-089735</t>
  </si>
  <si>
    <t>K01261</t>
  </si>
  <si>
    <t>Waldemar Baran</t>
  </si>
  <si>
    <t>Kłomnice</t>
  </si>
  <si>
    <t>42-270</t>
  </si>
  <si>
    <t>PL-2012-086711</t>
  </si>
  <si>
    <t>Deflect-o Glass Clear Studded Chair Mats</t>
  </si>
  <si>
    <t>PL-2014-088969</t>
  </si>
  <si>
    <t>K01310</t>
  </si>
  <si>
    <t>Grzegorz Preis</t>
  </si>
  <si>
    <t>90-272</t>
  </si>
  <si>
    <t>PL-2012-087350</t>
  </si>
  <si>
    <t>K00361</t>
  </si>
  <si>
    <t>Zygmunt ŚŚwięcicki</t>
  </si>
  <si>
    <t>PL-2011-090891</t>
  </si>
  <si>
    <t>K02117</t>
  </si>
  <si>
    <t>Tadeusz Jarząbek</t>
  </si>
  <si>
    <t>Cekcyn</t>
  </si>
  <si>
    <t>89-511</t>
  </si>
  <si>
    <t>PL-2014-090904</t>
  </si>
  <si>
    <t>K01875</t>
  </si>
  <si>
    <t>Marek Mudryk</t>
  </si>
  <si>
    <t>Legionowo</t>
  </si>
  <si>
    <t>05-120</t>
  </si>
  <si>
    <t>Xerox 1972</t>
  </si>
  <si>
    <t>PL-2011-086900</t>
  </si>
  <si>
    <t>PL-2011-087451</t>
  </si>
  <si>
    <t>K02534</t>
  </si>
  <si>
    <t>Hubert Cienkusz</t>
  </si>
  <si>
    <t>PL-2012-086105</t>
  </si>
  <si>
    <t>K03043</t>
  </si>
  <si>
    <t>Sławomir Stawicki</t>
  </si>
  <si>
    <t>Swarzędz</t>
  </si>
  <si>
    <t>62-020</t>
  </si>
  <si>
    <t>PL-2014-087460</t>
  </si>
  <si>
    <t>PL-2014-090907</t>
  </si>
  <si>
    <t>K01427</t>
  </si>
  <si>
    <t>Rafał Grochowski</t>
  </si>
  <si>
    <t>Pilica</t>
  </si>
  <si>
    <t>42-436</t>
  </si>
  <si>
    <t>PL-2013-087211</t>
  </si>
  <si>
    <t>SANFORD Major Accent™ Highlighters</t>
  </si>
  <si>
    <t>PL-2013-090913</t>
  </si>
  <si>
    <t>K00552</t>
  </si>
  <si>
    <t>Mieczysława Łukaszewicz</t>
  </si>
  <si>
    <t>Duszniki</t>
  </si>
  <si>
    <t>64-550</t>
  </si>
  <si>
    <t>PL-2013-087121</t>
  </si>
  <si>
    <t>PL-2012-090789</t>
  </si>
  <si>
    <t>V2397</t>
  </si>
  <si>
    <t>K01719</t>
  </si>
  <si>
    <t>Tomasz Kelm</t>
  </si>
  <si>
    <t>Płoniawy-Bramura</t>
  </si>
  <si>
    <t>06-210</t>
  </si>
  <si>
    <t>PL-2013-088986</t>
  </si>
  <si>
    <t>PL-2013-089115</t>
  </si>
  <si>
    <t>K01281</t>
  </si>
  <si>
    <t>Damian Tyczka</t>
  </si>
  <si>
    <t>Jeżów Sudecki</t>
  </si>
  <si>
    <t>58-521</t>
  </si>
  <si>
    <t>PL-2011-088281</t>
  </si>
  <si>
    <t>PL-2012-090340</t>
  </si>
  <si>
    <t>PL-2014-088355</t>
  </si>
  <si>
    <t>PL-2013-088595</t>
  </si>
  <si>
    <t>PL-2014-087532</t>
  </si>
  <si>
    <t>Eldon Spacemaker® Box, Quick-Snap Lid, Clear</t>
  </si>
  <si>
    <t>PL-2014-087013</t>
  </si>
  <si>
    <t>PL-2011-089941</t>
  </si>
  <si>
    <t>PL-2013-090919</t>
  </si>
  <si>
    <t>K00374</t>
  </si>
  <si>
    <t>Renata Kulik</t>
  </si>
  <si>
    <t>41-906</t>
  </si>
  <si>
    <t>PL-2014-089904</t>
  </si>
  <si>
    <t>Xerox 20</t>
  </si>
  <si>
    <t>PL-2013-088637</t>
  </si>
  <si>
    <t>PL-2014-088901</t>
  </si>
  <si>
    <t>PL-2014-090848</t>
  </si>
  <si>
    <t>K00941</t>
  </si>
  <si>
    <t>Katarzyna Sołtan</t>
  </si>
  <si>
    <t>PL-2014-090926</t>
  </si>
  <si>
    <t>K00663</t>
  </si>
  <si>
    <t>Andrzej Macewicz</t>
  </si>
  <si>
    <t>Suchożebry</t>
  </si>
  <si>
    <t>08-125</t>
  </si>
  <si>
    <t>PL-2011-089097</t>
  </si>
  <si>
    <t>PL-2013-090928</t>
  </si>
  <si>
    <t>K02626</t>
  </si>
  <si>
    <t>Magdalena Łączkowska</t>
  </si>
  <si>
    <t>PL-2012-089010</t>
  </si>
  <si>
    <t>PL-2014-090421</t>
  </si>
  <si>
    <t>K01949</t>
  </si>
  <si>
    <t>Jadwiga Szuplak</t>
  </si>
  <si>
    <t>PL-2013-087410</t>
  </si>
  <si>
    <t>K00060</t>
  </si>
  <si>
    <t>Anatol Gonczarewicz</t>
  </si>
  <si>
    <t>Kęty</t>
  </si>
  <si>
    <t>32-650</t>
  </si>
  <si>
    <t>PL-2012-086315</t>
  </si>
  <si>
    <t>Colorific® Watercolor Pencils</t>
  </si>
  <si>
    <t>PL-2011-088319</t>
  </si>
  <si>
    <t>PL-2014-088324</t>
  </si>
  <si>
    <t>PL-2014-089551</t>
  </si>
  <si>
    <t>PL-2014-090847</t>
  </si>
  <si>
    <t>PL-2012-090221</t>
  </si>
  <si>
    <t>Avery Hi-Liter® EverBold™ Pen Style Fluorescent Highlighters, 4/Pack</t>
  </si>
  <si>
    <t>PL-2013-090636</t>
  </si>
  <si>
    <t>K01888</t>
  </si>
  <si>
    <t>Kamil Bednarz</t>
  </si>
  <si>
    <t>Lubiszyn</t>
  </si>
  <si>
    <t>66-433</t>
  </si>
  <si>
    <t>PL-2011-086448</t>
  </si>
  <si>
    <t>Tyvek ® Top-Opening Peel &amp; Seel ® Envelopes, Gray</t>
  </si>
  <si>
    <t>PL-2011-086926</t>
  </si>
  <si>
    <t>K02897</t>
  </si>
  <si>
    <t>Krzysztof Cywiński</t>
  </si>
  <si>
    <t>Oborniki Śląskie</t>
  </si>
  <si>
    <t>55-120</t>
  </si>
  <si>
    <t>PL-2012-089057</t>
  </si>
  <si>
    <t>K02423</t>
  </si>
  <si>
    <t>Agata Graf</t>
  </si>
  <si>
    <t>PL-2012-089841</t>
  </si>
  <si>
    <t>K03092</t>
  </si>
  <si>
    <t>Roman Pawluch</t>
  </si>
  <si>
    <t>Ziębice</t>
  </si>
  <si>
    <t>57-220</t>
  </si>
  <si>
    <t>PL-2012-088126</t>
  </si>
  <si>
    <t>PL-2013-087656</t>
  </si>
  <si>
    <t>K00024</t>
  </si>
  <si>
    <t>Sylwia Korbus</t>
  </si>
  <si>
    <t>Poręba</t>
  </si>
  <si>
    <t>42-480</t>
  </si>
  <si>
    <t>PL-2012-087680</t>
  </si>
  <si>
    <t>K02698</t>
  </si>
  <si>
    <t>Mateusz Kowalski</t>
  </si>
  <si>
    <t>Błonie</t>
  </si>
  <si>
    <t>05-505</t>
  </si>
  <si>
    <t>PL-2013-086231</t>
  </si>
  <si>
    <t>K02805</t>
  </si>
  <si>
    <t>Marek Młynarczyk</t>
  </si>
  <si>
    <t>K02806</t>
  </si>
  <si>
    <t>Mieczysław Drobek</t>
  </si>
  <si>
    <t>PL-2011-087631</t>
  </si>
  <si>
    <t>PL-2011-088627</t>
  </si>
  <si>
    <t>PL-2014-088938</t>
  </si>
  <si>
    <t>PL-2014-088744</t>
  </si>
  <si>
    <t>PL-2013-088209</t>
  </si>
  <si>
    <t>PL-2014-090933</t>
  </si>
  <si>
    <t>K01646</t>
  </si>
  <si>
    <t>Krzysztof Włodkowski</t>
  </si>
  <si>
    <t>PL-2013-089134</t>
  </si>
  <si>
    <t>PL-2012-088321</t>
  </si>
  <si>
    <t>Xerox 1982</t>
  </si>
  <si>
    <t>PL-2011-087672</t>
  </si>
  <si>
    <t>PL-2011-086750</t>
  </si>
  <si>
    <t>Sanford EarthWrite® Recycled Pencils, Medium Soft, #2</t>
  </si>
  <si>
    <t>PL-2014-090459</t>
  </si>
  <si>
    <t>PL-2014-089591</t>
  </si>
  <si>
    <t>PL-2014-089312</t>
  </si>
  <si>
    <t>PL-2013-087919</t>
  </si>
  <si>
    <t>PL-2014-087225</t>
  </si>
  <si>
    <t>PL-2013-086524</t>
  </si>
  <si>
    <t>Premier Elliptical Ring Binder, Black</t>
  </si>
  <si>
    <t>PL-2012-089929</t>
  </si>
  <si>
    <t>K03344</t>
  </si>
  <si>
    <t>Jan Kubabski</t>
  </si>
  <si>
    <t>Ciechocinek</t>
  </si>
  <si>
    <t>87-720</t>
  </si>
  <si>
    <t>PL-2014-087688</t>
  </si>
  <si>
    <t>Staples Colored Bar Computer Paper</t>
  </si>
  <si>
    <t>K02699</t>
  </si>
  <si>
    <t>Marcin Beńko</t>
  </si>
  <si>
    <t>Ryn</t>
  </si>
  <si>
    <t>11-520</t>
  </si>
  <si>
    <t>PL-2012-089989</t>
  </si>
  <si>
    <t>K03102</t>
  </si>
  <si>
    <t>Andrzej Kolada</t>
  </si>
  <si>
    <t>63-200</t>
  </si>
  <si>
    <t>PL-2013-089476</t>
  </si>
  <si>
    <t>PL-2014-087735</t>
  </si>
  <si>
    <t>PL-2014-086037</t>
  </si>
  <si>
    <t>PL-2014-087643</t>
  </si>
  <si>
    <t>PL-2012-086314</t>
  </si>
  <si>
    <t>PL-2014-090153</t>
  </si>
  <si>
    <t>K02286</t>
  </si>
  <si>
    <t>Bożena Świeboda</t>
  </si>
  <si>
    <t>Pełczyce</t>
  </si>
  <si>
    <t>73-260</t>
  </si>
  <si>
    <t>PL-2011-090750</t>
  </si>
  <si>
    <t>K03285</t>
  </si>
  <si>
    <t>Jolanta Bednarek</t>
  </si>
  <si>
    <t>Szreńsk</t>
  </si>
  <si>
    <t>06-550</t>
  </si>
  <si>
    <t>BASF Silver 74 Minute CD-R</t>
  </si>
  <si>
    <t>PL-2013-090451</t>
  </si>
  <si>
    <t>K00448</t>
  </si>
  <si>
    <t>Grzegorz Krzemień</t>
  </si>
  <si>
    <t>Komańcza</t>
  </si>
  <si>
    <t>38-543</t>
  </si>
  <si>
    <t>PL-2012-087017</t>
  </si>
  <si>
    <t>PL-2013-090883</t>
  </si>
  <si>
    <t>PL-2012-090809</t>
  </si>
  <si>
    <t>PL-2011-086220</t>
  </si>
  <si>
    <t>PL-2014-085856</t>
  </si>
  <si>
    <t>PL-2011-090533</t>
  </si>
  <si>
    <t>BOSTON® Ranger® #55 Pencil Sharpener, Black</t>
  </si>
  <si>
    <t>PL-2013-089689</t>
  </si>
  <si>
    <t>PL-2014-090429</t>
  </si>
  <si>
    <t>PL-2012-090542</t>
  </si>
  <si>
    <t>PL-2014-086505</t>
  </si>
  <si>
    <t>PL-2014-090940</t>
  </si>
  <si>
    <t>K01577</t>
  </si>
  <si>
    <t>Stanisław Łokietek</t>
  </si>
  <si>
    <t>Złoty Stok</t>
  </si>
  <si>
    <t>57-250</t>
  </si>
  <si>
    <t>PL-2011-088839</t>
  </si>
  <si>
    <t>PL-2014-086363</t>
  </si>
  <si>
    <t>Eldon Shelf Savers™ Cubes and Bins</t>
  </si>
  <si>
    <t>PL-2011-086189</t>
  </si>
  <si>
    <t>Fellowes Neat Ideas® Storage Cubes</t>
  </si>
  <si>
    <t>PL-2014-090729</t>
  </si>
  <si>
    <t>K02758</t>
  </si>
  <si>
    <t>Jan Borowik</t>
  </si>
  <si>
    <t>PL-2011-086331</t>
  </si>
  <si>
    <t>PL-2014-089642</t>
  </si>
  <si>
    <t>Okidata ML591 Wide Format Dot Matrix Printer</t>
  </si>
  <si>
    <t>PL-2014-087601</t>
  </si>
  <si>
    <t>K01201</t>
  </si>
  <si>
    <t>Jarosław Kraśniański</t>
  </si>
  <si>
    <t>PL-2014-090945</t>
  </si>
  <si>
    <t>K00764</t>
  </si>
  <si>
    <t>Mirosław Pomorski</t>
  </si>
  <si>
    <t>Ułęż</t>
  </si>
  <si>
    <t>PL-2012-090316</t>
  </si>
  <si>
    <t>PL-2011-087525</t>
  </si>
  <si>
    <t>PL-2013-090423</t>
  </si>
  <si>
    <t>PL-2013-087320</t>
  </si>
  <si>
    <t>Self-Adhesive Ring Binder Labels</t>
  </si>
  <si>
    <t>PL-2012-086126</t>
  </si>
  <si>
    <t>Staples File Caddy</t>
  </si>
  <si>
    <t>PL-2014-088402</t>
  </si>
  <si>
    <t>PL-2013-086425</t>
  </si>
  <si>
    <t>PL-2012-085819</t>
  </si>
  <si>
    <t>PL-2013-090949</t>
  </si>
  <si>
    <t>K03025</t>
  </si>
  <si>
    <t>Grażyna Motłoch</t>
  </si>
  <si>
    <t>Mordy</t>
  </si>
  <si>
    <t>08-140</t>
  </si>
  <si>
    <t>K03026</t>
  </si>
  <si>
    <t>Marta Mikulska</t>
  </si>
  <si>
    <t>Milicz</t>
  </si>
  <si>
    <t>56-300</t>
  </si>
  <si>
    <t>PL-2013-089058</t>
  </si>
  <si>
    <t>Xerox 1959</t>
  </si>
  <si>
    <t>PL-2011-088611</t>
  </si>
  <si>
    <t>PL-2011-089939</t>
  </si>
  <si>
    <t>K01777</t>
  </si>
  <si>
    <t>Anita Jasińska</t>
  </si>
  <si>
    <t>Hażlach</t>
  </si>
  <si>
    <t>43-419</t>
  </si>
  <si>
    <t>PL-2011-090568</t>
  </si>
  <si>
    <t>K01998</t>
  </si>
  <si>
    <t>Irena Banaśkiewicz</t>
  </si>
  <si>
    <t>Dmosin</t>
  </si>
  <si>
    <t>95-061</t>
  </si>
  <si>
    <t>PL-2012-088760</t>
  </si>
  <si>
    <t>PL-2013-089264</t>
  </si>
  <si>
    <t>PL-2013-089951</t>
  </si>
  <si>
    <t>PL-2013-086082</t>
  </si>
  <si>
    <t>PL-2013-090748</t>
  </si>
  <si>
    <t>PL-2012-087165</t>
  </si>
  <si>
    <t>K02779</t>
  </si>
  <si>
    <t>Julia Piotrowska</t>
  </si>
  <si>
    <t>Zbójna</t>
  </si>
  <si>
    <t>18-416</t>
  </si>
  <si>
    <t>PL-2013-090764</t>
  </si>
  <si>
    <t>PL-2011-090291</t>
  </si>
  <si>
    <t>K00371</t>
  </si>
  <si>
    <t>Dariusz Możejko</t>
  </si>
  <si>
    <t>Strumień</t>
  </si>
  <si>
    <t>43-246</t>
  </si>
  <si>
    <t>K00370</t>
  </si>
  <si>
    <t>Adam Seredyński</t>
  </si>
  <si>
    <t>PL-2012-085818</t>
  </si>
  <si>
    <t>PL-2012-087035</t>
  </si>
  <si>
    <t>K02511</t>
  </si>
  <si>
    <t>Marek Rojek</t>
  </si>
  <si>
    <t>44-213</t>
  </si>
  <si>
    <t>K02523</t>
  </si>
  <si>
    <t>Renata Opar</t>
  </si>
  <si>
    <t>Elite 5" Scissors</t>
  </si>
  <si>
    <t>PL-2014-090640</t>
  </si>
  <si>
    <t>PL-2013-089486</t>
  </si>
  <si>
    <t>PL-2011-088685</t>
  </si>
  <si>
    <t>Acme® Elite Stainless Steel Scissors</t>
  </si>
  <si>
    <t>PL-2014-087025</t>
  </si>
  <si>
    <t>PL-2012-087288</t>
  </si>
  <si>
    <t>PL-2014-086881</t>
  </si>
  <si>
    <t>K02012</t>
  </si>
  <si>
    <t>Piotr Wodyk</t>
  </si>
  <si>
    <t>Epson LQ-570e Dot Matrix Printer</t>
  </si>
  <si>
    <t>PL-2014-088291</t>
  </si>
  <si>
    <t>PL-2014-087852</t>
  </si>
  <si>
    <t>PL-2013-090956</t>
  </si>
  <si>
    <t>K02639</t>
  </si>
  <si>
    <t>Andrzej Trojanowski</t>
  </si>
  <si>
    <t>PL-2012-087955</t>
  </si>
  <si>
    <t>PL-2014-090760</t>
  </si>
  <si>
    <t>Xerox 197</t>
  </si>
  <si>
    <t>PL-2012-086018</t>
  </si>
  <si>
    <t>PL-2014-088441</t>
  </si>
  <si>
    <t>K03201</t>
  </si>
  <si>
    <t>Adam Woźniak</t>
  </si>
  <si>
    <t>PL-2013-088672</t>
  </si>
  <si>
    <t>K00772</t>
  </si>
  <si>
    <t>Mirosław Maciesza</t>
  </si>
  <si>
    <t>Ostrów Mazowiecka</t>
  </si>
  <si>
    <t>07-300</t>
  </si>
  <si>
    <t>PL-2012-087575</t>
  </si>
  <si>
    <t>PL-2014-087420</t>
  </si>
  <si>
    <t>PL-2011-089401</t>
  </si>
  <si>
    <t>PL-2012-086293</t>
  </si>
  <si>
    <t>PL-2014-086084</t>
  </si>
  <si>
    <t>PL-2011-086077</t>
  </si>
  <si>
    <t>Polycom VoiceStation 100</t>
  </si>
  <si>
    <t>Phone 918</t>
  </si>
  <si>
    <t>PL-2011-090962</t>
  </si>
  <si>
    <t>K00782</t>
  </si>
  <si>
    <t>Iwona Wentis</t>
  </si>
  <si>
    <t>Głowno</t>
  </si>
  <si>
    <t>95-015</t>
  </si>
  <si>
    <t>PL-2011-086547</t>
  </si>
  <si>
    <t>PL-2014-089163</t>
  </si>
  <si>
    <t>K02297</t>
  </si>
  <si>
    <t>Marek Michalski</t>
  </si>
  <si>
    <t>K02293</t>
  </si>
  <si>
    <t>Sławoj Kigina</t>
  </si>
  <si>
    <t>K02294</t>
  </si>
  <si>
    <t>Janusz Gromek</t>
  </si>
  <si>
    <t>PL-2014-089560</t>
  </si>
  <si>
    <t>K00883</t>
  </si>
  <si>
    <t>Magdalena ŚWitkowska</t>
  </si>
  <si>
    <t>Walim</t>
  </si>
  <si>
    <t>58-320</t>
  </si>
  <si>
    <t>PL-2014-086026</t>
  </si>
  <si>
    <t>Accohide Poly Flexible Ring Binders</t>
  </si>
  <si>
    <t>PL-2014-090397</t>
  </si>
  <si>
    <t>K02162</t>
  </si>
  <si>
    <t>Zbigniew Oleksiak</t>
  </si>
  <si>
    <t>Damasławek</t>
  </si>
  <si>
    <t>62-110</t>
  </si>
  <si>
    <t>PL-2014-087227</t>
  </si>
  <si>
    <t>PL-2011-087109</t>
  </si>
  <si>
    <t>PL-2013-089012</t>
  </si>
  <si>
    <t>K01026</t>
  </si>
  <si>
    <t>Marek Jakubiak</t>
  </si>
  <si>
    <t>Nowy Żmigród</t>
  </si>
  <si>
    <t>38-230</t>
  </si>
  <si>
    <t>PL-2011-090461</t>
  </si>
  <si>
    <t>K03306</t>
  </si>
  <si>
    <t>Janina Gąszcz</t>
  </si>
  <si>
    <t>Konstantynów</t>
  </si>
  <si>
    <t>21-543</t>
  </si>
  <si>
    <t>PL-2014-090511</t>
  </si>
  <si>
    <t>Colored Envelopes</t>
  </si>
  <si>
    <t>PL-2011-014596</t>
  </si>
  <si>
    <t>PL-2014-089558</t>
  </si>
  <si>
    <t>PL-2012-090889</t>
  </si>
  <si>
    <t>PL-2014-090969</t>
  </si>
  <si>
    <t>K02329</t>
  </si>
  <si>
    <t>Ewa Pawlina</t>
  </si>
  <si>
    <t>PL-2014-089216</t>
  </si>
  <si>
    <t>G.E. Halogen Desk Lamp Bulbs</t>
  </si>
  <si>
    <t>PL-2012-090975</t>
  </si>
  <si>
    <t>K00327</t>
  </si>
  <si>
    <t>Jan Szymko</t>
  </si>
  <si>
    <t>PL-2012-087489</t>
  </si>
  <si>
    <t>PL-2013-090034</t>
  </si>
  <si>
    <t>PL-2014-088146</t>
  </si>
  <si>
    <t>PL-2013-088072</t>
  </si>
  <si>
    <t>PL-2013-090019</t>
  </si>
  <si>
    <t>K02890</t>
  </si>
  <si>
    <t>Tadeusz Górecki</t>
  </si>
  <si>
    <t>PL-2011-086966</t>
  </si>
  <si>
    <t>PL-2012-090418</t>
  </si>
  <si>
    <t>PL-2014-090466</t>
  </si>
  <si>
    <t>K03317</t>
  </si>
  <si>
    <t>Iwona Mierzejewska</t>
  </si>
  <si>
    <t>K03313</t>
  </si>
  <si>
    <t>Danuta Łysko</t>
  </si>
  <si>
    <t>K03315</t>
  </si>
  <si>
    <t>Joanna Zatorska</t>
  </si>
  <si>
    <t>Żelazków</t>
  </si>
  <si>
    <t>62-400</t>
  </si>
  <si>
    <t>PL-2012-086689</t>
  </si>
  <si>
    <t>PL-2013-087996</t>
  </si>
  <si>
    <t>Computer Room Manger, 14"</t>
  </si>
  <si>
    <t>PL-2014-089638</t>
  </si>
  <si>
    <t>K01097</t>
  </si>
  <si>
    <t>Tomasz Pawłowski</t>
  </si>
  <si>
    <t>Góra Świętej Małgorzaty</t>
  </si>
  <si>
    <t>99-122</t>
  </si>
  <si>
    <t>K01098</t>
  </si>
  <si>
    <t>Ryszard Grzesiak</t>
  </si>
  <si>
    <t>Świekatowo</t>
  </si>
  <si>
    <t>86-182</t>
  </si>
  <si>
    <t>PL-2013-090979</t>
  </si>
  <si>
    <t>K01103</t>
  </si>
  <si>
    <t>Iwona Zibrowska</t>
  </si>
  <si>
    <t>Office Star Flex Back Scooter Chair with White Frame</t>
  </si>
  <si>
    <t>PL-2014-090521</t>
  </si>
  <si>
    <t>PL-2012-088529</t>
  </si>
  <si>
    <t>K00228</t>
  </si>
  <si>
    <t>Katarzyna Grzybowska</t>
  </si>
  <si>
    <t>Śniadowo</t>
  </si>
  <si>
    <t>18-411</t>
  </si>
  <si>
    <t>PL-2012-087349</t>
  </si>
  <si>
    <t>K00363</t>
  </si>
  <si>
    <t>Marcin Czura</t>
  </si>
  <si>
    <t>PL-2013-090375</t>
  </si>
  <si>
    <t>Canon S750 Color Inkjet Printer</t>
  </si>
  <si>
    <t>PL-2011-088040</t>
  </si>
  <si>
    <t>Xerox 1983</t>
  </si>
  <si>
    <t>PL-2012-087073</t>
  </si>
  <si>
    <t>PL-2011-086790</t>
  </si>
  <si>
    <t>PL-2013-088229</t>
  </si>
  <si>
    <t>PL-2014-086183</t>
  </si>
  <si>
    <t>Wirebound Four 2-3/4 x 5 Forms per Page, 400 Sets per Book</t>
  </si>
  <si>
    <t>PL-2014-090976</t>
  </si>
  <si>
    <t>K00326</t>
  </si>
  <si>
    <t>Konrad Jagiełka</t>
  </si>
  <si>
    <t>PL-2011-090986</t>
  </si>
  <si>
    <t>K03325</t>
  </si>
  <si>
    <t>Walentyna Wojtowicz</t>
  </si>
  <si>
    <t>PL-2013-088464</t>
  </si>
  <si>
    <t>Xerox 1971</t>
  </si>
  <si>
    <t>PL-2012-088804</t>
  </si>
  <si>
    <t>PL-2011-090027</t>
  </si>
  <si>
    <t>PL-2011-090861</t>
  </si>
  <si>
    <t>PL-2011-088555</t>
  </si>
  <si>
    <t>Imation 5.2GB DVD-RAM</t>
  </si>
  <si>
    <t>PL-2014-014630</t>
  </si>
  <si>
    <t>K02072</t>
  </si>
  <si>
    <t>Krzysztof Chmielecki</t>
  </si>
  <si>
    <t>Konstantynów Łódzki</t>
  </si>
  <si>
    <t>95-050</t>
  </si>
  <si>
    <t>PL-2013-089237</t>
  </si>
  <si>
    <t>Eldon Cleatmat® Chair Mats for Medium Pile Carpets</t>
  </si>
  <si>
    <t>Fellowes Bases and Tops For Staxonsteel®/High-Stak® Systems</t>
  </si>
  <si>
    <t>PL-2014-085933</t>
  </si>
  <si>
    <t>K02847</t>
  </si>
  <si>
    <t>Roman Kowalik</t>
  </si>
  <si>
    <t>Skaryszew</t>
  </si>
  <si>
    <t>26-640</t>
  </si>
  <si>
    <t>PL-2012-090543</t>
  </si>
  <si>
    <t>K01418</t>
  </si>
  <si>
    <t>Tadeusz Koźluk</t>
  </si>
  <si>
    <t>Grybów</t>
  </si>
  <si>
    <t>33-330</t>
  </si>
  <si>
    <t>PL-2012-090122</t>
  </si>
  <si>
    <t>PL-2012-086539</t>
  </si>
  <si>
    <t>Logitech Cordless Keyboard</t>
  </si>
  <si>
    <t>PL-2012-090711</t>
  </si>
  <si>
    <t>PL-2013-090923</t>
  </si>
  <si>
    <t>PL-2014-087568</t>
  </si>
  <si>
    <t>PL-2013-088497</t>
  </si>
  <si>
    <t>PL-2014-088011</t>
  </si>
  <si>
    <t>K01490</t>
  </si>
  <si>
    <t>Maria Kobuszyńska</t>
  </si>
  <si>
    <t>Dziwnów</t>
  </si>
  <si>
    <t>72-420</t>
  </si>
  <si>
    <t>Electrix 20W Halogen Replacement Bulb for Zoom-In Desk Lamp</t>
  </si>
  <si>
    <t>PL-2011-088447</t>
  </si>
  <si>
    <t>PL-2012-089621</t>
  </si>
  <si>
    <t>PL-2011-089093</t>
  </si>
  <si>
    <t>PL-2011-088727</t>
  </si>
  <si>
    <t>PL-2013-087498</t>
  </si>
  <si>
    <t>K01552</t>
  </si>
  <si>
    <t>Wacław Baranowicz</t>
  </si>
  <si>
    <t>Płaska</t>
  </si>
  <si>
    <t>16-326</t>
  </si>
  <si>
    <t>PL-2012-088024</t>
  </si>
  <si>
    <t>PL-2014-090999</t>
  </si>
  <si>
    <t>K00132</t>
  </si>
  <si>
    <t>Sylwester Radliński</t>
  </si>
  <si>
    <t>K00134</t>
  </si>
  <si>
    <t>Łukasz Neubauer</t>
  </si>
  <si>
    <t>PL-2013-087169</t>
  </si>
  <si>
    <t>PL-2011-088390</t>
  </si>
  <si>
    <t>PL-2014-086212</t>
  </si>
  <si>
    <t>K03294</t>
  </si>
  <si>
    <t>Robert Czapla</t>
  </si>
  <si>
    <t>Goczałkowice-Zdrój</t>
  </si>
  <si>
    <t>43-230</t>
  </si>
  <si>
    <t>PL-2014-091007</t>
  </si>
  <si>
    <t>K02478</t>
  </si>
  <si>
    <t>Marzena Molcan</t>
  </si>
  <si>
    <t>Sępólno Krajeńskie</t>
  </si>
  <si>
    <t>89-400</t>
  </si>
  <si>
    <t>PL-2013-089032</t>
  </si>
  <si>
    <t>PL-2013-089245</t>
  </si>
  <si>
    <t>PL-2011-087259</t>
  </si>
  <si>
    <t>PL-2014-090519</t>
  </si>
  <si>
    <t>Premium Transparent Presentation Covers by GBC</t>
  </si>
  <si>
    <t>PL-2011-090513</t>
  </si>
  <si>
    <t>PL-2013-087216</t>
  </si>
  <si>
    <t>K00251</t>
  </si>
  <si>
    <t>Tomasz Sobieraj</t>
  </si>
  <si>
    <t>Rawicz</t>
  </si>
  <si>
    <t>63-900</t>
  </si>
  <si>
    <t>PL-2014-091009</t>
  </si>
  <si>
    <t>K00503</t>
  </si>
  <si>
    <t>Irena Matuszczak</t>
  </si>
  <si>
    <t>Przeworno</t>
  </si>
  <si>
    <t>PL-2012-091010</t>
  </si>
  <si>
    <t>K01993</t>
  </si>
  <si>
    <t>Danuta Pawelec</t>
  </si>
  <si>
    <t>Gąbin</t>
  </si>
  <si>
    <t>09-530</t>
  </si>
  <si>
    <t>PL-2014-087267</t>
  </si>
  <si>
    <t>PL-2013-014693</t>
  </si>
  <si>
    <t>PL-2011-086956</t>
  </si>
  <si>
    <t>PL-2014-086964</t>
  </si>
  <si>
    <t>K01828</t>
  </si>
  <si>
    <t>Zbigniew Grabarek</t>
  </si>
  <si>
    <t>Ćmielów</t>
  </si>
  <si>
    <t>27-440</t>
  </si>
  <si>
    <t>PL-2011-090001</t>
  </si>
  <si>
    <t>K01989</t>
  </si>
  <si>
    <t>Karolina Kalwas</t>
  </si>
  <si>
    <t>Narewka</t>
  </si>
  <si>
    <t>17-220</t>
  </si>
  <si>
    <t>PL-2014-086513</t>
  </si>
  <si>
    <t>K03225</t>
  </si>
  <si>
    <t>Regina Mąkowska</t>
  </si>
  <si>
    <t>Kałuszyn</t>
  </si>
  <si>
    <t>05-310</t>
  </si>
  <si>
    <t>PL-2013-087515</t>
  </si>
  <si>
    <t>PL-2013-086673</t>
  </si>
  <si>
    <t>PL-2012-087091</t>
  </si>
  <si>
    <t>K01411</t>
  </si>
  <si>
    <t>Piotr Lewandowski</t>
  </si>
  <si>
    <t>Pyzdry</t>
  </si>
  <si>
    <t>62-310</t>
  </si>
  <si>
    <t>PL-2014-087344</t>
  </si>
  <si>
    <t>PL-2013-087997</t>
  </si>
  <si>
    <t>PL-2011-090888</t>
  </si>
  <si>
    <t>PL-2013-086211</t>
  </si>
  <si>
    <t>K03291</t>
  </si>
  <si>
    <t>Tadeusz Tracz</t>
  </si>
  <si>
    <t>PL-2011-087243</t>
  </si>
  <si>
    <t>PL-2013-087039</t>
  </si>
  <si>
    <t>K02514</t>
  </si>
  <si>
    <t>Elżbieta Holz</t>
  </si>
  <si>
    <t>Łopiennik Górny</t>
  </si>
  <si>
    <t>22-351</t>
  </si>
  <si>
    <t>PL-2014-091024</t>
  </si>
  <si>
    <t>K02538</t>
  </si>
  <si>
    <t>Zofia Stolarek</t>
  </si>
  <si>
    <t>PL-2013-089719</t>
  </si>
  <si>
    <t>PL-2014-086274</t>
  </si>
  <si>
    <t>PL-2011-086267</t>
  </si>
  <si>
    <t>PL-2014-090039</t>
  </si>
  <si>
    <t>K00018</t>
  </si>
  <si>
    <t>Kamila Mokrzycka</t>
  </si>
  <si>
    <t>Repki</t>
  </si>
  <si>
    <t>07-405</t>
  </si>
  <si>
    <t>Avery 485</t>
  </si>
  <si>
    <t>PL-2012-089428</t>
  </si>
  <si>
    <t>PL-2012-087605</t>
  </si>
  <si>
    <t>PL-2012-089150</t>
  </si>
  <si>
    <t>PL-2014-086083</t>
  </si>
  <si>
    <t>K01238</t>
  </si>
  <si>
    <t>Waldemar Czyszek</t>
  </si>
  <si>
    <t>Krobia</t>
  </si>
  <si>
    <t>63-840</t>
  </si>
  <si>
    <t>PL-2013-086916</t>
  </si>
  <si>
    <t>PL-2011-089880</t>
  </si>
  <si>
    <t>PL-2011-091025</t>
  </si>
  <si>
    <t>K01743</t>
  </si>
  <si>
    <t>Jacek Brzozowski</t>
  </si>
  <si>
    <t>PL-2011-086075</t>
  </si>
  <si>
    <t>PL-2011-091030</t>
  </si>
  <si>
    <t>K02833</t>
  </si>
  <si>
    <t>Stanisława Michalska</t>
  </si>
  <si>
    <t>Cieszanów</t>
  </si>
  <si>
    <t>37-611</t>
  </si>
  <si>
    <t>PL-2014-091037</t>
  </si>
  <si>
    <t>K02221</t>
  </si>
  <si>
    <t>Jan Wypych</t>
  </si>
  <si>
    <t>Storex Dura Pro™ Binders</t>
  </si>
  <si>
    <t>K02220</t>
  </si>
  <si>
    <t>Maria Leśniewska</t>
  </si>
  <si>
    <t>PL-2012-085837</t>
  </si>
  <si>
    <t>PL-2011-089942</t>
  </si>
  <si>
    <t>Telescoping Adjustable Floor Lamp</t>
  </si>
  <si>
    <t>PL-2013-091039</t>
  </si>
  <si>
    <t>K00807</t>
  </si>
  <si>
    <t>Krzysztof Hara</t>
  </si>
  <si>
    <t>Sadowie</t>
  </si>
  <si>
    <t>27-580</t>
  </si>
  <si>
    <t>Xerox 1951</t>
  </si>
  <si>
    <t>PL-2011-086883</t>
  </si>
  <si>
    <t>K02489</t>
  </si>
  <si>
    <t>Piotr Skopowski</t>
  </si>
  <si>
    <t>Skawina</t>
  </si>
  <si>
    <t>32-050</t>
  </si>
  <si>
    <t>PL-2011-091041</t>
  </si>
  <si>
    <t>K01649</t>
  </si>
  <si>
    <t>Sabina Bednarz</t>
  </si>
  <si>
    <t>Kaźmierz</t>
  </si>
  <si>
    <t>64-530</t>
  </si>
  <si>
    <t>PL-2011-088568</t>
  </si>
  <si>
    <t>PL-2012-089261</t>
  </si>
  <si>
    <t>PL-2014-087268</t>
  </si>
  <si>
    <t>K00977</t>
  </si>
  <si>
    <t>Mirosław Majka</t>
  </si>
  <si>
    <t>K00973</t>
  </si>
  <si>
    <t>Halina Kuch</t>
  </si>
  <si>
    <t>Pajęczno</t>
  </si>
  <si>
    <t>98-330</t>
  </si>
  <si>
    <t>PL-2014-090825</t>
  </si>
  <si>
    <t>PL-2012-014755</t>
  </si>
  <si>
    <t>PL-2013-089031</t>
  </si>
  <si>
    <t>PL-2012-089687</t>
  </si>
  <si>
    <t>PL-2011-087015</t>
  </si>
  <si>
    <t>PL-2013-091020</t>
  </si>
  <si>
    <t>K02539</t>
  </si>
  <si>
    <t>Grzegorz Ruciński</t>
  </si>
  <si>
    <t>Iłowo-Osada</t>
  </si>
  <si>
    <t>13-240</t>
  </si>
  <si>
    <t>PL-2012-086280</t>
  </si>
  <si>
    <t>PL-2014-088248</t>
  </si>
  <si>
    <t>Round Ring Binders</t>
  </si>
  <si>
    <t>PL-2014-087693</t>
  </si>
  <si>
    <t>PL-2011-091049</t>
  </si>
  <si>
    <t>K02801</t>
  </si>
  <si>
    <t>Mirosław Nowosza</t>
  </si>
  <si>
    <t>Tczew</t>
  </si>
  <si>
    <t>PL-2011-090786</t>
  </si>
  <si>
    <t>PL-2012-088582</t>
  </si>
  <si>
    <t>PL-2014-087066</t>
  </si>
  <si>
    <t>PL-2013-089296</t>
  </si>
  <si>
    <t>K00278</t>
  </si>
  <si>
    <t>Michał Lisik</t>
  </si>
  <si>
    <t>K00279</t>
  </si>
  <si>
    <t>Paweł Gabrysiak</t>
  </si>
  <si>
    <t>PL-2011-087535</t>
  </si>
  <si>
    <t>PL-2013-087662</t>
  </si>
  <si>
    <t>PL-2013-087093</t>
  </si>
  <si>
    <t>PL-2011-090114</t>
  </si>
  <si>
    <t>PL-2014-088762</t>
  </si>
  <si>
    <t>PL-2011-014756</t>
  </si>
  <si>
    <t>K03075</t>
  </si>
  <si>
    <t>Robert Janek</t>
  </si>
  <si>
    <t>31-432</t>
  </si>
  <si>
    <t>PL-2011-087651</t>
  </si>
  <si>
    <t>PL-2011-091053</t>
  </si>
  <si>
    <t>K00721</t>
  </si>
  <si>
    <t>Czesław Kubowicz</t>
  </si>
  <si>
    <t>Osiek Mały</t>
  </si>
  <si>
    <t>62-613</t>
  </si>
  <si>
    <t>PL-2014-086116</t>
  </si>
  <si>
    <t>PL-2011-089211</t>
  </si>
  <si>
    <t>PL-2011-090353</t>
  </si>
  <si>
    <t>K00483</t>
  </si>
  <si>
    <t>Kazimierz Łojek</t>
  </si>
  <si>
    <t>Galewice</t>
  </si>
  <si>
    <t>98-405</t>
  </si>
  <si>
    <t>PL-2012-087682</t>
  </si>
  <si>
    <t>PL-2011-089279</t>
  </si>
  <si>
    <t>PL-2014-014784</t>
  </si>
  <si>
    <t>K00478</t>
  </si>
  <si>
    <t>Zbigniew Gradziński</t>
  </si>
  <si>
    <t>00-538</t>
  </si>
  <si>
    <t>PL-2011-091057</t>
  </si>
  <si>
    <t>K00321</t>
  </si>
  <si>
    <t>Marta Kaczmarek</t>
  </si>
  <si>
    <t>Żytno</t>
  </si>
  <si>
    <t>97-532</t>
  </si>
  <si>
    <t>PL-2012-089508</t>
  </si>
  <si>
    <t>K02346</t>
  </si>
  <si>
    <t>Tomasz Tamborski</t>
  </si>
  <si>
    <t>Tokarnia</t>
  </si>
  <si>
    <t>32-436</t>
  </si>
  <si>
    <t>PL-2013-086560</t>
  </si>
  <si>
    <t>PL-2012-085881</t>
  </si>
  <si>
    <t>PL-2011-090432</t>
  </si>
  <si>
    <t>K00194</t>
  </si>
  <si>
    <t>Anna Szymańska</t>
  </si>
  <si>
    <t>Terespol</t>
  </si>
  <si>
    <t>21-550</t>
  </si>
  <si>
    <t>PL-2014-086787</t>
  </si>
  <si>
    <t>PL-2012-089752</t>
  </si>
  <si>
    <t>K01323</t>
  </si>
  <si>
    <t>Stanisław Wądołowski</t>
  </si>
  <si>
    <t>K01326</t>
  </si>
  <si>
    <t>Andrzej Kołobycz</t>
  </si>
  <si>
    <t>Nadarzyn</t>
  </si>
  <si>
    <t>05-830</t>
  </si>
  <si>
    <t>PL-2011-014785</t>
  </si>
  <si>
    <t>K01327</t>
  </si>
  <si>
    <t>Paweł Bednarek</t>
  </si>
  <si>
    <t>Jeziorany</t>
  </si>
  <si>
    <t>11-320</t>
  </si>
  <si>
    <t>V8160</t>
  </si>
  <si>
    <t>K01329</t>
  </si>
  <si>
    <t>Anna Seniuk</t>
  </si>
  <si>
    <t>PL-2011-087005</t>
  </si>
  <si>
    <t>PL-2014-091061</t>
  </si>
  <si>
    <t>K02029</t>
  </si>
  <si>
    <t>Roman Opoń</t>
  </si>
  <si>
    <t>Raciąż</t>
  </si>
  <si>
    <t>09-140</t>
  </si>
  <si>
    <t>PL-2011-091060</t>
  </si>
  <si>
    <t>K02030</t>
  </si>
  <si>
    <t>Marek Kowalów</t>
  </si>
  <si>
    <t>PL-2012-088660</t>
  </si>
  <si>
    <t>PL-2012-089507</t>
  </si>
  <si>
    <t>PL-2014-087731</t>
  </si>
  <si>
    <t>Avery 511</t>
  </si>
  <si>
    <t>PL-2011-089257</t>
  </si>
  <si>
    <t>PL-2014-089269</t>
  </si>
  <si>
    <t>K00824</t>
  </si>
  <si>
    <t>Urszula Stanisławska</t>
  </si>
  <si>
    <t>Szlichtyngowa</t>
  </si>
  <si>
    <t>67-407</t>
  </si>
  <si>
    <t>PL-2011-090270</t>
  </si>
  <si>
    <t>PL-2013-090425</t>
  </si>
  <si>
    <t>K01536</t>
  </si>
  <si>
    <t>Paweł Chrobak</t>
  </si>
  <si>
    <t>PL-2012-089125</t>
  </si>
  <si>
    <t>PL-2011-091062</t>
  </si>
  <si>
    <t>K00485</t>
  </si>
  <si>
    <t>Piotr Hebda</t>
  </si>
  <si>
    <t>Zielona Góra</t>
  </si>
  <si>
    <t>65-850</t>
  </si>
  <si>
    <t>PL-2011-090641</t>
  </si>
  <si>
    <t>PL-2012-088695</t>
  </si>
  <si>
    <t>K02245</t>
  </si>
  <si>
    <t>Monika Modła</t>
  </si>
  <si>
    <t>Wielichowo</t>
  </si>
  <si>
    <t>64-050</t>
  </si>
  <si>
    <t>PL-2014-085989</t>
  </si>
  <si>
    <t>K03338</t>
  </si>
  <si>
    <t>Ewa Kowalczyk</t>
  </si>
  <si>
    <t>Lubin</t>
  </si>
  <si>
    <t>59-335</t>
  </si>
  <si>
    <t>Message Book, Standard Line "While You Were Out", 5 1/2" X 4", 200 Sets/Book</t>
  </si>
  <si>
    <t>PL-2013-088963</t>
  </si>
  <si>
    <t>PL-2013-089114</t>
  </si>
  <si>
    <t>PL-2011-089523</t>
  </si>
  <si>
    <t>PL-2014-090174</t>
  </si>
  <si>
    <t>PL-2013-086479</t>
  </si>
  <si>
    <t>PL-2014-091072</t>
  </si>
  <si>
    <t>K00611</t>
  </si>
  <si>
    <t>Krzysztof Kominek</t>
  </si>
  <si>
    <t>Czechowice-Dziedzice</t>
  </si>
  <si>
    <t>43-503</t>
  </si>
  <si>
    <t>PL-2011-089402</t>
  </si>
  <si>
    <t>K00961</t>
  </si>
  <si>
    <t>Krzysztof Michno</t>
  </si>
  <si>
    <t>PL-2012-088006</t>
  </si>
  <si>
    <t>PL-2011-090322</t>
  </si>
  <si>
    <t>PL-2011-086520</t>
  </si>
  <si>
    <t>K00120</t>
  </si>
  <si>
    <t>Anna Nowak</t>
  </si>
  <si>
    <t>PL-2013-090396</t>
  </si>
  <si>
    <t>K02160</t>
  </si>
  <si>
    <t>Arkadiusz Karolik</t>
  </si>
  <si>
    <t>Wisła</t>
  </si>
  <si>
    <t>43-460</t>
  </si>
  <si>
    <t>PL-2012-091074</t>
  </si>
  <si>
    <t>K01599</t>
  </si>
  <si>
    <t>Wojciech Sufisz</t>
  </si>
  <si>
    <t>Kleszczów</t>
  </si>
  <si>
    <t>97-410</t>
  </si>
  <si>
    <t>Howard Miller 12-3/4 Diameter Accuwave DS ™ Wall Clock</t>
  </si>
  <si>
    <t>PL-2011-089319</t>
  </si>
  <si>
    <t>Laminate Occasional Tables</t>
  </si>
  <si>
    <t>PL-2012-088669</t>
  </si>
  <si>
    <t>PL-2014-090668</t>
  </si>
  <si>
    <t>K01299</t>
  </si>
  <si>
    <t>Maria Bereda</t>
  </si>
  <si>
    <t>Busko-Zdrój</t>
  </si>
  <si>
    <t>28-100</t>
  </si>
  <si>
    <t>PL-2011-088075</t>
  </si>
  <si>
    <t>PL-2013-091083</t>
  </si>
  <si>
    <t>K01690</t>
  </si>
  <si>
    <t>Tomasz Okupski</t>
  </si>
  <si>
    <t>Bytom Odrzański</t>
  </si>
  <si>
    <t>67-115</t>
  </si>
  <si>
    <t>Telephone Message Books with Fax/Mobile Section, 4 1/4" x 6"</t>
  </si>
  <si>
    <t>PL-2012-014819</t>
  </si>
  <si>
    <t>PL-2012-091091</t>
  </si>
  <si>
    <t>K00141</t>
  </si>
  <si>
    <t>Robert Sidełko</t>
  </si>
  <si>
    <t>Jarocin</t>
  </si>
  <si>
    <t>PL-2012-087021</t>
  </si>
  <si>
    <t>K00603</t>
  </si>
  <si>
    <t>Jan Rudziński</t>
  </si>
  <si>
    <t>PL-2012-087957</t>
  </si>
  <si>
    <t>PL-2013-086287</t>
  </si>
  <si>
    <t>File Shuttle II and Handi-File, Black</t>
  </si>
  <si>
    <t>PL-2013-089120</t>
  </si>
  <si>
    <t>K01168</t>
  </si>
  <si>
    <t>Daniel Zahorenko</t>
  </si>
  <si>
    <t>Latowicz</t>
  </si>
  <si>
    <t>05-334</t>
  </si>
  <si>
    <t>PL-2012-089972</t>
  </si>
  <si>
    <t>K02224</t>
  </si>
  <si>
    <t>Krzysztof Krawczak</t>
  </si>
  <si>
    <t>Małogoszcz</t>
  </si>
  <si>
    <t>28-366</t>
  </si>
  <si>
    <t>PL-2011-086003</t>
  </si>
  <si>
    <t>PL-2014-089695</t>
  </si>
  <si>
    <t>PL-2013-090637</t>
  </si>
  <si>
    <t>K01890</t>
  </si>
  <si>
    <t>Wiesław Nadstawny</t>
  </si>
  <si>
    <t>Daleszyce</t>
  </si>
  <si>
    <t>26-021</t>
  </si>
  <si>
    <t>PL-2014-088498</t>
  </si>
  <si>
    <t>PL-2013-089673</t>
  </si>
  <si>
    <t>K02122</t>
  </si>
  <si>
    <t>Leszek Kondrat</t>
  </si>
  <si>
    <t>Dalików</t>
  </si>
  <si>
    <t>99-205</t>
  </si>
  <si>
    <t>PL-2013-086968</t>
  </si>
  <si>
    <t>PL-2014-089722</t>
  </si>
  <si>
    <t>PL-2014-086588</t>
  </si>
  <si>
    <t>K01139</t>
  </si>
  <si>
    <t>Joanna Dąbrowska</t>
  </si>
  <si>
    <t>Wieniawa</t>
  </si>
  <si>
    <t>26-432</t>
  </si>
  <si>
    <t>PL-2013-091103</t>
  </si>
  <si>
    <t>K02148</t>
  </si>
  <si>
    <t>Sławomir Jamka</t>
  </si>
  <si>
    <t>Zbiczno</t>
  </si>
  <si>
    <t>87-305</t>
  </si>
  <si>
    <t>PL-2014-087715</t>
  </si>
  <si>
    <t>Verbatim DVD-R 4.7GB authoring disc</t>
  </si>
  <si>
    <t>PL-2012-087712</t>
  </si>
  <si>
    <t>K00049</t>
  </si>
  <si>
    <t>Andrzej Klimczyk</t>
  </si>
  <si>
    <t>Myszyniec</t>
  </si>
  <si>
    <t>07-430</t>
  </si>
  <si>
    <t>PL-2012-090516</t>
  </si>
  <si>
    <t>PL-2011-091110</t>
  </si>
  <si>
    <t>K02430</t>
  </si>
  <si>
    <t>Marek Kukie</t>
  </si>
  <si>
    <t>Brodnica</t>
  </si>
  <si>
    <t>87-300</t>
  </si>
  <si>
    <t>PL-2014-089359</t>
  </si>
  <si>
    <t>PL-2012-089303</t>
  </si>
  <si>
    <t>PL-2014-091121</t>
  </si>
  <si>
    <t>K01467</t>
  </si>
  <si>
    <t>Sandra Korczyc</t>
  </si>
  <si>
    <t>Medyka</t>
  </si>
  <si>
    <t>37-732</t>
  </si>
  <si>
    <t>K01468</t>
  </si>
  <si>
    <t>Mariusz Karwowski</t>
  </si>
  <si>
    <t>Mieszkowice</t>
  </si>
  <si>
    <t>74-505</t>
  </si>
  <si>
    <t>PL-2012-087967</t>
  </si>
  <si>
    <t>PL-2014-085926</t>
  </si>
  <si>
    <t>K02630</t>
  </si>
  <si>
    <t>Jerzy Królikowski</t>
  </si>
  <si>
    <t>Lubartów</t>
  </si>
  <si>
    <t>21-100</t>
  </si>
  <si>
    <t>300 Series Non-Flip</t>
  </si>
  <si>
    <t>PL-2014-089381</t>
  </si>
  <si>
    <t>PL-2013-091125</t>
  </si>
  <si>
    <t>K02390</t>
  </si>
  <si>
    <t>Kazimierz Ratajczyk</t>
  </si>
  <si>
    <t>Wróblew</t>
  </si>
  <si>
    <t>PL-2012-089587</t>
  </si>
  <si>
    <t>K00115</t>
  </si>
  <si>
    <t>Marek Rzepka</t>
  </si>
  <si>
    <t>Siepraw</t>
  </si>
  <si>
    <t>32-447</t>
  </si>
  <si>
    <t>PL-2012-088369</t>
  </si>
  <si>
    <t>T61</t>
  </si>
  <si>
    <t>PL-2012-086602</t>
  </si>
  <si>
    <t>PL-2012-090070</t>
  </si>
  <si>
    <t>K01053</t>
  </si>
  <si>
    <t>Waldemar Lemiesz</t>
  </si>
  <si>
    <t>Jakubów</t>
  </si>
  <si>
    <t>05-306</t>
  </si>
  <si>
    <t>Hewlett-Packard Deskjet 1220Cse Color Inkjet Printer</t>
  </si>
  <si>
    <t>PL-2012-087300</t>
  </si>
  <si>
    <t>K03252</t>
  </si>
  <si>
    <t>Stanisław Wiśniewski</t>
  </si>
  <si>
    <t>Smołdzino</t>
  </si>
  <si>
    <t>76-214</t>
  </si>
  <si>
    <t>PL-2012-086537</t>
  </si>
  <si>
    <t>K01258</t>
  </si>
  <si>
    <t>Anita Stolarczyk</t>
  </si>
  <si>
    <t>Sokołów Podlaski</t>
  </si>
  <si>
    <t>08-300</t>
  </si>
  <si>
    <t>PL-2014-089182</t>
  </si>
  <si>
    <t>PL-2014-086062</t>
  </si>
  <si>
    <t>K02202</t>
  </si>
  <si>
    <t>Patryk Dzienisiewicz</t>
  </si>
  <si>
    <t>Kamieniec</t>
  </si>
  <si>
    <t>64-061</t>
  </si>
  <si>
    <t>PL-2013-091129</t>
  </si>
  <si>
    <t>K00524</t>
  </si>
  <si>
    <t>Małgorzata Sierpińska</t>
  </si>
  <si>
    <t>Kaliska</t>
  </si>
  <si>
    <t>83-260</t>
  </si>
  <si>
    <t>PL-2014-086151</t>
  </si>
  <si>
    <t>PL-2011-091131</t>
  </si>
  <si>
    <t>K00357</t>
  </si>
  <si>
    <t>Janusz Najderek</t>
  </si>
  <si>
    <t>Godziesze Wielkie</t>
  </si>
  <si>
    <t>62-872</t>
  </si>
  <si>
    <t>PL-2014-088563</t>
  </si>
  <si>
    <t>PL-2012-087167</t>
  </si>
  <si>
    <t>PL-2011-085940</t>
  </si>
  <si>
    <t>K01185</t>
  </si>
  <si>
    <t>Bernard Kowalski</t>
  </si>
  <si>
    <t>Iłowa</t>
  </si>
  <si>
    <t>68-120</t>
  </si>
  <si>
    <t>PL-2014-090077</t>
  </si>
  <si>
    <t>PL-2014-091139</t>
  </si>
  <si>
    <t>K03023</t>
  </si>
  <si>
    <t>Waldemar Bogoniowski</t>
  </si>
  <si>
    <t>Lipiany</t>
  </si>
  <si>
    <t>74-240</t>
  </si>
  <si>
    <t>K03022</t>
  </si>
  <si>
    <t>Grzegorz Balon</t>
  </si>
  <si>
    <t>Czarnia</t>
  </si>
  <si>
    <t>07-431</t>
  </si>
  <si>
    <t>PL-2014-088327</t>
  </si>
  <si>
    <t>K02500</t>
  </si>
  <si>
    <t>Marian Bedus</t>
  </si>
  <si>
    <t>PL-2014-088047</t>
  </si>
  <si>
    <t>PL-2012-088489</t>
  </si>
  <si>
    <t>PL-2012-090791</t>
  </si>
  <si>
    <t>K01721</t>
  </si>
  <si>
    <t>Edward Wojtalik</t>
  </si>
  <si>
    <t>Drezdenko</t>
  </si>
  <si>
    <t>66-530</t>
  </si>
  <si>
    <t>PL-2014-089511</t>
  </si>
  <si>
    <t>PL-2011-089503</t>
  </si>
  <si>
    <t>Panasonic KX-P3200 Dot Matrix Printer</t>
  </si>
  <si>
    <t>PL-2012-090012</t>
  </si>
  <si>
    <t>K02894</t>
  </si>
  <si>
    <t>Urszula Rybkiewicz</t>
  </si>
  <si>
    <t>PL-2014-091143</t>
  </si>
  <si>
    <t>K00200</t>
  </si>
  <si>
    <t>Roksana Zalega</t>
  </si>
  <si>
    <t>Suchań</t>
  </si>
  <si>
    <t>73-132</t>
  </si>
  <si>
    <t>PL-2013-091146</t>
  </si>
  <si>
    <t>K00605</t>
  </si>
  <si>
    <t>Zdzisława Rados</t>
  </si>
  <si>
    <t>Lniano</t>
  </si>
  <si>
    <t>86-141</t>
  </si>
  <si>
    <t>PL-2014-087788</t>
  </si>
  <si>
    <t>PL-2013-091156</t>
  </si>
  <si>
    <t>K00558</t>
  </si>
  <si>
    <t>Małgorzata Tyras</t>
  </si>
  <si>
    <t>PL-2014-089364</t>
  </si>
  <si>
    <t>PL-2013-090366</t>
  </si>
  <si>
    <t>K00732</t>
  </si>
  <si>
    <t>Andrzej Plichta</t>
  </si>
  <si>
    <t>Ślesin</t>
  </si>
  <si>
    <t>62-561</t>
  </si>
  <si>
    <t>K00729</t>
  </si>
  <si>
    <t>Tadeusz Biernat</t>
  </si>
  <si>
    <t>PL-2013-088508</t>
  </si>
  <si>
    <t>PL-2012-086492</t>
  </si>
  <si>
    <t>K03168</t>
  </si>
  <si>
    <t>Łukasz Tomków</t>
  </si>
  <si>
    <t>Wartkowice</t>
  </si>
  <si>
    <t>99-220</t>
  </si>
  <si>
    <t>PL-2011-089344</t>
  </si>
  <si>
    <t>K00719</t>
  </si>
  <si>
    <t>Rafał Kaleta</t>
  </si>
  <si>
    <t>Lipowiec Kościelny</t>
  </si>
  <si>
    <t>06-545</t>
  </si>
  <si>
    <t>PL-2012-014855</t>
  </si>
  <si>
    <t>K01723</t>
  </si>
  <si>
    <t>Henryk Kuriata</t>
  </si>
  <si>
    <t>85-552</t>
  </si>
  <si>
    <t>PL-2012-090807</t>
  </si>
  <si>
    <t>PL-2013-088096</t>
  </si>
  <si>
    <t>K01562</t>
  </si>
  <si>
    <t>Andrzej Brzozowski</t>
  </si>
  <si>
    <t>Wilczęta</t>
  </si>
  <si>
    <t>14-405</t>
  </si>
  <si>
    <t>PL-2014-086435</t>
  </si>
  <si>
    <t>PL-2011-086432</t>
  </si>
  <si>
    <t>K03119</t>
  </si>
  <si>
    <t>Jan Herman</t>
  </si>
  <si>
    <t>PL-2013-091162</t>
  </si>
  <si>
    <t>K00629</t>
  </si>
  <si>
    <t>Izabela Krajnik</t>
  </si>
  <si>
    <t>Opoczno</t>
  </si>
  <si>
    <t>26-300</t>
  </si>
  <si>
    <t>PL-2014-085890</t>
  </si>
  <si>
    <t>K01497</t>
  </si>
  <si>
    <t>Marcin Różański</t>
  </si>
  <si>
    <t>Lipce Reymontowskie</t>
  </si>
  <si>
    <t>96-127</t>
  </si>
  <si>
    <t>GBC Clear Cover, 8-1/2 x 11, unpunched, 25 covers per pack</t>
  </si>
  <si>
    <t>PL-2011-088267</t>
  </si>
  <si>
    <t>PL-2012-090732</t>
  </si>
  <si>
    <t>PL-2012-091163</t>
  </si>
  <si>
    <t>K01475</t>
  </si>
  <si>
    <t>Leszek Guździoł</t>
  </si>
  <si>
    <t>Paczków</t>
  </si>
  <si>
    <t>48-370</t>
  </si>
  <si>
    <t>PL-2014-088640</t>
  </si>
  <si>
    <t>K01020</t>
  </si>
  <si>
    <t>Małgorzata Brząkała</t>
  </si>
  <si>
    <t>Kowala</t>
  </si>
  <si>
    <t>26-624</t>
  </si>
  <si>
    <t>PL-2012-087336</t>
  </si>
  <si>
    <t>PL-2011-089686</t>
  </si>
  <si>
    <t>K01347</t>
  </si>
  <si>
    <t>Violetta Stolarska</t>
  </si>
  <si>
    <t>Gozdowo</t>
  </si>
  <si>
    <t>09-213</t>
  </si>
  <si>
    <t>PL-2014-091033</t>
  </si>
  <si>
    <t>K02834</t>
  </si>
  <si>
    <t>Jarosław Trygub</t>
  </si>
  <si>
    <t>Gogolin</t>
  </si>
  <si>
    <t>47-320</t>
  </si>
  <si>
    <t>PL-2013-089238</t>
  </si>
  <si>
    <t>PL-2011-086409</t>
  </si>
  <si>
    <t>PL-2011-091167</t>
  </si>
  <si>
    <t>K02587</t>
  </si>
  <si>
    <t>Tadeusz Szopik</t>
  </si>
  <si>
    <t>Nowe Brzesko</t>
  </si>
  <si>
    <t>32-120</t>
  </si>
  <si>
    <t>PL-2011-091174</t>
  </si>
  <si>
    <t>K00539</t>
  </si>
  <si>
    <t>Jolanta Giłka</t>
  </si>
  <si>
    <t>K00540</t>
  </si>
  <si>
    <t>Ewa Korczak</t>
  </si>
  <si>
    <t>Jejkowice</t>
  </si>
  <si>
    <t>44-200</t>
  </si>
  <si>
    <t>PL-2014-090152</t>
  </si>
  <si>
    <t>PL-2014-091186</t>
  </si>
  <si>
    <t>K02987</t>
  </si>
  <si>
    <t>Łukasz Rachubiński</t>
  </si>
  <si>
    <t>Tuszyn</t>
  </si>
  <si>
    <t>PL-2011-091180</t>
  </si>
  <si>
    <t>PL-2012-087622</t>
  </si>
  <si>
    <t>K02931</t>
  </si>
  <si>
    <t>Stanisław Olechnowicz</t>
  </si>
  <si>
    <t>Stare Miasto</t>
  </si>
  <si>
    <t>62-571</t>
  </si>
  <si>
    <t>PL-2014-088357</t>
  </si>
  <si>
    <t>K02089</t>
  </si>
  <si>
    <t>Piotr Garnicki</t>
  </si>
  <si>
    <t>Zbuczyn</t>
  </si>
  <si>
    <t>08-106</t>
  </si>
  <si>
    <t>PL-2013-091126</t>
  </si>
  <si>
    <t>PL-2012-090717</t>
  </si>
  <si>
    <t>K02372</t>
  </si>
  <si>
    <t>Jerzy Przepióra</t>
  </si>
  <si>
    <t>Kępno</t>
  </si>
  <si>
    <t>63-600</t>
  </si>
  <si>
    <t>PL-2011-088556</t>
  </si>
  <si>
    <t>Ultra Door Pull Handle</t>
  </si>
  <si>
    <t>PL-2011-088157</t>
  </si>
  <si>
    <t>PL-2011-089595</t>
  </si>
  <si>
    <t>K01361</t>
  </si>
  <si>
    <t>Zygmunt Kołacki</t>
  </si>
  <si>
    <t>PL-2013-091189</t>
  </si>
  <si>
    <t>K02103</t>
  </si>
  <si>
    <t>Artur Kotowski</t>
  </si>
  <si>
    <t>PL-2012-087453</t>
  </si>
  <si>
    <t>K02532</t>
  </si>
  <si>
    <t>Dominik Mikołajczak</t>
  </si>
  <si>
    <t>PL-2014-086788</t>
  </si>
  <si>
    <t>PL-2014-089324</t>
  </si>
  <si>
    <t>Recycled Desk Saver Line "While You Were Out" Book, 5 1/2" X 4"</t>
  </si>
  <si>
    <t>K00398</t>
  </si>
  <si>
    <t>Józef Lewandowski</t>
  </si>
  <si>
    <t>Krotoszyn</t>
  </si>
  <si>
    <t>63-700</t>
  </si>
  <si>
    <t>PL-2013-090893</t>
  </si>
  <si>
    <t>K02118</t>
  </si>
  <si>
    <t>Olga Roszak</t>
  </si>
  <si>
    <t>Kargowa</t>
  </si>
  <si>
    <t>66-120</t>
  </si>
  <si>
    <t>PL-2012-091196</t>
  </si>
  <si>
    <t>K00868</t>
  </si>
  <si>
    <t>Anna Korzeniewska</t>
  </si>
  <si>
    <t>PL-2013-014884</t>
  </si>
  <si>
    <t>K02303</t>
  </si>
  <si>
    <t>Maciej Łopucki</t>
  </si>
  <si>
    <t>00-124</t>
  </si>
  <si>
    <t>PL-2011-087146</t>
  </si>
  <si>
    <t>K02062</t>
  </si>
  <si>
    <t>Cezary Franaszczuk</t>
  </si>
  <si>
    <t>Kobiór</t>
  </si>
  <si>
    <t>43-210</t>
  </si>
  <si>
    <t>PL-2013-089882</t>
  </si>
  <si>
    <t>K03083</t>
  </si>
  <si>
    <t>Lech Puzdrowski</t>
  </si>
  <si>
    <t>Długołęka</t>
  </si>
  <si>
    <t>55-095</t>
  </si>
  <si>
    <t>Sauder Camden County Barrister Bookcase, Planked Cherry Finish</t>
  </si>
  <si>
    <t>Xerox 1907</t>
  </si>
  <si>
    <t>PL-2011-090899</t>
  </si>
  <si>
    <t>PL-2013-087369</t>
  </si>
  <si>
    <t>PL-2011-088522</t>
  </si>
  <si>
    <t>K00003</t>
  </si>
  <si>
    <t>Andrzej Jakubowski</t>
  </si>
  <si>
    <t>PL-2012-090105</t>
  </si>
  <si>
    <t>PL-2011-087383</t>
  </si>
  <si>
    <t>K02603</t>
  </si>
  <si>
    <t>Marcin Kutkowski</t>
  </si>
  <si>
    <t>K02604</t>
  </si>
  <si>
    <t>Katarzyna Skowrońska</t>
  </si>
  <si>
    <t>PL-2011-086010</t>
  </si>
  <si>
    <t>210 Trimline Phone, White</t>
  </si>
  <si>
    <t>PL-2012-089048</t>
  </si>
  <si>
    <t>K02977</t>
  </si>
  <si>
    <t>Elżbieta Wolańska</t>
  </si>
  <si>
    <t>Kolbuszowa</t>
  </si>
  <si>
    <t>36-100</t>
  </si>
  <si>
    <t>Xerox 1919</t>
  </si>
  <si>
    <t>PL-2011-091200</t>
  </si>
  <si>
    <t>K00750</t>
  </si>
  <si>
    <t>Janusz Bartczak</t>
  </si>
  <si>
    <t>Domaradz</t>
  </si>
  <si>
    <t>36-230</t>
  </si>
  <si>
    <t>PL-2012-091168</t>
  </si>
  <si>
    <t>PL-2014-086732</t>
  </si>
  <si>
    <t>PL-2011-090593</t>
  </si>
  <si>
    <t>PL-2014-089651</t>
  </si>
  <si>
    <t>K00354</t>
  </si>
  <si>
    <t>Jarosław Szymankowski</t>
  </si>
  <si>
    <t>Włoszczowa</t>
  </si>
  <si>
    <t>29-100</t>
  </si>
  <si>
    <t>PL-2014-014916</t>
  </si>
  <si>
    <t>PL-2014-089474</t>
  </si>
  <si>
    <t>K00892</t>
  </si>
  <si>
    <t>Andrzej Ksepko</t>
  </si>
  <si>
    <t>PL-2013-088805</t>
  </si>
  <si>
    <t>PL-2012-087836</t>
  </si>
  <si>
    <t>PL-2014-087056</t>
  </si>
  <si>
    <t>PL-2012-089898</t>
  </si>
  <si>
    <t>K03287</t>
  </si>
  <si>
    <t>Monika Saniuk</t>
  </si>
  <si>
    <t>Sicienko</t>
  </si>
  <si>
    <t>86-014</t>
  </si>
  <si>
    <t>PL-2012-090526</t>
  </si>
  <si>
    <t>K01814</t>
  </si>
  <si>
    <t>Justyna Pencarska</t>
  </si>
  <si>
    <t>Dąbrowice</t>
  </si>
  <si>
    <t>99-352</t>
  </si>
  <si>
    <t>PL-2011-089706</t>
  </si>
  <si>
    <t>PL-2011-091209</t>
  </si>
  <si>
    <t>K01354</t>
  </si>
  <si>
    <t>Marcin Łapeciński</t>
  </si>
  <si>
    <t>Wodynie</t>
  </si>
  <si>
    <t>08-117</t>
  </si>
  <si>
    <t>PL-2011-089008</t>
  </si>
  <si>
    <t>PL-2011-091212</t>
  </si>
  <si>
    <t>K00657</t>
  </si>
  <si>
    <t>Teresa Grabowska</t>
  </si>
  <si>
    <t>Bobrowice</t>
  </si>
  <si>
    <t>66-627</t>
  </si>
  <si>
    <t>K00659</t>
  </si>
  <si>
    <t>Robert Sorokopas</t>
  </si>
  <si>
    <t>PL-2013-090199</t>
  </si>
  <si>
    <t>K00008</t>
  </si>
  <si>
    <t>Bartosz Bukowski</t>
  </si>
  <si>
    <t>K00009</t>
  </si>
  <si>
    <t>Oliwia Skórka</t>
  </si>
  <si>
    <t>PL-2012-087008</t>
  </si>
  <si>
    <t>PL-2013-089500</t>
  </si>
  <si>
    <t>Xerox 1963</t>
  </si>
  <si>
    <t>PL-2011-088388</t>
  </si>
  <si>
    <t>K01014</t>
  </si>
  <si>
    <t>Zdzisława Bińkowska</t>
  </si>
  <si>
    <t>Męcinka</t>
  </si>
  <si>
    <t>59-400</t>
  </si>
  <si>
    <t>PL-2013-089049</t>
  </si>
  <si>
    <t>PL-2013-087399</t>
  </si>
  <si>
    <t>PL-2014-086000</t>
  </si>
  <si>
    <t>K01816</t>
  </si>
  <si>
    <t>Bartosz Krystowczyk</t>
  </si>
  <si>
    <t>Krypno</t>
  </si>
  <si>
    <t>19-111</t>
  </si>
  <si>
    <t>PL-2012-086538</t>
  </si>
  <si>
    <t>K01259</t>
  </si>
  <si>
    <t>Marzena Szymula</t>
  </si>
  <si>
    <t>PL-2014-087052</t>
  </si>
  <si>
    <t>PL-2011-087041</t>
  </si>
  <si>
    <t>PL-2013-090073</t>
  </si>
  <si>
    <t>PL-2012-091051</t>
  </si>
  <si>
    <t>PL-2013-090497</t>
  </si>
  <si>
    <t>PL-2012-086299</t>
  </si>
  <si>
    <t>PL-2012-089119</t>
  </si>
  <si>
    <t>K01162</t>
  </si>
  <si>
    <t>Katarzyna Jemielity</t>
  </si>
  <si>
    <t>PL-2011-090854</t>
  </si>
  <si>
    <t>K01159</t>
  </si>
  <si>
    <t>Łukasz Stefańczyk</t>
  </si>
  <si>
    <t>Kożuchów</t>
  </si>
  <si>
    <t>67-120</t>
  </si>
  <si>
    <t>PL-2014-089023</t>
  </si>
  <si>
    <t>K02736</t>
  </si>
  <si>
    <t>Stanisław Stoma</t>
  </si>
  <si>
    <t>Kodeń</t>
  </si>
  <si>
    <t>21-509</t>
  </si>
  <si>
    <t>PL-2014-087421</t>
  </si>
  <si>
    <t>K00064</t>
  </si>
  <si>
    <t>Henryk Kraczkowski</t>
  </si>
  <si>
    <t>Złotniki Kujawskie</t>
  </si>
  <si>
    <t>88-180</t>
  </si>
  <si>
    <t>PL-2012-086385</t>
  </si>
  <si>
    <t>PL-2013-086147</t>
  </si>
  <si>
    <t>PL-2012-086875</t>
  </si>
  <si>
    <t>Canon PC-428 Personal Copier</t>
  </si>
  <si>
    <t>PL-2014-090097</t>
  </si>
  <si>
    <t>PL-2011-086165</t>
  </si>
  <si>
    <t>PL-2012-090411</t>
  </si>
  <si>
    <t>K02369</t>
  </si>
  <si>
    <t>Paweł Wilewski</t>
  </si>
  <si>
    <t>Lębork</t>
  </si>
  <si>
    <t>84-300</t>
  </si>
  <si>
    <t>C-Line Cubicle Keepers Polyproplyene Holder w/Velcro® Back, 8-1/2x11, 25/Bx</t>
  </si>
  <si>
    <t>PL-2013-090207</t>
  </si>
  <si>
    <t>PL-2014-090682</t>
  </si>
  <si>
    <t>PL-2012-091220</t>
  </si>
  <si>
    <t>K03089</t>
  </si>
  <si>
    <t>Krzysztof Borucki</t>
  </si>
  <si>
    <t>PL-2012-090517</t>
  </si>
  <si>
    <t>PL-2014-091211</t>
  </si>
  <si>
    <t>PL-2013-091222</t>
  </si>
  <si>
    <t>K01823</t>
  </si>
  <si>
    <t>Barbara Kochańska</t>
  </si>
  <si>
    <t>Gliwice</t>
  </si>
  <si>
    <t>44-164</t>
  </si>
  <si>
    <t>PL-2013-090412</t>
  </si>
  <si>
    <t>PL-2013-090505</t>
  </si>
  <si>
    <t>PL-2011-090339</t>
  </si>
  <si>
    <t>PL-2011-090880</t>
  </si>
  <si>
    <t>PL-2013-091225</t>
  </si>
  <si>
    <t>K02218</t>
  </si>
  <si>
    <t>Małgorzata Kulik</t>
  </si>
  <si>
    <t>83-034</t>
  </si>
  <si>
    <t>PL-2013-086759</t>
  </si>
  <si>
    <t>PL-2013-090181</t>
  </si>
  <si>
    <t>K01755</t>
  </si>
  <si>
    <t>Maria Tchoryk</t>
  </si>
  <si>
    <t>Leżajsk</t>
  </si>
  <si>
    <t>37-300</t>
  </si>
  <si>
    <t>Premium Writing Pencils, Soft, #2 by Central Association for the Blind</t>
  </si>
  <si>
    <t>PL-2013-089977</t>
  </si>
  <si>
    <t>Canon Imageclass D680 Copier / Fax</t>
  </si>
  <si>
    <t>PL-2011-086839</t>
  </si>
  <si>
    <t>PL-2014-089563</t>
  </si>
  <si>
    <t>Canon MP100DHII Printing Calculator</t>
  </si>
  <si>
    <t>PL-2014-088984</t>
  </si>
  <si>
    <t>PL-2014-087023</t>
  </si>
  <si>
    <t>PL-2011-087020</t>
  </si>
  <si>
    <t>PL-2014-086407</t>
  </si>
  <si>
    <t>PL-2012-087060</t>
  </si>
  <si>
    <t>K00305</t>
  </si>
  <si>
    <t>Weronika Kosek</t>
  </si>
  <si>
    <t>Polska Cerekiew</t>
  </si>
  <si>
    <t>47-260</t>
  </si>
  <si>
    <t>PL-2014-089494</t>
  </si>
  <si>
    <t>PL-2012-088682</t>
  </si>
  <si>
    <t>PL-2011-087847</t>
  </si>
  <si>
    <t>K01042</t>
  </si>
  <si>
    <t>Edward Gola</t>
  </si>
  <si>
    <t>Stary Sącz</t>
  </si>
  <si>
    <t>33-340</t>
  </si>
  <si>
    <t>PL-2011-088298</t>
  </si>
  <si>
    <t>PL-2012-087235</t>
  </si>
  <si>
    <t>PL-2012-090363</t>
  </si>
  <si>
    <t>K00726</t>
  </si>
  <si>
    <t>Tomasz Owczarek</t>
  </si>
  <si>
    <t>K00733</t>
  </si>
  <si>
    <t>Anna Wnuczko</t>
  </si>
  <si>
    <t>Biesiekierz</t>
  </si>
  <si>
    <t>K00730</t>
  </si>
  <si>
    <t>Mieczysław Marciniak</t>
  </si>
  <si>
    <t>Westinghouse Floor Lamp with Metal Mesh Shade, Black</t>
  </si>
  <si>
    <t>PL-2014-090705</t>
  </si>
  <si>
    <t>K00439</t>
  </si>
  <si>
    <t>Renata Gielar</t>
  </si>
  <si>
    <t>Kurzętnik</t>
  </si>
  <si>
    <t>13-306</t>
  </si>
  <si>
    <t>K00440</t>
  </si>
  <si>
    <t>Jarosław Jaszczuk</t>
  </si>
  <si>
    <t>Sitno</t>
  </si>
  <si>
    <t>21-560</t>
  </si>
  <si>
    <t>K00438</t>
  </si>
  <si>
    <t>Elżbieta Korzonek</t>
  </si>
  <si>
    <t>Ostrów</t>
  </si>
  <si>
    <t>Southworth 25% Cotton Linen-Finish Paper &amp; Envelopes</t>
  </si>
  <si>
    <t>PL-2013-088705</t>
  </si>
  <si>
    <t>K02714</t>
  </si>
  <si>
    <t>Henryk Bieńkowski</t>
  </si>
  <si>
    <t>Ożarów</t>
  </si>
  <si>
    <t>27-530</t>
  </si>
  <si>
    <t>PL-2013-088496</t>
  </si>
  <si>
    <t>K01546</t>
  </si>
  <si>
    <t>Wojciech Stadejek</t>
  </si>
  <si>
    <t>Maków Podhalański</t>
  </si>
  <si>
    <t>34-220</t>
  </si>
  <si>
    <t>PL-2013-090737</t>
  </si>
  <si>
    <t>K00645</t>
  </si>
  <si>
    <t>Zofia Szczotkiewicz</t>
  </si>
  <si>
    <t>Przodkowo</t>
  </si>
  <si>
    <t>83-304</t>
  </si>
  <si>
    <t>PL-2014-087467</t>
  </si>
  <si>
    <t>K00172</t>
  </si>
  <si>
    <t>Anna Kurosz</t>
  </si>
  <si>
    <t>PL-2011-091229</t>
  </si>
  <si>
    <t>K02775</t>
  </si>
  <si>
    <t>Bogusław Połowniak</t>
  </si>
  <si>
    <t>Zabierzów</t>
  </si>
  <si>
    <t>32-080</t>
  </si>
  <si>
    <t>PL-2014-089338</t>
  </si>
  <si>
    <t>PL-2013-091021</t>
  </si>
  <si>
    <t>Black Print Carbonless 8 1/2" x 8 1/4" Rapid Memo Book</t>
  </si>
  <si>
    <t>PL-2013-090747</t>
  </si>
  <si>
    <t>K01480</t>
  </si>
  <si>
    <t>Iwona Moskal</t>
  </si>
  <si>
    <t>Lipusz</t>
  </si>
  <si>
    <t>83-424</t>
  </si>
  <si>
    <t>Avoid Verbal Orders Carbonless Minifold Book</t>
  </si>
  <si>
    <t>PL-2011-090821</t>
  </si>
  <si>
    <t>PL-2013-089104</t>
  </si>
  <si>
    <t>K02241</t>
  </si>
  <si>
    <t>Agnieszka Woźniak</t>
  </si>
  <si>
    <t>PL-2011-088668</t>
  </si>
  <si>
    <t>Sharp EL501VB Scientific Calculator, Battery Operated, 10-Digit Display, Hard Case</t>
  </si>
  <si>
    <t>PL-2012-087188</t>
  </si>
  <si>
    <t>K02973</t>
  </si>
  <si>
    <t>Paulina Głuszko</t>
  </si>
  <si>
    <t>Zagórów</t>
  </si>
  <si>
    <t>62-410</t>
  </si>
  <si>
    <t>PL-2013-088737</t>
  </si>
  <si>
    <t>Bretford “Just In Time” Height-Adjustable Multi-Task Work Tables</t>
  </si>
  <si>
    <t>PL-2013-090534</t>
  </si>
  <si>
    <t>K01633</t>
  </si>
  <si>
    <t>Anna Bukiel</t>
  </si>
  <si>
    <t>Lutocin</t>
  </si>
  <si>
    <t>09-317</t>
  </si>
  <si>
    <t>PL-2014-085905</t>
  </si>
  <si>
    <t>Xerox 1937</t>
  </si>
  <si>
    <t>PL-2011-091166</t>
  </si>
  <si>
    <t>PL-2014-090607</t>
  </si>
  <si>
    <t>PL-2014-088641</t>
  </si>
  <si>
    <t>PL-2014-090997</t>
  </si>
  <si>
    <t>K00133</t>
  </si>
  <si>
    <t>Małgorzata Hołub</t>
  </si>
  <si>
    <t>PL-2011-089465</t>
  </si>
  <si>
    <t>K02178</t>
  </si>
  <si>
    <t>Marian Harasim</t>
  </si>
  <si>
    <t>Mikołów</t>
  </si>
  <si>
    <t>43-190</t>
  </si>
  <si>
    <t>PL-2012-087981</t>
  </si>
  <si>
    <t>Standard Line™ “While You Were Out” Hardbound Telephone Message Book</t>
  </si>
  <si>
    <t>PL-2011-087679</t>
  </si>
  <si>
    <t>PL-2013-091231</t>
  </si>
  <si>
    <t>K01286</t>
  </si>
  <si>
    <t>Justyna Antczak</t>
  </si>
  <si>
    <t>Wierzchosławice</t>
  </si>
  <si>
    <t>33-122</t>
  </si>
  <si>
    <t>PL-2011-089928</t>
  </si>
  <si>
    <t>PL-2014-089634</t>
  </si>
  <si>
    <t>PL-2013-015009</t>
  </si>
  <si>
    <t>K01217</t>
  </si>
  <si>
    <t>Michał Sokół</t>
  </si>
  <si>
    <t>44-292</t>
  </si>
  <si>
    <t>PL-2012-087590</t>
  </si>
  <si>
    <t>K01196</t>
  </si>
  <si>
    <t>Magdalena Soska</t>
  </si>
  <si>
    <t>Nowy Targ</t>
  </si>
  <si>
    <t>34-400</t>
  </si>
  <si>
    <t>PL-2012-088943</t>
  </si>
  <si>
    <t>PL-2013-089099</t>
  </si>
  <si>
    <t>SAFCO Boltless Steel Shelving</t>
  </si>
  <si>
    <t>PL-2011-087486</t>
  </si>
  <si>
    <t>PL-2014-090896</t>
  </si>
  <si>
    <t>PL-2014-090709</t>
  </si>
  <si>
    <t>K00497</t>
  </si>
  <si>
    <t>Katarzyna Rejniak</t>
  </si>
  <si>
    <t>PL-2013-090464</t>
  </si>
  <si>
    <t>K03312</t>
  </si>
  <si>
    <t>Maria Kozak</t>
  </si>
  <si>
    <t>Memorex 'Cool' 80 Minute CD-R Spindle, 25/Pack</t>
  </si>
  <si>
    <t>PL-2014-091237</t>
  </si>
  <si>
    <t>K01484</t>
  </si>
  <si>
    <t>Konrad Kolatowski</t>
  </si>
  <si>
    <t>Niemodlin</t>
  </si>
  <si>
    <t>49-100</t>
  </si>
  <si>
    <t>PL-2011-085894</t>
  </si>
  <si>
    <t>Executive Impressions 13-1/2" Indoor/Outdoor Wall Clock</t>
  </si>
  <si>
    <t>PL-2014-091243</t>
  </si>
  <si>
    <t>K02041</t>
  </si>
  <si>
    <t>Mirosław Gajek</t>
  </si>
  <si>
    <t>Miłkowice</t>
  </si>
  <si>
    <t>59-222</t>
  </si>
  <si>
    <t>PL-2011-090335</t>
  </si>
  <si>
    <t>PL-2014-091251</t>
  </si>
  <si>
    <t>K01341</t>
  </si>
  <si>
    <t>Wioletta Mamuszka</t>
  </si>
  <si>
    <t>Ruja</t>
  </si>
  <si>
    <t>59-243</t>
  </si>
  <si>
    <t>PL-2011-091244</t>
  </si>
  <si>
    <t>K01338</t>
  </si>
  <si>
    <t>Zdzisław Bernacki</t>
  </si>
  <si>
    <t>90-419</t>
  </si>
  <si>
    <t>PL-2014-089816</t>
  </si>
  <si>
    <t>PL-2013-091253</t>
  </si>
  <si>
    <t>K03235</t>
  </si>
  <si>
    <t>Witold Dęga</t>
  </si>
  <si>
    <t>Nieszawa</t>
  </si>
  <si>
    <t>87-730</t>
  </si>
  <si>
    <t>PL-2014-086306</t>
  </si>
  <si>
    <t>DPC 650 Piper</t>
  </si>
  <si>
    <t>PL-2013-087249</t>
  </si>
  <si>
    <t>K01750</t>
  </si>
  <si>
    <t>Robert Murii</t>
  </si>
  <si>
    <t>PL-2012-089806</t>
  </si>
  <si>
    <t>PL-2012-089668</t>
  </si>
  <si>
    <t>GBC Durable Plastic Covers</t>
  </si>
  <si>
    <t>PL-2012-089224</t>
  </si>
  <si>
    <t>PL-2011-087406</t>
  </si>
  <si>
    <t>PL-2014-087414</t>
  </si>
  <si>
    <t>PL-2014-088752</t>
  </si>
  <si>
    <t>PL-2013-087157</t>
  </si>
  <si>
    <t>PL-2012-085836</t>
  </si>
  <si>
    <t>Eldon® Expressions™ Wood and Plastic Desk Accessories, Oak</t>
  </si>
  <si>
    <t>PL-2013-086891</t>
  </si>
  <si>
    <t>PL-2014-091257</t>
  </si>
  <si>
    <t>K00035</t>
  </si>
  <si>
    <t>Kazimierz Baśkowski</t>
  </si>
  <si>
    <t>Trzebinia</t>
  </si>
  <si>
    <t>32-540</t>
  </si>
  <si>
    <t>PL-2011-088191</t>
  </si>
  <si>
    <t>K03069</t>
  </si>
  <si>
    <t>Grażyna Żakiewicz</t>
  </si>
  <si>
    <t>Stare Pole</t>
  </si>
  <si>
    <t>82-220</t>
  </si>
  <si>
    <t>PL-2014-090960</t>
  </si>
  <si>
    <t>PL-2012-089065</t>
  </si>
  <si>
    <t>PL-2014-090510</t>
  </si>
  <si>
    <t>K03367</t>
  </si>
  <si>
    <t>Teresa Całka</t>
  </si>
  <si>
    <t>Grabów nad Prosną</t>
  </si>
  <si>
    <t>63-520</t>
  </si>
  <si>
    <t>PL-2013-088408</t>
  </si>
  <si>
    <t>PL-2013-086359</t>
  </si>
  <si>
    <t>PL-2014-087270</t>
  </si>
  <si>
    <t>PL-2011-089426</t>
  </si>
  <si>
    <t>PL-2011-090952</t>
  </si>
  <si>
    <t>PL-2014-086115</t>
  </si>
  <si>
    <t>PL-2013-090287</t>
  </si>
  <si>
    <t>PL-2014-091259</t>
  </si>
  <si>
    <t>K01983</t>
  </si>
  <si>
    <t>Andrzej Jankowiak</t>
  </si>
  <si>
    <t>Sorkwity</t>
  </si>
  <si>
    <t>PL-2011-090488</t>
  </si>
  <si>
    <t>K03255</t>
  </si>
  <si>
    <t>Jarosław Koladyński</t>
  </si>
  <si>
    <t>PL-2012-089498</t>
  </si>
  <si>
    <t>PL-2012-088506</t>
  </si>
  <si>
    <t>PL-2012-090974</t>
  </si>
  <si>
    <t>Howard Miller 13-3/4" Diameter Brushed Chrome Round Wall Clock</t>
  </si>
  <si>
    <t>PL-2013-091093</t>
  </si>
  <si>
    <t>K00143</t>
  </si>
  <si>
    <t>Sebastian Tałaj</t>
  </si>
  <si>
    <t>PL-2012-086961</t>
  </si>
  <si>
    <t>Pressboard Covers with Storage Hooks, 9 1/2" x 11", Light Blue</t>
  </si>
  <si>
    <t>PL-2013-088189</t>
  </si>
  <si>
    <t>Recycled Interoffice Envelopes with Re-Use-A-Seal® Closure, 10 x 13</t>
  </si>
  <si>
    <t>PL-2013-091264</t>
  </si>
  <si>
    <t>K01893</t>
  </si>
  <si>
    <t>Jerzy Kłobukowski</t>
  </si>
  <si>
    <t>Tuplice</t>
  </si>
  <si>
    <t>PL-2011-090796</t>
  </si>
  <si>
    <t>K01595</t>
  </si>
  <si>
    <t>Małgorzata Kołoszyc</t>
  </si>
  <si>
    <t>Olszyna</t>
  </si>
  <si>
    <t>59-830</t>
  </si>
  <si>
    <t>PL-2014-088309</t>
  </si>
  <si>
    <t>K02579</t>
  </si>
  <si>
    <t>Janusz Bagiński</t>
  </si>
  <si>
    <t>Annopol</t>
  </si>
  <si>
    <t>21-150</t>
  </si>
  <si>
    <t>Micro Innovations Media Access Pro Keyboard</t>
  </si>
  <si>
    <t>PL-2013-086605</t>
  </si>
  <si>
    <t>Office Star - Professional Matrix Back Chair with 2-to-1 Synchro Tilt and Mesh Fabric Seat</t>
  </si>
  <si>
    <t>PL-2013-089307</t>
  </si>
  <si>
    <t>PL-2011-087633</t>
  </si>
  <si>
    <t>PL-2011-088405</t>
  </si>
  <si>
    <t>PL-2012-089886</t>
  </si>
  <si>
    <t>PL-2013-086940</t>
  </si>
  <si>
    <t>PL-2012-086740</t>
  </si>
  <si>
    <t>K01452</t>
  </si>
  <si>
    <t>Joanna Gucia</t>
  </si>
  <si>
    <t>Łanięta</t>
  </si>
  <si>
    <t>99-306</t>
  </si>
  <si>
    <t>PL-2012-086710</t>
  </si>
  <si>
    <t>PL-2013-087698</t>
  </si>
  <si>
    <t>K02301</t>
  </si>
  <si>
    <t>Henryk Placak</t>
  </si>
  <si>
    <t>Słupno</t>
  </si>
  <si>
    <t>09-472</t>
  </si>
  <si>
    <t>PL-2012-088774</t>
  </si>
  <si>
    <t>K02984</t>
  </si>
  <si>
    <t>Czesław Piszczek</t>
  </si>
  <si>
    <t>Bierutów</t>
  </si>
  <si>
    <t>56-420</t>
  </si>
  <si>
    <t>Poly Designer Cover &amp; Back</t>
  </si>
  <si>
    <t>PL-2012-086253</t>
  </si>
  <si>
    <t>PL-2014-089846</t>
  </si>
  <si>
    <t>PL-2011-090588</t>
  </si>
  <si>
    <t>Adams Telephone Message Books, 5 1/4” x 11”</t>
  </si>
  <si>
    <t>PL-2014-089691</t>
  </si>
  <si>
    <t>PL-2013-091267</t>
  </si>
  <si>
    <t>K01565</t>
  </si>
  <si>
    <t>Tomasz Wujda</t>
  </si>
  <si>
    <t>Szprotawa</t>
  </si>
  <si>
    <t>67-300</t>
  </si>
  <si>
    <t>PL-2012-087594</t>
  </si>
  <si>
    <t>PL-2012-088976</t>
  </si>
  <si>
    <t>K02770</t>
  </si>
  <si>
    <t>Jerzy Krygier</t>
  </si>
  <si>
    <t>Górowo Iławeckie</t>
  </si>
  <si>
    <t>11-220</t>
  </si>
  <si>
    <t>PL-2011-089299</t>
  </si>
  <si>
    <t>K02443</t>
  </si>
  <si>
    <t>Irena Brzezińska</t>
  </si>
  <si>
    <t>44-335</t>
  </si>
  <si>
    <t>PL-2011-091219</t>
  </si>
  <si>
    <t>PL-2011-088677</t>
  </si>
  <si>
    <t>PL-2013-090699</t>
  </si>
  <si>
    <t>K00432</t>
  </si>
  <si>
    <t>Włodzimierz Szczepaniak</t>
  </si>
  <si>
    <t>K00435</t>
  </si>
  <si>
    <t>Piotr Opieka</t>
  </si>
  <si>
    <t>PL-2012-088931</t>
  </si>
  <si>
    <t>K00383</t>
  </si>
  <si>
    <t>Elżbieta Korgul</t>
  </si>
  <si>
    <t>PL-2013-087411</t>
  </si>
  <si>
    <t>K00061</t>
  </si>
  <si>
    <t>Krzysztof Wróblewski</t>
  </si>
  <si>
    <t>Baranów Sandomierski</t>
  </si>
  <si>
    <t>39-450</t>
  </si>
  <si>
    <t>PL-2014-089272</t>
  </si>
  <si>
    <t>PL-2014-089794</t>
  </si>
  <si>
    <t>K03051</t>
  </si>
  <si>
    <t>Tomasz Panfil</t>
  </si>
  <si>
    <t>Luboń</t>
  </si>
  <si>
    <t>62-030</t>
  </si>
  <si>
    <t>PL-2011-087186</t>
  </si>
  <si>
    <t>PL-2013-090757</t>
  </si>
  <si>
    <t>Snap-A-Way® Black Print Carbonless Speed Message, No Reply Area, Duplicate</t>
  </si>
  <si>
    <t>PL-2013-086071</t>
  </si>
  <si>
    <t>Xerox 1988</t>
  </si>
  <si>
    <t>PL-2012-091272</t>
  </si>
  <si>
    <t>K00613</t>
  </si>
  <si>
    <t>Marta Kowalska</t>
  </si>
  <si>
    <t>43-502</t>
  </si>
  <si>
    <t>PL-2011-087030</t>
  </si>
  <si>
    <t>K02512</t>
  </si>
  <si>
    <t>Łukasz Snoch</t>
  </si>
  <si>
    <t>Chodzież</t>
  </si>
  <si>
    <t>64-800</t>
  </si>
  <si>
    <t>PL-2011-089520</t>
  </si>
  <si>
    <t>K00152</t>
  </si>
  <si>
    <t>Paweł Strzelecki</t>
  </si>
  <si>
    <t>Mińsk Mazowiecki</t>
  </si>
  <si>
    <t>05-300</t>
  </si>
  <si>
    <t>PL-2014-086585</t>
  </si>
  <si>
    <t>PL-2014-087132</t>
  </si>
  <si>
    <t>PL-2013-089785</t>
  </si>
  <si>
    <t>PL-2012-087906</t>
  </si>
  <si>
    <t>K00412</t>
  </si>
  <si>
    <t>Marzanna Taborska</t>
  </si>
  <si>
    <t>K00415</t>
  </si>
  <si>
    <t>Stanisław Toruń</t>
  </si>
  <si>
    <t>Lipnik</t>
  </si>
  <si>
    <t>28-221</t>
  </si>
  <si>
    <t>PL-2011-086639</t>
  </si>
  <si>
    <t>PL-2012-086428</t>
  </si>
  <si>
    <t>PL-2011-089147</t>
  </si>
  <si>
    <t>PL-2014-086256</t>
  </si>
  <si>
    <t>PL-2013-088893</t>
  </si>
  <si>
    <t>PL-2011-086012</t>
  </si>
  <si>
    <t>K00452</t>
  </si>
  <si>
    <t>Henryk Kościelniak</t>
  </si>
  <si>
    <t>Gościno</t>
  </si>
  <si>
    <t>78-120</t>
  </si>
  <si>
    <t>PL-2012-089212</t>
  </si>
  <si>
    <t>PL-2011-086860</t>
  </si>
  <si>
    <t>PL-2014-086825</t>
  </si>
  <si>
    <t>PL-2013-088128</t>
  </si>
  <si>
    <t>PL-2014-088520</t>
  </si>
  <si>
    <t>K00126</t>
  </si>
  <si>
    <t>Wojciech Smukała</t>
  </si>
  <si>
    <t>Braniewo</t>
  </si>
  <si>
    <t>14-500</t>
  </si>
  <si>
    <t>PL-2014-086810</t>
  </si>
  <si>
    <t>PL-2014-088552</t>
  </si>
  <si>
    <t>PL-2012-088243</t>
  </si>
  <si>
    <t>Adams Write n' Stick Phone Message Book, 11" X 5 1/4", 200 Messages</t>
  </si>
  <si>
    <t>K03077</t>
  </si>
  <si>
    <t>Wanda Zielińska</t>
  </si>
  <si>
    <t>Brańsk</t>
  </si>
  <si>
    <t>PL-2012-088493</t>
  </si>
  <si>
    <t>Hon 5100 Series Wood Tables</t>
  </si>
  <si>
    <t>K01544</t>
  </si>
  <si>
    <t>Mirosław Handke</t>
  </si>
  <si>
    <t>Tuliszków</t>
  </si>
  <si>
    <t>62-740</t>
  </si>
  <si>
    <t>PL-2014-091066</t>
  </si>
  <si>
    <t>PL-2012-087513</t>
  </si>
  <si>
    <t>K02947</t>
  </si>
  <si>
    <t>Robert Gruźlewski</t>
  </si>
  <si>
    <t>Grodziec</t>
  </si>
  <si>
    <t>62-580</t>
  </si>
  <si>
    <t>PL-2012-087711</t>
  </si>
  <si>
    <t>PL-2012-087475</t>
  </si>
  <si>
    <t>PL-2013-086320</t>
  </si>
  <si>
    <t>PL-2013-088875</t>
  </si>
  <si>
    <t>PL-2013-088003</t>
  </si>
  <si>
    <t>K00957</t>
  </si>
  <si>
    <t>Aleksandra Kamińska</t>
  </si>
  <si>
    <t>PL-2011-090600</t>
  </si>
  <si>
    <t>PL-2014-091279</t>
  </si>
  <si>
    <t>K02004</t>
  </si>
  <si>
    <t>Robert Płatek</t>
  </si>
  <si>
    <t>PL-2012-087197</t>
  </si>
  <si>
    <t>PL-2012-087805</t>
  </si>
  <si>
    <t>K00403</t>
  </si>
  <si>
    <t>Robert Banaś</t>
  </si>
  <si>
    <t>PL-2011-088406</t>
  </si>
  <si>
    <t>K02115</t>
  </si>
  <si>
    <t>Sebastian Barszczewski</t>
  </si>
  <si>
    <t>PL-2012-086106</t>
  </si>
  <si>
    <t>PL-2012-090119</t>
  </si>
  <si>
    <t>PL-2013-088708</t>
  </si>
  <si>
    <t>Hayes Optima 56K V.90 Internal Voice Modem</t>
  </si>
  <si>
    <t>PL-2012-090071</t>
  </si>
  <si>
    <t>PL-2014-090090</t>
  </si>
  <si>
    <t>PL-2014-089160</t>
  </si>
  <si>
    <t>PL-2013-089650</t>
  </si>
  <si>
    <t>Fellowes Command Center 5-outlet power strip</t>
  </si>
  <si>
    <t>PL-2011-089940</t>
  </si>
  <si>
    <t>PL-2013-087870</t>
  </si>
  <si>
    <t>PL-2014-089173</t>
  </si>
  <si>
    <t>K00313</t>
  </si>
  <si>
    <t>Joanna Stasiak</t>
  </si>
  <si>
    <t>Malczyce</t>
  </si>
  <si>
    <t>55-320</t>
  </si>
  <si>
    <t>PL-2011-087602</t>
  </si>
  <si>
    <t>K01316</t>
  </si>
  <si>
    <t>Krzysztof Sowa</t>
  </si>
  <si>
    <t>Supraśl</t>
  </si>
  <si>
    <t>16-030</t>
  </si>
  <si>
    <t>PL-2013-086187</t>
  </si>
  <si>
    <t>PL-2014-089969</t>
  </si>
  <si>
    <t>PL-2011-089184</t>
  </si>
  <si>
    <t>K02385</t>
  </si>
  <si>
    <t>Jerzy Bieniasz</t>
  </si>
  <si>
    <t>Strzelce Opolskie</t>
  </si>
  <si>
    <t>47-100</t>
  </si>
  <si>
    <t>PL-2014-089190</t>
  </si>
  <si>
    <t>PL-2014-088313</t>
  </si>
  <si>
    <t>PL-2012-085908</t>
  </si>
  <si>
    <t>K00817</t>
  </si>
  <si>
    <t>Paweł Krawczyk</t>
  </si>
  <si>
    <t>K00814</t>
  </si>
  <si>
    <t>Zenon Gębarowski</t>
  </si>
  <si>
    <t>Staples Vinyl Coated Paper Clips, 800/Box</t>
  </si>
  <si>
    <t>PL-2013-086894</t>
  </si>
  <si>
    <t>PL-2013-086081</t>
  </si>
  <si>
    <t>PL-2013-090671</t>
  </si>
  <si>
    <t>K00122</t>
  </si>
  <si>
    <t>Miłosz Janczewski</t>
  </si>
  <si>
    <t>PL-2011-088387</t>
  </si>
  <si>
    <t>PL-2012-091281</t>
  </si>
  <si>
    <t>K00474</t>
  </si>
  <si>
    <t>Bogumiła Marut</t>
  </si>
  <si>
    <t>PL-2012-090111</t>
  </si>
  <si>
    <t>PL-2012-087891</t>
  </si>
  <si>
    <t>Wirebound Message Books, 5-1/2 x 4 Forms, 2 or 4 Forms per Page</t>
  </si>
  <si>
    <t>PL-2011-091286</t>
  </si>
  <si>
    <t>K02458</t>
  </si>
  <si>
    <t>Henryk Dobrołowicz</t>
  </si>
  <si>
    <t>Łabiszyn</t>
  </si>
  <si>
    <t>89-210</t>
  </si>
  <si>
    <t>PL-2012-086540</t>
  </si>
  <si>
    <t>PL-2012-090777</t>
  </si>
  <si>
    <t>PL-2012-088732</t>
  </si>
  <si>
    <t>K01392</t>
  </si>
  <si>
    <t>Adrian Chrzanowski</t>
  </si>
  <si>
    <t>PL-2014-087663</t>
  </si>
  <si>
    <t>PL-2014-088817</t>
  </si>
  <si>
    <t>K02650</t>
  </si>
  <si>
    <t>Adam Dłużniewski</t>
  </si>
  <si>
    <t>Kijewo Królewskie</t>
  </si>
  <si>
    <t>86-253</t>
  </si>
  <si>
    <t>PL-2011-089219</t>
  </si>
  <si>
    <t>K02454</t>
  </si>
  <si>
    <t>Jadwiga Tucka</t>
  </si>
  <si>
    <t>Darłowo</t>
  </si>
  <si>
    <t>76-153</t>
  </si>
  <si>
    <t>PL-2011-088852</t>
  </si>
  <si>
    <t>PL-2011-086427</t>
  </si>
  <si>
    <t>PL-2013-091292</t>
  </si>
  <si>
    <t>K02365</t>
  </si>
  <si>
    <t>Zbigniew Błaszczuk</t>
  </si>
  <si>
    <t>51-637</t>
  </si>
  <si>
    <t>PL-2014-086945</t>
  </si>
  <si>
    <t>StarTAC Analog</t>
  </si>
  <si>
    <t>PL-2011-088527</t>
  </si>
  <si>
    <t>PL-2014-087566</t>
  </si>
  <si>
    <t>K02797</t>
  </si>
  <si>
    <t>Wojciech Żulewski</t>
  </si>
  <si>
    <t>Suwałki</t>
  </si>
  <si>
    <t>16-400</t>
  </si>
  <si>
    <t>PL-2011-089375</t>
  </si>
  <si>
    <t>PL-2012-088873</t>
  </si>
  <si>
    <t>PL-2012-087975</t>
  </si>
  <si>
    <t>Ibico Ibimaster 300 Manual Binding System</t>
  </si>
  <si>
    <t>PL-2012-089204</t>
  </si>
  <si>
    <t>PL-2011-090674</t>
  </si>
  <si>
    <t>PL-2013-087825</t>
  </si>
  <si>
    <t>K01613</t>
  </si>
  <si>
    <t>Arkadiusz Mazepa</t>
  </si>
  <si>
    <t>Polanica-Zdrój</t>
  </si>
  <si>
    <t>57-320</t>
  </si>
  <si>
    <t>K01611</t>
  </si>
  <si>
    <t>Piotr Downar</t>
  </si>
  <si>
    <t>K01612</t>
  </si>
  <si>
    <t>Danuta Patkowska</t>
  </si>
  <si>
    <t>PL-2013-090107</t>
  </si>
  <si>
    <t>K03321</t>
  </si>
  <si>
    <t>Krzysztof Mroczek</t>
  </si>
  <si>
    <t>Wolbrom</t>
  </si>
  <si>
    <t>32-340</t>
  </si>
  <si>
    <t>PL-2012-087153</t>
  </si>
  <si>
    <t>PL-2013-087471</t>
  </si>
  <si>
    <t>Acco PRESSTEX® Data Binder with Storage Hooks, Dark Blue, 9 1/2" X 11"</t>
  </si>
  <si>
    <t>PL-2014-090843</t>
  </si>
  <si>
    <t>PL-2011-090837</t>
  </si>
  <si>
    <t>PL-2014-090688</t>
  </si>
  <si>
    <t>PL-2012-089543</t>
  </si>
  <si>
    <t>PL-2013-086854</t>
  </si>
  <si>
    <t>K01866</t>
  </si>
  <si>
    <t>Mariusz Kowalczyk</t>
  </si>
  <si>
    <t>K01864</t>
  </si>
  <si>
    <t>Tomasz Tesmer</t>
  </si>
  <si>
    <t>Igołomia-Wawrzeńczyce</t>
  </si>
  <si>
    <t>32-125</t>
  </si>
  <si>
    <t>PL-2011-087934</t>
  </si>
  <si>
    <t>PL-2014-089589</t>
  </si>
  <si>
    <t>Soundgear TeleForum DX Desktop Conference Phone</t>
  </si>
  <si>
    <t>PL-2014-090749</t>
  </si>
  <si>
    <t>PL-2013-090862</t>
  </si>
  <si>
    <t>PL-2011-086221</t>
  </si>
  <si>
    <t>K03096</t>
  </si>
  <si>
    <t>Stefan Marczak</t>
  </si>
  <si>
    <t>PL-2012-088703</t>
  </si>
  <si>
    <t>PL-2012-086034</t>
  </si>
  <si>
    <t>PL-2013-089545</t>
  </si>
  <si>
    <t>PL-2012-088062</t>
  </si>
  <si>
    <t>PL-2012-086281</t>
  </si>
  <si>
    <t>K00768</t>
  </si>
  <si>
    <t>Magdalena Lewandowska</t>
  </si>
  <si>
    <t>PL-2014-090626</t>
  </si>
  <si>
    <t>K02688</t>
  </si>
  <si>
    <t>Monika Grzebielucha</t>
  </si>
  <si>
    <t>K02691</t>
  </si>
  <si>
    <t>Mieczysław Szpak</t>
  </si>
  <si>
    <t>PL-2013-088273</t>
  </si>
  <si>
    <t>CF 888</t>
  </si>
  <si>
    <t>PL-2012-088363</t>
  </si>
  <si>
    <t>K00186</t>
  </si>
  <si>
    <t>Anna Mętlewicz</t>
  </si>
  <si>
    <t>Jodłowa</t>
  </si>
  <si>
    <t>39-225</t>
  </si>
  <si>
    <t>Hewlett-Packard Business Color Inkjet 3000 [N, DTN] Series Printers</t>
  </si>
  <si>
    <t>PL-2014-087666</t>
  </si>
  <si>
    <t>K00025</t>
  </si>
  <si>
    <t>Hanna ŚWiderska</t>
  </si>
  <si>
    <t>Koniecpol</t>
  </si>
  <si>
    <t>42-230</t>
  </si>
  <si>
    <t>PL-2013-087657</t>
  </si>
  <si>
    <t>PL-2014-089246</t>
  </si>
  <si>
    <t>PL-2012-089484</t>
  </si>
  <si>
    <t>PL-2012-091294</t>
  </si>
  <si>
    <t>K02153</t>
  </si>
  <si>
    <t>Janusz Sałek</t>
  </si>
  <si>
    <t>PL-2014-085962</t>
  </si>
  <si>
    <t>K02282</t>
  </si>
  <si>
    <t>Krystyna Najdzion</t>
  </si>
  <si>
    <t>Domaniów</t>
  </si>
  <si>
    <t>55-216</t>
  </si>
  <si>
    <t>PL-2011-085950</t>
  </si>
  <si>
    <t>PL-2011-090190</t>
  </si>
  <si>
    <t>PL-2012-091133</t>
  </si>
  <si>
    <t>PL-2012-088768</t>
  </si>
  <si>
    <t>PL-2014-088823</t>
  </si>
  <si>
    <t>PL-2012-090741</t>
  </si>
  <si>
    <t>Desktop 3-Pocket Hot File®</t>
  </si>
  <si>
    <t>PL-2011-090601</t>
  </si>
  <si>
    <t>PL-2012-086501</t>
  </si>
  <si>
    <t>PL-2014-090942</t>
  </si>
  <si>
    <t>PL-2012-087681</t>
  </si>
  <si>
    <t>PL-2011-087579</t>
  </si>
  <si>
    <t>K00600</t>
  </si>
  <si>
    <t>Przemysław Maksymowicz</t>
  </si>
  <si>
    <t>Tarnawatka</t>
  </si>
  <si>
    <t>22-604</t>
  </si>
  <si>
    <t>PL-2012-088770</t>
  </si>
  <si>
    <t>PL-2013-089377</t>
  </si>
  <si>
    <t>K01234</t>
  </si>
  <si>
    <t>Danuta Maniak</t>
  </si>
  <si>
    <t>25-380</t>
  </si>
  <si>
    <t>PL-2013-087730</t>
  </si>
  <si>
    <t>PL-2014-089250</t>
  </si>
  <si>
    <t>K00073</t>
  </si>
  <si>
    <t>Maria Hołodowska</t>
  </si>
  <si>
    <t>Stary Lubotyń</t>
  </si>
  <si>
    <t>07-303</t>
  </si>
  <si>
    <t>PL-2011-088928</t>
  </si>
  <si>
    <t>PL-2011-089856</t>
  </si>
  <si>
    <t>PL-2011-087853</t>
  </si>
  <si>
    <t>K01793</t>
  </si>
  <si>
    <t>Gabriela Czesnowska</t>
  </si>
  <si>
    <t>Dębowa Kłoda</t>
  </si>
  <si>
    <t>21-211</t>
  </si>
  <si>
    <t>PL-2014-086987</t>
  </si>
  <si>
    <t>PL-2013-089247</t>
  </si>
  <si>
    <t>K00078</t>
  </si>
  <si>
    <t>Jakub Rakowski</t>
  </si>
  <si>
    <t>K00075</t>
  </si>
  <si>
    <t>Stefan Turowski</t>
  </si>
  <si>
    <t>K00076</t>
  </si>
  <si>
    <t>Łukasz Sendlewski</t>
  </si>
  <si>
    <t>Milanów</t>
  </si>
  <si>
    <t>21-210</t>
  </si>
  <si>
    <t>K00077</t>
  </si>
  <si>
    <t>Ryszard Pałczyński</t>
  </si>
  <si>
    <t>Stryszów</t>
  </si>
  <si>
    <t>34-145</t>
  </si>
  <si>
    <t>PL-2011-087396</t>
  </si>
  <si>
    <t>K02912</t>
  </si>
  <si>
    <t>Marek Drela</t>
  </si>
  <si>
    <t>Szczawno-Zdrój</t>
  </si>
  <si>
    <t>58-310</t>
  </si>
  <si>
    <t>PL-2014-087670</t>
  </si>
  <si>
    <t>K00026</t>
  </si>
  <si>
    <t>Izabela Juszkiewicz</t>
  </si>
  <si>
    <t>Pyrzyce</t>
  </si>
  <si>
    <t>PL-2013-090094</t>
  </si>
  <si>
    <t>PL-2013-085903</t>
  </si>
  <si>
    <t>K01918</t>
  </si>
  <si>
    <t>Jadwiga Szymanowska</t>
  </si>
  <si>
    <t>Pomiechówek</t>
  </si>
  <si>
    <t>05-180</t>
  </si>
  <si>
    <t>PL-2013-089255</t>
  </si>
  <si>
    <t>PL-2012-089260</t>
  </si>
  <si>
    <t>PL-2014-087718</t>
  </si>
  <si>
    <t>PL-2014-091276</t>
  </si>
  <si>
    <t>PL-2012-088528</t>
  </si>
  <si>
    <t>PL-2014-089728</t>
  </si>
  <si>
    <t>K00333</t>
  </si>
  <si>
    <t>Zbigniew Wilk</t>
  </si>
  <si>
    <t>PL-2013-087985</t>
  </si>
  <si>
    <t>PL-2014-089480</t>
  </si>
  <si>
    <t>PL-2014-087461</t>
  </si>
  <si>
    <t>K02533</t>
  </si>
  <si>
    <t>Danuta Mendel</t>
  </si>
  <si>
    <t>K02535</t>
  </si>
  <si>
    <t>Andrzej Ostrysz</t>
  </si>
  <si>
    <t>Dębnica Kaszubska</t>
  </si>
  <si>
    <t>76-248</t>
  </si>
  <si>
    <t>K02536</t>
  </si>
  <si>
    <t>Władysław Góral</t>
  </si>
  <si>
    <t>Jaśliska</t>
  </si>
  <si>
    <t>38-485</t>
  </si>
  <si>
    <t>PL-2014-088046</t>
  </si>
  <si>
    <t>PL-2014-090595</t>
  </si>
  <si>
    <t>K00267</t>
  </si>
  <si>
    <t>Katarzyna Marchewka</t>
  </si>
  <si>
    <t>PL-2011-087619</t>
  </si>
  <si>
    <t>PL-2012-090422</t>
  </si>
  <si>
    <t>PL-2014-090253</t>
  </si>
  <si>
    <t>PL-2014-090278</t>
  </si>
  <si>
    <t>PL-2014-091265</t>
  </si>
  <si>
    <t>PL-2012-090061</t>
  </si>
  <si>
    <t>PL-2014-090836</t>
  </si>
  <si>
    <t>K01113</t>
  </si>
  <si>
    <t>Mariusz Ogrodnik</t>
  </si>
  <si>
    <t>Działdowo</t>
  </si>
  <si>
    <t>13-200</t>
  </si>
  <si>
    <t>PL-2012-086915</t>
  </si>
  <si>
    <t>K01183</t>
  </si>
  <si>
    <t>Lech Halarewicz</t>
  </si>
  <si>
    <t>Somianka</t>
  </si>
  <si>
    <t>07-203</t>
  </si>
  <si>
    <t>PL-2014-090865</t>
  </si>
  <si>
    <t>PL-2011-086184</t>
  </si>
  <si>
    <t>K02745</t>
  </si>
  <si>
    <t>Danuta Górna</t>
  </si>
  <si>
    <t>PL-2014-085946</t>
  </si>
  <si>
    <t>PL-2011-088645</t>
  </si>
  <si>
    <t>PL-2013-088950</t>
  </si>
  <si>
    <t>Xerox 226</t>
  </si>
  <si>
    <t>PL-2012-091221</t>
  </si>
  <si>
    <t>K01824</t>
  </si>
  <si>
    <t>Tomasz Bielaszewski</t>
  </si>
  <si>
    <t>Czerwonak</t>
  </si>
  <si>
    <t>62-004</t>
  </si>
  <si>
    <t>PL-2011-086767</t>
  </si>
  <si>
    <t>PL-2014-087925</t>
  </si>
  <si>
    <t>PL-2014-089136</t>
  </si>
  <si>
    <t>PL-2012-087910</t>
  </si>
  <si>
    <t>K03394</t>
  </si>
  <si>
    <t>Karol Korczyński</t>
  </si>
  <si>
    <t>PL-2011-088163</t>
  </si>
  <si>
    <t>PL-2014-088168</t>
  </si>
  <si>
    <t>PL-2014-089562</t>
  </si>
  <si>
    <t>K00887</t>
  </si>
  <si>
    <t>Stanisław Sobolewski</t>
  </si>
  <si>
    <t>Białystok</t>
  </si>
  <si>
    <t>15-579</t>
  </si>
  <si>
    <t>PL-2011-086886</t>
  </si>
  <si>
    <t>K02490</t>
  </si>
  <si>
    <t>Grzegorz Węglowski</t>
  </si>
  <si>
    <t>Rydułtowy</t>
  </si>
  <si>
    <t>44-280</t>
  </si>
  <si>
    <t>PL-2012-090995</t>
  </si>
  <si>
    <t>PL-2013-085846</t>
  </si>
  <si>
    <t>K01799</t>
  </si>
  <si>
    <t>Joanna Dunajewska</t>
  </si>
  <si>
    <t>Iłża</t>
  </si>
  <si>
    <t>27-100</t>
  </si>
  <si>
    <t>PL-2014-089921</t>
  </si>
  <si>
    <t>PL-2011-086460</t>
  </si>
  <si>
    <t>PL-2013-088861</t>
  </si>
  <si>
    <t>PL-2013-090441</t>
  </si>
  <si>
    <t>PL-2013-086208</t>
  </si>
  <si>
    <t>K03292</t>
  </si>
  <si>
    <t>Michał Bociarski</t>
  </si>
  <si>
    <t>Malechowo</t>
  </si>
  <si>
    <t>76-142</t>
  </si>
  <si>
    <t>PL-2011-089258</t>
  </si>
  <si>
    <t>K00825</t>
  </si>
  <si>
    <t>Urszula Saryczew</t>
  </si>
  <si>
    <t>Piastów</t>
  </si>
  <si>
    <t>05-820</t>
  </si>
  <si>
    <t>PL-2011-088571</t>
  </si>
  <si>
    <t>K00854</t>
  </si>
  <si>
    <t>Jerzy Nogaj</t>
  </si>
  <si>
    <t>Czemierniki</t>
  </si>
  <si>
    <t>21-306</t>
  </si>
  <si>
    <t>K00855</t>
  </si>
  <si>
    <t>Maciej Żebrowski</t>
  </si>
  <si>
    <t>Barlinek</t>
  </si>
  <si>
    <t>74-320</t>
  </si>
  <si>
    <t>K00858</t>
  </si>
  <si>
    <t>Bogdan Pomorski</t>
  </si>
  <si>
    <t>PL-2012-089107</t>
  </si>
  <si>
    <t>K01770</t>
  </si>
  <si>
    <t>Waldemar Maliszewski</t>
  </si>
  <si>
    <t>Brzeszcze</t>
  </si>
  <si>
    <t>32-620</t>
  </si>
  <si>
    <t>PL-2013-088383</t>
  </si>
  <si>
    <t>K03087</t>
  </si>
  <si>
    <t>Grzegorz Pierścionek</t>
  </si>
  <si>
    <t>PL-2013-088495</t>
  </si>
  <si>
    <t>PL-2013-015264</t>
  </si>
  <si>
    <t>K01547</t>
  </si>
  <si>
    <t>Marcin Struk</t>
  </si>
  <si>
    <t>Bisztynek</t>
  </si>
  <si>
    <t>11-230</t>
  </si>
  <si>
    <t>PL-2014-088779</t>
  </si>
  <si>
    <t>PL-2012-086137</t>
  </si>
  <si>
    <t>PL-2014-089692</t>
  </si>
  <si>
    <t>PL-2014-091233</t>
  </si>
  <si>
    <t>K01288</t>
  </si>
  <si>
    <t>Wiesław Czarnecki</t>
  </si>
  <si>
    <t>Wielbark</t>
  </si>
  <si>
    <t>12-160</t>
  </si>
  <si>
    <t>PL-2012-085968</t>
  </si>
  <si>
    <t>PL-2013-086111</t>
  </si>
  <si>
    <t>K03044</t>
  </si>
  <si>
    <t>Magdalena Bąk</t>
  </si>
  <si>
    <t>Namysłów</t>
  </si>
  <si>
    <t>K03045</t>
  </si>
  <si>
    <t>Mirosław Bereżański</t>
  </si>
  <si>
    <t>Człopa</t>
  </si>
  <si>
    <t>78-630</t>
  </si>
  <si>
    <t>PL-2012-090240</t>
  </si>
  <si>
    <t>PL-2014-090887</t>
  </si>
  <si>
    <t>PL-2013-088697</t>
  </si>
  <si>
    <t>PL-2012-089754</t>
  </si>
  <si>
    <t>K01324</t>
  </si>
  <si>
    <t>Edward Sadłowski</t>
  </si>
  <si>
    <t>PL-2012-087880</t>
  </si>
  <si>
    <t>PL-2014-086965</t>
  </si>
  <si>
    <t>PL-2011-086960</t>
  </si>
  <si>
    <t>K01829</t>
  </si>
  <si>
    <t>Joanna Czerwińska</t>
  </si>
  <si>
    <t>PL-2012-087223</t>
  </si>
  <si>
    <t>PL-2013-089526</t>
  </si>
  <si>
    <t>PL-2011-086085</t>
  </si>
  <si>
    <t>PL-2011-090917</t>
  </si>
  <si>
    <t>K00375</t>
  </si>
  <si>
    <t>Lidia Majewska</t>
  </si>
  <si>
    <t>O'Sullivan Living Dimensions 3-Shelf Bookcases</t>
  </si>
  <si>
    <t>PL-2014-090921</t>
  </si>
  <si>
    <t>PL-2012-091111</t>
  </si>
  <si>
    <t>PL-2012-090772</t>
  </si>
  <si>
    <t>PL-2011-088766</t>
  </si>
  <si>
    <t>PL-2012-089701</t>
  </si>
  <si>
    <t>K01850</t>
  </si>
  <si>
    <t>Eugeniusz Muryn</t>
  </si>
  <si>
    <t>Polanów</t>
  </si>
  <si>
    <t>76-010</t>
  </si>
  <si>
    <t>PL-2011-085965</t>
  </si>
  <si>
    <t>PL-2011-089005</t>
  </si>
  <si>
    <t>PL-2012-087241</t>
  </si>
  <si>
    <t>PL-2014-087333</t>
  </si>
  <si>
    <t>PL-2014-087565</t>
  </si>
  <si>
    <t>Metal Folding Chairs, Beige, 4/Carton</t>
  </si>
  <si>
    <t>PL-2011-090850</t>
  </si>
  <si>
    <t>PL-2013-091204</t>
  </si>
  <si>
    <t>PL-2012-086511</t>
  </si>
  <si>
    <t>Adams "While You Were Out" Message Pads</t>
  </si>
  <si>
    <t>PL-2012-087058</t>
  </si>
  <si>
    <t>PL-2011-088503</t>
  </si>
  <si>
    <t>PL-2013-087123</t>
  </si>
  <si>
    <t>PL-2014-088515</t>
  </si>
  <si>
    <t>K00534</t>
  </si>
  <si>
    <t>Jadwiga Kosidło</t>
  </si>
  <si>
    <t>Wilczyce</t>
  </si>
  <si>
    <t>27-612</t>
  </si>
  <si>
    <t>Gyration Ultra Cordless Optical Suite</t>
  </si>
  <si>
    <t>PL-2013-091177</t>
  </si>
  <si>
    <t>PL-2013-015300</t>
  </si>
  <si>
    <t>PL-2013-088602</t>
  </si>
  <si>
    <t>PL-2014-090639</t>
  </si>
  <si>
    <t>PL-2011-088114</t>
  </si>
  <si>
    <t>PL-2013-085912</t>
  </si>
  <si>
    <t>K00813</t>
  </si>
  <si>
    <t>Grzegorz Różycki</t>
  </si>
  <si>
    <t>PL-2014-088289</t>
  </si>
  <si>
    <t>Chromcraft Rectangular Conference Tables</t>
  </si>
  <si>
    <t>PL-2014-089044</t>
  </si>
  <si>
    <t>PL-2014-088501</t>
  </si>
  <si>
    <t>PL-2011-085979</t>
  </si>
  <si>
    <t>PL-2012-015303</t>
  </si>
  <si>
    <t>K01314</t>
  </si>
  <si>
    <t>Wiesława Wicher</t>
  </si>
  <si>
    <t>31-001</t>
  </si>
  <si>
    <t>PL-2011-091245</t>
  </si>
  <si>
    <t>PL-2013-087507</t>
  </si>
  <si>
    <t>K02644</t>
  </si>
  <si>
    <t>Bogusław Grygiel</t>
  </si>
  <si>
    <t>PL-2012-087878</t>
  </si>
  <si>
    <t>PL-2013-086415</t>
  </si>
  <si>
    <t>PL-2011-086899</t>
  </si>
  <si>
    <t>K03155</t>
  </si>
  <si>
    <t>Stanisław Gnosowski</t>
  </si>
  <si>
    <t>Głogów Małopolski</t>
  </si>
  <si>
    <t>36-060</t>
  </si>
  <si>
    <t>PL-2014-086584</t>
  </si>
  <si>
    <t>K01140</t>
  </si>
  <si>
    <t>Mirosław Wyrodek</t>
  </si>
  <si>
    <t>Radlin</t>
  </si>
  <si>
    <t>44-310</t>
  </si>
  <si>
    <t>PL-2013-087264</t>
  </si>
  <si>
    <t>PL-2014-091193</t>
  </si>
  <si>
    <t>K02104</t>
  </si>
  <si>
    <t>Kazimierz Kryża</t>
  </si>
  <si>
    <t>Międzyrzecz</t>
  </si>
  <si>
    <t>66-300</t>
  </si>
  <si>
    <t>PL-2012-089419</t>
  </si>
  <si>
    <t>K03073</t>
  </si>
  <si>
    <t>Danuta Sroka</t>
  </si>
  <si>
    <t>Połczyn-Zdrój</t>
  </si>
  <si>
    <t>78-320</t>
  </si>
  <si>
    <t>PL-2014-086589</t>
  </si>
  <si>
    <t>PL-2014-090401</t>
  </si>
  <si>
    <t>K02157</t>
  </si>
  <si>
    <t>Daria Stasiak</t>
  </si>
  <si>
    <t>Czerwionka-Leszczyny</t>
  </si>
  <si>
    <t>44-238</t>
  </si>
  <si>
    <t>PL-2012-090515</t>
  </si>
  <si>
    <t>K01368</t>
  </si>
  <si>
    <t>Mieczysław Karpiszyn</t>
  </si>
  <si>
    <t>Świątniki Górne</t>
  </si>
  <si>
    <t>32-040</t>
  </si>
  <si>
    <t>PL-2013-087279</t>
  </si>
  <si>
    <t>PL-2014-087692</t>
  </si>
  <si>
    <t>PL-2012-089403</t>
  </si>
  <si>
    <t>PL-2014-087999</t>
  </si>
  <si>
    <t>K01607</t>
  </si>
  <si>
    <t>Wiesław Kubik</t>
  </si>
  <si>
    <t>Sompolno</t>
  </si>
  <si>
    <t>62-610</t>
  </si>
  <si>
    <t>PL-2011-086815</t>
  </si>
  <si>
    <t>K01527</t>
  </si>
  <si>
    <t>Zenon Saja</t>
  </si>
  <si>
    <t>Stronie Śląskie</t>
  </si>
  <si>
    <t>57-550</t>
  </si>
  <si>
    <t>PL-2013-091169</t>
  </si>
  <si>
    <t>PL-2014-090586</t>
  </si>
  <si>
    <t>PL-2011-089836</t>
  </si>
  <si>
    <t>K03269</t>
  </si>
  <si>
    <t>Anna Szkołuda</t>
  </si>
  <si>
    <t>Jerzmanowa</t>
  </si>
  <si>
    <t>K03266</t>
  </si>
  <si>
    <t>Mirosława Cwajda</t>
  </si>
  <si>
    <t>PL-2013-090108</t>
  </si>
  <si>
    <t>PL-2011-091123</t>
  </si>
  <si>
    <t>K02391</t>
  </si>
  <si>
    <t>Piotr Sterczyński</t>
  </si>
  <si>
    <t>PL-2014-089317</t>
  </si>
  <si>
    <t>PL-2014-090182</t>
  </si>
  <si>
    <t>PL-2013-090281</t>
  </si>
  <si>
    <t>PL-2013-088054</t>
  </si>
  <si>
    <t>K00217</t>
  </si>
  <si>
    <t>Edwarda Ptaszyńska</t>
  </si>
  <si>
    <t>Skulsk</t>
  </si>
  <si>
    <t>62-560</t>
  </si>
  <si>
    <t>PL-2014-089633</t>
  </si>
  <si>
    <t>K01072</t>
  </si>
  <si>
    <t>Sandra Szulc</t>
  </si>
  <si>
    <t>Kowary</t>
  </si>
  <si>
    <t>58-530</t>
  </si>
  <si>
    <t>PL-2012-091026</t>
  </si>
  <si>
    <t>PL-2014-086117</t>
  </si>
  <si>
    <t>PL-2011-086104</t>
  </si>
  <si>
    <t>Xerox 1995</t>
  </si>
  <si>
    <t>PL-2012-088349</t>
  </si>
  <si>
    <t>PL-2014-086804</t>
  </si>
  <si>
    <t>PL-2014-090770</t>
  </si>
  <si>
    <t>PL-2014-087239</t>
  </si>
  <si>
    <t>K02053</t>
  </si>
  <si>
    <t>Kamila Chmielecka</t>
  </si>
  <si>
    <t>Zwierzyn</t>
  </si>
  <si>
    <t>66-542</t>
  </si>
  <si>
    <t>Luxo Adjustable Task Clamp Lamp</t>
  </si>
  <si>
    <t>PL-2011-091296</t>
  </si>
  <si>
    <t>K03350</t>
  </si>
  <si>
    <t>Jadwiga Mikulska</t>
  </si>
  <si>
    <t>Parzęczew</t>
  </si>
  <si>
    <t>95-045</t>
  </si>
  <si>
    <t>PL-2013-089798</t>
  </si>
  <si>
    <t>PL-2012-089113</t>
  </si>
  <si>
    <t>PL-2012-090014</t>
  </si>
  <si>
    <t>K02893</t>
  </si>
  <si>
    <t>Kazimierz Wolski</t>
  </si>
  <si>
    <t>PL-2014-085986</t>
  </si>
  <si>
    <t>PL-2011-089095</t>
  </si>
  <si>
    <t>K02433</t>
  </si>
  <si>
    <t>Katarzyna Karaźniewicz</t>
  </si>
  <si>
    <t>PL-2011-086722</t>
  </si>
  <si>
    <t>PL-2013-087108</t>
  </si>
  <si>
    <t>PL-2013-090085</t>
  </si>
  <si>
    <t>PL-2012-090409</t>
  </si>
  <si>
    <t>PL-2012-088018</t>
  </si>
  <si>
    <t>PL-2013-090687</t>
  </si>
  <si>
    <t>GBC Poly Designer Binding Covers</t>
  </si>
  <si>
    <t>PL-2014-087053</t>
  </si>
  <si>
    <t>K03000</t>
  </si>
  <si>
    <t>Józef Malinowski</t>
  </si>
  <si>
    <t>Rudnik nad Sanem</t>
  </si>
  <si>
    <t>37-420</t>
  </si>
  <si>
    <t>PL-2011-087042</t>
  </si>
  <si>
    <t>PL-2013-089262</t>
  </si>
  <si>
    <t>Xerox 229</t>
  </si>
  <si>
    <t>PL-2012-088430</t>
  </si>
  <si>
    <t>K01943</t>
  </si>
  <si>
    <t>Marian Gawienowski</t>
  </si>
  <si>
    <t>PL-2013-088494</t>
  </si>
  <si>
    <t>PL-2013-090211</t>
  </si>
  <si>
    <t>PL-2012-090918</t>
  </si>
  <si>
    <t>PL-2013-087321</t>
  </si>
  <si>
    <t>PL-2011-091306</t>
  </si>
  <si>
    <t>K02355</t>
  </si>
  <si>
    <t>Teresa Jabłońska</t>
  </si>
  <si>
    <t>Miłosław</t>
  </si>
  <si>
    <t>62-320</t>
  </si>
  <si>
    <t>PL-2013-091309</t>
  </si>
  <si>
    <t>K00230</t>
  </si>
  <si>
    <t>Andrzej Melnyczuk</t>
  </si>
  <si>
    <t>PL-2011-090011</t>
  </si>
  <si>
    <t>K02892</t>
  </si>
  <si>
    <t>Donata Bakalarczyk</t>
  </si>
  <si>
    <t>PL-2012-089385</t>
  </si>
  <si>
    <t>PL-2011-091127</t>
  </si>
  <si>
    <t>PL-2013-091312</t>
  </si>
  <si>
    <t>K02503</t>
  </si>
  <si>
    <t>Zenon Wajgert</t>
  </si>
  <si>
    <t>Maków Mazowiecki</t>
  </si>
  <si>
    <t>06-200</t>
  </si>
  <si>
    <t>PL-2012-087639</t>
  </si>
  <si>
    <t>PL-2011-086914</t>
  </si>
  <si>
    <t>PL-2012-086934</t>
  </si>
  <si>
    <t>PL-2012-087447</t>
  </si>
  <si>
    <t>K01899</t>
  </si>
  <si>
    <t>Iwona Grygorcewicz</t>
  </si>
  <si>
    <t>Grębów</t>
  </si>
  <si>
    <t>39-410</t>
  </si>
  <si>
    <t>Trimflex™ Flexible Post Binders</t>
  </si>
  <si>
    <t>K01900</t>
  </si>
  <si>
    <t>Janina Plewka</t>
  </si>
  <si>
    <t>Jastrząb</t>
  </si>
  <si>
    <t>K01903</t>
  </si>
  <si>
    <t>Franciszek Miksza</t>
  </si>
  <si>
    <t>PL-2013-090063</t>
  </si>
  <si>
    <t>K00514</t>
  </si>
  <si>
    <t>Janusz Musiał</t>
  </si>
  <si>
    <t>Bakałarzewo</t>
  </si>
  <si>
    <t>PL-2011-090145</t>
  </si>
  <si>
    <t>PL-2014-090321</t>
  </si>
  <si>
    <t>PL-2012-088314</t>
  </si>
  <si>
    <t>PL-2012-087750</t>
  </si>
  <si>
    <t>K01712</t>
  </si>
  <si>
    <t>Aneta Kępa</t>
  </si>
  <si>
    <t>Czernice Borowe</t>
  </si>
  <si>
    <t>06-415</t>
  </si>
  <si>
    <t>Luxo Economy Swing Arm Lamp</t>
  </si>
  <si>
    <t>PL-2012-089837</t>
  </si>
  <si>
    <t>K03265</t>
  </si>
  <si>
    <t>Jacek Jurczak</t>
  </si>
  <si>
    <t>K03270</t>
  </si>
  <si>
    <t>Jacek Rafiński</t>
  </si>
  <si>
    <t>PL-2013-090374</t>
  </si>
  <si>
    <t>Accessory12</t>
  </si>
  <si>
    <t>PL-2013-086478</t>
  </si>
  <si>
    <t>K03031</t>
  </si>
  <si>
    <t>Zbigniew Cycyk</t>
  </si>
  <si>
    <t>Nowogard</t>
  </si>
  <si>
    <t>72-200</t>
  </si>
  <si>
    <t>PL-2013-088180</t>
  </si>
  <si>
    <t>PL-2014-087483</t>
  </si>
  <si>
    <t>PL-2012-089740</t>
  </si>
  <si>
    <t>PL-2013-086664</t>
  </si>
  <si>
    <t>K03058</t>
  </si>
  <si>
    <t>Andrzej Gutowski</t>
  </si>
  <si>
    <t>K03056</t>
  </si>
  <si>
    <t>Arkadiusz Maślij</t>
  </si>
  <si>
    <t>Pałecznica</t>
  </si>
  <si>
    <t>32-109</t>
  </si>
  <si>
    <t>PL-2014-086859</t>
  </si>
  <si>
    <t>K01867</t>
  </si>
  <si>
    <t>Ryszard Pilipiec</t>
  </si>
  <si>
    <t>PL-2014-091004</t>
  </si>
  <si>
    <t>K02479</t>
  </si>
  <si>
    <t>Piotr Taramas</t>
  </si>
  <si>
    <t>Iwonicz-Zdrój</t>
  </si>
  <si>
    <t>38-440</t>
  </si>
  <si>
    <t>PL-2012-089947</t>
  </si>
  <si>
    <t>Holmes Harmony HEPA Air Purifier for 17 x 20 Room</t>
  </si>
  <si>
    <t>PL-2013-087859</t>
  </si>
  <si>
    <t>PL-2013-090419</t>
  </si>
  <si>
    <t>PL-2011-086989</t>
  </si>
  <si>
    <t>PL-2014-088629</t>
  </si>
  <si>
    <t>PL-2012-087799</t>
  </si>
  <si>
    <t>K03303</t>
  </si>
  <si>
    <t>Janusz Ziętkiewicz</t>
  </si>
  <si>
    <t>Obrzycko</t>
  </si>
  <si>
    <t>64-520</t>
  </si>
  <si>
    <t>PL-2013-090548</t>
  </si>
  <si>
    <t>PL-2014-088904</t>
  </si>
  <si>
    <t>K01066</t>
  </si>
  <si>
    <t>Artur Kłonowski</t>
  </si>
  <si>
    <t>PL-2013-090743</t>
  </si>
  <si>
    <t>R289LX</t>
  </si>
  <si>
    <t>PL-2013-091315</t>
  </si>
  <si>
    <t>K01896</t>
  </si>
  <si>
    <t>Waldemar Potoniec</t>
  </si>
  <si>
    <t>PL-2011-088579</t>
  </si>
  <si>
    <t>PL-2014-088216</t>
  </si>
  <si>
    <t>K01375</t>
  </si>
  <si>
    <t>Bartłomiej Przybył</t>
  </si>
  <si>
    <t>Xerox 1888</t>
  </si>
  <si>
    <t>K01379</t>
  </si>
  <si>
    <t>Hanna Bochen</t>
  </si>
  <si>
    <t>Olsztynek</t>
  </si>
  <si>
    <t>11-015</t>
  </si>
  <si>
    <t>PL-2014-087173</t>
  </si>
  <si>
    <t>PL-2011-089897</t>
  </si>
  <si>
    <t>PL-2014-088966</t>
  </si>
  <si>
    <t>PL-2011-087804</t>
  </si>
  <si>
    <t>K00406</t>
  </si>
  <si>
    <t>Krystyna Kiryk</t>
  </si>
  <si>
    <t>Nowy Korczyn</t>
  </si>
  <si>
    <t>28-136</t>
  </si>
  <si>
    <t>PL-2014-089442</t>
  </si>
  <si>
    <t>K02188</t>
  </si>
  <si>
    <t>Justyna Terlecka</t>
  </si>
  <si>
    <t>Toszek</t>
  </si>
  <si>
    <t>44-180</t>
  </si>
  <si>
    <t>PL-2011-088368</t>
  </si>
  <si>
    <t>PL-2014-089896</t>
  </si>
  <si>
    <t>PL-2014-086651</t>
  </si>
  <si>
    <t>6162m</t>
  </si>
  <si>
    <t>K01680</t>
  </si>
  <si>
    <t>Aldona Prusinowska</t>
  </si>
  <si>
    <t>Kowal</t>
  </si>
  <si>
    <t>87-820</t>
  </si>
  <si>
    <t>PL-2013-086390</t>
  </si>
  <si>
    <t>PL-2011-086768</t>
  </si>
  <si>
    <t>K01117</t>
  </si>
  <si>
    <t>Marian Osękowski</t>
  </si>
  <si>
    <t>Wałbrzych</t>
  </si>
  <si>
    <t>58-302</t>
  </si>
  <si>
    <t>PL-2012-015463</t>
  </si>
  <si>
    <t>PL-2011-087677</t>
  </si>
  <si>
    <t>PL-2013-091095</t>
  </si>
  <si>
    <t>K00148</t>
  </si>
  <si>
    <t>Jakub Rembowski</t>
  </si>
  <si>
    <t>PL-2011-090408</t>
  </si>
  <si>
    <t>PL-2014-091227</t>
  </si>
  <si>
    <t>PL-2014-088914</t>
  </si>
  <si>
    <t>K01293</t>
  </si>
  <si>
    <t>Mirosław Lipiec</t>
  </si>
  <si>
    <t>Koluszki</t>
  </si>
  <si>
    <t>95-040</t>
  </si>
  <si>
    <t>PL-2014-088203</t>
  </si>
  <si>
    <t>PL-2014-091320</t>
  </si>
  <si>
    <t>K02787</t>
  </si>
  <si>
    <t>Krzysztof Plewko</t>
  </si>
  <si>
    <t>Morzeszczyn</t>
  </si>
  <si>
    <t>83-132</t>
  </si>
  <si>
    <t>PL-2011-091316</t>
  </si>
  <si>
    <t>PL-2011-086283</t>
  </si>
  <si>
    <t>PL-2013-090996</t>
  </si>
  <si>
    <t>PL-2013-090017</t>
  </si>
  <si>
    <t>PL-2012-091323</t>
  </si>
  <si>
    <t>K02377</t>
  </si>
  <si>
    <t>Ewa Paśka</t>
  </si>
  <si>
    <t>Nałęczów</t>
  </si>
  <si>
    <t>24-150</t>
  </si>
  <si>
    <t>PL-2014-090024</t>
  </si>
  <si>
    <t>PL-2014-090885</t>
  </si>
  <si>
    <t>K01242</t>
  </si>
  <si>
    <t>Aneta Łuczyńska</t>
  </si>
  <si>
    <t>PL-2011-091328</t>
  </si>
  <si>
    <t>K01533</t>
  </si>
  <si>
    <t>Stanisław Witkowski</t>
  </si>
  <si>
    <t>PL-2014-089959</t>
  </si>
  <si>
    <t>K01523</t>
  </si>
  <si>
    <t>Dariusz Drohomirecki</t>
  </si>
  <si>
    <t>K01520</t>
  </si>
  <si>
    <t>Krzysztof Lenartowicz</t>
  </si>
  <si>
    <t>Świerzawa</t>
  </si>
  <si>
    <t>59-540</t>
  </si>
  <si>
    <t>PL-2013-088364</t>
  </si>
  <si>
    <t>K00185</t>
  </si>
  <si>
    <t>Piotr Jedliński</t>
  </si>
  <si>
    <t>Gruta</t>
  </si>
  <si>
    <t>86-330</t>
  </si>
  <si>
    <t>PL-2013-087250</t>
  </si>
  <si>
    <t>PL-2014-087883</t>
  </si>
  <si>
    <t>K01251</t>
  </si>
  <si>
    <t>Teresa Kulińska</t>
  </si>
  <si>
    <t>PL-2012-088223</t>
  </si>
  <si>
    <t>PL-2014-089094</t>
  </si>
  <si>
    <t>PL-2014-087431</t>
  </si>
  <si>
    <t>K01558</t>
  </si>
  <si>
    <t>Krzysztof Chloupek</t>
  </si>
  <si>
    <t>Hyżne</t>
  </si>
  <si>
    <t>36-024</t>
  </si>
  <si>
    <t>PL-2014-087724</t>
  </si>
  <si>
    <t>PL-2013-090223</t>
  </si>
  <si>
    <t>PL-2011-088890</t>
  </si>
  <si>
    <t>PL-2014-088895</t>
  </si>
  <si>
    <t>K00680</t>
  </si>
  <si>
    <t>Ryszard Wesołowski</t>
  </si>
  <si>
    <t>Skierniewice</t>
  </si>
  <si>
    <t>96-100</t>
  </si>
  <si>
    <t>PL-2014-088169</t>
  </si>
  <si>
    <t>K02291</t>
  </si>
  <si>
    <t>Eugeniusz Piątek</t>
  </si>
  <si>
    <t>PL-2012-090559</t>
  </si>
  <si>
    <t>K02308</t>
  </si>
  <si>
    <t>Aneta Jakubów</t>
  </si>
  <si>
    <t>Lipinki</t>
  </si>
  <si>
    <t>38-305</t>
  </si>
  <si>
    <t>Acme® Design Stainless Steel Bent Scissors</t>
  </si>
  <si>
    <t>PL-2012-085993</t>
  </si>
  <si>
    <t>PL-2011-090767</t>
  </si>
  <si>
    <t>PL-2012-087521</t>
  </si>
  <si>
    <t>Ames Color-File® Green Diamond Border X-ray Mailers</t>
  </si>
  <si>
    <t>PL-2014-089332</t>
  </si>
  <si>
    <t>PL-2013-091333</t>
  </si>
  <si>
    <t>K01371</t>
  </si>
  <si>
    <t>Wojciech Wodecki</t>
  </si>
  <si>
    <t>Sulejówek</t>
  </si>
  <si>
    <t>05-070</t>
  </si>
  <si>
    <t>PL-2012-091336</t>
  </si>
  <si>
    <t>K00661</t>
  </si>
  <si>
    <t>Władysław Iwański</t>
  </si>
  <si>
    <t>PL-2014-086257</t>
  </si>
  <si>
    <t>PL-2011-089505</t>
  </si>
  <si>
    <t>PL-2014-089513</t>
  </si>
  <si>
    <t>K02347</t>
  </si>
  <si>
    <t>Maria Woźnicka</t>
  </si>
  <si>
    <t>Nowe Warpno</t>
  </si>
  <si>
    <t>72-022</t>
  </si>
  <si>
    <t>PL-2011-090724</t>
  </si>
  <si>
    <t>K02764</t>
  </si>
  <si>
    <t>Kamil Lis</t>
  </si>
  <si>
    <t>K02760</t>
  </si>
  <si>
    <t>Paweł Widelski</t>
  </si>
  <si>
    <t>PL-2012-086770</t>
  </si>
  <si>
    <t>PL-2011-088041</t>
  </si>
  <si>
    <t>K02059</t>
  </si>
  <si>
    <t>Leszek Stachowiak</t>
  </si>
  <si>
    <t>Lumber Crayons</t>
  </si>
  <si>
    <t>PL-2013-090937</t>
  </si>
  <si>
    <t>K01584</t>
  </si>
  <si>
    <t>Mirosław Michalski</t>
  </si>
  <si>
    <t>Pilchowice</t>
  </si>
  <si>
    <t>44-145</t>
  </si>
  <si>
    <t>PL-2014-086245</t>
  </si>
  <si>
    <t>K03273</t>
  </si>
  <si>
    <t>Małgorzata Stańczyk</t>
  </si>
  <si>
    <t>Bojszowy</t>
  </si>
  <si>
    <t>Ultra Door Push Plate</t>
  </si>
  <si>
    <t>PL-2014-089834</t>
  </si>
  <si>
    <t>PL-2011-089818</t>
  </si>
  <si>
    <t>PL-2014-089827</t>
  </si>
  <si>
    <t>PL-2014-086897</t>
  </si>
  <si>
    <t>PL-2012-091339</t>
  </si>
  <si>
    <t>K00642</t>
  </si>
  <si>
    <t>Małgorzata Giwer</t>
  </si>
  <si>
    <t>Staples Paper Clips</t>
  </si>
  <si>
    <t>PL-2013-086581</t>
  </si>
  <si>
    <t>K01141</t>
  </si>
  <si>
    <t>Paweł Florkowski</t>
  </si>
  <si>
    <t>Opole Lubelskie</t>
  </si>
  <si>
    <t>24-300</t>
  </si>
  <si>
    <t>PL-2014-087233</t>
  </si>
  <si>
    <t>PL-2012-087229</t>
  </si>
  <si>
    <t>PL-2014-090277</t>
  </si>
  <si>
    <t>PL-2012-089483</t>
  </si>
  <si>
    <t>PL-2014-089866</t>
  </si>
  <si>
    <t>PL-2014-087782</t>
  </si>
  <si>
    <t>PL-2014-086324</t>
  </si>
  <si>
    <t>PL-2013-089337</t>
  </si>
  <si>
    <t>K02039</t>
  </si>
  <si>
    <t>Mirosław Hojko</t>
  </si>
  <si>
    <t>Młynarze</t>
  </si>
  <si>
    <t>06-231</t>
  </si>
  <si>
    <t>PL-2013-091334</t>
  </si>
  <si>
    <t>PL-2014-087756</t>
  </si>
  <si>
    <t>Eureka The Boss® Plus 12-Amp Hard Box Upright Vacuum, Red</t>
  </si>
  <si>
    <t>PL-2011-087749</t>
  </si>
  <si>
    <t>PL-2013-088237</t>
  </si>
  <si>
    <t>PL-2012-090131</t>
  </si>
  <si>
    <t>K01093</t>
  </si>
  <si>
    <t>Piotr Gutowski</t>
  </si>
  <si>
    <t>PL-2013-090920</t>
  </si>
  <si>
    <t>PL-2011-086311</t>
  </si>
  <si>
    <t>K00594</t>
  </si>
  <si>
    <t>Stanisław Frejmut</t>
  </si>
  <si>
    <t>Dąbrowa Białostocka</t>
  </si>
  <si>
    <t>16-200</t>
  </si>
  <si>
    <t>PL-2013-091346</t>
  </si>
  <si>
    <t>K01148</t>
  </si>
  <si>
    <t>Kazimierz Staszków</t>
  </si>
  <si>
    <t>Ciężkowice</t>
  </si>
  <si>
    <t>33-190</t>
  </si>
  <si>
    <t>PL-2012-085952</t>
  </si>
  <si>
    <t>PL-2014-086562</t>
  </si>
  <si>
    <t>PL-2014-087951</t>
  </si>
  <si>
    <t>PL-2012-090935</t>
  </si>
  <si>
    <t>K01583</t>
  </si>
  <si>
    <t>Artur Pawlik</t>
  </si>
  <si>
    <t>Zaklików</t>
  </si>
  <si>
    <t>37-470</t>
  </si>
  <si>
    <t>K01581</t>
  </si>
  <si>
    <t>Andrzej Kowalski</t>
  </si>
  <si>
    <t>Tenex Antistatic Computer Chair Mats</t>
  </si>
  <si>
    <t>PL-2013-087761</t>
  </si>
  <si>
    <t>PL-2014-086587</t>
  </si>
  <si>
    <t>PL-2013-087217</t>
  </si>
  <si>
    <t>PL-2012-086702</t>
  </si>
  <si>
    <t>PL-2014-091069</t>
  </si>
  <si>
    <t>K00490</t>
  </si>
  <si>
    <t>Janusz Różański</t>
  </si>
  <si>
    <t>PL-2014-088429</t>
  </si>
  <si>
    <t>PL-2014-088720</t>
  </si>
  <si>
    <t>K02463</t>
  </si>
  <si>
    <t>Iwona Macek</t>
  </si>
  <si>
    <t>Xerox 1974</t>
  </si>
  <si>
    <t>PL-2014-089652</t>
  </si>
  <si>
    <t>Fellowes Mobile File Cart, Black</t>
  </si>
  <si>
    <t>PL-2011-089193</t>
  </si>
  <si>
    <t>PL-2012-086045</t>
  </si>
  <si>
    <t>PL-2014-088869</t>
  </si>
  <si>
    <t>K01962</t>
  </si>
  <si>
    <t>Paweł Kogut</t>
  </si>
  <si>
    <t>Pilzno</t>
  </si>
  <si>
    <t>39-220</t>
  </si>
  <si>
    <t>PL-2011-088857</t>
  </si>
  <si>
    <t>Xerox 1986</t>
  </si>
  <si>
    <t>PL-2012-087045</t>
  </si>
  <si>
    <t>PL-2013-091248</t>
  </si>
  <si>
    <t>K01339</t>
  </si>
  <si>
    <t>Małgorzata Głowacka</t>
  </si>
  <si>
    <t>Adamówka</t>
  </si>
  <si>
    <t>37-534</t>
  </si>
  <si>
    <t>PL-2011-088702</t>
  </si>
  <si>
    <t>K02715</t>
  </si>
  <si>
    <t>Janusz Grudnik</t>
  </si>
  <si>
    <t>Lubań</t>
  </si>
  <si>
    <t>59-800</t>
  </si>
  <si>
    <t>PL-2014-088925</t>
  </si>
  <si>
    <t>K00197</t>
  </si>
  <si>
    <t>Tomasz Szulc</t>
  </si>
  <si>
    <t>44-193</t>
  </si>
  <si>
    <t>PL-2011-087757</t>
  </si>
  <si>
    <t>PL-2012-087138</t>
  </si>
  <si>
    <t>PL-2013-088110</t>
  </si>
  <si>
    <t>PL-2014-086048</t>
  </si>
  <si>
    <t>R280</t>
  </si>
  <si>
    <t>PL-2011-088348</t>
  </si>
  <si>
    <t>Fellowes Superior 10 Outlet Split Surge Protector</t>
  </si>
  <si>
    <t>PL-2013-087627</t>
  </si>
  <si>
    <t>PL-2013-091352</t>
  </si>
  <si>
    <t>K01811</t>
  </si>
  <si>
    <t>Elżbieta Zielińska</t>
  </si>
  <si>
    <t>Stary Targ</t>
  </si>
  <si>
    <t>82-410</t>
  </si>
  <si>
    <t>MicroTAC 650</t>
  </si>
  <si>
    <t>PL-2013-088549</t>
  </si>
  <si>
    <t>PL-2011-087161</t>
  </si>
  <si>
    <t>PL-2014-086304</t>
  </si>
  <si>
    <t>K00263</t>
  </si>
  <si>
    <t>Izabela Wilke</t>
  </si>
  <si>
    <t>Sława</t>
  </si>
  <si>
    <t>67-410</t>
  </si>
  <si>
    <t>Ibico EPK-21 Electric Binding System</t>
  </si>
  <si>
    <t>PL-2011-087077</t>
  </si>
  <si>
    <t>PL-2012-086797</t>
  </si>
  <si>
    <t>Avery 507</t>
  </si>
  <si>
    <t>PL-2013-086495</t>
  </si>
  <si>
    <t>PL-2013-090953</t>
  </si>
  <si>
    <t>K02637</t>
  </si>
  <si>
    <t>Artur Szalczyk</t>
  </si>
  <si>
    <t>Dobre Miasto</t>
  </si>
  <si>
    <t>11-040</t>
  </si>
  <si>
    <t>PL-2013-088991</t>
  </si>
  <si>
    <t>PL-2014-086255</t>
  </si>
  <si>
    <t>PL-2011-090469</t>
  </si>
  <si>
    <t>K00627</t>
  </si>
  <si>
    <t>Elżbieta Rębecka</t>
  </si>
  <si>
    <t>PL-2011-086792</t>
  </si>
  <si>
    <t>K03133</t>
  </si>
  <si>
    <t>Ewelina Sikorska</t>
  </si>
  <si>
    <t>Giżycko</t>
  </si>
  <si>
    <t>PL-2011-090003</t>
  </si>
  <si>
    <t>Sanford Pocket Accent® Highlighters</t>
  </si>
  <si>
    <t>PL-2011-086753</t>
  </si>
  <si>
    <t>PL-2012-088350</t>
  </si>
  <si>
    <t>PL-2012-089887</t>
  </si>
  <si>
    <t>PL-2014-087803</t>
  </si>
  <si>
    <t>PL-2013-088335</t>
  </si>
  <si>
    <t>K03245</t>
  </si>
  <si>
    <t>Tomasz Szafran</t>
  </si>
  <si>
    <t>PL-2014-091150</t>
  </si>
  <si>
    <t>PL-2014-090874</t>
  </si>
  <si>
    <t>PL-2012-091278</t>
  </si>
  <si>
    <t>Fellowes Mighty 8 Compact Surge Protector</t>
  </si>
  <si>
    <t>PL-2011-088548</t>
  </si>
  <si>
    <t>PL-2014-087577</t>
  </si>
  <si>
    <t>PL-2012-088843</t>
  </si>
  <si>
    <t>PL-2012-091351</t>
  </si>
  <si>
    <t>K01809</t>
  </si>
  <si>
    <t>Agnieszka Ciesiecka</t>
  </si>
  <si>
    <t>PL-2013-087319</t>
  </si>
  <si>
    <t>PL-2011-087700</t>
  </si>
  <si>
    <t>K00421</t>
  </si>
  <si>
    <t>Roman Soroczyński</t>
  </si>
  <si>
    <t>Wągrowiec</t>
  </si>
  <si>
    <t>62-100</t>
  </si>
  <si>
    <t>PL-2014-091035</t>
  </si>
  <si>
    <t>Hoover® Commercial Lightweight Upright Vacuum</t>
  </si>
  <si>
    <t>PL-2014-086149</t>
  </si>
  <si>
    <t>PL-2011-090524</t>
  </si>
  <si>
    <t>PL-2014-088484</t>
  </si>
  <si>
    <t>PL-2012-087982</t>
  </si>
  <si>
    <t>K00712</t>
  </si>
  <si>
    <t>Stanisław Kudyba</t>
  </si>
  <si>
    <t>Skrwilno</t>
  </si>
  <si>
    <t>87-510</t>
  </si>
  <si>
    <t>K00713</t>
  </si>
  <si>
    <t>Adrian Szczechowski</t>
  </si>
  <si>
    <t>PL-2012-088412</t>
  </si>
  <si>
    <t>PL-2013-091266</t>
  </si>
  <si>
    <t>PL-2013-086403</t>
  </si>
  <si>
    <t>PL-2014-091358</t>
  </si>
  <si>
    <t>K01061</t>
  </si>
  <si>
    <t>Damian Błażejewski</t>
  </si>
  <si>
    <t>Warnice</t>
  </si>
  <si>
    <t>74-201</t>
  </si>
  <si>
    <t>K01063</t>
  </si>
  <si>
    <t>Dariusz Jagiełło</t>
  </si>
  <si>
    <t>PL-2013-091364</t>
  </si>
  <si>
    <t>K01482</t>
  </si>
  <si>
    <t>Grzegorz Grochecki</t>
  </si>
  <si>
    <t>PL-2014-086650</t>
  </si>
  <si>
    <t>PL-2014-089878</t>
  </si>
  <si>
    <t>Letter or Legal Size Expandable Poly String Tie Envelopes</t>
  </si>
  <si>
    <t>PL-2011-091365</t>
  </si>
  <si>
    <t>K00648</t>
  </si>
  <si>
    <t>Wiktor Kwaśniewski</t>
  </si>
  <si>
    <t>Krynica-Zdrój</t>
  </si>
  <si>
    <t>33-383</t>
  </si>
  <si>
    <t>PL-2011-090859</t>
  </si>
  <si>
    <t>PL-2011-090415</t>
  </si>
  <si>
    <t>Bush Advantage Collection® Racetrack Conference Table</t>
  </si>
  <si>
    <t>PL-2013-090035</t>
  </si>
  <si>
    <t>PL-2014-087040</t>
  </si>
  <si>
    <t>K02517</t>
  </si>
  <si>
    <t>Jerzy Kołakowski</t>
  </si>
  <si>
    <t>Goworowo</t>
  </si>
  <si>
    <t>07-440</t>
  </si>
  <si>
    <t>K02513</t>
  </si>
  <si>
    <t>Anna Britzen</t>
  </si>
  <si>
    <t>Mieleszyn</t>
  </si>
  <si>
    <t>62-212</t>
  </si>
  <si>
    <t>PL-2011-089524</t>
  </si>
  <si>
    <t>PL-2011-089873</t>
  </si>
  <si>
    <t>PL-2014-088277</t>
  </si>
  <si>
    <t>K02359</t>
  </si>
  <si>
    <t>Claudia Rubanowicz</t>
  </si>
  <si>
    <t>Olesno</t>
  </si>
  <si>
    <t>46-300</t>
  </si>
  <si>
    <t>Xerox 1961</t>
  </si>
  <si>
    <t>PL-2011-089730</t>
  </si>
  <si>
    <t>PL-2011-088265</t>
  </si>
  <si>
    <t>PL-2012-088540</t>
  </si>
  <si>
    <t>K02209</t>
  </si>
  <si>
    <t>Ryszard Smagieł</t>
  </si>
  <si>
    <t>Platerów</t>
  </si>
  <si>
    <t>08-210</t>
  </si>
  <si>
    <t>PL-2011-090192</t>
  </si>
  <si>
    <t>K00011</t>
  </si>
  <si>
    <t>Marek Reinholz</t>
  </si>
  <si>
    <t>PL-2012-091372</t>
  </si>
  <si>
    <t>K01910</t>
  </si>
  <si>
    <t>Andrzej Salwowski</t>
  </si>
  <si>
    <t>PL-2013-086807</t>
  </si>
  <si>
    <t>PL-2012-091181</t>
  </si>
  <si>
    <t>K02988</t>
  </si>
  <si>
    <t>Marcin Makowiecki</t>
  </si>
  <si>
    <t>Lisia Góra</t>
  </si>
  <si>
    <t>33-140</t>
  </si>
  <si>
    <t>PL-2014-089567</t>
  </si>
  <si>
    <t>Adams Telephone Message Book w/Frequently-Called Numbers Space, 400 Messages per Book</t>
  </si>
  <si>
    <t>PL-2014-089933</t>
  </si>
  <si>
    <t>K03345</t>
  </si>
  <si>
    <t>Irena Kucal</t>
  </si>
  <si>
    <t>PL-2014-088674</t>
  </si>
  <si>
    <t>PL-2012-085971</t>
  </si>
  <si>
    <t>White Business Envelopes with Contemporary Seam, Recycled White Business Envelopes</t>
  </si>
  <si>
    <t>PL-2011-087603</t>
  </si>
  <si>
    <t>PL-2013-090088</t>
  </si>
  <si>
    <t>PL-2012-090329</t>
  </si>
  <si>
    <t>PL-2012-088912</t>
  </si>
  <si>
    <t>PL-2014-089233</t>
  </si>
  <si>
    <t>PL-2013-086140</t>
  </si>
  <si>
    <t>PL-2013-015714</t>
  </si>
  <si>
    <t>PL-2013-086943</t>
  </si>
  <si>
    <t>Laser &amp; Ink Jet Business Envelopes</t>
  </si>
  <si>
    <t>K02019</t>
  </si>
  <si>
    <t>Roman Giłka</t>
  </si>
  <si>
    <t>60-685</t>
  </si>
  <si>
    <t>PL-2014-086133</t>
  </si>
  <si>
    <t>PL-2011-091235</t>
  </si>
  <si>
    <t>PL-2013-088536</t>
  </si>
  <si>
    <t>K00139</t>
  </si>
  <si>
    <t>Anna Lenartowicz</t>
  </si>
  <si>
    <t>Kornowac</t>
  </si>
  <si>
    <t>44-285</t>
  </si>
  <si>
    <t>PL-2014-086199</t>
  </si>
  <si>
    <t>PL-2012-087775</t>
  </si>
  <si>
    <t>Eldon Expressions™ Desk Accessory, Wood Photo Frame, Mahogany</t>
  </si>
  <si>
    <t>PL-2013-088009</t>
  </si>
  <si>
    <t>PL-2013-087309</t>
  </si>
  <si>
    <t>PL-2014-090269</t>
  </si>
  <si>
    <t>PL-2012-090797</t>
  </si>
  <si>
    <t>PL-2012-089241</t>
  </si>
  <si>
    <t>Hunt Boston® Vacuum Mount KS Pencil Sharpener</t>
  </si>
  <si>
    <t>PL-2013-089195</t>
  </si>
  <si>
    <t>K01503</t>
  </si>
  <si>
    <t>Jacek Mazurowski</t>
  </si>
  <si>
    <t>PL-2014-088681</t>
  </si>
  <si>
    <t>K00666</t>
  </si>
  <si>
    <t>Leokadia Janczewska</t>
  </si>
  <si>
    <t>PL-2013-087218</t>
  </si>
  <si>
    <t>PL-2013-089793</t>
  </si>
  <si>
    <t>K03050</t>
  </si>
  <si>
    <t>Władysław Pastuszek</t>
  </si>
  <si>
    <t>PL-2013-091375</t>
  </si>
  <si>
    <t>K02675</t>
  </si>
  <si>
    <t>Rafał Głąb</t>
  </si>
  <si>
    <t>PL-2014-086099</t>
  </si>
  <si>
    <t>PL-2014-091381</t>
  </si>
  <si>
    <t>K03066</t>
  </si>
  <si>
    <t>Krzysztof Maciaszek</t>
  </si>
  <si>
    <t>Zduńska Wola</t>
  </si>
  <si>
    <t>98-220</t>
  </si>
  <si>
    <t>PL-2014-089607</t>
  </si>
  <si>
    <t>PL-2011-090385</t>
  </si>
  <si>
    <t>PL-2012-086850</t>
  </si>
  <si>
    <t>K01855</t>
  </si>
  <si>
    <t>Piotr Mowczan</t>
  </si>
  <si>
    <t>PL-2013-090209</t>
  </si>
  <si>
    <t>K00984</t>
  </si>
  <si>
    <t>Łukasz Szendryk</t>
  </si>
  <si>
    <t>Brzeg</t>
  </si>
  <si>
    <t>49-305</t>
  </si>
  <si>
    <t>PL-2013-089782</t>
  </si>
  <si>
    <t>PL-2014-088968</t>
  </si>
  <si>
    <t>PL-2012-088776</t>
  </si>
  <si>
    <t>PL-2012-088841</t>
  </si>
  <si>
    <t>Xerox 1896</t>
  </si>
  <si>
    <t>PL-2013-088531</t>
  </si>
  <si>
    <t>K00227</t>
  </si>
  <si>
    <t>Mariusz Staszewski</t>
  </si>
  <si>
    <t>Tomaszów Mazowiecki</t>
  </si>
  <si>
    <t>97-200</t>
  </si>
  <si>
    <t>K00225</t>
  </si>
  <si>
    <t>Anna Potęga</t>
  </si>
  <si>
    <t>Wiśniew</t>
  </si>
  <si>
    <t>08-112</t>
  </si>
  <si>
    <t>PL-2011-090977</t>
  </si>
  <si>
    <t>PL-2011-089515</t>
  </si>
  <si>
    <t>PL-2012-086251</t>
  </si>
  <si>
    <t>K00547</t>
  </si>
  <si>
    <t>Michał Terefenko</t>
  </si>
  <si>
    <t>PL-2011-088826</t>
  </si>
  <si>
    <t>PL-2014-088835</t>
  </si>
  <si>
    <t>PL-2014-091383</t>
  </si>
  <si>
    <t>K00877</t>
  </si>
  <si>
    <t>Jerzy Wierzbicki</t>
  </si>
  <si>
    <t>Borów</t>
  </si>
  <si>
    <t>PL-2011-085928</t>
  </si>
  <si>
    <t>PL-2014-087826</t>
  </si>
  <si>
    <t>K01609</t>
  </si>
  <si>
    <t>Mariola Jastrzębska</t>
  </si>
  <si>
    <t>Włocławek</t>
  </si>
  <si>
    <t>87-800</t>
  </si>
  <si>
    <t>PL-2012-087559</t>
  </si>
  <si>
    <t>PL-2013-086978</t>
  </si>
  <si>
    <t>PL-2013-087351</t>
  </si>
  <si>
    <t>K00360</t>
  </si>
  <si>
    <t>Dorota Łachmanowicz</t>
  </si>
  <si>
    <t>65-775</t>
  </si>
  <si>
    <t>PL-2011-089394</t>
  </si>
  <si>
    <t>Memo Book, 100 Message Capacity, 5 3/8” x 11”</t>
  </si>
  <si>
    <t>PL-2014-089749</t>
  </si>
  <si>
    <t>Avery File Folder Labels</t>
  </si>
  <si>
    <t>PL-2013-087729</t>
  </si>
  <si>
    <t>PL-2013-090198</t>
  </si>
  <si>
    <t>K00007</t>
  </si>
  <si>
    <t>Katarzyna Tokarz</t>
  </si>
  <si>
    <t>Solec Kujawski</t>
  </si>
  <si>
    <t>86-050</t>
  </si>
  <si>
    <t>Xerox 1933</t>
  </si>
  <si>
    <t>PL-2013-089546</t>
  </si>
  <si>
    <t>PL-2014-090165</t>
  </si>
  <si>
    <t>PL-2013-086168</t>
  </si>
  <si>
    <t>PL-2014-091242</t>
  </si>
  <si>
    <t>PL-2012-090045</t>
  </si>
  <si>
    <t>K01006</t>
  </si>
  <si>
    <t>Zygmunt Kijowski</t>
  </si>
  <si>
    <t>PL-2012-086358</t>
  </si>
  <si>
    <t>PL-2013-087200</t>
  </si>
  <si>
    <t>PL-2012-091101</t>
  </si>
  <si>
    <t>PL-2012-089790</t>
  </si>
  <si>
    <t>K03048</t>
  </si>
  <si>
    <t>Jan Lewicki</t>
  </si>
  <si>
    <t>PL-2013-090810</t>
  </si>
  <si>
    <t>PL-2013-090758</t>
  </si>
  <si>
    <t>K03283</t>
  </si>
  <si>
    <t>Danuta Topa</t>
  </si>
  <si>
    <t>Koczała</t>
  </si>
  <si>
    <t>77-220</t>
  </si>
  <si>
    <t>PL-2012-091387</t>
  </si>
  <si>
    <t>K02647</t>
  </si>
  <si>
    <t>Krzysztof Lewandowski</t>
  </si>
  <si>
    <t>PL-2012-086017</t>
  </si>
  <si>
    <t>PL-2012-090249</t>
  </si>
  <si>
    <t>K01619</t>
  </si>
  <si>
    <t>Julita Żugaj</t>
  </si>
  <si>
    <t>Żyrzyn</t>
  </si>
  <si>
    <t>24-103</t>
  </si>
  <si>
    <t>PL-2014-090660</t>
  </si>
  <si>
    <t>K01730</t>
  </si>
  <si>
    <t>Piotr Turowski</t>
  </si>
  <si>
    <t>Hańsk</t>
  </si>
  <si>
    <t>22-235</t>
  </si>
  <si>
    <t>PL-2012-088559</t>
  </si>
  <si>
    <t>K02069</t>
  </si>
  <si>
    <t>Natalia Olejniczak</t>
  </si>
  <si>
    <t>Nowe Piekuty</t>
  </si>
  <si>
    <t>18-212</t>
  </si>
  <si>
    <t>PL-2013-088286</t>
  </si>
  <si>
    <t>K02860</t>
  </si>
  <si>
    <t>Bożena Dorywalska</t>
  </si>
  <si>
    <t>Kocmyrzów-Luborzyca</t>
  </si>
  <si>
    <t>32-010</t>
  </si>
  <si>
    <t>GBC DocuBind TL200 Manual Binding Machine</t>
  </si>
  <si>
    <t>PL-2014-089979</t>
  </si>
  <si>
    <t>K02225</t>
  </si>
  <si>
    <t>Zdzisław Ejsmont</t>
  </si>
  <si>
    <t>PL-2013-088916</t>
  </si>
  <si>
    <t>PL-2012-089612</t>
  </si>
  <si>
    <t>PL-2012-088257</t>
  </si>
  <si>
    <t>K01788</t>
  </si>
  <si>
    <t>Robert Galicki</t>
  </si>
  <si>
    <t>Przywidz</t>
  </si>
  <si>
    <t>83-047</t>
  </si>
  <si>
    <t>PL-2013-088661</t>
  </si>
  <si>
    <t>K02549</t>
  </si>
  <si>
    <t>Tomasz Blutka</t>
  </si>
  <si>
    <t>Osiecznica</t>
  </si>
  <si>
    <t>59-724</t>
  </si>
  <si>
    <t>PL-2011-088554</t>
  </si>
  <si>
    <t>PL-2011-090079</t>
  </si>
  <si>
    <t>PL-2014-086446</t>
  </si>
  <si>
    <t>PL-2012-087236</t>
  </si>
  <si>
    <t>PL-2013-089802</t>
  </si>
  <si>
    <t>K02838</t>
  </si>
  <si>
    <t>Henryk Domaradzki</t>
  </si>
  <si>
    <t>PL-2013-090051</t>
  </si>
  <si>
    <t>PL-2013-091394</t>
  </si>
  <si>
    <t>K03005</t>
  </si>
  <si>
    <t>Krzysztof Jabłoński</t>
  </si>
  <si>
    <t>Goszczanów</t>
  </si>
  <si>
    <t>98-215</t>
  </si>
  <si>
    <t>PL-2012-086757</t>
  </si>
  <si>
    <t>K02419</t>
  </si>
  <si>
    <t>Tadeusz Meszczyk</t>
  </si>
  <si>
    <t>Brzesko</t>
  </si>
  <si>
    <t>32-800</t>
  </si>
  <si>
    <t>PL-2012-091399</t>
  </si>
  <si>
    <t>K02951</t>
  </si>
  <si>
    <t>Lech Antkowiak</t>
  </si>
  <si>
    <t>Liw</t>
  </si>
  <si>
    <t>07-100</t>
  </si>
  <si>
    <t>PL-2012-090826</t>
  </si>
  <si>
    <t>PL-2013-086624</t>
  </si>
  <si>
    <t>PL-2014-086378</t>
  </si>
  <si>
    <t>PL-2013-088853</t>
  </si>
  <si>
    <t>K01530</t>
  </si>
  <si>
    <t>Kazimierz Fafuła</t>
  </si>
  <si>
    <t>PL-2011-087029</t>
  </si>
  <si>
    <t>K02509</t>
  </si>
  <si>
    <t>Piotr Barycki</t>
  </si>
  <si>
    <t>PL-2014-088542</t>
  </si>
  <si>
    <t>K00531</t>
  </si>
  <si>
    <t>Krystyna Kosak</t>
  </si>
  <si>
    <t>PL-2014-086784</t>
  </si>
  <si>
    <t>PL-2012-086769</t>
  </si>
  <si>
    <t>PL-2012-086271</t>
  </si>
  <si>
    <t>SAFCO Optional Arm Kit for Workspace® Cribbage Stacking Chair</t>
  </si>
  <si>
    <t>K00255</t>
  </si>
  <si>
    <t>Alicja Radlińska</t>
  </si>
  <si>
    <t>PL-2014-089393</t>
  </si>
  <si>
    <t>K01050</t>
  </si>
  <si>
    <t>Monika Dzwonnik</t>
  </si>
  <si>
    <t>K01048</t>
  </si>
  <si>
    <t>Bożena Hołda</t>
  </si>
  <si>
    <t>PL-2011-089680</t>
  </si>
  <si>
    <t>PL-2013-091340</t>
  </si>
  <si>
    <t>PL-2014-090214</t>
  </si>
  <si>
    <t>PL-2012-090204</t>
  </si>
  <si>
    <t>PL-2012-090453</t>
  </si>
  <si>
    <t>PL-2014-090458</t>
  </si>
  <si>
    <t>PL-2013-087113</t>
  </si>
  <si>
    <t>K01069</t>
  </si>
  <si>
    <t>Grzegorz Senderek</t>
  </si>
  <si>
    <t>PL-2011-087965</t>
  </si>
  <si>
    <t>K02257</t>
  </si>
  <si>
    <t>Andrzej Nożykowski</t>
  </si>
  <si>
    <t>Jaworzno</t>
  </si>
  <si>
    <t>43-603</t>
  </si>
  <si>
    <t>PL-2012-086301</t>
  </si>
  <si>
    <t>PL-2012-085845</t>
  </si>
  <si>
    <t>PL-2014-090247</t>
  </si>
  <si>
    <t>PL-2011-090244</t>
  </si>
  <si>
    <t>PL-2014-090263</t>
  </si>
  <si>
    <t>PL-2014-087458</t>
  </si>
  <si>
    <t>K02531</t>
  </si>
  <si>
    <t>Edward Ostrysz</t>
  </si>
  <si>
    <t>PL-2011-089077</t>
  </si>
  <si>
    <t>K01442</t>
  </si>
  <si>
    <t>Anna Chmielewska</t>
  </si>
  <si>
    <t>Cieszyn</t>
  </si>
  <si>
    <t>43-400</t>
  </si>
  <si>
    <t>PL-2011-091043</t>
  </si>
  <si>
    <t>K01648</t>
  </si>
  <si>
    <t>Marek Karnicki</t>
  </si>
  <si>
    <t>Miłoradz</t>
  </si>
  <si>
    <t>PL-2011-090361</t>
  </si>
  <si>
    <t>K00738</t>
  </si>
  <si>
    <t>Danuta Kowalska</t>
  </si>
  <si>
    <t>Sztabin</t>
  </si>
  <si>
    <t>16-310</t>
  </si>
  <si>
    <t>K00736</t>
  </si>
  <si>
    <t>Beata Hibner</t>
  </si>
  <si>
    <t>K00741</t>
  </si>
  <si>
    <t>Dariusz Kujszczyk</t>
  </si>
  <si>
    <t>Wierzchowo</t>
  </si>
  <si>
    <t>78-411</t>
  </si>
  <si>
    <t>PL-2014-087547</t>
  </si>
  <si>
    <t>PL-2014-089412</t>
  </si>
  <si>
    <t>PL-2014-087341</t>
  </si>
  <si>
    <t>Avery Hole Reinforcements</t>
  </si>
  <si>
    <t>PL-2011-090120</t>
  </si>
  <si>
    <t>PL-2014-088864</t>
  </si>
  <si>
    <t>PL-2014-089577</t>
  </si>
  <si>
    <t>PL-2011-087356</t>
  </si>
  <si>
    <t>PL-2011-090710</t>
  </si>
  <si>
    <t>K01036</t>
  </si>
  <si>
    <t>Marek Sosnowski</t>
  </si>
  <si>
    <t>PL-2011-090820</t>
  </si>
  <si>
    <t>PL-2012-089329</t>
  </si>
  <si>
    <t>PL-2012-087104</t>
  </si>
  <si>
    <t>PL-2011-090078</t>
  </si>
  <si>
    <t>K02132</t>
  </si>
  <si>
    <t>Andrzej Sokalski</t>
  </si>
  <si>
    <t>Strzelce</t>
  </si>
  <si>
    <t>99-307</t>
  </si>
  <si>
    <t>PL-2014-090089</t>
  </si>
  <si>
    <t>PL-2011-088879</t>
  </si>
  <si>
    <t>PL-2014-089339</t>
  </si>
  <si>
    <t>PL-2012-088244</t>
  </si>
  <si>
    <t>PL-2013-086582</t>
  </si>
  <si>
    <t>PL-2011-090491</t>
  </si>
  <si>
    <t>K00920</t>
  </si>
  <si>
    <t>Mariusz Giżycki</t>
  </si>
  <si>
    <t>PL-2014-090582</t>
  </si>
  <si>
    <t>PL-2012-090580</t>
  </si>
  <si>
    <t>PL-2014-086684</t>
  </si>
  <si>
    <t>PL-2011-090386</t>
  </si>
  <si>
    <t>PL-2014-091406</t>
  </si>
  <si>
    <t>K00631</t>
  </si>
  <si>
    <t>Sławomir Szewczyk</t>
  </si>
  <si>
    <t>PL-2011-091408</t>
  </si>
  <si>
    <t>K02704</t>
  </si>
  <si>
    <t>Dorota Oyedemi</t>
  </si>
  <si>
    <t>Kuźnia Raciborska</t>
  </si>
  <si>
    <t>47-420</t>
  </si>
  <si>
    <t>PL-2014-090351</t>
  </si>
  <si>
    <t>K00388</t>
  </si>
  <si>
    <t>Bożena Gromek</t>
  </si>
  <si>
    <t>Solec nad Wisłą</t>
  </si>
  <si>
    <t>27-320</t>
  </si>
  <si>
    <t>PL-2011-085914</t>
  </si>
  <si>
    <t>PL-2014-087876</t>
  </si>
  <si>
    <t>PL-2014-086552</t>
  </si>
  <si>
    <t>PL-2012-087490</t>
  </si>
  <si>
    <t>PL-2011-090714</t>
  </si>
  <si>
    <t>PL-2012-086215</t>
  </si>
  <si>
    <t>PL-2014-088741</t>
  </si>
  <si>
    <t>PL-2011-086556</t>
  </si>
  <si>
    <t>K00573</t>
  </si>
  <si>
    <t>Jolanta Pawlus</t>
  </si>
  <si>
    <t>Jutrosin</t>
  </si>
  <si>
    <t>63-930</t>
  </si>
  <si>
    <t>PL-2012-089335</t>
  </si>
  <si>
    <t>PL-2012-091230</t>
  </si>
  <si>
    <t>K01287</t>
  </si>
  <si>
    <t>Kazimierz Wypart</t>
  </si>
  <si>
    <t>K01285</t>
  </si>
  <si>
    <t>Marzena Opalińska</t>
  </si>
  <si>
    <t>PL-2012-090989</t>
  </si>
  <si>
    <t>PL-2014-088058</t>
  </si>
  <si>
    <t>PL-2013-088583</t>
  </si>
  <si>
    <t>PL-2013-091202</t>
  </si>
  <si>
    <t>PL-2013-091148</t>
  </si>
  <si>
    <t>PL-2014-087310</t>
  </si>
  <si>
    <t>K00096</t>
  </si>
  <si>
    <t>Krzysztof Dziadul</t>
  </si>
  <si>
    <t>Brześć Kujawski</t>
  </si>
  <si>
    <t>87-880</t>
  </si>
  <si>
    <t>PL-2011-086725</t>
  </si>
  <si>
    <t>K01671</t>
  </si>
  <si>
    <t>Halina Sztreja</t>
  </si>
  <si>
    <t>Somonino</t>
  </si>
  <si>
    <t>83-314</t>
  </si>
  <si>
    <t>PL-2014-088082</t>
  </si>
  <si>
    <t>PL-2011-086902</t>
  </si>
  <si>
    <t>PL-2013-085840</t>
  </si>
  <si>
    <t>K02066</t>
  </si>
  <si>
    <t>Zbigniew Wróblewski</t>
  </si>
  <si>
    <t>PL-2013-085920</t>
  </si>
  <si>
    <t>PL-2012-088436</t>
  </si>
  <si>
    <t>PL-2011-091144</t>
  </si>
  <si>
    <t>PL-2013-088255</t>
  </si>
  <si>
    <t>PL-2014-089400</t>
  </si>
  <si>
    <t>PL-2011-089334</t>
  </si>
  <si>
    <t>K02038</t>
  </si>
  <si>
    <t>Ilona Skupińska</t>
  </si>
  <si>
    <t>PL-2013-086024</t>
  </si>
  <si>
    <t>PL-2014-087926</t>
  </si>
  <si>
    <t>PL-2013-090050</t>
  </si>
  <si>
    <t>K00803</t>
  </si>
  <si>
    <t>Józef Januszewski</t>
  </si>
  <si>
    <t>Dziadkowice</t>
  </si>
  <si>
    <t>17-306</t>
  </si>
  <si>
    <t>PL-2014-088982</t>
  </si>
  <si>
    <t>PL-2012-090410</t>
  </si>
  <si>
    <t>PL-2011-091414</t>
  </si>
  <si>
    <t>K02486</t>
  </si>
  <si>
    <t>Patryk Palęga</t>
  </si>
  <si>
    <t>Kuryłówka</t>
  </si>
  <si>
    <t>37-303</t>
  </si>
  <si>
    <t>PL-2013-089186</t>
  </si>
  <si>
    <t>PL-2014-089069</t>
  </si>
  <si>
    <t>PL-2012-086138</t>
  </si>
  <si>
    <t>K02916</t>
  </si>
  <si>
    <t>Urszula Gągoł</t>
  </si>
  <si>
    <t>Czarna Białostocka</t>
  </si>
  <si>
    <t>16-020</t>
  </si>
  <si>
    <t>PL-2013-089641</t>
  </si>
  <si>
    <t>PL-2013-090330</t>
  </si>
  <si>
    <t>K02569</t>
  </si>
  <si>
    <t>Marian Kruszewski</t>
  </si>
  <si>
    <t>Pruchnik</t>
  </si>
  <si>
    <t>37-560</t>
  </si>
  <si>
    <t>PL-2012-090494</t>
  </si>
  <si>
    <t>PL-2014-089153</t>
  </si>
  <si>
    <t>PL-2012-088601</t>
  </si>
  <si>
    <t>K01212</t>
  </si>
  <si>
    <t>Patryk Benka</t>
  </si>
  <si>
    <t>Aleksandrów Kujawski</t>
  </si>
  <si>
    <t>87-700</t>
  </si>
  <si>
    <t>PL-2011-090239</t>
  </si>
  <si>
    <t>K00234</t>
  </si>
  <si>
    <t>Marlena Laskowska</t>
  </si>
  <si>
    <t>PL-2013-087971</t>
  </si>
  <si>
    <t>Multicolor Computer Printout Paper</t>
  </si>
  <si>
    <t>PL-2014-088923</t>
  </si>
  <si>
    <t>PL-2013-091205</t>
  </si>
  <si>
    <t>K00749</t>
  </si>
  <si>
    <t>Jan Matuszewski</t>
  </si>
  <si>
    <t>Jaświły</t>
  </si>
  <si>
    <t>PL-2014-086643</t>
  </si>
  <si>
    <t>PL-2011-087221</t>
  </si>
  <si>
    <t>K01127</t>
  </si>
  <si>
    <t>Małgorzata Piotrowska</t>
  </si>
  <si>
    <t>Lipka</t>
  </si>
  <si>
    <t>77-420</t>
  </si>
  <si>
    <t>PL-2014-087228</t>
  </si>
  <si>
    <t>PL-2013-090394</t>
  </si>
  <si>
    <t>PL-2014-086972</t>
  </si>
  <si>
    <t>K01575</t>
  </si>
  <si>
    <t>Władysław Sokalski</t>
  </si>
  <si>
    <t>Krasnopol</t>
  </si>
  <si>
    <t>16-503</t>
  </si>
  <si>
    <t>PL-2014-087276</t>
  </si>
  <si>
    <t>PL-2012-091018</t>
  </si>
  <si>
    <t>PL-2013-015907</t>
  </si>
  <si>
    <t>K03196</t>
  </si>
  <si>
    <t>Artur Danilewski</t>
  </si>
  <si>
    <t>26-616</t>
  </si>
  <si>
    <t>PL-2014-090228</t>
  </si>
  <si>
    <t>K02927</t>
  </si>
  <si>
    <t>Jolanta Zielińska</t>
  </si>
  <si>
    <t>PL-2012-091210</t>
  </si>
  <si>
    <t>K01355</t>
  </si>
  <si>
    <t>Agnieszka Gancarz</t>
  </si>
  <si>
    <t>PL-2011-089071</t>
  </si>
  <si>
    <t>PL-2014-088452</t>
  </si>
  <si>
    <t>K03064</t>
  </si>
  <si>
    <t>Dariusz Mikulski</t>
  </si>
  <si>
    <t>PL-2013-090476</t>
  </si>
  <si>
    <t>PL-2013-085911</t>
  </si>
  <si>
    <t>K00816</t>
  </si>
  <si>
    <t>Paweł Przygoda</t>
  </si>
  <si>
    <t>Mokobody</t>
  </si>
  <si>
    <t>08-124</t>
  </si>
  <si>
    <t>PL-2012-090306</t>
  </si>
  <si>
    <t>PL-2014-088740</t>
  </si>
  <si>
    <t>K01401</t>
  </si>
  <si>
    <t>Bartosz Krysztofik</t>
  </si>
  <si>
    <t>PL-2013-089670</t>
  </si>
  <si>
    <t>Epson FX-980 Dot Matrix Printer</t>
  </si>
  <si>
    <t>PL-2014-088288</t>
  </si>
  <si>
    <t>PL-2012-085982</t>
  </si>
  <si>
    <t>K03340</t>
  </si>
  <si>
    <t>Longina Kobus</t>
  </si>
  <si>
    <t>Turośl</t>
  </si>
  <si>
    <t>18-525</t>
  </si>
  <si>
    <t>PL-2014-088456</t>
  </si>
  <si>
    <t>Sterilite Officeware Hinged File Box</t>
  </si>
  <si>
    <t>PL-2013-090046</t>
  </si>
  <si>
    <t>PL-2012-087427</t>
  </si>
  <si>
    <t>PL-2012-088488</t>
  </si>
  <si>
    <t>PL-2011-090819</t>
  </si>
  <si>
    <t>K03177</t>
  </si>
  <si>
    <t>Katarzyna Kolless</t>
  </si>
  <si>
    <t>PL-2013-088949</t>
  </si>
  <si>
    <t>PL-2012-088392</t>
  </si>
  <si>
    <t>PL-2013-086059</t>
  </si>
  <si>
    <t>PL-2012-088759</t>
  </si>
  <si>
    <t>K02792</t>
  </si>
  <si>
    <t>Marian Bielecki</t>
  </si>
  <si>
    <t>PL-2014-087172</t>
  </si>
  <si>
    <t>K02781</t>
  </si>
  <si>
    <t>Stanisław Woźniak</t>
  </si>
  <si>
    <t>Iwaniska</t>
  </si>
  <si>
    <t>27-570</t>
  </si>
  <si>
    <t>PL-2011-087162</t>
  </si>
  <si>
    <t>PL-2014-086039</t>
  </si>
  <si>
    <t>PL-2014-090537</t>
  </si>
  <si>
    <t>PL-2014-089968</t>
  </si>
  <si>
    <t>K00163</t>
  </si>
  <si>
    <t>Elżbieta Tęcza</t>
  </si>
  <si>
    <t>Trzcianka</t>
  </si>
  <si>
    <t>64-316</t>
  </si>
  <si>
    <t>PL-2011-091109</t>
  </si>
  <si>
    <t>PL-2014-088359</t>
  </si>
  <si>
    <t>K02090</t>
  </si>
  <si>
    <t>Leon Rybka</t>
  </si>
  <si>
    <t>Mosina</t>
  </si>
  <si>
    <t>62-050</t>
  </si>
  <si>
    <t>PL-2014-087828</t>
  </si>
  <si>
    <t>PL-2014-089937</t>
  </si>
  <si>
    <t>PL-2013-091422</t>
  </si>
  <si>
    <t>K01772</t>
  </si>
  <si>
    <t>Mieczysława Brzoza</t>
  </si>
  <si>
    <t>Dobrodzień</t>
  </si>
  <si>
    <t>46-380</t>
  </si>
  <si>
    <t>PL-2014-090243</t>
  </si>
  <si>
    <t>PL-2013-087641</t>
  </si>
  <si>
    <t>K02885</t>
  </si>
  <si>
    <t>Małgorzata Kowalczyk</t>
  </si>
  <si>
    <t>Wilga</t>
  </si>
  <si>
    <t>08-470</t>
  </si>
  <si>
    <t>PL-2014-087809</t>
  </si>
  <si>
    <t>K00405</t>
  </si>
  <si>
    <t>Andrzej Szubert</t>
  </si>
  <si>
    <t>K00404</t>
  </si>
  <si>
    <t>Artur Kwiatkowski</t>
  </si>
  <si>
    <t>Maxell 4.7GB DVD-R</t>
  </si>
  <si>
    <t>PL-2014-090648</t>
  </si>
  <si>
    <t>PL-2014-086572</t>
  </si>
  <si>
    <t>PL-2011-088425</t>
  </si>
  <si>
    <t>PL-2014-087943</t>
  </si>
  <si>
    <t>PL-2011-087940</t>
  </si>
  <si>
    <t>PL-2013-087280</t>
  </si>
  <si>
    <t>PL-2013-088483</t>
  </si>
  <si>
    <t>PL-2011-089112</t>
  </si>
  <si>
    <t>Safco Contoured Stacking Chairs</t>
  </si>
  <si>
    <t>PL-2011-090934</t>
  </si>
  <si>
    <t>K01580</t>
  </si>
  <si>
    <t>Łukasz Lewandowski</t>
  </si>
  <si>
    <t>PL-2014-086910</t>
  </si>
  <si>
    <t>PL-2012-090696</t>
  </si>
  <si>
    <t>K00434</t>
  </si>
  <si>
    <t>Antoni Kontowicz</t>
  </si>
  <si>
    <t>K00441</t>
  </si>
  <si>
    <t>Teresa Wojciechowska</t>
  </si>
  <si>
    <t>Bodzanów</t>
  </si>
  <si>
    <t>09-470</t>
  </si>
  <si>
    <t>PL-2011-087585</t>
  </si>
  <si>
    <t>K01200</t>
  </si>
  <si>
    <t>Agnieszka Brodzińska</t>
  </si>
  <si>
    <t>Zagnańsk</t>
  </si>
  <si>
    <t>26-050</t>
  </si>
  <si>
    <t>K01199</t>
  </si>
  <si>
    <t>Krzysztof Margiel</t>
  </si>
  <si>
    <t>Nowy Tomyśl</t>
  </si>
  <si>
    <t>64-300</t>
  </si>
  <si>
    <t>K01202</t>
  </si>
  <si>
    <t>Damian Janasik</t>
  </si>
  <si>
    <t>Dubicze Cerkiewne</t>
  </si>
  <si>
    <t>PL-2013-086597</t>
  </si>
  <si>
    <t>PL-2014-089703</t>
  </si>
  <si>
    <t>PL-2011-088971</t>
  </si>
  <si>
    <t>PL-2012-090544</t>
  </si>
  <si>
    <t>PL-2013-086676</t>
  </si>
  <si>
    <t>K01590</t>
  </si>
  <si>
    <t>Andrzej Dobrowolski</t>
  </si>
  <si>
    <t>Domaszowice</t>
  </si>
  <si>
    <t>PL-2012-088138</t>
  </si>
  <si>
    <t>K02466</t>
  </si>
  <si>
    <t>Tadeusz Torcz</t>
  </si>
  <si>
    <t>Goszczyn</t>
  </si>
  <si>
    <t>05-610</t>
  </si>
  <si>
    <t>PL-2013-086928</t>
  </si>
  <si>
    <t>PL-2011-091059</t>
  </si>
  <si>
    <t>PL-2014-090864</t>
  </si>
  <si>
    <t>K02427</t>
  </si>
  <si>
    <t>Jerzy Wolski</t>
  </si>
  <si>
    <t>Tyczyn</t>
  </si>
  <si>
    <t>36-020</t>
  </si>
  <si>
    <t>Hoover Replacement Belt for Commercial Guardsman Heavy-Duty Upright Vacuum</t>
  </si>
  <si>
    <t>PL-2012-086399</t>
  </si>
  <si>
    <t>K01463</t>
  </si>
  <si>
    <t>Piotr Diakun</t>
  </si>
  <si>
    <t>Nowa Wieś Wielka</t>
  </si>
  <si>
    <t>86-060</t>
  </si>
  <si>
    <t>PL-2014-087449</t>
  </si>
  <si>
    <t>K01901</t>
  </si>
  <si>
    <t>Wanda Jędrzejczyk</t>
  </si>
  <si>
    <t>K01898</t>
  </si>
  <si>
    <t>Marcin Łepkowski</t>
  </si>
  <si>
    <t>PL-2012-088186</t>
  </si>
  <si>
    <t>K01358</t>
  </si>
  <si>
    <t>Michał Rajewski</t>
  </si>
  <si>
    <t>PL-2014-089643</t>
  </si>
  <si>
    <t>PL-2012-091425</t>
  </si>
  <si>
    <t>K02750</t>
  </si>
  <si>
    <t>Jacek Kalinowski</t>
  </si>
  <si>
    <t>Kołbaskowo</t>
  </si>
  <si>
    <t>72-001</t>
  </si>
  <si>
    <t>Safco Value Mate Steel Bookcase, Baked Enamel Finish on Steel, Black</t>
  </si>
  <si>
    <t>PL-2014-086033</t>
  </si>
  <si>
    <t>K00453</t>
  </si>
  <si>
    <t>Marzena Skorupska</t>
  </si>
  <si>
    <t>Budziszewice</t>
  </si>
  <si>
    <t>97-212</t>
  </si>
  <si>
    <t>PL-2013-088615</t>
  </si>
  <si>
    <t>K02963</t>
  </si>
  <si>
    <t>Alicja Burzyńska</t>
  </si>
  <si>
    <t>Kowale Oleckie</t>
  </si>
  <si>
    <t>19-420</t>
  </si>
  <si>
    <t>PL-2014-087642</t>
  </si>
  <si>
    <t>PL-2013-087112</t>
  </si>
  <si>
    <t>PL-2014-088124</t>
  </si>
  <si>
    <t>K02730</t>
  </si>
  <si>
    <t>Andrzej Wintoch</t>
  </si>
  <si>
    <t>Krzanowice</t>
  </si>
  <si>
    <t>47-470</t>
  </si>
  <si>
    <t>PL-2014-091431</t>
  </si>
  <si>
    <t>K01752</t>
  </si>
  <si>
    <t>Elżbieta Mielewczyk</t>
  </si>
  <si>
    <t>PL-2013-088716</t>
  </si>
  <si>
    <t>PL-2013-088118</t>
  </si>
  <si>
    <t>PL-2012-087635</t>
  </si>
  <si>
    <t>PL-2014-085959</t>
  </si>
  <si>
    <t>PL-2014-086336</t>
  </si>
  <si>
    <t>PL-2011-088612</t>
  </si>
  <si>
    <t>PL-2011-090026</t>
  </si>
  <si>
    <t>PL-2013-087779</t>
  </si>
  <si>
    <t>PL-2013-087141</t>
  </si>
  <si>
    <t>K00933</t>
  </si>
  <si>
    <t>Ewelina Żytczak</t>
  </si>
  <si>
    <t>K00927</t>
  </si>
  <si>
    <t>Krystyna Rosińska</t>
  </si>
  <si>
    <t>PL-2011-089292</t>
  </si>
  <si>
    <t>K00275</t>
  </si>
  <si>
    <t>Maciej Kurzydłowski</t>
  </si>
  <si>
    <t>Sławków</t>
  </si>
  <si>
    <t>41-260</t>
  </si>
  <si>
    <t>PL-2012-086412</t>
  </si>
  <si>
    <t>PL-2014-087599</t>
  </si>
  <si>
    <t>K01198</t>
  </si>
  <si>
    <t>Dawid Jarząb</t>
  </si>
  <si>
    <t>PL-2012-086332</t>
  </si>
  <si>
    <t>PL-2014-090420</t>
  </si>
  <si>
    <t>K01950</t>
  </si>
  <si>
    <t>Stanisław Mularczyk</t>
  </si>
  <si>
    <t>Grunwald</t>
  </si>
  <si>
    <t>14-107</t>
  </si>
  <si>
    <t>PL-2012-087834</t>
  </si>
  <si>
    <t>K02666</t>
  </si>
  <si>
    <t>Marek Cebula</t>
  </si>
  <si>
    <t>Lubomia</t>
  </si>
  <si>
    <t>44-360</t>
  </si>
  <si>
    <t>PL-2014-087068</t>
  </si>
  <si>
    <t>PL-2011-085938</t>
  </si>
  <si>
    <t>PL-2014-085943</t>
  </si>
  <si>
    <t>PL-2013-089732</t>
  </si>
  <si>
    <t>PL-2013-087544</t>
  </si>
  <si>
    <t>K03398</t>
  </si>
  <si>
    <t>Adam Kartosz</t>
  </si>
  <si>
    <t>Pińczów</t>
  </si>
  <si>
    <t>28-400</t>
  </si>
  <si>
    <t>PL-2012-089469</t>
  </si>
  <si>
    <t>K02176</t>
  </si>
  <si>
    <t>Patryk Szczęśniak</t>
  </si>
  <si>
    <t>Bogoria</t>
  </si>
  <si>
    <t>28-210</t>
  </si>
  <si>
    <t>PL-2011-088197</t>
  </si>
  <si>
    <t>PL-2013-088120</t>
  </si>
  <si>
    <t>K02731</t>
  </si>
  <si>
    <t>Marek Karpiniuk</t>
  </si>
  <si>
    <t>PL-2014-087628</t>
  </si>
  <si>
    <t>PL-2014-088230</t>
  </si>
  <si>
    <t>PL-2014-090785</t>
  </si>
  <si>
    <t>PL-2011-089130</t>
  </si>
  <si>
    <t>PL-2014-088088</t>
  </si>
  <si>
    <t>PL-2013-086006</t>
  </si>
  <si>
    <t>PL-2011-088658</t>
  </si>
  <si>
    <t>Dixon Ticonderoga® Erasable Colored Pencil Set, 12-Color</t>
  </si>
  <si>
    <t>PL-2014-088622</t>
  </si>
  <si>
    <t>K02318</t>
  </si>
  <si>
    <t>Andrzej Olichwiruk</t>
  </si>
  <si>
    <t>PL-2014-090320</t>
  </si>
  <si>
    <t>PL-2012-090315</t>
  </si>
  <si>
    <t>PL-2012-090693</t>
  </si>
  <si>
    <t>K03184</t>
  </si>
  <si>
    <t>Andrzej Leszczyński</t>
  </si>
  <si>
    <t>PL-2014-086114</t>
  </si>
  <si>
    <t>PL-2014-087323</t>
  </si>
  <si>
    <t>PL-2014-088516</t>
  </si>
  <si>
    <t>PL-2013-090869</t>
  </si>
  <si>
    <t>PL-2011-088192</t>
  </si>
  <si>
    <t>PL-2012-090188</t>
  </si>
  <si>
    <t>K00911</t>
  </si>
  <si>
    <t>Zofia Kukułka</t>
  </si>
  <si>
    <t>Cewice</t>
  </si>
  <si>
    <t>84-312</t>
  </si>
  <si>
    <t>PL-2013-087062</t>
  </si>
  <si>
    <t>PL-2014-090126</t>
  </si>
  <si>
    <t>PL-2014-088866</t>
  </si>
  <si>
    <t>PL-2013-088761</t>
  </si>
  <si>
    <t>PL-2014-089207</t>
  </si>
  <si>
    <t>PL-2014-088630</t>
  </si>
  <si>
    <t>PL-2011-090337</t>
  </si>
  <si>
    <t>Xerox 4200 Series MultiUse Premium Copy Paper (20Lb. and 84 Bright)</t>
  </si>
  <si>
    <t>PL-2012-088736</t>
  </si>
  <si>
    <t>K01400</t>
  </si>
  <si>
    <t>Wiesław Jankowski</t>
  </si>
  <si>
    <t>K01394</t>
  </si>
  <si>
    <t>Tomasz Przerwa</t>
  </si>
  <si>
    <t>K01397</t>
  </si>
  <si>
    <t>Marta Herman</t>
  </si>
  <si>
    <t>Tuczna</t>
  </si>
  <si>
    <t>21-523</t>
  </si>
  <si>
    <t>K01395</t>
  </si>
  <si>
    <t>Zofia Hlek</t>
  </si>
  <si>
    <t>PL-2013-086473</t>
  </si>
  <si>
    <t>PL-2014-091275</t>
  </si>
  <si>
    <t>PL-2011-089664</t>
  </si>
  <si>
    <t>PL-2014-087372</t>
  </si>
  <si>
    <t>PL-2013-088399</t>
  </si>
  <si>
    <t>PL-2011-087888</t>
  </si>
  <si>
    <t>PL-2012-086438</t>
  </si>
  <si>
    <t>PL-2013-087346</t>
  </si>
  <si>
    <t>PL-2014-088201</t>
  </si>
  <si>
    <t>K00619</t>
  </si>
  <si>
    <t>Józef Nowak</t>
  </si>
  <si>
    <t>05-155</t>
  </si>
  <si>
    <t>PL-2014-090403</t>
  </si>
  <si>
    <t>K02158</t>
  </si>
  <si>
    <t>Sylwia Krępeć</t>
  </si>
  <si>
    <t>Bledzew</t>
  </si>
  <si>
    <t>66-350</t>
  </si>
  <si>
    <t>PL-2012-090390</t>
  </si>
  <si>
    <t>K02159</t>
  </si>
  <si>
    <t>Roman Kłosowski</t>
  </si>
  <si>
    <t>Słupca</t>
  </si>
  <si>
    <t>PL-2012-090195</t>
  </si>
  <si>
    <t>K00010</t>
  </si>
  <si>
    <t>Grzegorz Domański</t>
  </si>
  <si>
    <t>Garbatka-Letnisko</t>
  </si>
  <si>
    <t>26-930</t>
  </si>
  <si>
    <t>PL-2013-086852</t>
  </si>
  <si>
    <t>K01861</t>
  </si>
  <si>
    <t>Marta Guse</t>
  </si>
  <si>
    <t>PL-2011-089522</t>
  </si>
  <si>
    <t>PL-2014-091240</t>
  </si>
  <si>
    <t>PL-2014-086482</t>
  </si>
  <si>
    <t>PL-2011-085898</t>
  </si>
  <si>
    <t>Avery® 3 1/2" Diskette Storage Pages, 10/Pack</t>
  </si>
  <si>
    <t>PL-2011-091432</t>
  </si>
  <si>
    <t>K00622</t>
  </si>
  <si>
    <t>Mariola Wiercioch</t>
  </si>
  <si>
    <t>K00621</t>
  </si>
  <si>
    <t>Andrzej Solak</t>
  </si>
  <si>
    <t>Gostycyn</t>
  </si>
  <si>
    <t>89-520</t>
  </si>
  <si>
    <t>PL-2012-090305</t>
  </si>
  <si>
    <t>PL-2014-016098</t>
  </si>
  <si>
    <t>K02567</t>
  </si>
  <si>
    <t>Edward Struniawski</t>
  </si>
  <si>
    <t>50-328</t>
  </si>
  <si>
    <t>PL-2013-088653</t>
  </si>
  <si>
    <t>K00586</t>
  </si>
  <si>
    <t>Andrzej Więckowski</t>
  </si>
  <si>
    <t>08-130</t>
  </si>
  <si>
    <t>K00587</t>
  </si>
  <si>
    <t>Teresa Piwowarska</t>
  </si>
  <si>
    <t>Kodrąb</t>
  </si>
  <si>
    <t>PL-2011-086814</t>
  </si>
  <si>
    <t>PL-2013-089122</t>
  </si>
  <si>
    <t>K01165</t>
  </si>
  <si>
    <t>Jerzy Olech</t>
  </si>
  <si>
    <t>K01166</t>
  </si>
  <si>
    <t>Wacław Klukowski</t>
  </si>
  <si>
    <t>Kwilcz</t>
  </si>
  <si>
    <t>Panasonic KX-P3626 Dot Matrix Printer</t>
  </si>
  <si>
    <t>PL-2012-091331</t>
  </si>
  <si>
    <t>K01372</t>
  </si>
  <si>
    <t>Grażyna Pawłowska</t>
  </si>
  <si>
    <t>Wilson Jones Easy Flow II™ Sheet Lifters</t>
  </si>
  <si>
    <t>PL-2014-089808</t>
  </si>
  <si>
    <t>PL-2014-086443</t>
  </si>
  <si>
    <t>K00609</t>
  </si>
  <si>
    <t>Agata Trzaskalska</t>
  </si>
  <si>
    <t>Piaseczno</t>
  </si>
  <si>
    <t>05-500</t>
  </si>
  <si>
    <t>PL-2011-086050</t>
  </si>
  <si>
    <t>PL-2014-090371</t>
  </si>
  <si>
    <t>K00500</t>
  </si>
  <si>
    <t>Elżbieta Nogaj</t>
  </si>
  <si>
    <t>Wschowa</t>
  </si>
  <si>
    <t>67-400</t>
  </si>
  <si>
    <t>PL-2014-091434</t>
  </si>
  <si>
    <t>K00794</t>
  </si>
  <si>
    <t>Anna Lenczewska</t>
  </si>
  <si>
    <t>PL-2013-090712</t>
  </si>
  <si>
    <t>PL-2012-089851</t>
  </si>
  <si>
    <t>PL-2012-089506</t>
  </si>
  <si>
    <t>PL-2014-088680</t>
  </si>
  <si>
    <t>PL-2014-089570</t>
  </si>
  <si>
    <t>PL-2014-086922</t>
  </si>
  <si>
    <t>PL-2014-090529</t>
  </si>
  <si>
    <t>K01815</t>
  </si>
  <si>
    <t>Kamil Puzio</t>
  </si>
  <si>
    <t>Stare Juchy</t>
  </si>
  <si>
    <t>19-330</t>
  </si>
  <si>
    <t>PL-2011-087772</t>
  </si>
  <si>
    <t>PL-2012-090324</t>
  </si>
  <si>
    <t>PL-2014-086365</t>
  </si>
  <si>
    <t>PL-2014-088792</t>
  </si>
  <si>
    <t>PL-2014-087738</t>
  </si>
  <si>
    <t>K00746</t>
  </si>
  <si>
    <t>Jerzy Wawrzysz</t>
  </si>
  <si>
    <t>Gdańsk</t>
  </si>
  <si>
    <t>80-057</t>
  </si>
  <si>
    <t>PL-2013-089421</t>
  </si>
  <si>
    <t>PL-2014-086325</t>
  </si>
  <si>
    <t>PL-2013-091441</t>
  </si>
  <si>
    <t>K03358</t>
  </si>
  <si>
    <t>Zbigniew Ptak</t>
  </si>
  <si>
    <t>K03359</t>
  </si>
  <si>
    <t>Henryk Krzywicki</t>
  </si>
  <si>
    <t>Nowogrodziec</t>
  </si>
  <si>
    <t>59-730</t>
  </si>
  <si>
    <t>PL-2011-086459</t>
  </si>
  <si>
    <t>PL-2013-085931</t>
  </si>
  <si>
    <t>K02848</t>
  </si>
  <si>
    <t>Maria Szumowska</t>
  </si>
  <si>
    <t>PL-2013-090840</t>
  </si>
  <si>
    <t>PL-2011-086507</t>
  </si>
  <si>
    <t>K03226</t>
  </si>
  <si>
    <t>Agata Augustyniak</t>
  </si>
  <si>
    <t>PL-2013-089492</t>
  </si>
  <si>
    <t>K01677</t>
  </si>
  <si>
    <t>Hanna Czarnecka</t>
  </si>
  <si>
    <t>Mierzęcice</t>
  </si>
  <si>
    <t>42-460</t>
  </si>
  <si>
    <t>PL-2014-089619</t>
  </si>
  <si>
    <t>PL-2014-089162</t>
  </si>
  <si>
    <t>K02299</t>
  </si>
  <si>
    <t>Jacek Sobański</t>
  </si>
  <si>
    <t>PL-2012-090176</t>
  </si>
  <si>
    <t>K02635</t>
  </si>
  <si>
    <t>Andrzej Wolski</t>
  </si>
  <si>
    <t>PL-2013-089227</t>
  </si>
  <si>
    <t>PL-2013-091445</t>
  </si>
  <si>
    <t>K02623</t>
  </si>
  <si>
    <t>Czesław Krupiński</t>
  </si>
  <si>
    <t>Tykocin</t>
  </si>
  <si>
    <t>16-080</t>
  </si>
  <si>
    <t>PL-2013-091341</t>
  </si>
  <si>
    <t>PL-2013-088876</t>
  </si>
  <si>
    <t>PL-2014-088926</t>
  </si>
  <si>
    <t>PL-2014-087810</t>
  </si>
  <si>
    <t>K00402</t>
  </si>
  <si>
    <t>Wiesław Mały</t>
  </si>
  <si>
    <t>Electrix Architect's Clamp-On Swing Arm Lamp, Black</t>
  </si>
  <si>
    <t>PL-2014-089016</t>
  </si>
  <si>
    <t>K01027</t>
  </si>
  <si>
    <t>Alina Werstak</t>
  </si>
  <si>
    <t>Limanowa</t>
  </si>
  <si>
    <t>34-600</t>
  </si>
  <si>
    <t>PL-2011-087079</t>
  </si>
  <si>
    <t>K01472</t>
  </si>
  <si>
    <t>Władysław Diakun</t>
  </si>
  <si>
    <t>Milejów</t>
  </si>
  <si>
    <t>PL-2014-086506</t>
  </si>
  <si>
    <t>K01908</t>
  </si>
  <si>
    <t>Barbara Juraszka</t>
  </si>
  <si>
    <t>Fellowes 8 Outlet Superior Workstation Surge Protector</t>
  </si>
  <si>
    <t>PL-2012-090846</t>
  </si>
  <si>
    <t>K00943</t>
  </si>
  <si>
    <t>Maria Minkowska</t>
  </si>
  <si>
    <t>32-840</t>
  </si>
  <si>
    <t>PL-2012-090260</t>
  </si>
  <si>
    <t>PL-2011-086011</t>
  </si>
  <si>
    <t>PL-2014-087304</t>
  </si>
  <si>
    <t>PL-2011-091285</t>
  </si>
  <si>
    <t>PL-2014-091289</t>
  </si>
  <si>
    <t>K02459</t>
  </si>
  <si>
    <t>Grzegorz Pytloch</t>
  </si>
  <si>
    <t>Jemielnica</t>
  </si>
  <si>
    <t>47-133</t>
  </si>
  <si>
    <t>PL-2014-087691</t>
  </si>
  <si>
    <t>K02702</t>
  </si>
  <si>
    <t>Jerzy Leszczyński</t>
  </si>
  <si>
    <t>PL-2013-087401</t>
  </si>
  <si>
    <t>PL-2013-089263</t>
  </si>
  <si>
    <t>PL-2013-089792</t>
  </si>
  <si>
    <t>PL-2014-085945</t>
  </si>
  <si>
    <t>PL-2011-087671</t>
  </si>
  <si>
    <t>PL-2013-089575</t>
  </si>
  <si>
    <t>K02270</t>
  </si>
  <si>
    <t>Teresa Załóg</t>
  </si>
  <si>
    <t>Klonowa</t>
  </si>
  <si>
    <t>98-273</t>
  </si>
  <si>
    <t>PL-2012-087307</t>
  </si>
  <si>
    <t>PL-2012-088650</t>
  </si>
  <si>
    <t>K00582</t>
  </si>
  <si>
    <t>Jan Kaczanowicz</t>
  </si>
  <si>
    <t>PL-2012-088592</t>
  </si>
  <si>
    <t>PL-2014-087126</t>
  </si>
  <si>
    <t>K02034</t>
  </si>
  <si>
    <t>Ewa Mróz</t>
  </si>
  <si>
    <t>Wadowice</t>
  </si>
  <si>
    <t>34-100</t>
  </si>
  <si>
    <t>PL-2014-086029</t>
  </si>
  <si>
    <t>PL-2014-087327</t>
  </si>
  <si>
    <t>K02855</t>
  </si>
  <si>
    <t>Tadeusz Biliński</t>
  </si>
  <si>
    <t>Boguty-Pianki</t>
  </si>
  <si>
    <t>07-325</t>
  </si>
  <si>
    <t>PL-2011-088745</t>
  </si>
  <si>
    <t>PL-2012-089669</t>
  </si>
  <si>
    <t>PL-2013-090226</t>
  </si>
  <si>
    <t>PL-2014-091343</t>
  </si>
  <si>
    <t>PL-2012-091338</t>
  </si>
  <si>
    <t>PL-2014-087505</t>
  </si>
  <si>
    <t>PL-2013-090325</t>
  </si>
  <si>
    <t>PL-2012-086439</t>
  </si>
  <si>
    <t>PL-2014-086445</t>
  </si>
  <si>
    <t>PL-2014-087976</t>
  </si>
  <si>
    <t>K03300</t>
  </si>
  <si>
    <t>Janusz Przybyła</t>
  </si>
  <si>
    <t>PL-2011-088479</t>
  </si>
  <si>
    <t>K00428</t>
  </si>
  <si>
    <t>Wiesław Lorent</t>
  </si>
  <si>
    <t>PL-2013-086080</t>
  </si>
  <si>
    <t>K01239</t>
  </si>
  <si>
    <t>Robert Sójka</t>
  </si>
  <si>
    <t>PL-2012-086549</t>
  </si>
  <si>
    <t>PL-2012-086300</t>
  </si>
  <si>
    <t>PL-2012-091176</t>
  </si>
  <si>
    <t>PL-2011-089514</t>
  </si>
  <si>
    <t>PL-2014-091003</t>
  </si>
  <si>
    <t>Eldon® Executive Woodline II Desk Accessories, Mahogany</t>
  </si>
  <si>
    <t>K02480</t>
  </si>
  <si>
    <t>Sylwia Kręglewska</t>
  </si>
  <si>
    <t>Kostrzyn</t>
  </si>
  <si>
    <t>62-025</t>
  </si>
  <si>
    <t>PL-2013-087330</t>
  </si>
  <si>
    <t>PL-2011-086373</t>
  </si>
  <si>
    <t>PL-2011-086297</t>
  </si>
  <si>
    <t>PL-2013-090161</t>
  </si>
  <si>
    <t>PL-2013-088990</t>
  </si>
  <si>
    <t>PL-2014-089815</t>
  </si>
  <si>
    <t>Verbatim DVD Rewritable Disc, Single-Sided, 4.7GB</t>
  </si>
  <si>
    <t>PL-2011-091447</t>
  </si>
  <si>
    <t>K02563</t>
  </si>
  <si>
    <t>Tadeusz Wojtkiewicz</t>
  </si>
  <si>
    <t>PL-2014-087645</t>
  </si>
  <si>
    <t>PL-2011-086751</t>
  </si>
  <si>
    <t>PL-2011-088837</t>
  </si>
  <si>
    <t>PL-2012-087816</t>
  </si>
  <si>
    <t>PL-2014-087821</t>
  </si>
  <si>
    <t>PL-2014-091349</t>
  </si>
  <si>
    <t>K01153</t>
  </si>
  <si>
    <t>Joanna Kołatkiewicz</t>
  </si>
  <si>
    <t>PL-2013-086023</t>
  </si>
  <si>
    <t>Xerox 1989</t>
  </si>
  <si>
    <t>PL-2013-091452</t>
  </si>
  <si>
    <t>K01307</t>
  </si>
  <si>
    <t>Tadeusz Stempień</t>
  </si>
  <si>
    <t>PL-2012-089778</t>
  </si>
  <si>
    <t>K01765</t>
  </si>
  <si>
    <t>Krzysztof Dzietczyk</t>
  </si>
  <si>
    <t>Sawin</t>
  </si>
  <si>
    <t>22-107</t>
  </si>
  <si>
    <t>PL-2012-091345</t>
  </si>
  <si>
    <t>PL-2014-087567</t>
  </si>
  <si>
    <t>PL-2014-088997</t>
  </si>
  <si>
    <t>Global Comet™ Stacking Armless Chair</t>
  </si>
  <si>
    <t>PL-2013-087526</t>
  </si>
  <si>
    <t>PL-2014-090723</t>
  </si>
  <si>
    <t>Model L Table or Wall-Mount Pencil Sharpener</t>
  </si>
  <si>
    <t>K02373</t>
  </si>
  <si>
    <t>Arkadiusz Cymer</t>
  </si>
  <si>
    <t>Janikowo</t>
  </si>
  <si>
    <t>PL-2012-086414</t>
  </si>
  <si>
    <t>PL-2014-086730</t>
  </si>
  <si>
    <t>PL-2013-089391</t>
  </si>
  <si>
    <t>K01046</t>
  </si>
  <si>
    <t>Elżbieta Jankowska</t>
  </si>
  <si>
    <t>PL-2012-091444</t>
  </si>
  <si>
    <t>PL-2014-001447</t>
  </si>
  <si>
    <t>K00308</t>
  </si>
  <si>
    <t>Urszula Noryca</t>
  </si>
  <si>
    <t>10-142</t>
  </si>
  <si>
    <t>PL-2011-088929</t>
  </si>
  <si>
    <t>K00381</t>
  </si>
  <si>
    <t>Eugeniusz Rokosz</t>
  </si>
  <si>
    <t>Wołów</t>
  </si>
  <si>
    <t>56-100</t>
  </si>
  <si>
    <t>PL-2012-088214</t>
  </si>
  <si>
    <t>K01376</t>
  </si>
  <si>
    <t>Jan Wróblewski</t>
  </si>
  <si>
    <t>K01381</t>
  </si>
  <si>
    <t>Krystyna Seweryńczyk</t>
  </si>
  <si>
    <t>PL-2014-091208</t>
  </si>
  <si>
    <t>PL-2013-091455</t>
  </si>
  <si>
    <t>K00042</t>
  </si>
  <si>
    <t>Dariusz Wawrzyniak</t>
  </si>
  <si>
    <t>PL-2011-090905</t>
  </si>
  <si>
    <t>PL-2014-086947</t>
  </si>
  <si>
    <t>PL-2014-091136</t>
  </si>
  <si>
    <t>PL-2013-087658</t>
  </si>
  <si>
    <t>PL-2012-088322</t>
  </si>
  <si>
    <t>PL-2014-088328</t>
  </si>
  <si>
    <t>PL-2011-088233</t>
  </si>
  <si>
    <t>PL-2014-088988</t>
  </si>
  <si>
    <t>K01344</t>
  </si>
  <si>
    <t>Radosław Pluta</t>
  </si>
  <si>
    <t>PL-2012-088985</t>
  </si>
  <si>
    <t>PL-2013-091319</t>
  </si>
  <si>
    <t>Eldon Wave Desk Accessories</t>
  </si>
  <si>
    <t>PL-2014-086707</t>
  </si>
  <si>
    <t>PL-2012-086700</t>
  </si>
  <si>
    <t>K02250</t>
  </si>
  <si>
    <t>Alina Składanek</t>
  </si>
  <si>
    <t>Leśniowice</t>
  </si>
  <si>
    <t>22-122</t>
  </si>
  <si>
    <t>PL-2014-091430</t>
  </si>
  <si>
    <t>PL-2013-087018</t>
  </si>
  <si>
    <t>Office Star Flex Back Scooter Chair with Aluminum Finish Frame</t>
  </si>
  <si>
    <t>PL-2014-087422</t>
  </si>
  <si>
    <t>PL-2014-088778</t>
  </si>
  <si>
    <t>PL-2014-089275</t>
  </si>
  <si>
    <t>K01663</t>
  </si>
  <si>
    <t>Bożena Żwirko</t>
  </si>
  <si>
    <t>PL-2013-089342</t>
  </si>
  <si>
    <t>K01931</t>
  </si>
  <si>
    <t>Tomasz Bieńkowski</t>
  </si>
  <si>
    <t>PL-2013-091155</t>
  </si>
  <si>
    <t>K00559</t>
  </si>
  <si>
    <t>Renata Szczęsna</t>
  </si>
  <si>
    <t>Lubawa</t>
  </si>
  <si>
    <t>14-260</t>
  </si>
  <si>
    <t>PL-2014-089532</t>
  </si>
  <si>
    <t>PL-2012-086630</t>
  </si>
  <si>
    <t>PL-2012-086595</t>
  </si>
  <si>
    <t>PL-2013-088285</t>
  </si>
  <si>
    <t>PL-2011-091386</t>
  </si>
  <si>
    <t>PL-2013-091104</t>
  </si>
  <si>
    <t>PL-2013-091460</t>
  </si>
  <si>
    <t>K01421</t>
  </si>
  <si>
    <t>Jadwiga Molenda</t>
  </si>
  <si>
    <t>Liszki</t>
  </si>
  <si>
    <t>32-060</t>
  </si>
  <si>
    <t>PL-2012-090857</t>
  </si>
  <si>
    <t>K01157</t>
  </si>
  <si>
    <t>Paweł Kulok</t>
  </si>
  <si>
    <t>PL-2014-089425</t>
  </si>
  <si>
    <t>PL-2012-088647</t>
  </si>
  <si>
    <t>K00583</t>
  </si>
  <si>
    <t>Wojciech Kaczmarek</t>
  </si>
  <si>
    <t>Głusk</t>
  </si>
  <si>
    <t>20-388</t>
  </si>
  <si>
    <t>PL-2014-087295</t>
  </si>
  <si>
    <t>K03123</t>
  </si>
  <si>
    <t>Tadeusz Łukomski</t>
  </si>
  <si>
    <t>Mykanów</t>
  </si>
  <si>
    <t>42-233</t>
  </si>
  <si>
    <t>PL-2013-089142</t>
  </si>
  <si>
    <t>PL-2011-088794</t>
  </si>
  <si>
    <t>K02165</t>
  </si>
  <si>
    <t>Zdzisław Bodnar</t>
  </si>
  <si>
    <t>PL-2012-087210</t>
  </si>
  <si>
    <t>PL-2014-091413</t>
  </si>
  <si>
    <t>PL-2013-087440</t>
  </si>
  <si>
    <t>PL-2013-089384</t>
  </si>
  <si>
    <t>PL-2012-089280</t>
  </si>
  <si>
    <t>PL-2011-086789</t>
  </si>
  <si>
    <t>PL-2012-088802</t>
  </si>
  <si>
    <t>PL-2014-091464</t>
  </si>
  <si>
    <t>K02055</t>
  </si>
  <si>
    <t>Jarosław Krasnostawski</t>
  </si>
  <si>
    <t>PL-2013-091013</t>
  </si>
  <si>
    <t>K01994</t>
  </si>
  <si>
    <t>Katarzyna Kozłowska</t>
  </si>
  <si>
    <t>Radomin</t>
  </si>
  <si>
    <t>87-404</t>
  </si>
  <si>
    <t>PL-2012-091421</t>
  </si>
  <si>
    <t>PL-2013-091118</t>
  </si>
  <si>
    <t>PL-2014-089371</t>
  </si>
  <si>
    <t>K00845</t>
  </si>
  <si>
    <t>Damian Sikorski</t>
  </si>
  <si>
    <t>44-210</t>
  </si>
  <si>
    <t>K00842</t>
  </si>
  <si>
    <t>Cecylia Wilk</t>
  </si>
  <si>
    <t>PL-2013-090603</t>
  </si>
  <si>
    <t>PL-2011-089525</t>
  </si>
  <si>
    <t>PL-2012-089930</t>
  </si>
  <si>
    <t>PL-2011-091466</t>
  </si>
  <si>
    <t>K02991</t>
  </si>
  <si>
    <t>Maria Dudkowska</t>
  </si>
  <si>
    <t>Mogilno</t>
  </si>
  <si>
    <t>88-300</t>
  </si>
  <si>
    <t>PL-2014-091468</t>
  </si>
  <si>
    <t>K02992</t>
  </si>
  <si>
    <t>Izabela Nieszporek</t>
  </si>
  <si>
    <t>PL-2014-087054</t>
  </si>
  <si>
    <t>PL-2013-087359</t>
  </si>
  <si>
    <t>PL-2011-086410</t>
  </si>
  <si>
    <t>K01109</t>
  </si>
  <si>
    <t>Bogusława Lipik</t>
  </si>
  <si>
    <t>Bełchatów</t>
  </si>
  <si>
    <t>97-400</t>
  </si>
  <si>
    <t>PL-2013-087237</t>
  </si>
  <si>
    <t>PL-2014-086598</t>
  </si>
  <si>
    <t>PL-2011-090048</t>
  </si>
  <si>
    <t>PL-2013-087050</t>
  </si>
  <si>
    <t>K03001</t>
  </si>
  <si>
    <t>Radosław Architekt</t>
  </si>
  <si>
    <t>PL-2013-088948</t>
  </si>
  <si>
    <t>K00269</t>
  </si>
  <si>
    <t>Artur Litwin</t>
  </si>
  <si>
    <t>Ostrołęka</t>
  </si>
  <si>
    <t>07-410</t>
  </si>
  <si>
    <t>PL-2011-089456</t>
  </si>
  <si>
    <t>PL-2014-089464</t>
  </si>
  <si>
    <t>PL-2013-091426</t>
  </si>
  <si>
    <t>PL-2014-091442</t>
  </si>
  <si>
    <t>PL-2013-091404</t>
  </si>
  <si>
    <t>PL-2014-086652</t>
  </si>
  <si>
    <t>PL-2013-088830</t>
  </si>
  <si>
    <t>K03258</t>
  </si>
  <si>
    <t>Dorota Banach</t>
  </si>
  <si>
    <t>Koziegłowy</t>
  </si>
  <si>
    <t>42-350</t>
  </si>
  <si>
    <t>PL-2013-085921</t>
  </si>
  <si>
    <t>PL-2011-088102</t>
  </si>
  <si>
    <t>K01132</t>
  </si>
  <si>
    <t>Bogusław Podraska</t>
  </si>
  <si>
    <t>Dzierzgoń</t>
  </si>
  <si>
    <t>82-440</t>
  </si>
  <si>
    <t>PL-2011-089315</t>
  </si>
  <si>
    <t>PL-2013-090573</t>
  </si>
  <si>
    <t>PL-2014-088182</t>
  </si>
  <si>
    <t>K00674</t>
  </si>
  <si>
    <t>Artur Kopciuch</t>
  </si>
  <si>
    <t>Dobrcz</t>
  </si>
  <si>
    <t>86-022</t>
  </si>
  <si>
    <t>PL-2013-089998</t>
  </si>
  <si>
    <t>K01363</t>
  </si>
  <si>
    <t>Renata Pawłowska</t>
  </si>
  <si>
    <t>Dzierzgowo</t>
  </si>
  <si>
    <t>06-520</t>
  </si>
  <si>
    <t>PL-2011-088297</t>
  </si>
  <si>
    <t>PL-2014-091471</t>
  </si>
  <si>
    <t>K01173</t>
  </si>
  <si>
    <t>Michalina Sokołowska</t>
  </si>
  <si>
    <t>Pelplin</t>
  </si>
  <si>
    <t>83-130</t>
  </si>
  <si>
    <t>PL-2014-088045</t>
  </si>
  <si>
    <t>PL-2011-087148</t>
  </si>
  <si>
    <t>PL-2014-091479</t>
  </si>
  <si>
    <t>K03371</t>
  </si>
  <si>
    <t>Iwona Sobczak</t>
  </si>
  <si>
    <t>Tychy</t>
  </si>
  <si>
    <t>43-100</t>
  </si>
  <si>
    <t>PL-2013-090496</t>
  </si>
  <si>
    <t>PL-2014-090774</t>
  </si>
  <si>
    <t>PL-2012-090892</t>
  </si>
  <si>
    <t>PL-2012-090379</t>
  </si>
  <si>
    <t>PL-2014-090659</t>
  </si>
  <si>
    <t>PL-2014-089331</t>
  </si>
  <si>
    <t>K00522</t>
  </si>
  <si>
    <t>Józefa Jasielska</t>
  </si>
  <si>
    <t>Kuczbork-Osada</t>
  </si>
  <si>
    <t>09-310</t>
  </si>
  <si>
    <t>PL-2012-091160</t>
  </si>
  <si>
    <t>PL-2011-091482</t>
  </si>
  <si>
    <t>K02339</t>
  </si>
  <si>
    <t>Bożena Jarząbek</t>
  </si>
  <si>
    <t>Ciechocin</t>
  </si>
  <si>
    <t>87-408</t>
  </si>
  <si>
    <t>PL-2013-089784</t>
  </si>
  <si>
    <t>PL-2011-088600</t>
  </si>
  <si>
    <t>K01213</t>
  </si>
  <si>
    <t>Anna Nawrotkiewicz</t>
  </si>
  <si>
    <t>Pęcław</t>
  </si>
  <si>
    <t>67-221</t>
  </si>
  <si>
    <t>PL-2012-089963</t>
  </si>
  <si>
    <t>PL-2012-086559</t>
  </si>
  <si>
    <t>PL-2014-089089</t>
  </si>
  <si>
    <t>K00951</t>
  </si>
  <si>
    <t>Jerzy Hamulski</t>
  </si>
  <si>
    <t>PL-2014-089828</t>
  </si>
  <si>
    <t>PL-2014-091491</t>
  </si>
  <si>
    <t>K01101</t>
  </si>
  <si>
    <t>Alicja Pajor</t>
  </si>
  <si>
    <t>Dębica</t>
  </si>
  <si>
    <t>39-200</t>
  </si>
  <si>
    <t>PL-2011-091488</t>
  </si>
  <si>
    <t>PL-2014-088153</t>
  </si>
  <si>
    <t>K00345</t>
  </si>
  <si>
    <t>Jan Czaban</t>
  </si>
  <si>
    <t>Koneck</t>
  </si>
  <si>
    <t>87-702</t>
  </si>
  <si>
    <t>K00348</t>
  </si>
  <si>
    <t>Ryszarda Podsadna</t>
  </si>
  <si>
    <t>Świerklaniec</t>
  </si>
  <si>
    <t>42-622</t>
  </si>
  <si>
    <t>PL-2011-085915</t>
  </si>
  <si>
    <t>PL-2012-087128</t>
  </si>
  <si>
    <t>K02025</t>
  </si>
  <si>
    <t>Jerzy Landowski</t>
  </si>
  <si>
    <t>Kościelec</t>
  </si>
  <si>
    <t>62-604</t>
  </si>
  <si>
    <t>PL-2014-090173</t>
  </si>
  <si>
    <t>K00895</t>
  </si>
  <si>
    <t>Stanisław Wilkanowski</t>
  </si>
  <si>
    <t>PL-2012-089682</t>
  </si>
  <si>
    <t>K01603</t>
  </si>
  <si>
    <t>Norbert Batory</t>
  </si>
  <si>
    <t>PL-2014-088609</t>
  </si>
  <si>
    <t>PL-2011-090578</t>
  </si>
  <si>
    <t>PL-2014-091106</t>
  </si>
  <si>
    <t>PL-2014-089920</t>
  </si>
  <si>
    <t>PL-2012-087139</t>
  </si>
  <si>
    <t>K00934</t>
  </si>
  <si>
    <t>Halina Obidzińska</t>
  </si>
  <si>
    <t>K00926</t>
  </si>
  <si>
    <t>Jerzy Karczewski</t>
  </si>
  <si>
    <t>K00932</t>
  </si>
  <si>
    <t>Marian Ciesiński</t>
  </si>
  <si>
    <t>Horodło</t>
  </si>
  <si>
    <t>22-523</t>
  </si>
  <si>
    <t>PL-2011-090404</t>
  </si>
  <si>
    <t>PL-2014-087991</t>
  </si>
  <si>
    <t>K00710</t>
  </si>
  <si>
    <t>Agnieszka Cybulska</t>
  </si>
  <si>
    <t>Stara Kiszewa</t>
  </si>
  <si>
    <t>83-430</t>
  </si>
  <si>
    <t>K00709</t>
  </si>
  <si>
    <t>Florian Guzowski</t>
  </si>
  <si>
    <t>PL-2014-090436</t>
  </si>
  <si>
    <t>PL-2013-087064</t>
  </si>
  <si>
    <t>K00306</t>
  </si>
  <si>
    <t>Izabela Stec</t>
  </si>
  <si>
    <t>Magnuszew</t>
  </si>
  <si>
    <t>26-910</t>
  </si>
  <si>
    <t>PL-2011-091108</t>
  </si>
  <si>
    <t>Avery Premier Heavy-Duty Binder with Round Locking Rings</t>
  </si>
  <si>
    <t>PL-2013-089783</t>
  </si>
  <si>
    <t>PL-2013-091494</t>
  </si>
  <si>
    <t>K02877</t>
  </si>
  <si>
    <t>Konstanty Michałowski</t>
  </si>
  <si>
    <t>PL-2012-086066</t>
  </si>
  <si>
    <t>PL-2013-088844</t>
  </si>
  <si>
    <t>PL-2014-087675</t>
  </si>
  <si>
    <t>K00157</t>
  </si>
  <si>
    <t>Urszula Sobol</t>
  </si>
  <si>
    <t>PL-2012-089746</t>
  </si>
  <si>
    <t>PL-2014-089750</t>
  </si>
  <si>
    <t>PL-2014-089479</t>
  </si>
  <si>
    <t>K01668</t>
  </si>
  <si>
    <t>Jan Krzywicki</t>
  </si>
  <si>
    <t>PL-2013-089935</t>
  </si>
  <si>
    <t>K01430</t>
  </si>
  <si>
    <t>Andrzej Kurjata</t>
  </si>
  <si>
    <t>Garbów</t>
  </si>
  <si>
    <t>21-080</t>
  </si>
  <si>
    <t>PL-2013-091497</t>
  </si>
  <si>
    <t>K02617</t>
  </si>
  <si>
    <t>Andrzej Skwarek</t>
  </si>
  <si>
    <t>Wyry</t>
  </si>
  <si>
    <t>43-175</t>
  </si>
  <si>
    <t>PL-2011-090296</t>
  </si>
  <si>
    <t>PL-2014-088750</t>
  </si>
  <si>
    <t>K03386</t>
  </si>
  <si>
    <t>Elżbieta Motyl</t>
  </si>
  <si>
    <t>Czorsztyn</t>
  </si>
  <si>
    <t>34-436</t>
  </si>
  <si>
    <t>PL-2014-087913</t>
  </si>
  <si>
    <t>PL-2011-088136</t>
  </si>
  <si>
    <t>PL-2014-088149</t>
  </si>
  <si>
    <t>PL-2013-091505</t>
  </si>
  <si>
    <t>K02276</t>
  </si>
  <si>
    <t>Michał Szczur</t>
  </si>
  <si>
    <t>Rejowiec Fabryczny</t>
  </si>
  <si>
    <t>22-170</t>
  </si>
  <si>
    <t>Tennsco Stur-D-Stor Boltless Shelving, 5 Shelves, 24" Deep, Sand</t>
  </si>
  <si>
    <t>PL-2014-086488</t>
  </si>
  <si>
    <t>K02663</t>
  </si>
  <si>
    <t>Anna Marecka</t>
  </si>
  <si>
    <t>Wiązowna</t>
  </si>
  <si>
    <t>05-462</t>
  </si>
  <si>
    <t>K02664</t>
  </si>
  <si>
    <t>Dariusz Nadolny</t>
  </si>
  <si>
    <t>Chorkówka</t>
  </si>
  <si>
    <t>38-458</t>
  </si>
  <si>
    <t>PL-2012-087604</t>
  </si>
  <si>
    <t>K01317</t>
  </si>
  <si>
    <t>Sławomir Jędrzejczyk</t>
  </si>
  <si>
    <t>Bielsko-Biała</t>
  </si>
  <si>
    <t>43-309</t>
  </si>
  <si>
    <t>PL-2014-089553</t>
  </si>
  <si>
    <t>PL-2013-091510</t>
  </si>
  <si>
    <t>K02753</t>
  </si>
  <si>
    <t>Mirosław Ołdak</t>
  </si>
  <si>
    <t>Rychwał</t>
  </si>
  <si>
    <t>62-570</t>
  </si>
  <si>
    <t>PL-2011-085867</t>
  </si>
  <si>
    <t>PL-2014-089952</t>
  </si>
  <si>
    <t>K01778</t>
  </si>
  <si>
    <t>Krystyna Bugaj</t>
  </si>
  <si>
    <t>Rossosz</t>
  </si>
  <si>
    <t>21-533</t>
  </si>
  <si>
    <t>PL-2011-086052</t>
  </si>
  <si>
    <t>K02203</t>
  </si>
  <si>
    <t>Artur Tomczak</t>
  </si>
  <si>
    <t>Góra</t>
  </si>
  <si>
    <t>56-200</t>
  </si>
  <si>
    <t>PL-2011-090787</t>
  </si>
  <si>
    <t>PL-2011-091437</t>
  </si>
  <si>
    <t>PL-2011-086382</t>
  </si>
  <si>
    <t>PL-2012-087538</t>
  </si>
  <si>
    <t>Kensington 7 Outlet MasterPiece Power Center</t>
  </si>
  <si>
    <t>PL-2011-090000</t>
  </si>
  <si>
    <t>PL-2014-090006</t>
  </si>
  <si>
    <t>PL-2013-088098</t>
  </si>
  <si>
    <t>PL-2014-087873</t>
  </si>
  <si>
    <t>K02111</t>
  </si>
  <si>
    <t>Jacek Czernicki</t>
  </si>
  <si>
    <t>Łeba</t>
  </si>
  <si>
    <t>84-360</t>
  </si>
  <si>
    <t>PL-2013-087856</t>
  </si>
  <si>
    <t>DAX Metal Frame, Desktop, Stepped-Edge</t>
  </si>
  <si>
    <t>PL-2013-087869</t>
  </si>
  <si>
    <t>PL-2012-091311</t>
  </si>
  <si>
    <t>PL-2014-089954</t>
  </si>
  <si>
    <t>PL-2011-088958</t>
  </si>
  <si>
    <t>K02725</t>
  </si>
  <si>
    <t>Inga Szampanti</t>
  </si>
  <si>
    <t>PL-2011-089847</t>
  </si>
  <si>
    <t>PL-2014-089854</t>
  </si>
  <si>
    <t>K00697</t>
  </si>
  <si>
    <t>Justyna Trzaska</t>
  </si>
  <si>
    <t>PL-2014-089496</t>
  </si>
  <si>
    <t>K01675</t>
  </si>
  <si>
    <t>Elżbieta Góral</t>
  </si>
  <si>
    <t>PL-2013-088141</t>
  </si>
  <si>
    <t>PL-2014-091517</t>
  </si>
  <si>
    <t>K00788</t>
  </si>
  <si>
    <t>Zbigniew Walczak</t>
  </si>
  <si>
    <t>Regimin</t>
  </si>
  <si>
    <t>06-461</t>
  </si>
  <si>
    <t>K00786</t>
  </si>
  <si>
    <t>Alicja Meslin</t>
  </si>
  <si>
    <t>Międzyrzec Podlaski</t>
  </si>
  <si>
    <t>PL-2014-089064</t>
  </si>
  <si>
    <t>PL-2013-087154</t>
  </si>
  <si>
    <t>PL-2012-091390</t>
  </si>
  <si>
    <t>Avery 484</t>
  </si>
  <si>
    <t>PL-2012-086601</t>
  </si>
  <si>
    <t>PL-2013-088621</t>
  </si>
  <si>
    <t>K02317</t>
  </si>
  <si>
    <t>Grażyna Plewko</t>
  </si>
  <si>
    <t>K02320</t>
  </si>
  <si>
    <t>Zygmunt Dymski</t>
  </si>
  <si>
    <t>Karniewo</t>
  </si>
  <si>
    <t>06-425</t>
  </si>
  <si>
    <t>PL-2014-089907</t>
  </si>
  <si>
    <t>PL-2014-088834</t>
  </si>
  <si>
    <t>PL-2012-086967</t>
  </si>
  <si>
    <t>PL-2012-089078</t>
  </si>
  <si>
    <t>PL-2011-090844</t>
  </si>
  <si>
    <t>K00940</t>
  </si>
  <si>
    <t>Krzysztof Wójcik</t>
  </si>
  <si>
    <t>Łękawica</t>
  </si>
  <si>
    <t>34-321</t>
  </si>
  <si>
    <t>PL-2011-089431</t>
  </si>
  <si>
    <t>K00997</t>
  </si>
  <si>
    <t>Małgorzata Jakrzewska</t>
  </si>
  <si>
    <t>Prabuty</t>
  </si>
  <si>
    <t>82-550</t>
  </si>
  <si>
    <t>PL-2014-088617</t>
  </si>
  <si>
    <t>PL-2014-086244</t>
  </si>
  <si>
    <t>PL-2012-085899</t>
  </si>
  <si>
    <t>PL-2013-090376</t>
  </si>
  <si>
    <t>K03334</t>
  </si>
  <si>
    <t>Bronisław Broniszewski</t>
  </si>
  <si>
    <t>PL-2011-087258</t>
  </si>
  <si>
    <t>K00980</t>
  </si>
  <si>
    <t>Iwona Tkaczyk</t>
  </si>
  <si>
    <t>PL-2013-087901</t>
  </si>
  <si>
    <t>PL-2014-091307</t>
  </si>
  <si>
    <t>PL-2011-091304</t>
  </si>
  <si>
    <t>PL-2012-091031</t>
  </si>
  <si>
    <t>PL-2012-088284</t>
  </si>
  <si>
    <t>PL-2013-090210</t>
  </si>
  <si>
    <t>PL-2012-086440</t>
  </si>
  <si>
    <t>PL-2012-086741</t>
  </si>
  <si>
    <t>K01454</t>
  </si>
  <si>
    <t>Aurelia Ladzińska</t>
  </si>
  <si>
    <t>PL-2014-091207</t>
  </si>
  <si>
    <t>PL-2014-089628</t>
  </si>
  <si>
    <t>PL-2014-088902</t>
  </si>
  <si>
    <t>PL-2012-016289</t>
  </si>
  <si>
    <t>PL-2011-089497</t>
  </si>
  <si>
    <t>PL-2011-089004</t>
  </si>
  <si>
    <t>PL-2014-089445</t>
  </si>
  <si>
    <t>PL-2012-089443</t>
  </si>
  <si>
    <t>Contemporary Wood/Metal Frame</t>
  </si>
  <si>
    <t>PL-2013-086418</t>
  </si>
  <si>
    <t>PL-2011-088880</t>
  </si>
  <si>
    <t>PL-2014-088887</t>
  </si>
  <si>
    <t>PL-2014-086895</t>
  </si>
  <si>
    <t>PL-2011-089076</t>
  </si>
  <si>
    <t>PL-2013-087379</t>
  </si>
  <si>
    <t>K01883</t>
  </si>
  <si>
    <t>Dorota Kluczyk</t>
  </si>
  <si>
    <t>Kudowa-Zdrój</t>
  </si>
  <si>
    <t>57-350</t>
  </si>
  <si>
    <t>K01879</t>
  </si>
  <si>
    <t>Bogusław Czesnowski</t>
  </si>
  <si>
    <t>PL-2013-085904</t>
  </si>
  <si>
    <t>PL-2012-089875</t>
  </si>
  <si>
    <t>PL-2012-090663</t>
  </si>
  <si>
    <t>PL-2014-086879</t>
  </si>
  <si>
    <t>PL-2014-090564</t>
  </si>
  <si>
    <t>PL-2013-086657</t>
  </si>
  <si>
    <t>K02381</t>
  </si>
  <si>
    <t>Joanna Wiśniewska</t>
  </si>
  <si>
    <t>PL-2014-087827</t>
  </si>
  <si>
    <t>PL-2011-087824</t>
  </si>
  <si>
    <t>PL-2011-089631</t>
  </si>
  <si>
    <t>PL-2011-088580</t>
  </si>
  <si>
    <t>K01928</t>
  </si>
  <si>
    <t>Angelika Gawrońska</t>
  </si>
  <si>
    <t>PL-2013-088936</t>
  </si>
  <si>
    <t>Fiskars 8" Scissors, 2/Pack</t>
  </si>
  <si>
    <t>PL-2014-089786</t>
  </si>
  <si>
    <t>PL-2013-016320</t>
  </si>
  <si>
    <t>K01282</t>
  </si>
  <si>
    <t>Ireneusz Kondalski</t>
  </si>
  <si>
    <t>60-681</t>
  </si>
  <si>
    <t>PL-2014-086635</t>
  </si>
  <si>
    <t>PL-2014-087719</t>
  </si>
  <si>
    <t>PL-2014-090780</t>
  </si>
  <si>
    <t>Lesro Round Back Collection Coffee Table, End Table</t>
  </si>
  <si>
    <t>PL-2013-089510</t>
  </si>
  <si>
    <t>PL-2014-086420</t>
  </si>
  <si>
    <t>PL-2012-091521</t>
  </si>
  <si>
    <t>K02435</t>
  </si>
  <si>
    <t>Andrzej Gobosz</t>
  </si>
  <si>
    <t>PL-2014-086040</t>
  </si>
  <si>
    <t>K02642</t>
  </si>
  <si>
    <t>Tomasz Szafrański</t>
  </si>
  <si>
    <t>PL-2014-001537</t>
  </si>
  <si>
    <t>PL-2012-087506</t>
  </si>
  <si>
    <t>PL-2013-090508</t>
  </si>
  <si>
    <t>PL-2012-088270</t>
  </si>
  <si>
    <t>PL-2013-087063</t>
  </si>
  <si>
    <t>PL-2014-087205</t>
  </si>
  <si>
    <t>PL-2014-091453</t>
  </si>
  <si>
    <t>Tenex Personal Filing Tote With Secure Closure Lid, Black/Frost</t>
  </si>
  <si>
    <t>PL-2011-091036</t>
  </si>
  <si>
    <t>PL-2014-088347</t>
  </si>
  <si>
    <t>PL-2013-088384</t>
  </si>
  <si>
    <t>PL-2012-090503</t>
  </si>
  <si>
    <t>PL-2012-086109</t>
  </si>
  <si>
    <t>PL-2013-090157</t>
  </si>
  <si>
    <t>PL-2014-090795</t>
  </si>
  <si>
    <t>PL-2014-089033</t>
  </si>
  <si>
    <t>PL-2014-087311</t>
  </si>
  <si>
    <t>PL-2012-089328</t>
  </si>
  <si>
    <t>PL-2011-086263</t>
  </si>
  <si>
    <t>PL-2014-090566</t>
  </si>
  <si>
    <t>PL-2013-088226</t>
  </si>
  <si>
    <t>K02046</t>
  </si>
  <si>
    <t>Grzegorz Lipski</t>
  </si>
  <si>
    <t>Pokrzywnica</t>
  </si>
  <si>
    <t>06-121</t>
  </si>
  <si>
    <t>PL-2014-089035</t>
  </si>
  <si>
    <t>PL-2014-088276</t>
  </si>
  <si>
    <t>K02360</t>
  </si>
  <si>
    <t>Krzysztof Legun</t>
  </si>
  <si>
    <t>Małomice</t>
  </si>
  <si>
    <t>67-320</t>
  </si>
  <si>
    <t>Newell 325</t>
  </si>
  <si>
    <t>PL-2014-088068</t>
  </si>
  <si>
    <t>PL-2011-090462</t>
  </si>
  <si>
    <t>K03307</t>
  </si>
  <si>
    <t>Cyryl Turczyk</t>
  </si>
  <si>
    <t>Giby</t>
  </si>
  <si>
    <t>K03314</t>
  </si>
  <si>
    <t>Zdzisław Wons</t>
  </si>
  <si>
    <t>K03311</t>
  </si>
  <si>
    <t>Maria Skowron</t>
  </si>
  <si>
    <t>Bytnica</t>
  </si>
  <si>
    <t>PL-2013-089349</t>
  </si>
  <si>
    <t>PL-2011-088882</t>
  </si>
  <si>
    <t>PL-2014-087667</t>
  </si>
  <si>
    <t>PL-2012-087105</t>
  </si>
  <si>
    <t>PL-2014-090486</t>
  </si>
  <si>
    <t>PL-2014-085877</t>
  </si>
  <si>
    <t>K01740</t>
  </si>
  <si>
    <t>Magdalena Łapczuk</t>
  </si>
  <si>
    <t>Zamość</t>
  </si>
  <si>
    <t>22-400</t>
  </si>
  <si>
    <t>PL-2011-091363</t>
  </si>
  <si>
    <t>PL-2013-090234</t>
  </si>
  <si>
    <t>PL-2014-090628</t>
  </si>
  <si>
    <t>K02692</t>
  </si>
  <si>
    <t>Mateusz Zaliwski</t>
  </si>
  <si>
    <t>Żelechlinek</t>
  </si>
  <si>
    <t>97-226</t>
  </si>
  <si>
    <t>PL-2012-090118</t>
  </si>
  <si>
    <t>PL-2013-086237</t>
  </si>
  <si>
    <t>K03276</t>
  </si>
  <si>
    <t>Arkadiusz Ciechanowski</t>
  </si>
  <si>
    <t>Resko</t>
  </si>
  <si>
    <t>72-315</t>
  </si>
  <si>
    <t>PL-2014-090477</t>
  </si>
  <si>
    <t>K01702</t>
  </si>
  <si>
    <t>Katarzyna Andrzejewska</t>
  </si>
  <si>
    <t>PL-2013-088628</t>
  </si>
  <si>
    <t>PL-2011-088060</t>
  </si>
  <si>
    <t>K00466</t>
  </si>
  <si>
    <t>Przemysław Kerner</t>
  </si>
  <si>
    <t>Wądroże Wielkie</t>
  </si>
  <si>
    <t>59-430</t>
  </si>
  <si>
    <t>K00467</t>
  </si>
  <si>
    <t>Agata Michalik</t>
  </si>
  <si>
    <t>Dobrzyca</t>
  </si>
  <si>
    <t>63-330</t>
  </si>
  <si>
    <t>K00468</t>
  </si>
  <si>
    <t>Mirosław Pertkiewicz</t>
  </si>
  <si>
    <t>Zaręby Kościelne</t>
  </si>
  <si>
    <t>07-323</t>
  </si>
  <si>
    <t>K00469</t>
  </si>
  <si>
    <t>Beata Owsińska</t>
  </si>
  <si>
    <t>K00470</t>
  </si>
  <si>
    <t>Jan Florczak</t>
  </si>
  <si>
    <t>Głuchołazy</t>
  </si>
  <si>
    <t>48-340</t>
  </si>
  <si>
    <t>PL-2013-091314</t>
  </si>
  <si>
    <t>PL-2012-088946</t>
  </si>
  <si>
    <t>PL-2012-087797</t>
  </si>
  <si>
    <t>PL-2012-087647</t>
  </si>
  <si>
    <t>PL-2011-091236</t>
  </si>
  <si>
    <t>K01485</t>
  </si>
  <si>
    <t>Edward Bakalarz</t>
  </si>
  <si>
    <t>PL-2012-088178</t>
  </si>
  <si>
    <t>PL-2014-086430</t>
  </si>
  <si>
    <t>K02955</t>
  </si>
  <si>
    <t>Mariusz Ryngiewicz</t>
  </si>
  <si>
    <t>PL-2012-090134</t>
  </si>
  <si>
    <t>K01090</t>
  </si>
  <si>
    <t>Witold Szymański</t>
  </si>
  <si>
    <t>76-024</t>
  </si>
  <si>
    <t>PL-2012-089060</t>
  </si>
  <si>
    <t>PL-2012-086557</t>
  </si>
  <si>
    <t>PL-2014-087353</t>
  </si>
  <si>
    <t>PL-2014-090428</t>
  </si>
  <si>
    <t>PL-2013-091273</t>
  </si>
  <si>
    <t>K00614</t>
  </si>
  <si>
    <t>Piotr Skrodzki</t>
  </si>
  <si>
    <t>Gniew</t>
  </si>
  <si>
    <t>83-140</t>
  </si>
  <si>
    <t>PL-2014-086842</t>
  </si>
  <si>
    <t>PL-2013-088796</t>
  </si>
  <si>
    <t>K02166</t>
  </si>
  <si>
    <t>Małgorzata Sikora</t>
  </si>
  <si>
    <t>Karczmiska</t>
  </si>
  <si>
    <t>24-310</t>
  </si>
  <si>
    <t>K02167</t>
  </si>
  <si>
    <t>Marzena Długołęcka</t>
  </si>
  <si>
    <t>Grzmiąca</t>
  </si>
  <si>
    <t>78-450</t>
  </si>
  <si>
    <t>PL-2011-088151</t>
  </si>
  <si>
    <t>K00343</t>
  </si>
  <si>
    <t>Monika Kuźmińska</t>
  </si>
  <si>
    <t>PL-2013-087626</t>
  </si>
  <si>
    <t>K02942</t>
  </si>
  <si>
    <t>Lidia Tumłowska</t>
  </si>
  <si>
    <t>PL-2011-087552</t>
  </si>
  <si>
    <t>PL-2011-088014</t>
  </si>
  <si>
    <t>PL-2014-088021</t>
  </si>
  <si>
    <t>PL-2013-016422</t>
  </si>
  <si>
    <t>K00373</t>
  </si>
  <si>
    <t>Tadeusz Kajma</t>
  </si>
  <si>
    <t>35-051</t>
  </si>
  <si>
    <t>PL-2014-089685</t>
  </si>
  <si>
    <t>PL-2013-089853</t>
  </si>
  <si>
    <t>PL-2013-090456</t>
  </si>
  <si>
    <t>K00863</t>
  </si>
  <si>
    <t>Katarzyna Wilczyńska</t>
  </si>
  <si>
    <t>Mirsk</t>
  </si>
  <si>
    <t>59-630</t>
  </si>
  <si>
    <t>PL-2014-090842</t>
  </si>
  <si>
    <t>PL-2014-089101</t>
  </si>
  <si>
    <t>PL-2011-091076</t>
  </si>
  <si>
    <t>PL-2013-089624</t>
  </si>
  <si>
    <t>PL-2014-086241</t>
  </si>
  <si>
    <t>PL-2014-089036</t>
  </si>
  <si>
    <t>PL-2013-085910</t>
  </si>
  <si>
    <t>K00811</t>
  </si>
  <si>
    <t>Bartosz Juszczyk</t>
  </si>
  <si>
    <t>PL-2014-091523</t>
  </si>
  <si>
    <t>K03211</t>
  </si>
  <si>
    <t>Jan Zugaj</t>
  </si>
  <si>
    <t>PL-2011-091522</t>
  </si>
  <si>
    <t>PL-2013-090369</t>
  </si>
  <si>
    <t>PL-2013-089672</t>
  </si>
  <si>
    <t>K02123</t>
  </si>
  <si>
    <t>Jolanta Kacperska</t>
  </si>
  <si>
    <t>Góra Kalwaria</t>
  </si>
  <si>
    <t>05-530</t>
  </si>
  <si>
    <t>PL-2014-086049</t>
  </si>
  <si>
    <t>PL-2012-086981</t>
  </si>
  <si>
    <t>PL-2014-087412</t>
  </si>
  <si>
    <t>PL-2013-091154</t>
  </si>
  <si>
    <t>PL-2014-086141</t>
  </si>
  <si>
    <t>Strathmore #10 Envelopes, Ultimate White</t>
  </si>
  <si>
    <t>PL-2013-091254</t>
  </si>
  <si>
    <t>K03236</t>
  </si>
  <si>
    <t>Kazimierz Korniluk</t>
  </si>
  <si>
    <t>05-640</t>
  </si>
  <si>
    <t>PL-2012-086413</t>
  </si>
  <si>
    <t>PL-2014-090447</t>
  </si>
  <si>
    <t>K01409</t>
  </si>
  <si>
    <t>Stanisław Nazar</t>
  </si>
  <si>
    <t>PL-2012-090851</t>
  </si>
  <si>
    <t>K03198</t>
  </si>
  <si>
    <t>Rafał Paśko</t>
  </si>
  <si>
    <t>PL-2011-090539</t>
  </si>
  <si>
    <t>PL-2011-089450</t>
  </si>
  <si>
    <t>K01425</t>
  </si>
  <si>
    <t>Maciej Greinert</t>
  </si>
  <si>
    <t>PL-2014-090183</t>
  </si>
  <si>
    <t>PL-2014-089760</t>
  </si>
  <si>
    <t>K01331</t>
  </si>
  <si>
    <t>Karol Radziuk</t>
  </si>
  <si>
    <t>Wyryki</t>
  </si>
  <si>
    <t>22-205</t>
  </si>
  <si>
    <t>PL-2011-091321</t>
  </si>
  <si>
    <t>K02376</t>
  </si>
  <si>
    <t>Wanda Krzyżanowska</t>
  </si>
  <si>
    <t>PL-2012-086386</t>
  </si>
  <si>
    <t>PL-2012-086200</t>
  </si>
  <si>
    <t>K03039</t>
  </si>
  <si>
    <t>Jan Przedaszek</t>
  </si>
  <si>
    <t>PL-2012-088613</t>
  </si>
  <si>
    <t>K02964</t>
  </si>
  <si>
    <t>Andrzej Krywalewicz</t>
  </si>
  <si>
    <t>PL-2011-091451</t>
  </si>
  <si>
    <t>PL-2014-091423</t>
  </si>
  <si>
    <t>PL-2012-086953</t>
  </si>
  <si>
    <t>K02395</t>
  </si>
  <si>
    <t>Adam Kowalik</t>
  </si>
  <si>
    <t>Września</t>
  </si>
  <si>
    <t>62-300</t>
  </si>
  <si>
    <t>PL-2014-089127</t>
  </si>
  <si>
    <t>PL-2012-091409</t>
  </si>
  <si>
    <t>PL-2011-091017</t>
  </si>
  <si>
    <t>K02540</t>
  </si>
  <si>
    <t>Anna Dykiert</t>
  </si>
  <si>
    <t>PL-2013-089766</t>
  </si>
  <si>
    <t>K00287</t>
  </si>
  <si>
    <t>Mirosław Niedopytalski</t>
  </si>
  <si>
    <t>Pszczyna</t>
  </si>
  <si>
    <t>43-200</t>
  </si>
  <si>
    <t>PL-2011-085990</t>
  </si>
  <si>
    <t>PL-2012-086402</t>
  </si>
  <si>
    <t>PL-2014-091477</t>
  </si>
  <si>
    <t>PL-2011-089805</t>
  </si>
  <si>
    <t>K03194</t>
  </si>
  <si>
    <t>Ładysław Luberadzki</t>
  </si>
  <si>
    <t>PL-2011-089146</t>
  </si>
  <si>
    <t>K02684</t>
  </si>
  <si>
    <t>Ryszard Słomczewski</t>
  </si>
  <si>
    <t>PL-2012-090474</t>
  </si>
  <si>
    <t>PL-2012-090609</t>
  </si>
  <si>
    <t>PL-2014-087026</t>
  </si>
  <si>
    <t>PL-2012-087198</t>
  </si>
  <si>
    <t>PL-2011-085980</t>
  </si>
  <si>
    <t>PL-2011-091262</t>
  </si>
  <si>
    <t>PL-2014-087145</t>
  </si>
  <si>
    <t>K00931</t>
  </si>
  <si>
    <t>Andrzej Krajewski</t>
  </si>
  <si>
    <t>PL-2014-016480</t>
  </si>
  <si>
    <t>K02431</t>
  </si>
  <si>
    <t>Wojciech Różycki</t>
  </si>
  <si>
    <t>31-061</t>
  </si>
  <si>
    <t>PL-2013-087430</t>
  </si>
  <si>
    <t>PL-2012-086019</t>
  </si>
  <si>
    <t>PL-2012-088785</t>
  </si>
  <si>
    <t>PL-2011-090354</t>
  </si>
  <si>
    <t>PL-2012-088953</t>
  </si>
  <si>
    <t>PL-2012-087409</t>
  </si>
  <si>
    <t>PL-2014-087737</t>
  </si>
  <si>
    <t>Avery Binding System Hidden Tab™ Executive Style Index Sets</t>
  </si>
  <si>
    <t>PL-2013-090769</t>
  </si>
  <si>
    <t>K03280</t>
  </si>
  <si>
    <t>Zbigniew Luter</t>
  </si>
  <si>
    <t>PL-2012-089220</t>
  </si>
  <si>
    <t>K02455</t>
  </si>
  <si>
    <t>Magdalena Kołosowska</t>
  </si>
  <si>
    <t>Oświęcim</t>
  </si>
  <si>
    <t>32-600</t>
  </si>
  <si>
    <t>PL-2014-090811</t>
  </si>
  <si>
    <t>K00904</t>
  </si>
  <si>
    <t>Maciej Goszczyński</t>
  </si>
  <si>
    <t>PL-2013-091002</t>
  </si>
  <si>
    <t>PL-2011-086014</t>
  </si>
  <si>
    <t>K00460</t>
  </si>
  <si>
    <t>Andrzej Drapikowski</t>
  </si>
  <si>
    <t>Niechlów</t>
  </si>
  <si>
    <t>PL-2011-088666</t>
  </si>
  <si>
    <t>PL-2014-088673</t>
  </si>
  <si>
    <t>PL-2013-090858</t>
  </si>
  <si>
    <t>K01158</t>
  </si>
  <si>
    <t>Stefan Naworol</t>
  </si>
  <si>
    <t>PL-2012-091525</t>
  </si>
  <si>
    <t>K00324</t>
  </si>
  <si>
    <t>Barbara Górniak</t>
  </si>
  <si>
    <t>PL-2014-091533</t>
  </si>
  <si>
    <t>K02475</t>
  </si>
  <si>
    <t>Mirosław Dziewiałtowicz</t>
  </si>
  <si>
    <t>Lesko</t>
  </si>
  <si>
    <t>38-600</t>
  </si>
  <si>
    <t>PL-2013-089756</t>
  </si>
  <si>
    <t>K01334</t>
  </si>
  <si>
    <t>Zuzanna Chachuła</t>
  </si>
  <si>
    <t>PL-2013-086129</t>
  </si>
  <si>
    <t>PL-2012-089763</t>
  </si>
  <si>
    <t>PL-2014-088308</t>
  </si>
  <si>
    <t>PL-2014-091530</t>
  </si>
  <si>
    <t>PL-2012-091079</t>
  </si>
  <si>
    <t>PL-2012-088772</t>
  </si>
  <si>
    <t>PL-2011-087407</t>
  </si>
  <si>
    <t>K00062</t>
  </si>
  <si>
    <t>Jakub Kowalik</t>
  </si>
  <si>
    <t>Kamienna Góra</t>
  </si>
  <si>
    <t>58-400</t>
  </si>
  <si>
    <t>PL-2013-091534</t>
  </si>
  <si>
    <t>K02185</t>
  </si>
  <si>
    <t>Michał Andrzejak</t>
  </si>
  <si>
    <t>Ruciane-Nida</t>
  </si>
  <si>
    <t>12-220</t>
  </si>
  <si>
    <t>PL-2012-090015</t>
  </si>
  <si>
    <t>K02889</t>
  </si>
  <si>
    <t>Krzysztof Nowak</t>
  </si>
  <si>
    <t>PL-2014-087794</t>
  </si>
  <si>
    <t>PL-2012-087865</t>
  </si>
  <si>
    <t>PL-2014-088763</t>
  </si>
  <si>
    <t>PL-2013-086058</t>
  </si>
  <si>
    <t>PL-2014-087840</t>
  </si>
  <si>
    <t>PL-2013-086441</t>
  </si>
  <si>
    <t>PL-2014-091151</t>
  </si>
  <si>
    <t>K00606</t>
  </si>
  <si>
    <t>Wioletta Podolak</t>
  </si>
  <si>
    <t>Wojcieszów</t>
  </si>
  <si>
    <t>59-550</t>
  </si>
  <si>
    <t>PL-2011-088815</t>
  </si>
  <si>
    <t>PL-2013-088846</t>
  </si>
  <si>
    <t>PL-2012-089028</t>
  </si>
  <si>
    <t>PL-2011-091090</t>
  </si>
  <si>
    <t>K00146</t>
  </si>
  <si>
    <t>Bożena Pawłowska</t>
  </si>
  <si>
    <t>Sitkówka-Nowiny</t>
  </si>
  <si>
    <t>26-052</t>
  </si>
  <si>
    <t>PL-2014-091100</t>
  </si>
  <si>
    <t>PL-2012-091270</t>
  </si>
  <si>
    <t>PL-2014-088813</t>
  </si>
  <si>
    <t>PL-2013-086319</t>
  </si>
  <si>
    <t>PL-2012-087683</t>
  </si>
  <si>
    <t>PL-2012-088593</t>
  </si>
  <si>
    <t>PL-2014-088597</t>
  </si>
  <si>
    <t>K03355</t>
  </si>
  <si>
    <t>Mirosław Skotnicki</t>
  </si>
  <si>
    <t>Chełmek</t>
  </si>
  <si>
    <t>32-660</t>
  </si>
  <si>
    <t>PL-2014-091192</t>
  </si>
  <si>
    <t>K02105</t>
  </si>
  <si>
    <t>Jacek Rogowski</t>
  </si>
  <si>
    <t>Skarżysko-Kamienna</t>
  </si>
  <si>
    <t>26-110</t>
  </si>
  <si>
    <t>PL-2014-086453</t>
  </si>
  <si>
    <t>K03192</t>
  </si>
  <si>
    <t>Adam Gierach</t>
  </si>
  <si>
    <t>PL-2014-087503</t>
  </si>
  <si>
    <t>PL-2011-087994</t>
  </si>
  <si>
    <t>PL-2012-085954</t>
  </si>
  <si>
    <t>PL-2012-091102</t>
  </si>
  <si>
    <t>K02149</t>
  </si>
  <si>
    <t>Jan Prus</t>
  </si>
  <si>
    <t>Radwanice</t>
  </si>
  <si>
    <t>55-010</t>
  </si>
  <si>
    <t>PL-2014-086266</t>
  </si>
  <si>
    <t>K00897</t>
  </si>
  <si>
    <t>Krzysztof Baran</t>
  </si>
  <si>
    <t>PL-2012-086193</t>
  </si>
  <si>
    <t>PL-2012-091368</t>
  </si>
  <si>
    <t>K00649</t>
  </si>
  <si>
    <t>Andrzej Sudnikowicz</t>
  </si>
  <si>
    <t>PL-2013-085957</t>
  </si>
  <si>
    <t>K02279</t>
  </si>
  <si>
    <t>Dorota Kowalewska</t>
  </si>
  <si>
    <t>Pszczółki</t>
  </si>
  <si>
    <t>83-032</t>
  </si>
  <si>
    <t>PL-2014-089557</t>
  </si>
  <si>
    <t>PL-2012-089541</t>
  </si>
  <si>
    <t>K00888</t>
  </si>
  <si>
    <t>Elżbieta Brusiło</t>
  </si>
  <si>
    <t>Warka</t>
  </si>
  <si>
    <t>05-660</t>
  </si>
  <si>
    <t>PL-2014-090348</t>
  </si>
  <si>
    <t>PL-2013-091291</t>
  </si>
  <si>
    <t>PL-2012-087328</t>
  </si>
  <si>
    <t>K03110</t>
  </si>
  <si>
    <t>Jan Zieliński</t>
  </si>
  <si>
    <t>PL-2011-086064</t>
  </si>
  <si>
    <t>PL-2012-086339</t>
  </si>
  <si>
    <t>K01696</t>
  </si>
  <si>
    <t>Barbara Ożga</t>
  </si>
  <si>
    <t>Lipno</t>
  </si>
  <si>
    <t>87-600</t>
  </si>
  <si>
    <t>PL-2014-086343</t>
  </si>
  <si>
    <t>PL-2014-088811</t>
  </si>
  <si>
    <t>PL-2012-088799</t>
  </si>
  <si>
    <t>PL-2012-087612</t>
  </si>
  <si>
    <t>PL-2012-091537</t>
  </si>
  <si>
    <t>K01705</t>
  </si>
  <si>
    <t>Artur Machaj</t>
  </si>
  <si>
    <t>Borowie</t>
  </si>
  <si>
    <t>08-412</t>
  </si>
  <si>
    <t>PL-2014-091326</t>
  </si>
  <si>
    <t>PL-2014-086188</t>
  </si>
  <si>
    <t>PL-2012-086015</t>
  </si>
  <si>
    <t>K00459</t>
  </si>
  <si>
    <t>Marzena Płosaj</t>
  </si>
  <si>
    <t>PL-2013-087495</t>
  </si>
  <si>
    <t>PL-2013-090841</t>
  </si>
  <si>
    <t>K00291</t>
  </si>
  <si>
    <t>Ewa Hońko</t>
  </si>
  <si>
    <t>Czerniejewo</t>
  </si>
  <si>
    <t>62-250</t>
  </si>
  <si>
    <t>PL-2012-086087</t>
  </si>
  <si>
    <t>PL-2014-086091</t>
  </si>
  <si>
    <t>PL-2013-088933</t>
  </si>
  <si>
    <t>PL-2012-086176</t>
  </si>
  <si>
    <t>K00966</t>
  </si>
  <si>
    <t>Anna Ogonowska</t>
  </si>
  <si>
    <t>PL-2011-016547</t>
  </si>
  <si>
    <t>PL-2013-088414</t>
  </si>
  <si>
    <t>K01274</t>
  </si>
  <si>
    <t>Dariusz Guszczenko</t>
  </si>
  <si>
    <t>PL-2014-088771</t>
  </si>
  <si>
    <t>K02721</t>
  </si>
  <si>
    <t>Halina Olech</t>
  </si>
  <si>
    <t>PL-2012-090676</t>
  </si>
  <si>
    <t>K00866</t>
  </si>
  <si>
    <t>Krzysztof Piotrowski</t>
  </si>
  <si>
    <t>Jedlina-Zdrój</t>
  </si>
  <si>
    <t>58-330</t>
  </si>
  <si>
    <t>PL-2012-089009</t>
  </si>
  <si>
    <t>K01028</t>
  </si>
  <si>
    <t>Irena Laps</t>
  </si>
  <si>
    <t>PL-2013-090156</t>
  </si>
  <si>
    <t>K03390</t>
  </si>
  <si>
    <t>Magdalena Krefft</t>
  </si>
  <si>
    <t>Mirzec</t>
  </si>
  <si>
    <t>27-220</t>
  </si>
  <si>
    <t>PL-2014-091518</t>
  </si>
  <si>
    <t>PL-2011-091513</t>
  </si>
  <si>
    <t>PL-2011-088219</t>
  </si>
  <si>
    <t>PL-2013-088119</t>
  </si>
  <si>
    <t>Xerox 209</t>
  </si>
  <si>
    <t>PL-2014-090884</t>
  </si>
  <si>
    <t>PL-2013-091540</t>
  </si>
  <si>
    <t>K01833</t>
  </si>
  <si>
    <t>Józefa Giga</t>
  </si>
  <si>
    <t>PL-2012-090768</t>
  </si>
  <si>
    <t>PL-2012-086634</t>
  </si>
  <si>
    <t>K02678</t>
  </si>
  <si>
    <t>Róża Sacha</t>
  </si>
  <si>
    <t>PL-2012-086093</t>
  </si>
  <si>
    <t>PL-2014-087736</t>
  </si>
  <si>
    <t>PL-2011-089408</t>
  </si>
  <si>
    <t>PL-2014-091548</t>
  </si>
  <si>
    <t>K01802</t>
  </si>
  <si>
    <t>Zenon Dropko</t>
  </si>
  <si>
    <t>Bodzentyn</t>
  </si>
  <si>
    <t>26-010</t>
  </si>
  <si>
    <t>Avery Non-Stick Binders</t>
  </si>
  <si>
    <t>PL-2011-091543</t>
  </si>
  <si>
    <t>PL-2012-091302</t>
  </si>
  <si>
    <t>PL-2014-090939</t>
  </si>
  <si>
    <t>K01582</t>
  </si>
  <si>
    <t>Piotr Szymkiewicz</t>
  </si>
  <si>
    <t>PL-2013-090179</t>
  </si>
  <si>
    <t>K01760</t>
  </si>
  <si>
    <t>Jan Pasek</t>
  </si>
  <si>
    <t>PL-2012-088167</t>
  </si>
  <si>
    <t>PL-2014-089559</t>
  </si>
  <si>
    <t>PL-2013-088095</t>
  </si>
  <si>
    <t>PL-2011-086309</t>
  </si>
  <si>
    <t>PL-2013-091539</t>
  </si>
  <si>
    <t>PL-2013-089833</t>
  </si>
  <si>
    <t>PL-2012-090470</t>
  </si>
  <si>
    <t>PL-2014-088631</t>
  </si>
  <si>
    <t>K02881</t>
  </si>
  <si>
    <t>Witold Prucnal</t>
  </si>
  <si>
    <t>PL-2013-085997</t>
  </si>
  <si>
    <t>K01817</t>
  </si>
  <si>
    <t>Danuta Szczygieł</t>
  </si>
  <si>
    <t>Serniki</t>
  </si>
  <si>
    <t>21-107</t>
  </si>
  <si>
    <t>PL-2012-087166</t>
  </si>
  <si>
    <t>PL-2013-086197</t>
  </si>
  <si>
    <t>PL-2012-089962</t>
  </si>
  <si>
    <t>K00164</t>
  </si>
  <si>
    <t>Przemysław Poplewski</t>
  </si>
  <si>
    <t>Jordanów</t>
  </si>
  <si>
    <t>34-240</t>
  </si>
  <si>
    <t>PL-2013-089690</t>
  </si>
  <si>
    <t>K01348</t>
  </si>
  <si>
    <t>Piotr Wilczyński</t>
  </si>
  <si>
    <t>PL-2014-088250</t>
  </si>
  <si>
    <t>PL-2014-089388</t>
  </si>
  <si>
    <t>PL-2011-088824</t>
  </si>
  <si>
    <t>PL-2011-089993</t>
  </si>
  <si>
    <t>PL-2012-089390</t>
  </si>
  <si>
    <t>K01045</t>
  </si>
  <si>
    <t>Marek Orliński</t>
  </si>
  <si>
    <t>Ciasna</t>
  </si>
  <si>
    <t>42-793</t>
  </si>
  <si>
    <t>PL-2013-091337</t>
  </si>
  <si>
    <t>PL-2013-091544</t>
  </si>
  <si>
    <t>PL-2014-089352</t>
  </si>
  <si>
    <t>PL-2012-089764</t>
  </si>
  <si>
    <t>PL-2014-089768</t>
  </si>
  <si>
    <t>PL-2011-090752</t>
  </si>
  <si>
    <t>PL-2014-090759</t>
  </si>
  <si>
    <t>PL-2014-086607</t>
  </si>
  <si>
    <t>PL-2012-088944</t>
  </si>
  <si>
    <t>PL-2013-089180</t>
  </si>
  <si>
    <t>K02197</t>
  </si>
  <si>
    <t>Ireneusz Bednarczyk</t>
  </si>
  <si>
    <t>00-536</t>
  </si>
  <si>
    <t>PL-2014-090164</t>
  </si>
  <si>
    <t>PL-2013-087262</t>
  </si>
  <si>
    <t>K00979</t>
  </si>
  <si>
    <t>Marek Brodowski</t>
  </si>
  <si>
    <t>PL-2014-087882</t>
  </si>
  <si>
    <t>PL-2013-090276</t>
  </si>
  <si>
    <t>PL-2012-086078</t>
  </si>
  <si>
    <t>PL-2012-090911</t>
  </si>
  <si>
    <t>K00550</t>
  </si>
  <si>
    <t>Rafał Skrętowicz</t>
  </si>
  <si>
    <t>Ceków-Kolonia</t>
  </si>
  <si>
    <t>62-834</t>
  </si>
  <si>
    <t>PL-2014-087266</t>
  </si>
  <si>
    <t>PL-2012-088086</t>
  </si>
  <si>
    <t>K00445</t>
  </si>
  <si>
    <t>Kinga Witkowska</t>
  </si>
  <si>
    <t>Lewin Kłodzki</t>
  </si>
  <si>
    <t>PL-2014-088092</t>
  </si>
  <si>
    <t>PL-2012-091551</t>
  </si>
  <si>
    <t>K01970</t>
  </si>
  <si>
    <t>Jan Grzybowski</t>
  </si>
  <si>
    <t>Duszniki-Zdrój</t>
  </si>
  <si>
    <t>57-340</t>
  </si>
  <si>
    <t>K01971</t>
  </si>
  <si>
    <t>Leszek Smyk</t>
  </si>
  <si>
    <t>Szepietowo</t>
  </si>
  <si>
    <t>18-210</t>
  </si>
  <si>
    <t>PL-2011-087316</t>
  </si>
  <si>
    <t>PL-2014-086044</t>
  </si>
  <si>
    <t>PL-2012-087428</t>
  </si>
  <si>
    <t>PL-2014-089170</t>
  </si>
  <si>
    <t>PL-2013-088989</t>
  </si>
  <si>
    <t>K02343</t>
  </si>
  <si>
    <t>Ryszard Ławrynowicz</t>
  </si>
  <si>
    <t>PL-2012-087120</t>
  </si>
  <si>
    <t>PL-2012-089753</t>
  </si>
  <si>
    <t>K01322</t>
  </si>
  <si>
    <t>Tomasz Wiśniewski</t>
  </si>
  <si>
    <t>PL-2011-088722</t>
  </si>
  <si>
    <t>K02323</t>
  </si>
  <si>
    <t>Rafał Wasiszek</t>
  </si>
  <si>
    <t>PL-2014-090946</t>
  </si>
  <si>
    <t>PL-2014-089590</t>
  </si>
  <si>
    <t>PL-2014-091359</t>
  </si>
  <si>
    <t>PL-2014-087144</t>
  </si>
  <si>
    <t>K00923</t>
  </si>
  <si>
    <t>Andrzej Kwiatkowski</t>
  </si>
  <si>
    <t>PL-2011-090236</t>
  </si>
  <si>
    <t>PL-2011-088942</t>
  </si>
  <si>
    <t>PL-2012-091288</t>
  </si>
  <si>
    <t>PL-2014-090435</t>
  </si>
  <si>
    <t>PL-2012-089995</t>
  </si>
  <si>
    <t>PL-2014-089229</t>
  </si>
  <si>
    <t>PL-2014-091241</t>
  </si>
  <si>
    <t>K02042</t>
  </si>
  <si>
    <t>Stefan Kozicki</t>
  </si>
  <si>
    <t>PL-2011-087175</t>
  </si>
  <si>
    <t>K00092</t>
  </si>
  <si>
    <t>Edwarda Dziwik</t>
  </si>
  <si>
    <t>Rzepiennik Strzyżewski</t>
  </si>
  <si>
    <t>33-163</t>
  </si>
  <si>
    <t>PL-2014-086714</t>
  </si>
  <si>
    <t>K01447</t>
  </si>
  <si>
    <t>Krystian Kowalewski</t>
  </si>
  <si>
    <t>Łask</t>
  </si>
  <si>
    <t>98-100</t>
  </si>
  <si>
    <t>PL-2013-087448</t>
  </si>
  <si>
    <t>K01902</t>
  </si>
  <si>
    <t>Krzysztof Chrząszcz</t>
  </si>
  <si>
    <t>63-430</t>
  </si>
  <si>
    <t>PL-2012-087539</t>
  </si>
  <si>
    <t>PL-2013-089581</t>
  </si>
  <si>
    <t>PL-2014-088134</t>
  </si>
  <si>
    <t>K00543</t>
  </si>
  <si>
    <t>Marek Pawłowski</t>
  </si>
  <si>
    <t>Łapy</t>
  </si>
  <si>
    <t>PL-2014-091405</t>
  </si>
  <si>
    <t>K00632</t>
  </si>
  <si>
    <t>Zdzisław Kmieć</t>
  </si>
  <si>
    <t>Kalety</t>
  </si>
  <si>
    <t>42-660</t>
  </si>
  <si>
    <t>PL-2014-086620</t>
  </si>
  <si>
    <t>PL-2013-087986</t>
  </si>
  <si>
    <t>K00702</t>
  </si>
  <si>
    <t>Jan Klimaszewski</t>
  </si>
  <si>
    <t>Sochaczew</t>
  </si>
  <si>
    <t>96-503</t>
  </si>
  <si>
    <t>K00707</t>
  </si>
  <si>
    <t>Stanisław Panek</t>
  </si>
  <si>
    <t>PL-2014-088822</t>
  </si>
  <si>
    <t>K02813</t>
  </si>
  <si>
    <t>Jarosław Banaś</t>
  </si>
  <si>
    <t>PL-2014-091172</t>
  </si>
  <si>
    <t>K02588</t>
  </si>
  <si>
    <t>Lechosław Minkiewicz</t>
  </si>
  <si>
    <t>Wiązów</t>
  </si>
  <si>
    <t>PL-2011-088329</t>
  </si>
  <si>
    <t>K03243</t>
  </si>
  <si>
    <t>Jowita Pawlak</t>
  </si>
  <si>
    <t>PL-2014-086636</t>
  </si>
  <si>
    <t>PL-2012-088523</t>
  </si>
  <si>
    <t>Xerox 1968</t>
  </si>
  <si>
    <t>PL-2012-088891</t>
  </si>
  <si>
    <t>PL-2012-086318</t>
  </si>
  <si>
    <t>K00595</t>
  </si>
  <si>
    <t>Magdalena Pawlewicz</t>
  </si>
  <si>
    <t>Tuchola</t>
  </si>
  <si>
    <t>89-500</t>
  </si>
  <si>
    <t>PL-2014-090159</t>
  </si>
  <si>
    <t>K03389</t>
  </si>
  <si>
    <t>Izabela Kulec</t>
  </si>
  <si>
    <t>Miedzichowo</t>
  </si>
  <si>
    <t>PL-2012-091019</t>
  </si>
  <si>
    <t>PL-2012-089103</t>
  </si>
  <si>
    <t>PL-2014-090733</t>
  </si>
  <si>
    <t>K01500</t>
  </si>
  <si>
    <t>Władysław Kiraga</t>
  </si>
  <si>
    <t>46-200</t>
  </si>
  <si>
    <t>PL-2011-085966</t>
  </si>
  <si>
    <t>K00211</t>
  </si>
  <si>
    <t>Robert Stankiewicz</t>
  </si>
  <si>
    <t>Brzozów</t>
  </si>
  <si>
    <t>36-200</t>
  </si>
  <si>
    <t>PL-2013-087988</t>
  </si>
  <si>
    <t>Hon Valutask™ Swivel Chairs</t>
  </si>
  <si>
    <t>PL-2014-087527</t>
  </si>
  <si>
    <t>PL-2011-086124</t>
  </si>
  <si>
    <t>PL-2013-088345</t>
  </si>
  <si>
    <t>PL-2013-090370</t>
  </si>
  <si>
    <t>PL-2014-086806</t>
  </si>
  <si>
    <t>K03135</t>
  </si>
  <si>
    <t>Wioletta Szafrańska</t>
  </si>
  <si>
    <t>PL-2014-086554</t>
  </si>
  <si>
    <t>Xerox 1998</t>
  </si>
  <si>
    <t>PL-2011-086548</t>
  </si>
  <si>
    <t>PL-2014-089748</t>
  </si>
  <si>
    <t>K02817</t>
  </si>
  <si>
    <t>Mariusz Kaźmierski</t>
  </si>
  <si>
    <t>Zawidów</t>
  </si>
  <si>
    <t>59-970</t>
  </si>
  <si>
    <t>PL-2012-088517</t>
  </si>
  <si>
    <t>PL-2014-088521</t>
  </si>
  <si>
    <t>K00127</t>
  </si>
  <si>
    <t>Marian Sekulski</t>
  </si>
  <si>
    <t>70-535</t>
  </si>
  <si>
    <t>PL-2012-088513</t>
  </si>
  <si>
    <t>K00535</t>
  </si>
  <si>
    <t>Sławomir Nelus</t>
  </si>
  <si>
    <t>PL-2011-091555</t>
  </si>
  <si>
    <t>K01247</t>
  </si>
  <si>
    <t>Jacek Ogrodziński</t>
  </si>
  <si>
    <t>Dubeninki</t>
  </si>
  <si>
    <t>19-504</t>
  </si>
  <si>
    <t>PL-2013-088532</t>
  </si>
  <si>
    <t>K00224</t>
  </si>
  <si>
    <t>Katarzyna Hatłas</t>
  </si>
  <si>
    <t>Sławatycze</t>
  </si>
  <si>
    <t>21-515</t>
  </si>
  <si>
    <t>PL-2011-087003</t>
  </si>
  <si>
    <t>PL-2012-086878</t>
  </si>
  <si>
    <t>PL-2013-090381</t>
  </si>
  <si>
    <t>K01231</t>
  </si>
  <si>
    <t>Mieczysław Mularczyk</t>
  </si>
  <si>
    <t>Modliborzyce</t>
  </si>
  <si>
    <t>23-310</t>
  </si>
  <si>
    <t>PL-2014-090914</t>
  </si>
  <si>
    <t>PL-2014-086090</t>
  </si>
  <si>
    <t>K02969</t>
  </si>
  <si>
    <t>Zbigniew Madejczyk</t>
  </si>
  <si>
    <t>Żychlin</t>
  </si>
  <si>
    <t>99-320</t>
  </si>
  <si>
    <t>PL-2013-088315</t>
  </si>
  <si>
    <t>PL-2012-090632</t>
  </si>
  <si>
    <t>PL-2012-088696</t>
  </si>
  <si>
    <t>K02243</t>
  </si>
  <si>
    <t>Michał Stefański</t>
  </si>
  <si>
    <t>PL-2013-089188</t>
  </si>
  <si>
    <t>K02386</t>
  </si>
  <si>
    <t>Iwona Witkowska</t>
  </si>
  <si>
    <t>Lidzbark Warmiński</t>
  </si>
  <si>
    <t>11-100</t>
  </si>
  <si>
    <t>PL-2014-086025</t>
  </si>
  <si>
    <t>K00458</t>
  </si>
  <si>
    <t>Sylwia Łojek</t>
  </si>
  <si>
    <t>PL-2013-091134</t>
  </si>
  <si>
    <t>PL-2011-090871</t>
  </si>
  <si>
    <t>PL-2014-088467</t>
  </si>
  <si>
    <t>PL-2014-085823</t>
  </si>
  <si>
    <t>PL-2011-016676</t>
  </si>
  <si>
    <t>PL-2011-087979</t>
  </si>
  <si>
    <t>PL-2012-088051</t>
  </si>
  <si>
    <t>PL-2013-088509</t>
  </si>
  <si>
    <t>K00689</t>
  </si>
  <si>
    <t>Kornel Kurowski</t>
  </si>
  <si>
    <t>PL-2013-086954</t>
  </si>
  <si>
    <t>PL-2011-088487</t>
  </si>
  <si>
    <t>K01548</t>
  </si>
  <si>
    <t>Magdalena Drogomirecka</t>
  </si>
  <si>
    <t>PL-2013-089239</t>
  </si>
  <si>
    <t>K00205</t>
  </si>
  <si>
    <t>Żaneta Kwapisz</t>
  </si>
  <si>
    <t>PL-2013-088053</t>
  </si>
  <si>
    <t>PL-2011-087374</t>
  </si>
  <si>
    <t>PL-2014-088087</t>
  </si>
  <si>
    <t>PL-2011-088083</t>
  </si>
  <si>
    <t>14-7/8 x 11 Blue Bar Computer Printout Paper</t>
  </si>
  <si>
    <t>PL-2011-091366</t>
  </si>
  <si>
    <t>PL-2013-088845</t>
  </si>
  <si>
    <t>K03380</t>
  </si>
  <si>
    <t>Michał Hypki</t>
  </si>
  <si>
    <t>Kraśniczyn</t>
  </si>
  <si>
    <t>Hewlett Packard 6S Scientific Calculator</t>
  </si>
  <si>
    <t>PL-2014-090606</t>
  </si>
  <si>
    <t>K01627</t>
  </si>
  <si>
    <t>Tadeusz Kopaszewski</t>
  </si>
  <si>
    <t>Zaleszany</t>
  </si>
  <si>
    <t>37-415</t>
  </si>
  <si>
    <t>PL-2012-086739</t>
  </si>
  <si>
    <t>K01451</t>
  </si>
  <si>
    <t>K01450</t>
  </si>
  <si>
    <t>Artur Echaust</t>
  </si>
  <si>
    <t>Poczesna</t>
  </si>
  <si>
    <t>42-262</t>
  </si>
  <si>
    <t>Newell 351</t>
  </si>
  <si>
    <t>PL-2011-086466</t>
  </si>
  <si>
    <t>PL-2012-091560</t>
  </si>
  <si>
    <t>K01319</t>
  </si>
  <si>
    <t>Bogdan Wdówka</t>
  </si>
  <si>
    <t>Prażmów</t>
  </si>
  <si>
    <t>PL-2014-090574</t>
  </si>
  <si>
    <t>PL-2012-090664</t>
  </si>
  <si>
    <t>K01301</t>
  </si>
  <si>
    <t>Wioletta Gunther</t>
  </si>
  <si>
    <t>Twardogóra</t>
  </si>
  <si>
    <t>56-416</t>
  </si>
  <si>
    <t>PL-2012-090654</t>
  </si>
  <si>
    <t>PL-2012-087390</t>
  </si>
  <si>
    <t>K00299</t>
  </si>
  <si>
    <t>Konrad Radziusz</t>
  </si>
  <si>
    <t>Maciejowice</t>
  </si>
  <si>
    <t>PL-2014-088711</t>
  </si>
  <si>
    <t>PL-2012-087047</t>
  </si>
  <si>
    <t>PL-2014-091384</t>
  </si>
  <si>
    <t>PL-2014-090703</t>
  </si>
  <si>
    <t>K00430</t>
  </si>
  <si>
    <t>Józef Wypijewski</t>
  </si>
  <si>
    <t>Koronowo</t>
  </si>
  <si>
    <t>86-010</t>
  </si>
  <si>
    <t>PL-2014-087082</t>
  </si>
  <si>
    <t>PL-2014-088765</t>
  </si>
  <si>
    <t>PL-2011-088838</t>
  </si>
  <si>
    <t>PL-2014-086606</t>
  </si>
  <si>
    <t>PL-2014-089675</t>
  </si>
  <si>
    <t>PL-2014-091563</t>
  </si>
  <si>
    <t>K03213</t>
  </si>
  <si>
    <t>Stanisław Frankowski</t>
  </si>
  <si>
    <t>PL-2012-090060</t>
  </si>
  <si>
    <t>24 Capacity Maxi Data Binder Racks, Pearl</t>
  </si>
  <si>
    <t>PL-2011-089789</t>
  </si>
  <si>
    <t>PL-2014-089795</t>
  </si>
  <si>
    <t>PL-2011-088746</t>
  </si>
  <si>
    <t>PL-2014-088751</t>
  </si>
  <si>
    <t>PL-2014-091199</t>
  </si>
  <si>
    <t>PL-2014-091096</t>
  </si>
  <si>
    <t>PL-2013-090968</t>
  </si>
  <si>
    <t>PL-2013-088947</t>
  </si>
  <si>
    <t>K00270</t>
  </si>
  <si>
    <t>Joanna Zielińska</t>
  </si>
  <si>
    <t>PL-2011-087795</t>
  </si>
  <si>
    <t>PL-2013-087441</t>
  </si>
  <si>
    <t>PL-2013-016710</t>
  </si>
  <si>
    <t>PL-2011-089327</t>
  </si>
  <si>
    <t>PL-2011-087178</t>
  </si>
  <si>
    <t>PL-2013-089187</t>
  </si>
  <si>
    <t>PL-2012-087937</t>
  </si>
  <si>
    <t>PL-2014-088896</t>
  </si>
  <si>
    <t>PL-2011-090910</t>
  </si>
  <si>
    <t>PL-2011-090753</t>
  </si>
  <si>
    <t>PL-2014-087315</t>
  </si>
  <si>
    <t>K00097</t>
  </si>
  <si>
    <t>Arkadiusz Zalega</t>
  </si>
  <si>
    <t>Wieleń</t>
  </si>
  <si>
    <t>64-234</t>
  </si>
  <si>
    <t>PL-2011-087317</t>
  </si>
  <si>
    <t>PL-2013-090344</t>
  </si>
  <si>
    <t>PL-2014-087131</t>
  </si>
  <si>
    <t>PL-2014-091547</t>
  </si>
  <si>
    <t>PL-2012-086593</t>
  </si>
  <si>
    <t>K02922</t>
  </si>
  <si>
    <t>Tadeusz ŚŚwiderski</t>
  </si>
  <si>
    <t>PL-2012-087753</t>
  </si>
  <si>
    <t>PL-2013-086450</t>
  </si>
  <si>
    <t>PL-2012-089221</t>
  </si>
  <si>
    <t>PL-2014-086628</t>
  </si>
  <si>
    <t>PL-2014-086832</t>
  </si>
  <si>
    <t>PL-2014-091149</t>
  </si>
  <si>
    <t>PL-2012-091556</t>
  </si>
  <si>
    <t>PL-2012-087009</t>
  </si>
  <si>
    <t>K01304</t>
  </si>
  <si>
    <t>Artur Kuświk</t>
  </si>
  <si>
    <t>Kobyłka</t>
  </si>
  <si>
    <t>05-230</t>
  </si>
  <si>
    <t>PL-2013-091440</t>
  </si>
  <si>
    <t>K03360</t>
  </si>
  <si>
    <t>Danuta Stawicka</t>
  </si>
  <si>
    <t>Łazy</t>
  </si>
  <si>
    <t>42-450</t>
  </si>
  <si>
    <t>PL-2012-016741</t>
  </si>
  <si>
    <t>PL-2012-087088</t>
  </si>
  <si>
    <t>PL-2013-089422</t>
  </si>
  <si>
    <t>K03074</t>
  </si>
  <si>
    <t>Wioletta Koziróg</t>
  </si>
  <si>
    <t>PL-2014-085824</t>
  </si>
  <si>
    <t>K02410</t>
  </si>
  <si>
    <t>Magdalena Dąbrówka</t>
  </si>
  <si>
    <t>Szczytna</t>
  </si>
  <si>
    <t>57-330</t>
  </si>
  <si>
    <t>PL-2011-091263</t>
  </si>
  <si>
    <t>K01894</t>
  </si>
  <si>
    <t>Katarzyna Ziemann</t>
  </si>
  <si>
    <t>Quality Park Security Envelopes</t>
  </si>
  <si>
    <t>PL-2011-088280</t>
  </si>
  <si>
    <t>K02861</t>
  </si>
  <si>
    <t>Janusz Dymidów</t>
  </si>
  <si>
    <t>PL-2014-086032</t>
  </si>
  <si>
    <t>K00457</t>
  </si>
  <si>
    <t>Marlena Michalska</t>
  </si>
  <si>
    <t>Jabłonna Lacka</t>
  </si>
  <si>
    <t>08-304</t>
  </si>
  <si>
    <t>K00461</t>
  </si>
  <si>
    <t>Kamila Dorsz</t>
  </si>
  <si>
    <t>K00455</t>
  </si>
  <si>
    <t>Przemysław Gromadzki</t>
  </si>
  <si>
    <t>PL-2014-087158</t>
  </si>
  <si>
    <t>PL-2013-091483</t>
  </si>
  <si>
    <t>PL-2014-091191</t>
  </si>
  <si>
    <t>PL-2012-089098</t>
  </si>
  <si>
    <t>PL-2011-091297</t>
  </si>
  <si>
    <t>K03351</t>
  </si>
  <si>
    <t>Edyta Waracka</t>
  </si>
  <si>
    <t>Sucha Beskidzka</t>
  </si>
  <si>
    <t>34-200</t>
  </si>
  <si>
    <t>PL-2011-087569</t>
  </si>
  <si>
    <t>PL-2012-089640</t>
  </si>
  <si>
    <t>K00409</t>
  </si>
  <si>
    <t>Dawid Szczesiak</t>
  </si>
  <si>
    <t>PL-2014-088585</t>
  </si>
  <si>
    <t>PL-2013-087607</t>
  </si>
  <si>
    <t>Acco Clips to Go™ Binder Clips, 24 Clips in Two Sizes</t>
  </si>
  <si>
    <t>PL-2012-089347</t>
  </si>
  <si>
    <t>K00716</t>
  </si>
  <si>
    <t>Krystyna Roman</t>
  </si>
  <si>
    <t>PL-2014-088195</t>
  </si>
  <si>
    <t>PL-2013-088689</t>
  </si>
  <si>
    <t>PL-2012-087163</t>
  </si>
  <si>
    <t>K02780</t>
  </si>
  <si>
    <t>Feliks Świderek</t>
  </si>
  <si>
    <t>PL-2011-091261</t>
  </si>
  <si>
    <t>PL-2012-089467</t>
  </si>
  <si>
    <t>K02177</t>
  </si>
  <si>
    <t>Izabela Helman</t>
  </si>
  <si>
    <t>Piwniczna-Zdrój</t>
  </si>
  <si>
    <t>33-350</t>
  </si>
  <si>
    <t>K02180</t>
  </si>
  <si>
    <t>Piotr Ordyński</t>
  </si>
  <si>
    <t>Przykona</t>
  </si>
  <si>
    <t>62-731</t>
  </si>
  <si>
    <t>PL-2014-086625</t>
  </si>
  <si>
    <t>PL-2011-087031</t>
  </si>
  <si>
    <t>K02508</t>
  </si>
  <si>
    <t>Urszula Pryłowska</t>
  </si>
  <si>
    <t>PL-2014-088338</t>
  </si>
  <si>
    <t>K03242</t>
  </si>
  <si>
    <t>Anna Wiąz</t>
  </si>
  <si>
    <t>Pułtusk</t>
  </si>
  <si>
    <t>06-100</t>
  </si>
  <si>
    <t>PL-2011-088330</t>
  </si>
  <si>
    <t>K03246</t>
  </si>
  <si>
    <t>Dominik Tomczyk</t>
  </si>
  <si>
    <t>PL-2013-088129</t>
  </si>
  <si>
    <t>K00544</t>
  </si>
  <si>
    <t>Tomasz Syroka</t>
  </si>
  <si>
    <t>PL-2014-016772</t>
  </si>
  <si>
    <t>PL-2011-091424</t>
  </si>
  <si>
    <t>PL-2014-087949</t>
  </si>
  <si>
    <t>K00067</t>
  </si>
  <si>
    <t>Joanna Dworaczyk</t>
  </si>
  <si>
    <t>Węgrów</t>
  </si>
  <si>
    <t>PL-2011-087946</t>
  </si>
  <si>
    <t>PL-2012-086641</t>
  </si>
  <si>
    <t>PL-2011-089202</t>
  </si>
  <si>
    <t>PL-2013-086779</t>
  </si>
  <si>
    <t>PL-2012-086670</t>
  </si>
  <si>
    <t>PL-2012-088560</t>
  </si>
  <si>
    <t>PL-2014-088567</t>
  </si>
  <si>
    <t>PL-2012-090328</t>
  </si>
  <si>
    <t>PL-2014-090358</t>
  </si>
  <si>
    <t>PL-2014-086843</t>
  </si>
  <si>
    <t>PL-2013-086072</t>
  </si>
  <si>
    <t>K02656</t>
  </si>
  <si>
    <t>Ryszard Maksymiuk</t>
  </si>
  <si>
    <t>Sadowne</t>
  </si>
  <si>
    <t>07-140</t>
  </si>
  <si>
    <t>PL-2012-088591</t>
  </si>
  <si>
    <t>PL-2012-087368</t>
  </si>
  <si>
    <t>K00084</t>
  </si>
  <si>
    <t>Maciej Zawadzki</t>
  </si>
  <si>
    <t>Pabianice</t>
  </si>
  <si>
    <t>95-200</t>
  </si>
  <si>
    <t>Hoover Commercial Lightweight Upright Vacuum with E-Z Empty™ Dirt Cup</t>
  </si>
  <si>
    <t>PL-2014-086289</t>
  </si>
  <si>
    <t>PL-2011-086284</t>
  </si>
  <si>
    <t>PL-2011-091389</t>
  </si>
  <si>
    <t>PL-2013-087124</t>
  </si>
  <si>
    <t>PL-2011-086144</t>
  </si>
  <si>
    <t>K01405</t>
  </si>
  <si>
    <t>Monika Kowalska</t>
  </si>
  <si>
    <t>Wyrzysk</t>
  </si>
  <si>
    <t>89-300</t>
  </si>
  <si>
    <t>PL-2011-090624</t>
  </si>
  <si>
    <t>K02693</t>
  </si>
  <si>
    <t>Małgorzata Zajączkowska</t>
  </si>
  <si>
    <t>K02689</t>
  </si>
  <si>
    <t>Marian Sieradzki</t>
  </si>
  <si>
    <t>Człuchów</t>
  </si>
  <si>
    <t>PL-2011-089176</t>
  </si>
  <si>
    <t>PL-2011-087057</t>
  </si>
  <si>
    <t>PL-2014-090830</t>
  </si>
  <si>
    <t>PL-2014-088080</t>
  </si>
  <si>
    <t>PL-2014-091260</t>
  </si>
  <si>
    <t>K01984</t>
  </si>
  <si>
    <t>Ryszard Socha</t>
  </si>
  <si>
    <t>PL-2013-091348</t>
  </si>
  <si>
    <t>K01152</t>
  </si>
  <si>
    <t>Bożena Rolbiecka</t>
  </si>
  <si>
    <t>K01150</t>
  </si>
  <si>
    <t>Mieczysław Jastrzębski</t>
  </si>
  <si>
    <t>Pątnów</t>
  </si>
  <si>
    <t>98-335</t>
  </si>
  <si>
    <t>PL-2011-088461</t>
  </si>
  <si>
    <t>PL-2011-090557</t>
  </si>
  <si>
    <t>PL-2014-090784</t>
  </si>
  <si>
    <t>PL-2014-088037</t>
  </si>
  <si>
    <t>PL-2011-088030</t>
  </si>
  <si>
    <t>PL-2013-089527</t>
  </si>
  <si>
    <t>K00153</t>
  </si>
  <si>
    <t>Lidia Kłosowska</t>
  </si>
  <si>
    <t>Chodecz</t>
  </si>
  <si>
    <t>87-860</t>
  </si>
  <si>
    <t>PL-2013-091290</t>
  </si>
  <si>
    <t>K02366</t>
  </si>
  <si>
    <t>Karolina Szarłata</t>
  </si>
  <si>
    <t>PL-2014-091350</t>
  </si>
  <si>
    <t>K01149</t>
  </si>
  <si>
    <t>Brygida Bulanowska</t>
  </si>
  <si>
    <t>Kock</t>
  </si>
  <si>
    <t>PL-2011-088545</t>
  </si>
  <si>
    <t>PL-2014-089774</t>
  </si>
  <si>
    <t>K00834</t>
  </si>
  <si>
    <t>Józef Ryźlak</t>
  </si>
  <si>
    <t>PL-2011-087296</t>
  </si>
  <si>
    <t>PL-2012-091324</t>
  </si>
  <si>
    <t>K02378</t>
  </si>
  <si>
    <t>Krystyna Kubińska</t>
  </si>
  <si>
    <t>62-402</t>
  </si>
  <si>
    <t>PL-2013-087781</t>
  </si>
  <si>
    <t>PL-2014-089081</t>
  </si>
  <si>
    <t>PL-2013-090196</t>
  </si>
  <si>
    <t>K00012</t>
  </si>
  <si>
    <t>Wanda Szuster</t>
  </si>
  <si>
    <t>PL-2011-090303</t>
  </si>
  <si>
    <t>K01511</t>
  </si>
  <si>
    <t>Eugeniusz Grochowski</t>
  </si>
  <si>
    <t>Strzelce Krajeńskie</t>
  </si>
  <si>
    <t>66-500</t>
  </si>
  <si>
    <t>PL-2013-089883</t>
  </si>
  <si>
    <t>PL-2013-086042</t>
  </si>
  <si>
    <t>K00318</t>
  </si>
  <si>
    <t>Agnieszka Wilczańska</t>
  </si>
  <si>
    <t>PL-2014-087067</t>
  </si>
  <si>
    <t>PL-2012-087466</t>
  </si>
  <si>
    <t>PL-2012-091443</t>
  </si>
  <si>
    <t>K02624</t>
  </si>
  <si>
    <t>Urszula Rutkowska</t>
  </si>
  <si>
    <t>PL-2011-090551</t>
  </si>
  <si>
    <t>PL-2014-090555</t>
  </si>
  <si>
    <t>K02673</t>
  </si>
  <si>
    <t>Andrzej Kondziołka</t>
  </si>
  <si>
    <t>Padew Narodowa</t>
  </si>
  <si>
    <t>39-340</t>
  </si>
  <si>
    <t>PL-2012-091188</t>
  </si>
  <si>
    <t>PL-2011-088975</t>
  </si>
  <si>
    <t>PL-2012-090697</t>
  </si>
  <si>
    <t>PL-2011-087696</t>
  </si>
  <si>
    <t>K02302</t>
  </si>
  <si>
    <t>Wiesław Przybyszewski</t>
  </si>
  <si>
    <t>PL-2013-088860</t>
  </si>
  <si>
    <t>K01963</t>
  </si>
  <si>
    <t>Paweł Horajski</t>
  </si>
  <si>
    <t>Dłutów</t>
  </si>
  <si>
    <t>95-081</t>
  </si>
  <si>
    <t>PL-2012-091182</t>
  </si>
  <si>
    <t>PL-2014-087563</t>
  </si>
  <si>
    <t>PL-2014-016806</t>
  </si>
  <si>
    <t>PL-2011-087553</t>
  </si>
  <si>
    <t>K02796</t>
  </si>
  <si>
    <t>Tomasz Budzyński</t>
  </si>
  <si>
    <t>PL-2012-091567</t>
  </si>
  <si>
    <t>K03159</t>
  </si>
  <si>
    <t>Karina Surma</t>
  </si>
  <si>
    <t>PL-2014-091568</t>
  </si>
  <si>
    <t>K03160</t>
  </si>
  <si>
    <t>Roman Kwiatkowski</t>
  </si>
  <si>
    <t>59-100</t>
  </si>
  <si>
    <t>PL-2012-087892</t>
  </si>
  <si>
    <t>PL-2014-089380</t>
  </si>
  <si>
    <t>PL-2011-090613</t>
  </si>
  <si>
    <t>PL-2011-091435</t>
  </si>
  <si>
    <t>PL-2012-016806</t>
  </si>
  <si>
    <t>K03361</t>
  </si>
  <si>
    <t>Adam Mularczyk</t>
  </si>
  <si>
    <t>Zagrodno</t>
  </si>
  <si>
    <t>59-516</t>
  </si>
  <si>
    <t>PL-2011-088360</t>
  </si>
  <si>
    <t>K00184</t>
  </si>
  <si>
    <t>Piotr ŚŚwiderski</t>
  </si>
  <si>
    <t>Krajenka</t>
  </si>
  <si>
    <t>77-430</t>
  </si>
  <si>
    <t>PL-2012-090041</t>
  </si>
  <si>
    <t>PL-2013-087494</t>
  </si>
  <si>
    <t>K01553</t>
  </si>
  <si>
    <t>Jacek Sopiński</t>
  </si>
  <si>
    <t>Dolsk</t>
  </si>
  <si>
    <t>PL-2014-091099</t>
  </si>
  <si>
    <t>PL-2011-091088</t>
  </si>
  <si>
    <t>PL-2013-089594</t>
  </si>
  <si>
    <t>K01215</t>
  </si>
  <si>
    <t>Elżbieta Nawój</t>
  </si>
  <si>
    <t>PL-2012-089222</t>
  </si>
  <si>
    <t>PL-2014-086484</t>
  </si>
  <si>
    <t>PL-2014-088965</t>
  </si>
  <si>
    <t>PL-2012-090585</t>
  </si>
  <si>
    <t>PL-2013-089733</t>
  </si>
  <si>
    <t>K01262</t>
  </si>
  <si>
    <t>Marta Sarba</t>
  </si>
  <si>
    <t>Międzyzdroje</t>
  </si>
  <si>
    <t>72-500</t>
  </si>
  <si>
    <t>PL-2012-089620</t>
  </si>
  <si>
    <t>K01032</t>
  </si>
  <si>
    <t>Bogusław Najman</t>
  </si>
  <si>
    <t>Grodzisk Wielkopolski</t>
  </si>
  <si>
    <t>PL-2011-089820</t>
  </si>
  <si>
    <t>K01956</t>
  </si>
  <si>
    <t>Tomasz Przygudzki</t>
  </si>
  <si>
    <t>87-126</t>
  </si>
  <si>
    <t>PL-2014-089829</t>
  </si>
  <si>
    <t>PL-2013-091401</t>
  </si>
  <si>
    <t>PL-2013-091569</t>
  </si>
  <si>
    <t>K03233</t>
  </si>
  <si>
    <t>Grzegorz Kozłowski</t>
  </si>
  <si>
    <t>Kiełczygłów</t>
  </si>
  <si>
    <t>98-358</t>
  </si>
  <si>
    <t>PL-2014-089568</t>
  </si>
  <si>
    <t>PL-2013-090955</t>
  </si>
  <si>
    <t>PL-2013-091503</t>
  </si>
  <si>
    <t>PL-2014-088499</t>
  </si>
  <si>
    <t>PL-2013-089913</t>
  </si>
  <si>
    <t>K00801</t>
  </si>
  <si>
    <t>Mariusz Błażewicz</t>
  </si>
  <si>
    <t>PL-2014-085848</t>
  </si>
  <si>
    <t>K01800</t>
  </si>
  <si>
    <t>Dariusz Golec</t>
  </si>
  <si>
    <t>PL-2012-086206</t>
  </si>
  <si>
    <t>K03296</t>
  </si>
  <si>
    <t>Stanisław Kuczyński</t>
  </si>
  <si>
    <t>PL-2011-086898</t>
  </si>
  <si>
    <t>PL-2011-091063</t>
  </si>
  <si>
    <t>K00489</t>
  </si>
  <si>
    <t>Jerzy Goszczyński</t>
  </si>
  <si>
    <t>Orły</t>
  </si>
  <si>
    <t>37-716</t>
  </si>
  <si>
    <t>K00487</t>
  </si>
  <si>
    <t>Jolanta Wegner</t>
  </si>
  <si>
    <t>K00488</t>
  </si>
  <si>
    <t>Bogdan Wankiewicz</t>
  </si>
  <si>
    <t>PL-2012-087589</t>
  </si>
  <si>
    <t>K01204</t>
  </si>
  <si>
    <t>Anna Benka</t>
  </si>
  <si>
    <t>PL-2013-086550</t>
  </si>
  <si>
    <t>K02981</t>
  </si>
  <si>
    <t>Władysław Pawelec</t>
  </si>
  <si>
    <t>Łochów</t>
  </si>
  <si>
    <t>07-130</t>
  </si>
  <si>
    <t>PL-2011-089007</t>
  </si>
  <si>
    <t>PL-2012-086175</t>
  </si>
  <si>
    <t>K00969</t>
  </si>
  <si>
    <t>Dariusz Borowczak</t>
  </si>
  <si>
    <t>K00965</t>
  </si>
  <si>
    <t>Janusz Sobolewski</t>
  </si>
  <si>
    <t>Jawor</t>
  </si>
  <si>
    <t>PL-2011-086250</t>
  </si>
  <si>
    <t>PL-2013-091484</t>
  </si>
  <si>
    <t>K02337</t>
  </si>
  <si>
    <t>Małgorzata Ponikowska</t>
  </si>
  <si>
    <t>Chocz</t>
  </si>
  <si>
    <t>63-313</t>
  </si>
  <si>
    <t>PL-2012-091011</t>
  </si>
  <si>
    <t>PL-2012-087848</t>
  </si>
  <si>
    <t>PL-2014-089267</t>
  </si>
  <si>
    <t>K00826</t>
  </si>
  <si>
    <t>Janusz Beer</t>
  </si>
  <si>
    <t>Olecko</t>
  </si>
  <si>
    <t>19-400</t>
  </si>
  <si>
    <t>Newell 321</t>
  </si>
  <si>
    <t>PL-2013-086917</t>
  </si>
  <si>
    <t>PL-2013-087842</t>
  </si>
  <si>
    <t>K01572</t>
  </si>
  <si>
    <t>Ryszard Święcicki</t>
  </si>
  <si>
    <t>PL-2012-085918</t>
  </si>
  <si>
    <t>K02631</t>
  </si>
  <si>
    <t>Ryszard Daśko</t>
  </si>
  <si>
    <t>Dąbrowa Górnicza</t>
  </si>
  <si>
    <t>42-520</t>
  </si>
  <si>
    <t>PL-2014-087546</t>
  </si>
  <si>
    <t>K03400</t>
  </si>
  <si>
    <t>Teodora Ilnicka</t>
  </si>
  <si>
    <t>Pęczniew</t>
  </si>
  <si>
    <t>99-235</t>
  </si>
  <si>
    <t>PL-2011-090121</t>
  </si>
  <si>
    <t>K01439</t>
  </si>
  <si>
    <t>Przemysław Jadczyszyn</t>
  </si>
  <si>
    <t>PL-2011-090109</t>
  </si>
  <si>
    <t>K02274</t>
  </si>
  <si>
    <t>Bogdan Staniak</t>
  </si>
  <si>
    <t>50-325</t>
  </si>
  <si>
    <t>PL-2013-089877</t>
  </si>
  <si>
    <t>K02873</t>
  </si>
  <si>
    <t>Grzegorz Kaczmarek</t>
  </si>
  <si>
    <t>Avery 516</t>
  </si>
  <si>
    <t>PL-2014-090170</t>
  </si>
  <si>
    <t>PL-2013-086360</t>
  </si>
  <si>
    <t>K00915</t>
  </si>
  <si>
    <t>Tomasz Matusiak</t>
  </si>
  <si>
    <t>Lubaczów</t>
  </si>
  <si>
    <t>37-600</t>
  </si>
  <si>
    <t>PL-2013-086820</t>
  </si>
  <si>
    <t>Important Message Pads, 50 4-1/4 x 5-1/2 Forms per Pad</t>
  </si>
  <si>
    <t>PL-2014-090620</t>
  </si>
  <si>
    <t>PL-2013-091572</t>
  </si>
  <si>
    <t>K02183</t>
  </si>
  <si>
    <t>Aleksander Bielecki</t>
  </si>
  <si>
    <t>PL-2011-086793</t>
  </si>
  <si>
    <t>K03139</t>
  </si>
  <si>
    <t>Mirosław Świątczak</t>
  </si>
  <si>
    <t>PL-2011-090502</t>
  </si>
  <si>
    <t>PL-2011-086957</t>
  </si>
  <si>
    <t>PL-2011-087721</t>
  </si>
  <si>
    <t>K02828</t>
  </si>
  <si>
    <t>Andrzej Furgała</t>
  </si>
  <si>
    <t>PL-2012-087179</t>
  </si>
  <si>
    <t>PL-2011-091576</t>
  </si>
  <si>
    <t>K00651</t>
  </si>
  <si>
    <t>Piotr Kosowiec</t>
  </si>
  <si>
    <t>PL-2011-090362</t>
  </si>
  <si>
    <t>K00731</t>
  </si>
  <si>
    <t>Jan Uran</t>
  </si>
  <si>
    <t>Pępowo</t>
  </si>
  <si>
    <t>63-830</t>
  </si>
  <si>
    <t>PL-2012-089286</t>
  </si>
  <si>
    <t>K00636</t>
  </si>
  <si>
    <t>Janusz Juszczyk</t>
  </si>
  <si>
    <t>PL-2013-087922</t>
  </si>
  <si>
    <t>PL-2014-016897</t>
  </si>
  <si>
    <t>PL-2012-091473</t>
  </si>
  <si>
    <t>PL-2014-088791</t>
  </si>
  <si>
    <t>K01709</t>
  </si>
  <si>
    <t>Wiesława Stępniewska</t>
  </si>
  <si>
    <t>Stary Brus</t>
  </si>
  <si>
    <t>22-244</t>
  </si>
  <si>
    <t>PL-2012-090856</t>
  </si>
  <si>
    <t>K01155</t>
  </si>
  <si>
    <t>Adam Susfał</t>
  </si>
  <si>
    <t>PL-2012-085870</t>
  </si>
  <si>
    <t>PL-2014-090835</t>
  </si>
  <si>
    <t>PL-2014-087051</t>
  </si>
  <si>
    <t>PL-2013-087868</t>
  </si>
  <si>
    <t>K02108</t>
  </si>
  <si>
    <t>Janusz Wiśniewski</t>
  </si>
  <si>
    <t>Ludwin</t>
  </si>
  <si>
    <t>21-075</t>
  </si>
  <si>
    <t>PL-2011-090460</t>
  </si>
  <si>
    <t>K03309</t>
  </si>
  <si>
    <t>Marcin Krężel</t>
  </si>
  <si>
    <t>Ostrów Lubelski</t>
  </si>
  <si>
    <t>21-110</t>
  </si>
  <si>
    <t>K03310</t>
  </si>
  <si>
    <t>Ariel Gondek</t>
  </si>
  <si>
    <t>Ceranów</t>
  </si>
  <si>
    <t>08-322</t>
  </si>
  <si>
    <t>PL-2014-090629</t>
  </si>
  <si>
    <t>K02687</t>
  </si>
  <si>
    <t>Sylwester Koszel</t>
  </si>
  <si>
    <t>PL-2011-089982</t>
  </si>
  <si>
    <t>K01254</t>
  </si>
  <si>
    <t>Krzysztof Prodan</t>
  </si>
  <si>
    <t>Mielnik</t>
  </si>
  <si>
    <t>PL-2014-091135</t>
  </si>
  <si>
    <t>K00358</t>
  </si>
  <si>
    <t>Lidia Czyż</t>
  </si>
  <si>
    <t>PL-2013-085996</t>
  </si>
  <si>
    <t>PL-2013-090392</t>
  </si>
  <si>
    <t>K02161</t>
  </si>
  <si>
    <t>Joanna Skórka</t>
  </si>
  <si>
    <t>PL-2013-089807</t>
  </si>
  <si>
    <t>PL-2013-090992</t>
  </si>
  <si>
    <t>PL-2012-089179</t>
  </si>
  <si>
    <t>PL-2014-089183</t>
  </si>
  <si>
    <t>PL-2012-090994</t>
  </si>
  <si>
    <t>PL-2014-085988</t>
  </si>
  <si>
    <t>PL-2014-087931</t>
  </si>
  <si>
    <t>K02546</t>
  </si>
  <si>
    <t>Wiesław Biernacki</t>
  </si>
  <si>
    <t>Ostrzeszów</t>
  </si>
  <si>
    <t>63-500</t>
  </si>
  <si>
    <t>PL-2012-091514</t>
  </si>
  <si>
    <t>PL-2014-086027</t>
  </si>
  <si>
    <t>K00456</t>
  </si>
  <si>
    <t>Małgorzata Ilnicka</t>
  </si>
  <si>
    <t>PL-2011-087586</t>
  </si>
  <si>
    <t>K01194</t>
  </si>
  <si>
    <t>Marek Kowalczuk</t>
  </si>
  <si>
    <t>Grabów</t>
  </si>
  <si>
    <t>99-150</t>
  </si>
  <si>
    <t>PL-2014-090981</t>
  </si>
  <si>
    <t>PL-2011-089957</t>
  </si>
  <si>
    <t>K01519</t>
  </si>
  <si>
    <t>Jacek Sekuła</t>
  </si>
  <si>
    <t>K01522</t>
  </si>
  <si>
    <t>Antoni Krzywicki</t>
  </si>
  <si>
    <t>PL-2014-087944</t>
  </si>
  <si>
    <t>PL-2011-091298</t>
  </si>
  <si>
    <t>PL-2014-090993</t>
  </si>
  <si>
    <t>PL-2011-090987</t>
  </si>
  <si>
    <t>PL-2014-088155</t>
  </si>
  <si>
    <t>K00347</t>
  </si>
  <si>
    <t>Piotr Opar</t>
  </si>
  <si>
    <t>K00341</t>
  </si>
  <si>
    <t>Barbara Krumin</t>
  </si>
  <si>
    <t>PL-2011-086567</t>
  </si>
  <si>
    <t>PL-2014-090998</t>
  </si>
  <si>
    <t>PL-2011-090583</t>
  </si>
  <si>
    <t>PL-2012-089780</t>
  </si>
  <si>
    <t>PL-2012-089185</t>
  </si>
  <si>
    <t>K02387</t>
  </si>
  <si>
    <t>Janusz Szmit</t>
  </si>
  <si>
    <t>PL-2011-090922</t>
  </si>
  <si>
    <t>PL-2013-089863</t>
  </si>
  <si>
    <t>PL-2013-087920</t>
  </si>
  <si>
    <t>Acco 3-Hole Punch</t>
  </si>
  <si>
    <t>PL-2012-087385</t>
  </si>
  <si>
    <t>K02602</t>
  </si>
  <si>
    <t>Zbigniew Krawczyński</t>
  </si>
  <si>
    <t>PL-2014-087389</t>
  </si>
  <si>
    <t>K02600</t>
  </si>
  <si>
    <t>Tadeusz Czerniejewski</t>
  </si>
  <si>
    <t>PL-2011-091416</t>
  </si>
  <si>
    <t>PL-2012-089418</t>
  </si>
  <si>
    <t>Situations Contoured Folding Chairs, 4/Set</t>
  </si>
  <si>
    <t>PL-2011-088039</t>
  </si>
  <si>
    <t>PL-2013-088999</t>
  </si>
  <si>
    <t>PL-2014-087875</t>
  </si>
  <si>
    <t>PL-2011-087862</t>
  </si>
  <si>
    <t>PL-2011-089291</t>
  </si>
  <si>
    <t>K00282</t>
  </si>
  <si>
    <t>Robert Szank</t>
  </si>
  <si>
    <t>K00276</t>
  </si>
  <si>
    <t>Grażyna Kietrys</t>
  </si>
  <si>
    <t>PL-2013-087661</t>
  </si>
  <si>
    <t>K00027</t>
  </si>
  <si>
    <t>Bożena Kaczmarek</t>
  </si>
  <si>
    <t>Rabka-Zdrój</t>
  </si>
  <si>
    <t>34-700</t>
  </si>
  <si>
    <t>PL-2012-087893</t>
  </si>
  <si>
    <t>K02100</t>
  </si>
  <si>
    <t>Krzysztof Chadacz</t>
  </si>
  <si>
    <t>Sokółka</t>
  </si>
  <si>
    <t>16-100</t>
  </si>
  <si>
    <t>PL-2011-089199</t>
  </si>
  <si>
    <t>PL-2014-087689</t>
  </si>
  <si>
    <t>PL-2011-087299</t>
  </si>
  <si>
    <t>PL-2011-090314</t>
  </si>
  <si>
    <t>K02216</t>
  </si>
  <si>
    <t>Maria Lasota</t>
  </si>
  <si>
    <t>PL-2013-089435</t>
  </si>
  <si>
    <t>K00996</t>
  </si>
  <si>
    <t>Paweł Tytoń</t>
  </si>
  <si>
    <t>Computer Printout Index Tabs</t>
  </si>
  <si>
    <t>PL-2012-089731</t>
  </si>
  <si>
    <t>PL-2013-090442</t>
  </si>
  <si>
    <t>K00754</t>
  </si>
  <si>
    <t>Bożena Milewska</t>
  </si>
  <si>
    <t>PL-2014-089075</t>
  </si>
  <si>
    <t>PL-2012-086773</t>
  </si>
  <si>
    <t>K01118</t>
  </si>
  <si>
    <t>Wojciech Łubiarz</t>
  </si>
  <si>
    <t>Boguszów-Gorce</t>
  </si>
  <si>
    <t>58-370</t>
  </si>
  <si>
    <t>PL-2012-088829</t>
  </si>
  <si>
    <t>PL-2011-086645</t>
  </si>
  <si>
    <t>PL-2014-088073</t>
  </si>
  <si>
    <t>PL-2014-090302</t>
  </si>
  <si>
    <t>PL-2013-087038</t>
  </si>
  <si>
    <t>K02515</t>
  </si>
  <si>
    <t>Roman Żołnierczuk</t>
  </si>
  <si>
    <t>PL-2012-089056</t>
  </si>
  <si>
    <t>PL-2011-089679</t>
  </si>
  <si>
    <t>PL-2013-087659</t>
  </si>
  <si>
    <t>PL-2012-088801</t>
  </si>
  <si>
    <t>PL-2012-086205</t>
  </si>
  <si>
    <t>K03293</t>
  </si>
  <si>
    <t>Tomasz Kulinicz</t>
  </si>
  <si>
    <t>Iwierzyce</t>
  </si>
  <si>
    <t>39-124</t>
  </si>
  <si>
    <t>PL-2014-091577</t>
  </si>
  <si>
    <t>K01077</t>
  </si>
  <si>
    <t>Krzysztof Dubicki</t>
  </si>
  <si>
    <t>PL-2014-088576</t>
  </si>
  <si>
    <t>K00857</t>
  </si>
  <si>
    <t>Agnieszka Ciepielak</t>
  </si>
  <si>
    <t>K00859</t>
  </si>
  <si>
    <t>Zdzisław Ryder</t>
  </si>
  <si>
    <t>K00860</t>
  </si>
  <si>
    <t>Maria Piórkowska</t>
  </si>
  <si>
    <t>PL-2012-086291</t>
  </si>
  <si>
    <t>PL-2013-089158</t>
  </si>
  <si>
    <t>K02228</t>
  </si>
  <si>
    <t>Maria Piłat</t>
  </si>
  <si>
    <t>Rubber Band Ball</t>
  </si>
  <si>
    <t>PL-2014-088190</t>
  </si>
  <si>
    <t>Accessory1</t>
  </si>
  <si>
    <t>PL-2013-089453</t>
  </si>
  <si>
    <t>PL-2014-091470</t>
  </si>
  <si>
    <t>K01175</t>
  </si>
  <si>
    <t>Michał Zmarzlik</t>
  </si>
  <si>
    <t>Reńska Wieś</t>
  </si>
  <si>
    <t>PL-2011-088870</t>
  </si>
  <si>
    <t>K01940</t>
  </si>
  <si>
    <t>Ryszard Osiowy</t>
  </si>
  <si>
    <t>PL-2012-090650</t>
  </si>
  <si>
    <t>PL-2013-089997</t>
  </si>
  <si>
    <t>PL-2013-088863</t>
  </si>
  <si>
    <t>PL-2012-089613</t>
  </si>
  <si>
    <t>PL-2011-091122</t>
  </si>
  <si>
    <t>PL-2014-090235</t>
  </si>
  <si>
    <t>K01569</t>
  </si>
  <si>
    <t>Leszek Włodkowski</t>
  </si>
  <si>
    <t>PL-2014-089268</t>
  </si>
  <si>
    <t>PL-2011-088634</t>
  </si>
  <si>
    <t>PL-2012-090463</t>
  </si>
  <si>
    <t>K03308</t>
  </si>
  <si>
    <t>Marek Banaszek</t>
  </si>
  <si>
    <t>Miasteczko Krajeńskie</t>
  </si>
  <si>
    <t>89-350</t>
  </si>
  <si>
    <t>PL-2014-090057</t>
  </si>
  <si>
    <t>PL-2014-089191</t>
  </si>
  <si>
    <t>PL-2011-087618</t>
  </si>
  <si>
    <t>K02941</t>
  </si>
  <si>
    <t>Andrzej Kejs</t>
  </si>
  <si>
    <t>PL-2011-088104</t>
  </si>
  <si>
    <t>PL-2013-087855</t>
  </si>
  <si>
    <t>PL-2014-091379</t>
  </si>
  <si>
    <t>PL-2011-085949</t>
  </si>
  <si>
    <t>PL-2014-088952</t>
  </si>
  <si>
    <t>PL-2013-090798</t>
  </si>
  <si>
    <t>K01597</t>
  </si>
  <si>
    <t>Adam Kaczmarczyk</t>
  </si>
  <si>
    <t>37-522</t>
  </si>
  <si>
    <t>PL-2011-086724</t>
  </si>
  <si>
    <t>PL-2013-089225</t>
  </si>
  <si>
    <t>K02457</t>
  </si>
  <si>
    <t>Ewa Czapka</t>
  </si>
  <si>
    <t>Stary Dzierzgoń</t>
  </si>
  <si>
    <t>82-450</t>
  </si>
  <si>
    <t>PL-2014-090866</t>
  </si>
  <si>
    <t>PL-2013-088698</t>
  </si>
  <si>
    <t>PL-2013-088807</t>
  </si>
  <si>
    <t>PL-2011-086529</t>
  </si>
  <si>
    <t>PL-2013-091075</t>
  </si>
  <si>
    <t>K01600</t>
  </si>
  <si>
    <t>Paweł Marszałek</t>
  </si>
  <si>
    <t>PL-2013-088067</t>
  </si>
  <si>
    <t>K00464</t>
  </si>
  <si>
    <t>Elżbieta Owsińska</t>
  </si>
  <si>
    <t>Złotoryja</t>
  </si>
  <si>
    <t>59-500</t>
  </si>
  <si>
    <t>PL-2014-088432</t>
  </si>
  <si>
    <t>PL-2011-086600</t>
  </si>
  <si>
    <t>K01837</t>
  </si>
  <si>
    <t>Juliusz Adel</t>
  </si>
  <si>
    <t>PL-2012-089066</t>
  </si>
  <si>
    <t>PL-2014-085987</t>
  </si>
  <si>
    <t>PL-2014-087097</t>
  </si>
  <si>
    <t>PL-2014-088290</t>
  </si>
  <si>
    <t>PL-2012-088524</t>
  </si>
  <si>
    <t>PL-2013-091047</t>
  </si>
  <si>
    <t>PL-2014-090554</t>
  </si>
  <si>
    <t>PL-2011-090602</t>
  </si>
  <si>
    <t>PL-2011-085964</t>
  </si>
  <si>
    <t>PL-2014-085975</t>
  </si>
  <si>
    <t>PL-2013-088706</t>
  </si>
  <si>
    <t>PL-2012-087224</t>
  </si>
  <si>
    <t>PL-2011-089200</t>
  </si>
  <si>
    <t>PL-2011-090360</t>
  </si>
  <si>
    <t>K00737</t>
  </si>
  <si>
    <t>Mieczysław Stoltman</t>
  </si>
  <si>
    <t>PL-2014-090367</t>
  </si>
  <si>
    <t>K00728</t>
  </si>
  <si>
    <t>Teresa Kurowska</t>
  </si>
  <si>
    <t>PL-2014-090025</t>
  </si>
  <si>
    <t>PL-2014-091067</t>
  </si>
  <si>
    <t>K00486</t>
  </si>
  <si>
    <t>Marek Matela</t>
  </si>
  <si>
    <t>PL-2011-089449</t>
  </si>
  <si>
    <t>PL-2014-088833</t>
  </si>
  <si>
    <t>PL-2011-086454</t>
  </si>
  <si>
    <t>PL-2012-087348</t>
  </si>
  <si>
    <t>PL-2014-091218</t>
  </si>
  <si>
    <t>K00656</t>
  </si>
  <si>
    <t>Halina Klamerek</t>
  </si>
  <si>
    <t>44-270</t>
  </si>
  <si>
    <t>PL-2012-091215</t>
  </si>
  <si>
    <t>K00655</t>
  </si>
  <si>
    <t>Zbigniew Kucharski</t>
  </si>
  <si>
    <t>PL-2011-091078</t>
  </si>
  <si>
    <t>PL-2011-089414</t>
  </si>
  <si>
    <t>PL-2014-091206</t>
  </si>
  <si>
    <t>PL-2011-091201</t>
  </si>
  <si>
    <t>K00751</t>
  </si>
  <si>
    <t>Bogusław Dzikowicz</t>
  </si>
  <si>
    <t>PL-2012-089707</t>
  </si>
  <si>
    <t>PL-2014-089712</t>
  </si>
  <si>
    <t>PL-2014-087403</t>
  </si>
  <si>
    <t>K02913</t>
  </si>
  <si>
    <t>Marcin Paluch</t>
  </si>
  <si>
    <t>PL-2014-089478</t>
  </si>
  <si>
    <t>PL-2014-089234</t>
  </si>
  <si>
    <t>PL-2013-086348</t>
  </si>
  <si>
    <t>PL-2011-087364</t>
  </si>
  <si>
    <t>PL-2014-087191</t>
  </si>
  <si>
    <t>PL-2014-089714</t>
  </si>
  <si>
    <t>K01637</t>
  </si>
  <si>
    <t>Marian Kalicki</t>
  </si>
  <si>
    <t>Wodzisław Śląski</t>
  </si>
  <si>
    <t>44-286</t>
  </si>
  <si>
    <t>PL-2014-088147</t>
  </si>
  <si>
    <t>K02469</t>
  </si>
  <si>
    <t>Bogusława Walkowiak</t>
  </si>
  <si>
    <t>Chłopice</t>
  </si>
  <si>
    <t>37-561</t>
  </si>
  <si>
    <t>PL-2013-090924</t>
  </si>
  <si>
    <t>PL-2013-088117</t>
  </si>
  <si>
    <t>PL-2014-087733</t>
  </si>
  <si>
    <t>PL-2014-087171</t>
  </si>
  <si>
    <t>PL-2014-086350</t>
  </si>
  <si>
    <t>K03013</t>
  </si>
  <si>
    <t>Ewa Skiba</t>
  </si>
  <si>
    <t>Kołaczyce</t>
  </si>
  <si>
    <t>38-213</t>
  </si>
  <si>
    <t>Wilson Jones Standard D-Ring Binders</t>
  </si>
  <si>
    <t>PL-2013-091578</t>
  </si>
  <si>
    <t>K00045</t>
  </si>
  <si>
    <t>Karolina Hubert</t>
  </si>
  <si>
    <t>Oleszyce</t>
  </si>
  <si>
    <t>37-630</t>
  </si>
  <si>
    <t>PL-2014-089472</t>
  </si>
  <si>
    <t>K02175</t>
  </si>
  <si>
    <t>Bożena Aksiutin</t>
  </si>
  <si>
    <t>PL-2012-089470</t>
  </si>
  <si>
    <t>K02179</t>
  </si>
  <si>
    <t>Zdzisław Kurta</t>
  </si>
  <si>
    <t>PL-2011-089201</t>
  </si>
  <si>
    <t>K00033</t>
  </si>
  <si>
    <t>Magdalena Schulz</t>
  </si>
  <si>
    <t>PL-2014-090009</t>
  </si>
  <si>
    <t>PL-2014-090567</t>
  </si>
  <si>
    <t>K02309</t>
  </si>
  <si>
    <t>Władysława Dumańska</t>
  </si>
  <si>
    <t>Pieńsk</t>
  </si>
  <si>
    <t>59-930</t>
  </si>
  <si>
    <t>PL-2013-087911</t>
  </si>
  <si>
    <t>PL-2014-091238</t>
  </si>
  <si>
    <t>PL-2014-089914</t>
  </si>
  <si>
    <t>PL-2014-087716</t>
  </si>
  <si>
    <t>PL-2012-089708</t>
  </si>
  <si>
    <t>PL-2014-089713</t>
  </si>
  <si>
    <t>PL-2011-086527</t>
  </si>
  <si>
    <t>PL-2014-090074</t>
  </si>
  <si>
    <t>PL-2014-088161</t>
  </si>
  <si>
    <t>PL-2014-090793</t>
  </si>
  <si>
    <t>PL-2013-086522</t>
  </si>
  <si>
    <t>PL-2012-091092</t>
  </si>
  <si>
    <t>K00149</t>
  </si>
  <si>
    <t>Marta Sołek</t>
  </si>
  <si>
    <t>PL-2014-088894</t>
  </si>
  <si>
    <t>PL-2014-087380</t>
  </si>
  <si>
    <t>K01886</t>
  </si>
  <si>
    <t>Wiesław Kępa</t>
  </si>
  <si>
    <t>PL-2014-090467</t>
  </si>
  <si>
    <t>K01515</t>
  </si>
  <si>
    <t>Grzegorz Kulbicki</t>
  </si>
  <si>
    <t>PL-2013-088917</t>
  </si>
  <si>
    <t>PL-2011-017155</t>
  </si>
  <si>
    <t>PL-2014-087861</t>
  </si>
  <si>
    <t>PL-2014-086036</t>
  </si>
  <si>
    <t>PL-2012-089346</t>
  </si>
  <si>
    <t>PL-2013-088025</t>
  </si>
  <si>
    <t>PL-2014-086009</t>
  </si>
  <si>
    <t>PL-2012-087061</t>
  </si>
  <si>
    <t>K00307</t>
  </si>
  <si>
    <t>Grażyna Kata</t>
  </si>
  <si>
    <t>PL-2011-087634</t>
  </si>
  <si>
    <t>PL-2014-017155</t>
  </si>
  <si>
    <t>PL-2013-086159</t>
  </si>
  <si>
    <t>PL-2012-091128</t>
  </si>
  <si>
    <t>PL-2011-089609</t>
  </si>
  <si>
    <t>K02334</t>
  </si>
  <si>
    <t>Grzegorz Stalmach</t>
  </si>
  <si>
    <t>Gorzów Śląski</t>
  </si>
  <si>
    <t>46-310</t>
  </si>
  <si>
    <t>PL-2012-086990</t>
  </si>
  <si>
    <t>PL-2014-089519</t>
  </si>
  <si>
    <t>K01268</t>
  </si>
  <si>
    <t>Kinga Wrzyszcz</t>
  </si>
  <si>
    <t>Murowana Goślina</t>
  </si>
  <si>
    <t>62-095</t>
  </si>
  <si>
    <t>Newell 332</t>
  </si>
  <si>
    <t>PL-2014-086766</t>
  </si>
  <si>
    <t>PL-2012-089427</t>
  </si>
  <si>
    <t>K00167</t>
  </si>
  <si>
    <t>Kazimierz Hońko</t>
  </si>
  <si>
    <t>PL-2013-088604</t>
  </si>
  <si>
    <t>PL-2014-088305</t>
  </si>
  <si>
    <t>Avery Heavy-Duty EZD ™ Binder With Locking Rings</t>
  </si>
  <si>
    <t>PL-2011-088296</t>
  </si>
  <si>
    <t>PL-2011-086796</t>
  </si>
  <si>
    <t>K03138</t>
  </si>
  <si>
    <t>Adam Pryba</t>
  </si>
  <si>
    <t>PL-2014-086923</t>
  </si>
  <si>
    <t>PL-2013-090129</t>
  </si>
  <si>
    <t>Dot Matrix Printer Tape Reel Labels, White, 5000/Box</t>
  </si>
  <si>
    <t>PL-2014-087897</t>
  </si>
  <si>
    <t>PL-2013-089888</t>
  </si>
  <si>
    <t>PL-2013-086649</t>
  </si>
  <si>
    <t>PL-2013-090274</t>
  </si>
  <si>
    <t>K00831</t>
  </si>
  <si>
    <t>Marcin Karczewski</t>
  </si>
  <si>
    <t>PL-2013-086405</t>
  </si>
  <si>
    <t>PL-2011-090589</t>
  </si>
  <si>
    <t>K00937</t>
  </si>
  <si>
    <t>Aneta Iwanicka</t>
  </si>
  <si>
    <t>PL-2012-091459</t>
  </si>
  <si>
    <t>PL-2011-086555</t>
  </si>
  <si>
    <t>PL-2014-086638</t>
  </si>
  <si>
    <t>PL-2011-089608</t>
  </si>
  <si>
    <t>PL-2014-091040</t>
  </si>
  <si>
    <t>K00808</t>
  </si>
  <si>
    <t>Elżbieta Nuszkiewicz</t>
  </si>
  <si>
    <t>PL-2014-086395</t>
  </si>
  <si>
    <t>K00391</t>
  </si>
  <si>
    <t>Stanisław Buczek</t>
  </si>
  <si>
    <t>Grzegorzew</t>
  </si>
  <si>
    <t>62-640</t>
  </si>
  <si>
    <t>PL-2014-086462</t>
  </si>
  <si>
    <t>PL-2013-091392</t>
  </si>
  <si>
    <t>PL-2013-088687</t>
  </si>
  <si>
    <t>PL-2011-090860</t>
  </si>
  <si>
    <t>PL-2014-087070</t>
  </si>
  <si>
    <t>PL-2014-086275</t>
  </si>
  <si>
    <t>PL-2012-090579</t>
  </si>
  <si>
    <t>PL-2014-091545</t>
  </si>
  <si>
    <t>K01803</t>
  </si>
  <si>
    <t>Hubert Majewski</t>
  </si>
  <si>
    <t>PL-2014-091022</t>
  </si>
  <si>
    <t>PL-2011-091115</t>
  </si>
  <si>
    <t>K01466</t>
  </si>
  <si>
    <t>Andrzej Rogowski</t>
  </si>
  <si>
    <t>Klwów</t>
  </si>
  <si>
    <t>26-414</t>
  </si>
  <si>
    <t>PL-2011-090815</t>
  </si>
  <si>
    <t>PL-2013-091071</t>
  </si>
  <si>
    <t>PL-2014-090958</t>
  </si>
  <si>
    <t>PL-2014-087159</t>
  </si>
  <si>
    <t>K02063</t>
  </si>
  <si>
    <t>Wojciech Adamczewski</t>
  </si>
  <si>
    <t>Jarosław</t>
  </si>
  <si>
    <t>37-500</t>
  </si>
  <si>
    <t>PL-2014-017216</t>
  </si>
  <si>
    <t>PL-2014-091085</t>
  </si>
  <si>
    <t>PL-2012-091081</t>
  </si>
  <si>
    <t>K01689</t>
  </si>
  <si>
    <t>Edward Grunt</t>
  </si>
  <si>
    <t>PL-2014-090313</t>
  </si>
  <si>
    <t>K02945</t>
  </si>
  <si>
    <t>Izabela Radyk</t>
  </si>
  <si>
    <t>PL-2014-088618</t>
  </si>
  <si>
    <t>PL-2013-089491</t>
  </si>
  <si>
    <t>PL-2014-086134</t>
  </si>
  <si>
    <t>PL-2013-089767</t>
  </si>
  <si>
    <t>PL-2014-090886</t>
  </si>
  <si>
    <t>PL-2014-091486</t>
  </si>
  <si>
    <t>PL-2011-087611</t>
  </si>
  <si>
    <t>PL-2014-091458</t>
  </si>
  <si>
    <t>PL-2014-090124</t>
  </si>
  <si>
    <t>PL-2014-090728</t>
  </si>
  <si>
    <t>K02767</t>
  </si>
  <si>
    <t>Patrycja Kulon</t>
  </si>
  <si>
    <t>PL-2013-091223</t>
  </si>
  <si>
    <t>PL-2013-089950</t>
  </si>
  <si>
    <t>PL-2013-086209</t>
  </si>
  <si>
    <t>K03290</t>
  </si>
  <si>
    <t>Jerzy Kubicki</t>
  </si>
  <si>
    <t>PL-2014-086463</t>
  </si>
  <si>
    <t>K00908</t>
  </si>
  <si>
    <t>Sebastian Suchorab</t>
  </si>
  <si>
    <t>Skalbmierz</t>
  </si>
  <si>
    <t>28-530</t>
  </si>
  <si>
    <t>PL-2011-087287</t>
  </si>
  <si>
    <t>PL-2011-087773</t>
  </si>
  <si>
    <t>PL-2014-090254</t>
  </si>
  <si>
    <t>PL-2013-091147</t>
  </si>
  <si>
    <t>PL-2013-090345</t>
  </si>
  <si>
    <t>PL-2013-089441</t>
  </si>
  <si>
    <t>PL-2013-089000</t>
  </si>
  <si>
    <t>PL-2011-090387</t>
  </si>
  <si>
    <t>PL-2014-088623</t>
  </si>
  <si>
    <t>K02316</t>
  </si>
  <si>
    <t>Beata Mieczkowska</t>
  </si>
  <si>
    <t>Powidz</t>
  </si>
  <si>
    <t>62-430</t>
  </si>
  <si>
    <t>PL-2011-088657</t>
  </si>
  <si>
    <t>PL-2014-088662</t>
  </si>
  <si>
    <t>PL-2014-087459</t>
  </si>
  <si>
    <t>PL-2011-087452</t>
  </si>
  <si>
    <t>PL-2013-090980</t>
  </si>
  <si>
    <t>PL-2014-086158</t>
  </si>
  <si>
    <t>PL-2012-087863</t>
  </si>
  <si>
    <t>PL-2014-087874</t>
  </si>
  <si>
    <t>PL-2014-086355</t>
  </si>
  <si>
    <t>PL-2011-086735</t>
  </si>
  <si>
    <t>PL-2014-087074</t>
  </si>
  <si>
    <t>PL-2011-087071</t>
  </si>
  <si>
    <t>PL-2014-089556</t>
  </si>
  <si>
    <t>PL-2012-089538</t>
  </si>
  <si>
    <t>K00889</t>
  </si>
  <si>
    <t>Józef Kiziuk</t>
  </si>
  <si>
    <t>Zambrów</t>
  </si>
  <si>
    <t>PL-2014-086162</t>
  </si>
  <si>
    <t>K01296</t>
  </si>
  <si>
    <t>Piotr Rybkowski</t>
  </si>
  <si>
    <t>PL-2013-090698</t>
  </si>
  <si>
    <t>PL-2014-087717</t>
  </si>
  <si>
    <t>PL-2011-087240</t>
  </si>
  <si>
    <t>K02823</t>
  </si>
  <si>
    <t>Lech Pieczyński</t>
  </si>
  <si>
    <t>PL-2013-086892</t>
  </si>
  <si>
    <t>PL-2013-091369</t>
  </si>
  <si>
    <t>PL-2014-090587</t>
  </si>
  <si>
    <t>K00340</t>
  </si>
  <si>
    <t>Mariusz Zieliński</t>
  </si>
  <si>
    <t>PL-2014-087185</t>
  </si>
  <si>
    <t>PL-2012-087180</t>
  </si>
  <si>
    <t>K00093</t>
  </si>
  <si>
    <t>Marek Piechnik</t>
  </si>
  <si>
    <t>PL-2012-086579</t>
  </si>
  <si>
    <t>K01142</t>
  </si>
  <si>
    <t>Paweł Retecki</t>
  </si>
  <si>
    <t>Żagań</t>
  </si>
  <si>
    <t>68-100</t>
  </si>
  <si>
    <t>PL-2011-088448</t>
  </si>
  <si>
    <t>PL-2011-091371</t>
  </si>
  <si>
    <t>PL-2014-091373</t>
  </si>
  <si>
    <t>PL-2013-087793</t>
  </si>
  <si>
    <t>PL-2011-089983</t>
  </si>
  <si>
    <t>PL-2011-088239</t>
  </si>
  <si>
    <t>PL-2013-091124</t>
  </si>
  <si>
    <t>PL-2014-088897</t>
  </si>
  <si>
    <t>K00681</t>
  </si>
  <si>
    <t>Danuta Kęsek</t>
  </si>
  <si>
    <t>PL-2014-087771</t>
  </si>
  <si>
    <t>PL-2014-090765</t>
  </si>
  <si>
    <t>PL-2014-091028</t>
  </si>
  <si>
    <t>K01744</t>
  </si>
  <si>
    <t>Elżbieta Dwornicka</t>
  </si>
  <si>
    <t>Gorlice</t>
  </si>
  <si>
    <t>38-300</t>
  </si>
  <si>
    <t>PL-2011-088782</t>
  </si>
  <si>
    <t>PL-2014-088790</t>
  </si>
  <si>
    <t>PL-2013-090065</t>
  </si>
  <si>
    <t>PL-2014-090895</t>
  </si>
  <si>
    <t>Staples Pushpins</t>
  </si>
  <si>
    <t>PL-2013-089710</t>
  </si>
  <si>
    <t>PL-2012-090801</t>
  </si>
  <si>
    <t>K01221</t>
  </si>
  <si>
    <t>Zbigniew Kupisz</t>
  </si>
  <si>
    <t>PL-2012-090900</t>
  </si>
  <si>
    <t>PL-2014-087085</t>
  </si>
  <si>
    <t>PL-2014-089758</t>
  </si>
  <si>
    <t>K01325</t>
  </si>
  <si>
    <t>Henryk Łubiński</t>
  </si>
  <si>
    <t>PL-2012-089751</t>
  </si>
  <si>
    <t>K01333</t>
  </si>
  <si>
    <t>Cezary Tumasz</t>
  </si>
  <si>
    <t>PL-2013-088935</t>
  </si>
  <si>
    <t>PL-2011-087043</t>
  </si>
  <si>
    <t>PL-2013-087762</t>
  </si>
  <si>
    <t>K01980</t>
  </si>
  <si>
    <t>Katarzyna Łuczak</t>
  </si>
  <si>
    <t>Jelcz-Laskowice</t>
  </si>
  <si>
    <t>55-220</t>
  </si>
  <si>
    <t>PL-2011-089434</t>
  </si>
  <si>
    <t>K00995</t>
  </si>
  <si>
    <t>Anna Kulis</t>
  </si>
  <si>
    <t>PL-2011-090597</t>
  </si>
  <si>
    <t>K00087</t>
  </si>
  <si>
    <t>Robert Rokaszewicz</t>
  </si>
  <si>
    <t>PL-2014-087303</t>
  </si>
  <si>
    <t>K03249</t>
  </si>
  <si>
    <t>Grzegorz Tchórzewski</t>
  </si>
  <si>
    <t>Cybinka</t>
  </si>
  <si>
    <t>69-108</t>
  </si>
  <si>
    <t>PL-2014-085889</t>
  </si>
  <si>
    <t>PL-2014-090318</t>
  </si>
  <si>
    <t>PL-2014-090399</t>
  </si>
  <si>
    <t>PL-2014-087388</t>
  </si>
  <si>
    <t>K02608</t>
  </si>
  <si>
    <t>Robert Sagan</t>
  </si>
  <si>
    <t>PL-2012-086094</t>
  </si>
  <si>
    <t>PL-2013-087958</t>
  </si>
  <si>
    <t>K00638</t>
  </si>
  <si>
    <t>Zbigniew Gutowski</t>
  </si>
  <si>
    <t>Podgórzyn</t>
  </si>
  <si>
    <t>58-562</t>
  </si>
  <si>
    <t>PL-2011-089666</t>
  </si>
  <si>
    <t>K02124</t>
  </si>
  <si>
    <t>Stanisław Turowski</t>
  </si>
  <si>
    <t>Werbkowice</t>
  </si>
  <si>
    <t>22-550</t>
  </si>
  <si>
    <t>PL-2011-090338</t>
  </si>
  <si>
    <t>K00389</t>
  </si>
  <si>
    <t>Ewa Garbarczyk</t>
  </si>
  <si>
    <t>PL-2014-090347</t>
  </si>
  <si>
    <t>PL-2012-086502</t>
  </si>
  <si>
    <t>PL-2012-088858</t>
  </si>
  <si>
    <t>PL-2012-086401</t>
  </si>
  <si>
    <t>PL-2013-090635</t>
  </si>
  <si>
    <t>K01891</t>
  </si>
  <si>
    <t>Monika Kiper</t>
  </si>
  <si>
    <t>PL-2012-091064</t>
  </si>
  <si>
    <t>PL-2011-088101</t>
  </si>
  <si>
    <t>PL-2014-087932</t>
  </si>
  <si>
    <t>PL-2011-088084</t>
  </si>
  <si>
    <t>Newell 333</t>
  </si>
  <si>
    <t>PL-2014-087395</t>
  </si>
  <si>
    <t>K00296</t>
  </si>
  <si>
    <t>Danuta Bielas</t>
  </si>
  <si>
    <t>Władysławowo</t>
  </si>
  <si>
    <t>84-120</t>
  </si>
  <si>
    <t>PL-2012-088303</t>
  </si>
  <si>
    <t>PL-2012-086387</t>
  </si>
  <si>
    <t>PL-2014-086464</t>
  </si>
  <si>
    <t>PL-2014-090691</t>
  </si>
  <si>
    <t>PL-2011-090685</t>
  </si>
  <si>
    <t>K02193</t>
  </si>
  <si>
    <t>Hanna Obławska</t>
  </si>
  <si>
    <t>Stanley Bostitch Contemporary Electric Pencil Sharpeners</t>
  </si>
  <si>
    <t>PL-2013-090282</t>
  </si>
  <si>
    <t>K01587</t>
  </si>
  <si>
    <t>Marian Wyszyński</t>
  </si>
  <si>
    <t>Boston 1799 Powerhouse™ Electric Pencil Sharpener</t>
  </si>
  <si>
    <t>PL-2014-090963</t>
  </si>
  <si>
    <t>K00784</t>
  </si>
  <si>
    <t>Jolanta Wilk</t>
  </si>
  <si>
    <t>Jemielno</t>
  </si>
  <si>
    <t>56-210</t>
  </si>
  <si>
    <t>PL-2014-091427</t>
  </si>
  <si>
    <t>PL-2014-091528</t>
  </si>
  <si>
    <t>PL-2014-091178</t>
  </si>
  <si>
    <t>PL-2012-088754</t>
  </si>
  <si>
    <t>K00792</t>
  </si>
  <si>
    <t>Katarzyna Krysztowczyk</t>
  </si>
  <si>
    <t>PL-2014-088757</t>
  </si>
  <si>
    <t>PL-2011-087366</t>
  </si>
  <si>
    <t>PL-2014-087373</t>
  </si>
  <si>
    <t>PL-2014-090383</t>
  </si>
  <si>
    <t>PL-2011-090630</t>
  </si>
  <si>
    <t>PL-2011-091438</t>
  </si>
  <si>
    <t>PL-2014-086667</t>
  </si>
  <si>
    <t>K03054</t>
  </si>
  <si>
    <t>Wiesława Saran</t>
  </si>
  <si>
    <t>Brzozie</t>
  </si>
  <si>
    <t>87-313</t>
  </si>
  <si>
    <t>K03053</t>
  </si>
  <si>
    <t>Ryszard Szkudlarek</t>
  </si>
  <si>
    <t>PL-2011-090031</t>
  </si>
  <si>
    <t>PL-2013-090004</t>
  </si>
  <si>
    <t>K01990</t>
  </si>
  <si>
    <t>Halina Gnacińska</t>
  </si>
  <si>
    <t>Drzycim</t>
  </si>
  <si>
    <t>86-140</t>
  </si>
  <si>
    <t>PL-2014-085874</t>
  </si>
  <si>
    <t>PL-2012-087760</t>
  </si>
  <si>
    <t>K01981</t>
  </si>
  <si>
    <t>Dominik Kaczorowski</t>
  </si>
  <si>
    <t>PL-2014-090098</t>
  </si>
  <si>
    <t>PL-2011-086791</t>
  </si>
  <si>
    <t>K03136</t>
  </si>
  <si>
    <t>Jan Bihun</t>
  </si>
  <si>
    <t>PL-2012-090364</t>
  </si>
  <si>
    <t>K00725</t>
  </si>
  <si>
    <t>Jan Kurowski</t>
  </si>
  <si>
    <t>K00740</t>
  </si>
  <si>
    <t>Beata Mochort</t>
  </si>
  <si>
    <t>Kołaczkowo</t>
  </si>
  <si>
    <t>62-306</t>
  </si>
  <si>
    <t>PL-2014-088435</t>
  </si>
  <si>
    <t>K01003</t>
  </si>
  <si>
    <t>Iwona Czechowska</t>
  </si>
  <si>
    <t>PL-2014-088457</t>
  </si>
  <si>
    <t>PL-2013-087867</t>
  </si>
  <si>
    <t>K02112</t>
  </si>
  <si>
    <t>Dariusz Sarnes</t>
  </si>
  <si>
    <t>PL-2012-090284</t>
  </si>
  <si>
    <t>PL-2011-088587</t>
  </si>
  <si>
    <t>PL-2013-085854</t>
  </si>
  <si>
    <t>PL-2013-090297</t>
  </si>
  <si>
    <t>PL-2014-089210</t>
  </si>
  <si>
    <t>PL-2013-091117</t>
  </si>
  <si>
    <t>PL-2014-086061</t>
  </si>
  <si>
    <t>PL-2013-091580</t>
  </si>
  <si>
    <t>K02171</t>
  </si>
  <si>
    <t>Bogusława Marchewka</t>
  </si>
  <si>
    <t>59-160</t>
  </si>
  <si>
    <t>K02172</t>
  </si>
  <si>
    <t>Dorota Kwiatkowska</t>
  </si>
  <si>
    <t>PL-2013-091395</t>
  </si>
  <si>
    <t>K03006</t>
  </si>
  <si>
    <t>Monika Broker</t>
  </si>
  <si>
    <t>Sulejów</t>
  </si>
  <si>
    <t>97-330</t>
  </si>
  <si>
    <t>PL-2011-086051</t>
  </si>
  <si>
    <t>PL-2014-017317</t>
  </si>
  <si>
    <t>K02204</t>
  </si>
  <si>
    <t>Ewa Sak</t>
  </si>
  <si>
    <t>PL-2014-086060</t>
  </si>
  <si>
    <t>PL-2013-087838</t>
  </si>
  <si>
    <t>PL-2014-089987</t>
  </si>
  <si>
    <t>PL-2011-089984</t>
  </si>
  <si>
    <t>PL-2014-090332</t>
  </si>
  <si>
    <t>K02570</t>
  </si>
  <si>
    <t>Henryka Biedrzycka</t>
  </si>
  <si>
    <t>PL-2013-089741</t>
  </si>
  <si>
    <t>K00686</t>
  </si>
  <si>
    <t>Bogusława Wojdyła</t>
  </si>
  <si>
    <t>Żnin</t>
  </si>
  <si>
    <t>88-400</t>
  </si>
  <si>
    <t>PL-2013-086504</t>
  </si>
  <si>
    <t>PL-2013-089992</t>
  </si>
  <si>
    <t>PL-2012-088422</t>
  </si>
  <si>
    <t>PL-2012-086388</t>
  </si>
  <si>
    <t>PL-2014-085978</t>
  </si>
  <si>
    <t>PL-2013-089889</t>
  </si>
  <si>
    <t>K01654</t>
  </si>
  <si>
    <t>Eugeniusz Mroczkowski</t>
  </si>
  <si>
    <t>PL-2012-087938</t>
  </si>
  <si>
    <t>PL-2014-088919</t>
  </si>
  <si>
    <t>K02996</t>
  </si>
  <si>
    <t>Łukasz Łasowski</t>
  </si>
  <si>
    <t>PL-2012-087710</t>
  </si>
  <si>
    <t>K00050</t>
  </si>
  <si>
    <t>Andrzej Starkowski</t>
  </si>
  <si>
    <t>PL-2013-088365</t>
  </si>
  <si>
    <t>K00182</t>
  </si>
  <si>
    <t>Marta Gabryś</t>
  </si>
  <si>
    <t>PL-2013-088961</t>
  </si>
  <si>
    <t>PL-2014-086452</t>
  </si>
  <si>
    <t>PL-2014-089152</t>
  </si>
  <si>
    <t>PL-2014-087102</t>
  </si>
  <si>
    <t>PL-2013-086941</t>
  </si>
  <si>
    <t>PL-2011-087078</t>
  </si>
  <si>
    <t>PL-2014-086685</t>
  </si>
  <si>
    <t>K02234</t>
  </si>
  <si>
    <t>Bernadeta Tomczak</t>
  </si>
  <si>
    <t>Stoszowice</t>
  </si>
  <si>
    <t>K02233</t>
  </si>
  <si>
    <t>Ryszard Trojanowski</t>
  </si>
  <si>
    <t>PL-2014-087377</t>
  </si>
  <si>
    <t>Eldon Im?ge® Series Desk Accessories, Clear</t>
  </si>
  <si>
    <t>PL-2011-089572</t>
  </si>
  <si>
    <t>PL-2011-088256</t>
  </si>
  <si>
    <t>PL-2011-087652</t>
  </si>
  <si>
    <t>PL-2014-087668</t>
  </si>
  <si>
    <t>PL-2014-088200</t>
  </si>
  <si>
    <t>PL-2014-086396</t>
  </si>
  <si>
    <t>K00395</t>
  </si>
  <si>
    <t>Grażyna Horbacz</t>
  </si>
  <si>
    <t>Żmudź</t>
  </si>
  <si>
    <t>22-114</t>
  </si>
  <si>
    <t>PL-2014-090295</t>
  </si>
  <si>
    <t>K00369</t>
  </si>
  <si>
    <t>Kazimierz Pawelec</t>
  </si>
  <si>
    <t>PL-2012-090876</t>
  </si>
  <si>
    <t>PL-2013-091274</t>
  </si>
  <si>
    <t>Acco Pressboard Covers with Storage Hooks, 14 7/8" x 11", Executive Red</t>
  </si>
  <si>
    <t>PL-2013-085942</t>
  </si>
  <si>
    <t>PL-2014-089629</t>
  </si>
  <si>
    <t>K01033</t>
  </si>
  <si>
    <t>Janusz Przepiórka</t>
  </si>
  <si>
    <t>Ełk</t>
  </si>
  <si>
    <t>19-300</t>
  </si>
  <si>
    <t>PL-2012-086671</t>
  </si>
  <si>
    <t>PL-2014-088317</t>
  </si>
  <si>
    <t>K01387</t>
  </si>
  <si>
    <t>Andrzej Partyka</t>
  </si>
  <si>
    <t>81-406</t>
  </si>
  <si>
    <t>PL-2011-091415</t>
  </si>
  <si>
    <t>K02487</t>
  </si>
  <si>
    <t>Paweł Januszewski</t>
  </si>
  <si>
    <t>Lisewo</t>
  </si>
  <si>
    <t>86-230</t>
  </si>
  <si>
    <t>PL-2012-089131</t>
  </si>
  <si>
    <t>PL-2014-087282</t>
  </si>
  <si>
    <t>K00337</t>
  </si>
  <si>
    <t>Heronim Cierpisz</t>
  </si>
  <si>
    <t>PL-2014-090644</t>
  </si>
  <si>
    <t>PL-2012-086468</t>
  </si>
  <si>
    <t>K02562</t>
  </si>
  <si>
    <t>Mirosław Terlecki</t>
  </si>
  <si>
    <t>18-218</t>
  </si>
  <si>
    <t>PL-2012-085851</t>
  </si>
  <si>
    <t>PL-2014-089865</t>
  </si>
  <si>
    <t>K01783</t>
  </si>
  <si>
    <t>Jarosław Bączkowski</t>
  </si>
  <si>
    <t>85-448</t>
  </si>
  <si>
    <t>PL-2012-089860</t>
  </si>
  <si>
    <t>PL-2014-086764</t>
  </si>
  <si>
    <t>K02413</t>
  </si>
  <si>
    <t>Edyta Jaremij</t>
  </si>
  <si>
    <t>K02415</t>
  </si>
  <si>
    <t>Dorota Rzewucka</t>
  </si>
  <si>
    <t>PL-2014-090812</t>
  </si>
  <si>
    <t>K00905</t>
  </si>
  <si>
    <t>Lucyna Niespodziana</t>
  </si>
  <si>
    <t>PL-2012-090966</t>
  </si>
  <si>
    <t>PL-2012-088206</t>
  </si>
  <si>
    <t>K00103</t>
  </si>
  <si>
    <t>Henryk Woźniak</t>
  </si>
  <si>
    <t>Otyń</t>
  </si>
  <si>
    <t>K00104</t>
  </si>
  <si>
    <t>Beata Baczyńska</t>
  </si>
  <si>
    <t>Gostyń</t>
  </si>
  <si>
    <t>63-800</t>
  </si>
  <si>
    <t>PL-2014-088211</t>
  </si>
  <si>
    <t>K00105</t>
  </si>
  <si>
    <t>Agnieszka Michalska</t>
  </si>
  <si>
    <t>Bobowa</t>
  </si>
  <si>
    <t>38-350</t>
  </si>
  <si>
    <t>K00099</t>
  </si>
  <si>
    <t>Adelina Rajska</t>
  </si>
  <si>
    <t>Wyszków</t>
  </si>
  <si>
    <t>07-200</t>
  </si>
  <si>
    <t>K00110</t>
  </si>
  <si>
    <t>Remigiusz Werner</t>
  </si>
  <si>
    <t>PL-2014-087709</t>
  </si>
  <si>
    <t>K00422</t>
  </si>
  <si>
    <t>Elżbieta Kaciuba</t>
  </si>
  <si>
    <t>Kolonowskie</t>
  </si>
  <si>
    <t>47-110</t>
  </si>
  <si>
    <t>PL-2012-087703</t>
  </si>
  <si>
    <t>K00418</t>
  </si>
  <si>
    <t>Małgorzata Mazur</t>
  </si>
  <si>
    <t>Bogatynia</t>
  </si>
  <si>
    <t>59-920</t>
  </si>
  <si>
    <t>K00423</t>
  </si>
  <si>
    <t>Janina Pawluk</t>
  </si>
  <si>
    <t>Łukta</t>
  </si>
  <si>
    <t>14-105</t>
  </si>
  <si>
    <t>PL-2014-089582</t>
  </si>
  <si>
    <t>PL-2014-089890</t>
  </si>
  <si>
    <t>PL-2014-091327</t>
  </si>
  <si>
    <t>PL-2014-086345</t>
  </si>
  <si>
    <t>PL-2014-088336</t>
  </si>
  <si>
    <t>PL-2014-087578</t>
  </si>
  <si>
    <t>PL-2014-088022</t>
  </si>
  <si>
    <t>PL-2011-088204</t>
  </si>
  <si>
    <t>K00107</t>
  </si>
  <si>
    <t>Jacek Wezgraj</t>
  </si>
  <si>
    <t>PL-2013-089823</t>
  </si>
  <si>
    <t>PL-2011-091042</t>
  </si>
  <si>
    <t>K01650</t>
  </si>
  <si>
    <t>Joanna Zacharska</t>
  </si>
  <si>
    <t>Chodów</t>
  </si>
  <si>
    <t>62-652</t>
  </si>
  <si>
    <t>PL-2014-091048</t>
  </si>
  <si>
    <t>PL-2013-087769</t>
  </si>
  <si>
    <t>K01146</t>
  </si>
  <si>
    <t>Józef Berdzik</t>
  </si>
  <si>
    <t>PL-2014-086329</t>
  </si>
  <si>
    <t>K03104</t>
  </si>
  <si>
    <t>Agnieszka Fudała</t>
  </si>
  <si>
    <t>PL-2012-086530</t>
  </si>
  <si>
    <t>PL-2012-087034</t>
  </si>
  <si>
    <t>K02505</t>
  </si>
  <si>
    <t>Krzysztof Mazur</t>
  </si>
  <si>
    <t>Gostynin</t>
  </si>
  <si>
    <t>PL-2013-088625</t>
  </si>
  <si>
    <t>PL-2011-090186</t>
  </si>
  <si>
    <t>PL-2014-090047</t>
  </si>
  <si>
    <t>PL-2014-087610</t>
  </si>
  <si>
    <t>PL-2013-087010</t>
  </si>
  <si>
    <t>PL-2013-090225</t>
  </si>
  <si>
    <t>PL-2014-090484</t>
  </si>
  <si>
    <t>V66</t>
  </si>
  <si>
    <t>PL-2014-090879</t>
  </si>
  <si>
    <t>PL-2014-087930</t>
  </si>
  <si>
    <t>K02542</t>
  </si>
  <si>
    <t>Katarzyna Chabera</t>
  </si>
  <si>
    <t>Szczucin</t>
  </si>
  <si>
    <t>33-230</t>
  </si>
  <si>
    <t>PL-2013-089531</t>
  </si>
  <si>
    <t>PL-2014-087101</t>
  </si>
  <si>
    <t>PL-2012-089420</t>
  </si>
  <si>
    <t>PL-2014-089090</t>
  </si>
  <si>
    <t>PL-2013-089254</t>
  </si>
  <si>
    <t>PL-2011-089743</t>
  </si>
  <si>
    <t>PL-2013-086201</t>
  </si>
  <si>
    <t>PL-2012-085953</t>
  </si>
  <si>
    <t>PL-2012-086756</t>
  </si>
  <si>
    <t>K02414</t>
  </si>
  <si>
    <t>Agata Sima Pietrzak</t>
  </si>
  <si>
    <t>Batorz</t>
  </si>
  <si>
    <t>23-320</t>
  </si>
  <si>
    <t>PL-2014-091553</t>
  </si>
  <si>
    <t>PL-2014-090761</t>
  </si>
  <si>
    <t>K03284</t>
  </si>
  <si>
    <t>Joanna Owczarek</t>
  </si>
  <si>
    <t>PL-2012-090049</t>
  </si>
  <si>
    <t>K00805</t>
  </si>
  <si>
    <t>Mirosław Sitkiewicz</t>
  </si>
  <si>
    <t>PL-2013-088353</t>
  </si>
  <si>
    <t>K02087</t>
  </si>
  <si>
    <t>Lilla Szewczyk</t>
  </si>
  <si>
    <t>Janów Podlaski</t>
  </si>
  <si>
    <t>21-505</t>
  </si>
  <si>
    <t>PL-2013-090591</t>
  </si>
  <si>
    <t>PL-2014-089117</t>
  </si>
  <si>
    <t>PL-2014-087694</t>
  </si>
  <si>
    <t>PL-2012-089659</t>
  </si>
  <si>
    <t>PL-2014-090038</t>
  </si>
  <si>
    <t>Advantus Plastic Paper Clips</t>
  </si>
  <si>
    <t>PL-2011-090032</t>
  </si>
  <si>
    <t>K00019</t>
  </si>
  <si>
    <t>Katarzyna Szymczewska</t>
  </si>
  <si>
    <t>Czersk</t>
  </si>
  <si>
    <t>89-650</t>
  </si>
  <si>
    <t>PL-2014-089037</t>
  </si>
  <si>
    <t>PL-2014-091564</t>
  </si>
  <si>
    <t>PL-2013-087970</t>
  </si>
  <si>
    <t>PL-2014-087294</t>
  </si>
  <si>
    <t>PL-2014-088910</t>
  </si>
  <si>
    <t>K00492</t>
  </si>
  <si>
    <t>Tadeusz Węgrzynowski</t>
  </si>
  <si>
    <t>PL-2014-088133</t>
  </si>
  <si>
    <t>PL-2013-088806</t>
  </si>
  <si>
    <t>PL-2014-087665</t>
  </si>
  <si>
    <t>K00028</t>
  </si>
  <si>
    <t>Dominika Grunwald</t>
  </si>
  <si>
    <t>Dzierżoniów</t>
  </si>
  <si>
    <t>58-200</t>
  </si>
  <si>
    <t>PL-2011-091277</t>
  </si>
  <si>
    <t>PL-2014-088148</t>
  </si>
  <si>
    <t>PL-2012-091475</t>
  </si>
  <si>
    <t>PL-2011-017446</t>
  </si>
  <si>
    <t>PL-2011-086145</t>
  </si>
  <si>
    <t>PL-2014-089980</t>
  </si>
  <si>
    <t>PL-2014-088469</t>
  </si>
  <si>
    <t>K01081</t>
  </si>
  <si>
    <t>Elżbieta Milczarz</t>
  </si>
  <si>
    <t>Wronki</t>
  </si>
  <si>
    <t>64-510</t>
  </si>
  <si>
    <t>PL-2013-087968</t>
  </si>
  <si>
    <t>K02258</t>
  </si>
  <si>
    <t>Lucyna Parol</t>
  </si>
  <si>
    <t>PL-2013-090018</t>
  </si>
  <si>
    <t>PL-2013-087122</t>
  </si>
  <si>
    <t>PL-2014-088035</t>
  </si>
  <si>
    <t>PL-2011-088418</t>
  </si>
  <si>
    <t>PL-2012-087702</t>
  </si>
  <si>
    <t>PL-2011-086092</t>
  </si>
  <si>
    <t>K02081</t>
  </si>
  <si>
    <t>Janina Okinczyc</t>
  </si>
  <si>
    <t>PL-2012-087623</t>
  </si>
  <si>
    <t>K02939</t>
  </si>
  <si>
    <t>Michał Kocór</t>
  </si>
  <si>
    <t>K02940</t>
  </si>
  <si>
    <t>Marian Kawczyński</t>
  </si>
  <si>
    <t>PL-2014-087291</t>
  </si>
  <si>
    <t>PL-2014-087755</t>
  </si>
  <si>
    <t>PL-2012-088258</t>
  </si>
  <si>
    <t>Sanford Colorific® Eraseable Coloring Pencils, 12 Count</t>
  </si>
  <si>
    <t>Colored Push Pins</t>
  </si>
  <si>
    <t>PL-2014-087481</t>
  </si>
  <si>
    <t>PL-2012-090231</t>
  </si>
  <si>
    <t>PL-2013-087866</t>
  </si>
  <si>
    <t>PL-2013-091247</t>
  </si>
  <si>
    <t>PL-2014-088100</t>
  </si>
  <si>
    <t>K01563</t>
  </si>
  <si>
    <t>Krystyna Zioła</t>
  </si>
  <si>
    <t>97-524</t>
  </si>
  <si>
    <t>PL-2014-087518</t>
  </si>
  <si>
    <t>PL-2012-087740</t>
  </si>
  <si>
    <t>PL-2014-090007</t>
  </si>
  <si>
    <t>PL-2013-088832</t>
  </si>
  <si>
    <t>PL-2011-089970</t>
  </si>
  <si>
    <t>PL-2014-089978</t>
  </si>
  <si>
    <t>PL-2013-089367</t>
  </si>
  <si>
    <t>K00846</t>
  </si>
  <si>
    <t>Stara Kamienica</t>
  </si>
  <si>
    <t>58-512</t>
  </si>
  <si>
    <t>K00841</t>
  </si>
  <si>
    <t>Iwona Kłos</t>
  </si>
  <si>
    <t>K00844</t>
  </si>
  <si>
    <t>Andrzej Pakulski</t>
  </si>
  <si>
    <t>PL-2012-090132</t>
  </si>
  <si>
    <t>PL-2014-091250</t>
  </si>
  <si>
    <t>PL-2014-089938</t>
  </si>
  <si>
    <t>PL-2011-086699</t>
  </si>
  <si>
    <t>PL-2011-091228</t>
  </si>
  <si>
    <t>K02776</t>
  </si>
  <si>
    <t>Robert Kucharycz</t>
  </si>
  <si>
    <t>Kamień Pomorski</t>
  </si>
  <si>
    <t>72-400</t>
  </si>
  <si>
    <t>PL-2013-087896</t>
  </si>
  <si>
    <t>PL-2014-087292</t>
  </si>
  <si>
    <t>K03124</t>
  </si>
  <si>
    <t>Maria Kruk</t>
  </si>
  <si>
    <t>Prochowice</t>
  </si>
  <si>
    <t>59-230</t>
  </si>
  <si>
    <t>PL-2012-090827</t>
  </si>
  <si>
    <t>K00177</t>
  </si>
  <si>
    <t>Robert Szczepański</t>
  </si>
  <si>
    <t>Siemianowice Śląskie</t>
  </si>
  <si>
    <t>41-100</t>
  </si>
  <si>
    <t>PL-2014-090144</t>
  </si>
  <si>
    <t>PL-2013-089366</t>
  </si>
  <si>
    <t>K00840</t>
  </si>
  <si>
    <t>Grzegorz Morzyc</t>
  </si>
  <si>
    <t>PL-2013-090792</t>
  </si>
  <si>
    <t>K01722</t>
  </si>
  <si>
    <t>Marian Hermanowicz</t>
  </si>
  <si>
    <t>PL-2011-090909</t>
  </si>
  <si>
    <t>K00551</t>
  </si>
  <si>
    <t>Andrzej Szachów</t>
  </si>
  <si>
    <t>Poniec</t>
  </si>
  <si>
    <t>64-125</t>
  </si>
  <si>
    <t>PL-2013-090084</t>
  </si>
  <si>
    <t>PL-2013-086777</t>
  </si>
  <si>
    <t>PL-2014-089298</t>
  </si>
  <si>
    <t>K00277</t>
  </si>
  <si>
    <t>Elżbieta Oczachowska</t>
  </si>
  <si>
    <t>Sękowa</t>
  </si>
  <si>
    <t>38-307</t>
  </si>
  <si>
    <t>PL-2014-091485</t>
  </si>
  <si>
    <t>K02338</t>
  </si>
  <si>
    <t>Justyna Kosmala</t>
  </si>
  <si>
    <t>Boniewo</t>
  </si>
  <si>
    <t>87-851</t>
  </si>
  <si>
    <t>Hewlett Packard 610 Color Digital Copier / Printer</t>
  </si>
  <si>
    <t>PL-2014-091005</t>
  </si>
  <si>
    <t>PL-2014-090680</t>
  </si>
  <si>
    <t>PL-2014-088924</t>
  </si>
  <si>
    <t>PL-2012-087059</t>
  </si>
  <si>
    <t>PL-2014-086043</t>
  </si>
  <si>
    <t>K00319</t>
  </si>
  <si>
    <t>Katarzyna Lewandowska</t>
  </si>
  <si>
    <t>PL-2011-091407</t>
  </si>
  <si>
    <t>PL-2014-086865</t>
  </si>
  <si>
    <t>PL-2014-090227</t>
  </si>
  <si>
    <t>PL-2012-091377</t>
  </si>
  <si>
    <t>PL-2014-089715</t>
  </si>
  <si>
    <t>K01642</t>
  </si>
  <si>
    <t>Anna Sawczuk</t>
  </si>
  <si>
    <t>K01640</t>
  </si>
  <si>
    <t>Kazimierz Mita</t>
  </si>
  <si>
    <t>PL-2014-087084</t>
  </si>
  <si>
    <t>K01473</t>
  </si>
  <si>
    <t>Paweł Mirowski</t>
  </si>
  <si>
    <t>PL-2011-090473</t>
  </si>
  <si>
    <t>PL-2014-088847</t>
  </si>
  <si>
    <t>K03381</t>
  </si>
  <si>
    <t>Zbigniew Gotowała</t>
  </si>
  <si>
    <t>Przeworsk</t>
  </si>
  <si>
    <t>37-200</t>
  </si>
  <si>
    <t>PL-2011-088836</t>
  </si>
  <si>
    <t>PL-2014-089535</t>
  </si>
  <si>
    <t>PL-2014-090744</t>
  </si>
  <si>
    <t>K03209</t>
  </si>
  <si>
    <t>Paweł Lembas</t>
  </si>
  <si>
    <t>PL-2013-089566</t>
  </si>
  <si>
    <t>PL-2014-088664</t>
  </si>
  <si>
    <t>K02551</t>
  </si>
  <si>
    <t>Grażyna Pakos</t>
  </si>
  <si>
    <t>PL-2012-090571</t>
  </si>
  <si>
    <t>PL-2012-017542</t>
  </si>
  <si>
    <t>K02001</t>
  </si>
  <si>
    <t>Wiesław Lebioda</t>
  </si>
  <si>
    <t>Jaworze</t>
  </si>
  <si>
    <t>43-384</t>
  </si>
  <si>
    <t>PL-2014-089164</t>
  </si>
  <si>
    <t>K02298</t>
  </si>
  <si>
    <t>Krystyna Zachaczewska</t>
  </si>
  <si>
    <t>PL-2014-089340</t>
  </si>
  <si>
    <t>PL-2012-086640</t>
  </si>
  <si>
    <t>K00760</t>
  </si>
  <si>
    <t>Zdzisław Biela</t>
  </si>
  <si>
    <t>PL-2012-091507</t>
  </si>
  <si>
    <t>PL-2013-088507</t>
  </si>
  <si>
    <t>PL-2011-088646</t>
  </si>
  <si>
    <t>K00584</t>
  </si>
  <si>
    <t>Andrzej Kasiński</t>
  </si>
  <si>
    <t>Wąchock</t>
  </si>
  <si>
    <t>27-215</t>
  </si>
  <si>
    <t>PL-2013-087092</t>
  </si>
  <si>
    <t>PL-2014-087001</t>
  </si>
  <si>
    <t>K00776</t>
  </si>
  <si>
    <t>Ireneusz Burak</t>
  </si>
  <si>
    <t>Kwidzyn</t>
  </si>
  <si>
    <t>82-500</t>
  </si>
  <si>
    <t>PL-2012-090205</t>
  </si>
  <si>
    <t>PL-2011-090678</t>
  </si>
  <si>
    <t>PL-2014-090042</t>
  </si>
  <si>
    <t>PL-2013-090113</t>
  </si>
  <si>
    <t>PL-2014-086130</t>
  </si>
  <si>
    <t>PL-2012-090558</t>
  </si>
  <si>
    <t>PL-2014-086288</t>
  </si>
  <si>
    <t>PL-2014-085976</t>
  </si>
  <si>
    <t>PL-2011-091575</t>
  </si>
  <si>
    <t>PL-2011-089716</t>
  </si>
  <si>
    <t>PL-2014-089721</t>
  </si>
  <si>
    <t>K03149</t>
  </si>
  <si>
    <t>Roman Jakubowski</t>
  </si>
  <si>
    <t>PL-2012-088883</t>
  </si>
  <si>
    <t>PL-2014-085974</t>
  </si>
  <si>
    <t>PL-2012-085967</t>
  </si>
  <si>
    <t>K00212</t>
  </si>
  <si>
    <t>Tomasz Zaborski</t>
  </si>
  <si>
    <t>PL-2012-091214</t>
  </si>
  <si>
    <t>K00654</t>
  </si>
  <si>
    <t>Halina Rakowska</t>
  </si>
  <si>
    <t>PL-2014-086749</t>
  </si>
  <si>
    <t>PL-2014-088578</t>
  </si>
  <si>
    <t>K00852</t>
  </si>
  <si>
    <t>Janusz Kilian</t>
  </si>
  <si>
    <t>Wolsztyn</t>
  </si>
  <si>
    <t>64-200</t>
  </si>
  <si>
    <t>K00856</t>
  </si>
  <si>
    <t>Elżbieta Bartkowska</t>
  </si>
  <si>
    <t>Podkowa Leśna</t>
  </si>
  <si>
    <t>05-807</t>
  </si>
  <si>
    <t>PL-2014-090794</t>
  </si>
  <si>
    <t>PL-2013-091295</t>
  </si>
  <si>
    <t>PL-2012-091391</t>
  </si>
  <si>
    <t>PL-2013-087792</t>
  </si>
  <si>
    <t>K02448</t>
  </si>
  <si>
    <t>Marek Wojciechowski</t>
  </si>
  <si>
    <t>PL-2014-088473</t>
  </si>
  <si>
    <t>K01925</t>
  </si>
  <si>
    <t>Gabriela Rybarczyk</t>
  </si>
  <si>
    <t>PL-2014-088079</t>
  </si>
  <si>
    <t>PL-2014-086322</t>
  </si>
  <si>
    <t>PL-2012-089026</t>
  </si>
  <si>
    <t>K03187</t>
  </si>
  <si>
    <t>Stanisław Szałagan</t>
  </si>
  <si>
    <t>Zembrzyce</t>
  </si>
  <si>
    <t>34-210</t>
  </si>
  <si>
    <t>PL-2014-089034</t>
  </si>
  <si>
    <t>PL-2012-088472</t>
  </si>
  <si>
    <t>PL-2011-090853</t>
  </si>
  <si>
    <t>PL-2014-088970</t>
  </si>
  <si>
    <t>PL-2012-089654</t>
  </si>
  <si>
    <t>K01715</t>
  </si>
  <si>
    <t>Cezary Zarzycki</t>
  </si>
  <si>
    <t>PL-2014-087950</t>
  </si>
  <si>
    <t>PL-2012-089466</t>
  </si>
  <si>
    <t>K02174</t>
  </si>
  <si>
    <t>Edward Nawrocki</t>
  </si>
  <si>
    <t>44-244</t>
  </si>
  <si>
    <t>PL-2011-088234</t>
  </si>
  <si>
    <t>K01352</t>
  </si>
  <si>
    <t>Andrzej Skiba</t>
  </si>
  <si>
    <t>PL-2012-085844</t>
  </si>
  <si>
    <t>PL-2014-086728</t>
  </si>
  <si>
    <t>PL-2014-090279</t>
  </si>
  <si>
    <t>PL-2011-090271</t>
  </si>
  <si>
    <t>K00829</t>
  </si>
  <si>
    <t>Henryk Nowak</t>
  </si>
  <si>
    <t>PL-2014-089265</t>
  </si>
  <si>
    <t>PL-2013-089452</t>
  </si>
  <si>
    <t>PL-2014-091185</t>
  </si>
  <si>
    <t>PL-2012-089306</t>
  </si>
  <si>
    <t>PL-2014-087924</t>
  </si>
  <si>
    <t>PL-2012-088421</t>
  </si>
  <si>
    <t>K01245</t>
  </si>
  <si>
    <t>Patrycja Nocoń</t>
  </si>
  <si>
    <t>PL-2011-087306</t>
  </si>
  <si>
    <t>PL-2014-087314</t>
  </si>
  <si>
    <t>PL-2013-090020</t>
  </si>
  <si>
    <t>PL-2014-090778</t>
  </si>
  <si>
    <t>PL-2014-086074</t>
  </si>
  <si>
    <t>PL-2012-086065</t>
  </si>
  <si>
    <t>PL-2013-091232</t>
  </si>
  <si>
    <t>K01289</t>
  </si>
  <si>
    <t>Grzegorz Nowicki</t>
  </si>
  <si>
    <t>Dynów</t>
  </si>
  <si>
    <t>36-065</t>
  </si>
  <si>
    <t>PL-2014-090448</t>
  </si>
  <si>
    <t>PL-2012-089586</t>
  </si>
  <si>
    <t>PL-2014-090023</t>
  </si>
  <si>
    <t>PL-2013-086706</t>
  </si>
  <si>
    <t>PL-2014-089172</t>
  </si>
  <si>
    <t>PL-2011-087072</t>
  </si>
  <si>
    <t>K02145</t>
  </si>
  <si>
    <t>Andrzej Ćwikliński</t>
  </si>
  <si>
    <t>81-741</t>
  </si>
  <si>
    <t>PL-2011-090932</t>
  </si>
  <si>
    <t>PL-2012-090272</t>
  </si>
  <si>
    <t>PL-2012-085901</t>
  </si>
  <si>
    <t>PL-2014-090925</t>
  </si>
  <si>
    <t>K00664</t>
  </si>
  <si>
    <t>Janusz Młodzianowski</t>
  </si>
  <si>
    <t>PL-2011-088599</t>
  </si>
  <si>
    <t>PL-2012-087037</t>
  </si>
  <si>
    <t>K02521</t>
  </si>
  <si>
    <t>Katarzyna Węgrzyn</t>
  </si>
  <si>
    <t>PL-2011-090431</t>
  </si>
  <si>
    <t>PL-2014-086499</t>
  </si>
  <si>
    <t>PL-2014-087213</t>
  </si>
  <si>
    <t>PL-2011-089017</t>
  </si>
  <si>
    <t>K02738</t>
  </si>
  <si>
    <t>Piotr Rzepka</t>
  </si>
  <si>
    <t>PL-2014-088780</t>
  </si>
  <si>
    <t>PL-2011-017636</t>
  </si>
  <si>
    <t>K00962</t>
  </si>
  <si>
    <t>Kinga Kraszczuk</t>
  </si>
  <si>
    <t>90-118</t>
  </si>
  <si>
    <t>PL-2012-088775</t>
  </si>
  <si>
    <t>PL-2013-089734</t>
  </si>
  <si>
    <t>PL-2013-088862</t>
  </si>
  <si>
    <t>PL-2013-090162</t>
  </si>
  <si>
    <t>PL-2012-091474</t>
  </si>
  <si>
    <t>PL-2014-088337</t>
  </si>
  <si>
    <t>K03244</t>
  </si>
  <si>
    <t>Maciej Michoński</t>
  </si>
  <si>
    <t>PL-2013-089964</t>
  </si>
  <si>
    <t>PL-2011-087977</t>
  </si>
  <si>
    <t>PL-2014-088468</t>
  </si>
  <si>
    <t>K01082</t>
  </si>
  <si>
    <t>Dariusz Kufel</t>
  </si>
  <si>
    <t>Pobiedziska</t>
  </si>
  <si>
    <t>62-010</t>
  </si>
  <si>
    <t>PL-2012-088463</t>
  </si>
  <si>
    <t>PL-2012-091472</t>
  </si>
  <si>
    <t>K03372</t>
  </si>
  <si>
    <t>Franciszek Hirsz</t>
  </si>
  <si>
    <t>PL-2014-087808</t>
  </si>
  <si>
    <t>PL-2011-090540</t>
  </si>
  <si>
    <t>K01419</t>
  </si>
  <si>
    <t>Tomasz Ladziński</t>
  </si>
  <si>
    <t>PL-2014-089455</t>
  </si>
  <si>
    <t>PL-2013-088671</t>
  </si>
  <si>
    <t>K00773</t>
  </si>
  <si>
    <t>Paweł Grandtke</t>
  </si>
  <si>
    <t>PL-2011-087260</t>
  </si>
  <si>
    <t>K00975</t>
  </si>
  <si>
    <t>Ryszard Witkowski</t>
  </si>
  <si>
    <t>PL-2014-087269</t>
  </si>
  <si>
    <t>K00978</t>
  </si>
  <si>
    <t>Iwona Pakuła</t>
  </si>
  <si>
    <t>PL-2013-090560</t>
  </si>
  <si>
    <t>PL-2013-089958</t>
  </si>
  <si>
    <t>PL-2013-091582</t>
  </si>
  <si>
    <t>K00959</t>
  </si>
  <si>
    <t>Adrian Zalewski</t>
  </si>
  <si>
    <t>PL-2012-091529</t>
  </si>
  <si>
    <t>PL-2014-091531</t>
  </si>
  <si>
    <t>K02476</t>
  </si>
  <si>
    <t>Julian Rosiński</t>
  </si>
  <si>
    <t>PL-2012-091332</t>
  </si>
  <si>
    <t>PL-2012-088108</t>
  </si>
  <si>
    <t>K01133</t>
  </si>
  <si>
    <t>Iwona Ksel</t>
  </si>
  <si>
    <t>Lichnowy</t>
  </si>
  <si>
    <t>82-224</t>
  </si>
  <si>
    <t>PL-2014-091573</t>
  </si>
  <si>
    <t>PL-2014-090257</t>
  </si>
  <si>
    <t>K02844</t>
  </si>
  <si>
    <t>Magdalena Kowalska</t>
  </si>
  <si>
    <t>PL-2014-089630</t>
  </si>
  <si>
    <t>PL-2014-089436</t>
  </si>
  <si>
    <t>K00993</t>
  </si>
  <si>
    <t>Artur Hubicki</t>
  </si>
  <si>
    <t>PL-2014-086984</t>
  </si>
  <si>
    <t>PL-2012-086980</t>
  </si>
  <si>
    <t>K02785</t>
  </si>
  <si>
    <t>Wiesław Mróz</t>
  </si>
  <si>
    <t>Bobolice</t>
  </si>
  <si>
    <t>76-020</t>
  </si>
  <si>
    <t>PL-2011-086693</t>
  </si>
  <si>
    <t>PL-2014-090984</t>
  </si>
  <si>
    <t>K01105</t>
  </si>
  <si>
    <t>Krzysztof Hornatkiewicz</t>
  </si>
  <si>
    <t>Ksawerów</t>
  </si>
  <si>
    <t>95-054</t>
  </si>
  <si>
    <t>PL-2012-086703</t>
  </si>
  <si>
    <t>PL-2014-090398</t>
  </si>
  <si>
    <t>PL-2011-088460</t>
  </si>
  <si>
    <t>K01083</t>
  </si>
  <si>
    <t>Jan Nowak</t>
  </si>
  <si>
    <t>PL-2011-089006</t>
  </si>
  <si>
    <t>PL-2014-085876</t>
  </si>
  <si>
    <t>PL-2011-090479</t>
  </si>
  <si>
    <t>K00241</t>
  </si>
  <si>
    <t>Jolanta Jabłońska</t>
  </si>
  <si>
    <t>Opatów</t>
  </si>
  <si>
    <t>27-500</t>
  </si>
  <si>
    <t>PL-2011-088547</t>
  </si>
  <si>
    <t>PL-2014-087860</t>
  </si>
  <si>
    <t>PL-2012-086938</t>
  </si>
  <si>
    <t>K02021</t>
  </si>
  <si>
    <t>Magdalena Żuchowska</t>
  </si>
  <si>
    <t>Ojrzeń</t>
  </si>
  <si>
    <t>06-456</t>
  </si>
  <si>
    <t>PL-2014-086708</t>
  </si>
  <si>
    <t>K02251</t>
  </si>
  <si>
    <t>Katarzyna Matusik</t>
  </si>
  <si>
    <t>PL-2014-086204</t>
  </si>
  <si>
    <t>PL-2013-088395</t>
  </si>
  <si>
    <t>PL-2014-089343</t>
  </si>
  <si>
    <t>PL-2012-091429</t>
  </si>
  <si>
    <t>Geographics Note Cards, Blank, White, 8 1/2" x 11"</t>
  </si>
  <si>
    <t>PL-2012-085861</t>
  </si>
  <si>
    <t>PL-2014-085864</t>
  </si>
  <si>
    <t>K00258</t>
  </si>
  <si>
    <t>Dorota Chałat</t>
  </si>
  <si>
    <t>Dąbrowa Biskupia</t>
  </si>
  <si>
    <t>88-133</t>
  </si>
  <si>
    <t>PL-2013-086371</t>
  </si>
  <si>
    <t>K03142</t>
  </si>
  <si>
    <t>Tomasz Piskorz</t>
  </si>
  <si>
    <t>Łańcut</t>
  </si>
  <si>
    <t>37-100</t>
  </si>
  <si>
    <t>PL-2011-086509</t>
  </si>
  <si>
    <t>PL-2013-086070</t>
  </si>
  <si>
    <t>K02657</t>
  </si>
  <si>
    <t>Ryszard Wieteska</t>
  </si>
  <si>
    <t>Kołobrzeg</t>
  </si>
  <si>
    <t>78-100</t>
  </si>
  <si>
    <t>PL-2014-086721</t>
  </si>
  <si>
    <t>PL-2011-091583</t>
  </si>
  <si>
    <t>K02135</t>
  </si>
  <si>
    <t>Monika Skrzypek</t>
  </si>
  <si>
    <t>PL-2013-090901</t>
  </si>
  <si>
    <t>PL-2012-090715</t>
  </si>
  <si>
    <t>PL-2013-090720</t>
  </si>
  <si>
    <t>PL-2012-089996</t>
  </si>
  <si>
    <t>K01365</t>
  </si>
  <si>
    <t>Piotr Piórkowski</t>
  </si>
  <si>
    <t>PL-2012-088733</t>
  </si>
  <si>
    <t>K01398</t>
  </si>
  <si>
    <t>Marcin Michalak</t>
  </si>
  <si>
    <t>PL-2013-090298</t>
  </si>
  <si>
    <t>K03262</t>
  </si>
  <si>
    <t>Roman Garguliński</t>
  </si>
  <si>
    <t>PL-2012-089916</t>
  </si>
  <si>
    <t>PL-2011-085939</t>
  </si>
  <si>
    <t>K01186</t>
  </si>
  <si>
    <t>Krystyna Jabłońska</t>
  </si>
  <si>
    <t>PL-2014-088424</t>
  </si>
  <si>
    <t>PL-2014-089038</t>
  </si>
  <si>
    <t>PL-2013-088704</t>
  </si>
  <si>
    <t>PL-2013-087894</t>
  </si>
  <si>
    <t>K02101</t>
  </si>
  <si>
    <t>Lech Jasiński</t>
  </si>
  <si>
    <t>PL-2012-090775</t>
  </si>
  <si>
    <t>PL-2012-091439</t>
  </si>
  <si>
    <t>PL-2014-090523</t>
  </si>
  <si>
    <t>PL-2012-089397</t>
  </si>
  <si>
    <t>PL-2011-087899</t>
  </si>
  <si>
    <t>PL-2013-090393</t>
  </si>
  <si>
    <t>PL-2012-091032</t>
  </si>
  <si>
    <t>K02835</t>
  </si>
  <si>
    <t>Ewelina Dolińczyk</t>
  </si>
  <si>
    <t>PL-2014-091520</t>
  </si>
  <si>
    <t>PL-2014-089501</t>
  </si>
  <si>
    <t>PL-2014-089363</t>
  </si>
  <si>
    <t>PL-2014-087275</t>
  </si>
  <si>
    <t>PL-2014-088486</t>
  </si>
  <si>
    <t>PL-2012-086982</t>
  </si>
  <si>
    <t>PL-2013-087650</t>
  </si>
  <si>
    <t>PL-2013-089459</t>
  </si>
  <si>
    <t>PL-2011-087954</t>
  </si>
  <si>
    <t>PL-2013-090561</t>
  </si>
  <si>
    <t>K02310</t>
  </si>
  <si>
    <t>Stanisława Romaniuk</t>
  </si>
  <si>
    <t>K02311</t>
  </si>
  <si>
    <t>Marta Tolwaj</t>
  </si>
  <si>
    <t>K02312</t>
  </si>
  <si>
    <t>Mirosława Bartoszewska</t>
  </si>
  <si>
    <t>Poddębice</t>
  </si>
  <si>
    <t>99-200</t>
  </si>
  <si>
    <t>PL-2012-087572</t>
  </si>
  <si>
    <t>PL-2012-089365</t>
  </si>
  <si>
    <t>PL-2011-090147</t>
  </si>
  <si>
    <t>K02287</t>
  </si>
  <si>
    <t>Barbara Grudzień</t>
  </si>
  <si>
    <t>Janowiec Wielkopolski</t>
  </si>
  <si>
    <t>88-430</t>
  </si>
  <si>
    <t>PL-2012-089141</t>
  </si>
  <si>
    <t>PL-2012-087593</t>
  </si>
  <si>
    <t>PL-2014-090520</t>
  </si>
  <si>
    <t>PL-2014-088995</t>
  </si>
  <si>
    <t>PL-2014-088951</t>
  </si>
  <si>
    <t>PL-2013-088718</t>
  </si>
  <si>
    <t>PL-2014-086203</t>
  </si>
  <si>
    <t>PL-2014-087096</t>
  </si>
  <si>
    <t>K01412</t>
  </si>
  <si>
    <t>Mieczysław Łapko</t>
  </si>
  <si>
    <t>PL-2011-087087</t>
  </si>
  <si>
    <t>PL-2012-089744</t>
  </si>
  <si>
    <t>PL-2013-090643</t>
  </si>
  <si>
    <t>K01039</t>
  </si>
  <si>
    <t>Ewa Zasada</t>
  </si>
  <si>
    <t>PL-2012-091524</t>
  </si>
  <si>
    <t>PL-2014-091512</t>
  </si>
  <si>
    <t>K02754</t>
  </si>
  <si>
    <t>Dawid Szyszlak</t>
  </si>
  <si>
    <t>Ustroń</t>
  </si>
  <si>
    <t>43-450</t>
  </si>
  <si>
    <t>PL-2011-086103</t>
  </si>
  <si>
    <t>K03046</t>
  </si>
  <si>
    <t>Leszek Staszko</t>
  </si>
  <si>
    <t>PL-2014-087600</t>
  </si>
  <si>
    <t>PL-2013-090677</t>
  </si>
  <si>
    <t>PL-2012-087455</t>
  </si>
  <si>
    <t>PL-2013-091082</t>
  </si>
  <si>
    <t>PL-2014-089618</t>
  </si>
  <si>
    <t>PL-2014-090645</t>
  </si>
  <si>
    <t>PL-2014-086609</t>
  </si>
  <si>
    <t>PL-2014-091396</t>
  </si>
  <si>
    <t>PL-2014-087393</t>
  </si>
  <si>
    <t>K00300</t>
  </si>
  <si>
    <t>Jerzy Ulrich</t>
  </si>
  <si>
    <t>PL-2013-087959</t>
  </si>
  <si>
    <t>PL-2014-090290</t>
  </si>
  <si>
    <t>PL-2014-091113</t>
  </si>
  <si>
    <t>PL-2012-088470</t>
  </si>
  <si>
    <t>K01921</t>
  </si>
  <si>
    <t>Marek Brzostko</t>
  </si>
  <si>
    <t>K01923</t>
  </si>
  <si>
    <t>Monika Ryhanycz</t>
  </si>
  <si>
    <t>PL-2011-089596</t>
  </si>
  <si>
    <t>PL-2011-086053</t>
  </si>
  <si>
    <t>PL-2012-089603</t>
  </si>
  <si>
    <t>PL-2014-089533</t>
  </si>
  <si>
    <t>PL-2012-089168</t>
  </si>
  <si>
    <t>PL-2012-088222</t>
  </si>
  <si>
    <t>PL-2014-091370</t>
  </si>
  <si>
    <t>PL-2012-091367</t>
  </si>
  <si>
    <t>PL-2014-091006</t>
  </si>
  <si>
    <t>K02481</t>
  </si>
  <si>
    <t>Andrzej Staszak</t>
  </si>
  <si>
    <t>PL-2013-091509</t>
  </si>
  <si>
    <t>PL-2014-086421</t>
  </si>
  <si>
    <t>PL-2014-088565</t>
  </si>
  <si>
    <t>PL-2014-091038</t>
  </si>
  <si>
    <t>PL-2013-086696</t>
  </si>
  <si>
    <t>K00130</t>
  </si>
  <si>
    <t>Beata Bezmian</t>
  </si>
  <si>
    <t>PL-2014-088311</t>
  </si>
  <si>
    <t>PL-2013-087780</t>
  </si>
  <si>
    <t>PL-2014-090576</t>
  </si>
  <si>
    <t>PL-2014-086519</t>
  </si>
  <si>
    <t>PL-2012-086515</t>
  </si>
  <si>
    <t>PL-2013-086156</t>
  </si>
  <si>
    <t>PL-2014-085937</t>
  </si>
  <si>
    <t>PL-2011-085929</t>
  </si>
  <si>
    <t>PL-2014-090938</t>
  </si>
  <si>
    <t>K01579</t>
  </si>
  <si>
    <t>Lech Andrzejczak</t>
  </si>
  <si>
    <t>PL-2011-089810</t>
  </si>
  <si>
    <t>PL-2014-091014</t>
  </si>
  <si>
    <t>PL-2011-086566</t>
  </si>
  <si>
    <t>K00946</t>
  </si>
  <si>
    <t>Dorota Huzar</t>
  </si>
  <si>
    <t>PL-2012-089973</t>
  </si>
  <si>
    <t>PL-2013-090518</t>
  </si>
  <si>
    <t>PL-2011-090525</t>
  </si>
  <si>
    <t>PL-2011-089025</t>
  </si>
  <si>
    <t>PL-2014-089488</t>
  </si>
  <si>
    <t>PL-2014-091280</t>
  </si>
  <si>
    <t>PL-2012-089252</t>
  </si>
  <si>
    <t>K01807</t>
  </si>
  <si>
    <t>Dorota Kierkosz</t>
  </si>
  <si>
    <t>68-219</t>
  </si>
  <si>
    <t>PL-2011-089320</t>
  </si>
  <si>
    <t>PL-2014-089326</t>
  </si>
  <si>
    <t>PL-2014-089826</t>
  </si>
  <si>
    <t>K01958</t>
  </si>
  <si>
    <t>Sebastian Niemczyk</t>
  </si>
  <si>
    <t>PL-2014-089676</t>
  </si>
  <si>
    <t>PL-2011-091417</t>
  </si>
  <si>
    <t>PL-2013-087301</t>
  </si>
  <si>
    <t>PL-2013-090083</t>
  </si>
  <si>
    <t>PL-2011-086308</t>
  </si>
  <si>
    <t>K00596</t>
  </si>
  <si>
    <t>Paweł Kosmalski</t>
  </si>
  <si>
    <t>Lubsko</t>
  </si>
  <si>
    <t>68-300</t>
  </si>
  <si>
    <t>PL-2013-088272</t>
  </si>
  <si>
    <t>PL-2014-089839</t>
  </si>
  <si>
    <t>PL-2012-090727</t>
  </si>
  <si>
    <t>K02766</t>
  </si>
  <si>
    <t>Krzysztof Grabowski</t>
  </si>
  <si>
    <t>Secemin</t>
  </si>
  <si>
    <t>29-145</t>
  </si>
  <si>
    <t>K02759</t>
  </si>
  <si>
    <t>Ireneusz Zarzycki</t>
  </si>
  <si>
    <t>PL-2014-090730</t>
  </si>
  <si>
    <t>K02762</t>
  </si>
  <si>
    <t>Artur Tłoczek</t>
  </si>
  <si>
    <t>PL-2012-089688</t>
  </si>
  <si>
    <t>PL-2014-087533</t>
  </si>
  <si>
    <t>K03403</t>
  </si>
  <si>
    <t>Anna Popielarczyk</t>
  </si>
  <si>
    <t>PL-2011-090818</t>
  </si>
  <si>
    <t>PL-2014-090091</t>
  </si>
  <si>
    <t>PL-2014-085863</t>
  </si>
  <si>
    <t>PL-2011-085858</t>
  </si>
  <si>
    <t>PL-2014-089052</t>
  </si>
  <si>
    <t>PL-2013-089990</t>
  </si>
  <si>
    <t>K03101</t>
  </si>
  <si>
    <t>Karolina Łukomska</t>
  </si>
  <si>
    <t>PL-2013-091027</t>
  </si>
  <si>
    <t>PL-2012-088050</t>
  </si>
  <si>
    <t>K00214</t>
  </si>
  <si>
    <t>Karolina Wogórka</t>
  </si>
  <si>
    <t>Krempna</t>
  </si>
  <si>
    <t>38-232</t>
  </si>
  <si>
    <t>GBC DocuBind P50 Personal Binding Machine</t>
  </si>
  <si>
    <t>PL-2013-086069</t>
  </si>
  <si>
    <t>PL-2013-088886</t>
  </si>
  <si>
    <t>K00570</t>
  </si>
  <si>
    <t>Jadwiga Kancelarczyk</t>
  </si>
  <si>
    <t>Przemyśl</t>
  </si>
  <si>
    <t>37-700</t>
  </si>
  <si>
    <t>PL-2014-086098</t>
  </si>
  <si>
    <t>PL-2011-089293</t>
  </si>
  <si>
    <t>K00283</t>
  </si>
  <si>
    <t>Aneta Lewandowska</t>
  </si>
  <si>
    <t>PL-2014-089773</t>
  </si>
  <si>
    <t>K00836</t>
  </si>
  <si>
    <t>Tomasz Furman</t>
  </si>
  <si>
    <t>Pakosław</t>
  </si>
  <si>
    <t>63-920</t>
  </si>
  <si>
    <t>PL-2013-086906</t>
  </si>
  <si>
    <t>K03156</t>
  </si>
  <si>
    <t>Bogdan Łukomski</t>
  </si>
  <si>
    <t>PL-2012-088378</t>
  </si>
  <si>
    <t>PL-2012-091448</t>
  </si>
  <si>
    <t>PL-2013-091493</t>
  </si>
  <si>
    <t>PL-2014-087201</t>
  </si>
  <si>
    <t>K01727</t>
  </si>
  <si>
    <t>Józef Oleszko</t>
  </si>
  <si>
    <t>Tuszów Narodowy</t>
  </si>
  <si>
    <t>39-332</t>
  </si>
  <si>
    <t>PL-2011-091584</t>
  </si>
  <si>
    <t>K02773</t>
  </si>
  <si>
    <t>Daniel Grajczak</t>
  </si>
  <si>
    <t>Jaworzyna Śląska</t>
  </si>
  <si>
    <t>58-140</t>
  </si>
  <si>
    <t>PL-2012-089085</t>
  </si>
  <si>
    <t>PL-2011-088656</t>
  </si>
  <si>
    <t>PL-2011-091305</t>
  </si>
  <si>
    <t>K02356</t>
  </si>
  <si>
    <t>Krystyna Woźniak</t>
  </si>
  <si>
    <t>PL-2014-091226</t>
  </si>
  <si>
    <t>PL-2013-090504</t>
  </si>
  <si>
    <t>K03368</t>
  </si>
  <si>
    <t>Krystyna Grzyb</t>
  </si>
  <si>
    <t>Zakroczym</t>
  </si>
  <si>
    <t>05-170</t>
  </si>
  <si>
    <t>PL-2014-089208</t>
  </si>
  <si>
    <t>Novimex High-Tech Fabric Mesh Task Chair</t>
  </si>
  <si>
    <t>PL-2014-087844</t>
  </si>
  <si>
    <t>PL-2011-088212</t>
  </si>
  <si>
    <t>K01374</t>
  </si>
  <si>
    <t>Sławomir Kajkowski</t>
  </si>
  <si>
    <t>PL-2014-088217</t>
  </si>
  <si>
    <t>PL-2013-086615</t>
  </si>
  <si>
    <t>PL-2014-086590</t>
  </si>
  <si>
    <t>PL-2011-086575</t>
  </si>
  <si>
    <t>PL-2013-090365</t>
  </si>
  <si>
    <t>K00742</t>
  </si>
  <si>
    <t>Dariusz Posadowski</t>
  </si>
  <si>
    <t>K00739</t>
  </si>
  <si>
    <t>Sylwia Walczak</t>
  </si>
  <si>
    <t>ELITE Series</t>
  </si>
  <si>
    <t>K00735</t>
  </si>
  <si>
    <t>Barbara Bukwald</t>
  </si>
  <si>
    <t>K00734</t>
  </si>
  <si>
    <t>Barbara Maraszek</t>
  </si>
  <si>
    <t>Borzęcin</t>
  </si>
  <si>
    <t>32-825</t>
  </si>
  <si>
    <t>PL-2014-090658</t>
  </si>
  <si>
    <t>PL-2011-090653</t>
  </si>
  <si>
    <t>PL-2014-091217</t>
  </si>
  <si>
    <t>K00658</t>
  </si>
  <si>
    <t>Dariusz Bartosik</t>
  </si>
  <si>
    <t>PL-2013-085972</t>
  </si>
  <si>
    <t>PL-2013-090572</t>
  </si>
  <si>
    <t>PL-2014-091171</t>
  </si>
  <si>
    <t>PL-2011-091502</t>
  </si>
  <si>
    <t>PL-2014-091506</t>
  </si>
  <si>
    <t>K02277</t>
  </si>
  <si>
    <t>Sylwester Specyał</t>
  </si>
  <si>
    <t>98-285</t>
  </si>
  <si>
    <t>PL-2012-091301</t>
  </si>
  <si>
    <t>PL-2012-085900</t>
  </si>
  <si>
    <t>K01919</t>
  </si>
  <si>
    <t>Józef Rutkowski</t>
  </si>
  <si>
    <t>PL-2014-090898</t>
  </si>
  <si>
    <t>PL-2011-089729</t>
  </si>
  <si>
    <t>K01265</t>
  </si>
  <si>
    <t>Leszek Karpiński</t>
  </si>
  <si>
    <t>Dominowo</t>
  </si>
  <si>
    <t>PL-2014-089737</t>
  </si>
  <si>
    <t>PL-2014-086747</t>
  </si>
  <si>
    <t>PL-2014-091023</t>
  </si>
  <si>
    <t>PL-2013-090200</t>
  </si>
  <si>
    <t>K00006</t>
  </si>
  <si>
    <t>Piotr Sikorski</t>
  </si>
  <si>
    <t>40-479</t>
  </si>
  <si>
    <t>PL-2014-089437</t>
  </si>
  <si>
    <t>Electrix Incandescent Magnifying Lamp, Black</t>
  </si>
  <si>
    <t>PL-2014-089003</t>
  </si>
  <si>
    <t>PL-2011-088998</t>
  </si>
  <si>
    <t>PL-2012-085970</t>
  </si>
  <si>
    <t>PL-2014-085977</t>
  </si>
  <si>
    <t>PL-2014-086617</t>
  </si>
  <si>
    <t>K02266</t>
  </si>
  <si>
    <t>Michał Szcześniak</t>
  </si>
  <si>
    <t>Potok Górny</t>
  </si>
  <si>
    <t>23-423</t>
  </si>
  <si>
    <t>PL-2011-091054</t>
  </si>
  <si>
    <t>PL-2014-086444</t>
  </si>
  <si>
    <t>PL-2011-088783</t>
  </si>
  <si>
    <t>PL-2012-090311</t>
  </si>
  <si>
    <t>PL-2014-086089</t>
  </si>
  <si>
    <t>PL-2014-091557</t>
  </si>
  <si>
    <t>K01248</t>
  </si>
  <si>
    <t>Magdalena Gawrysiak</t>
  </si>
  <si>
    <t>PL-2012-089539</t>
  </si>
  <si>
    <t>PL-2012-086603</t>
  </si>
  <si>
    <t>PL-2011-091000</t>
  </si>
  <si>
    <t>PL-2014-088020</t>
  </si>
  <si>
    <t>K02620</t>
  </si>
  <si>
    <t>Kazimierz Siebuła</t>
  </si>
  <si>
    <t>Dobczyce</t>
  </si>
  <si>
    <t>32-410</t>
  </si>
  <si>
    <t>PL-2013-090721</t>
  </si>
  <si>
    <t>PL-2013-017860</t>
  </si>
  <si>
    <t>K02374</t>
  </si>
  <si>
    <t>Aleksandra Ligenza</t>
  </si>
  <si>
    <t>PL-2014-089110</t>
  </si>
  <si>
    <t>K01771</t>
  </si>
  <si>
    <t>Jacek Kustrzycki</t>
  </si>
  <si>
    <t>PL-2013-087921</t>
  </si>
  <si>
    <t>K02547</t>
  </si>
  <si>
    <t>Grzegorz Chudek</t>
  </si>
  <si>
    <t>PL-2014-090130</t>
  </si>
  <si>
    <t>PL-2014-090722</t>
  </si>
  <si>
    <t>PL-2012-088269</t>
  </si>
  <si>
    <t>PL-2013-090100</t>
  </si>
  <si>
    <t>PL-2014-088519</t>
  </si>
  <si>
    <t>PL-2014-088719</t>
  </si>
  <si>
    <t>PL-2013-086376</t>
  </si>
  <si>
    <t>PL-2011-088819</t>
  </si>
  <si>
    <t>PL-2014-088675</t>
  </si>
  <si>
    <t>PL-2013-088821</t>
  </si>
  <si>
    <t>PL-2011-087720</t>
  </si>
  <si>
    <t>PL-2014-090565</t>
  </si>
  <si>
    <t>K02314</t>
  </si>
  <si>
    <t>Mariola Krawiec</t>
  </si>
  <si>
    <t>PL-2014-089576</t>
  </si>
  <si>
    <t>PL-2013-091046</t>
  </si>
  <si>
    <t>PL-2012-091318</t>
  </si>
  <si>
    <t>PL-2014-089266</t>
  </si>
  <si>
    <t>PL-2014-090093</t>
  </si>
  <si>
    <t>K02133</t>
  </si>
  <si>
    <t>Marek Twardowski</t>
  </si>
  <si>
    <t>PL-2013-088274</t>
  </si>
  <si>
    <t>PL-2012-089698</t>
  </si>
  <si>
    <t>PL-2013-086778</t>
  </si>
  <si>
    <t>K01119</t>
  </si>
  <si>
    <t>Mateusz Dąbrowski</t>
  </si>
  <si>
    <t>Przygodzice</t>
  </si>
  <si>
    <t>63-421</t>
  </si>
  <si>
    <t>PL-2013-089727</t>
  </si>
  <si>
    <t>K00332</t>
  </si>
  <si>
    <t>Maria Sławska</t>
  </si>
  <si>
    <t>Pszczew</t>
  </si>
  <si>
    <t>66-330</t>
  </si>
  <si>
    <t>K00330</t>
  </si>
  <si>
    <t>Barbara Kośmińska</t>
  </si>
  <si>
    <t>PL-2014-086001</t>
  </si>
  <si>
    <t>PL-2011-085991</t>
  </si>
  <si>
    <t>K01818</t>
  </si>
  <si>
    <t>Grzegorz Trafny</t>
  </si>
  <si>
    <t>Garwolin</t>
  </si>
  <si>
    <t>08-400</t>
  </si>
  <si>
    <t>PL-2013-087302</t>
  </si>
  <si>
    <t>PL-2013-090206</t>
  </si>
  <si>
    <t>K00986</t>
  </si>
  <si>
    <t>Kazimierz Stępień</t>
  </si>
  <si>
    <t>Niemce</t>
  </si>
  <si>
    <t>21-025</t>
  </si>
  <si>
    <t>PL-2011-091130</t>
  </si>
  <si>
    <t>PL-2014-088756</t>
  </si>
  <si>
    <t>PL-2011-088753</t>
  </si>
  <si>
    <t>PL-2012-089635</t>
  </si>
  <si>
    <t>K01095</t>
  </si>
  <si>
    <t>Justyna Łyjak</t>
  </si>
  <si>
    <t>PL-2012-087397</t>
  </si>
  <si>
    <t>PL-2014-087402</t>
  </si>
  <si>
    <t>Blackstonian Pencils</t>
  </si>
  <si>
    <t>Chromcraft Bull-Nose Wood Round Conference Table Top, Wood Base</t>
  </si>
  <si>
    <t>PL-2014-087184</t>
  </si>
  <si>
    <t>PL-2013-090086</t>
  </si>
  <si>
    <t>PL-2012-091045</t>
  </si>
  <si>
    <t>PL-2011-090739</t>
  </si>
  <si>
    <t>PL-2011-086384</t>
  </si>
  <si>
    <t>PL-2011-089819</t>
  </si>
  <si>
    <t>PL-2014-087363</t>
  </si>
  <si>
    <t>PL-2013-085956</t>
  </si>
  <si>
    <t>PL-2013-088691</t>
  </si>
  <si>
    <t>PL-2014-086996</t>
  </si>
  <si>
    <t>PL-2012-086992</t>
  </si>
  <si>
    <t>PL-2012-088393</t>
  </si>
  <si>
    <t>K01016</t>
  </si>
  <si>
    <t>Kamil Wochner</t>
  </si>
  <si>
    <t>Chełmża</t>
  </si>
  <si>
    <t>87-140</t>
  </si>
  <si>
    <t>PL-2013-087156</t>
  </si>
  <si>
    <t>PL-2013-087768</t>
  </si>
  <si>
    <t>Sensible Storage WireTech Storage Systems</t>
  </si>
  <si>
    <t>PL-2013-088749</t>
  </si>
  <si>
    <t>PL-2012-089451</t>
  </si>
  <si>
    <t>PL-2014-089454</t>
  </si>
  <si>
    <t>PL-2013-086929</t>
  </si>
  <si>
    <t>PL-2012-090665</t>
  </si>
  <si>
    <t>PL-2013-087561</t>
  </si>
  <si>
    <t>PL-2013-086068</t>
  </si>
  <si>
    <t>PL-2014-091511</t>
  </si>
  <si>
    <t>PL-2014-090372</t>
  </si>
  <si>
    <t>PL-2011-090596</t>
  </si>
  <si>
    <t>PL-2013-088374</t>
  </si>
  <si>
    <t>K01012</t>
  </si>
  <si>
    <t>Marek Wolski</t>
  </si>
  <si>
    <t>PL-2012-090233</t>
  </si>
  <si>
    <t>PL-2014-087819</t>
  </si>
  <si>
    <t>PL-2012-087814</t>
  </si>
  <si>
    <t>K00694</t>
  </si>
  <si>
    <t>Aurelia Rabęda</t>
  </si>
  <si>
    <t>Aleksandrów Łódzki</t>
  </si>
  <si>
    <t>95-070</t>
  </si>
  <si>
    <t>PL-2013-087290</t>
  </si>
  <si>
    <t>PL-2013-089322</t>
  </si>
  <si>
    <t>PL-2011-087695</t>
  </si>
  <si>
    <t>PL-2011-089665</t>
  </si>
  <si>
    <t>PL-2014-089677</t>
  </si>
  <si>
    <t>K02073</t>
  </si>
  <si>
    <t>Mariusz Prusinowski</t>
  </si>
  <si>
    <t>PL-2011-088557</t>
  </si>
  <si>
    <t>PL-2014-090781</t>
  </si>
  <si>
    <t>PL-2012-091044</t>
  </si>
  <si>
    <t>K01651</t>
  </si>
  <si>
    <t>Jan Woźniak</t>
  </si>
  <si>
    <t>PL-2013-090483</t>
  </si>
  <si>
    <t>PL-2012-090906</t>
  </si>
  <si>
    <t>PL-2013-088572</t>
  </si>
  <si>
    <t>K00853</t>
  </si>
  <si>
    <t>Stefan Wrzecionowski</t>
  </si>
  <si>
    <t>Łomianki</t>
  </si>
  <si>
    <t>05-092</t>
  </si>
  <si>
    <t>PL-2014-087754</t>
  </si>
  <si>
    <t>PL-2012-087751</t>
  </si>
  <si>
    <t>K01713</t>
  </si>
  <si>
    <t>Szymon Wasiak</t>
  </si>
  <si>
    <t>PL-2012-091476</t>
  </si>
  <si>
    <t>PL-2014-088132</t>
  </si>
  <si>
    <t>PL-2012-088127</t>
  </si>
  <si>
    <t>PL-2014-086157</t>
  </si>
  <si>
    <t>K00881</t>
  </si>
  <si>
    <t>Dariusz Hofman</t>
  </si>
  <si>
    <t>PL-2011-086795</t>
  </si>
  <si>
    <t>K03137</t>
  </si>
  <si>
    <t>Elżbieta Ziółkowska</t>
  </si>
  <si>
    <t>PL-2014-091342</t>
  </si>
  <si>
    <t>K00643</t>
  </si>
  <si>
    <t>Bogdan Białas</t>
  </si>
  <si>
    <t>PL-2011-086565</t>
  </si>
  <si>
    <t>K00947</t>
  </si>
  <si>
    <t>Tomasz Boruch</t>
  </si>
  <si>
    <t>PL-2014-088694</t>
  </si>
  <si>
    <t>PL-2014-088251</t>
  </si>
  <si>
    <t>PL-2012-086742</t>
  </si>
  <si>
    <t>PL-2014-085963</t>
  </si>
  <si>
    <t>PL-2014-088238</t>
  </si>
  <si>
    <t>PL-2014-088420</t>
  </si>
  <si>
    <t>PL-2013-087837</t>
  </si>
  <si>
    <t>K02669</t>
  </si>
  <si>
    <t>Andrzej Butryn</t>
  </si>
  <si>
    <t>PL-2013-089430</t>
  </si>
  <si>
    <t>PL-2013-090095</t>
  </si>
  <si>
    <t>K02575</t>
  </si>
  <si>
    <t>Rafał Piątkowski</t>
  </si>
  <si>
    <t>PL-2014-091157</t>
  </si>
  <si>
    <t>PL-2012-090013</t>
  </si>
  <si>
    <t>PL-2014-090490</t>
  </si>
  <si>
    <t>PL-2012-087006</t>
  </si>
  <si>
    <t>PL-2013-086819</t>
  </si>
  <si>
    <t>PL-2011-089389</t>
  </si>
  <si>
    <t>K01047</t>
  </si>
  <si>
    <t>Małgorzata Żabska</t>
  </si>
  <si>
    <t>PL-2014-086733</t>
  </si>
  <si>
    <t>K01672</t>
  </si>
  <si>
    <t>Danuta Kwolik</t>
  </si>
  <si>
    <t>Barwice</t>
  </si>
  <si>
    <t>78-460</t>
  </si>
  <si>
    <t>PL-2014-088533</t>
  </si>
  <si>
    <t>K00226</t>
  </si>
  <si>
    <t>Adam Kamiński</t>
  </si>
  <si>
    <t>PL-2014-086912</t>
  </si>
  <si>
    <t>PL-2014-090307</t>
  </si>
  <si>
    <t>Dana Swing-Arm Lamps</t>
  </si>
  <si>
    <t>PL-2014-086028</t>
  </si>
  <si>
    <t>K00454</t>
  </si>
  <si>
    <t>Kamila Ciołek</t>
  </si>
  <si>
    <t>Dobrzyń nad Wisłą</t>
  </si>
  <si>
    <t>87-610</t>
  </si>
  <si>
    <t>PL-2014-090142</t>
  </si>
  <si>
    <t>PL-2011-088546</t>
  </si>
  <si>
    <t>PL-2014-088553</t>
  </si>
  <si>
    <t>PL-2014-088550</t>
  </si>
  <si>
    <t>PL-2012-086174</t>
  </si>
  <si>
    <t>K00970</t>
  </si>
  <si>
    <t>Rafał Stefanowicz</t>
  </si>
  <si>
    <t>PL-2014-086031</t>
  </si>
  <si>
    <t>PL-2011-088692</t>
  </si>
  <si>
    <t>PL-2014-089518</t>
  </si>
  <si>
    <t>PL-2012-086738</t>
  </si>
  <si>
    <t>K01459</t>
  </si>
  <si>
    <t>Sandro Ladziński</t>
  </si>
  <si>
    <t>PL-2014-086746</t>
  </si>
  <si>
    <t>PL-2014-087116</t>
  </si>
  <si>
    <t>PL-2011-087110</t>
  </si>
  <si>
    <t>PL-2014-090983</t>
  </si>
  <si>
    <t>PL-2014-091068</t>
  </si>
  <si>
    <t>PL-2013-017985</t>
  </si>
  <si>
    <t>K01104</t>
  </si>
  <si>
    <t>Wojciech Jankowski</t>
  </si>
  <si>
    <t>00-236</t>
  </si>
  <si>
    <t>PL-2014-087014</t>
  </si>
  <si>
    <t>PL-2014-091303</t>
  </si>
  <si>
    <t>PL-2014-089550</t>
  </si>
  <si>
    <t>PL-2012-090790</t>
  </si>
  <si>
    <t>PL-2011-087900</t>
  </si>
  <si>
    <t>PL-2014-087904</t>
  </si>
  <si>
    <t>PL-2011-085834</t>
  </si>
  <si>
    <t>PL-2014-087615</t>
  </si>
  <si>
    <t>PL-2013-091469</t>
  </si>
  <si>
    <t>K01174</t>
  </si>
  <si>
    <t>Grzegorz Paplicki</t>
  </si>
  <si>
    <t>PL-2011-088389</t>
  </si>
  <si>
    <t>PL-2014-088401</t>
  </si>
  <si>
    <t>K01017</t>
  </si>
  <si>
    <t>Grzegorz Pieńkowski</t>
  </si>
  <si>
    <t>Odolanów</t>
  </si>
  <si>
    <t>PL-2013-091249</t>
  </si>
  <si>
    <t>PL-2014-090336</t>
  </si>
  <si>
    <t>PL-2011-088029</t>
  </si>
  <si>
    <t>K02212</t>
  </si>
  <si>
    <t>Marek Plust</t>
  </si>
  <si>
    <t>Stara Kornica</t>
  </si>
  <si>
    <t>08-205</t>
  </si>
  <si>
    <t>PL-2014-088036</t>
  </si>
  <si>
    <t>PL-2013-087477</t>
  </si>
  <si>
    <t>K03376</t>
  </si>
  <si>
    <t>Sośnie</t>
  </si>
  <si>
    <t>63-435</t>
  </si>
  <si>
    <t>PL-2013-088510</t>
  </si>
  <si>
    <t>PL-2012-088636</t>
  </si>
  <si>
    <t>PL-2014-091198</t>
  </si>
  <si>
    <t>PL-2011-091195</t>
  </si>
  <si>
    <t>PL-2014-090684</t>
  </si>
  <si>
    <t>PL-2012-090873</t>
  </si>
  <si>
    <t>K02866</t>
  </si>
  <si>
    <t>Maria Skowrońska</t>
  </si>
  <si>
    <t>PL-2014-086626</t>
  </si>
  <si>
    <t>K00238</t>
  </si>
  <si>
    <t>Justyna Żmudzińska</t>
  </si>
  <si>
    <t>PL-2011-087187</t>
  </si>
  <si>
    <t>PL-2014-087192</t>
  </si>
  <si>
    <t>K02974</t>
  </si>
  <si>
    <t>Małgorzata Jeżyna</t>
  </si>
  <si>
    <t>PL-2014-088605</t>
  </si>
  <si>
    <t>PL-2011-090961</t>
  </si>
  <si>
    <t>K00783</t>
  </si>
  <si>
    <t>Bohdan Artymowycz</t>
  </si>
  <si>
    <t>PL-2011-091194</t>
  </si>
  <si>
    <t>PL-2011-088679</t>
  </si>
  <si>
    <t>PL-2013-085955</t>
  </si>
  <si>
    <t>PL-2012-088207</t>
  </si>
  <si>
    <t>K00106</t>
  </si>
  <si>
    <t>Halina Szaniawska</t>
  </si>
  <si>
    <t>Laskowa</t>
  </si>
  <si>
    <t>34-602</t>
  </si>
  <si>
    <t>K00113</t>
  </si>
  <si>
    <t>Mariusz Nastarowski</t>
  </si>
  <si>
    <t>Adams Telephone Message Book W/Dividers/Space For Phone Numbers, 5 1/4"X8 1/2", 200/Messages</t>
  </si>
  <si>
    <t>PL-2013-086893</t>
  </si>
  <si>
    <t>PL-2014-088596</t>
  </si>
  <si>
    <t>PL-2012-090194</t>
  </si>
  <si>
    <t>PL-2011-091175</t>
  </si>
  <si>
    <t>PL-2012-087936</t>
  </si>
  <si>
    <t>PL-2014-090930</t>
  </si>
  <si>
    <t>PL-2011-090531</t>
  </si>
  <si>
    <t>PL-2014-089892</t>
  </si>
  <si>
    <t>PL-2013-091463</t>
  </si>
  <si>
    <t>PL-2014-087770</t>
  </si>
  <si>
    <t>PL-2014-086637</t>
  </si>
  <si>
    <t>PL-2011-090405</t>
  </si>
  <si>
    <t>PL-2012-091001</t>
  </si>
  <si>
    <t>PL-2011-090414</t>
  </si>
  <si>
    <t>PL-2011-090292</t>
  </si>
  <si>
    <t>PL-2014-090734</t>
  </si>
  <si>
    <t>PL-2014-090478</t>
  </si>
  <si>
    <t>PL-2012-086146</t>
  </si>
  <si>
    <t>PL-2014-086150</t>
  </si>
  <si>
    <t>K01406</t>
  </si>
  <si>
    <t>Jan Stępniowski</t>
  </si>
  <si>
    <t>PL-2011-091436</t>
  </si>
  <si>
    <t>PL-2011-091087</t>
  </si>
  <si>
    <t>K00142</t>
  </si>
  <si>
    <t>Wiesław Hołub</t>
  </si>
  <si>
    <t>Krzywda</t>
  </si>
  <si>
    <t>21-470</t>
  </si>
  <si>
    <t>PL-2014-091097</t>
  </si>
  <si>
    <t>K00147</t>
  </si>
  <si>
    <t>Halina Korczyc</t>
  </si>
  <si>
    <t>K00144</t>
  </si>
  <si>
    <t>Waldemar Kazimierak</t>
  </si>
  <si>
    <t>Trzyciąż</t>
  </si>
  <si>
    <t>32-353</t>
  </si>
  <si>
    <t>PL-2014-088777</t>
  </si>
  <si>
    <t>K02985</t>
  </si>
  <si>
    <t>Halina Buiłek</t>
  </si>
  <si>
    <t>PL-2014-088252</t>
  </si>
  <si>
    <t>K03078</t>
  </si>
  <si>
    <t>Marcin Kaliszan</t>
  </si>
  <si>
    <t>Chełm</t>
  </si>
  <si>
    <t>22-100</t>
  </si>
  <si>
    <t>PL-2012-089765</t>
  </si>
  <si>
    <t>K00288</t>
  </si>
  <si>
    <t>Andrzej Marciniewski</t>
  </si>
  <si>
    <t>08-110</t>
  </si>
  <si>
    <t>PL-2013-087011</t>
  </si>
  <si>
    <t>PL-2012-091145</t>
  </si>
  <si>
    <t>PL-2013-089894</t>
  </si>
  <si>
    <t>PL-2013-087065</t>
  </si>
  <si>
    <t>PL-2011-090264</t>
  </si>
  <si>
    <t>PL-2013-087497</t>
  </si>
  <si>
    <t>PL-2013-089295</t>
  </si>
  <si>
    <t>K00281</t>
  </si>
  <si>
    <t>Bartłomiej Boguski</t>
  </si>
  <si>
    <t>PL-2014-087405</t>
  </si>
  <si>
    <t>PL-2014-085936</t>
  </si>
  <si>
    <t>PL-2012-090177</t>
  </si>
  <si>
    <t>PL-2014-089231</t>
  </si>
  <si>
    <t>PL-2014-091335</t>
  </si>
  <si>
    <t>PL-2013-087352</t>
  </si>
  <si>
    <t>PL-2012-088031</t>
  </si>
  <si>
    <t>K02213</t>
  </si>
  <si>
    <t>Grażyna Szeląg</t>
  </si>
  <si>
    <t>PL-2014-090575</t>
  </si>
  <si>
    <t>K02002</t>
  </si>
  <si>
    <t>Daniel Werner</t>
  </si>
  <si>
    <t>PL-2014-087462</t>
  </si>
  <si>
    <t>PL-2014-086038</t>
  </si>
  <si>
    <t>PL-2014-088584</t>
  </si>
  <si>
    <t>PL-2014-090805</t>
  </si>
  <si>
    <t>K01224</t>
  </si>
  <si>
    <t>Ewa Połczyńska</t>
  </si>
  <si>
    <t>Zbąszyń</t>
  </si>
  <si>
    <t>64-360</t>
  </si>
  <si>
    <t>K01219</t>
  </si>
  <si>
    <t>Krzysztof Kurkowiak</t>
  </si>
  <si>
    <t>PL-2013-088008</t>
  </si>
  <si>
    <t>PL-2011-089259</t>
  </si>
  <si>
    <t>K00827</t>
  </si>
  <si>
    <t>Grzegorz Plewa</t>
  </si>
  <si>
    <t>PL-2014-089502</t>
  </si>
  <si>
    <t>PL-2011-086838</t>
  </si>
  <si>
    <t>K00014</t>
  </si>
  <si>
    <t>Grzegorz Niski</t>
  </si>
  <si>
    <t>PL-2014-086845</t>
  </si>
  <si>
    <t>PL-2011-091086</t>
  </si>
  <si>
    <t>K00145</t>
  </si>
  <si>
    <t>Andrzej Sierant</t>
  </si>
  <si>
    <t>PL-2014-091360</t>
  </si>
  <si>
    <t>PL-2011-086870</t>
  </si>
  <si>
    <t>PL-2012-091449</t>
  </si>
  <si>
    <t>K02564</t>
  </si>
  <si>
    <t>Krystyna Kozielska</t>
  </si>
  <si>
    <t>PL-2014-091073</t>
  </si>
  <si>
    <t>PL-2014-087822</t>
  </si>
  <si>
    <t>PL-2014-090702</t>
  </si>
  <si>
    <t>PL-2011-086884</t>
  </si>
  <si>
    <t>PL-2013-086909</t>
  </si>
  <si>
    <t>PL-2012-086558</t>
  </si>
  <si>
    <t>PL-2014-091446</t>
  </si>
  <si>
    <t>PL-2014-088312</t>
  </si>
  <si>
    <t>K02580</t>
  </si>
  <si>
    <t>Zbigniew Kosut</t>
  </si>
  <si>
    <t>Kisielice</t>
  </si>
  <si>
    <t>14-220</t>
  </si>
  <si>
    <t>PL-2011-087484</t>
  </si>
  <si>
    <t>Staples Premium Bright 1-Part Blank Computer Paper</t>
  </si>
  <si>
    <t>PL-2014-087502</t>
  </si>
  <si>
    <t>PL-2014-091137</t>
  </si>
  <si>
    <t>PL-2011-087620</t>
  </si>
  <si>
    <t>K02938</t>
  </si>
  <si>
    <t>Małgorzata Stachniuk</t>
  </si>
  <si>
    <t>Jeziora Wielkie</t>
  </si>
  <si>
    <t>88-324</t>
  </si>
  <si>
    <t>K02932</t>
  </si>
  <si>
    <t>Adam Zarzycki</t>
  </si>
  <si>
    <t>PL-2014-090738</t>
  </si>
  <si>
    <t>PL-2011-090735</t>
  </si>
  <si>
    <t>PL-2014-090681</t>
  </si>
  <si>
    <t>PL-2014-087206</t>
  </si>
  <si>
    <t>PL-2011-087194</t>
  </si>
  <si>
    <t>PL-2012-090845</t>
  </si>
  <si>
    <t>K00942</t>
  </si>
  <si>
    <t>Jan Myszkowski</t>
  </si>
  <si>
    <t>PL-2014-089645</t>
  </si>
  <si>
    <t>PL-2012-087983</t>
  </si>
  <si>
    <t>K00705</t>
  </si>
  <si>
    <t>Wojciech Marko</t>
  </si>
  <si>
    <t>Śmigiel</t>
  </si>
  <si>
    <t>64-030</t>
  </si>
  <si>
    <t>PL-2014-091588</t>
  </si>
  <si>
    <t>K03003</t>
  </si>
  <si>
    <t>Grzegorz Ratajczyk</t>
  </si>
  <si>
    <t>PL-2013-087723</t>
  </si>
  <si>
    <t>PL-2013-087608</t>
  </si>
  <si>
    <t>PL-2014-091084</t>
  </si>
  <si>
    <t>PL-2011-091433</t>
  </si>
  <si>
    <t>K00623</t>
  </si>
  <si>
    <t>Teresa Tunkiewicz</t>
  </si>
  <si>
    <t>Chełmno</t>
  </si>
  <si>
    <t>86-200</t>
  </si>
  <si>
    <t>K00624</t>
  </si>
  <si>
    <t>Zuzanna Klocek</t>
  </si>
  <si>
    <t>PL-2011-088475</t>
  </si>
  <si>
    <t>K00669</t>
  </si>
  <si>
    <t>Iwona Panada</t>
  </si>
  <si>
    <t>PL-2014-086782</t>
  </si>
  <si>
    <t>PL-2014-089046</t>
  </si>
  <si>
    <t>PL-2011-089041</t>
  </si>
  <si>
    <t>K01976</t>
  </si>
  <si>
    <t>Roman Maślanka</t>
  </si>
  <si>
    <t>Ogrodzieniec</t>
  </si>
  <si>
    <t>42-440</t>
  </si>
  <si>
    <t>PL-2014-090068</t>
  </si>
  <si>
    <t>PL-2014-088275</t>
  </si>
  <si>
    <t>K02361</t>
  </si>
  <si>
    <t>Łukasz Mielnikiewicz</t>
  </si>
  <si>
    <t>PL-2011-088266</t>
  </si>
  <si>
    <t>PL-2014-088113</t>
  </si>
  <si>
    <t>PL-2013-090395</t>
  </si>
  <si>
    <t>PL-2014-089769</t>
  </si>
  <si>
    <t>PL-2011-089106</t>
  </si>
  <si>
    <t>PL-2012-089574</t>
  </si>
  <si>
    <t>PL-2013-090868</t>
  </si>
  <si>
    <t>PL-2014-088416</t>
  </si>
  <si>
    <t>K01277</t>
  </si>
  <si>
    <t>Justyna Urbanowicz</t>
  </si>
  <si>
    <t>PL-2014-091313</t>
  </si>
  <si>
    <t>PL-2011-091310</t>
  </si>
  <si>
    <t>K02502</t>
  </si>
  <si>
    <t>Katarzyna Pytloch</t>
  </si>
  <si>
    <t>86-122</t>
  </si>
  <si>
    <t>PL-2012-090433</t>
  </si>
  <si>
    <t>K00195</t>
  </si>
  <si>
    <t>Krystyna Michalczuk</t>
  </si>
  <si>
    <t>PL-2013-089516</t>
  </si>
  <si>
    <t>K01269</t>
  </si>
  <si>
    <t>Wiesław Stefaniak</t>
  </si>
  <si>
    <t>Fellowes 8 Outlet Superior Workstation Surge Protector w/o Phone/Fax/Modem Protection</t>
  </si>
  <si>
    <t>PL-2012-089156</t>
  </si>
  <si>
    <t>PL-2013-089351</t>
  </si>
  <si>
    <t>PL-2014-090400</t>
  </si>
  <si>
    <t>PL-2011-089415</t>
  </si>
  <si>
    <t>PL-2013-087263</t>
  </si>
  <si>
    <t>K00976</t>
  </si>
  <si>
    <t>Marek Szczytkowski</t>
  </si>
  <si>
    <t>Wymiarki</t>
  </si>
  <si>
    <t>K00974</t>
  </si>
  <si>
    <t>Jerzy Poszepczyński</t>
  </si>
  <si>
    <t>PL-2011-087537</t>
  </si>
  <si>
    <t>PL-2014-087549</t>
  </si>
  <si>
    <t>PL-2013-091541</t>
  </si>
  <si>
    <t>PL-2014-091107</t>
  </si>
  <si>
    <t>Martin Yale Chadless Opener Electric Letter Opener</t>
  </si>
  <si>
    <t>PL-2013-088978</t>
  </si>
  <si>
    <t>K02771</t>
  </si>
  <si>
    <t>Janusz Michalak</t>
  </si>
  <si>
    <t>PL-2013-086531</t>
  </si>
  <si>
    <t>K02556</t>
  </si>
  <si>
    <t>Paweł Szarłata</t>
  </si>
  <si>
    <t>PL-2014-091015</t>
  </si>
  <si>
    <t>PL-2014-089512</t>
  </si>
  <si>
    <t>PL-2014-090191</t>
  </si>
  <si>
    <t>PL-2014-089318</t>
  </si>
  <si>
    <t>PL-2013-089309</t>
  </si>
  <si>
    <t>PL-2011-088632</t>
  </si>
  <si>
    <t>PL-2014-091536</t>
  </si>
  <si>
    <t>PL-2014-090373</t>
  </si>
  <si>
    <t>K00501</t>
  </si>
  <si>
    <t>Mateusz Mochort</t>
  </si>
  <si>
    <t>PL-2013-086890</t>
  </si>
  <si>
    <t>K02494</t>
  </si>
  <si>
    <t>Bernadeta Borkowska</t>
  </si>
  <si>
    <t>Sanniki</t>
  </si>
  <si>
    <t>09-540</t>
  </si>
  <si>
    <t>PL-2014-086232</t>
  </si>
  <si>
    <t>K02804</t>
  </si>
  <si>
    <t>Adam Swat</t>
  </si>
  <si>
    <t>PL-2012-086228</t>
  </si>
  <si>
    <t>K02807</t>
  </si>
  <si>
    <t>Mirosław Kosmala</t>
  </si>
  <si>
    <t>Ustka</t>
  </si>
  <si>
    <t>76-270</t>
  </si>
  <si>
    <t>K02808</t>
  </si>
  <si>
    <t>Wojciech Czaplewski</t>
  </si>
  <si>
    <t>Godkowo</t>
  </si>
  <si>
    <t>14-407</t>
  </si>
  <si>
    <t>PL-2013-087545</t>
  </si>
  <si>
    <t>PL-2013-089357</t>
  </si>
  <si>
    <t>PL-2011-091258</t>
  </si>
  <si>
    <t>PL-2014-087081</t>
  </si>
  <si>
    <t>PL-2011-087076</t>
  </si>
  <si>
    <t>PL-2014-091190</t>
  </si>
  <si>
    <t>PL-2011-086534</t>
  </si>
  <si>
    <t>PL-2014-089552</t>
  </si>
  <si>
    <t>PL-2011-086338</t>
  </si>
  <si>
    <t>K01697</t>
  </si>
  <si>
    <t>Katarzyna Oryszewska</t>
  </si>
  <si>
    <t>PL-2012-090285</t>
  </si>
  <si>
    <t>PL-2013-087801</t>
  </si>
  <si>
    <t>PL-2013-090391</t>
  </si>
  <si>
    <t>PL-2014-089966</t>
  </si>
  <si>
    <t>PL-2014-089413</t>
  </si>
  <si>
    <t>PL-2014-090022</t>
  </si>
  <si>
    <t>PL-2012-087491</t>
  </si>
  <si>
    <t>PL-2011-087995</t>
  </si>
  <si>
    <t>PL-2011-089610</t>
  </si>
  <si>
    <t>PL-2011-086356</t>
  </si>
  <si>
    <t>PL-2011-086952</t>
  </si>
  <si>
    <t>PL-2013-088397</t>
  </si>
  <si>
    <t>K01018</t>
  </si>
  <si>
    <t>Władysław Bakun</t>
  </si>
  <si>
    <t>Żywiec</t>
  </si>
  <si>
    <t>34-300</t>
  </si>
  <si>
    <t>PL-2013-088224</t>
  </si>
  <si>
    <t>PL-2013-088955</t>
  </si>
  <si>
    <t>PL-2013-090450</t>
  </si>
  <si>
    <t>PL-2012-089648</t>
  </si>
  <si>
    <t>PL-2012-090655</t>
  </si>
  <si>
    <t>K01732</t>
  </si>
  <si>
    <t>Kazimierz Snoch</t>
  </si>
  <si>
    <t>PL-2014-090661</t>
  </si>
  <si>
    <t>PL-2013-087130</t>
  </si>
  <si>
    <t>PL-2014-091465</t>
  </si>
  <si>
    <t>K02056</t>
  </si>
  <si>
    <t>Stanisław Kopczyński</t>
  </si>
  <si>
    <t>PL-2014-085906</t>
  </si>
  <si>
    <t>PL-2011-085896</t>
  </si>
  <si>
    <t>PL-2013-090802</t>
  </si>
  <si>
    <t>K01222</t>
  </si>
  <si>
    <t>Grzegorz Kowalski</t>
  </si>
  <si>
    <t>PL-2013-086776</t>
  </si>
  <si>
    <t>PL-2011-086813</t>
  </si>
  <si>
    <t>K01528</t>
  </si>
  <si>
    <t>Zbigniew Kędzior</t>
  </si>
  <si>
    <t>PL-2012-087741</t>
  </si>
  <si>
    <t>PL-2014-087927</t>
  </si>
  <si>
    <t>PL-2014-090556</t>
  </si>
  <si>
    <t>PL-2014-090813</t>
  </si>
  <si>
    <t>K00902</t>
  </si>
  <si>
    <t>Maciej Zaręba</t>
  </si>
  <si>
    <t>PL-2011-090806</t>
  </si>
  <si>
    <t>K00903</t>
  </si>
  <si>
    <t>Halina Czaban</t>
  </si>
  <si>
    <t>Charsznica</t>
  </si>
  <si>
    <t>32-250</t>
  </si>
  <si>
    <t>PL-2013-086389</t>
  </si>
  <si>
    <t>K00394</t>
  </si>
  <si>
    <t>Małgorzata Budzyńska</t>
  </si>
  <si>
    <t>Żelechów</t>
  </si>
  <si>
    <t>05-650</t>
  </si>
  <si>
    <t>PL-2013-086642</t>
  </si>
  <si>
    <t>PL-2013-086580</t>
  </si>
  <si>
    <t>PL-2012-087653</t>
  </si>
  <si>
    <t>PL-2014-091450</t>
  </si>
  <si>
    <t>PL-2013-088937</t>
  </si>
  <si>
    <t>PL-2014-091562</t>
  </si>
  <si>
    <t>K03214</t>
  </si>
  <si>
    <t>Andrzej Augustynek</t>
  </si>
  <si>
    <t>Blachownia</t>
  </si>
  <si>
    <t>42-290</t>
  </si>
  <si>
    <t>PL-2014-090262</t>
  </si>
  <si>
    <t>PL-2011-087617</t>
  </si>
  <si>
    <t>K02935</t>
  </si>
  <si>
    <t>Izabella Senda</t>
  </si>
  <si>
    <t>PL-2014-087629</t>
  </si>
  <si>
    <t>K02936</t>
  </si>
  <si>
    <t>Kazimierz Łukasik</t>
  </si>
  <si>
    <t>Przerośl</t>
  </si>
  <si>
    <t>16-427</t>
  </si>
  <si>
    <t>PL-2012-089779</t>
  </si>
  <si>
    <t>PL-2013-086905</t>
  </si>
  <si>
    <t>K03157</t>
  </si>
  <si>
    <t>Ewa Żytko</t>
  </si>
  <si>
    <t>PL-2012-085883</t>
  </si>
  <si>
    <t>PL-2012-090216</t>
  </si>
  <si>
    <t>K01059</t>
  </si>
  <si>
    <t>Mariusz Szymkowicz</t>
  </si>
  <si>
    <t>Radzyń Chełmiński</t>
  </si>
  <si>
    <t>87-220</t>
  </si>
  <si>
    <t>PL-2011-090115</t>
  </si>
  <si>
    <t>PL-2011-086734</t>
  </si>
  <si>
    <t>PL-2014-090512</t>
  </si>
  <si>
    <t>PL-2014-089288</t>
  </si>
  <si>
    <t>PL-2012-089285</t>
  </si>
  <si>
    <t>PL-2011-086668</t>
  </si>
  <si>
    <t>K01593</t>
  </si>
  <si>
    <t>Joanna Krzyżowska</t>
  </si>
  <si>
    <t>PL-2014-086678</t>
  </si>
  <si>
    <t>PL-2014-090280</t>
  </si>
  <si>
    <t>PL-2012-090273</t>
  </si>
  <si>
    <t>PL-2014-087504</t>
  </si>
  <si>
    <t>PL-2014-086833</t>
  </si>
  <si>
    <t>K01434</t>
  </si>
  <si>
    <t>Ryszard Tokarczyk</t>
  </si>
  <si>
    <t>PL-2013-088788</t>
  </si>
  <si>
    <t>K01708</t>
  </si>
  <si>
    <t>Mateusz Wyka</t>
  </si>
  <si>
    <t>PL-2012-087777</t>
  </si>
  <si>
    <t>K02594</t>
  </si>
  <si>
    <t>Andrzej Miedziński</t>
  </si>
  <si>
    <t>PL-2013-086695</t>
  </si>
  <si>
    <t>PL-2014-090075</t>
  </si>
  <si>
    <t>K01054</t>
  </si>
  <si>
    <t>Mateusz Pawluk</t>
  </si>
  <si>
    <t>PL-2014-085961</t>
  </si>
  <si>
    <t>PL-2013-090149</t>
  </si>
  <si>
    <t>PL-2012-090948</t>
  </si>
  <si>
    <t>PL-2011-088391</t>
  </si>
  <si>
    <t>PL-2014-087322</t>
  </si>
  <si>
    <t>K02856</t>
  </si>
  <si>
    <t>Adam Paszko</t>
  </si>
  <si>
    <t>PL-2014-088663</t>
  </si>
  <si>
    <t>PL-2012-086154</t>
  </si>
  <si>
    <t>PL-2013-090312</t>
  </si>
  <si>
    <t>PL-2012-088909</t>
  </si>
  <si>
    <t>PL-2014-088911</t>
  </si>
  <si>
    <t>PL-2014-090970</t>
  </si>
  <si>
    <t>K02330</t>
  </si>
  <si>
    <t>Bożena Książek</t>
  </si>
  <si>
    <t>Drawno</t>
  </si>
  <si>
    <t>73-220</t>
  </si>
  <si>
    <t>PL-2012-090967</t>
  </si>
  <si>
    <t>PL-2012-087886</t>
  </si>
  <si>
    <t>PL-2014-090172</t>
  </si>
  <si>
    <t>PL-2014-089696</t>
  </si>
  <si>
    <t>PL-2013-091282</t>
  </si>
  <si>
    <t>K00475</t>
  </si>
  <si>
    <t>Wiesław Kielan</t>
  </si>
  <si>
    <t>PL-2012-088930</t>
  </si>
  <si>
    <t>K00382</t>
  </si>
  <si>
    <t>Anna Sołonyna</t>
  </si>
  <si>
    <t>33-380</t>
  </si>
  <si>
    <t>PL-2012-085869</t>
  </si>
  <si>
    <t>PL-2014-085873</t>
  </si>
  <si>
    <t>K01741</t>
  </si>
  <si>
    <t>Agnieszka Ławrynowicz</t>
  </si>
  <si>
    <t>PL-2013-090828</t>
  </si>
  <si>
    <t>PL-2014-089325</t>
  </si>
  <si>
    <t>K00399</t>
  </si>
  <si>
    <t>Ewelina Bińczyk</t>
  </si>
  <si>
    <t>PL-2014-086100</t>
  </si>
  <si>
    <t>PL-2013-089871</t>
  </si>
  <si>
    <t>K02306</t>
  </si>
  <si>
    <t>Kamil Kocoń</t>
  </si>
  <si>
    <t>PL-2011-091397</t>
  </si>
  <si>
    <t>PL-2014-091402</t>
  </si>
  <si>
    <t>PL-2011-089777</t>
  </si>
  <si>
    <t>PL-2011-091213</t>
  </si>
  <si>
    <t>K00653</t>
  </si>
  <si>
    <t>Katarzyna Biegańska</t>
  </si>
  <si>
    <t>PL-2014-091216</t>
  </si>
  <si>
    <t>PL-2014-088562</t>
  </si>
  <si>
    <t>PL-2014-089678</t>
  </si>
  <si>
    <t>PL-2011-088174</t>
  </si>
  <si>
    <t>PL-2011-087286</t>
  </si>
  <si>
    <t>PL-2014-090101</t>
  </si>
  <si>
    <t>K01872</t>
  </si>
  <si>
    <t>Grażyna Sokołów</t>
  </si>
  <si>
    <t>PL-2013-086831</t>
  </si>
  <si>
    <t>PL-2013-089030</t>
  </si>
  <si>
    <t>PL-2011-086723</t>
  </si>
  <si>
    <t>PL-2014-086217</t>
  </si>
  <si>
    <t>PL-2013-089310</t>
  </si>
  <si>
    <t>K03169</t>
  </si>
  <si>
    <t>Lidia Bogus</t>
  </si>
  <si>
    <t>Buk</t>
  </si>
  <si>
    <t>64-320</t>
  </si>
  <si>
    <t>PL-2014-089135</t>
  </si>
  <si>
    <t>PL-2012-090745</t>
  </si>
  <si>
    <t>K01478</t>
  </si>
  <si>
    <t>Jolanta Gotfryd</t>
  </si>
  <si>
    <t>PL-2012-090417</t>
  </si>
  <si>
    <t>PL-2014-090212</t>
  </si>
  <si>
    <t>K00989</t>
  </si>
  <si>
    <t>Grzegorz Łuszczyński</t>
  </si>
  <si>
    <t>Siechnice</t>
  </si>
  <si>
    <t>55-011</t>
  </si>
  <si>
    <t>PL-2013-091008</t>
  </si>
  <si>
    <t>PL-2013-088228</t>
  </si>
  <si>
    <t>K02050</t>
  </si>
  <si>
    <t>Jadwiga Lachowicz</t>
  </si>
  <si>
    <t>Pasłęk</t>
  </si>
  <si>
    <t>14-400</t>
  </si>
  <si>
    <t>PL-2011-087748</t>
  </si>
  <si>
    <t>PL-2014-086143</t>
  </si>
  <si>
    <t>PL-2014-091428</t>
  </si>
  <si>
    <t>K02749</t>
  </si>
  <si>
    <t>Kamil Barwinek</t>
  </si>
  <si>
    <t>PL-2013-090036</t>
  </si>
  <si>
    <t>K00020</t>
  </si>
  <si>
    <t>Zbigniew Gołuchowski</t>
  </si>
  <si>
    <t>PL-2013-089926</t>
  </si>
  <si>
    <t>K00081</t>
  </si>
  <si>
    <t>Jadwiga Hardek</t>
  </si>
  <si>
    <t>PL-2014-089256</t>
  </si>
  <si>
    <t>PL-2014-086805</t>
  </si>
  <si>
    <t>K03134</t>
  </si>
  <si>
    <t>Bożena Sawicka</t>
  </si>
  <si>
    <t>Strzelno</t>
  </si>
  <si>
    <t>88-320</t>
  </si>
  <si>
    <t>PL-2013-090455</t>
  </si>
  <si>
    <t>PL-2014-091478</t>
  </si>
  <si>
    <t>PL-2012-090947</t>
  </si>
  <si>
    <t>PL-2011-087004</t>
  </si>
  <si>
    <t>PL-2011-086173</t>
  </si>
  <si>
    <t>PL-2014-086180</t>
  </si>
  <si>
    <t>PL-2011-090327</t>
  </si>
  <si>
    <t>PL-2013-087183</t>
  </si>
  <si>
    <t>PL-2014-086653</t>
  </si>
  <si>
    <t>PL-2013-089109</t>
  </si>
  <si>
    <t>PL-2012-091138</t>
  </si>
  <si>
    <t>PL-2014-086218</t>
  </si>
  <si>
    <t>K01629</t>
  </si>
  <si>
    <t>Maria Wudarska</t>
  </si>
  <si>
    <t>PL-2014-086765</t>
  </si>
  <si>
    <t>K02416</t>
  </si>
  <si>
    <t>Jacek Banasiak</t>
  </si>
  <si>
    <t>Konstancin-Jeziorna</t>
  </si>
  <si>
    <t>05-510</t>
  </si>
  <si>
    <t>PL-2012-086758</t>
  </si>
  <si>
    <t>K02420</t>
  </si>
  <si>
    <t>Bolesław Stria</t>
  </si>
  <si>
    <t>PL-2013-085830</t>
  </si>
  <si>
    <t>K02869</t>
  </si>
  <si>
    <t>Anna Pastuła</t>
  </si>
  <si>
    <t>Pisz</t>
  </si>
  <si>
    <t>12-200</t>
  </si>
  <si>
    <t>PL-2011-090973</t>
  </si>
  <si>
    <t>PL-2012-086816</t>
  </si>
  <si>
    <t>PL-2014-086824</t>
  </si>
  <si>
    <t>PL-2014-086986</t>
  </si>
  <si>
    <t>PL-2012-090203</t>
  </si>
  <si>
    <t>K00990</t>
  </si>
  <si>
    <t>Bogdan Skoczek</t>
  </si>
  <si>
    <t>PL-2014-091055</t>
  </si>
  <si>
    <t>PL-2011-090439</t>
  </si>
  <si>
    <t>PL-2013-090754</t>
  </si>
  <si>
    <t>PL-2013-089919</t>
  </si>
  <si>
    <t>PL-2014-090242</t>
  </si>
  <si>
    <t>PL-2011-090238</t>
  </si>
  <si>
    <t>PL-2014-091532</t>
  </si>
  <si>
    <t>PL-2014-087024</t>
  </si>
  <si>
    <t>PL-2011-089054</t>
  </si>
  <si>
    <t>PL-2014-090010</t>
  </si>
  <si>
    <t>K01991</t>
  </si>
  <si>
    <t>Mirosław Rutkowski</t>
  </si>
  <si>
    <t>PL-2014-090550</t>
  </si>
  <si>
    <t>PL-2011-090538</t>
  </si>
  <si>
    <t>PL-2013-091418</t>
  </si>
  <si>
    <t>PL-2013-090457</t>
  </si>
  <si>
    <t>PL-2012-090990</t>
  </si>
  <si>
    <t>PL-2014-085923</t>
  </si>
  <si>
    <t>PL-2014-086563</t>
  </si>
  <si>
    <t>K00574</t>
  </si>
  <si>
    <t>Lech Ryder</t>
  </si>
  <si>
    <t>PL-2014-087644</t>
  </si>
  <si>
    <t>PL-2013-089931</t>
  </si>
  <si>
    <t>PL-2013-089080</t>
  </si>
  <si>
    <t>K01443</t>
  </si>
  <si>
    <t>Artur Leszczak</t>
  </si>
  <si>
    <t>PL-2014-089840</t>
  </si>
  <si>
    <t>PL-2014-088442</t>
  </si>
  <si>
    <t>PL-2014-090443</t>
  </si>
  <si>
    <t>PL-2014-086551</t>
  </si>
  <si>
    <t>PL-2014-090943</t>
  </si>
  <si>
    <t>PL-2013-090030</t>
  </si>
  <si>
    <t>PL-2013-091504</t>
  </si>
  <si>
    <t>PL-2013-090647</t>
  </si>
  <si>
    <t>PL-2012-088437</t>
  </si>
  <si>
    <t>PL-2012-091287</t>
  </si>
  <si>
    <t>PL-2014-087125</t>
  </si>
  <si>
    <t>K02035</t>
  </si>
  <si>
    <t>Grażyna Skibińska</t>
  </si>
  <si>
    <t>PL-2014-089123</t>
  </si>
  <si>
    <t>K01164</t>
  </si>
  <si>
    <t>Edward Barnik</t>
  </si>
  <si>
    <t>K01167</t>
  </si>
  <si>
    <t>Teresa Kordaczuk</t>
  </si>
  <si>
    <t>Kije</t>
  </si>
  <si>
    <t>28-404</t>
  </si>
  <si>
    <t>PL-2011-088921</t>
  </si>
  <si>
    <t>PL-2012-091187</t>
  </si>
  <si>
    <t>K02106</t>
  </si>
  <si>
    <t>Andrzej Lipka</t>
  </si>
  <si>
    <t>PL-2014-086326</t>
  </si>
  <si>
    <t>K00597</t>
  </si>
  <si>
    <t>Marek Pawlik</t>
  </si>
  <si>
    <t>Okonek</t>
  </si>
  <si>
    <t>64-965</t>
  </si>
  <si>
    <t>PL-2014-086631</t>
  </si>
  <si>
    <t>K02095</t>
  </si>
  <si>
    <t>Alicja Jasińska</t>
  </si>
  <si>
    <t>PL-2014-090694</t>
  </si>
  <si>
    <t>PL-2014-089126</t>
  </si>
  <si>
    <t>K01209</t>
  </si>
  <si>
    <t>Jarosław Smyka</t>
  </si>
  <si>
    <t>PL-2014-086553</t>
  </si>
  <si>
    <t>PL-2012-091153</t>
  </si>
  <si>
    <t>PL-2012-089468</t>
  </si>
  <si>
    <t>PL-2014-090903</t>
  </si>
  <si>
    <t>K01876</t>
  </si>
  <si>
    <t>Wieńczysław Bebich</t>
  </si>
  <si>
    <t>Kowiesy</t>
  </si>
  <si>
    <t>96-111</t>
  </si>
  <si>
    <t>PL-2013-088334</t>
  </si>
  <si>
    <t>PL-2013-085872</t>
  </si>
  <si>
    <t>PL-2014-086729</t>
  </si>
  <si>
    <t>PL-2013-091347</t>
  </si>
  <si>
    <t>K01151</t>
  </si>
  <si>
    <t>Marzena Kluska</t>
  </si>
  <si>
    <t>Widuchowa</t>
  </si>
  <si>
    <t>74-120</t>
  </si>
  <si>
    <t>PL-2014-091114</t>
  </si>
  <si>
    <t>K02429</t>
  </si>
  <si>
    <t>Adam Dzik</t>
  </si>
  <si>
    <t>PL-2011-091344</t>
  </si>
  <si>
    <t>PL-2014-087202</t>
  </si>
  <si>
    <t>K01870</t>
  </si>
  <si>
    <t>Piotr Surawski</t>
  </si>
  <si>
    <t>45-360</t>
  </si>
  <si>
    <t>Barricks Non-Folding Utility Table with Steel Legs, Laminate Tops</t>
  </si>
  <si>
    <t>PL-2014-090151</t>
  </si>
  <si>
    <t>PL-2011-090146</t>
  </si>
  <si>
    <t>PL-2014-091519</t>
  </si>
  <si>
    <t>K00787</t>
  </si>
  <si>
    <t>Dorota Kriger</t>
  </si>
  <si>
    <t>PL-2014-089189</t>
  </si>
  <si>
    <t>K02388</t>
  </si>
  <si>
    <t>Wioletta Skowyra</t>
  </si>
  <si>
    <t>PL-2014-087939</t>
  </si>
  <si>
    <t>PL-2014-088340</t>
  </si>
  <si>
    <t>PL-2013-091561</t>
  </si>
  <si>
    <t>PL-2013-090756</t>
  </si>
  <si>
    <t>PL-2014-086431</t>
  </si>
  <si>
    <t>PL-2014-086995</t>
  </si>
  <si>
    <t>K03180</t>
  </si>
  <si>
    <t>Jadwiga Kaliczyńska</t>
  </si>
  <si>
    <t>Nowe Miasto Lubawskie</t>
  </si>
  <si>
    <t>13-300</t>
  </si>
  <si>
    <t>PL-2013-087499</t>
  </si>
  <si>
    <t>K01554</t>
  </si>
  <si>
    <t>Marcin Krzysiak</t>
  </si>
  <si>
    <t>Ożarów Mazowiecki</t>
  </si>
  <si>
    <t>05-850</t>
  </si>
  <si>
    <t>PL-2013-086613</t>
  </si>
  <si>
    <t>PL-2012-090740</t>
  </si>
  <si>
    <t>PL-2014-086994</t>
  </si>
  <si>
    <t>PL-2014-091269</t>
  </si>
  <si>
    <t>K01566</t>
  </si>
  <si>
    <t>Bogdan Podbereski</t>
  </si>
  <si>
    <t>PL-2012-086937</t>
  </si>
  <si>
    <t>PL-2014-086946</t>
  </si>
  <si>
    <t>PL-2014-086240</t>
  </si>
  <si>
    <t>PL-2012-090220</t>
  </si>
  <si>
    <t>K02928</t>
  </si>
  <si>
    <t>Irena Caban</t>
  </si>
  <si>
    <t>Wałcz</t>
  </si>
  <si>
    <t>PL-2013-090547</t>
  </si>
  <si>
    <t>PL-2013-091374</t>
  </si>
  <si>
    <t>PL-2013-086096</t>
  </si>
  <si>
    <t>PL-2012-087150</t>
  </si>
  <si>
    <t>PL-2014-090294</t>
  </si>
  <si>
    <t>PL-2013-088007</t>
  </si>
  <si>
    <t>PL-2013-085995</t>
  </si>
  <si>
    <t>PL-2012-085919</t>
  </si>
  <si>
    <t>PL-2013-089662</t>
  </si>
  <si>
    <t>PL-2013-091256</t>
  </si>
  <si>
    <t>K00036</t>
  </si>
  <si>
    <t>Robert Andrzejewski</t>
  </si>
  <si>
    <t>Przasnysz</t>
  </si>
  <si>
    <t>06-300</t>
  </si>
  <si>
    <t>K00037</t>
  </si>
  <si>
    <t>Andrzej Karaczun</t>
  </si>
  <si>
    <t>PL-2014-085841</t>
  </si>
  <si>
    <t>PL-2011-085833</t>
  </si>
  <si>
    <t>PL-2014-091234</t>
  </si>
  <si>
    <t>K01290</t>
  </si>
  <si>
    <t>Tadeusz Stasiak</t>
  </si>
  <si>
    <t>PL-2013-086872</t>
  </si>
  <si>
    <t>PL-2014-090549</t>
  </si>
  <si>
    <t>PL-2012-090541</t>
  </si>
  <si>
    <t>PL-2014-089088</t>
  </si>
  <si>
    <t>PL-2012-087558</t>
  </si>
  <si>
    <t>PL-2014-091380</t>
  </si>
  <si>
    <t>K03067</t>
  </si>
  <si>
    <t>Jan Jarczak</t>
  </si>
  <si>
    <t>PL-2011-091376</t>
  </si>
  <si>
    <t>PL-2014-088154</t>
  </si>
  <si>
    <t>K00346</t>
  </si>
  <si>
    <t>Katarzyna Jaworska</t>
  </si>
  <si>
    <t>PL-2011-091480</t>
  </si>
  <si>
    <t>PL-2014-088287</t>
  </si>
  <si>
    <t>PL-2013-091411</t>
  </si>
  <si>
    <t>K02705</t>
  </si>
  <si>
    <t>Piotr Zduńczyk</t>
  </si>
  <si>
    <t>Sońsk</t>
  </si>
  <si>
    <t>06-430</t>
  </si>
  <si>
    <t>PL-2013-091410</t>
  </si>
  <si>
    <t>PL-2013-090052</t>
  </si>
  <si>
    <t>PL-2013-089321</t>
  </si>
  <si>
    <t>PL-2011-088798</t>
  </si>
  <si>
    <t>PL-2014-091120</t>
  </si>
  <si>
    <t>PL-2013-090719</t>
  </si>
  <si>
    <t>PL-2012-091317</t>
  </si>
  <si>
    <t>K02788</t>
  </si>
  <si>
    <t>Dariusz Maroń</t>
  </si>
  <si>
    <t>PL-2013-090066</t>
  </si>
  <si>
    <t>K00515</t>
  </si>
  <si>
    <t>Andrzej Cerazy</t>
  </si>
  <si>
    <t>PL-2014-018341</t>
  </si>
  <si>
    <t>K00511</t>
  </si>
  <si>
    <t>Roman Wiśniewski</t>
  </si>
  <si>
    <t>K00513</t>
  </si>
  <si>
    <t>Justyna Tuderek</t>
  </si>
  <si>
    <t>Walce</t>
  </si>
  <si>
    <t>47-344</t>
  </si>
  <si>
    <t>PL-2014-086948</t>
  </si>
  <si>
    <t>PL-2012-088166</t>
  </si>
  <si>
    <t>PL-2011-090480</t>
  </si>
  <si>
    <t>PL-2013-089720</t>
  </si>
  <si>
    <t>PL-2014-090950</t>
  </si>
  <si>
    <t>K03027</t>
  </si>
  <si>
    <t>Danuta Andrejczuk</t>
  </si>
  <si>
    <t>PL-2011-086752</t>
  </si>
  <si>
    <t>PL-2014-089358</t>
  </si>
  <si>
    <t>K03348</t>
  </si>
  <si>
    <t>Wiesław Runowicz</t>
  </si>
  <si>
    <t>PL-2014-086380</t>
  </si>
  <si>
    <t>K02399</t>
  </si>
  <si>
    <t>Jakub Dobrowolski</t>
  </si>
  <si>
    <t>Stolno</t>
  </si>
  <si>
    <t>86-212</t>
  </si>
  <si>
    <t>Howard Miller 11-1/2" Diameter Ridgewood Wall Clock</t>
  </si>
  <si>
    <t>PL-2012-086375</t>
  </si>
  <si>
    <t>PL-2013-086273</t>
  </si>
  <si>
    <t>PL-2014-088099</t>
  </si>
  <si>
    <t>PL-2013-086977</t>
  </si>
  <si>
    <t>PL-2014-091330</t>
  </si>
  <si>
    <t>PL-2011-086123</t>
  </si>
  <si>
    <t>K01086</t>
  </si>
  <si>
    <t>Miłosz Łuszczyk</t>
  </si>
  <si>
    <t>PL-2014-086131</t>
  </si>
  <si>
    <t>PL-2011-091586</t>
  </si>
  <si>
    <t>PL-2013-088854</t>
  </si>
  <si>
    <t>PL-2014-086697</t>
  </si>
  <si>
    <t>PL-2013-086426</t>
  </si>
  <si>
    <t>K01075</t>
  </si>
  <si>
    <t>Krystyna Wilman</t>
  </si>
  <si>
    <t>PL-2013-090106</t>
  </si>
  <si>
    <t>K03322</t>
  </si>
  <si>
    <t>Łukasz Górczyński</t>
  </si>
  <si>
    <t>PL-2014-088172</t>
  </si>
  <si>
    <t>PL-2011-090437</t>
  </si>
  <si>
    <t>PL-2014-087961</t>
  </si>
  <si>
    <t>K00639</t>
  </si>
  <si>
    <t>Monika Górska</t>
  </si>
  <si>
    <t>PL-2014-088655</t>
  </si>
  <si>
    <t>K00589</t>
  </si>
  <si>
    <t>Marlena Końko</t>
  </si>
  <si>
    <t>K00581</t>
  </si>
  <si>
    <t>Mirosław Wiercioch</t>
  </si>
  <si>
    <t>PL-2014-087370</t>
  </si>
  <si>
    <t>K00085</t>
  </si>
  <si>
    <t>Anetta Usidus</t>
  </si>
  <si>
    <t>PL-2014-088294</t>
  </si>
  <si>
    <t>PL-2014-091224</t>
  </si>
  <si>
    <t>PL-2014-086073</t>
  </si>
  <si>
    <t>K02658</t>
  </si>
  <si>
    <t>Grażyna Ulikowska</t>
  </si>
  <si>
    <t>PL-2011-089301</t>
  </si>
  <si>
    <t>PL-2013-088055</t>
  </si>
  <si>
    <t>PL-2012-089540</t>
  </si>
  <si>
    <t>PL-2012-087835</t>
  </si>
  <si>
    <t>PL-2012-086596</t>
  </si>
  <si>
    <t>Sony IBM Color Diskettes, 25/Pack</t>
  </si>
  <si>
    <t>PL-2014-086323</t>
  </si>
  <si>
    <t>PL-2012-087343</t>
  </si>
  <si>
    <t>PL-2013-087786</t>
  </si>
  <si>
    <t>PL-2013-089547</t>
  </si>
  <si>
    <t>K00890</t>
  </si>
  <si>
    <t>Włodzimierz Bezhubka</t>
  </si>
  <si>
    <t>Nowy Staw</t>
  </si>
  <si>
    <t>82-230</t>
  </si>
  <si>
    <t>PL-2014-087204</t>
  </si>
  <si>
    <t>PL-2014-091325</t>
  </si>
  <si>
    <t>PL-2012-091322</t>
  </si>
  <si>
    <t>PL-2014-018373</t>
  </si>
  <si>
    <t>PL-2012-089934</t>
  </si>
  <si>
    <t>PL-2013-088535</t>
  </si>
  <si>
    <t>K00137</t>
  </si>
  <si>
    <t>Zuzanna Sugier</t>
  </si>
  <si>
    <t>Mirów</t>
  </si>
  <si>
    <t>PL-2014-087664</t>
  </si>
  <si>
    <t>K00029</t>
  </si>
  <si>
    <t>Dorota Usidus</t>
  </si>
  <si>
    <t>PL-2012-087654</t>
  </si>
  <si>
    <t>PL-2014-087972</t>
  </si>
  <si>
    <t>PL-2013-089205</t>
  </si>
  <si>
    <t>PL-2014-091197</t>
  </si>
  <si>
    <t>PL-2011-090985</t>
  </si>
  <si>
    <t>K03324</t>
  </si>
  <si>
    <t>Ewa Rybicka</t>
  </si>
  <si>
    <t>PL-2014-091457</t>
  </si>
  <si>
    <t>K00043</t>
  </si>
  <si>
    <t>Krystyna Miagka</t>
  </si>
  <si>
    <t>PL-2014-090915</t>
  </si>
  <si>
    <t>PL-2014-086497</t>
  </si>
  <si>
    <t>PL-2013-090029</t>
  </si>
  <si>
    <t>K00527</t>
  </si>
  <si>
    <t>Adam Polowy</t>
  </si>
  <si>
    <t>PL-2013-089460</t>
  </si>
  <si>
    <t>PL-2014-089014</t>
  </si>
  <si>
    <t>PL-2011-086164</t>
  </si>
  <si>
    <t>K02353</t>
  </si>
  <si>
    <t>Marzanna Garbowska</t>
  </si>
  <si>
    <t>PL-2012-086998</t>
  </si>
  <si>
    <t>PL-2013-089822</t>
  </si>
  <si>
    <t>PL-2014-089800</t>
  </si>
  <si>
    <t>PL-2013-090138</t>
  </si>
  <si>
    <t>K01091</t>
  </si>
  <si>
    <t>Robert Ramel</t>
  </si>
  <si>
    <t>PL-2012-087247</t>
  </si>
  <si>
    <t>PL-2014-086716</t>
  </si>
  <si>
    <t>PL-2014-091500</t>
  </si>
  <si>
    <t>PL-2012-088635</t>
  </si>
  <si>
    <t>PL-2013-091170</t>
  </si>
  <si>
    <t>K02589</t>
  </si>
  <si>
    <t>Halina Lewandowska</t>
  </si>
  <si>
    <t>PL-2011-088480</t>
  </si>
  <si>
    <t>PL-2011-087285</t>
  </si>
  <si>
    <t>K03125</t>
  </si>
  <si>
    <t>Jerzy Łosiewicz</t>
  </si>
  <si>
    <t>PL-2013-091353</t>
  </si>
  <si>
    <t>PL-2011-087408</t>
  </si>
  <si>
    <t>PL-2014-087423</t>
  </si>
  <si>
    <t>PL-2011-090185</t>
  </si>
  <si>
    <t>PL-2014-091056</t>
  </si>
  <si>
    <t>K00722</t>
  </si>
  <si>
    <t>Jadwiga Matysek</t>
  </si>
  <si>
    <t>PL-2013-090670</t>
  </si>
  <si>
    <t>PL-2012-089169</t>
  </si>
  <si>
    <t>PL-2012-085969</t>
  </si>
  <si>
    <t>PL-2013-090546</t>
  </si>
  <si>
    <t>PL-2013-086127</t>
  </si>
  <si>
    <t>PL-2014-089232</t>
  </si>
  <si>
    <t>PL-2013-086648</t>
  </si>
  <si>
    <t>K01681</t>
  </si>
  <si>
    <t>Zbigniew Grabowski</t>
  </si>
  <si>
    <t>PL-2014-090267</t>
  </si>
  <si>
    <t>K02958</t>
  </si>
  <si>
    <t>Danuta Zawadzka</t>
  </si>
  <si>
    <t>05-080</t>
  </si>
  <si>
    <t>PL-2014-087324</t>
  </si>
  <si>
    <t>PL-2014-086392</t>
  </si>
  <si>
    <t>PL-2014-086242</t>
  </si>
  <si>
    <t>K03272</t>
  </si>
  <si>
    <t>Tadeusz Banachomski</t>
  </si>
  <si>
    <t>Strachówka</t>
  </si>
  <si>
    <t>05-282</t>
  </si>
  <si>
    <t>PL-2013-090954</t>
  </si>
  <si>
    <t>K02638</t>
  </si>
  <si>
    <t>Roman Waleriańczyk</t>
  </si>
  <si>
    <t>PL-2014-090102</t>
  </si>
  <si>
    <t>PL-2014-090823</t>
  </si>
  <si>
    <t>PL-2013-090472</t>
  </si>
  <si>
    <t>PL-2014-085843</t>
  </si>
  <si>
    <t>PL-2011-085835</t>
  </si>
  <si>
    <t>PL-2013-088382</t>
  </si>
  <si>
    <t>GBC ProClick Punch Binding System</t>
  </si>
  <si>
    <t>PL-2012-088260</t>
  </si>
  <si>
    <t>PL-2013-090894</t>
  </si>
  <si>
    <t>K02119</t>
  </si>
  <si>
    <t>Zbigniew Choiński</t>
  </si>
  <si>
    <t>PL-2014-087415</t>
  </si>
  <si>
    <t>K00063</t>
  </si>
  <si>
    <t>Izabela Piecuch</t>
  </si>
  <si>
    <t>PL-2013-087492</t>
  </si>
  <si>
    <t>PL-2014-085832</t>
  </si>
  <si>
    <t>K02870</t>
  </si>
  <si>
    <t>Zbigniew Kmiecik</t>
  </si>
  <si>
    <t>Rypin</t>
  </si>
  <si>
    <t>87-500</t>
  </si>
  <si>
    <t>PL-2013-087818</t>
  </si>
  <si>
    <t>PL-2014-089534</t>
  </si>
  <si>
    <t>K00154</t>
  </si>
  <si>
    <t>Agata Beszczyńska</t>
  </si>
  <si>
    <t>66-614</t>
  </si>
  <si>
    <t>PL-2014-085875</t>
  </si>
  <si>
    <t>PL-2014-091165</t>
  </si>
  <si>
    <t>K01476</t>
  </si>
  <si>
    <t>Zbigniew Trojanowski</t>
  </si>
  <si>
    <t>PL-2013-091579</t>
  </si>
  <si>
    <t>K00046</t>
  </si>
  <si>
    <t>Adrianna Sobczuk</t>
  </si>
  <si>
    <t>PL-2012-087308</t>
  </si>
  <si>
    <t>PL-2012-088945</t>
  </si>
  <si>
    <t>PL-2012-087437</t>
  </si>
  <si>
    <t>PL-2013-090506</t>
  </si>
  <si>
    <t>PL-2012-089373</t>
  </si>
  <si>
    <t>PL-2013-091570</t>
  </si>
  <si>
    <t>PL-2014-091546</t>
  </si>
  <si>
    <t>K01804</t>
  </si>
  <si>
    <t>Renata Majchrzak</t>
  </si>
  <si>
    <t>PL-2012-091271</t>
  </si>
  <si>
    <t>K00615</t>
  </si>
  <si>
    <t>Władysław Naranowicz</t>
  </si>
  <si>
    <t>PL-2011-087487</t>
  </si>
  <si>
    <t>PL-2013-088341</t>
  </si>
  <si>
    <t>PL-2014-090434</t>
  </si>
  <si>
    <t>PL-2012-086939</t>
  </si>
  <si>
    <t>K02020</t>
  </si>
  <si>
    <t>Irena Wrzesińska</t>
  </si>
  <si>
    <t>PL-2011-090002</t>
  </si>
  <si>
    <t>PL-2013-085886</t>
  </si>
  <si>
    <t>K01495</t>
  </si>
  <si>
    <t>Mateusz Kryger</t>
  </si>
  <si>
    <t>Pozezdrze</t>
  </si>
  <si>
    <t>11-610</t>
  </si>
  <si>
    <t>PL-2013-085821</t>
  </si>
  <si>
    <t>PL-2013-091400</t>
  </si>
  <si>
    <t>K02952</t>
  </si>
  <si>
    <t>Katarzyna Kreft</t>
  </si>
  <si>
    <t>46-060</t>
  </si>
  <si>
    <t>PL-2014-087253</t>
  </si>
  <si>
    <t>PL-2014-088564</t>
  </si>
  <si>
    <t>PL-2013-087625</t>
  </si>
  <si>
    <t>K02934</t>
  </si>
  <si>
    <t>Alicja Kordylasińska</t>
  </si>
  <si>
    <t>PL-2012-086974</t>
  </si>
  <si>
    <t>PL-2014-089100</t>
  </si>
  <si>
    <t>PL-2014-089985</t>
  </si>
  <si>
    <t>PL-2014-086985</t>
  </si>
  <si>
    <t>PL-2014-085999</t>
  </si>
  <si>
    <t>K01819</t>
  </si>
  <si>
    <t>Feliks Kostrzak</t>
  </si>
  <si>
    <t>PL-2014-091456</t>
  </si>
  <si>
    <t>PL-2012-091587</t>
  </si>
  <si>
    <t>PL-2011-089278</t>
  </si>
  <si>
    <t>PL-2013-088010</t>
  </si>
  <si>
    <t>AT&amp;T 1430 2.4GHz Analog Phone w/Caller ID</t>
  </si>
  <si>
    <t>PL-2012-087591</t>
  </si>
  <si>
    <t>K01190</t>
  </si>
  <si>
    <t>Marzena Sobstyl</t>
  </si>
  <si>
    <t>PL-2014-087598</t>
  </si>
  <si>
    <t>PL-2014-087732</t>
  </si>
  <si>
    <t>PL-2014-089165</t>
  </si>
  <si>
    <t>K02295</t>
  </si>
  <si>
    <t>Robert Lepa</t>
  </si>
  <si>
    <t>Staszów</t>
  </si>
  <si>
    <t>28-200</t>
  </si>
  <si>
    <t>PL-2013-090299</t>
  </si>
  <si>
    <t>PL-2014-086391</t>
  </si>
  <si>
    <t>PL-2011-086383</t>
  </si>
  <si>
    <t>K00392</t>
  </si>
  <si>
    <t>Arkadiusz Czerwiński</t>
  </si>
  <si>
    <t>PL-2011-088017</t>
  </si>
  <si>
    <t>PL-2014-089903</t>
  </si>
  <si>
    <t>PL-2014-086132</t>
  </si>
  <si>
    <t>PL-2013-090834</t>
  </si>
  <si>
    <t>PL-2011-090964</t>
  </si>
  <si>
    <t>PL-2014-090971</t>
  </si>
  <si>
    <t>PL-2014-088295</t>
  </si>
  <si>
    <t>PL-2014-087219</t>
  </si>
  <si>
    <t>PL-2011-087916</t>
  </si>
  <si>
    <t>PL-2014-089845</t>
  </si>
  <si>
    <t>PL-2012-087742</t>
  </si>
  <si>
    <t>K00480</t>
  </si>
  <si>
    <t>Stanisław Kujawa</t>
  </si>
  <si>
    <t>PL-2011-087032</t>
  </si>
  <si>
    <t>PL-2014-087839</t>
  </si>
  <si>
    <t>PL-2013-091516</t>
  </si>
  <si>
    <t>PL-2014-091558</t>
  </si>
  <si>
    <t>PL-2011-086573</t>
  </si>
  <si>
    <t>PL-2014-086586</t>
  </si>
  <si>
    <t>PL-2012-086194</t>
  </si>
  <si>
    <t>K00554</t>
  </si>
  <si>
    <t>Janusz Myczek</t>
  </si>
  <si>
    <t>PL-2012-087454</t>
  </si>
  <si>
    <t>UniKeep™ View Case Binders</t>
  </si>
  <si>
    <t>PL-2012-087367</t>
  </si>
  <si>
    <t>PL-2011-090160</t>
  </si>
  <si>
    <t>PL-2014-086955</t>
  </si>
  <si>
    <t>PL-2012-090776</t>
  </si>
  <si>
    <t>PL-2011-091496</t>
  </si>
  <si>
    <t>PL-2014-091501</t>
  </si>
  <si>
    <t>PL-2011-089849</t>
  </si>
  <si>
    <t>PL-2013-087745</t>
  </si>
  <si>
    <t>PL-2014-089447</t>
  </si>
  <si>
    <t>PL-2014-088676</t>
  </si>
  <si>
    <t>PL-2013-090251</t>
  </si>
  <si>
    <t>PL-2014-088665</t>
  </si>
  <si>
    <t>PL-2011-088240</t>
  </si>
  <si>
    <t>PL-2014-088249</t>
  </si>
  <si>
    <t>PL-2014-089953</t>
  </si>
  <si>
    <t>PL-2014-089955</t>
  </si>
  <si>
    <t>PL-2011-089943</t>
  </si>
  <si>
    <t>PL-2011-090237</t>
  </si>
  <si>
    <t>K00233</t>
  </si>
  <si>
    <t>Wojciech Sobko</t>
  </si>
  <si>
    <t>PL-2014-086142</t>
  </si>
  <si>
    <t>K02917</t>
  </si>
  <si>
    <t>Katarzyna Gers</t>
  </si>
  <si>
    <t>PL-2014-089694</t>
  </si>
  <si>
    <t>PL-2014-088574</t>
  </si>
  <si>
    <t>PL-2012-090406</t>
  </si>
  <si>
    <t>PL-2011-090577</t>
  </si>
  <si>
    <t>PL-2014-090268</t>
  </si>
  <si>
    <t>PL-2014-091034</t>
  </si>
  <si>
    <t>PL-2014-089702</t>
  </si>
  <si>
    <t>PL-2012-089700</t>
  </si>
  <si>
    <t>PL-2014-089022</t>
  </si>
  <si>
    <t>K02733</t>
  </si>
  <si>
    <t>Cezary Kalinowski</t>
  </si>
  <si>
    <t>PL-2013-089378</t>
  </si>
  <si>
    <t>PL-2014-088194</t>
  </si>
  <si>
    <t>PL-2012-086125</t>
  </si>
  <si>
    <t>PL-2013-091012</t>
  </si>
  <si>
    <t>K01995</t>
  </si>
  <si>
    <t>Janina Kulon</t>
  </si>
  <si>
    <t>PL-2014-086372</t>
  </si>
  <si>
    <t>PL-2012-086829</t>
  </si>
  <si>
    <t>PL-2013-091498</t>
  </si>
  <si>
    <t>PL-2014-091140</t>
  </si>
  <si>
    <t>PL-2014-090427</t>
  </si>
  <si>
    <t>PL-2014-091016</t>
  </si>
  <si>
    <t>PL-2013-086480</t>
  </si>
  <si>
    <t>PL-2014-088160</t>
  </si>
  <si>
    <t>PL-2014-090140</t>
  </si>
  <si>
    <t>PL-2011-088871</t>
  </si>
  <si>
    <t>PL-2013-089948</t>
  </si>
  <si>
    <t>K01779</t>
  </si>
  <si>
    <t>Kamil Jesionowski</t>
  </si>
  <si>
    <t>PL-2012-088476</t>
  </si>
  <si>
    <t>PL-2011-089218</t>
  </si>
  <si>
    <t>K02456</t>
  </si>
  <si>
    <t>Piotr Wącior</t>
  </si>
  <si>
    <t>PL-2014-089228</t>
  </si>
  <si>
    <t>PL-2011-088196</t>
  </si>
  <si>
    <t>PL-2014-088202</t>
  </si>
  <si>
    <t>PL-2013-089529</t>
  </si>
  <si>
    <t>PL-2014-091142</t>
  </si>
  <si>
    <t>PL-2011-091362</t>
  </si>
  <si>
    <t>PL-2013-086057</t>
  </si>
  <si>
    <t>PL-2013-087524</t>
  </si>
  <si>
    <t>K01172</t>
  </si>
  <si>
    <t>Stanisław Stępień</t>
  </si>
  <si>
    <t>PL-2014-087174</t>
  </si>
  <si>
    <t>PL-2014-086564</t>
  </si>
  <si>
    <t>PL-2014-088526</t>
  </si>
  <si>
    <t>PL-2014-090605</t>
  </si>
  <si>
    <t>K01626</t>
  </si>
  <si>
    <t>Franciszek Ciechanowicz</t>
  </si>
  <si>
    <t>PL-2014-089050</t>
  </si>
  <si>
    <t>PL-2013-086523</t>
  </si>
  <si>
    <t>PL-2014-088210</t>
  </si>
  <si>
    <t>K00100</t>
  </si>
  <si>
    <t>Krzysztof Rojek</t>
  </si>
  <si>
    <t>K00111</t>
  </si>
  <si>
    <t>Damian Zydel</t>
  </si>
  <si>
    <t>Bychawa</t>
  </si>
  <si>
    <t>23-100</t>
  </si>
  <si>
    <t>PL-2011-086933</t>
  </si>
  <si>
    <t>PL-2013-091184</t>
  </si>
  <si>
    <t>PL-2013-087114</t>
  </si>
  <si>
    <t>PL-2013-088809</t>
  </si>
  <si>
    <t>PL-2014-087851</t>
  </si>
  <si>
    <t>K01043</t>
  </si>
  <si>
    <t>Krystyna Boczkowska</t>
  </si>
  <si>
    <t>PL-2014-087360</t>
  </si>
  <si>
    <t>K00505</t>
  </si>
  <si>
    <t>Tadeusz Łożecki</t>
  </si>
  <si>
    <t>PL-2013-086160</t>
  </si>
  <si>
    <t>PL-2012-086374</t>
  </si>
  <si>
    <t>PL-2014-086379</t>
  </si>
  <si>
    <t>PL-2012-087246</t>
  </si>
  <si>
    <t>PL-2012-090570</t>
  </si>
  <si>
    <t>PL-2013-091526</t>
  </si>
  <si>
    <t>PL-2014-091098</t>
  </si>
  <si>
    <t>PL-2013-087500</t>
  </si>
  <si>
    <t>PL-2014-090092</t>
  </si>
  <si>
    <t>PL-2014-090683</t>
  </si>
  <si>
    <t>PL-2014-090982</t>
  </si>
  <si>
    <t>PL-2014-091293</t>
  </si>
  <si>
    <t>PL-2014-086305</t>
  </si>
  <si>
    <t>PL-2014-089487</t>
  </si>
  <si>
    <t>PL-2013-087850</t>
  </si>
  <si>
    <t>PL-2011-091089</t>
  </si>
  <si>
    <t>PL-2013-090912</t>
  </si>
  <si>
    <t>PL-2014-088903</t>
  </si>
  <si>
    <t>PL-2012-091159</t>
  </si>
  <si>
    <t>PL-2013-091164</t>
  </si>
  <si>
    <t>PL-2012-085992</t>
  </si>
  <si>
    <t>PL-2014-088810</t>
  </si>
  <si>
    <t>PL-2014-090599</t>
  </si>
  <si>
    <t>PL-2014-087418</t>
  </si>
  <si>
    <t>PL-2011-090951</t>
  </si>
  <si>
    <t>PL-2014-090959</t>
  </si>
  <si>
    <t>PL-2013-089461</t>
  </si>
  <si>
    <t>K01968</t>
  </si>
  <si>
    <t>Piotr Kłobuch</t>
  </si>
  <si>
    <t>PL-2011-091492</t>
  </si>
  <si>
    <t>PL-2014-087582</t>
  </si>
  <si>
    <t>PL-2014-090817</t>
  </si>
  <si>
    <t>K03222</t>
  </si>
  <si>
    <t>Jolanta Bąk</t>
  </si>
  <si>
    <t>PL-2013-086362</t>
  </si>
  <si>
    <t>PL-2012-089155</t>
  </si>
  <si>
    <t>PL-2011-090814</t>
  </si>
  <si>
    <t>PL-2012-088351</t>
  </si>
  <si>
    <t>PL-2011-089776</t>
  </si>
  <si>
    <t>K01764</t>
  </si>
  <si>
    <t>Rafał Wasilko</t>
  </si>
  <si>
    <t>PL-2014-088069</t>
  </si>
  <si>
    <t>PL-2012-088063</t>
  </si>
  <si>
    <t>K00465</t>
  </si>
  <si>
    <t>Justyna Ptak</t>
  </si>
  <si>
    <t>PL-2011-085981</t>
  </si>
  <si>
    <t>K03339</t>
  </si>
  <si>
    <t>Piotr Humański</t>
  </si>
  <si>
    <t>PL-2012-090552</t>
  </si>
  <si>
    <t>K02672</t>
  </si>
  <si>
    <t>Krzysztof Pieróg</t>
  </si>
  <si>
    <t>PL-2014-086835</t>
  </si>
  <si>
    <t>K01435</t>
  </si>
  <si>
    <t>Elżbieta Krzemień</t>
  </si>
  <si>
    <t>73-131</t>
  </si>
  <si>
    <t>PL-2013-089243</t>
  </si>
  <si>
    <t>K02708</t>
  </si>
  <si>
    <t>Małgorzata Szczubkowska</t>
  </si>
  <si>
    <t>PL-2013-089674</t>
  </si>
  <si>
    <t>K02125</t>
  </si>
  <si>
    <t>Andrzej Jażdżyk</t>
  </si>
  <si>
    <t>Wielopole Skrzyńskie</t>
  </si>
  <si>
    <t>39-110</t>
  </si>
  <si>
    <t>PL-2014-089901</t>
  </si>
  <si>
    <t>PL-2011-089762</t>
  </si>
  <si>
    <t>PL-2012-091559</t>
  </si>
  <si>
    <t>K01320</t>
  </si>
  <si>
    <t>Jan Adamski</t>
  </si>
  <si>
    <t>PL-2012-091065</t>
  </si>
  <si>
    <t>PL-2011-088320</t>
  </si>
  <si>
    <t>PL-2013-090803</t>
  </si>
  <si>
    <t>K01220</t>
  </si>
  <si>
    <t>Andrzej Emanowicz</t>
  </si>
  <si>
    <t>PL-2012-018530</t>
  </si>
  <si>
    <t>K01225</t>
  </si>
  <si>
    <t>Eugeniusz Turtoń</t>
  </si>
  <si>
    <t>Bystra-Sidzina</t>
  </si>
  <si>
    <t>34-235</t>
  </si>
  <si>
    <t>PL-2011-090800</t>
  </si>
  <si>
    <t>K01226</t>
  </si>
  <si>
    <t>Regina Wieczorkiewicz</t>
  </si>
  <si>
    <t>Syców</t>
  </si>
  <si>
    <t>56-500</t>
  </si>
  <si>
    <t>K01227</t>
  </si>
  <si>
    <t>Zbigniew Sadowski</t>
  </si>
  <si>
    <t>PL-2012-091246</t>
  </si>
  <si>
    <t>PL-2014-091052</t>
  </si>
  <si>
    <t>PL-2014-089723</t>
  </si>
  <si>
    <t>PL-2013-087581</t>
  </si>
  <si>
    <t>PL-2014-091255</t>
  </si>
  <si>
    <t>PL-2012-091252</t>
  </si>
  <si>
    <t>PL-2014-091029</t>
  </si>
  <si>
    <t>PL-2012-088064</t>
  </si>
  <si>
    <t>PL-2014-089855</t>
  </si>
  <si>
    <t>PL-2014-088038</t>
  </si>
  <si>
    <t>PL-2014-091105</t>
  </si>
  <si>
    <t>PL-2013-091070</t>
  </si>
  <si>
    <t>PL-2014-088231</t>
  </si>
  <si>
    <t>K02047</t>
  </si>
  <si>
    <t>Marcin Poraj</t>
  </si>
  <si>
    <t>PL-2011-089148</t>
  </si>
  <si>
    <t>PL-2012-091112</t>
  </si>
  <si>
    <t>PL-2013-089308</t>
  </si>
  <si>
    <t>PL-2014-091490</t>
  </si>
  <si>
    <t>PL-2013-091119</t>
  </si>
  <si>
    <t>PL-2012-088828</t>
  </si>
  <si>
    <t>K03259</t>
  </si>
  <si>
    <t>Dariusz Olejnik</t>
  </si>
  <si>
    <t>PL-2013-086416</t>
  </si>
  <si>
    <t>K01110</t>
  </si>
  <si>
    <t>Mikołaj Sroczyński</t>
  </si>
  <si>
    <t>PL-2014-090485</t>
  </si>
  <si>
    <t>PL-2011-089360</t>
  </si>
  <si>
    <t>K02653</t>
  </si>
  <si>
    <t>Szymon Goździalski</t>
  </si>
  <si>
    <t>PL-2011-091388</t>
  </si>
  <si>
    <t>PL-2014-091382</t>
  </si>
  <si>
    <t>PL-2012-091378</t>
  </si>
  <si>
    <t>PL-2013-086604</t>
  </si>
  <si>
    <t>PL-2014-091058</t>
  </si>
  <si>
    <t>K00322</t>
  </si>
  <si>
    <t>Ewelina Łuczyńska</t>
  </si>
  <si>
    <t>PL-2014-089927</t>
  </si>
  <si>
    <t>PL-2013-090870</t>
  </si>
  <si>
    <t>K00519</t>
  </si>
  <si>
    <t>Justyna Ryder</t>
  </si>
  <si>
    <t>PL-2012-087684</t>
  </si>
  <si>
    <t>PL-2011-090492</t>
  </si>
  <si>
    <t>PL-2014-090498</t>
  </si>
  <si>
    <t>PL-2013-089876</t>
  </si>
  <si>
    <t>PL-2014-087898</t>
  </si>
  <si>
    <t>PL-2011-086490</t>
  </si>
  <si>
    <t>PL-2014-086692</t>
  </si>
  <si>
    <t>K01936</t>
  </si>
  <si>
    <t>Iwona Sobczyk</t>
  </si>
  <si>
    <t>PL-2013-090763</t>
  </si>
  <si>
    <t>PL-2013-089844</t>
  </si>
  <si>
    <t>PL-2012-089253</t>
  </si>
  <si>
    <t>PL-2014-088850</t>
  </si>
  <si>
    <t>PL-2011-091077</t>
  </si>
  <si>
    <t>PL-2012-087701</t>
  </si>
  <si>
    <t>K00419</t>
  </si>
  <si>
    <t>Dawid Adamski</t>
  </si>
  <si>
    <t>PL-2012-086252</t>
  </si>
  <si>
    <t>PL-2014-088642</t>
  </si>
  <si>
    <t>PL-2014-090536</t>
  </si>
  <si>
    <t>K01634</t>
  </si>
  <si>
    <t>Beata Stankiewicz</t>
  </si>
  <si>
    <t>PL-2012-090634</t>
  </si>
  <si>
    <t>PL-2012-086340</t>
  </si>
  <si>
    <t>PL-2014-086344</t>
  </si>
  <si>
    <t>PL-2014-001793</t>
  </si>
  <si>
    <t>PL-2013-018534</t>
  </si>
  <si>
    <t>PL-2013-087706</t>
  </si>
  <si>
    <t>K00420</t>
  </si>
  <si>
    <t>Liliana Ligęza</t>
  </si>
  <si>
    <t>K00424</t>
  </si>
  <si>
    <t>Władysław Kamola</t>
  </si>
  <si>
    <t>PL-2012-089304</t>
  </si>
  <si>
    <t>K02439</t>
  </si>
  <si>
    <t>Renata Mazur</t>
  </si>
  <si>
    <t>PL-2013-089462</t>
  </si>
  <si>
    <t>PL-2012-091589</t>
  </si>
  <si>
    <t>K03203</t>
  </si>
  <si>
    <t>Łukasz Sawicki</t>
  </si>
  <si>
    <t>PL-2014-087845</t>
  </si>
  <si>
    <t>PL-2014-090184</t>
  </si>
  <si>
    <t>K01758</t>
  </si>
  <si>
    <t>Natalia Dutka</t>
  </si>
  <si>
    <t>K01756</t>
  </si>
  <si>
    <t>Bogdan Łoński</t>
  </si>
  <si>
    <t>PL-2011-090265</t>
  </si>
  <si>
    <t>PL-2011-018561</t>
  </si>
  <si>
    <t>PL-2014-089663</t>
  </si>
  <si>
    <t>K02585</t>
  </si>
  <si>
    <t>Zygfryd Zygowski</t>
  </si>
  <si>
    <t>PL-2014-090037</t>
  </si>
  <si>
    <t>PL-2012-086576</t>
  </si>
  <si>
    <t>K01143</t>
  </si>
  <si>
    <t>Monika Pakuła</t>
  </si>
  <si>
    <t>PL-2013-086321</t>
  </si>
  <si>
    <t>PL-2014-086720</t>
  </si>
  <si>
    <t>K00244</t>
  </si>
  <si>
    <t>Krzysztof Sławiński</t>
  </si>
  <si>
    <t>PL-2014-091268</t>
  </si>
  <si>
    <t>PL-2014-091179</t>
  </si>
  <si>
    <t>PL-2014-087690</t>
  </si>
  <si>
    <t>K02700</t>
  </si>
  <si>
    <t>Bartosz Bieńkowski</t>
  </si>
  <si>
    <t>Biszcza</t>
  </si>
  <si>
    <t>23-425</t>
  </si>
  <si>
    <t>PL-2011-087630</t>
  </si>
  <si>
    <t>K02886</t>
  </si>
  <si>
    <t>Edward Jasiński</t>
  </si>
  <si>
    <t>Sławno</t>
  </si>
  <si>
    <t>76-100</t>
  </si>
  <si>
    <t>PL-2014-086030</t>
  </si>
  <si>
    <t>PL-2014-087616</t>
  </si>
  <si>
    <t>PL-2014-086763</t>
  </si>
  <si>
    <t>PL-2011-089872</t>
  </si>
  <si>
    <t>PL-2013-091403</t>
  </si>
  <si>
    <t>K00633</t>
  </si>
  <si>
    <t>Józef Karnia</t>
  </si>
  <si>
    <t>Fajsławice</t>
  </si>
  <si>
    <t>21-060</t>
  </si>
  <si>
    <t>PL-2013-091203</t>
  </si>
  <si>
    <t>PL-2012-089242</t>
  </si>
  <si>
    <t>PL-2014-090141</t>
  </si>
  <si>
    <t>K01092</t>
  </si>
  <si>
    <t>Henryk Sikorski</t>
  </si>
  <si>
    <t>PL-2011-089039</t>
  </si>
  <si>
    <t>PL-2014-087990</t>
  </si>
  <si>
    <t>K00714</t>
  </si>
  <si>
    <t>Marek Kapecki</t>
  </si>
  <si>
    <t>Wólka</t>
  </si>
  <si>
    <t>PL-2011-087978</t>
  </si>
  <si>
    <t>K00711</t>
  </si>
  <si>
    <t>Ryszard Kwaśnica</t>
  </si>
  <si>
    <t>Daszyna</t>
  </si>
  <si>
    <t>99-107</t>
  </si>
  <si>
    <t>PL-2012-091132</t>
  </si>
  <si>
    <t>PL-2012-087127</t>
  </si>
  <si>
    <t>K02027</t>
  </si>
  <si>
    <t>Zbigniew Sekuła</t>
  </si>
  <si>
    <t>PL-2012-091300</t>
  </si>
  <si>
    <t>PL-2013-087387</t>
  </si>
  <si>
    <t>K02599</t>
  </si>
  <si>
    <t>Tomasz Czechowicz</t>
  </si>
  <si>
    <t>K02598</t>
  </si>
  <si>
    <t>Krzysztof Makowski</t>
  </si>
  <si>
    <t>Gryfów Śląski</t>
  </si>
  <si>
    <t>59-620</t>
  </si>
  <si>
    <t>K02606</t>
  </si>
  <si>
    <t>Katarzyna Bińczyk</t>
  </si>
  <si>
    <t>PL-2011-087790</t>
  </si>
  <si>
    <t>PL-2014-087340</t>
  </si>
  <si>
    <t>K01914</t>
  </si>
  <si>
    <t>Monika Maziarz</t>
  </si>
  <si>
    <t>PL-2014-091467</t>
  </si>
  <si>
    <t>PL-2014-090008</t>
  </si>
  <si>
    <t>PL-2014-088307</t>
  </si>
  <si>
    <t>PL-2014-086618</t>
  </si>
  <si>
    <t>PL-2014-089416</t>
  </si>
  <si>
    <t>K03009</t>
  </si>
  <si>
    <t>Arkadiusz Janowski</t>
  </si>
  <si>
    <t>PL-2014-087284</t>
  </si>
  <si>
    <t>PL-2013-089843</t>
  </si>
  <si>
    <t>PL-2014-088724</t>
  </si>
  <si>
    <t>PL-2013-086155</t>
  </si>
  <si>
    <t>PL-2011-087147</t>
  </si>
  <si>
    <t>PL-2014-089082</t>
  </si>
  <si>
    <t>PL-2011-088781</t>
  </si>
  <si>
    <t>PL-2011-088534</t>
  </si>
  <si>
    <t>K00136</t>
  </si>
  <si>
    <t>Elżbieta Sławińska</t>
  </si>
  <si>
    <t>PL-2014-088539</t>
  </si>
  <si>
    <t>PL-2014-091308</t>
  </si>
  <si>
    <t>PL-2013-090180</t>
  </si>
  <si>
    <t>K01759</t>
  </si>
  <si>
    <t>Arletta Przygoda</t>
  </si>
  <si>
    <t>K01757</t>
  </si>
  <si>
    <t>Bożena Konczak</t>
  </si>
  <si>
    <t>PL-2014-087361</t>
  </si>
  <si>
    <t>PL-2013-088142</t>
  </si>
  <si>
    <t>PL-2014-087789</t>
  </si>
  <si>
    <t>K01541</t>
  </si>
  <si>
    <t>Elżbieta Wójtowicz</t>
  </si>
  <si>
    <t>Trzemeszno</t>
  </si>
  <si>
    <t>62-240</t>
  </si>
  <si>
    <t>PL-2014-086866</t>
  </si>
  <si>
    <t>K03114</t>
  </si>
  <si>
    <t>Grażyna Niedźwiecka</t>
  </si>
  <si>
    <t>41-406</t>
  </si>
  <si>
    <t>PL-2013-089906</t>
  </si>
  <si>
    <t>PL-2014-088012</t>
  </si>
  <si>
    <t>K01491</t>
  </si>
  <si>
    <t>Sylwia Klimko</t>
  </si>
  <si>
    <t>PL-2012-089649</t>
  </si>
  <si>
    <t>K00355</t>
  </si>
  <si>
    <t>Paweł Gradus</t>
  </si>
  <si>
    <t>PL-2014-091565</t>
  </si>
  <si>
    <t>PL-2014-018596</t>
  </si>
  <si>
    <t>PL-2014-089138</t>
  </si>
  <si>
    <t>PL-2014-089578</t>
  </si>
  <si>
    <t>K02269</t>
  </si>
  <si>
    <t>Kazimierz Białek</t>
  </si>
  <si>
    <t>PL-2013-089813</t>
  </si>
  <si>
    <t>K03129</t>
  </si>
  <si>
    <t>Ewelina Nowak</t>
  </si>
  <si>
    <t>PL-2011-087947</t>
  </si>
  <si>
    <t>K00070</t>
  </si>
  <si>
    <t>Barbara Grygorcewicz</t>
  </si>
  <si>
    <t>PL-2013-087881</t>
  </si>
  <si>
    <t>PL-2014-087841</t>
  </si>
  <si>
    <t>PL-2013-087516</t>
  </si>
  <si>
    <t>PL-2011-089407</t>
  </si>
  <si>
    <t>PL-2014-087207</t>
  </si>
  <si>
    <t>PL-2014-090452</t>
  </si>
  <si>
    <t>PL-2014-091420</t>
  </si>
  <si>
    <t>PL-2011-091581</t>
  </si>
  <si>
    <t>PL-2014-088293</t>
  </si>
  <si>
    <t>PL-2014-090638</t>
  </si>
  <si>
    <t>PL-2013-086774</t>
  </si>
  <si>
    <t>PL-2013-089615</t>
  </si>
  <si>
    <t>K02335</t>
  </si>
  <si>
    <t>Anna Ciarka</t>
  </si>
  <si>
    <t>PL-2014-090171</t>
  </si>
  <si>
    <t>PL-2013-089771</t>
  </si>
  <si>
    <t>K00835</t>
  </si>
  <si>
    <t>Malwina Kujawa</t>
  </si>
  <si>
    <t>Sędziszów Małopolski</t>
  </si>
  <si>
    <t>39-120</t>
  </si>
  <si>
    <t>PL-2014-086677</t>
  </si>
  <si>
    <t>PL-2013-088808</t>
  </si>
  <si>
    <t>PL-2011-090908</t>
  </si>
  <si>
    <t>K00549</t>
  </si>
  <si>
    <t>Stanisław Mamiński</t>
  </si>
  <si>
    <t>PL-2011-088714</t>
  </si>
  <si>
    <t>K02464</t>
  </si>
  <si>
    <t>Zofia Majewska</t>
  </si>
  <si>
    <t>PL-2013-091527</t>
  </si>
  <si>
    <t>PL-2012-018598</t>
  </si>
  <si>
    <t>PL-2014-090384</t>
  </si>
  <si>
    <t>K01229</t>
  </si>
  <si>
    <t>Jerzy Szczęsny</t>
  </si>
  <si>
    <t>PL-2011-090378</t>
  </si>
  <si>
    <t>PL-2011-088085</t>
  </si>
  <si>
    <t>K00444</t>
  </si>
  <si>
    <t>Wiesław Graczykowski</t>
  </si>
  <si>
    <t>PL-2014-088091</t>
  </si>
  <si>
    <t>PL-2012-090882</t>
  </si>
  <si>
    <t>PL-2011-090218</t>
  </si>
  <si>
    <t>PL-2014-090229</t>
  </si>
  <si>
    <t>PL-2011-087298</t>
  </si>
  <si>
    <t>PL-2014-086047</t>
  </si>
  <si>
    <t>K01846</t>
  </si>
  <si>
    <t>Józef Hryckowian</t>
  </si>
  <si>
    <t>K01845</t>
  </si>
  <si>
    <t>Kazimierz Kuligowski</t>
  </si>
  <si>
    <t>Sułów</t>
  </si>
  <si>
    <t>22-448</t>
  </si>
  <si>
    <t>PL-2014-087028</t>
  </si>
  <si>
    <t>PL-2014-088797</t>
  </si>
  <si>
    <t>K02169</t>
  </si>
  <si>
    <t>Tomasz Demczur</t>
  </si>
  <si>
    <t>K02168</t>
  </si>
  <si>
    <t>Zbigniew Czapla</t>
  </si>
  <si>
    <t>Szaflary</t>
  </si>
  <si>
    <t>34-424</t>
  </si>
  <si>
    <t>PL-2014-090941</t>
  </si>
  <si>
    <t>K01578</t>
  </si>
  <si>
    <t>Andrzej Swakowski</t>
  </si>
  <si>
    <t>Augustów</t>
  </si>
  <si>
    <t>16-300</t>
  </si>
  <si>
    <t>PL-2014-091152</t>
  </si>
  <si>
    <t>PL-2014-086619</t>
  </si>
  <si>
    <t>PL-2014-087313</t>
  </si>
  <si>
    <t>K00098</t>
  </si>
  <si>
    <t>Gabriela Bluma</t>
  </si>
  <si>
    <t>PL-2014-086364</t>
  </si>
  <si>
    <t>K00916</t>
  </si>
  <si>
    <t>Łukasz Stryjek</t>
  </si>
  <si>
    <t>PL-2011-086357</t>
  </si>
  <si>
    <t>PL-2012-087445</t>
  </si>
  <si>
    <t>PL-2013-087807</t>
  </si>
  <si>
    <t>PL-2013-086744</t>
  </si>
  <si>
    <t>PL-2013-090382</t>
  </si>
  <si>
    <t>PL-2011-088840</t>
  </si>
  <si>
    <t>PL-2014-087283</t>
  </si>
  <si>
    <t>PL-2012-089509</t>
  </si>
  <si>
    <t>K02348</t>
  </si>
  <si>
    <t>Kamila Zaremba</t>
  </si>
  <si>
    <t>PL-2014-090349</t>
  </si>
  <si>
    <t>PL-2012-090341</t>
  </si>
  <si>
    <t>PL-2012-090222</t>
  </si>
  <si>
    <t>PL-2012-086712</t>
  </si>
  <si>
    <t>K01448</t>
  </si>
  <si>
    <t>Rafał Ladziński</t>
  </si>
  <si>
    <t>PL-2013-090592</t>
  </si>
  <si>
    <t>PL-2012-086991</t>
  </si>
  <si>
    <t>K03181</t>
  </si>
  <si>
    <t>Andrzej Mucek</t>
  </si>
  <si>
    <t>PL-2014-086783</t>
  </si>
  <si>
    <t>PL-2013-089862</t>
  </si>
  <si>
    <t>PL-2011-090258</t>
  </si>
  <si>
    <t>K00757</t>
  </si>
  <si>
    <t>Dorota Rogala</t>
  </si>
  <si>
    <t>PL-2012-086889</t>
  </si>
  <si>
    <t>K02493</t>
  </si>
  <si>
    <t>Ewa Skrzypek</t>
  </si>
  <si>
    <t>Besko</t>
  </si>
  <si>
    <t>38-524</t>
  </si>
  <si>
    <t>PL-2014-086896</t>
  </si>
  <si>
    <t>K02492</t>
  </si>
  <si>
    <t>Andrzej Pilarski</t>
  </si>
  <si>
    <t>Żabno</t>
  </si>
  <si>
    <t>33-240</t>
  </si>
  <si>
    <t>PL-2011-088713</t>
  </si>
  <si>
    <t>PL-2014-090972</t>
  </si>
  <si>
    <t>PL-2013-088236</t>
  </si>
  <si>
    <t>PL-2014-091549</t>
  </si>
  <si>
    <t>K01805</t>
  </si>
  <si>
    <t>Renata Kochanowska</t>
  </si>
  <si>
    <t>PL-2014-090929</t>
  </si>
  <si>
    <t>PL-2012-089178</t>
  </si>
  <si>
    <t>K02198</t>
  </si>
  <si>
    <t>Dariusz Bednarczyk</t>
  </si>
  <si>
    <t>PL-2014-091591</t>
  </si>
  <si>
    <t>K03015</t>
  </si>
  <si>
    <t>Mirosław Głowacki</t>
  </si>
  <si>
    <t>PL-2012-090965</t>
  </si>
  <si>
    <t>PL-2012-087044</t>
  </si>
  <si>
    <t>PL-2013-086088</t>
  </si>
  <si>
    <t>K02970</t>
  </si>
  <si>
    <t>Mirosław Byzdra</t>
  </si>
  <si>
    <t>42-280</t>
  </si>
  <si>
    <t>PL-2012-091299</t>
  </si>
  <si>
    <t>K03352</t>
  </si>
  <si>
    <t>Stanisław Cybula</t>
  </si>
  <si>
    <t>PL-2014-089283</t>
  </si>
  <si>
    <t>K00208</t>
  </si>
  <si>
    <t>Jolanta Mazurek</t>
  </si>
  <si>
    <t>PL-2014-089884</t>
  </si>
  <si>
    <t>PL-2013-090708</t>
  </si>
  <si>
    <t>PL-2014-087203</t>
  </si>
  <si>
    <t>PL-2013-088885</t>
  </si>
  <si>
    <t>PL-2013-089625</t>
  </si>
  <si>
    <t>PL-2011-087952</t>
  </si>
  <si>
    <t>PL-2014-088466</t>
  </si>
  <si>
    <t>PL-2011-089432</t>
  </si>
  <si>
    <t>PL-2013-090700</t>
  </si>
  <si>
    <t>K00431</t>
  </si>
  <si>
    <t>Damian Padziński</t>
  </si>
  <si>
    <t>PL-2014-086349</t>
  </si>
  <si>
    <t>PL-2014-091590</t>
  </si>
  <si>
    <t>PL-2013-087624</t>
  </si>
  <si>
    <t>K02933</t>
  </si>
  <si>
    <t>Gabriela Kotowicz</t>
  </si>
  <si>
    <t>K02937</t>
  </si>
  <si>
    <t>Tadeusz Kufel</t>
  </si>
  <si>
    <t>Proszowice</t>
  </si>
  <si>
    <t>32-100</t>
  </si>
  <si>
    <t>PL-2014-086666</t>
  </si>
  <si>
    <t>PL-2011-086662</t>
  </si>
  <si>
    <t>PL-2014-089817</t>
  </si>
  <si>
    <t>PL-2013-090666</t>
  </si>
  <si>
    <t>K01300</t>
  </si>
  <si>
    <t>Andrzej Jóźwiak</t>
  </si>
  <si>
    <t>PL-2013-087687</t>
  </si>
  <si>
    <t>K02701</t>
  </si>
  <si>
    <t>Aneta Cieślicka</t>
  </si>
  <si>
    <t>PL-2013-090610</t>
  </si>
  <si>
    <t>K01843</t>
  </si>
  <si>
    <t>Kazimiera Janowicz</t>
  </si>
  <si>
    <t>PL-2011-087530</t>
  </si>
  <si>
    <t>PL-2011-091116</t>
  </si>
  <si>
    <t>K01469</t>
  </si>
  <si>
    <t>Elżbieta Wasikowska</t>
  </si>
  <si>
    <t>PL-2011-087117</t>
  </si>
  <si>
    <t>PL-2014-085998</t>
  </si>
  <si>
    <t>PL-2011-089775</t>
  </si>
  <si>
    <t>PL-2013-086623</t>
  </si>
  <si>
    <t>PL-2014-086924</t>
  </si>
  <si>
    <t>K01181</t>
  </si>
  <si>
    <t>Marek Kibała</t>
  </si>
  <si>
    <t>PL-2014-086406</t>
  </si>
  <si>
    <t>PL-2012-090978</t>
  </si>
  <si>
    <t>PL-2013-086238</t>
  </si>
  <si>
    <t>PL-2014-090944</t>
  </si>
  <si>
    <t>K00765</t>
  </si>
  <si>
    <t>Wojciech Krajnik</t>
  </si>
  <si>
    <t>PL-2014-090499</t>
  </si>
  <si>
    <t>PL-2011-088278</t>
  </si>
  <si>
    <t>K02862</t>
  </si>
  <si>
    <t>Milena Dalinkiewicz</t>
  </si>
  <si>
    <t>PL-2011-091454</t>
  </si>
  <si>
    <t>PL-2014-087220</t>
  </si>
  <si>
    <t>K00252</t>
  </si>
  <si>
    <t>Artur Wiśniewski</t>
  </si>
  <si>
    <t>PL-2014-090616</t>
  </si>
  <si>
    <t>K01684</t>
  </si>
  <si>
    <t>Janusz Kwiatkowski</t>
  </si>
  <si>
    <t>PL-2012-090614</t>
  </si>
  <si>
    <t>PL-2013-090991</t>
  </si>
  <si>
    <t>PL-2014-087829</t>
  </si>
  <si>
    <t>K01610</t>
  </si>
  <si>
    <t>Władysław Wolski</t>
  </si>
  <si>
    <t>PL-2014-088868</t>
  </si>
  <si>
    <t>K01964</t>
  </si>
  <si>
    <t>Katarzyna Mowczan</t>
  </si>
  <si>
    <t>PL-2013-089143</t>
  </si>
  <si>
    <t>PL-2013-088738</t>
  </si>
  <si>
    <t>K01396</t>
  </si>
  <si>
    <t>Katarzyna Grodkowska</t>
  </si>
  <si>
    <t>Klukowo</t>
  </si>
  <si>
    <t>K01399</t>
  </si>
  <si>
    <t>Krzysztof Skornia</t>
  </si>
  <si>
    <t>PL-2012-090440</t>
  </si>
  <si>
    <t>PL-2014-086809</t>
  </si>
  <si>
    <t>PL-2011-086310</t>
  </si>
  <si>
    <t>PL-2013-088977</t>
  </si>
  <si>
    <t>PL-2014-090054</t>
  </si>
  <si>
    <t>PL-2011-088610</t>
  </si>
  <si>
    <t>PL-2013-090169</t>
  </si>
  <si>
    <t>PL-2012-089797</t>
  </si>
  <si>
    <t>K02830</t>
  </si>
  <si>
    <t>Konrad Górzewski</t>
  </si>
  <si>
    <t>PL-2012-088245</t>
  </si>
  <si>
    <t>PL-2013-085932</t>
  </si>
  <si>
    <t>PL-2013-090701</t>
  </si>
  <si>
    <t>PL-2012-089305</t>
  </si>
  <si>
    <t>PL-2013-091283</t>
  </si>
  <si>
    <t>K00476</t>
  </si>
  <si>
    <t>Elżbieta Kusiak</t>
  </si>
  <si>
    <t>Nurzec-Stacja</t>
  </si>
  <si>
    <t>Advantus SlideClip™ Paper Clips</t>
  </si>
  <si>
    <t>PL-2011-091495</t>
  </si>
  <si>
    <t>K02616</t>
  </si>
  <si>
    <t>Anna Babiarczyk</t>
  </si>
  <si>
    <t>Mieroszów</t>
  </si>
  <si>
    <t>58-350</t>
  </si>
  <si>
    <t>PL-2013-090261</t>
  </si>
  <si>
    <t>PL-2014-089738</t>
  </si>
  <si>
    <t>K01263</t>
  </si>
  <si>
    <t>Marcin Kuchta</t>
  </si>
  <si>
    <t>86-302</t>
  </si>
  <si>
    <t>PL-2012-091356</t>
  </si>
  <si>
    <t>K01062</t>
  </si>
  <si>
    <t>Sławomir Makrzanowski</t>
  </si>
  <si>
    <t>Paradyż</t>
  </si>
  <si>
    <t>26-333</t>
  </si>
  <si>
    <t>PL-2014-086731</t>
  </si>
  <si>
    <t>PL-2014-086335</t>
  </si>
  <si>
    <t>PL-2012-086004</t>
  </si>
  <si>
    <t>PL-2011-091398</t>
  </si>
  <si>
    <t>PL-2014-088957</t>
  </si>
  <si>
    <t>PL-2013-087649</t>
  </si>
  <si>
    <t>K03364</t>
  </si>
  <si>
    <t>Jerzy Żółtowski</t>
  </si>
  <si>
    <t>PL-2014-091284</t>
  </si>
  <si>
    <t>PL-2014-087787</t>
  </si>
  <si>
    <t>PL-2013-087155</t>
  </si>
  <si>
    <t>PL-2011-091355</t>
  </si>
  <si>
    <t>PL-2014-091361</t>
  </si>
  <si>
    <t>PL-2013-089976</t>
  </si>
  <si>
    <t>PL-2013-090507</t>
  </si>
  <si>
    <t>K03369</t>
  </si>
  <si>
    <t>Bartosz Kowalczyk</t>
  </si>
  <si>
    <t>Alliance Rubber Bands</t>
  </si>
  <si>
    <t>PL-2012-089086</t>
  </si>
  <si>
    <t>PL-2014-090657</t>
  </si>
  <si>
    <t>PL-2013-088019</t>
  </si>
  <si>
    <t>PL-2013-090445</t>
  </si>
  <si>
    <t>PL-2012-088115</t>
  </si>
  <si>
    <t>PL-2014-088123</t>
  </si>
  <si>
    <t>PL-2012-089395</t>
  </si>
  <si>
    <t>PL-2014-089922</t>
  </si>
  <si>
    <t>PL-2011-086610</t>
  </si>
  <si>
    <t>PL-2014-086226</t>
  </si>
  <si>
    <t>PL-2011-086222</t>
  </si>
  <si>
    <t>PL-2014-089605</t>
  </si>
  <si>
    <t>K02261</t>
  </si>
  <si>
    <t>Leszek Majchrzak</t>
  </si>
  <si>
    <t>PL-2012-090304</t>
  </si>
  <si>
    <t>K01512</t>
  </si>
  <si>
    <t>Mirosław Araszczuk</t>
  </si>
  <si>
    <t>PL-2013-090317</t>
  </si>
  <si>
    <t>PL-2012-087137</t>
  </si>
  <si>
    <t>PL-2014-087143</t>
  </si>
  <si>
    <t>K00924</t>
  </si>
  <si>
    <t>Sylwia Prendecka</t>
  </si>
  <si>
    <t>PL-2012-085829</t>
  </si>
  <si>
    <t>K02871</t>
  </si>
  <si>
    <t>Franciszek Kanasiuk</t>
  </si>
  <si>
    <t>Sanford Uni-Blazer™ View Highlighters, Chisel Tip, Yellow</t>
  </si>
  <si>
    <t>PL-2013-088078</t>
  </si>
  <si>
    <t>K00057</t>
  </si>
  <si>
    <t>Paweł Marchewka</t>
  </si>
  <si>
    <t>PL-2014-089370</t>
  </si>
  <si>
    <t>PL-2013-018789</t>
  </si>
  <si>
    <t>K00806</t>
  </si>
  <si>
    <t>Leszek Janiak</t>
  </si>
  <si>
    <t>PL-2012-086568</t>
  </si>
  <si>
    <t>K00948</t>
  </si>
  <si>
    <t>Marek Borowski</t>
  </si>
  <si>
    <t>Kowalewo Pomorskie</t>
  </si>
  <si>
    <t>87-410</t>
  </si>
  <si>
    <t>PL-2011-089536</t>
  </si>
  <si>
    <t>PL-2014-089549</t>
  </si>
  <si>
    <t>PL-2014-089627</t>
  </si>
  <si>
    <t>PL-2014-090652</t>
  </si>
  <si>
    <t>K00175</t>
  </si>
  <si>
    <t>Ewa Szczuchniak</t>
  </si>
  <si>
    <t>PL-2012-090649</t>
  </si>
  <si>
    <t>PL-2013-088964</t>
  </si>
  <si>
    <t>PL-2014-018790</t>
  </si>
  <si>
    <t>PL-2012-089660</t>
  </si>
  <si>
    <t>PL-2014-087597</t>
  </si>
  <si>
    <t>PL-2012-087588</t>
  </si>
  <si>
    <t>PL-2012-086798</t>
  </si>
  <si>
    <t>PL-2013-089899</t>
  </si>
  <si>
    <t>PL-2013-086658</t>
  </si>
  <si>
    <t>PL-2014-086485</t>
  </si>
  <si>
    <t>K03032</t>
  </si>
  <si>
    <t>Bogdan Motłoch</t>
  </si>
  <si>
    <t>PL-2013-090957</t>
  </si>
  <si>
    <t>PL-2011-090927</t>
  </si>
  <si>
    <t>PL-2014-090931</t>
  </si>
  <si>
    <t>PL-2011-090514</t>
  </si>
  <si>
    <t>K01369</t>
  </si>
  <si>
    <t>Iwona Strzelczyk</t>
  </si>
  <si>
    <t>PL-2014-088793</t>
  </si>
  <si>
    <t>PL-2011-088784</t>
  </si>
  <si>
    <t>PL-2011-088881</t>
  </si>
  <si>
    <t>PL-2011-086368</t>
  </si>
  <si>
    <t>K03143</t>
  </si>
  <si>
    <t>Anna Wach</t>
  </si>
  <si>
    <t>PL-2012-091050</t>
  </si>
  <si>
    <t>PL-2013-089831</t>
  </si>
  <si>
    <t>PL-2013-087540</t>
  </si>
  <si>
    <t>PL-2012-086236</t>
  </si>
  <si>
    <t>PL-2014-086246</t>
  </si>
  <si>
    <t>PL-2011-088721</t>
  </si>
  <si>
    <t>PL-2012-086771</t>
  </si>
  <si>
    <t>K01120</t>
  </si>
  <si>
    <t>Romuald Stadnicki</t>
  </si>
  <si>
    <t>PL-2014-091462</t>
  </si>
  <si>
    <t>PL-2013-091094</t>
  </si>
  <si>
    <t>PL-2011-087511</t>
  </si>
  <si>
    <t>PL-2011-086489</t>
  </si>
  <si>
    <t>K03170</t>
  </si>
  <si>
    <t>Zbigniew Dwornik</t>
  </si>
  <si>
    <t>PL-2014-088354</t>
  </si>
  <si>
    <t>PL-2011-086514</t>
  </si>
  <si>
    <t>PL-2014-086518</t>
  </si>
  <si>
    <t>K02473</t>
  </si>
  <si>
    <t>Stanisław Agatowski</t>
  </si>
  <si>
    <t>PL-2013-088044</t>
  </si>
  <si>
    <t>PL-2011-090833</t>
  </si>
  <si>
    <t>PL-2014-088310</t>
  </si>
  <si>
    <t>PL-2012-088176</t>
  </si>
  <si>
    <t>PL-2011-087195</t>
  </si>
  <si>
    <t>K01728</t>
  </si>
  <si>
    <t>Irena Oleksy</t>
  </si>
  <si>
    <t>PL-2012-086727</t>
  </si>
  <si>
    <t>K01673</t>
  </si>
  <si>
    <t>Marek Gil</t>
  </si>
  <si>
    <t>PL-2014-091385</t>
  </si>
  <si>
    <t>K00878</t>
  </si>
  <si>
    <t>Adam Taczkowski</t>
  </si>
  <si>
    <t>PL-2013-085887</t>
  </si>
  <si>
    <t>PL-2014-089646</t>
  </si>
  <si>
    <t>PL-2014-087551</t>
  </si>
  <si>
    <t>K03399</t>
  </si>
  <si>
    <t>Witold Kuwałek</t>
  </si>
  <si>
    <t>PL-2014-091412</t>
  </si>
  <si>
    <t>K02706</t>
  </si>
  <si>
    <t>Rubina Kosmala</t>
  </si>
  <si>
    <t>PL-2014-089548</t>
  </si>
  <si>
    <t>PL-2013-089791</t>
  </si>
  <si>
    <t>PL-2014-087989</t>
  </si>
  <si>
    <t>K00708</t>
  </si>
  <si>
    <t>Agnieszka Ostaszewska</t>
  </si>
  <si>
    <t>K00704</t>
  </si>
  <si>
    <t>Witold Rup</t>
  </si>
  <si>
    <t>Lubawka</t>
  </si>
  <si>
    <t>58-420</t>
  </si>
  <si>
    <t>K00706</t>
  </si>
  <si>
    <t>Krystyna Marchwiak</t>
  </si>
  <si>
    <t>PL-2012-088786</t>
  </si>
  <si>
    <t>PL-2011-089174</t>
  </si>
  <si>
    <t>PL-2012-089893</t>
  </si>
  <si>
    <t>PL-2014-088566</t>
  </si>
  <si>
    <t>PL-2014-088306</t>
  </si>
  <si>
    <t>K02581</t>
  </si>
  <si>
    <t>Błażej Szafrański</t>
  </si>
  <si>
    <t>PL-2014-088818</t>
  </si>
  <si>
    <t>PL-2013-091499</t>
  </si>
  <si>
    <t>PL-2011-088570</t>
  </si>
  <si>
    <t>PL-2014-088577</t>
  </si>
  <si>
    <t>PL-2013-091585</t>
  </si>
  <si>
    <t>PL-2014-088263</t>
  </si>
  <si>
    <t>K01790</t>
  </si>
  <si>
    <t>Zbigniew Malinowski</t>
  </si>
  <si>
    <t>PL-2014-085842</t>
  </si>
  <si>
    <t>PL-2011-088105</t>
  </si>
  <si>
    <t>PL-2014-087928</t>
  </si>
  <si>
    <t>PL-2013-086970</t>
  </si>
  <si>
    <t>PL-2011-089961</t>
  </si>
  <si>
    <t>PL-2011-090500</t>
  </si>
  <si>
    <t>PL-2014-090509</t>
  </si>
  <si>
    <t>PL-2012-090482</t>
  </si>
  <si>
    <t>K00242</t>
  </si>
  <si>
    <t>Magdalena Nowicka</t>
  </si>
  <si>
    <t>Dęblin</t>
  </si>
  <si>
    <t>08-530</t>
  </si>
  <si>
    <t>PL-2014-090487</t>
  </si>
  <si>
    <t>PL-2012-090988</t>
  </si>
  <si>
    <t>PL-2011-089705</t>
  </si>
  <si>
    <t>K01639</t>
  </si>
  <si>
    <t>Jolanta Szczepaniak</t>
  </si>
  <si>
    <t>PL-2012-091515</t>
  </si>
  <si>
    <t>PL-2014-089711</t>
  </si>
  <si>
    <t>K01641</t>
  </si>
  <si>
    <t>Elżbieta Potapińska</t>
  </si>
  <si>
    <t>PL-2012-085860</t>
  </si>
  <si>
    <t>PL-2013-086830</t>
  </si>
  <si>
    <t>PL-2014-088386</t>
  </si>
  <si>
    <t>PL-2013-090021</t>
  </si>
  <si>
    <t>PL-2014-091566</t>
  </si>
  <si>
    <t>K03215</t>
  </si>
  <si>
    <t>Krzysztof Saniuk</t>
  </si>
  <si>
    <t>PL-2014-088643</t>
  </si>
  <si>
    <t>K01022</t>
  </si>
  <si>
    <t>Ewelina Tytoń</t>
  </si>
  <si>
    <t>PL-2014-085922</t>
  </si>
  <si>
    <t>PL-2012-088253</t>
  </si>
  <si>
    <t>PL-2013-089087</t>
  </si>
  <si>
    <t>PL-2013-087858</t>
  </si>
  <si>
    <t>K01794</t>
  </si>
  <si>
    <t>Renata Tomczak</t>
  </si>
  <si>
    <t>PL-2014-089024</t>
  </si>
  <si>
    <t>PL-2013-085862</t>
  </si>
  <si>
    <t>PL-2014-090829</t>
  </si>
  <si>
    <t>PL-2014-091419</t>
  </si>
  <si>
    <t>PL-2013-088603</t>
  </si>
  <si>
    <t>PL-2014-085825</t>
  </si>
  <si>
    <t>K02411</t>
  </si>
  <si>
    <t>Renata Bukowska</t>
  </si>
  <si>
    <t>PL-2014-089554</t>
  </si>
  <si>
    <t>K00884</t>
  </si>
  <si>
    <t>Andrzej Subocz</t>
  </si>
  <si>
    <t>PL-2011-087485</t>
  </si>
  <si>
    <t>PL-2012-087289</t>
  </si>
  <si>
    <t>PL-2011-091481</t>
  </si>
  <si>
    <t>PL-2014-091487</t>
  </si>
  <si>
    <t>PL-2013-087019</t>
  </si>
  <si>
    <t>PL-2014-088849</t>
  </si>
  <si>
    <t>K03382</t>
  </si>
  <si>
    <t>Jadwiga Micewska</t>
  </si>
  <si>
    <t>PL-2011-090751</t>
  </si>
  <si>
    <t>PL-2014-091173</t>
  </si>
  <si>
    <t>PL-2012-088301</t>
  </si>
  <si>
    <t>PL-2013-087817</t>
  </si>
  <si>
    <t>PL-2012-087151</t>
  </si>
  <si>
    <t>PL-2011-085947</t>
  </si>
  <si>
    <t>K02283</t>
  </si>
  <si>
    <t>Franciszek Adamiuk</t>
  </si>
  <si>
    <t>PL-2014-088356</t>
  </si>
  <si>
    <t>PL-2014-085944</t>
  </si>
  <si>
    <t>PL-2012-088842</t>
  </si>
  <si>
    <t>PL-2014-091535</t>
  </si>
  <si>
    <t>K02186</t>
  </si>
  <si>
    <t>Zdzisław Czarnecki</t>
  </si>
  <si>
    <t>PL-2011-090725</t>
  </si>
  <si>
    <t>K02765</t>
  </si>
  <si>
    <t>Krystyna Strzyżewska</t>
  </si>
  <si>
    <t>PL-2011-088974</t>
  </si>
  <si>
    <t>PL-2014-088983</t>
  </si>
  <si>
    <t>PL-2013-086799</t>
  </si>
  <si>
    <t>PL-2014-018917</t>
  </si>
  <si>
    <t>PL-2013-091508</t>
  </si>
  <si>
    <t>K02755</t>
  </si>
  <si>
    <t>Wioleta Lebiecka</t>
  </si>
  <si>
    <t>PL-2014-090158</t>
  </si>
  <si>
    <t>K03391</t>
  </si>
  <si>
    <t>Agata Krymowska</t>
  </si>
  <si>
    <t>Borne Sulinowo</t>
  </si>
  <si>
    <t>78-449</t>
  </si>
  <si>
    <t>PL-2014-090139</t>
  </si>
  <si>
    <t>PL-2014-090672</t>
  </si>
  <si>
    <t>PL-2012-089830</t>
  </si>
  <si>
    <t>K00311</t>
  </si>
  <si>
    <t>Marta Boryszewska</t>
  </si>
  <si>
    <t>PL-2013-090064</t>
  </si>
  <si>
    <t>K00512</t>
  </si>
  <si>
    <t>Janina Fischer</t>
  </si>
  <si>
    <t>Witnica</t>
  </si>
  <si>
    <t>66-460</t>
  </si>
  <si>
    <t>K00516</t>
  </si>
  <si>
    <t>Małgorzata Januchowska</t>
  </si>
  <si>
    <t>PL-2013-089655</t>
  </si>
  <si>
    <t>PL-2013-089404</t>
  </si>
  <si>
    <t>PL-2011-086422</t>
  </si>
  <si>
    <t>PL-2014-086303</t>
  </si>
  <si>
    <t>K00264</t>
  </si>
  <si>
    <t>Mirosław Lubiniecki</t>
  </si>
  <si>
    <t>41-200</t>
  </si>
  <si>
    <t>PL-2013-090839</t>
  </si>
  <si>
    <t>K00292</t>
  </si>
  <si>
    <t>Ryszard Krupa</t>
  </si>
  <si>
    <t>PL-2013-091357</t>
  </si>
  <si>
    <t>PL-2013-088477</t>
  </si>
  <si>
    <t>PL-2012-086398</t>
  </si>
  <si>
    <t>K01464</t>
  </si>
  <si>
    <t>Robert Korobejko</t>
  </si>
  <si>
    <t>PL-2012-090936</t>
  </si>
  <si>
    <t>K01585</t>
  </si>
  <si>
    <t>Halina Stańczak</t>
  </si>
  <si>
    <t>Osiek Jasielski</t>
  </si>
  <si>
    <t>38-223</t>
  </si>
  <si>
    <t>PL-2014-089653</t>
  </si>
  <si>
    <t>PL-2013-088262</t>
  </si>
  <si>
    <t>PL-2014-018945</t>
  </si>
  <si>
    <t>PL-2013-089215</t>
  </si>
  <si>
    <t>K02744</t>
  </si>
  <si>
    <t>Robert ŚŚmigielski</t>
  </si>
  <si>
    <t>PL-2012-088140</t>
  </si>
  <si>
    <t>PL-2013-086583</t>
  </si>
  <si>
    <t>PL-2012-090215</t>
  </si>
  <si>
    <t>K01056</t>
  </si>
  <si>
    <t>Teresa Nowakowska</t>
  </si>
  <si>
    <t>K01057</t>
  </si>
  <si>
    <t>Katarzyna Jankowska</t>
  </si>
  <si>
    <t>PL-2013-089197</t>
  </si>
  <si>
    <t>PL-2011-091354</t>
  </si>
  <si>
    <t>PL-2012-091489</t>
  </si>
  <si>
    <t>K01102</t>
  </si>
  <si>
    <t>Łukasz Michalski</t>
  </si>
  <si>
    <t>PL-2012-088872</t>
  </si>
  <si>
    <t>PL-2014-088264</t>
  </si>
  <si>
    <t>PL-2014-087305</t>
  </si>
  <si>
    <t>K03250</t>
  </si>
  <si>
    <t>Krystyna Kłosowska</t>
  </si>
  <si>
    <t>PL-2011-087534</t>
  </si>
  <si>
    <t>PL-2013-091552</t>
  </si>
  <si>
    <t>K01972</t>
  </si>
  <si>
    <t>Lilla Lewandowska</t>
  </si>
  <si>
    <t>Czyże</t>
  </si>
  <si>
    <t>PL-2014-018950</t>
  </si>
  <si>
    <t>PL-2011-088511</t>
  </si>
  <si>
    <t>PL-2012-090323</t>
  </si>
  <si>
    <t>K02451</t>
  </si>
  <si>
    <t>Anna Wiśniewska</t>
  </si>
  <si>
    <t>PL-2014-088339</t>
  </si>
  <si>
    <t>PL-2012-091538</t>
  </si>
  <si>
    <t>K01704</t>
  </si>
  <si>
    <t>Mirosław Gostomczyk</t>
  </si>
  <si>
    <t>PL-2014-087482</t>
  </si>
  <si>
    <t>PL-2013-088398</t>
  </si>
  <si>
    <t>PL-2014-087674</t>
  </si>
  <si>
    <t>PL-2011-091550</t>
  </si>
  <si>
    <t>PL-2014-091554</t>
  </si>
  <si>
    <t>PL-2012-089850</t>
  </si>
  <si>
    <t>PL-2012-088177</t>
  </si>
  <si>
    <t>K00675</t>
  </si>
  <si>
    <t>Piotr Saryczew</t>
  </si>
  <si>
    <t>Radziejowice</t>
  </si>
  <si>
    <t>96-325</t>
  </si>
  <si>
    <t>PL-2014-087432</t>
  </si>
  <si>
    <t>PL-2011-087424</t>
  </si>
  <si>
    <t>K01559</t>
  </si>
  <si>
    <t>Dorota Latuszek</t>
  </si>
  <si>
    <t>PL-2012-090875</t>
  </si>
  <si>
    <t>PL-2014-087419</t>
  </si>
  <si>
    <t>PL-2014-089986</t>
  </si>
  <si>
    <t>K01255</t>
  </si>
  <si>
    <t>Krzysztof Mrula</t>
  </si>
  <si>
    <t>PL-2012-085859</t>
  </si>
  <si>
    <t>K00260</t>
  </si>
  <si>
    <t>Daniel Zmitkiewicz</t>
  </si>
  <si>
    <t>PL-2014-089891</t>
  </si>
  <si>
    <t>PL-2014-089606</t>
  </si>
  <si>
    <t>PL-2013-089348</t>
  </si>
  <si>
    <t>PL-2012-090310</t>
  </si>
  <si>
    <t>PL-2011-089585</t>
  </si>
  <si>
    <t>PL-2014-089588</t>
  </si>
  <si>
    <t>K00116</t>
  </si>
  <si>
    <t>Marcin Sychowski</t>
  </si>
  <si>
    <t>PL-2014-088446</t>
  </si>
  <si>
    <t>K01735</t>
  </si>
  <si>
    <t>Zbigniew Tomasz</t>
  </si>
  <si>
    <t>44-152</t>
  </si>
  <si>
    <t>PL-2013-086475</t>
  </si>
  <si>
    <t>PL-2014-086249</t>
  </si>
  <si>
    <t>K03277</t>
  </si>
  <si>
    <t>Marian Białczak</t>
  </si>
  <si>
    <t>PL-2014-089043</t>
  </si>
  <si>
    <t>PL-2013-089718</t>
  </si>
  <si>
    <t>PL-2012-087864</t>
  </si>
  <si>
    <t>PL-2013-087640</t>
  </si>
  <si>
    <t>K02887</t>
  </si>
  <si>
    <t>Lech Kopiecki</t>
  </si>
  <si>
    <t>PL-2014-089967</t>
  </si>
  <si>
    <t>K00161</t>
  </si>
  <si>
    <t>Magdalena Stępień</t>
  </si>
  <si>
    <t>PL-2013-089151</t>
  </si>
  <si>
    <t>K02683</t>
  </si>
  <si>
    <t>Piotr Różański</t>
  </si>
  <si>
    <t>PL-2013-091161</t>
  </si>
  <si>
    <t>PL-2013-088934</t>
  </si>
  <si>
    <t>PL-2011-090069</t>
  </si>
  <si>
    <t>PL-2013-019041</t>
  </si>
  <si>
    <t>Xerox 1883</t>
  </si>
  <si>
    <t>PL-2014-090076</t>
  </si>
  <si>
    <t>PL-2012-088491</t>
  </si>
  <si>
    <t>PL-2014-090773</t>
  </si>
  <si>
    <t>K00953</t>
  </si>
  <si>
    <t>Marta Korall</t>
  </si>
  <si>
    <t>PL-2014-086844</t>
  </si>
  <si>
    <t>K00016</t>
  </si>
  <si>
    <t>Joanna Szpanier</t>
  </si>
  <si>
    <t>05-827</t>
  </si>
  <si>
    <t>PL-2011-086836</t>
  </si>
  <si>
    <t>PL-2013-088112</t>
  </si>
  <si>
    <t>PL-2013-085884</t>
  </si>
  <si>
    <t>PL-2014-087012</t>
  </si>
  <si>
    <t>K01305</t>
  </si>
  <si>
    <t>Krystyna Wiśniewska</t>
  </si>
  <si>
    <t>PL-2011-087002</t>
  </si>
  <si>
    <t>PL-2013-089387</t>
  </si>
  <si>
    <t>K02680</t>
  </si>
  <si>
    <t>Małgorzata Pełechata</t>
  </si>
  <si>
    <t>PL-2012-089709</t>
  </si>
  <si>
    <t>K01638</t>
  </si>
  <si>
    <t>Ryszard Stoparek</t>
  </si>
  <si>
    <t>PL-2012-089788</t>
  </si>
  <si>
    <t>PL-2011-019042</t>
  </si>
  <si>
    <t>PL-2013-090087</t>
  </si>
  <si>
    <t>PL-2014-089374</t>
  </si>
  <si>
    <t>PL-2014-087000</t>
  </si>
  <si>
    <t>K00775</t>
  </si>
  <si>
    <t>Krzysztof Mikołajczyk</t>
  </si>
  <si>
    <t>PL-2013-088143</t>
  </si>
  <si>
    <t>K02470</t>
  </si>
  <si>
    <t>Tomasz Rymaszewski</t>
  </si>
  <si>
    <t>PL-2014-085935</t>
  </si>
  <si>
    <t>PL-2014-086803</t>
  </si>
  <si>
    <t>PL-2014-087903</t>
  </si>
  <si>
    <t>K02819</t>
  </si>
  <si>
    <t>Danuta Wilk</t>
  </si>
  <si>
    <t>PL-2012-088492</t>
  </si>
  <si>
    <t>PL-2014-088500</t>
  </si>
  <si>
    <t>PL-2014-088994</t>
  </si>
  <si>
    <t>PL-2011-088016</t>
  </si>
  <si>
    <t>K02621</t>
  </si>
  <si>
    <t>Piotr Elzner</t>
  </si>
  <si>
    <t>PL-2014-090213</t>
  </si>
  <si>
    <t>K00987</t>
  </si>
  <si>
    <t>Natalia Siatkowska</t>
  </si>
  <si>
    <t>Sulęcin</t>
  </si>
  <si>
    <t>69-200</t>
  </si>
  <si>
    <t>PL-2012-090202</t>
  </si>
  <si>
    <t>K00988</t>
  </si>
  <si>
    <t>Wojciech Kubacki</t>
  </si>
  <si>
    <t>Baborów</t>
  </si>
  <si>
    <t>48-120</t>
  </si>
  <si>
    <t>K00991</t>
  </si>
  <si>
    <t>Anna Kosno</t>
  </si>
  <si>
    <t>K00985</t>
  </si>
  <si>
    <t>Maria Malkiewicz</t>
  </si>
  <si>
    <t>PL-2013-088409</t>
  </si>
  <si>
    <t>PL-2011-088048</t>
  </si>
  <si>
    <t>K00218</t>
  </si>
  <si>
    <t>Paweł Baranowski</t>
  </si>
  <si>
    <t>PL-2014-090916</t>
  </si>
  <si>
    <t>PL-2014-090824</t>
  </si>
  <si>
    <t>PL-2014-088538</t>
  </si>
  <si>
    <t>PL-2014-090056</t>
  </si>
  <si>
    <t>K02919</t>
  </si>
  <si>
    <t>Stanisław Martyka</t>
  </si>
  <si>
    <t>PL-2014-085924</t>
  </si>
  <si>
    <t>K02632</t>
  </si>
  <si>
    <t>Anastazja Kędziora</t>
  </si>
  <si>
    <t>PL-2012-091183</t>
  </si>
  <si>
    <t>K02989</t>
  </si>
  <si>
    <t>Emilia Mazur</t>
  </si>
  <si>
    <t>PL-2014-091158</t>
  </si>
  <si>
    <t>K00560</t>
  </si>
  <si>
    <t>Bartosz Ozdoba</t>
  </si>
  <si>
    <t>PL-2011-090706</t>
  </si>
  <si>
    <t>PL-2014-088316</t>
  </si>
  <si>
    <t>PL-2012-087446</t>
  </si>
  <si>
    <t>PL-2014-090528</t>
  </si>
  <si>
    <t>PL-2011-088502</t>
  </si>
  <si>
    <t>PL-2014-091461</t>
  </si>
  <si>
    <t>K01422</t>
  </si>
  <si>
    <t>Elżbieta Jaźwińska</t>
  </si>
  <si>
    <t>PL-2014-089277</t>
  </si>
  <si>
    <t>PL-2012-090625</t>
  </si>
  <si>
    <t>K02694</t>
  </si>
  <si>
    <t>Krystyna Staniszewska</t>
  </si>
  <si>
    <t>PL-2012-089020</t>
  </si>
  <si>
    <t>PL-2013-090611</t>
  </si>
  <si>
    <t>PL-2011-091571</t>
  </si>
  <si>
    <t>PL-2014-091574</t>
  </si>
  <si>
    <t>PL-2014-089198</t>
  </si>
  <si>
    <t>PL-2012-089945</t>
  </si>
  <si>
    <t>PL-2014-087945</t>
  </si>
  <si>
    <t>PL-2014-090252</t>
  </si>
  <si>
    <t>PL-2014-090897</t>
  </si>
  <si>
    <t>PL-2011-090532</t>
  </si>
  <si>
    <t>PL-2014-090535</t>
  </si>
  <si>
    <t>Xerox 223</t>
  </si>
  <si>
    <t>PL-2012-086679</t>
  </si>
  <si>
    <t>K02236</t>
  </si>
  <si>
    <t>Sabina Bednarska</t>
  </si>
  <si>
    <t>K02235</t>
  </si>
  <si>
    <t>Katarzyna Formalewicz</t>
  </si>
  <si>
    <t>PL-2012-090355</t>
  </si>
  <si>
    <t>PL-2013-091141</t>
  </si>
  <si>
    <t>PL-2014-090902</t>
  </si>
  <si>
    <t>K01877</t>
  </si>
  <si>
    <t>Danuta Polechońska</t>
  </si>
  <si>
    <t>PL-2014-088743</t>
  </si>
  <si>
    <t>K01393</t>
  </si>
  <si>
    <t>Anna Stasiak</t>
  </si>
  <si>
    <t>PL-2014-090352</t>
  </si>
  <si>
    <t>PL-2014-086436</t>
  </si>
  <si>
    <t>PL-2012-086434</t>
  </si>
  <si>
    <t>PL-2014-090618</t>
  </si>
  <si>
    <t>PL-2013-091393</t>
  </si>
  <si>
    <t>PL-2012-086107</t>
  </si>
  <si>
    <t>PL-2014-089868</t>
  </si>
  <si>
    <t>K01786</t>
  </si>
  <si>
    <t>Bożena Możejko</t>
  </si>
  <si>
    <t>PL-2014-087371</t>
  </si>
  <si>
    <t>PL-2012-091080</t>
  </si>
  <si>
    <t>PL-2011-087962</t>
  </si>
  <si>
    <t>PL-2012-086294</t>
  </si>
  <si>
    <t>K02901</t>
  </si>
  <si>
    <t>Małgorzata Czerkawska</t>
  </si>
  <si>
    <t>PL-2014-086665</t>
  </si>
  <si>
    <t>PL-2012-086269</t>
  </si>
  <si>
    <t>PL-2014-089867</t>
  </si>
  <si>
    <t>K01785</t>
  </si>
  <si>
    <t>Marzena Kordek</t>
  </si>
  <si>
    <t>K01784</t>
  </si>
  <si>
    <t>Jan Mokrzycki</t>
  </si>
  <si>
    <t>Raków</t>
  </si>
  <si>
    <t>26-035</t>
  </si>
  <si>
    <t>PL-2012-087728</t>
  </si>
  <si>
    <t>PL-2013-088394</t>
  </si>
  <si>
    <t>PL-2013-088455</t>
  </si>
  <si>
    <t>K02401</t>
  </si>
  <si>
    <t>Bogdan Mordarski</t>
  </si>
  <si>
    <t>PL-2012-087984</t>
  </si>
  <si>
    <t>K00703</t>
  </si>
  <si>
    <t>Mariola Michorek</t>
  </si>
  <si>
    <t>PL-2011-087222</t>
  </si>
  <si>
    <t>K01128</t>
  </si>
  <si>
    <t>Alicja Wolińska</t>
  </si>
  <si>
    <t>PL-2014-091329</t>
  </si>
  <si>
    <t>K01534</t>
  </si>
  <si>
    <t>Krzysztof Jastrzębski</t>
  </si>
  <si>
    <t>96-515</t>
  </si>
  <si>
    <t>PL-2014-091542</t>
  </si>
  <si>
    <t>K01834</t>
  </si>
  <si>
    <t>Natalia Gałęza</t>
  </si>
  <si>
    <t>PL-2014-089063</t>
  </si>
  <si>
    <t>K00873</t>
  </si>
  <si>
    <t>Anna Miedzianko</t>
  </si>
  <si>
    <t>PL-2014-091239</t>
  </si>
  <si>
    <t>PL-2014-088183</t>
  </si>
  <si>
    <t>K00676</t>
  </si>
  <si>
    <t>Beata Zalewska</t>
  </si>
  <si>
    <t>Żabia Wola</t>
  </si>
  <si>
    <t>26-806</t>
  </si>
  <si>
    <t>PL-2013-089144</t>
  </si>
  <si>
    <t>PL-2011-088444</t>
  </si>
  <si>
    <t>PL-2012-089725</t>
  </si>
  <si>
    <t>PL-2014-088700</t>
  </si>
  <si>
    <t>PL-2014-086821</t>
  </si>
  <si>
    <t>PL-2014-086780</t>
  </si>
  <si>
    <t>PL-2013-086021</t>
  </si>
  <si>
    <t>PL-2013-089814</t>
  </si>
  <si>
    <t>PL-2014-001829</t>
  </si>
  <si>
    <t>K03251</t>
  </si>
  <si>
    <t>Rafał Wasyluk</t>
  </si>
  <si>
    <t>00-227</t>
  </si>
  <si>
    <t>PL-2012-019205</t>
  </si>
  <si>
    <t>K02548</t>
  </si>
  <si>
    <t>Aleksandra Ruzik</t>
  </si>
  <si>
    <t>31-144</t>
  </si>
  <si>
    <t>PL-2014-001856</t>
  </si>
  <si>
    <t>K00094</t>
  </si>
  <si>
    <t>Krzysztof Drobiński</t>
  </si>
  <si>
    <t>90-111</t>
  </si>
  <si>
    <t>PL-2014-019332</t>
  </si>
  <si>
    <t>PL-2013-019365</t>
  </si>
  <si>
    <t>PL-2014-019394</t>
  </si>
  <si>
    <t>PL-2014-019429</t>
  </si>
  <si>
    <t>PL-2012-000193</t>
  </si>
  <si>
    <t>K01821</t>
  </si>
  <si>
    <t>Renata Czarkowska</t>
  </si>
  <si>
    <t>00-659</t>
  </si>
  <si>
    <t>PL-2012-019556</t>
  </si>
  <si>
    <t>PL-2012-019812</t>
  </si>
  <si>
    <t>PL-2012-019841</t>
  </si>
  <si>
    <t>PL-2014-019841</t>
  </si>
  <si>
    <t>PL-2014-019936</t>
  </si>
  <si>
    <t>PL-2011-020007</t>
  </si>
  <si>
    <t>PL-2012-020036</t>
  </si>
  <si>
    <t>PL-2013-020068</t>
  </si>
  <si>
    <t>K00604</t>
  </si>
  <si>
    <t>Katarzyna Zychal</t>
  </si>
  <si>
    <t>PL-2014-020261</t>
  </si>
  <si>
    <t>PL-2011-020261</t>
  </si>
  <si>
    <t>PL-2014-020807</t>
  </si>
  <si>
    <t>PL-2013-020960</t>
  </si>
  <si>
    <t>PL-2013-021057</t>
  </si>
  <si>
    <t>K01822</t>
  </si>
  <si>
    <t>Marta Jaworska</t>
  </si>
  <si>
    <t>PL-2012-021249</t>
  </si>
  <si>
    <t>PL-2014-021249</t>
  </si>
  <si>
    <t>PL-2014-021539</t>
  </si>
  <si>
    <t>PL-2012-021539</t>
  </si>
  <si>
    <t>PL-2011-021572</t>
  </si>
  <si>
    <t>PL-2012-021574</t>
  </si>
  <si>
    <t>PL-2012-021600</t>
  </si>
  <si>
    <t>PL-2013-021601</t>
  </si>
  <si>
    <t>PL-2011-021636</t>
  </si>
  <si>
    <t>K01340</t>
  </si>
  <si>
    <t>Ryszard Kulig</t>
  </si>
  <si>
    <t>00-307</t>
  </si>
  <si>
    <t>PL-2013-021670</t>
  </si>
  <si>
    <t>PL-2013-021760</t>
  </si>
  <si>
    <t>PL-2011-021958</t>
  </si>
  <si>
    <t>PL-2013-022051</t>
  </si>
  <si>
    <t>PL-2014-022115</t>
  </si>
  <si>
    <t>PL-2011-022147</t>
  </si>
  <si>
    <t>K00667</t>
  </si>
  <si>
    <t>Alicja Wdowińska</t>
  </si>
  <si>
    <t>20-834</t>
  </si>
  <si>
    <t>PL-2012-022468</t>
  </si>
  <si>
    <t>PL-2012-022656</t>
  </si>
  <si>
    <t>PL-2014-002209</t>
  </si>
  <si>
    <t>PL-2013-022727</t>
  </si>
  <si>
    <t>K02107</t>
  </si>
  <si>
    <t>Damian Wawrzynkiewicz</t>
  </si>
  <si>
    <t>90-013</t>
  </si>
  <si>
    <t>PL-2014-022755</t>
  </si>
  <si>
    <t>PL-2011-022755</t>
  </si>
  <si>
    <t>PL-2013-022787</t>
  </si>
  <si>
    <t>K02747</t>
  </si>
  <si>
    <t>Ryszard Szufel</t>
  </si>
  <si>
    <t>00-565</t>
  </si>
  <si>
    <t>PL-2013-022848</t>
  </si>
  <si>
    <t>PL-2014-022885</t>
  </si>
  <si>
    <t>K02460</t>
  </si>
  <si>
    <t>Włodzimierz Popiołek</t>
  </si>
  <si>
    <t>00-548</t>
  </si>
  <si>
    <t>PL-2011-023042</t>
  </si>
  <si>
    <t>PL-2014-023140</t>
  </si>
  <si>
    <t>PL-2014-023172</t>
  </si>
  <si>
    <t>PL-2012-023271</t>
  </si>
  <si>
    <t>PL-2013-023617</t>
  </si>
  <si>
    <t>PL-2011-023751</t>
  </si>
  <si>
    <t>PL-2013-023781</t>
  </si>
  <si>
    <t>PL-2012-023782</t>
  </si>
  <si>
    <t>PL-2011-023877</t>
  </si>
  <si>
    <t>PL-2013-023940</t>
  </si>
  <si>
    <t>PL-2013-023968</t>
  </si>
  <si>
    <t>PL-2011-024193</t>
  </si>
  <si>
    <t>PL-2013-002309</t>
  </si>
  <si>
    <t>PL-2011-024294</t>
  </si>
  <si>
    <t>PL-2013-002311</t>
  </si>
  <si>
    <t>PL-2012-024356</t>
  </si>
  <si>
    <t>PL-2014-024455</t>
  </si>
  <si>
    <t>PL-2011-024455</t>
  </si>
  <si>
    <t>PL-2013-024486</t>
  </si>
  <si>
    <t>PL-2013-024519</t>
  </si>
  <si>
    <t>PL-2012-002368</t>
  </si>
  <si>
    <t>PL-2012-024577</t>
  </si>
  <si>
    <t>PL-2012-024610</t>
  </si>
  <si>
    <t>PL-2012-024806</t>
  </si>
  <si>
    <t>PL-2011-002433</t>
  </si>
  <si>
    <t>PL-2011-024869</t>
  </si>
  <si>
    <t>PL-2012-024903</t>
  </si>
  <si>
    <t>K02618</t>
  </si>
  <si>
    <t>Anna Matejak</t>
  </si>
  <si>
    <t>00-235</t>
  </si>
  <si>
    <t>PL-2013-024931</t>
  </si>
  <si>
    <t>PL-2014-024993</t>
  </si>
  <si>
    <t>PL-2012-025062</t>
  </si>
  <si>
    <t>PL-2013-002467</t>
  </si>
  <si>
    <t>PL-2014-002497</t>
  </si>
  <si>
    <t>PL-2014-025473</t>
  </si>
  <si>
    <t>PL-2014-025569</t>
  </si>
  <si>
    <t>K01291</t>
  </si>
  <si>
    <t>Lidia Popiel</t>
  </si>
  <si>
    <t>44-337</t>
  </si>
  <si>
    <t>PL-2013-025669</t>
  </si>
  <si>
    <t>PL-2013-025697</t>
  </si>
  <si>
    <t>PL-2012-025830</t>
  </si>
  <si>
    <t>PL-2014-026021</t>
  </si>
  <si>
    <t>PL-2013-026214</t>
  </si>
  <si>
    <t>PL-2014-026274</t>
  </si>
  <si>
    <t>K00068</t>
  </si>
  <si>
    <t>Mirosław Skórka</t>
  </si>
  <si>
    <t>00-280</t>
  </si>
  <si>
    <t>PL-2011-026342</t>
  </si>
  <si>
    <t>PL-2013-026370</t>
  </si>
  <si>
    <t>PL-2012-026373</t>
  </si>
  <si>
    <t>PL-2013-026406</t>
  </si>
  <si>
    <t>PL-2012-002563</t>
  </si>
  <si>
    <t>PL-2013-026439</t>
  </si>
  <si>
    <t>K01810</t>
  </si>
  <si>
    <t>Ewelina Marut</t>
  </si>
  <si>
    <t>31-035</t>
  </si>
  <si>
    <t>PL-2014-026660</t>
  </si>
  <si>
    <t>PL-2012-026695</t>
  </si>
  <si>
    <t>PL-2014-026756</t>
  </si>
  <si>
    <t>PL-2012-026784</t>
  </si>
  <si>
    <t>PL-2014-026784</t>
  </si>
  <si>
    <t>PL-2014-026818</t>
  </si>
  <si>
    <t>K01060</t>
  </si>
  <si>
    <t>Elżbieta Gabruch</t>
  </si>
  <si>
    <t>PL-2013-026851</t>
  </si>
  <si>
    <t>K01481</t>
  </si>
  <si>
    <t>Krzysztof Szmidt</t>
  </si>
  <si>
    <t>31-476</t>
  </si>
  <si>
    <t>PL-2013-026887</t>
  </si>
  <si>
    <t>PL-2014-026981</t>
  </si>
  <si>
    <t>PL-2011-027013</t>
  </si>
  <si>
    <t>PL-2012-027047</t>
  </si>
  <si>
    <t>PL-2012-027077</t>
  </si>
  <si>
    <t>PL-2014-027138</t>
  </si>
  <si>
    <t>PL-2013-027174</t>
  </si>
  <si>
    <t>PL-2014-027265</t>
  </si>
  <si>
    <t>PL-2011-027456</t>
  </si>
  <si>
    <t>PL-2014-027616</t>
  </si>
  <si>
    <t>PL-2013-027811</t>
  </si>
  <si>
    <t>PL-2014-027841</t>
  </si>
  <si>
    <t>PL-2013-027872</t>
  </si>
  <si>
    <t>K03004</t>
  </si>
  <si>
    <t>Anna Bugzel</t>
  </si>
  <si>
    <t>31-464</t>
  </si>
  <si>
    <t>PL-2011-028001</t>
  </si>
  <si>
    <t>K01044</t>
  </si>
  <si>
    <t>Paweł Falandysz</t>
  </si>
  <si>
    <t>31-126</t>
  </si>
  <si>
    <t>PL-2011-028225</t>
  </si>
  <si>
    <t>PL-2012-028321</t>
  </si>
  <si>
    <t>PL-2014-028453</t>
  </si>
  <si>
    <t>PL-2012-028482</t>
  </si>
  <si>
    <t>PL-2014-028482</t>
  </si>
  <si>
    <t>PL-2013-028581</t>
  </si>
  <si>
    <t>PL-2014-028582</t>
  </si>
  <si>
    <t>PL-2011-028647</t>
  </si>
  <si>
    <t>PL-2013-028807</t>
  </si>
  <si>
    <t>PL-2014-028868</t>
  </si>
  <si>
    <t>PL-2013-002757</t>
  </si>
  <si>
    <t>PL-2012-002759</t>
  </si>
  <si>
    <t>PL-2014-029090</t>
  </si>
  <si>
    <t>PL-2013-029152</t>
  </si>
  <si>
    <t>PL-2013-029249</t>
  </si>
  <si>
    <t>K01773</t>
  </si>
  <si>
    <t>Kazimierz Nowak</t>
  </si>
  <si>
    <t>00-133</t>
  </si>
  <si>
    <t>PL-2013-029255</t>
  </si>
  <si>
    <t>PL-2011-029319</t>
  </si>
  <si>
    <t>PL-2011-029350</t>
  </si>
  <si>
    <t>PL-2014-029350</t>
  </si>
  <si>
    <t>PL-2014-029507</t>
  </si>
  <si>
    <t>PL-2014-029537</t>
  </si>
  <si>
    <t>K01751</t>
  </si>
  <si>
    <t>Stefan Wójcik</t>
  </si>
  <si>
    <t>PL-2012-029572</t>
  </si>
  <si>
    <t>PL-2014-029671</t>
  </si>
  <si>
    <t>PL-2012-029700</t>
  </si>
  <si>
    <t>PL-2014-029764</t>
  </si>
  <si>
    <t>PL-2011-029889</t>
  </si>
  <si>
    <t>PL-2013-029958</t>
  </si>
  <si>
    <t>PL-2014-029985</t>
  </si>
  <si>
    <t>PL-2013-030048</t>
  </si>
  <si>
    <t>PL-2012-030114</t>
  </si>
  <si>
    <t>PL-2012-030336</t>
  </si>
  <si>
    <t>PL-2012-030372</t>
  </si>
  <si>
    <t>PL-2014-030375</t>
  </si>
  <si>
    <t>PL-2013-030497</t>
  </si>
  <si>
    <t>PL-2014-030660</t>
  </si>
  <si>
    <t>PL-2014-030784</t>
  </si>
  <si>
    <t>PL-2011-030785</t>
  </si>
  <si>
    <t>PL-2014-030883</t>
  </si>
  <si>
    <t>PL-2012-031040</t>
  </si>
  <si>
    <t>PL-2013-031140</t>
  </si>
  <si>
    <t>PL-2014-031171</t>
  </si>
  <si>
    <t>K02565</t>
  </si>
  <si>
    <t>Paweł Michalski</t>
  </si>
  <si>
    <t>10-814</t>
  </si>
  <si>
    <t>PL-2014-031173</t>
  </si>
  <si>
    <t>PL-2013-002947</t>
  </si>
  <si>
    <t>PL-2012-031301</t>
  </si>
  <si>
    <t>PL-2013-031303</t>
  </si>
  <si>
    <t>PL-2013-002978</t>
  </si>
  <si>
    <t>PL-2012-031492</t>
  </si>
  <si>
    <t>PL-2014-031523</t>
  </si>
  <si>
    <t>PL-2013-003008</t>
  </si>
  <si>
    <t>PL-2014-031681</t>
  </si>
  <si>
    <t>PL-2012-031842</t>
  </si>
  <si>
    <t>PL-2012-031872</t>
  </si>
  <si>
    <t>PL-2011-003042</t>
  </si>
  <si>
    <t>PL-2014-031877</t>
  </si>
  <si>
    <t>PL-2013-031939</t>
  </si>
  <si>
    <t>PL-2011-032037</t>
  </si>
  <si>
    <t>PL-2013-032065</t>
  </si>
  <si>
    <t>PL-2012-032099</t>
  </si>
  <si>
    <t>K01176</t>
  </si>
  <si>
    <t>Michał Woźnicki</t>
  </si>
  <si>
    <t>00-033</t>
  </si>
  <si>
    <t>PL-2012-032164</t>
  </si>
  <si>
    <t>PL-2014-032230</t>
  </si>
  <si>
    <t>PL-2014-032292</t>
  </si>
  <si>
    <t>K00342</t>
  </si>
  <si>
    <t>Jan Mazuro</t>
  </si>
  <si>
    <t>PL-2014-032325</t>
  </si>
  <si>
    <t>PL-2011-032420</t>
  </si>
  <si>
    <t>PL-2013-032450</t>
  </si>
  <si>
    <t>PL-2013-032454</t>
  </si>
  <si>
    <t>K02878</t>
  </si>
  <si>
    <t>Andrzej Salwa</t>
  </si>
  <si>
    <t>10-601</t>
  </si>
  <si>
    <t>PL-2012-032641</t>
  </si>
  <si>
    <t>PL-2013-032647</t>
  </si>
  <si>
    <t>K02756</t>
  </si>
  <si>
    <t>Artur Mikołajek</t>
  </si>
  <si>
    <t>35-304</t>
  </si>
  <si>
    <t>PL-2011-032710</t>
  </si>
  <si>
    <t>PL-2014-032804</t>
  </si>
  <si>
    <t>PL-2013-032806</t>
  </si>
  <si>
    <t>PL-2014-003136</t>
  </si>
  <si>
    <t>PL-2011-032869</t>
  </si>
  <si>
    <t>PL-2014-032869</t>
  </si>
  <si>
    <t>PL-2011-003138</t>
  </si>
  <si>
    <t>PL-2012-032931</t>
  </si>
  <si>
    <t>PL-2012-033152</t>
  </si>
  <si>
    <t>PL-2013-033219</t>
  </si>
  <si>
    <t>PL-2014-033222</t>
  </si>
  <si>
    <t>PL-2013-033287</t>
  </si>
  <si>
    <t>PL-2014-033477</t>
  </si>
  <si>
    <t>PL-2012-033478</t>
  </si>
  <si>
    <t>K02434</t>
  </si>
  <si>
    <t>Iwona Obrocka</t>
  </si>
  <si>
    <t>PL-2012-033505</t>
  </si>
  <si>
    <t>PL-2013-033540</t>
  </si>
  <si>
    <t>PL-2014-033605</t>
  </si>
  <si>
    <t>PL-2012-033632</t>
  </si>
  <si>
    <t>PL-2011-033635</t>
  </si>
  <si>
    <t>PL-2013-003266</t>
  </si>
  <si>
    <t>PL-2013-003271</t>
  </si>
  <si>
    <t>PL-2014-033732</t>
  </si>
  <si>
    <t>PL-2012-033763</t>
  </si>
  <si>
    <t>PL-2012-033826</t>
  </si>
  <si>
    <t>PL-2014-033959</t>
  </si>
  <si>
    <t>PL-2011-034017</t>
  </si>
  <si>
    <t>PL-2013-034048</t>
  </si>
  <si>
    <t>PL-2014-034086</t>
  </si>
  <si>
    <t>PL-2011-003332</t>
  </si>
  <si>
    <t>PL-2012-034244</t>
  </si>
  <si>
    <t>PL-2012-034246</t>
  </si>
  <si>
    <t>PL-2014-034400</t>
  </si>
  <si>
    <t>PL-2011-034435</t>
  </si>
  <si>
    <t>PL-2012-034657</t>
  </si>
  <si>
    <t>PL-2012-034849</t>
  </si>
  <si>
    <t>PL-2013-034881</t>
  </si>
  <si>
    <t>PL-2011-034882</t>
  </si>
  <si>
    <t>PL-2014-035045</t>
  </si>
  <si>
    <t>PL-2012-035046</t>
  </si>
  <si>
    <t>PL-2011-003397</t>
  </si>
  <si>
    <t>PL-2011-035200</t>
  </si>
  <si>
    <t>PL-2013-003460</t>
  </si>
  <si>
    <t>PL-2013-035649</t>
  </si>
  <si>
    <t>PL-2013-035684</t>
  </si>
  <si>
    <t>PL-2014-035712</t>
  </si>
  <si>
    <t>PL-2012-035777</t>
  </si>
  <si>
    <t>PL-2012-035840</t>
  </si>
  <si>
    <t>PL-2014-035842</t>
  </si>
  <si>
    <t>PL-2014-036038</t>
  </si>
  <si>
    <t>PL-2012-036065</t>
  </si>
  <si>
    <t>PL-2011-036069</t>
  </si>
  <si>
    <t>PL-2014-036069</t>
  </si>
  <si>
    <t>PL-2014-036099</t>
  </si>
  <si>
    <t>PL-2012-036099</t>
  </si>
  <si>
    <t>PL-2013-036196</t>
  </si>
  <si>
    <t>PL-2013-036356</t>
  </si>
  <si>
    <t>PL-2011-036452</t>
  </si>
  <si>
    <t>K01246</t>
  </si>
  <si>
    <t>Robert Pacyna</t>
  </si>
  <si>
    <t>00-564</t>
  </si>
  <si>
    <t>PL-2013-036482</t>
  </si>
  <si>
    <t>PL-2014-003524</t>
  </si>
  <si>
    <t>PL-2011-036647</t>
  </si>
  <si>
    <t>PL-2012-036741</t>
  </si>
  <si>
    <t>K01318</t>
  </si>
  <si>
    <t>Edyta Assmann</t>
  </si>
  <si>
    <t>00-697</t>
  </si>
  <si>
    <t>PL-2014-036743</t>
  </si>
  <si>
    <t>PL-2013-036931</t>
  </si>
  <si>
    <t>PL-2014-000322</t>
  </si>
  <si>
    <t>PL-2014-003585</t>
  </si>
  <si>
    <t>PL-2014-037063</t>
  </si>
  <si>
    <t>PL-2011-003585</t>
  </si>
  <si>
    <t>PL-2014-037188</t>
  </si>
  <si>
    <t>PL-2012-037216</t>
  </si>
  <si>
    <t>PL-2012-037250</t>
  </si>
  <si>
    <t>PL-2013-037252</t>
  </si>
  <si>
    <t>PL-2012-037318</t>
  </si>
  <si>
    <t>PL-2013-037380</t>
  </si>
  <si>
    <t>PL-2013-037414</t>
  </si>
  <si>
    <t>PL-2011-037537</t>
  </si>
  <si>
    <t>PL-2012-037606</t>
  </si>
  <si>
    <t>PL-2014-037700</t>
  </si>
  <si>
    <t>PL-2011-037729</t>
  </si>
  <si>
    <t>PL-2011-037760</t>
  </si>
  <si>
    <t>PL-2014-037760</t>
  </si>
  <si>
    <t>PL-2014-003621</t>
  </si>
  <si>
    <t>PL-2014-037859</t>
  </si>
  <si>
    <t>PL-2014-037895</t>
  </si>
  <si>
    <t>PL-2011-037924</t>
  </si>
  <si>
    <t>PL-2014-037987</t>
  </si>
  <si>
    <t>PL-2011-037987</t>
  </si>
  <si>
    <t>PL-2013-037988</t>
  </si>
  <si>
    <t>PL-2011-038080</t>
  </si>
  <si>
    <t>PL-2011-038087</t>
  </si>
  <si>
    <t>PL-2012-038337</t>
  </si>
  <si>
    <t>PL-2012-038369</t>
  </si>
  <si>
    <t>PL-2011-038529</t>
  </si>
  <si>
    <t>PL-2013-038693</t>
  </si>
  <si>
    <t>PL-2013-038758</t>
  </si>
  <si>
    <t>PL-2011-038852</t>
  </si>
  <si>
    <t>PL-2014-038853</t>
  </si>
  <si>
    <t>PL-2014-038912</t>
  </si>
  <si>
    <t>PL-2014-003685</t>
  </si>
  <si>
    <t>PL-2012-038979</t>
  </si>
  <si>
    <t>PL-2011-039015</t>
  </si>
  <si>
    <t>PL-2011-039076</t>
  </si>
  <si>
    <t>PL-2012-039238</t>
  </si>
  <si>
    <t>PL-2014-039300</t>
  </si>
  <si>
    <t>PL-2013-039332</t>
  </si>
  <si>
    <t>PL-2014-039399</t>
  </si>
  <si>
    <t>PL-2011-039430</t>
  </si>
  <si>
    <t>PL-2014-039490</t>
  </si>
  <si>
    <t>PL-2014-039654</t>
  </si>
  <si>
    <t>PL-2014-039686</t>
  </si>
  <si>
    <t>PL-2013-039878</t>
  </si>
  <si>
    <t>PL-2014-039972</t>
  </si>
  <si>
    <t>PL-2011-003841</t>
  </si>
  <si>
    <t>PL-2011-040101</t>
  </si>
  <si>
    <t>PL-2014-003841</t>
  </si>
  <si>
    <t>PL-2013-040165</t>
  </si>
  <si>
    <t>PL-2014-040194</t>
  </si>
  <si>
    <t>PL-2012-040194</t>
  </si>
  <si>
    <t>PL-2011-040224</t>
  </si>
  <si>
    <t>PL-2011-040547</t>
  </si>
  <si>
    <t>PL-2013-040612</t>
  </si>
  <si>
    <t>PL-2013-040643</t>
  </si>
  <si>
    <t>PL-2012-003905</t>
  </si>
  <si>
    <t>PL-2014-040672</t>
  </si>
  <si>
    <t>PL-2013-040870</t>
  </si>
  <si>
    <t>PL-2013-040896</t>
  </si>
  <si>
    <t>PL-2013-040934</t>
  </si>
  <si>
    <t>PL-2013-040962</t>
  </si>
  <si>
    <t>PL-2011-040997</t>
  </si>
  <si>
    <t>PL-2014-040997</t>
  </si>
  <si>
    <t>PL-2013-041026</t>
  </si>
  <si>
    <t>PL-2012-041059</t>
  </si>
  <si>
    <t>PL-2014-041063</t>
  </si>
  <si>
    <t>PL-2013-041157</t>
  </si>
  <si>
    <t>PL-2011-041253</t>
  </si>
  <si>
    <t>PL-2012-041350</t>
  </si>
  <si>
    <t>PL-2012-004004</t>
  </si>
  <si>
    <t>PL-2014-041441</t>
  </si>
  <si>
    <t>PL-2013-041539</t>
  </si>
  <si>
    <t>PL-2012-041569</t>
  </si>
  <si>
    <t>PL-2014-041604</t>
  </si>
  <si>
    <t>PL-2014-041636</t>
  </si>
  <si>
    <t>PL-2011-041636</t>
  </si>
  <si>
    <t>PL-2014-041760</t>
  </si>
  <si>
    <t>PL-2011-041793</t>
  </si>
  <si>
    <t>PL-2014-041831</t>
  </si>
  <si>
    <t>PL-2013-041857</t>
  </si>
  <si>
    <t>PL-2013-041987</t>
  </si>
  <si>
    <t>PL-2014-042054</t>
  </si>
  <si>
    <t>PL-2013-042213</t>
  </si>
  <si>
    <t>PL-2014-042369</t>
  </si>
  <si>
    <t>PL-2012-042528</t>
  </si>
  <si>
    <t>PL-2012-042597</t>
  </si>
  <si>
    <t>PL-2011-042599</t>
  </si>
  <si>
    <t>PL-2012-042658</t>
  </si>
  <si>
    <t>PL-2014-042722</t>
  </si>
  <si>
    <t>PL-2014-042823</t>
  </si>
  <si>
    <t>PL-2014-042848</t>
  </si>
  <si>
    <t>PL-2011-042852</t>
  </si>
  <si>
    <t>PL-2014-042944</t>
  </si>
  <si>
    <t>PL-2011-042949</t>
  </si>
  <si>
    <t>PL-2014-042982</t>
  </si>
  <si>
    <t>PL-2011-043079</t>
  </si>
  <si>
    <t>PL-2013-043239</t>
  </si>
  <si>
    <t>PL-2013-043267</t>
  </si>
  <si>
    <t>PL-2012-043271</t>
  </si>
  <si>
    <t>PL-2014-043330</t>
  </si>
  <si>
    <t>PL-2013-043398</t>
  </si>
  <si>
    <t>PL-2014-043523</t>
  </si>
  <si>
    <t>PL-2012-043526</t>
  </si>
  <si>
    <t>PL-2014-043713</t>
  </si>
  <si>
    <t>PL-2012-043745</t>
  </si>
  <si>
    <t>PL-2014-043745</t>
  </si>
  <si>
    <t>PL-2012-043782</t>
  </si>
  <si>
    <t>PL-2013-043814</t>
  </si>
  <si>
    <t>PL-2012-000358</t>
  </si>
  <si>
    <t>PL-2011-044002</t>
  </si>
  <si>
    <t>PL-2012-044005</t>
  </si>
  <si>
    <t>PL-2014-004294</t>
  </si>
  <si>
    <t>PL-2014-044099</t>
  </si>
  <si>
    <t>PL-2011-044231</t>
  </si>
  <si>
    <t>PL-2014-044231</t>
  </si>
  <si>
    <t>PL-2014-044295</t>
  </si>
  <si>
    <t>PL-2013-044451</t>
  </si>
  <si>
    <t>PL-2013-044452</t>
  </si>
  <si>
    <t>PL-2011-044517</t>
  </si>
  <si>
    <t>PL-2012-044615</t>
  </si>
  <si>
    <t>PL-2014-044647</t>
  </si>
  <si>
    <t>PL-2014-044737</t>
  </si>
  <si>
    <t>PL-2012-044900</t>
  </si>
  <si>
    <t>PL-2011-045380</t>
  </si>
  <si>
    <t>PL-2012-045413</t>
  </si>
  <si>
    <t>PL-2011-000359</t>
  </si>
  <si>
    <t>PL-2014-045413</t>
  </si>
  <si>
    <t>PL-2014-045476</t>
  </si>
  <si>
    <t>PL-2011-045539</t>
  </si>
  <si>
    <t>PL-2014-045539</t>
  </si>
  <si>
    <t>PL-2014-045571</t>
  </si>
  <si>
    <t>PL-2014-045575</t>
  </si>
  <si>
    <t>PL-2012-045668</t>
  </si>
  <si>
    <t>PL-2013-045671</t>
  </si>
  <si>
    <t>PL-2013-045794</t>
  </si>
  <si>
    <t>PL-2011-045824</t>
  </si>
  <si>
    <t>PL-2012-045924</t>
  </si>
  <si>
    <t>PL-2013-046115</t>
  </si>
  <si>
    <t>PL-2012-046375</t>
  </si>
  <si>
    <t>PL-2013-046402</t>
  </si>
  <si>
    <t>PL-2012-046434</t>
  </si>
  <si>
    <t>PL-2011-046436</t>
  </si>
  <si>
    <t>PL-2012-004610</t>
  </si>
  <si>
    <t>PL-2013-046565</t>
  </si>
  <si>
    <t>PL-2014-046787</t>
  </si>
  <si>
    <t>PL-2011-046853</t>
  </si>
  <si>
    <t>PL-2011-046884</t>
  </si>
  <si>
    <t>PL-2013-000386</t>
  </si>
  <si>
    <t>PL-2011-047108</t>
  </si>
  <si>
    <t>PL-2013-047109</t>
  </si>
  <si>
    <t>PL-2013-047265</t>
  </si>
  <si>
    <t>PL-2014-047399</t>
  </si>
  <si>
    <t>PL-2014-004674</t>
  </si>
  <si>
    <t>PL-2011-047493</t>
  </si>
  <si>
    <t>PL-2014-047682</t>
  </si>
  <si>
    <t>PL-2011-047813</t>
  </si>
  <si>
    <t>PL-2014-047971</t>
  </si>
  <si>
    <t>PL-2012-048032</t>
  </si>
  <si>
    <t>PL-2013-048071</t>
  </si>
  <si>
    <t>PL-2013-048101</t>
  </si>
  <si>
    <t>PL-2011-048257</t>
  </si>
  <si>
    <t>PL-2012-048263</t>
  </si>
  <si>
    <t>PL-2013-048288</t>
  </si>
  <si>
    <t>PL-2012-048452</t>
  </si>
  <si>
    <t>PL-2014-000388</t>
  </si>
  <si>
    <t>PL-2014-048452</t>
  </si>
  <si>
    <t>PL-2011-048483</t>
  </si>
  <si>
    <t>PL-2012-048487</t>
  </si>
  <si>
    <t>PL-2013-048515</t>
  </si>
  <si>
    <t>PL-2013-004769</t>
  </si>
  <si>
    <t>PL-2014-004771</t>
  </si>
  <si>
    <t>PL-2014-048643</t>
  </si>
  <si>
    <t>PL-2014-048706</t>
  </si>
  <si>
    <t>PL-2014-048774</t>
  </si>
  <si>
    <t>PL-2012-048800</t>
  </si>
  <si>
    <t>PL-2011-048836</t>
  </si>
  <si>
    <t>PL-2012-048994</t>
  </si>
  <si>
    <t>PL-2013-049027</t>
  </si>
  <si>
    <t>PL-2011-049125</t>
  </si>
  <si>
    <t>PL-2013-049443</t>
  </si>
  <si>
    <t>PL-2011-004839</t>
  </si>
  <si>
    <t>PL-2013-049762</t>
  </si>
  <si>
    <t>PL-2013-049824</t>
  </si>
  <si>
    <t>PL-2012-049831</t>
  </si>
  <si>
    <t>PL-2014-049889</t>
  </si>
  <si>
    <t>PL-2014-049927</t>
  </si>
  <si>
    <t>PL-2014-049990</t>
  </si>
  <si>
    <t>PL-2014-050181</t>
  </si>
  <si>
    <t>PL-2012-050209</t>
  </si>
  <si>
    <t>PL-2012-050246</t>
  </si>
  <si>
    <t>PL-2014-050433</t>
  </si>
  <si>
    <t>PL-2013-050533</t>
  </si>
  <si>
    <t>PL-2014-050656</t>
  </si>
  <si>
    <t>PL-2011-050656</t>
  </si>
  <si>
    <t>PL-2014-050721</t>
  </si>
  <si>
    <t>PL-2013-050726</t>
  </si>
  <si>
    <t>PL-2011-050917</t>
  </si>
  <si>
    <t>PL-2013-050945</t>
  </si>
  <si>
    <t>PL-2012-051041</t>
  </si>
  <si>
    <t>PL-2011-051072</t>
  </si>
  <si>
    <t>PL-2013-005153</t>
  </si>
  <si>
    <t>PL-2013-051494</t>
  </si>
  <si>
    <t>PL-2014-051559</t>
  </si>
  <si>
    <t>PL-2014-051620</t>
  </si>
  <si>
    <t>PL-2013-005217</t>
  </si>
  <si>
    <t>PL-2014-052003</t>
  </si>
  <si>
    <t>PL-2014-052039</t>
  </si>
  <si>
    <t>PL-2014-052322</t>
  </si>
  <si>
    <t>PL-2013-052389</t>
  </si>
  <si>
    <t>PL-2014-052673</t>
  </si>
  <si>
    <t>PL-2012-052737</t>
  </si>
  <si>
    <t>PL-2012-052743</t>
  </si>
  <si>
    <t>PL-2012-005346</t>
  </si>
  <si>
    <t>PL-2014-052932</t>
  </si>
  <si>
    <t>PL-2014-052995</t>
  </si>
  <si>
    <t>PL-2012-053025</t>
  </si>
  <si>
    <t>PL-2012-053060</t>
  </si>
  <si>
    <t>PL-2011-053153</t>
  </si>
  <si>
    <t>PL-2012-053248</t>
  </si>
  <si>
    <t>PL-2014-053285</t>
  </si>
  <si>
    <t>PL-2012-053314</t>
  </si>
  <si>
    <t>PL-2014-053350</t>
  </si>
  <si>
    <t>PL-2011-053410</t>
  </si>
  <si>
    <t>PL-2013-053411</t>
  </si>
  <si>
    <t>PL-2014-053445</t>
  </si>
  <si>
    <t>PL-2011-053476</t>
  </si>
  <si>
    <t>PL-2011-053953</t>
  </si>
  <si>
    <t>PL-2014-054053</t>
  </si>
  <si>
    <t>PL-2012-054145</t>
  </si>
  <si>
    <t>PL-2012-054146</t>
  </si>
  <si>
    <t>PL-2014-005441</t>
  </si>
  <si>
    <t>PL-2014-054181</t>
  </si>
  <si>
    <t>PL-2012-054304</t>
  </si>
  <si>
    <t>PL-2013-005444</t>
  </si>
  <si>
    <t>PL-2011-054369</t>
  </si>
  <si>
    <t>PL-2012-054497</t>
  </si>
  <si>
    <t>PL-2012-054563</t>
  </si>
  <si>
    <t>PL-2011-054567</t>
  </si>
  <si>
    <t>PL-2013-054592</t>
  </si>
  <si>
    <t>PL-2014-054595</t>
  </si>
  <si>
    <t>PL-2011-054595</t>
  </si>
  <si>
    <t>PL-2012-054628</t>
  </si>
  <si>
    <t>PL-2014-054753</t>
  </si>
  <si>
    <t>PL-2013-054914</t>
  </si>
  <si>
    <t>PL-2011-054949</t>
  </si>
  <si>
    <t>PL-2014-005504</t>
  </si>
  <si>
    <t>PL-2012-005504</t>
  </si>
  <si>
    <t>PL-2011-005509</t>
  </si>
  <si>
    <t>PL-2012-055269</t>
  </si>
  <si>
    <t>PL-2011-055300</t>
  </si>
  <si>
    <t>PL-2011-055392</t>
  </si>
  <si>
    <t>PL-2012-005543</t>
  </si>
  <si>
    <t>PL-2011-055713</t>
  </si>
  <si>
    <t>PL-2013-000454</t>
  </si>
  <si>
    <t>PL-2014-055813</t>
  </si>
  <si>
    <t>PL-2011-055874</t>
  </si>
  <si>
    <t>PL-2014-055908</t>
  </si>
  <si>
    <t>PL-2014-055968</t>
  </si>
  <si>
    <t>PL-2012-056001</t>
  </si>
  <si>
    <t>PL-2013-056039</t>
  </si>
  <si>
    <t>PL-2012-056166</t>
  </si>
  <si>
    <t>PL-2011-056452</t>
  </si>
  <si>
    <t>PL-2011-056486</t>
  </si>
  <si>
    <t>PL-2012-056610</t>
  </si>
  <si>
    <t>PL-2012-056646</t>
  </si>
  <si>
    <t>PL-2012-056710</t>
  </si>
  <si>
    <t>PL-2014-056740</t>
  </si>
  <si>
    <t>PL-2013-056834</t>
  </si>
  <si>
    <t>PL-2012-056837</t>
  </si>
  <si>
    <t>PL-2012-056931</t>
  </si>
  <si>
    <t>PL-2014-057025</t>
  </si>
  <si>
    <t>PL-2014-057061</t>
  </si>
  <si>
    <t>PL-2011-057061</t>
  </si>
  <si>
    <t>PL-2014-057092</t>
  </si>
  <si>
    <t>PL-2013-057095</t>
  </si>
  <si>
    <t>PL-2012-005702</t>
  </si>
  <si>
    <t>PL-2012-005703</t>
  </si>
  <si>
    <t>PL-2012-057216</t>
  </si>
  <si>
    <t>PL-2012-057318</t>
  </si>
  <si>
    <t>PL-2013-057376</t>
  </si>
  <si>
    <t>PL-2014-057638</t>
  </si>
  <si>
    <t>PL-2011-057794</t>
  </si>
  <si>
    <t>PL-2013-058054</t>
  </si>
  <si>
    <t>PL-2014-005890</t>
  </si>
  <si>
    <t>PL-2013-058342</t>
  </si>
  <si>
    <t>PL-2013-058433</t>
  </si>
  <si>
    <t>PL-2013-058496</t>
  </si>
  <si>
    <t>PL-2011-005920</t>
  </si>
  <si>
    <t>PL-2011-058628</t>
  </si>
  <si>
    <t>PL-2012-058659</t>
  </si>
  <si>
    <t>PL-2012-058788</t>
  </si>
  <si>
    <t>PL-2012-058820</t>
  </si>
  <si>
    <t>PL-2011-058914</t>
  </si>
  <si>
    <t>PL-2014-058914</t>
  </si>
  <si>
    <t>PL-2014-058917</t>
  </si>
  <si>
    <t>PL-2013-058947</t>
  </si>
  <si>
    <t>PL-2012-059008</t>
  </si>
  <si>
    <t>PL-2013-059009</t>
  </si>
  <si>
    <t>PL-2013-059108</t>
  </si>
  <si>
    <t>PL-2014-005984</t>
  </si>
  <si>
    <t>PL-2014-059238</t>
  </si>
  <si>
    <t>PL-2011-005984</t>
  </si>
  <si>
    <t>PL-2011-059365</t>
  </si>
  <si>
    <t>PL-2014-005986</t>
  </si>
  <si>
    <t>PL-2014-059685</t>
  </si>
  <si>
    <t>PL-2013-059686</t>
  </si>
  <si>
    <t>PL-2013-059812</t>
  </si>
  <si>
    <t>PL-2012-059815</t>
  </si>
  <si>
    <t>PL-2011-059937</t>
  </si>
  <si>
    <t>PL-2013-006180</t>
  </si>
  <si>
    <t>PL-2011-000548</t>
  </si>
  <si>
    <t>PL-2011-006562</t>
  </si>
  <si>
    <t>PL-2014-000612</t>
  </si>
  <si>
    <t>PL-2014-006950</t>
  </si>
  <si>
    <t>PL-2014-007042</t>
  </si>
  <si>
    <t>PL-2013-000613</t>
  </si>
  <si>
    <t>PL-2012-007078</t>
  </si>
  <si>
    <t>PL-2012-007079</t>
  </si>
  <si>
    <t>PL-2014-007107</t>
  </si>
  <si>
    <t>PL-2013-007142</t>
  </si>
  <si>
    <t>PL-2014-007203</t>
  </si>
  <si>
    <t>Etykiety wierszy</t>
  </si>
  <si>
    <t>1kwartyl</t>
  </si>
  <si>
    <t>dolny</t>
  </si>
  <si>
    <t>górny</t>
  </si>
  <si>
    <t>linia dolna</t>
  </si>
  <si>
    <t>linia górna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</si>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</sst>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2" borderId="0" xfId="0" applyFill="1"/>
    <xf numFmtId="0" fontId="0" fillId="3" borderId="0" xfId="0" applyFill="1"/>
    <xf numFmtId="14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</cellXfs>
  <cellStyles count="1">
    <cellStyle name="Normalny" xfId="0" builtinId="0"/>
  </cellStyles>
  <dxfs count="14">
    <dxf>
      <fill>
        <patternFill patternType="solid">
          <fgColor indexed="64"/>
          <bgColor theme="6"/>
        </patternFill>
      </fill>
    </dxf>
    <dxf>
      <fill>
        <patternFill patternType="solid">
          <fgColor indexed="64"/>
          <bgColor theme="6"/>
        </patternFill>
      </fill>
    </dxf>
    <dxf>
      <fill>
        <patternFill patternType="solid">
          <fgColor indexed="64"/>
          <bgColor theme="6"/>
        </patternFill>
      </fill>
    </dxf>
    <dxf>
      <fill>
        <patternFill patternType="solid">
          <fgColor indexed="64"/>
          <bgColor theme="6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numFmt numFmtId="19" formatCode="yyyy/mm/dd"/>
    </dxf>
    <dxf>
      <numFmt numFmtId="19" formatCode="yyyy/mm/dd"/>
    </dxf>
    <dxf>
      <fill>
        <patternFill patternType="solid">
          <fgColor indexed="64"/>
          <bgColor theme="6"/>
        </patternFill>
      </fill>
    </dxf>
    <dxf>
      <fill>
        <patternFill patternType="solid">
          <fgColor indexed="64"/>
          <bgColor theme="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26" Type="http://schemas.openxmlformats.org/officeDocument/2006/relationships/customXml" Target="../customXml/item13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8.xml"/><Relationship Id="rId7" Type="http://schemas.microsoft.com/office/2007/relationships/slicerCache" Target="slicerCaches/slicerCache1.xml"/><Relationship Id="rId12" Type="http://schemas.openxmlformats.org/officeDocument/2006/relationships/powerPivotData" Target="model/item.data"/><Relationship Id="rId17" Type="http://schemas.openxmlformats.org/officeDocument/2006/relationships/customXml" Target="../customXml/item4.xml"/><Relationship Id="rId25" Type="http://schemas.openxmlformats.org/officeDocument/2006/relationships/customXml" Target="../customXml/item1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20" Type="http://schemas.openxmlformats.org/officeDocument/2006/relationships/customXml" Target="../customXml/item7.xml"/><Relationship Id="rId29" Type="http://schemas.openxmlformats.org/officeDocument/2006/relationships/customXml" Target="../customXml/item16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11" Type="http://schemas.openxmlformats.org/officeDocument/2006/relationships/sharedStrings" Target="sharedStrings.xml"/><Relationship Id="rId24" Type="http://schemas.openxmlformats.org/officeDocument/2006/relationships/customXml" Target="../customXml/item11.xml"/><Relationship Id="rId5" Type="http://schemas.openxmlformats.org/officeDocument/2006/relationships/pivotCacheDefinition" Target="pivotCache/pivotCacheDefinition2.xml"/><Relationship Id="rId15" Type="http://schemas.openxmlformats.org/officeDocument/2006/relationships/customXml" Target="../customXml/item2.xml"/><Relationship Id="rId23" Type="http://schemas.openxmlformats.org/officeDocument/2006/relationships/customXml" Target="../customXml/item10.xml"/><Relationship Id="rId28" Type="http://schemas.openxmlformats.org/officeDocument/2006/relationships/customXml" Target="../customXml/item15.xml"/><Relationship Id="rId10" Type="http://schemas.openxmlformats.org/officeDocument/2006/relationships/styles" Target="styles.xml"/><Relationship Id="rId19" Type="http://schemas.openxmlformats.org/officeDocument/2006/relationships/customXml" Target="../customXml/item6.xml"/><Relationship Id="rId31" Type="http://schemas.openxmlformats.org/officeDocument/2006/relationships/customXml" Target="../customXml/item18.xml"/><Relationship Id="rId4" Type="http://schemas.openxmlformats.org/officeDocument/2006/relationships/pivotCacheDefinition" Target="pivotCache/pivotCacheDefinition1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Relationship Id="rId22" Type="http://schemas.openxmlformats.org/officeDocument/2006/relationships/customXml" Target="../customXml/item9.xml"/><Relationship Id="rId27" Type="http://schemas.openxmlformats.org/officeDocument/2006/relationships/customXml" Target="../customXml/item14.xml"/><Relationship Id="rId30" Type="http://schemas.openxmlformats.org/officeDocument/2006/relationships/customXml" Target="../customXml/item1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pivot!$B$1</c:f>
              <c:strCache>
                <c:ptCount val="1"/>
                <c:pt idx="0">
                  <c:v>1kwartyl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[0]!kolumna5</c:f>
                <c:numCache>
                  <c:formatCode>General</c:formatCode>
                  <c:ptCount val="17"/>
                  <c:pt idx="0">
                    <c:v>3</c:v>
                  </c:pt>
                  <c:pt idx="1">
                    <c:v>2</c:v>
                  </c:pt>
                  <c:pt idx="2">
                    <c:v>3</c:v>
                  </c:pt>
                  <c:pt idx="3">
                    <c:v>2</c:v>
                  </c:pt>
                  <c:pt idx="4">
                    <c:v>3</c:v>
                  </c:pt>
                  <c:pt idx="5">
                    <c:v>3</c:v>
                  </c:pt>
                  <c:pt idx="6">
                    <c:v>3</c:v>
                  </c:pt>
                  <c:pt idx="7">
                    <c:v>3</c:v>
                  </c:pt>
                  <c:pt idx="8">
                    <c:v>3</c:v>
                  </c:pt>
                  <c:pt idx="9">
                    <c:v>3</c:v>
                  </c:pt>
                  <c:pt idx="10">
                    <c:v>3</c:v>
                  </c:pt>
                  <c:pt idx="11">
                    <c:v>2</c:v>
                  </c:pt>
                  <c:pt idx="12">
                    <c:v>2</c:v>
                  </c:pt>
                  <c:pt idx="13">
                    <c:v>3</c:v>
                  </c:pt>
                  <c:pt idx="14">
                    <c:v>2</c:v>
                  </c:pt>
                  <c:pt idx="15">
                    <c:v>3</c:v>
                  </c:pt>
                  <c:pt idx="16">
                    <c:v>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[0]!kolumna1</c:f>
              <c:strCache>
                <c:ptCount val="17"/>
                <c:pt idx="0">
                  <c:v>akcesoria komputerowe</c:v>
                </c:pt>
                <c:pt idx="1">
                  <c:v>akcesoria piśmiennicze</c:v>
                </c:pt>
                <c:pt idx="2">
                  <c:v>etykiety</c:v>
                </c:pt>
                <c:pt idx="3">
                  <c:v>koperty</c:v>
                </c:pt>
                <c:pt idx="4">
                  <c:v>kopiarki i faksy</c:v>
                </c:pt>
                <c:pt idx="5">
                  <c:v>krzesła</c:v>
                </c:pt>
                <c:pt idx="6">
                  <c:v>nożyczki i linijki</c:v>
                </c:pt>
                <c:pt idx="7">
                  <c:v>papier</c:v>
                </c:pt>
                <c:pt idx="8">
                  <c:v>przyrządy</c:v>
                </c:pt>
                <c:pt idx="9">
                  <c:v>segregatory</c:v>
                </c:pt>
                <c:pt idx="10">
                  <c:v>spinacze i zszywki</c:v>
                </c:pt>
                <c:pt idx="11">
                  <c:v>stoły</c:v>
                </c:pt>
                <c:pt idx="12">
                  <c:v>szafki</c:v>
                </c:pt>
                <c:pt idx="13">
                  <c:v>teczki</c:v>
                </c:pt>
                <c:pt idx="14">
                  <c:v>telefony</c:v>
                </c:pt>
                <c:pt idx="15">
                  <c:v>urządzenia biurowe</c:v>
                </c:pt>
                <c:pt idx="16">
                  <c:v>wyposażenie wnętrza</c:v>
                </c:pt>
              </c:strCache>
            </c:strRef>
          </c:cat>
          <c:val>
            <c:numRef>
              <c:f>[0]!kolumna2</c:f>
              <c:numCache>
                <c:formatCode>General</c:formatCode>
                <c:ptCount val="1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7-48AF-A033-38D1A1D3C29E}"/>
            </c:ext>
          </c:extLst>
        </c:ser>
        <c:ser>
          <c:idx val="1"/>
          <c:order val="1"/>
          <c:tx>
            <c:strRef>
              <c:f>pivot!$C$1</c:f>
              <c:strCache>
                <c:ptCount val="1"/>
                <c:pt idx="0">
                  <c:v>dolny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[0]!kolumna1</c:f>
              <c:strCache>
                <c:ptCount val="17"/>
                <c:pt idx="0">
                  <c:v>akcesoria komputerowe</c:v>
                </c:pt>
                <c:pt idx="1">
                  <c:v>akcesoria piśmiennicze</c:v>
                </c:pt>
                <c:pt idx="2">
                  <c:v>etykiety</c:v>
                </c:pt>
                <c:pt idx="3">
                  <c:v>koperty</c:v>
                </c:pt>
                <c:pt idx="4">
                  <c:v>kopiarki i faksy</c:v>
                </c:pt>
                <c:pt idx="5">
                  <c:v>krzesła</c:v>
                </c:pt>
                <c:pt idx="6">
                  <c:v>nożyczki i linijki</c:v>
                </c:pt>
                <c:pt idx="7">
                  <c:v>papier</c:v>
                </c:pt>
                <c:pt idx="8">
                  <c:v>przyrządy</c:v>
                </c:pt>
                <c:pt idx="9">
                  <c:v>segregatory</c:v>
                </c:pt>
                <c:pt idx="10">
                  <c:v>spinacze i zszywki</c:v>
                </c:pt>
                <c:pt idx="11">
                  <c:v>stoły</c:v>
                </c:pt>
                <c:pt idx="12">
                  <c:v>szafki</c:v>
                </c:pt>
                <c:pt idx="13">
                  <c:v>teczki</c:v>
                </c:pt>
                <c:pt idx="14">
                  <c:v>telefony</c:v>
                </c:pt>
                <c:pt idx="15">
                  <c:v>urządzenia biurowe</c:v>
                </c:pt>
                <c:pt idx="16">
                  <c:v>wyposażenie wnętrza</c:v>
                </c:pt>
              </c:strCache>
            </c:strRef>
          </c:cat>
          <c:val>
            <c:numRef>
              <c:f>[0]!kolumna3</c:f>
              <c:numCache>
                <c:formatCode>General</c:formatCode>
                <c:ptCount val="17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7-48AF-A033-38D1A1D3C29E}"/>
            </c:ext>
          </c:extLst>
        </c:ser>
        <c:ser>
          <c:idx val="2"/>
          <c:order val="2"/>
          <c:tx>
            <c:strRef>
              <c:f>pivot!$D$1</c:f>
              <c:strCache>
                <c:ptCount val="1"/>
                <c:pt idx="0">
                  <c:v>górny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[0]!kolumna6</c:f>
                <c:numCache>
                  <c:formatCode>General</c:formatCode>
                  <c:ptCount val="17"/>
                  <c:pt idx="0">
                    <c:v>3</c:v>
                  </c:pt>
                  <c:pt idx="1">
                    <c:v>2</c:v>
                  </c:pt>
                  <c:pt idx="2">
                    <c:v>3</c:v>
                  </c:pt>
                  <c:pt idx="3">
                    <c:v>2</c:v>
                  </c:pt>
                  <c:pt idx="4">
                    <c:v>3</c:v>
                  </c:pt>
                  <c:pt idx="5">
                    <c:v>3</c:v>
                  </c:pt>
                  <c:pt idx="6">
                    <c:v>3</c:v>
                  </c:pt>
                  <c:pt idx="7">
                    <c:v>3</c:v>
                  </c:pt>
                  <c:pt idx="8">
                    <c:v>3</c:v>
                  </c:pt>
                  <c:pt idx="9">
                    <c:v>3</c:v>
                  </c:pt>
                  <c:pt idx="10">
                    <c:v>3</c:v>
                  </c:pt>
                  <c:pt idx="11">
                    <c:v>2</c:v>
                  </c:pt>
                  <c:pt idx="12">
                    <c:v>2</c:v>
                  </c:pt>
                  <c:pt idx="13">
                    <c:v>3</c:v>
                  </c:pt>
                  <c:pt idx="14">
                    <c:v>2</c:v>
                  </c:pt>
                  <c:pt idx="15">
                    <c:v>3</c:v>
                  </c:pt>
                  <c:pt idx="16">
                    <c:v>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[0]!kolumna1</c:f>
              <c:strCache>
                <c:ptCount val="17"/>
                <c:pt idx="0">
                  <c:v>akcesoria komputerowe</c:v>
                </c:pt>
                <c:pt idx="1">
                  <c:v>akcesoria piśmiennicze</c:v>
                </c:pt>
                <c:pt idx="2">
                  <c:v>etykiety</c:v>
                </c:pt>
                <c:pt idx="3">
                  <c:v>koperty</c:v>
                </c:pt>
                <c:pt idx="4">
                  <c:v>kopiarki i faksy</c:v>
                </c:pt>
                <c:pt idx="5">
                  <c:v>krzesła</c:v>
                </c:pt>
                <c:pt idx="6">
                  <c:v>nożyczki i linijki</c:v>
                </c:pt>
                <c:pt idx="7">
                  <c:v>papier</c:v>
                </c:pt>
                <c:pt idx="8">
                  <c:v>przyrządy</c:v>
                </c:pt>
                <c:pt idx="9">
                  <c:v>segregatory</c:v>
                </c:pt>
                <c:pt idx="10">
                  <c:v>spinacze i zszywki</c:v>
                </c:pt>
                <c:pt idx="11">
                  <c:v>stoły</c:v>
                </c:pt>
                <c:pt idx="12">
                  <c:v>szafki</c:v>
                </c:pt>
                <c:pt idx="13">
                  <c:v>teczki</c:v>
                </c:pt>
                <c:pt idx="14">
                  <c:v>telefony</c:v>
                </c:pt>
                <c:pt idx="15">
                  <c:v>urządzenia biurowe</c:v>
                </c:pt>
                <c:pt idx="16">
                  <c:v>wyposażenie wnętrza</c:v>
                </c:pt>
              </c:strCache>
            </c:strRef>
          </c:cat>
          <c:val>
            <c:numRef>
              <c:f>[0]!kolumna3</c:f>
              <c:numCache>
                <c:formatCode>General</c:formatCode>
                <c:ptCount val="17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F7-48AF-A033-38D1A1D3C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23575679"/>
        <c:axId val="23570103"/>
      </c:barChart>
      <c:catAx>
        <c:axId val="2357567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570103"/>
        <c:crosses val="autoZero"/>
        <c:auto val="1"/>
        <c:lblAlgn val="ctr"/>
        <c:lblOffset val="100"/>
        <c:noMultiLvlLbl val="0"/>
      </c:catAx>
      <c:valAx>
        <c:axId val="23570103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57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[0]!seria</cx:f>
      </cx:strDim>
      <cx:numDim type="val">
        <cx:f>[0]!wartosc</cx:f>
      </cx:numDim>
    </cx:data>
  </cx:chartData>
  <cx:chart>
    <cx:title pos="t" align="ctr" overlay="0"/>
    <cx:plotArea>
      <cx:plotAreaRegion>
        <cx:series layoutId="boxWhisker" uniqueId="{2672CA07-3F4F-446A-BBEF-7C7F249D9BEA}">
          <cx:tx>
            <cx:txData>
              <cx:f>_xlchart.v1.1</cx:f>
              <cx:v>Rabat procentowy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365760</xdr:colOff>
      <xdr:row>0</xdr:row>
      <xdr:rowOff>76200</xdr:rowOff>
    </xdr:from>
    <xdr:to>
      <xdr:col>13</xdr:col>
      <xdr:colOff>365760</xdr:colOff>
      <xdr:row>27</xdr:row>
      <xdr:rowOff>167640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4F042515-5241-44B6-8A87-506C60BC11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579120</xdr:colOff>
      <xdr:row>9</xdr:row>
      <xdr:rowOff>175260</xdr:rowOff>
    </xdr:from>
    <xdr:to>
      <xdr:col>12</xdr:col>
      <xdr:colOff>274320</xdr:colOff>
      <xdr:row>24</xdr:row>
      <xdr:rowOff>175260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Wykres 1">
              <a:extLst>
                <a:ext uri="{FF2B5EF4-FFF2-40B4-BE49-F238E27FC236}">
                  <a16:creationId xmlns:a16="http://schemas.microsoft.com/office/drawing/2014/main" id="{4E58B716-C9F2-4AE0-A9E3-38F82E77B8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75960" y="182118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243840</xdr:colOff>
      <xdr:row>5</xdr:row>
      <xdr:rowOff>152400</xdr:rowOff>
    </xdr:from>
    <xdr:to>
      <xdr:col>16</xdr:col>
      <xdr:colOff>243840</xdr:colOff>
      <xdr:row>19</xdr:row>
      <xdr:rowOff>59055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Kategoria produktu">
              <a:extLst>
                <a:ext uri="{FF2B5EF4-FFF2-40B4-BE49-F238E27FC236}">
                  <a16:creationId xmlns:a16="http://schemas.microsoft.com/office/drawing/2014/main" id="{FE42B6B8-6304-4877-A5E7-67B06FEE80A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ategoria produktu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927080" y="106680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kształt odzwierciedla fragmentator. Fragmentatory są obsługiwane w programie Excel 2010 i nowszych wersjach.
Jeśli kształt został zmodyfikowany w starszej wersji programu Excel lub jeśli skoroszyt został zapisany w programie Excel 2003 albo starszej wersji, korzystanie z fragmentatora jest niemożliwe.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rtosz Czapiewski" refreshedDate="43728.825864004626" backgroundQuery="1" createdVersion="6" refreshedVersion="6" minRefreshableVersion="3" recordCount="0" supportSubquery="1" supportAdvancedDrill="1" xr:uid="{8F661EAA-34E8-43C7-B99D-43B1D696F2AD}">
  <cacheSource type="external" connectionId="1"/>
  <cacheFields count="6">
    <cacheField name="[Measures].[1kwartyl]" caption="1kwartyl" numFmtId="0" hierarchy="29" level="32767"/>
    <cacheField name="[Measures].[dolny]" caption="dolny" numFmtId="0" hierarchy="30" level="32767"/>
    <cacheField name="[Measures].[górny]" caption="górny" numFmtId="0" hierarchy="31" level="32767"/>
    <cacheField name="[Measures].[linia dolna]" caption="linia dolna" numFmtId="0" hierarchy="32" level="32767"/>
    <cacheField name="[Measures].[linia górna]" caption="linia górna" numFmtId="0" hierarchy="33" level="32767"/>
    <cacheField name="[dane].[Podkategoria produktu].[Podkategoria produktu]" caption="Podkategoria produktu" numFmtId="0" hierarchy="22" level="1">
      <sharedItems count="17">
        <s v="akcesoria komputerowe"/>
        <s v="akcesoria piśmiennicze"/>
        <s v="etykiety"/>
        <s v="koperty"/>
        <s v="kopiarki i faksy"/>
        <s v="krzesła"/>
        <s v="nożyczki i linijki"/>
        <s v="papier"/>
        <s v="przyrządy"/>
        <s v="segregatory"/>
        <s v="spinacze i zszywki"/>
        <s v="stoły"/>
        <s v="szafki"/>
        <s v="teczki"/>
        <s v="telefony"/>
        <s v="urządzenia biurowe"/>
        <s v="wyposażenie wnętrza"/>
      </sharedItems>
      <extLst>
        <ext xmlns:x15="http://schemas.microsoft.com/office/spreadsheetml/2010/11/main" uri="{4F2E5C28-24EA-4eb8-9CBF-B6C8F9C3D259}">
          <x15:cachedUniqueNames>
            <x15:cachedUniqueName index="0" name="[dane].[Podkategoria produktu].&amp;[akcesoria komputerowe]"/>
            <x15:cachedUniqueName index="1" name="[dane].[Podkategoria produktu].&amp;[akcesoria piśmiennicze]"/>
            <x15:cachedUniqueName index="2" name="[dane].[Podkategoria produktu].&amp;[etykiety]"/>
            <x15:cachedUniqueName index="3" name="[dane].[Podkategoria produktu].&amp;[koperty]"/>
            <x15:cachedUniqueName index="4" name="[dane].[Podkategoria produktu].&amp;[kopiarki i faksy]"/>
            <x15:cachedUniqueName index="5" name="[dane].[Podkategoria produktu].&amp;[krzesła]"/>
            <x15:cachedUniqueName index="6" name="[dane].[Podkategoria produktu].&amp;[nożyczki i linijki]"/>
            <x15:cachedUniqueName index="7" name="[dane].[Podkategoria produktu].&amp;[papier]"/>
            <x15:cachedUniqueName index="8" name="[dane].[Podkategoria produktu].&amp;[przyrządy]"/>
            <x15:cachedUniqueName index="9" name="[dane].[Podkategoria produktu].&amp;[segregatory]"/>
            <x15:cachedUniqueName index="10" name="[dane].[Podkategoria produktu].&amp;[spinacze i zszywki]"/>
            <x15:cachedUniqueName index="11" name="[dane].[Podkategoria produktu].&amp;[stoły]"/>
            <x15:cachedUniqueName index="12" name="[dane].[Podkategoria produktu].&amp;[szafki]"/>
            <x15:cachedUniqueName index="13" name="[dane].[Podkategoria produktu].&amp;[teczki]"/>
            <x15:cachedUniqueName index="14" name="[dane].[Podkategoria produktu].&amp;[telefony]"/>
            <x15:cachedUniqueName index="15" name="[dane].[Podkategoria produktu].&amp;[urządzenia biurowe]"/>
            <x15:cachedUniqueName index="16" name="[dane].[Podkategoria produktu].&amp;[wyposażenie wnętrza]"/>
          </x15:cachedUniqueNames>
        </ext>
      </extLst>
    </cacheField>
  </cacheFields>
  <cacheHierarchies count="37">
    <cacheHierarchy uniqueName="[dane].[Nr wiersza]" caption="Nr wiersza" attribute="1" defaultMemberUniqueName="[dane].[Nr wiersza].[All]" allUniqueName="[dane].[Nr wiersza].[All]" dimensionUniqueName="[dane]" displayFolder="" count="0" memberValueDatatype="20" unbalanced="0"/>
    <cacheHierarchy uniqueName="[dane].[Nr zamówienia]" caption="Nr zamówienia" attribute="1" defaultMemberUniqueName="[dane].[Nr zamówienia].[All]" allUniqueName="[dane].[Nr zamówienia].[All]" dimensionUniqueName="[dane]" displayFolder="" count="0" memberValueDatatype="130" unbalanced="0"/>
    <cacheHierarchy uniqueName="[dane].[Data zamówienia]" caption="Data zamówienia" attribute="1" time="1" defaultMemberUniqueName="[dane].[Data zamówienia].[All]" allUniqueName="[dane].[Data zamówienia].[All]" dimensionUniqueName="[dane]" displayFolder="" count="0" memberValueDatatype="7" unbalanced="0"/>
    <cacheHierarchy uniqueName="[dane].[Priorytet zamówienia]" caption="Priorytet zamówienia" attribute="1" defaultMemberUniqueName="[dane].[Priorytet zamówienia].[All]" allUniqueName="[dane].[Priorytet zamówienia].[All]" dimensionUniqueName="[dane]" displayFolder="" count="0" memberValueDatatype="130" unbalanced="0"/>
    <cacheHierarchy uniqueName="[dane].[Wielkość zamówienia]" caption="Wielkość zamówienia" attribute="1" defaultMemberUniqueName="[dane].[Wielkość zamówienia].[All]" allUniqueName="[dane].[Wielkość zamówienia].[All]" dimensionUniqueName="[dane]" displayFolder="" count="0" memberValueDatatype="20" unbalanced="0"/>
    <cacheHierarchy uniqueName="[dane].[Data wysyłki]" caption="Data wysyłki" attribute="1" time="1" defaultMemberUniqueName="[dane].[Data wysyłki].[All]" allUniqueName="[dane].[Data wysyłki].[All]" dimensionUniqueName="[dane]" displayFolder="" count="0" memberValueDatatype="7" unbalanced="0"/>
    <cacheHierarchy uniqueName="[dane].[Rodzaj transportu]" caption="Rodzaj transportu" attribute="1" defaultMemberUniqueName="[dane].[Rodzaj transportu].[All]" allUniqueName="[dane].[Rodzaj transportu].[All]" dimensionUniqueName="[dane]" displayFolder="" count="0" memberValueDatatype="130" unbalanced="0"/>
    <cacheHierarchy uniqueName="[dane].[Rodzaj opakowania]" caption="Rodzaj opakowania" attribute="1" defaultMemberUniqueName="[dane].[Rodzaj opakowania].[All]" allUniqueName="[dane].[Rodzaj opakowania].[All]" dimensionUniqueName="[dane]" displayFolder="" count="0" memberValueDatatype="130" unbalanced="0"/>
    <cacheHierarchy uniqueName="[dane].[Segment rynku]" caption="Segment rynku" attribute="1" defaultMemberUniqueName="[dane].[Segment rynku].[All]" allUniqueName="[dane].[Segment rynku].[All]" dimensionUniqueName="[dane]" displayFolder="" count="0" memberValueDatatype="130" unbalanced="0"/>
    <cacheHierarchy uniqueName="[dane].[Sprzedaż]" caption="Sprzedaż" attribute="1" defaultMemberUniqueName="[dane].[Sprzedaż].[All]" allUniqueName="[dane].[Sprzedaż].[All]" dimensionUniqueName="[dane]" displayFolder="" count="0" memberValueDatatype="5" unbalanced="0"/>
    <cacheHierarchy uniqueName="[dane].[Rabat procentowy]" caption="Rabat procentowy" attribute="1" defaultMemberUniqueName="[dane].[Rabat procentowy].[All]" allUniqueName="[dane].[Rabat procentowy].[All]" dimensionUniqueName="[dane]" displayFolder="" count="0" memberValueDatatype="5" unbalanced="0"/>
    <cacheHierarchy uniqueName="[dane].[Marża podstawowa]" caption="Marża podstawowa" attribute="1" defaultMemberUniqueName="[dane].[Marża podstawowa].[All]" allUniqueName="[dane].[Marża podstawowa].[All]" dimensionUniqueName="[dane]" displayFolder="" count="0" memberValueDatatype="130" unbalanced="0"/>
    <cacheHierarchy uniqueName="[dane].[Koszt dostawy]" caption="Koszt dostawy" attribute="1" defaultMemberUniqueName="[dane].[Koszt dostawy].[All]" allUniqueName="[dane].[Koszt dostawy].[All]" dimensionUniqueName="[dane]" displayFolder="" count="0" memberValueDatatype="5" unbalanced="0"/>
    <cacheHierarchy uniqueName="[dane].[Zysk]" caption="Zysk" attribute="1" defaultMemberUniqueName="[dane].[Zysk].[All]" allUniqueName="[dane].[Zysk].[All]" dimensionUniqueName="[dane]" displayFolder="" count="0" memberValueDatatype="5" unbalanced="0"/>
    <cacheHierarchy uniqueName="[dane].[Region]" caption="Region" attribute="1" defaultMemberUniqueName="[dane].[Region].[All]" allUniqueName="[dane].[Region].[All]" dimensionUniqueName="[dane]" displayFolder="" count="0" memberValueDatatype="130" unbalanced="0"/>
    <cacheHierarchy uniqueName="[dane].[Nr klienta]" caption="Nr klienta" attribute="1" defaultMemberUniqueName="[dane].[Nr klienta].[All]" allUniqueName="[dane].[Nr klienta].[All]" dimensionUniqueName="[dane]" displayFolder="" count="0" memberValueDatatype="130" unbalanced="0"/>
    <cacheHierarchy uniqueName="[dane].[Klient]" caption="Klient" attribute="1" defaultMemberUniqueName="[dane].[Klient].[All]" allUniqueName="[dane].[Klient].[All]" dimensionUniqueName="[dane]" displayFolder="" count="0" memberValueDatatype="130" unbalanced="0"/>
    <cacheHierarchy uniqueName="[dane].[Województwo]" caption="Województwo" attribute="1" defaultMemberUniqueName="[dane].[Województwo].[All]" allUniqueName="[dane].[Województwo].[All]" dimensionUniqueName="[dane]" displayFolder="" count="0" memberValueDatatype="130" unbalanced="0"/>
    <cacheHierarchy uniqueName="[dane].[Miasto]" caption="Miasto" attribute="1" defaultMemberUniqueName="[dane].[Miasto].[All]" allUniqueName="[dane].[Miasto].[All]" dimensionUniqueName="[dane]" displayFolder="" count="0" memberValueDatatype="130" unbalanced="0"/>
    <cacheHierarchy uniqueName="[dane].[Kod pocztowy]" caption="Kod pocztowy" attribute="1" defaultMemberUniqueName="[dane].[Kod pocztowy].[All]" allUniqueName="[dane].[Kod pocztowy].[All]" dimensionUniqueName="[dane]" displayFolder="" count="0" memberValueDatatype="130" unbalanced="0"/>
    <cacheHierarchy uniqueName="[dane].[Nazwa produktu]" caption="Nazwa produktu" attribute="1" defaultMemberUniqueName="[dane].[Nazwa produktu].[All]" allUniqueName="[dane].[Nazwa produktu].[All]" dimensionUniqueName="[dane]" displayFolder="" count="0" memberValueDatatype="130" unbalanced="0"/>
    <cacheHierarchy uniqueName="[dane].[Kategoria produktu]" caption="Kategoria produktu" attribute="1" defaultMemberUniqueName="[dane].[Kategoria produktu].[All]" allUniqueName="[dane].[Kategoria produktu].[All]" dimensionUniqueName="[dane]" displayFolder="" count="0" memberValueDatatype="130" unbalanced="0"/>
    <cacheHierarchy uniqueName="[dane].[Podkategoria produktu]" caption="Podkategoria produktu" attribute="1" defaultMemberUniqueName="[dane].[Podkategoria produktu].[All]" allUniqueName="[dane].[Podkategoria produktu].[All]" dimensionUniqueName="[dane]" displayFolder="" count="2" memberValueDatatype="130" unbalanced="0">
      <fieldsUsage count="2">
        <fieldUsage x="-1"/>
        <fieldUsage x="5"/>
      </fieldsUsage>
    </cacheHierarchy>
    <cacheHierarchy uniqueName="[dane].[Cena jednostkowa]" caption="Cena jednostkowa" attribute="1" defaultMemberUniqueName="[dane].[Cena jednostkowa].[All]" allUniqueName="[dane].[Cena jednostkowa].[All]" dimensionUniqueName="[dane]" displayFolder="" count="0" memberValueDatatype="5" unbalanced="0"/>
    <cacheHierarchy uniqueName="[dane].[Czas dostawy]" caption="Czas dostawy" attribute="1" defaultMemberUniqueName="[dane].[Czas dostawy].[All]" allUniqueName="[dane].[Czas dostawy].[All]" dimensionUniqueName="[dane]" displayFolder="" count="0" memberValueDatatype="20" unbalanced="0"/>
    <cacheHierarchy uniqueName="[Measures].[Mediana]" caption="Mediana" measure="1" displayFolder="" measureGroup="dane" count="0"/>
    <cacheHierarchy uniqueName="[Measures].[min]" caption="min" measure="1" displayFolder="" measureGroup="dane" count="0"/>
    <cacheHierarchy uniqueName="[Measures].[max]" caption="max" measure="1" displayFolder="" measureGroup="dane" count="0"/>
    <cacheHierarchy uniqueName="[Measures].[3kwartyl]" caption="3kwartyl" measure="1" displayFolder="" measureGroup="dane" count="0"/>
    <cacheHierarchy uniqueName="[Measures].[1kwartyl]" caption="1kwartyl" measure="1" displayFolder="" measureGroup="dane" count="0" oneField="1">
      <fieldsUsage count="1">
        <fieldUsage x="0"/>
      </fieldsUsage>
    </cacheHierarchy>
    <cacheHierarchy uniqueName="[Measures].[dolny]" caption="dolny" measure="1" displayFolder="" measureGroup="dane" count="0" oneField="1">
      <fieldsUsage count="1">
        <fieldUsage x="1"/>
      </fieldsUsage>
    </cacheHierarchy>
    <cacheHierarchy uniqueName="[Measures].[górny]" caption="górny" measure="1" displayFolder="" measureGroup="dane" count="0" oneField="1">
      <fieldsUsage count="1">
        <fieldUsage x="2"/>
      </fieldsUsage>
    </cacheHierarchy>
    <cacheHierarchy uniqueName="[Measures].[linia dolna]" caption="linia dolna" measure="1" displayFolder="" measureGroup="dane" count="0" oneField="1">
      <fieldsUsage count="1">
        <fieldUsage x="3"/>
      </fieldsUsage>
    </cacheHierarchy>
    <cacheHierarchy uniqueName="[Measures].[linia górna]" caption="linia górna" measure="1" displayFolder="" measureGroup="dane" count="0" oneField="1">
      <fieldsUsage count="1">
        <fieldUsage x="4"/>
      </fieldsUsage>
    </cacheHierarchy>
    <cacheHierarchy uniqueName="[Measures].[__XL_Count dane]" caption="__XL_Count dane" measure="1" displayFolder="" measureGroup="dane" count="0" hidden="1"/>
    <cacheHierarchy uniqueName="[Measures].[__No measures defined]" caption="__No measures defined" measure="1" displayFolder="" count="0" hidden="1"/>
    <cacheHierarchy uniqueName="[Measures].[Suma Wielkość zamówienia]" caption="Suma Wielkość zamówienia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</cacheHierarchies>
  <kpis count="0"/>
  <dimensions count="2">
    <dimension name="dane" uniqueName="[dane]" caption="dane"/>
    <dimension measure="1" name="Measures" uniqueName="[Measures]" caption="Measures"/>
  </dimensions>
  <measureGroups count="1">
    <measureGroup name="dane" caption="dane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rtosz Czapiewski" refreshedDate="43735.805483101853" backgroundQuery="1" createdVersion="6" refreshedVersion="6" minRefreshableVersion="3" recordCount="0" supportSubquery="1" supportAdvancedDrill="1" xr:uid="{0F3A4428-7C3C-4F81-B155-0C57FBEFC6E3}">
  <cacheSource type="external" connectionId="1"/>
  <cacheFields count="4">
    <cacheField name="[dane].[Region].[Region]" caption="Region" numFmtId="0" hierarchy="14" level="1">
      <sharedItems count="6">
        <s v="południowy"/>
        <s v="południowo-zachodni"/>
        <s v="wschodni"/>
        <s v="centralny"/>
        <s v="północny"/>
        <s v="północno-zachodni"/>
      </sharedItems>
      <extLst>
        <ext xmlns:x15="http://schemas.microsoft.com/office/spreadsheetml/2010/11/main" uri="{4F2E5C28-24EA-4eb8-9CBF-B6C8F9C3D259}">
          <x15:cachedUniqueNames>
            <x15:cachedUniqueName index="0" name="[dane].[Region].&amp;[południowy]"/>
            <x15:cachedUniqueName index="1" name="[dane].[Region].&amp;[południowo-zachodni]"/>
            <x15:cachedUniqueName index="2" name="[dane].[Region].&amp;[wschodni]"/>
            <x15:cachedUniqueName index="3" name="[dane].[Region].&amp;[centralny]"/>
            <x15:cachedUniqueName index="4" name="[dane].[Region].&amp;[północny]"/>
            <x15:cachedUniqueName index="5" name="[dane].[Region].&amp;[północno-zachodni]"/>
          </x15:cachedUniqueNames>
        </ext>
      </extLst>
    </cacheField>
    <cacheField name="[dane].[Rabat procentowy].[Rabat procentowy]" caption="Rabat procentowy" numFmtId="0" hierarchy="10" level="1">
      <sharedItems containsSemiMixedTypes="0" containsString="0" containsNumber="1" minValue="0" maxValue="0.25" count="16">
        <n v="0.08"/>
        <n v="0.02"/>
        <n v="0.04"/>
        <n v="0.01"/>
        <n v="0.06"/>
        <n v="7.0000000000000007E-2"/>
        <n v="0.1"/>
        <n v="0.09"/>
        <n v="0.05"/>
        <n v="0.03"/>
        <n v="0"/>
        <n v="0.17"/>
        <n v="0.21"/>
        <n v="0.11"/>
        <n v="0.16"/>
        <n v="0.25"/>
      </sharedItems>
      <extLst>
        <ext xmlns:x15="http://schemas.microsoft.com/office/spreadsheetml/2010/11/main" uri="{4F2E5C28-24EA-4eb8-9CBF-B6C8F9C3D259}">
          <x15:cachedUniqueNames>
            <x15:cachedUniqueName index="0" name="[dane].[Rabat procentowy].&amp;[8.E-2]"/>
            <x15:cachedUniqueName index="1" name="[dane].[Rabat procentowy].&amp;[2.E-2]"/>
            <x15:cachedUniqueName index="2" name="[dane].[Rabat procentowy].&amp;[4.E-2]"/>
            <x15:cachedUniqueName index="3" name="[dane].[Rabat procentowy].&amp;[1.E-2]"/>
            <x15:cachedUniqueName index="4" name="[dane].[Rabat procentowy].&amp;[6.E-2]"/>
            <x15:cachedUniqueName index="5" name="[dane].[Rabat procentowy].&amp;[7.E-2]"/>
            <x15:cachedUniqueName index="6" name="[dane].[Rabat procentowy].&amp;[1.E-1]"/>
            <x15:cachedUniqueName index="7" name="[dane].[Rabat procentowy].&amp;[9.E-2]"/>
            <x15:cachedUniqueName index="8" name="[dane].[Rabat procentowy].&amp;[5.E-2]"/>
            <x15:cachedUniqueName index="9" name="[dane].[Rabat procentowy].&amp;[3.E-2]"/>
            <x15:cachedUniqueName index="10" name="[dane].[Rabat procentowy].&amp;[0]"/>
            <x15:cachedUniqueName index="11" name="[dane].[Rabat procentowy].&amp;[1.7E-1]"/>
            <x15:cachedUniqueName index="12" name="[dane].[Rabat procentowy].&amp;[2.1E-1]"/>
            <x15:cachedUniqueName index="13" name="[dane].[Rabat procentowy].&amp;[1.1E-1]"/>
            <x15:cachedUniqueName index="14" name="[dane].[Rabat procentowy].&amp;[1.6E-1]"/>
            <x15:cachedUniqueName index="15" name="[dane].[Rabat procentowy].&amp;[2.5E-1]"/>
          </x15:cachedUniqueNames>
        </ext>
      </extLst>
    </cacheField>
    <cacheField name="[dane].[Nr zamówienia].[Nr zamówienia]" caption="Nr zamówienia" numFmtId="0" hierarchy="1" level="1">
      <sharedItems count="6487">
        <s v="PL-2011-000359"/>
        <s v="PL-2011-000548"/>
        <s v="PL-2011-000646"/>
        <s v="PL-2011-000962"/>
        <s v="PL-2011-002433"/>
        <s v="PL-2011-003042"/>
        <s v="PL-2011-003138"/>
        <s v="PL-2011-003332"/>
        <s v="PL-2011-003397"/>
        <s v="PL-2011-003585"/>
        <s v="PL-2011-003841"/>
        <s v="PL-2011-004839"/>
        <s v="PL-2011-005509"/>
        <s v="PL-2011-005920"/>
        <s v="PL-2011-005984"/>
        <s v="PL-2011-006562"/>
        <s v="PL-2011-007364"/>
        <s v="PL-2011-007623"/>
        <s v="PL-2011-007909"/>
        <s v="PL-2011-008165"/>
        <s v="PL-2011-008257"/>
        <s v="PL-2011-008353"/>
        <s v="PL-2011-008994"/>
        <s v="PL-2011-009285"/>
        <s v="PL-2011-009606"/>
        <s v="PL-2011-010277"/>
        <s v="PL-2011-010464"/>
        <s v="PL-2011-011013"/>
        <s v="PL-2011-011077"/>
        <s v="PL-2011-011206"/>
        <s v="PL-2011-011527"/>
        <s v="PL-2011-011712"/>
        <s v="PL-2011-012224"/>
        <s v="PL-2011-012480"/>
        <s v="PL-2011-013408"/>
        <s v="PL-2011-013606"/>
        <s v="PL-2011-013735"/>
        <s v="PL-2011-013959"/>
        <s v="PL-2011-014115"/>
        <s v="PL-2011-014596"/>
        <s v="PL-2011-014756"/>
        <s v="PL-2011-014785"/>
        <s v="PL-2011-016547"/>
        <s v="PL-2011-016676"/>
        <s v="PL-2011-017155"/>
        <s v="PL-2011-017446"/>
        <s v="PL-2011-017636"/>
        <s v="PL-2011-018561"/>
        <s v="PL-2011-019042"/>
        <s v="PL-2011-020007"/>
        <s v="PL-2011-020261"/>
        <s v="PL-2011-021572"/>
        <s v="PL-2011-021636"/>
        <s v="PL-2011-021958"/>
        <s v="PL-2011-022147"/>
        <s v="PL-2011-022755"/>
        <s v="PL-2011-023042"/>
        <s v="PL-2011-023751"/>
        <s v="PL-2011-023877"/>
        <s v="PL-2011-024193"/>
        <s v="PL-2011-024294"/>
        <s v="PL-2011-024455"/>
        <s v="PL-2011-024869"/>
        <s v="PL-2011-026342"/>
        <s v="PL-2011-027013"/>
        <s v="PL-2011-027456"/>
        <s v="PL-2011-028001"/>
        <s v="PL-2011-028225"/>
        <s v="PL-2011-028647"/>
        <s v="PL-2011-029319"/>
        <s v="PL-2011-029350"/>
        <s v="PL-2011-029889"/>
        <s v="PL-2011-030785"/>
        <s v="PL-2011-032037"/>
        <s v="PL-2011-032420"/>
        <s v="PL-2011-032710"/>
        <s v="PL-2011-032869"/>
        <s v="PL-2011-033635"/>
        <s v="PL-2011-034017"/>
        <s v="PL-2011-034435"/>
        <s v="PL-2011-034882"/>
        <s v="PL-2011-035200"/>
        <s v="PL-2011-036069"/>
        <s v="PL-2011-036452"/>
        <s v="PL-2011-036647"/>
        <s v="PL-2011-037537"/>
        <s v="PL-2011-037729"/>
        <s v="PL-2011-037760"/>
        <s v="PL-2011-037924"/>
        <s v="PL-2011-037987"/>
        <s v="PL-2011-038080"/>
        <s v="PL-2011-038087"/>
        <s v="PL-2011-038529"/>
        <s v="PL-2011-038852"/>
        <s v="PL-2011-039015"/>
        <s v="PL-2011-039076"/>
        <s v="PL-2011-039430"/>
        <s v="PL-2011-040101"/>
        <s v="PL-2011-040224"/>
        <s v="PL-2011-040547"/>
        <s v="PL-2011-040997"/>
        <s v="PL-2011-041253"/>
        <s v="PL-2011-041636"/>
        <s v="PL-2011-041793"/>
        <s v="PL-2011-042599"/>
        <s v="PL-2011-042852"/>
        <s v="PL-2011-042949"/>
        <s v="PL-2011-043079"/>
        <s v="PL-2011-044002"/>
        <s v="PL-2011-044231"/>
        <s v="PL-2011-044517"/>
        <s v="PL-2011-045380"/>
        <s v="PL-2011-045539"/>
        <s v="PL-2011-045824"/>
        <s v="PL-2011-046436"/>
        <s v="PL-2011-046853"/>
        <s v="PL-2011-046884"/>
        <s v="PL-2011-047108"/>
        <s v="PL-2011-047493"/>
        <s v="PL-2011-047813"/>
        <s v="PL-2011-048257"/>
        <s v="PL-2011-048483"/>
        <s v="PL-2011-048836"/>
        <s v="PL-2011-049125"/>
        <s v="PL-2011-050656"/>
        <s v="PL-2011-050917"/>
        <s v="PL-2011-051072"/>
        <s v="PL-2011-053153"/>
        <s v="PL-2011-053410"/>
        <s v="PL-2011-053476"/>
        <s v="PL-2011-053953"/>
        <s v="PL-2011-054369"/>
        <s v="PL-2011-054567"/>
        <s v="PL-2011-054595"/>
        <s v="PL-2011-054949"/>
        <s v="PL-2011-055300"/>
        <s v="PL-2011-055392"/>
        <s v="PL-2011-055713"/>
        <s v="PL-2011-055874"/>
        <s v="PL-2011-056452"/>
        <s v="PL-2011-056486"/>
        <s v="PL-2011-057061"/>
        <s v="PL-2011-057794"/>
        <s v="PL-2011-058628"/>
        <s v="PL-2011-058914"/>
        <s v="PL-2011-059365"/>
        <s v="PL-2011-059937"/>
        <s v="PL-2011-085826"/>
        <s v="PL-2011-085827"/>
        <s v="PL-2011-085828"/>
        <s v="PL-2011-085833"/>
        <s v="PL-2011-085834"/>
        <s v="PL-2011-085835"/>
        <s v="PL-2011-085850"/>
        <s v="PL-2011-085857"/>
        <s v="PL-2011-085858"/>
        <s v="PL-2011-085865"/>
        <s v="PL-2011-085866"/>
        <s v="PL-2011-085867"/>
        <s v="PL-2011-085868"/>
        <s v="PL-2011-085880"/>
        <s v="PL-2011-085893"/>
        <s v="PL-2011-085894"/>
        <s v="PL-2011-085895"/>
        <s v="PL-2011-085896"/>
        <s v="PL-2011-085897"/>
        <s v="PL-2011-085898"/>
        <s v="PL-2011-085914"/>
        <s v="PL-2011-085915"/>
        <s v="PL-2011-085916"/>
        <s v="PL-2011-085928"/>
        <s v="PL-2011-085929"/>
        <s v="PL-2011-085938"/>
        <s v="PL-2011-085939"/>
        <s v="PL-2011-085940"/>
        <s v="PL-2011-085947"/>
        <s v="PL-2011-085948"/>
        <s v="PL-2011-085949"/>
        <s v="PL-2011-085950"/>
        <s v="PL-2011-085964"/>
        <s v="PL-2011-085965"/>
        <s v="PL-2011-085966"/>
        <s v="PL-2011-085979"/>
        <s v="PL-2011-085980"/>
        <s v="PL-2011-085981"/>
        <s v="PL-2011-085990"/>
        <s v="PL-2011-085991"/>
        <s v="PL-2011-086002"/>
        <s v="PL-2011-086003"/>
        <s v="PL-2011-086010"/>
        <s v="PL-2011-086011"/>
        <s v="PL-2011-086012"/>
        <s v="PL-2011-086013"/>
        <s v="PL-2011-086014"/>
        <s v="PL-2011-086041"/>
        <s v="PL-2011-086050"/>
        <s v="PL-2011-086051"/>
        <s v="PL-2011-086052"/>
        <s v="PL-2011-086053"/>
        <s v="PL-2011-086054"/>
        <s v="PL-2011-086063"/>
        <s v="PL-2011-086064"/>
        <s v="PL-2011-086075"/>
        <s v="PL-2011-086076"/>
        <s v="PL-2011-086077"/>
        <s v="PL-2011-086085"/>
        <s v="PL-2011-086086"/>
        <s v="PL-2011-086092"/>
        <s v="PL-2011-086101"/>
        <s v="PL-2011-086102"/>
        <s v="PL-2011-086103"/>
        <s v="PL-2011-086104"/>
        <s v="PL-2011-086118"/>
        <s v="PL-2011-086119"/>
        <s v="PL-2011-086122"/>
        <s v="PL-2011-086123"/>
        <s v="PL-2011-086124"/>
        <s v="PL-2011-086144"/>
        <s v="PL-2011-086145"/>
        <s v="PL-2011-086153"/>
        <s v="PL-2011-086163"/>
        <s v="PL-2011-086164"/>
        <s v="PL-2011-086165"/>
        <s v="PL-2011-086166"/>
        <s v="PL-2011-086173"/>
        <s v="PL-2011-086181"/>
        <s v="PL-2011-086184"/>
        <s v="PL-2011-086189"/>
        <s v="PL-2011-086190"/>
        <s v="PL-2011-086191"/>
        <s v="PL-2011-086192"/>
        <s v="PL-2011-086220"/>
        <s v="PL-2011-086221"/>
        <s v="PL-2011-086222"/>
        <s v="PL-2011-086227"/>
        <s v="PL-2011-086233"/>
        <s v="PL-2011-086234"/>
        <s v="PL-2011-086250"/>
        <s v="PL-2011-086258"/>
        <s v="PL-2011-086263"/>
        <s v="PL-2011-086264"/>
        <s v="PL-2011-086267"/>
        <s v="PL-2011-086268"/>
        <s v="PL-2011-086279"/>
        <s v="PL-2011-086283"/>
        <s v="PL-2011-086284"/>
        <s v="PL-2011-086297"/>
        <s v="PL-2011-086307"/>
        <s v="PL-2011-086308"/>
        <s v="PL-2011-086309"/>
        <s v="PL-2011-086310"/>
        <s v="PL-2011-086311"/>
        <s v="PL-2011-086327"/>
        <s v="PL-2011-086331"/>
        <s v="PL-2011-086338"/>
        <s v="PL-2011-086346"/>
        <s v="PL-2011-086356"/>
        <s v="PL-2011-086357"/>
        <s v="PL-2011-086368"/>
        <s v="PL-2011-086369"/>
        <s v="PL-2011-086373"/>
        <s v="PL-2011-086382"/>
        <s v="PL-2011-086383"/>
        <s v="PL-2011-086384"/>
        <s v="PL-2011-086397"/>
        <s v="PL-2011-086409"/>
        <s v="PL-2011-086410"/>
        <s v="PL-2011-086411"/>
        <s v="PL-2011-086422"/>
        <s v="PL-2011-086427"/>
        <s v="PL-2011-086432"/>
        <s v="PL-2011-086447"/>
        <s v="PL-2011-086448"/>
        <s v="PL-2011-086454"/>
        <s v="PL-2011-086459"/>
        <s v="PL-2011-086460"/>
        <s v="PL-2011-086465"/>
        <s v="PL-2011-086466"/>
        <s v="PL-2011-086486"/>
        <s v="PL-2011-086489"/>
        <s v="PL-2011-086490"/>
        <s v="PL-2011-086491"/>
        <s v="PL-2011-086500"/>
        <s v="PL-2011-086507"/>
        <s v="PL-2011-086508"/>
        <s v="PL-2011-086509"/>
        <s v="PL-2011-086514"/>
        <s v="PL-2011-086520"/>
        <s v="PL-2011-086527"/>
        <s v="PL-2011-086528"/>
        <s v="PL-2011-086529"/>
        <s v="PL-2011-086534"/>
        <s v="PL-2011-086535"/>
        <s v="PL-2011-086536"/>
        <s v="PL-2011-086544"/>
        <s v="PL-2011-086545"/>
        <s v="PL-2011-086546"/>
        <s v="PL-2011-086547"/>
        <s v="PL-2011-086548"/>
        <s v="PL-2011-086555"/>
        <s v="PL-2011-086556"/>
        <s v="PL-2011-086565"/>
        <s v="PL-2011-086566"/>
        <s v="PL-2011-086567"/>
        <s v="PL-2011-086573"/>
        <s v="PL-2011-086574"/>
        <s v="PL-2011-086575"/>
        <s v="PL-2011-086591"/>
        <s v="PL-2011-086592"/>
        <s v="PL-2011-086599"/>
        <s v="PL-2011-086600"/>
        <s v="PL-2011-086610"/>
        <s v="PL-2011-086611"/>
        <s v="PL-2011-086612"/>
        <s v="PL-2011-086621"/>
        <s v="PL-2011-086629"/>
        <s v="PL-2011-086633"/>
        <s v="PL-2011-086639"/>
        <s v="PL-2011-086645"/>
        <s v="PL-2011-086646"/>
        <s v="PL-2011-086654"/>
        <s v="PL-2011-086655"/>
        <s v="PL-2011-086662"/>
        <s v="PL-2011-086668"/>
        <s v="PL-2011-086686"/>
        <s v="PL-2011-086687"/>
        <s v="PL-2011-086688"/>
        <s v="PL-2011-086693"/>
        <s v="PL-2011-086694"/>
        <s v="PL-2011-086699"/>
        <s v="PL-2011-086722"/>
        <s v="PL-2011-086723"/>
        <s v="PL-2011-086724"/>
        <s v="PL-2011-086725"/>
        <s v="PL-2011-086734"/>
        <s v="PL-2011-086735"/>
        <s v="PL-2011-086750"/>
        <s v="PL-2011-086751"/>
        <s v="PL-2011-086752"/>
        <s v="PL-2011-086753"/>
        <s v="PL-2011-086754"/>
        <s v="PL-2011-086767"/>
        <s v="PL-2011-086768"/>
        <s v="PL-2011-086789"/>
        <s v="PL-2011-086790"/>
        <s v="PL-2011-086791"/>
        <s v="PL-2011-086792"/>
        <s v="PL-2011-086793"/>
        <s v="PL-2011-086794"/>
        <s v="PL-2011-086795"/>
        <s v="PL-2011-086796"/>
        <s v="PL-2011-086812"/>
        <s v="PL-2011-086813"/>
        <s v="PL-2011-086814"/>
        <s v="PL-2011-086815"/>
        <s v="PL-2011-086826"/>
        <s v="PL-2011-086827"/>
        <s v="PL-2011-086828"/>
        <s v="PL-2011-086836"/>
        <s v="PL-2011-086837"/>
        <s v="PL-2011-086838"/>
        <s v="PL-2011-086839"/>
        <s v="PL-2011-086846"/>
        <s v="PL-2011-086847"/>
        <s v="PL-2011-086860"/>
        <s v="PL-2011-086867"/>
        <s v="PL-2011-086868"/>
        <s v="PL-2011-086869"/>
        <s v="PL-2011-086870"/>
        <s v="PL-2011-086874"/>
        <s v="PL-2011-086883"/>
        <s v="PL-2011-086884"/>
        <s v="PL-2011-086885"/>
        <s v="PL-2011-086886"/>
        <s v="PL-2011-086887"/>
        <s v="PL-2011-086898"/>
        <s v="PL-2011-086899"/>
        <s v="PL-2011-086900"/>
        <s v="PL-2011-086901"/>
        <s v="PL-2011-086902"/>
        <s v="PL-2011-086913"/>
        <s v="PL-2011-086914"/>
        <s v="PL-2011-086925"/>
        <s v="PL-2011-086926"/>
        <s v="PL-2011-086927"/>
        <s v="PL-2011-086933"/>
        <s v="PL-2011-086949"/>
        <s v="PL-2011-086950"/>
        <s v="PL-2011-086951"/>
        <s v="PL-2011-086952"/>
        <s v="PL-2011-086956"/>
        <s v="PL-2011-086957"/>
        <s v="PL-2011-086958"/>
        <s v="PL-2011-086959"/>
        <s v="PL-2011-086960"/>
        <s v="PL-2011-086966"/>
        <s v="PL-2011-086973"/>
        <s v="PL-2011-086989"/>
        <s v="PL-2011-087002"/>
        <s v="PL-2011-087003"/>
        <s v="PL-2011-087004"/>
        <s v="PL-2011-087005"/>
        <s v="PL-2011-087015"/>
        <s v="PL-2011-087016"/>
        <s v="PL-2011-087020"/>
        <s v="PL-2011-087029"/>
        <s v="PL-2011-087030"/>
        <s v="PL-2011-087031"/>
        <s v="PL-2011-087032"/>
        <s v="PL-2011-087033"/>
        <s v="PL-2011-087041"/>
        <s v="PL-2011-087042"/>
        <s v="PL-2011-087043"/>
        <s v="PL-2011-087057"/>
        <s v="PL-2011-087071"/>
        <s v="PL-2011-087072"/>
        <s v="PL-2011-087076"/>
        <s v="PL-2011-087077"/>
        <s v="PL-2011-087078"/>
        <s v="PL-2011-087079"/>
        <s v="PL-2011-087086"/>
        <s v="PL-2011-087087"/>
        <s v="PL-2011-087109"/>
        <s v="PL-2011-087110"/>
        <s v="PL-2011-087117"/>
        <s v="PL-2011-087134"/>
        <s v="PL-2011-087135"/>
        <s v="PL-2011-087146"/>
        <s v="PL-2011-087147"/>
        <s v="PL-2011-087148"/>
        <s v="PL-2011-087160"/>
        <s v="PL-2011-087161"/>
        <s v="PL-2011-087162"/>
        <s v="PL-2011-087175"/>
        <s v="PL-2011-087176"/>
        <s v="PL-2011-087177"/>
        <s v="PL-2011-087178"/>
        <s v="PL-2011-087186"/>
        <s v="PL-2011-087187"/>
        <s v="PL-2011-087193"/>
        <s v="PL-2011-087194"/>
        <s v="PL-2011-087195"/>
        <s v="PL-2011-087208"/>
        <s v="PL-2011-087214"/>
        <s v="PL-2011-087221"/>
        <s v="PL-2011-087222"/>
        <s v="PL-2011-087234"/>
        <s v="PL-2011-087240"/>
        <s v="PL-2011-087243"/>
        <s v="PL-2011-087244"/>
        <s v="PL-2011-087245"/>
        <s v="PL-2011-087258"/>
        <s v="PL-2011-087259"/>
        <s v="PL-2011-087260"/>
        <s v="PL-2011-087272"/>
        <s v="PL-2011-087277"/>
        <s v="PL-2011-087285"/>
        <s v="PL-2011-087286"/>
        <s v="PL-2011-087287"/>
        <s v="PL-2011-087296"/>
        <s v="PL-2011-087297"/>
        <s v="PL-2011-087298"/>
        <s v="PL-2011-087299"/>
        <s v="PL-2011-087306"/>
        <s v="PL-2011-087316"/>
        <s v="PL-2011-087317"/>
        <s v="PL-2011-087342"/>
        <s v="PL-2011-087345"/>
        <s v="PL-2011-087347"/>
        <s v="PL-2011-087356"/>
        <s v="PL-2011-087357"/>
        <s v="PL-2011-087364"/>
        <s v="PL-2011-087365"/>
        <s v="PL-2011-087366"/>
        <s v="PL-2011-087374"/>
        <s v="PL-2011-087378"/>
        <s v="PL-2011-087382"/>
        <s v="PL-2011-087383"/>
        <s v="PL-2011-087396"/>
        <s v="PL-2011-087406"/>
        <s v="PL-2011-087407"/>
        <s v="PL-2011-087408"/>
        <s v="PL-2011-087424"/>
        <s v="PL-2011-087425"/>
        <s v="PL-2011-087426"/>
        <s v="PL-2011-087435"/>
        <s v="PL-2011-087436"/>
        <s v="PL-2011-087451"/>
        <s v="PL-2011-087452"/>
        <s v="PL-2011-087463"/>
        <s v="PL-2011-087464"/>
        <s v="PL-2011-087473"/>
        <s v="PL-2011-087474"/>
        <s v="PL-2011-087484"/>
        <s v="PL-2011-087485"/>
        <s v="PL-2011-087486"/>
        <s v="PL-2011-087487"/>
        <s v="PL-2011-087488"/>
        <s v="PL-2011-087511"/>
        <s v="PL-2011-087520"/>
        <s v="PL-2011-087525"/>
        <s v="PL-2011-087530"/>
        <s v="PL-2011-087534"/>
        <s v="PL-2011-087535"/>
        <s v="PL-2011-087536"/>
        <s v="PL-2011-087537"/>
        <s v="PL-2011-087552"/>
        <s v="PL-2011-087553"/>
        <s v="PL-2011-087554"/>
        <s v="PL-2011-087555"/>
        <s v="PL-2011-087556"/>
        <s v="PL-2011-087569"/>
        <s v="PL-2011-087570"/>
        <s v="PL-2011-087579"/>
        <s v="PL-2011-087583"/>
        <s v="PL-2011-087584"/>
        <s v="PL-2011-087585"/>
        <s v="PL-2011-087586"/>
        <s v="PL-2011-087587"/>
        <s v="PL-2011-087602"/>
        <s v="PL-2011-087603"/>
        <s v="PL-2011-087611"/>
        <s v="PL-2011-087617"/>
        <s v="PL-2011-087618"/>
        <s v="PL-2011-087619"/>
        <s v="PL-2011-087620"/>
        <s v="PL-2011-087630"/>
        <s v="PL-2011-087631"/>
        <s v="PL-2011-087632"/>
        <s v="PL-2011-087633"/>
        <s v="PL-2011-087634"/>
        <s v="PL-2011-087651"/>
        <s v="PL-2011-087652"/>
        <s v="PL-2011-087671"/>
        <s v="PL-2011-087672"/>
        <s v="PL-2011-087676"/>
        <s v="PL-2011-087677"/>
        <s v="PL-2011-087678"/>
        <s v="PL-2011-087679"/>
        <s v="PL-2011-087695"/>
        <s v="PL-2011-087696"/>
        <s v="PL-2011-087700"/>
        <s v="PL-2011-087720"/>
        <s v="PL-2011-087721"/>
        <s v="PL-2011-087725"/>
        <s v="PL-2011-087726"/>
        <s v="PL-2011-087727"/>
        <s v="PL-2011-087747"/>
        <s v="PL-2011-087748"/>
        <s v="PL-2011-087749"/>
        <s v="PL-2011-087757"/>
        <s v="PL-2011-087765"/>
        <s v="PL-2011-087772"/>
        <s v="PL-2011-087773"/>
        <s v="PL-2011-087790"/>
        <s v="PL-2011-087795"/>
        <s v="PL-2011-087804"/>
        <s v="PL-2011-087811"/>
        <s v="PL-2011-087812"/>
        <s v="PL-2011-087813"/>
        <s v="PL-2011-087823"/>
        <s v="PL-2011-087824"/>
        <s v="PL-2011-087830"/>
        <s v="PL-2011-087831"/>
        <s v="PL-2011-087832"/>
        <s v="PL-2011-087846"/>
        <s v="PL-2011-087847"/>
        <s v="PL-2011-087853"/>
        <s v="PL-2011-087862"/>
        <s v="PL-2011-087877"/>
        <s v="PL-2011-087884"/>
        <s v="PL-2011-087885"/>
        <s v="PL-2011-087888"/>
        <s v="PL-2011-087889"/>
        <s v="PL-2011-087899"/>
        <s v="PL-2011-087900"/>
        <s v="PL-2011-087905"/>
        <s v="PL-2011-087908"/>
        <s v="PL-2011-087909"/>
        <s v="PL-2011-087915"/>
        <s v="PL-2011-087916"/>
        <s v="PL-2011-087917"/>
        <s v="PL-2011-087933"/>
        <s v="PL-2011-087934"/>
        <s v="PL-2011-087935"/>
        <s v="PL-2011-087940"/>
        <s v="PL-2011-087946"/>
        <s v="PL-2011-087947"/>
        <s v="PL-2011-087952"/>
        <s v="PL-2011-087953"/>
        <s v="PL-2011-087954"/>
        <s v="PL-2011-087962"/>
        <s v="PL-2011-087963"/>
        <s v="PL-2011-087964"/>
        <s v="PL-2011-087965"/>
        <s v="PL-2011-087977"/>
        <s v="PL-2011-087978"/>
        <s v="PL-2011-087979"/>
        <s v="PL-2011-087980"/>
        <s v="PL-2011-087993"/>
        <s v="PL-2011-087994"/>
        <s v="PL-2011-087995"/>
        <s v="PL-2011-088004"/>
        <s v="PL-2011-088014"/>
        <s v="PL-2011-088015"/>
        <s v="PL-2011-088016"/>
        <s v="PL-2011-088017"/>
        <s v="PL-2011-088023"/>
        <s v="PL-2011-088028"/>
        <s v="PL-2011-088029"/>
        <s v="PL-2011-088030"/>
        <s v="PL-2011-088039"/>
        <s v="PL-2011-088040"/>
        <s v="PL-2011-088041"/>
        <s v="PL-2011-088048"/>
        <s v="PL-2011-088060"/>
        <s v="PL-2011-088061"/>
        <s v="PL-2011-088075"/>
        <s v="PL-2011-088083"/>
        <s v="PL-2011-088084"/>
        <s v="PL-2011-088085"/>
        <s v="PL-2011-088093"/>
        <s v="PL-2011-088094"/>
        <s v="PL-2011-088101"/>
        <s v="PL-2011-088102"/>
        <s v="PL-2011-088103"/>
        <s v="PL-2011-088104"/>
        <s v="PL-2011-088105"/>
        <s v="PL-2011-088114"/>
        <s v="PL-2011-088135"/>
        <s v="PL-2011-088136"/>
        <s v="PL-2011-088137"/>
        <s v="PL-2011-088151"/>
        <s v="PL-2011-088152"/>
        <s v="PL-2011-088156"/>
        <s v="PL-2011-088157"/>
        <s v="PL-2011-088163"/>
        <s v="PL-2011-088164"/>
        <s v="PL-2011-088165"/>
        <s v="PL-2011-088173"/>
        <s v="PL-2011-088174"/>
        <s v="PL-2011-088184"/>
        <s v="PL-2011-088185"/>
        <s v="PL-2011-088191"/>
        <s v="PL-2011-088192"/>
        <s v="PL-2011-088196"/>
        <s v="PL-2011-088197"/>
        <s v="PL-2011-088198"/>
        <s v="PL-2011-088204"/>
        <s v="PL-2011-088205"/>
        <s v="PL-2011-088212"/>
        <s v="PL-2011-088213"/>
        <s v="PL-2011-088219"/>
        <s v="PL-2011-088220"/>
        <s v="PL-2011-088232"/>
        <s v="PL-2011-088233"/>
        <s v="PL-2011-088234"/>
        <s v="PL-2011-088239"/>
        <s v="PL-2011-088240"/>
        <s v="PL-2011-088241"/>
        <s v="PL-2011-088256"/>
        <s v="PL-2011-088265"/>
        <s v="PL-2011-088266"/>
        <s v="PL-2011-088267"/>
        <s v="PL-2011-088268"/>
        <s v="PL-2011-088278"/>
        <s v="PL-2011-088279"/>
        <s v="PL-2011-088280"/>
        <s v="PL-2011-088281"/>
        <s v="PL-2011-088282"/>
        <s v="PL-2011-088296"/>
        <s v="PL-2011-088297"/>
        <s v="PL-2011-088298"/>
        <s v="PL-2011-088319"/>
        <s v="PL-2011-088320"/>
        <s v="PL-2011-088329"/>
        <s v="PL-2011-088330"/>
        <s v="PL-2011-088348"/>
        <s v="PL-2011-088360"/>
        <s v="PL-2011-088361"/>
        <s v="PL-2011-088367"/>
        <s v="PL-2011-088368"/>
        <s v="PL-2011-088371"/>
        <s v="PL-2011-088372"/>
        <s v="PL-2011-088380"/>
        <s v="PL-2011-088387"/>
        <s v="PL-2011-088388"/>
        <s v="PL-2011-088389"/>
        <s v="PL-2011-088390"/>
        <s v="PL-2011-088391"/>
        <s v="PL-2011-088403"/>
        <s v="PL-2011-088404"/>
        <s v="PL-2011-088405"/>
        <s v="PL-2011-088406"/>
        <s v="PL-2011-088410"/>
        <s v="PL-2011-088411"/>
        <s v="PL-2011-088418"/>
        <s v="PL-2011-088425"/>
        <s v="PL-2011-088426"/>
        <s v="PL-2011-088443"/>
        <s v="PL-2011-088444"/>
        <s v="PL-2011-088447"/>
        <s v="PL-2011-088448"/>
        <s v="PL-2011-088449"/>
        <s v="PL-2011-088460"/>
        <s v="PL-2011-088461"/>
        <s v="PL-2011-088474"/>
        <s v="PL-2011-088475"/>
        <s v="PL-2011-088479"/>
        <s v="PL-2011-088480"/>
        <s v="PL-2011-088487"/>
        <s v="PL-2011-088502"/>
        <s v="PL-2011-088503"/>
        <s v="PL-2011-088504"/>
        <s v="PL-2011-088511"/>
        <s v="PL-2011-088522"/>
        <s v="PL-2011-088527"/>
        <s v="PL-2011-088534"/>
        <s v="PL-2011-088543"/>
        <s v="PL-2011-088544"/>
        <s v="PL-2011-088545"/>
        <s v="PL-2011-088546"/>
        <s v="PL-2011-088547"/>
        <s v="PL-2011-088548"/>
        <s v="PL-2011-088554"/>
        <s v="PL-2011-088555"/>
        <s v="PL-2011-088556"/>
        <s v="PL-2011-088557"/>
        <s v="PL-2011-088558"/>
        <s v="PL-2011-088568"/>
        <s v="PL-2011-088569"/>
        <s v="PL-2011-088570"/>
        <s v="PL-2011-088571"/>
        <s v="PL-2011-088579"/>
        <s v="PL-2011-088580"/>
        <s v="PL-2011-088587"/>
        <s v="PL-2011-088588"/>
        <s v="PL-2011-088589"/>
        <s v="PL-2011-088590"/>
        <s v="PL-2011-088598"/>
        <s v="PL-2011-088599"/>
        <s v="PL-2011-088600"/>
        <s v="PL-2011-088610"/>
        <s v="PL-2011-088611"/>
        <s v="PL-2011-088612"/>
        <s v="PL-2011-088626"/>
        <s v="PL-2011-088627"/>
        <s v="PL-2011-088632"/>
        <s v="PL-2011-088633"/>
        <s v="PL-2011-088634"/>
        <s v="PL-2011-088644"/>
        <s v="PL-2011-088645"/>
        <s v="PL-2011-088646"/>
        <s v="PL-2011-088656"/>
        <s v="PL-2011-088657"/>
        <s v="PL-2011-088658"/>
        <s v="PL-2011-088666"/>
        <s v="PL-2011-088667"/>
        <s v="PL-2011-088668"/>
        <s v="PL-2011-088677"/>
        <s v="PL-2011-088678"/>
        <s v="PL-2011-088679"/>
        <s v="PL-2011-088685"/>
        <s v="PL-2011-088686"/>
        <s v="PL-2011-088692"/>
        <s v="PL-2011-088701"/>
        <s v="PL-2011-088702"/>
        <s v="PL-2011-088713"/>
        <s v="PL-2011-088714"/>
        <s v="PL-2011-088721"/>
        <s v="PL-2011-088722"/>
        <s v="PL-2011-088726"/>
        <s v="PL-2011-088727"/>
        <s v="PL-2011-088728"/>
        <s v="PL-2011-088729"/>
        <s v="PL-2011-088730"/>
        <s v="PL-2011-088731"/>
        <s v="PL-2011-088745"/>
        <s v="PL-2011-088746"/>
        <s v="PL-2011-088753"/>
        <s v="PL-2011-088758"/>
        <s v="PL-2011-088766"/>
        <s v="PL-2011-088781"/>
        <s v="PL-2011-088782"/>
        <s v="PL-2011-088783"/>
        <s v="PL-2011-088784"/>
        <s v="PL-2011-088794"/>
        <s v="PL-2011-088798"/>
        <s v="PL-2011-088814"/>
        <s v="PL-2011-088815"/>
        <s v="PL-2011-088819"/>
        <s v="PL-2011-088824"/>
        <s v="PL-2011-088825"/>
        <s v="PL-2011-088826"/>
        <s v="PL-2011-088836"/>
        <s v="PL-2011-088837"/>
        <s v="PL-2011-088838"/>
        <s v="PL-2011-088839"/>
        <s v="PL-2011-088840"/>
        <s v="PL-2011-088852"/>
        <s v="PL-2011-088857"/>
        <s v="PL-2011-088870"/>
        <s v="PL-2011-088871"/>
        <s v="PL-2011-088879"/>
        <s v="PL-2011-088880"/>
        <s v="PL-2011-088881"/>
        <s v="PL-2011-088882"/>
        <s v="PL-2011-088889"/>
        <s v="PL-2011-088890"/>
        <s v="PL-2011-088899"/>
        <s v="PL-2011-088905"/>
        <s v="PL-2011-088906"/>
        <s v="PL-2011-088907"/>
        <s v="PL-2011-088908"/>
        <s v="PL-2011-088921"/>
        <s v="PL-2011-088928"/>
        <s v="PL-2011-088929"/>
        <s v="PL-2011-088940"/>
        <s v="PL-2011-088941"/>
        <s v="PL-2011-088942"/>
        <s v="PL-2011-088958"/>
        <s v="PL-2011-088959"/>
        <s v="PL-2011-088971"/>
        <s v="PL-2011-088972"/>
        <s v="PL-2011-088974"/>
        <s v="PL-2011-088975"/>
        <s v="PL-2011-088998"/>
        <s v="PL-2011-089004"/>
        <s v="PL-2011-089005"/>
        <s v="PL-2011-089006"/>
        <s v="PL-2011-089007"/>
        <s v="PL-2011-089008"/>
        <s v="PL-2011-089017"/>
        <s v="PL-2011-089018"/>
        <s v="PL-2011-089019"/>
        <s v="PL-2011-089025"/>
        <s v="PL-2011-089039"/>
        <s v="PL-2011-089040"/>
        <s v="PL-2011-089041"/>
        <s v="PL-2011-089047"/>
        <s v="PL-2011-089053"/>
        <s v="PL-2011-089054"/>
        <s v="PL-2011-089055"/>
        <s v="PL-2011-089059"/>
        <s v="PL-2011-089071"/>
        <s v="PL-2011-089076"/>
        <s v="PL-2011-089077"/>
        <s v="PL-2011-089083"/>
        <s v="PL-2011-089084"/>
        <s v="PL-2011-089092"/>
        <s v="PL-2011-089093"/>
        <s v="PL-2011-089095"/>
        <s v="PL-2011-089096"/>
        <s v="PL-2011-089097"/>
        <s v="PL-2011-089102"/>
        <s v="PL-2011-089106"/>
        <s v="PL-2011-089112"/>
        <s v="PL-2011-089128"/>
        <s v="PL-2011-089129"/>
        <s v="PL-2011-089130"/>
        <s v="PL-2011-089139"/>
        <s v="PL-2011-089140"/>
        <s v="PL-2011-089146"/>
        <s v="PL-2011-089147"/>
        <s v="PL-2011-089148"/>
        <s v="PL-2011-089166"/>
        <s v="PL-2011-089174"/>
        <s v="PL-2011-089175"/>
        <s v="PL-2011-089176"/>
        <s v="PL-2011-089184"/>
        <s v="PL-2011-089193"/>
        <s v="PL-2011-089194"/>
        <s v="PL-2011-089199"/>
        <s v="PL-2011-089200"/>
        <s v="PL-2011-089201"/>
        <s v="PL-2011-089202"/>
        <s v="PL-2011-089203"/>
        <s v="PL-2011-089209"/>
        <s v="PL-2011-089211"/>
        <s v="PL-2011-089218"/>
        <s v="PL-2011-089219"/>
        <s v="PL-2011-089240"/>
        <s v="PL-2011-089251"/>
        <s v="PL-2011-089257"/>
        <s v="PL-2011-089258"/>
        <s v="PL-2011-089259"/>
        <s v="PL-2011-089278"/>
        <s v="PL-2011-089279"/>
        <s v="PL-2011-089284"/>
        <s v="PL-2011-089291"/>
        <s v="PL-2011-089292"/>
        <s v="PL-2011-089293"/>
        <s v="PL-2011-089299"/>
        <s v="PL-2011-089300"/>
        <s v="PL-2011-089301"/>
        <s v="PL-2011-089314"/>
        <s v="PL-2011-089315"/>
        <s v="PL-2011-089316"/>
        <s v="PL-2011-089319"/>
        <s v="PL-2011-089320"/>
        <s v="PL-2011-089327"/>
        <s v="PL-2011-089333"/>
        <s v="PL-2011-089334"/>
        <s v="PL-2011-089344"/>
        <s v="PL-2011-089355"/>
        <s v="PL-2011-089356"/>
        <s v="PL-2011-089360"/>
        <s v="PL-2011-089361"/>
        <s v="PL-2011-089375"/>
        <s v="PL-2011-089376"/>
        <s v="PL-2011-089389"/>
        <s v="PL-2011-089394"/>
        <s v="PL-2011-089401"/>
        <s v="PL-2011-089402"/>
        <s v="PL-2011-089406"/>
        <s v="PL-2011-089407"/>
        <s v="PL-2011-089408"/>
        <s v="PL-2011-089414"/>
        <s v="PL-2011-089415"/>
        <s v="PL-2011-089426"/>
        <s v="PL-2011-089431"/>
        <s v="PL-2011-089432"/>
        <s v="PL-2011-089433"/>
        <s v="PL-2011-089434"/>
        <s v="PL-2011-089440"/>
        <s v="PL-2011-089448"/>
        <s v="PL-2011-089449"/>
        <s v="PL-2011-089450"/>
        <s v="PL-2011-089456"/>
        <s v="PL-2011-089465"/>
        <s v="PL-2011-089481"/>
        <s v="PL-2011-089497"/>
        <s v="PL-2011-089503"/>
        <s v="PL-2011-089504"/>
        <s v="PL-2011-089505"/>
        <s v="PL-2011-089514"/>
        <s v="PL-2011-089515"/>
        <s v="PL-2011-089520"/>
        <s v="PL-2011-089521"/>
        <s v="PL-2011-089522"/>
        <s v="PL-2011-089523"/>
        <s v="PL-2011-089524"/>
        <s v="PL-2011-089525"/>
        <s v="PL-2011-089536"/>
        <s v="PL-2011-089537"/>
        <s v="PL-2011-089564"/>
        <s v="PL-2011-089571"/>
        <s v="PL-2011-089572"/>
        <s v="PL-2011-089579"/>
        <s v="PL-2011-089583"/>
        <s v="PL-2011-089584"/>
        <s v="PL-2011-089585"/>
        <s v="PL-2011-089595"/>
        <s v="PL-2011-089596"/>
        <s v="PL-2011-089601"/>
        <s v="PL-2011-089602"/>
        <s v="PL-2011-089608"/>
        <s v="PL-2011-089609"/>
        <s v="PL-2011-089610"/>
        <s v="PL-2011-089611"/>
        <s v="PL-2011-089631"/>
        <s v="PL-2011-089639"/>
        <s v="PL-2011-089647"/>
        <s v="PL-2011-089657"/>
        <s v="PL-2011-089658"/>
        <s v="PL-2011-089664"/>
        <s v="PL-2011-089665"/>
        <s v="PL-2011-089666"/>
        <s v="PL-2011-089679"/>
        <s v="PL-2011-089680"/>
        <s v="PL-2011-089686"/>
        <s v="PL-2011-089697"/>
        <s v="PL-2011-089704"/>
        <s v="PL-2011-089705"/>
        <s v="PL-2011-089706"/>
        <s v="PL-2011-089716"/>
        <s v="PL-2011-089726"/>
        <s v="PL-2011-089729"/>
        <s v="PL-2011-089730"/>
        <s v="PL-2011-089743"/>
        <s v="PL-2011-089761"/>
        <s v="PL-2011-089762"/>
        <s v="PL-2011-089770"/>
        <s v="PL-2011-089775"/>
        <s v="PL-2011-089776"/>
        <s v="PL-2011-089777"/>
        <s v="PL-2011-089787"/>
        <s v="PL-2011-089789"/>
        <s v="PL-2011-089801"/>
        <s v="PL-2011-089805"/>
        <s v="PL-2011-089810"/>
        <s v="PL-2011-089818"/>
        <s v="PL-2011-089819"/>
        <s v="PL-2011-089820"/>
        <s v="PL-2011-089835"/>
        <s v="PL-2011-089836"/>
        <s v="PL-2011-089847"/>
        <s v="PL-2011-089848"/>
        <s v="PL-2011-089849"/>
        <s v="PL-2011-089856"/>
        <s v="PL-2011-089857"/>
        <s v="PL-2011-089858"/>
        <s v="PL-2011-089869"/>
        <s v="PL-2011-089872"/>
        <s v="PL-2011-089873"/>
        <s v="PL-2011-089874"/>
        <s v="PL-2011-089879"/>
        <s v="PL-2011-089880"/>
        <s v="PL-2011-089885"/>
        <s v="PL-2011-089897"/>
        <s v="PL-2011-089909"/>
        <s v="PL-2011-089910"/>
        <s v="PL-2011-089915"/>
        <s v="PL-2011-089928"/>
        <s v="PL-2011-089939"/>
        <s v="PL-2011-089940"/>
        <s v="PL-2011-089941"/>
        <s v="PL-2011-089942"/>
        <s v="PL-2011-089943"/>
        <s v="PL-2011-089944"/>
        <s v="PL-2011-089957"/>
        <s v="PL-2011-089961"/>
        <s v="PL-2011-089970"/>
        <s v="PL-2011-089981"/>
        <s v="PL-2011-089982"/>
        <s v="PL-2011-089983"/>
        <s v="PL-2011-089984"/>
        <s v="PL-2011-089988"/>
        <s v="PL-2011-089993"/>
        <s v="PL-2011-089994"/>
        <s v="PL-2011-089999"/>
        <s v="PL-2011-090000"/>
        <s v="PL-2011-090001"/>
        <s v="PL-2011-090002"/>
        <s v="PL-2011-090003"/>
        <s v="PL-2011-090011"/>
        <s v="PL-2011-090026"/>
        <s v="PL-2011-090027"/>
        <s v="PL-2011-090031"/>
        <s v="PL-2011-090032"/>
        <s v="PL-2011-090040"/>
        <s v="PL-2011-090043"/>
        <s v="PL-2011-090044"/>
        <s v="PL-2011-090048"/>
        <s v="PL-2011-090058"/>
        <s v="PL-2011-090059"/>
        <s v="PL-2011-090069"/>
        <s v="PL-2011-090078"/>
        <s v="PL-2011-090079"/>
        <s v="PL-2011-090099"/>
        <s v="PL-2011-090103"/>
        <s v="PL-2011-090104"/>
        <s v="PL-2011-090109"/>
        <s v="PL-2011-090110"/>
        <s v="PL-2011-090114"/>
        <s v="PL-2011-090115"/>
        <s v="PL-2011-090120"/>
        <s v="PL-2011-090121"/>
        <s v="PL-2011-090145"/>
        <s v="PL-2011-090146"/>
        <s v="PL-2011-090147"/>
        <s v="PL-2011-090148"/>
        <s v="PL-2011-090154"/>
        <s v="PL-2011-090160"/>
        <s v="PL-2011-090166"/>
        <s v="PL-2011-090167"/>
        <s v="PL-2011-090178"/>
        <s v="PL-2011-090185"/>
        <s v="PL-2011-090186"/>
        <s v="PL-2011-090187"/>
        <s v="PL-2011-090189"/>
        <s v="PL-2011-090190"/>
        <s v="PL-2011-090192"/>
        <s v="PL-2011-090193"/>
        <s v="PL-2011-090201"/>
        <s v="PL-2011-090218"/>
        <s v="PL-2011-090236"/>
        <s v="PL-2011-090237"/>
        <s v="PL-2011-090238"/>
        <s v="PL-2011-090239"/>
        <s v="PL-2011-090244"/>
        <s v="PL-2011-090248"/>
        <s v="PL-2011-090258"/>
        <s v="PL-2011-090264"/>
        <s v="PL-2011-090265"/>
        <s v="PL-2011-090270"/>
        <s v="PL-2011-090271"/>
        <s v="PL-2011-090291"/>
        <s v="PL-2011-090292"/>
        <s v="PL-2011-090296"/>
        <s v="PL-2011-090301"/>
        <s v="PL-2011-090303"/>
        <s v="PL-2011-090309"/>
        <s v="PL-2011-090314"/>
        <s v="PL-2011-090322"/>
        <s v="PL-2011-090327"/>
        <s v="PL-2011-090333"/>
        <s v="PL-2011-090334"/>
        <s v="PL-2011-090335"/>
        <s v="PL-2011-090337"/>
        <s v="PL-2011-090338"/>
        <s v="PL-2011-090339"/>
        <s v="PL-2011-090353"/>
        <s v="PL-2011-090354"/>
        <s v="PL-2011-090359"/>
        <s v="PL-2011-090360"/>
        <s v="PL-2011-090361"/>
        <s v="PL-2011-090362"/>
        <s v="PL-2011-090378"/>
        <s v="PL-2011-090385"/>
        <s v="PL-2011-090386"/>
        <s v="PL-2011-090387"/>
        <s v="PL-2011-090404"/>
        <s v="PL-2011-090405"/>
        <s v="PL-2011-090408"/>
        <s v="PL-2011-090414"/>
        <s v="PL-2011-090415"/>
        <s v="PL-2011-090430"/>
        <s v="PL-2011-090431"/>
        <s v="PL-2011-090432"/>
        <s v="PL-2011-090437"/>
        <s v="PL-2011-090438"/>
        <s v="PL-2011-090439"/>
        <s v="PL-2011-090449"/>
        <s v="PL-2011-090460"/>
        <s v="PL-2011-090461"/>
        <s v="PL-2011-090462"/>
        <s v="PL-2011-090469"/>
        <s v="PL-2011-090473"/>
        <s v="PL-2011-090479"/>
        <s v="PL-2011-090480"/>
        <s v="PL-2011-090488"/>
        <s v="PL-2011-090491"/>
        <s v="PL-2011-090492"/>
        <s v="PL-2011-090493"/>
        <s v="PL-2011-090500"/>
        <s v="PL-2011-090501"/>
        <s v="PL-2011-090502"/>
        <s v="PL-2011-090513"/>
        <s v="PL-2011-090514"/>
        <s v="PL-2011-090524"/>
        <s v="PL-2011-090525"/>
        <s v="PL-2011-090530"/>
        <s v="PL-2011-090531"/>
        <s v="PL-2011-090532"/>
        <s v="PL-2011-090533"/>
        <s v="PL-2011-090538"/>
        <s v="PL-2011-090539"/>
        <s v="PL-2011-090540"/>
        <s v="PL-2011-090551"/>
        <s v="PL-2011-090557"/>
        <s v="PL-2011-090568"/>
        <s v="PL-2011-090577"/>
        <s v="PL-2011-090578"/>
        <s v="PL-2011-090583"/>
        <s v="PL-2011-090588"/>
        <s v="PL-2011-090589"/>
        <s v="PL-2011-090593"/>
        <s v="PL-2011-090594"/>
        <s v="PL-2011-090596"/>
        <s v="PL-2011-090597"/>
        <s v="PL-2011-090600"/>
        <s v="PL-2011-090601"/>
        <s v="PL-2011-090602"/>
        <s v="PL-2011-090612"/>
        <s v="PL-2011-090613"/>
        <s v="PL-2011-090621"/>
        <s v="PL-2011-090624"/>
        <s v="PL-2011-090630"/>
        <s v="PL-2011-090631"/>
        <s v="PL-2011-090641"/>
        <s v="PL-2011-090646"/>
        <s v="PL-2011-090653"/>
        <s v="PL-2011-090662"/>
        <s v="PL-2011-090669"/>
        <s v="PL-2011-090674"/>
        <s v="PL-2011-090675"/>
        <s v="PL-2011-090678"/>
        <s v="PL-2011-090685"/>
        <s v="PL-2011-090695"/>
        <s v="PL-2011-090706"/>
        <s v="PL-2011-090710"/>
        <s v="PL-2011-090714"/>
        <s v="PL-2011-090724"/>
        <s v="PL-2011-090725"/>
        <s v="PL-2011-090731"/>
        <s v="PL-2011-090735"/>
        <s v="PL-2011-090739"/>
        <s v="PL-2011-090750"/>
        <s v="PL-2011-090751"/>
        <s v="PL-2011-090752"/>
        <s v="PL-2011-090753"/>
        <s v="PL-2011-090766"/>
        <s v="PL-2011-090767"/>
        <s v="PL-2011-090771"/>
        <s v="PL-2011-090786"/>
        <s v="PL-2011-090787"/>
        <s v="PL-2011-090796"/>
        <s v="PL-2011-090800"/>
        <s v="PL-2011-090806"/>
        <s v="PL-2011-090814"/>
        <s v="PL-2011-090815"/>
        <s v="PL-2011-090818"/>
        <s v="PL-2011-090819"/>
        <s v="PL-2011-090820"/>
        <s v="PL-2011-090821"/>
        <s v="PL-2011-090832"/>
        <s v="PL-2011-090833"/>
        <s v="PL-2011-090837"/>
        <s v="PL-2011-090844"/>
        <s v="PL-2011-090850"/>
        <s v="PL-2011-090853"/>
        <s v="PL-2011-090854"/>
        <s v="PL-2011-090855"/>
        <s v="PL-2011-090859"/>
        <s v="PL-2011-090860"/>
        <s v="PL-2011-090861"/>
        <s v="PL-2011-090867"/>
        <s v="PL-2011-090871"/>
        <s v="PL-2011-090880"/>
        <s v="PL-2011-090881"/>
        <s v="PL-2011-090888"/>
        <s v="PL-2011-090891"/>
        <s v="PL-2011-090899"/>
        <s v="PL-2011-090905"/>
        <s v="PL-2011-090908"/>
        <s v="PL-2011-090909"/>
        <s v="PL-2011-090910"/>
        <s v="PL-2011-090917"/>
        <s v="PL-2011-090922"/>
        <s v="PL-2011-090927"/>
        <s v="PL-2011-090932"/>
        <s v="PL-2011-090934"/>
        <s v="PL-2011-090951"/>
        <s v="PL-2011-090952"/>
        <s v="PL-2011-090961"/>
        <s v="PL-2011-090962"/>
        <s v="PL-2011-090964"/>
        <s v="PL-2011-090973"/>
        <s v="PL-2011-090977"/>
        <s v="PL-2011-090985"/>
        <s v="PL-2011-090986"/>
        <s v="PL-2011-090987"/>
        <s v="PL-2011-091000"/>
        <s v="PL-2011-091017"/>
        <s v="PL-2011-091025"/>
        <s v="PL-2011-091030"/>
        <s v="PL-2011-091036"/>
        <s v="PL-2011-091041"/>
        <s v="PL-2011-091042"/>
        <s v="PL-2011-091043"/>
        <s v="PL-2011-091049"/>
        <s v="PL-2011-091053"/>
        <s v="PL-2011-091054"/>
        <s v="PL-2011-091057"/>
        <s v="PL-2011-091059"/>
        <s v="PL-2011-091060"/>
        <s v="PL-2011-091062"/>
        <s v="PL-2011-091063"/>
        <s v="PL-2011-091076"/>
        <s v="PL-2011-091077"/>
        <s v="PL-2011-091078"/>
        <s v="PL-2011-091086"/>
        <s v="PL-2011-091087"/>
        <s v="PL-2011-091088"/>
        <s v="PL-2011-091089"/>
        <s v="PL-2011-091090"/>
        <s v="PL-2011-091108"/>
        <s v="PL-2011-091109"/>
        <s v="PL-2011-091110"/>
        <s v="PL-2011-091115"/>
        <s v="PL-2011-091116"/>
        <s v="PL-2011-091122"/>
        <s v="PL-2011-091123"/>
        <s v="PL-2011-091127"/>
        <s v="PL-2011-091130"/>
        <s v="PL-2011-091131"/>
        <s v="PL-2011-091144"/>
        <s v="PL-2011-091166"/>
        <s v="PL-2011-091167"/>
        <s v="PL-2011-091174"/>
        <s v="PL-2011-091175"/>
        <s v="PL-2011-091180"/>
        <s v="PL-2011-091194"/>
        <s v="PL-2011-091195"/>
        <s v="PL-2011-091200"/>
        <s v="PL-2011-091201"/>
        <s v="PL-2011-091209"/>
        <s v="PL-2011-091212"/>
        <s v="PL-2011-091213"/>
        <s v="PL-2011-091219"/>
        <s v="PL-2011-091228"/>
        <s v="PL-2011-091229"/>
        <s v="PL-2011-091235"/>
        <s v="PL-2011-091236"/>
        <s v="PL-2011-091244"/>
        <s v="PL-2011-091245"/>
        <s v="PL-2011-091258"/>
        <s v="PL-2011-091261"/>
        <s v="PL-2011-091262"/>
        <s v="PL-2011-091263"/>
        <s v="PL-2011-091277"/>
        <s v="PL-2011-091285"/>
        <s v="PL-2011-091286"/>
        <s v="PL-2011-091296"/>
        <s v="PL-2011-091297"/>
        <s v="PL-2011-091298"/>
        <s v="PL-2011-091304"/>
        <s v="PL-2011-091305"/>
        <s v="PL-2011-091306"/>
        <s v="PL-2011-091310"/>
        <s v="PL-2011-091316"/>
        <s v="PL-2011-091321"/>
        <s v="PL-2011-091328"/>
        <s v="PL-2011-091344"/>
        <s v="PL-2011-091354"/>
        <s v="PL-2011-091355"/>
        <s v="PL-2011-091362"/>
        <s v="PL-2011-091363"/>
        <s v="PL-2011-091365"/>
        <s v="PL-2011-091366"/>
        <s v="PL-2011-091371"/>
        <s v="PL-2011-091376"/>
        <s v="PL-2011-091386"/>
        <s v="PL-2011-091388"/>
        <s v="PL-2011-091389"/>
        <s v="PL-2011-091397"/>
        <s v="PL-2011-091398"/>
        <s v="PL-2011-091407"/>
        <s v="PL-2011-091408"/>
        <s v="PL-2011-091414"/>
        <s v="PL-2011-091415"/>
        <s v="PL-2011-091416"/>
        <s v="PL-2011-091417"/>
        <s v="PL-2011-091424"/>
        <s v="PL-2011-091432"/>
        <s v="PL-2011-091433"/>
        <s v="PL-2011-091435"/>
        <s v="PL-2011-091436"/>
        <s v="PL-2011-091437"/>
        <s v="PL-2011-091438"/>
        <s v="PL-2011-091447"/>
        <s v="PL-2011-091451"/>
        <s v="PL-2011-091454"/>
        <s v="PL-2011-091466"/>
        <s v="PL-2011-091480"/>
        <s v="PL-2011-091481"/>
        <s v="PL-2011-091482"/>
        <s v="PL-2011-091488"/>
        <s v="PL-2011-091492"/>
        <s v="PL-2011-091495"/>
        <s v="PL-2011-091496"/>
        <s v="PL-2011-091502"/>
        <s v="PL-2011-091513"/>
        <s v="PL-2011-091522"/>
        <s v="PL-2011-091543"/>
        <s v="PL-2011-091550"/>
        <s v="PL-2011-091555"/>
        <s v="PL-2011-091571"/>
        <s v="PL-2011-091575"/>
        <s v="PL-2011-091576"/>
        <s v="PL-2011-091581"/>
        <s v="PL-2011-091583"/>
        <s v="PL-2011-091584"/>
        <s v="PL-2011-091586"/>
        <s v="PL-2012-000193"/>
        <s v="PL-2012-000358"/>
        <s v="PL-2012-000738"/>
        <s v="PL-2012-000773"/>
        <s v="PL-2012-001222"/>
        <s v="PL-2012-002368"/>
        <s v="PL-2012-002563"/>
        <s v="PL-2012-002759"/>
        <s v="PL-2012-003905"/>
        <s v="PL-2012-004004"/>
        <s v="PL-2012-004610"/>
        <s v="PL-2012-005346"/>
        <s v="PL-2012-005504"/>
        <s v="PL-2012-005543"/>
        <s v="PL-2012-005702"/>
        <s v="PL-2012-005703"/>
        <s v="PL-2012-007078"/>
        <s v="PL-2012-007079"/>
        <s v="PL-2012-007335"/>
        <s v="PL-2012-007619"/>
        <s v="PL-2012-008000"/>
        <s v="PL-2012-008001"/>
        <s v="PL-2012-008131"/>
        <s v="PL-2012-009895"/>
        <s v="PL-2012-010080"/>
        <s v="PL-2012-010081"/>
        <s v="PL-2012-010147"/>
        <s v="PL-2012-010247"/>
        <s v="PL-2012-010373"/>
        <s v="PL-2012-010435"/>
        <s v="PL-2012-010819"/>
        <s v="PL-2012-010919"/>
        <s v="PL-2012-011460"/>
        <s v="PL-2012-011779"/>
        <s v="PL-2012-012643"/>
        <s v="PL-2012-012900"/>
        <s v="PL-2012-013440"/>
        <s v="PL-2012-014023"/>
        <s v="PL-2012-014755"/>
        <s v="PL-2012-014819"/>
        <s v="PL-2012-014855"/>
        <s v="PL-2012-015303"/>
        <s v="PL-2012-015463"/>
        <s v="PL-2012-016289"/>
        <s v="PL-2012-016741"/>
        <s v="PL-2012-016806"/>
        <s v="PL-2012-017542"/>
        <s v="PL-2012-018530"/>
        <s v="PL-2012-018598"/>
        <s v="PL-2012-019205"/>
        <s v="PL-2012-019556"/>
        <s v="PL-2012-019812"/>
        <s v="PL-2012-019841"/>
        <s v="PL-2012-020036"/>
        <s v="PL-2012-021249"/>
        <s v="PL-2012-021539"/>
        <s v="PL-2012-021574"/>
        <s v="PL-2012-021600"/>
        <s v="PL-2012-022468"/>
        <s v="PL-2012-022656"/>
        <s v="PL-2012-023271"/>
        <s v="PL-2012-023782"/>
        <s v="PL-2012-024356"/>
        <s v="PL-2012-024577"/>
        <s v="PL-2012-024610"/>
        <s v="PL-2012-024806"/>
        <s v="PL-2012-024903"/>
        <s v="PL-2012-025062"/>
        <s v="PL-2012-025830"/>
        <s v="PL-2012-026373"/>
        <s v="PL-2012-026695"/>
        <s v="PL-2012-026784"/>
        <s v="PL-2012-027047"/>
        <s v="PL-2012-027077"/>
        <s v="PL-2012-028321"/>
        <s v="PL-2012-028482"/>
        <s v="PL-2012-029572"/>
        <s v="PL-2012-029700"/>
        <s v="PL-2012-030114"/>
        <s v="PL-2012-030336"/>
        <s v="PL-2012-030372"/>
        <s v="PL-2012-031040"/>
        <s v="PL-2012-031301"/>
        <s v="PL-2012-031492"/>
        <s v="PL-2012-031842"/>
        <s v="PL-2012-031872"/>
        <s v="PL-2012-032099"/>
        <s v="PL-2012-032164"/>
        <s v="PL-2012-032641"/>
        <s v="PL-2012-032931"/>
        <s v="PL-2012-033152"/>
        <s v="PL-2012-033478"/>
        <s v="PL-2012-033505"/>
        <s v="PL-2012-033632"/>
        <s v="PL-2012-033763"/>
        <s v="PL-2012-033826"/>
        <s v="PL-2012-034244"/>
        <s v="PL-2012-034246"/>
        <s v="PL-2012-034657"/>
        <s v="PL-2012-034849"/>
        <s v="PL-2012-035046"/>
        <s v="PL-2012-035777"/>
        <s v="PL-2012-035840"/>
        <s v="PL-2012-036065"/>
        <s v="PL-2012-036099"/>
        <s v="PL-2012-036741"/>
        <s v="PL-2012-037216"/>
        <s v="PL-2012-037250"/>
        <s v="PL-2012-037318"/>
        <s v="PL-2012-037606"/>
        <s v="PL-2012-038337"/>
        <s v="PL-2012-038369"/>
        <s v="PL-2012-038979"/>
        <s v="PL-2012-039238"/>
        <s v="PL-2012-040194"/>
        <s v="PL-2012-041059"/>
        <s v="PL-2012-041350"/>
        <s v="PL-2012-041569"/>
        <s v="PL-2012-042528"/>
        <s v="PL-2012-042597"/>
        <s v="PL-2012-042658"/>
        <s v="PL-2012-043271"/>
        <s v="PL-2012-043526"/>
        <s v="PL-2012-043745"/>
        <s v="PL-2012-043782"/>
        <s v="PL-2012-044005"/>
        <s v="PL-2012-044615"/>
        <s v="PL-2012-044900"/>
        <s v="PL-2012-045413"/>
        <s v="PL-2012-045668"/>
        <s v="PL-2012-045924"/>
        <s v="PL-2012-046375"/>
        <s v="PL-2012-046434"/>
        <s v="PL-2012-048032"/>
        <s v="PL-2012-048263"/>
        <s v="PL-2012-048452"/>
        <s v="PL-2012-048487"/>
        <s v="PL-2012-048800"/>
        <s v="PL-2012-048994"/>
        <s v="PL-2012-049831"/>
        <s v="PL-2012-050209"/>
        <s v="PL-2012-050246"/>
        <s v="PL-2012-051041"/>
        <s v="PL-2012-052737"/>
        <s v="PL-2012-052743"/>
        <s v="PL-2012-053025"/>
        <s v="PL-2012-053060"/>
        <s v="PL-2012-053248"/>
        <s v="PL-2012-053314"/>
        <s v="PL-2012-054145"/>
        <s v="PL-2012-054146"/>
        <s v="PL-2012-054304"/>
        <s v="PL-2012-054497"/>
        <s v="PL-2012-054563"/>
        <s v="PL-2012-054628"/>
        <s v="PL-2012-055269"/>
        <s v="PL-2012-056001"/>
        <s v="PL-2012-056166"/>
        <s v="PL-2012-056610"/>
        <s v="PL-2012-056646"/>
        <s v="PL-2012-056710"/>
        <s v="PL-2012-056837"/>
        <s v="PL-2012-056931"/>
        <s v="PL-2012-057216"/>
        <s v="PL-2012-057318"/>
        <s v="PL-2012-058659"/>
        <s v="PL-2012-058788"/>
        <s v="PL-2012-058820"/>
        <s v="PL-2012-059008"/>
        <s v="PL-2012-059815"/>
        <s v="PL-2012-085818"/>
        <s v="PL-2012-085819"/>
        <s v="PL-2012-085820"/>
        <s v="PL-2012-085829"/>
        <s v="PL-2012-085836"/>
        <s v="PL-2012-085837"/>
        <s v="PL-2012-085844"/>
        <s v="PL-2012-085845"/>
        <s v="PL-2012-085851"/>
        <s v="PL-2012-085859"/>
        <s v="PL-2012-085860"/>
        <s v="PL-2012-085861"/>
        <s v="PL-2012-085869"/>
        <s v="PL-2012-085870"/>
        <s v="PL-2012-085871"/>
        <s v="PL-2012-085881"/>
        <s v="PL-2012-085882"/>
        <s v="PL-2012-085883"/>
        <s v="PL-2012-085899"/>
        <s v="PL-2012-085900"/>
        <s v="PL-2012-085901"/>
        <s v="PL-2012-085907"/>
        <s v="PL-2012-085908"/>
        <s v="PL-2012-085909"/>
        <s v="PL-2012-085917"/>
        <s v="PL-2012-085918"/>
        <s v="PL-2012-085919"/>
        <s v="PL-2012-085930"/>
        <s v="PL-2012-085941"/>
        <s v="PL-2012-085951"/>
        <s v="PL-2012-085952"/>
        <s v="PL-2012-085953"/>
        <s v="PL-2012-085954"/>
        <s v="PL-2012-085967"/>
        <s v="PL-2012-085968"/>
        <s v="PL-2012-085969"/>
        <s v="PL-2012-085970"/>
        <s v="PL-2012-085971"/>
        <s v="PL-2012-085982"/>
        <s v="PL-2012-085992"/>
        <s v="PL-2012-085993"/>
        <s v="PL-2012-085994"/>
        <s v="PL-2012-086004"/>
        <s v="PL-2012-086005"/>
        <s v="PL-2012-086015"/>
        <s v="PL-2012-086016"/>
        <s v="PL-2012-086017"/>
        <s v="PL-2012-086018"/>
        <s v="PL-2012-086019"/>
        <s v="PL-2012-086020"/>
        <s v="PL-2012-086034"/>
        <s v="PL-2012-086045"/>
        <s v="PL-2012-086055"/>
        <s v="PL-2012-086056"/>
        <s v="PL-2012-086065"/>
        <s v="PL-2012-086066"/>
        <s v="PL-2012-086067"/>
        <s v="PL-2012-086078"/>
        <s v="PL-2012-086079"/>
        <s v="PL-2012-086087"/>
        <s v="PL-2012-086093"/>
        <s v="PL-2012-086094"/>
        <s v="PL-2012-086095"/>
        <s v="PL-2012-086105"/>
        <s v="PL-2012-086106"/>
        <s v="PL-2012-086107"/>
        <s v="PL-2012-086108"/>
        <s v="PL-2012-086109"/>
        <s v="PL-2012-086120"/>
        <s v="PL-2012-086121"/>
        <s v="PL-2012-086125"/>
        <s v="PL-2012-086126"/>
        <s v="PL-2012-086136"/>
        <s v="PL-2012-086137"/>
        <s v="PL-2012-086138"/>
        <s v="PL-2012-086139"/>
        <s v="PL-2012-086146"/>
        <s v="PL-2012-086154"/>
        <s v="PL-2012-086167"/>
        <s v="PL-2012-086174"/>
        <s v="PL-2012-086175"/>
        <s v="PL-2012-086176"/>
        <s v="PL-2012-086177"/>
        <s v="PL-2012-086182"/>
        <s v="PL-2012-086185"/>
        <s v="PL-2012-086186"/>
        <s v="PL-2012-086193"/>
        <s v="PL-2012-086194"/>
        <s v="PL-2012-086200"/>
        <s v="PL-2012-086205"/>
        <s v="PL-2012-086206"/>
        <s v="PL-2012-086215"/>
        <s v="PL-2012-086216"/>
        <s v="PL-2012-086223"/>
        <s v="PL-2012-086228"/>
        <s v="PL-2012-086229"/>
        <s v="PL-2012-086230"/>
        <s v="PL-2012-086235"/>
        <s v="PL-2012-086236"/>
        <s v="PL-2012-086251"/>
        <s v="PL-2012-086252"/>
        <s v="PL-2012-086253"/>
        <s v="PL-2012-086259"/>
        <s v="PL-2012-086260"/>
        <s v="PL-2012-086261"/>
        <s v="PL-2012-086269"/>
        <s v="PL-2012-086270"/>
        <s v="PL-2012-086271"/>
        <s v="PL-2012-086272"/>
        <s v="PL-2012-086280"/>
        <s v="PL-2012-086281"/>
        <s v="PL-2012-086285"/>
        <s v="PL-2012-086286"/>
        <s v="PL-2012-086291"/>
        <s v="PL-2012-086292"/>
        <s v="PL-2012-086293"/>
        <s v="PL-2012-086294"/>
        <s v="PL-2012-086298"/>
        <s v="PL-2012-086299"/>
        <s v="PL-2012-086300"/>
        <s v="PL-2012-086301"/>
        <s v="PL-2012-086312"/>
        <s v="PL-2012-086313"/>
        <s v="PL-2012-086314"/>
        <s v="PL-2012-086315"/>
        <s v="PL-2012-086316"/>
        <s v="PL-2012-086317"/>
        <s v="PL-2012-086318"/>
        <s v="PL-2012-086332"/>
        <s v="PL-2012-086333"/>
        <s v="PL-2012-086339"/>
        <s v="PL-2012-086340"/>
        <s v="PL-2012-086347"/>
        <s v="PL-2012-086352"/>
        <s v="PL-2012-086353"/>
        <s v="PL-2012-086358"/>
        <s v="PL-2012-086370"/>
        <s v="PL-2012-086374"/>
        <s v="PL-2012-086375"/>
        <s v="PL-2012-086385"/>
        <s v="PL-2012-086386"/>
        <s v="PL-2012-086387"/>
        <s v="PL-2012-086388"/>
        <s v="PL-2012-086398"/>
        <s v="PL-2012-086399"/>
        <s v="PL-2012-086400"/>
        <s v="PL-2012-086401"/>
        <s v="PL-2012-086402"/>
        <s v="PL-2012-086412"/>
        <s v="PL-2012-086413"/>
        <s v="PL-2012-086414"/>
        <s v="PL-2012-086423"/>
        <s v="PL-2012-086428"/>
        <s v="PL-2012-086433"/>
        <s v="PL-2012-086434"/>
        <s v="PL-2012-086437"/>
        <s v="PL-2012-086438"/>
        <s v="PL-2012-086439"/>
        <s v="PL-2012-086440"/>
        <s v="PL-2012-086455"/>
        <s v="PL-2012-086467"/>
        <s v="PL-2012-086468"/>
        <s v="PL-2012-086471"/>
        <s v="PL-2012-086472"/>
        <s v="PL-2012-086476"/>
        <s v="PL-2012-086492"/>
        <s v="PL-2012-086493"/>
        <s v="PL-2012-086501"/>
        <s v="PL-2012-086502"/>
        <s v="PL-2012-086510"/>
        <s v="PL-2012-086511"/>
        <s v="PL-2012-086515"/>
        <s v="PL-2012-086516"/>
        <s v="PL-2012-086521"/>
        <s v="PL-2012-086530"/>
        <s v="PL-2012-086537"/>
        <s v="PL-2012-086538"/>
        <s v="PL-2012-086539"/>
        <s v="PL-2012-086540"/>
        <s v="PL-2012-086549"/>
        <s v="PL-2012-086557"/>
        <s v="PL-2012-086558"/>
        <s v="PL-2012-086559"/>
        <s v="PL-2012-086568"/>
        <s v="PL-2012-086569"/>
        <s v="PL-2012-086576"/>
        <s v="PL-2012-086577"/>
        <s v="PL-2012-086578"/>
        <s v="PL-2012-086579"/>
        <s v="PL-2012-086593"/>
        <s v="PL-2012-086594"/>
        <s v="PL-2012-086595"/>
        <s v="PL-2012-086596"/>
        <s v="PL-2012-086601"/>
        <s v="PL-2012-086602"/>
        <s v="PL-2012-086603"/>
        <s v="PL-2012-086630"/>
        <s v="PL-2012-086634"/>
        <s v="PL-2012-086640"/>
        <s v="PL-2012-086641"/>
        <s v="PL-2012-086647"/>
        <s v="PL-2012-086656"/>
        <s v="PL-2012-086669"/>
        <s v="PL-2012-086670"/>
        <s v="PL-2012-086671"/>
        <s v="PL-2012-086679"/>
        <s v="PL-2012-086680"/>
        <s v="PL-2012-086681"/>
        <s v="PL-2012-086689"/>
        <s v="PL-2012-086700"/>
        <s v="PL-2012-086701"/>
        <s v="PL-2012-086702"/>
        <s v="PL-2012-086703"/>
        <s v="PL-2012-086710"/>
        <s v="PL-2012-086711"/>
        <s v="PL-2012-086712"/>
        <s v="PL-2012-086726"/>
        <s v="PL-2012-086727"/>
        <s v="PL-2012-086736"/>
        <s v="PL-2012-086737"/>
        <s v="PL-2012-086738"/>
        <s v="PL-2012-086739"/>
        <s v="PL-2012-086740"/>
        <s v="PL-2012-086741"/>
        <s v="PL-2012-086742"/>
        <s v="PL-2012-086755"/>
        <s v="PL-2012-086756"/>
        <s v="PL-2012-086757"/>
        <s v="PL-2012-086758"/>
        <s v="PL-2012-086769"/>
        <s v="PL-2012-086770"/>
        <s v="PL-2012-086771"/>
        <s v="PL-2012-086772"/>
        <s v="PL-2012-086773"/>
        <s v="PL-2012-086797"/>
        <s v="PL-2012-086798"/>
        <s v="PL-2012-086816"/>
        <s v="PL-2012-086817"/>
        <s v="PL-2012-086818"/>
        <s v="PL-2012-086829"/>
        <s v="PL-2012-086840"/>
        <s v="PL-2012-086848"/>
        <s v="PL-2012-086849"/>
        <s v="PL-2012-086850"/>
        <s v="PL-2012-086861"/>
        <s v="PL-2012-086875"/>
        <s v="PL-2012-086876"/>
        <s v="PL-2012-086877"/>
        <s v="PL-2012-086878"/>
        <s v="PL-2012-086888"/>
        <s v="PL-2012-086889"/>
        <s v="PL-2012-086903"/>
        <s v="PL-2012-086904"/>
        <s v="PL-2012-086915"/>
        <s v="PL-2012-086934"/>
        <s v="PL-2012-086935"/>
        <s v="PL-2012-086936"/>
        <s v="PL-2012-086937"/>
        <s v="PL-2012-086938"/>
        <s v="PL-2012-086939"/>
        <s v="PL-2012-086953"/>
        <s v="PL-2012-086961"/>
        <s v="PL-2012-086967"/>
        <s v="PL-2012-086974"/>
        <s v="PL-2012-086975"/>
        <s v="PL-2012-086976"/>
        <s v="PL-2012-086980"/>
        <s v="PL-2012-086981"/>
        <s v="PL-2012-086982"/>
        <s v="PL-2012-086983"/>
        <s v="PL-2012-086990"/>
        <s v="PL-2012-086991"/>
        <s v="PL-2012-086992"/>
        <s v="PL-2012-086997"/>
        <s v="PL-2012-086998"/>
        <s v="PL-2012-087006"/>
        <s v="PL-2012-087007"/>
        <s v="PL-2012-087008"/>
        <s v="PL-2012-087009"/>
        <s v="PL-2012-087017"/>
        <s v="PL-2012-087021"/>
        <s v="PL-2012-087034"/>
        <s v="PL-2012-087035"/>
        <s v="PL-2012-087036"/>
        <s v="PL-2012-087037"/>
        <s v="PL-2012-087044"/>
        <s v="PL-2012-087045"/>
        <s v="PL-2012-087046"/>
        <s v="PL-2012-087047"/>
        <s v="PL-2012-087058"/>
        <s v="PL-2012-087059"/>
        <s v="PL-2012-087060"/>
        <s v="PL-2012-087061"/>
        <s v="PL-2012-087073"/>
        <s v="PL-2012-087080"/>
        <s v="PL-2012-087088"/>
        <s v="PL-2012-087089"/>
        <s v="PL-2012-087090"/>
        <s v="PL-2012-087091"/>
        <s v="PL-2012-087099"/>
        <s v="PL-2012-087104"/>
        <s v="PL-2012-087105"/>
        <s v="PL-2012-087106"/>
        <s v="PL-2012-087118"/>
        <s v="PL-2012-087119"/>
        <s v="PL-2012-087120"/>
        <s v="PL-2012-087127"/>
        <s v="PL-2012-087128"/>
        <s v="PL-2012-087136"/>
        <s v="PL-2012-087137"/>
        <s v="PL-2012-087138"/>
        <s v="PL-2012-087139"/>
        <s v="PL-2012-087149"/>
        <s v="PL-2012-087150"/>
        <s v="PL-2012-087151"/>
        <s v="PL-2012-087152"/>
        <s v="PL-2012-087153"/>
        <s v="PL-2012-087163"/>
        <s v="PL-2012-087164"/>
        <s v="PL-2012-087165"/>
        <s v="PL-2012-087166"/>
        <s v="PL-2012-087167"/>
        <s v="PL-2012-087168"/>
        <s v="PL-2012-087179"/>
        <s v="PL-2012-087180"/>
        <s v="PL-2012-087188"/>
        <s v="PL-2012-087196"/>
        <s v="PL-2012-087197"/>
        <s v="PL-2012-087198"/>
        <s v="PL-2012-087209"/>
        <s v="PL-2012-087210"/>
        <s v="PL-2012-087215"/>
        <s v="PL-2012-087223"/>
        <s v="PL-2012-087224"/>
        <s v="PL-2012-087229"/>
        <s v="PL-2012-087235"/>
        <s v="PL-2012-087236"/>
        <s v="PL-2012-087241"/>
        <s v="PL-2012-087246"/>
        <s v="PL-2012-087247"/>
        <s v="PL-2012-087248"/>
        <s v="PL-2012-087261"/>
        <s v="PL-2012-087273"/>
        <s v="PL-2012-087278"/>
        <s v="PL-2012-087288"/>
        <s v="PL-2012-087289"/>
        <s v="PL-2012-087300"/>
        <s v="PL-2012-087307"/>
        <s v="PL-2012-087308"/>
        <s v="PL-2012-087318"/>
        <s v="PL-2012-087328"/>
        <s v="PL-2012-087329"/>
        <s v="PL-2012-087336"/>
        <s v="PL-2012-087337"/>
        <s v="PL-2012-087343"/>
        <s v="PL-2012-087348"/>
        <s v="PL-2012-087349"/>
        <s v="PL-2012-087350"/>
        <s v="PL-2012-087358"/>
        <s v="PL-2012-087367"/>
        <s v="PL-2012-087368"/>
        <s v="PL-2012-087375"/>
        <s v="PL-2012-087376"/>
        <s v="PL-2012-087384"/>
        <s v="PL-2012-087385"/>
        <s v="PL-2012-087390"/>
        <s v="PL-2012-087391"/>
        <s v="PL-2012-087397"/>
        <s v="PL-2012-087398"/>
        <s v="PL-2012-087409"/>
        <s v="PL-2012-087427"/>
        <s v="PL-2012-087428"/>
        <s v="PL-2012-087429"/>
        <s v="PL-2012-087433"/>
        <s v="PL-2012-087437"/>
        <s v="PL-2012-087438"/>
        <s v="PL-2012-087444"/>
        <s v="PL-2012-087445"/>
        <s v="PL-2012-087446"/>
        <s v="PL-2012-087447"/>
        <s v="PL-2012-087453"/>
        <s v="PL-2012-087454"/>
        <s v="PL-2012-087455"/>
        <s v="PL-2012-087456"/>
        <s v="PL-2012-087457"/>
        <s v="PL-2012-087465"/>
        <s v="PL-2012-087466"/>
        <s v="PL-2012-087469"/>
        <s v="PL-2012-087470"/>
        <s v="PL-2012-087475"/>
        <s v="PL-2012-087476"/>
        <s v="PL-2012-087489"/>
        <s v="PL-2012-087490"/>
        <s v="PL-2012-087491"/>
        <s v="PL-2012-087506"/>
        <s v="PL-2012-087512"/>
        <s v="PL-2012-087513"/>
        <s v="PL-2012-087514"/>
        <s v="PL-2012-087521"/>
        <s v="PL-2012-087522"/>
        <s v="PL-2012-087523"/>
        <s v="PL-2012-087531"/>
        <s v="PL-2012-087538"/>
        <s v="PL-2012-087539"/>
        <s v="PL-2012-087557"/>
        <s v="PL-2012-087558"/>
        <s v="PL-2012-087559"/>
        <s v="PL-2012-087571"/>
        <s v="PL-2012-087572"/>
        <s v="PL-2012-087575"/>
        <s v="PL-2012-087580"/>
        <s v="PL-2012-087588"/>
        <s v="PL-2012-087589"/>
        <s v="PL-2012-087590"/>
        <s v="PL-2012-087591"/>
        <s v="PL-2012-087592"/>
        <s v="PL-2012-087593"/>
        <s v="PL-2012-087594"/>
        <s v="PL-2012-087604"/>
        <s v="PL-2012-087605"/>
        <s v="PL-2012-087606"/>
        <s v="PL-2012-087612"/>
        <s v="PL-2012-087613"/>
        <s v="PL-2012-087621"/>
        <s v="PL-2012-087622"/>
        <s v="PL-2012-087623"/>
        <s v="PL-2012-087635"/>
        <s v="PL-2012-087636"/>
        <s v="PL-2012-087637"/>
        <s v="PL-2012-087638"/>
        <s v="PL-2012-087639"/>
        <s v="PL-2012-087646"/>
        <s v="PL-2012-087647"/>
        <s v="PL-2012-087648"/>
        <s v="PL-2012-087653"/>
        <s v="PL-2012-087654"/>
        <s v="PL-2012-087655"/>
        <s v="PL-2012-087673"/>
        <s v="PL-2012-087680"/>
        <s v="PL-2012-087681"/>
        <s v="PL-2012-087682"/>
        <s v="PL-2012-087683"/>
        <s v="PL-2012-087684"/>
        <s v="PL-2012-087701"/>
        <s v="PL-2012-087702"/>
        <s v="PL-2012-087703"/>
        <s v="PL-2012-087710"/>
        <s v="PL-2012-087711"/>
        <s v="PL-2012-087712"/>
        <s v="PL-2012-087722"/>
        <s v="PL-2012-087728"/>
        <s v="PL-2012-087739"/>
        <s v="PL-2012-087740"/>
        <s v="PL-2012-087741"/>
        <s v="PL-2012-087742"/>
        <s v="PL-2012-087743"/>
        <s v="PL-2012-087744"/>
        <s v="PL-2012-087750"/>
        <s v="PL-2012-087751"/>
        <s v="PL-2012-087752"/>
        <s v="PL-2012-087753"/>
        <s v="PL-2012-087758"/>
        <s v="PL-2012-087759"/>
        <s v="PL-2012-087760"/>
        <s v="PL-2012-087767"/>
        <s v="PL-2012-087774"/>
        <s v="PL-2012-087775"/>
        <s v="PL-2012-087776"/>
        <s v="PL-2012-087777"/>
        <s v="PL-2012-087778"/>
        <s v="PL-2012-087784"/>
        <s v="PL-2012-087785"/>
        <s v="PL-2012-087791"/>
        <s v="PL-2012-087796"/>
        <s v="PL-2012-087797"/>
        <s v="PL-2012-087798"/>
        <s v="PL-2012-087799"/>
        <s v="PL-2012-087805"/>
        <s v="PL-2012-087814"/>
        <s v="PL-2012-087815"/>
        <s v="PL-2012-087816"/>
        <s v="PL-2012-087833"/>
        <s v="PL-2012-087834"/>
        <s v="PL-2012-087835"/>
        <s v="PL-2012-087836"/>
        <s v="PL-2012-087848"/>
        <s v="PL-2012-087863"/>
        <s v="PL-2012-087864"/>
        <s v="PL-2012-087865"/>
        <s v="PL-2012-087878"/>
        <s v="PL-2012-087879"/>
        <s v="PL-2012-087880"/>
        <s v="PL-2012-087886"/>
        <s v="PL-2012-087887"/>
        <s v="PL-2012-087890"/>
        <s v="PL-2012-087891"/>
        <s v="PL-2012-087892"/>
        <s v="PL-2012-087893"/>
        <s v="PL-2012-087906"/>
        <s v="PL-2012-087907"/>
        <s v="PL-2012-087910"/>
        <s v="PL-2012-087918"/>
        <s v="PL-2012-087936"/>
        <s v="PL-2012-087937"/>
        <s v="PL-2012-087938"/>
        <s v="PL-2012-087941"/>
        <s v="PL-2012-087942"/>
        <s v="PL-2012-087955"/>
        <s v="PL-2012-087956"/>
        <s v="PL-2012-087957"/>
        <s v="PL-2012-087966"/>
        <s v="PL-2012-087967"/>
        <s v="PL-2012-087973"/>
        <s v="PL-2012-087974"/>
        <s v="PL-2012-087975"/>
        <s v="PL-2012-087981"/>
        <s v="PL-2012-087982"/>
        <s v="PL-2012-087983"/>
        <s v="PL-2012-087984"/>
        <s v="PL-2012-088000"/>
        <s v="PL-2012-088001"/>
        <s v="PL-2012-088002"/>
        <s v="PL-2012-088005"/>
        <s v="PL-2012-088006"/>
        <s v="PL-2012-088018"/>
        <s v="PL-2012-088024"/>
        <s v="PL-2012-088031"/>
        <s v="PL-2012-088032"/>
        <s v="PL-2012-088042"/>
        <s v="PL-2012-088049"/>
        <s v="PL-2012-088050"/>
        <s v="PL-2012-088051"/>
        <s v="PL-2012-088062"/>
        <s v="PL-2012-088063"/>
        <s v="PL-2012-088064"/>
        <s v="PL-2012-088071"/>
        <s v="PL-2012-088076"/>
        <s v="PL-2012-088077"/>
        <s v="PL-2012-088086"/>
        <s v="PL-2012-088106"/>
        <s v="PL-2012-088107"/>
        <s v="PL-2012-088108"/>
        <s v="PL-2012-088115"/>
        <s v="PL-2012-088116"/>
        <s v="PL-2012-088126"/>
        <s v="PL-2012-088127"/>
        <s v="PL-2012-088138"/>
        <s v="PL-2012-088139"/>
        <s v="PL-2012-088140"/>
        <s v="PL-2012-088166"/>
        <s v="PL-2012-088167"/>
        <s v="PL-2012-088175"/>
        <s v="PL-2012-088176"/>
        <s v="PL-2012-088177"/>
        <s v="PL-2012-088178"/>
        <s v="PL-2012-088186"/>
        <s v="PL-2012-088187"/>
        <s v="PL-2012-088206"/>
        <s v="PL-2012-088207"/>
        <s v="PL-2012-088208"/>
        <s v="PL-2012-088214"/>
        <s v="PL-2012-088215"/>
        <s v="PL-2012-088221"/>
        <s v="PL-2012-088222"/>
        <s v="PL-2012-088223"/>
        <s v="PL-2012-088242"/>
        <s v="PL-2012-088243"/>
        <s v="PL-2012-088244"/>
        <s v="PL-2012-088245"/>
        <s v="PL-2012-088253"/>
        <s v="PL-2012-088254"/>
        <s v="PL-2012-088257"/>
        <s v="PL-2012-088258"/>
        <s v="PL-2012-088259"/>
        <s v="PL-2012-088260"/>
        <s v="PL-2012-088261"/>
        <s v="PL-2012-088269"/>
        <s v="PL-2012-088270"/>
        <s v="PL-2012-088283"/>
        <s v="PL-2012-088284"/>
        <s v="PL-2012-088299"/>
        <s v="PL-2012-088300"/>
        <s v="PL-2012-088301"/>
        <s v="PL-2012-088302"/>
        <s v="PL-2012-088303"/>
        <s v="PL-2012-088314"/>
        <s v="PL-2012-088321"/>
        <s v="PL-2012-088322"/>
        <s v="PL-2012-088331"/>
        <s v="PL-2012-088332"/>
        <s v="PL-2012-088349"/>
        <s v="PL-2012-088350"/>
        <s v="PL-2012-088351"/>
        <s v="PL-2012-088352"/>
        <s v="PL-2012-088362"/>
        <s v="PL-2012-088363"/>
        <s v="PL-2012-088369"/>
        <s v="PL-2012-088370"/>
        <s v="PL-2012-088373"/>
        <s v="PL-2012-088377"/>
        <s v="PL-2012-088378"/>
        <s v="PL-2012-088379"/>
        <s v="PL-2012-088381"/>
        <s v="PL-2012-088392"/>
        <s v="PL-2012-088393"/>
        <s v="PL-2012-088407"/>
        <s v="PL-2012-088412"/>
        <s v="PL-2012-088413"/>
        <s v="PL-2012-088419"/>
        <s v="PL-2012-088421"/>
        <s v="PL-2012-088422"/>
        <s v="PL-2012-088423"/>
        <s v="PL-2012-088427"/>
        <s v="PL-2012-088430"/>
        <s v="PL-2012-088434"/>
        <s v="PL-2012-088436"/>
        <s v="PL-2012-088437"/>
        <s v="PL-2012-088445"/>
        <s v="PL-2012-088450"/>
        <s v="PL-2012-088453"/>
        <s v="PL-2012-088462"/>
        <s v="PL-2012-088463"/>
        <s v="PL-2012-088470"/>
        <s v="PL-2012-088471"/>
        <s v="PL-2012-088472"/>
        <s v="PL-2012-088476"/>
        <s v="PL-2012-088481"/>
        <s v="PL-2012-088482"/>
        <s v="PL-2012-088488"/>
        <s v="PL-2012-088489"/>
        <s v="PL-2012-088490"/>
        <s v="PL-2012-088491"/>
        <s v="PL-2012-088492"/>
        <s v="PL-2012-088493"/>
        <s v="PL-2012-088505"/>
        <s v="PL-2012-088506"/>
        <s v="PL-2012-088512"/>
        <s v="PL-2012-088513"/>
        <s v="PL-2012-088517"/>
        <s v="PL-2012-088523"/>
        <s v="PL-2012-088524"/>
        <s v="PL-2012-088528"/>
        <s v="PL-2012-088529"/>
        <s v="PL-2012-088540"/>
        <s v="PL-2012-088559"/>
        <s v="PL-2012-088560"/>
        <s v="PL-2012-088581"/>
        <s v="PL-2012-088582"/>
        <s v="PL-2012-088591"/>
        <s v="PL-2012-088592"/>
        <s v="PL-2012-088593"/>
        <s v="PL-2012-088594"/>
        <s v="PL-2012-088601"/>
        <s v="PL-2012-088613"/>
        <s v="PL-2012-088619"/>
        <s v="PL-2012-088620"/>
        <s v="PL-2012-088624"/>
        <s v="PL-2012-088635"/>
        <s v="PL-2012-088636"/>
        <s v="PL-2012-088647"/>
        <s v="PL-2012-088648"/>
        <s v="PL-2012-088649"/>
        <s v="PL-2012-088650"/>
        <s v="PL-2012-088651"/>
        <s v="PL-2012-088659"/>
        <s v="PL-2012-088660"/>
        <s v="PL-2012-088669"/>
        <s v="PL-2012-088670"/>
        <s v="PL-2012-088682"/>
        <s v="PL-2012-088693"/>
        <s v="PL-2012-088695"/>
        <s v="PL-2012-088696"/>
        <s v="PL-2012-088703"/>
        <s v="PL-2012-088723"/>
        <s v="PL-2012-088732"/>
        <s v="PL-2012-088733"/>
        <s v="PL-2012-088734"/>
        <s v="PL-2012-088735"/>
        <s v="PL-2012-088736"/>
        <s v="PL-2012-088747"/>
        <s v="PL-2012-088748"/>
        <s v="PL-2012-088754"/>
        <s v="PL-2012-088759"/>
        <s v="PL-2012-088760"/>
        <s v="PL-2012-088767"/>
        <s v="PL-2012-088768"/>
        <s v="PL-2012-088769"/>
        <s v="PL-2012-088770"/>
        <s v="PL-2012-088772"/>
        <s v="PL-2012-088773"/>
        <s v="PL-2012-088774"/>
        <s v="PL-2012-088775"/>
        <s v="PL-2012-088776"/>
        <s v="PL-2012-088785"/>
        <s v="PL-2012-088786"/>
        <s v="PL-2012-088787"/>
        <s v="PL-2012-088795"/>
        <s v="PL-2012-088799"/>
        <s v="PL-2012-088800"/>
        <s v="PL-2012-088801"/>
        <s v="PL-2012-088802"/>
        <s v="PL-2012-088803"/>
        <s v="PL-2012-088804"/>
        <s v="PL-2012-088816"/>
        <s v="PL-2012-088827"/>
        <s v="PL-2012-088828"/>
        <s v="PL-2012-088829"/>
        <s v="PL-2012-088841"/>
        <s v="PL-2012-088842"/>
        <s v="PL-2012-088843"/>
        <s v="PL-2012-088858"/>
        <s v="PL-2012-088859"/>
        <s v="PL-2012-088872"/>
        <s v="PL-2012-088873"/>
        <s v="PL-2012-088883"/>
        <s v="PL-2012-088884"/>
        <s v="PL-2012-088891"/>
        <s v="PL-2012-088892"/>
        <s v="PL-2012-088909"/>
        <s v="PL-2012-088912"/>
        <s v="PL-2012-088922"/>
        <s v="PL-2012-088930"/>
        <s v="PL-2012-088931"/>
        <s v="PL-2012-088932"/>
        <s v="PL-2012-088943"/>
        <s v="PL-2012-088944"/>
        <s v="PL-2012-088945"/>
        <s v="PL-2012-088946"/>
        <s v="PL-2012-088953"/>
        <s v="PL-2012-088954"/>
        <s v="PL-2012-088960"/>
        <s v="PL-2012-088967"/>
        <s v="PL-2012-088973"/>
        <s v="PL-2012-088976"/>
        <s v="PL-2012-088985"/>
        <s v="PL-2012-089009"/>
        <s v="PL-2012-089010"/>
        <s v="PL-2012-089020"/>
        <s v="PL-2012-089026"/>
        <s v="PL-2012-089027"/>
        <s v="PL-2012-089028"/>
        <s v="PL-2012-089048"/>
        <s v="PL-2012-089056"/>
        <s v="PL-2012-089057"/>
        <s v="PL-2012-089060"/>
        <s v="PL-2012-089061"/>
        <s v="PL-2012-089065"/>
        <s v="PL-2012-089066"/>
        <s v="PL-2012-089067"/>
        <s v="PL-2012-089072"/>
        <s v="PL-2012-089073"/>
        <s v="PL-2012-089078"/>
        <s v="PL-2012-089079"/>
        <s v="PL-2012-089085"/>
        <s v="PL-2012-089086"/>
        <s v="PL-2012-089098"/>
        <s v="PL-2012-089103"/>
        <s v="PL-2012-089107"/>
        <s v="PL-2012-089113"/>
        <s v="PL-2012-089118"/>
        <s v="PL-2012-089119"/>
        <s v="PL-2012-089124"/>
        <s v="PL-2012-089125"/>
        <s v="PL-2012-089131"/>
        <s v="PL-2012-089141"/>
        <s v="PL-2012-089149"/>
        <s v="PL-2012-089150"/>
        <s v="PL-2012-089155"/>
        <s v="PL-2012-089156"/>
        <s v="PL-2012-089157"/>
        <s v="PL-2012-089167"/>
        <s v="PL-2012-089168"/>
        <s v="PL-2012-089169"/>
        <s v="PL-2012-089177"/>
        <s v="PL-2012-089178"/>
        <s v="PL-2012-089179"/>
        <s v="PL-2012-089185"/>
        <s v="PL-2012-089204"/>
        <s v="PL-2012-089212"/>
        <s v="PL-2012-089220"/>
        <s v="PL-2012-089221"/>
        <s v="PL-2012-089222"/>
        <s v="PL-2012-089223"/>
        <s v="PL-2012-089224"/>
        <s v="PL-2012-089236"/>
        <s v="PL-2012-089241"/>
        <s v="PL-2012-089242"/>
        <s v="PL-2012-089252"/>
        <s v="PL-2012-089253"/>
        <s v="PL-2012-089260"/>
        <s v="PL-2012-089261"/>
        <s v="PL-2012-089274"/>
        <s v="PL-2012-089280"/>
        <s v="PL-2012-089285"/>
        <s v="PL-2012-089286"/>
        <s v="PL-2012-089302"/>
        <s v="PL-2012-089303"/>
        <s v="PL-2012-089304"/>
        <s v="PL-2012-089305"/>
        <s v="PL-2012-089306"/>
        <s v="PL-2012-089328"/>
        <s v="PL-2012-089329"/>
        <s v="PL-2012-089335"/>
        <s v="PL-2012-089341"/>
        <s v="PL-2012-089345"/>
        <s v="PL-2012-089346"/>
        <s v="PL-2012-089347"/>
        <s v="PL-2012-089365"/>
        <s v="PL-2012-089372"/>
        <s v="PL-2012-089373"/>
        <s v="PL-2012-089382"/>
        <s v="PL-2012-089385"/>
        <s v="PL-2012-089386"/>
        <s v="PL-2012-089390"/>
        <s v="PL-2012-089395"/>
        <s v="PL-2012-089396"/>
        <s v="PL-2012-089397"/>
        <s v="PL-2012-089403"/>
        <s v="PL-2012-089409"/>
        <s v="PL-2012-089418"/>
        <s v="PL-2012-089419"/>
        <s v="PL-2012-089420"/>
        <s v="PL-2012-089427"/>
        <s v="PL-2012-089428"/>
        <s v="PL-2012-089439"/>
        <s v="PL-2012-089443"/>
        <s v="PL-2012-089444"/>
        <s v="PL-2012-089451"/>
        <s v="PL-2012-089457"/>
        <s v="PL-2012-089458"/>
        <s v="PL-2012-089466"/>
        <s v="PL-2012-089467"/>
        <s v="PL-2012-089468"/>
        <s v="PL-2012-089469"/>
        <s v="PL-2012-089470"/>
        <s v="PL-2012-089482"/>
        <s v="PL-2012-089483"/>
        <s v="PL-2012-089484"/>
        <s v="PL-2012-089498"/>
        <s v="PL-2012-089499"/>
        <s v="PL-2012-089506"/>
        <s v="PL-2012-089507"/>
        <s v="PL-2012-089508"/>
        <s v="PL-2012-089509"/>
        <s v="PL-2012-089538"/>
        <s v="PL-2012-089539"/>
        <s v="PL-2012-089540"/>
        <s v="PL-2012-089541"/>
        <s v="PL-2012-089542"/>
        <s v="PL-2012-089543"/>
        <s v="PL-2012-089544"/>
        <s v="PL-2012-089565"/>
        <s v="PL-2012-089573"/>
        <s v="PL-2012-089574"/>
        <s v="PL-2012-089586"/>
        <s v="PL-2012-089587"/>
        <s v="PL-2012-089592"/>
        <s v="PL-2012-089593"/>
        <s v="PL-2012-089597"/>
        <s v="PL-2012-089598"/>
        <s v="PL-2012-089599"/>
        <s v="PL-2012-089603"/>
        <s v="PL-2012-089612"/>
        <s v="PL-2012-089613"/>
        <s v="PL-2012-089614"/>
        <s v="PL-2012-089620"/>
        <s v="PL-2012-089621"/>
        <s v="PL-2012-089635"/>
        <s v="PL-2012-089636"/>
        <s v="PL-2012-089640"/>
        <s v="PL-2012-089648"/>
        <s v="PL-2012-089649"/>
        <s v="PL-2012-089654"/>
        <s v="PL-2012-089659"/>
        <s v="PL-2012-089660"/>
        <s v="PL-2012-089667"/>
        <s v="PL-2012-089668"/>
        <s v="PL-2012-089669"/>
        <s v="PL-2012-089681"/>
        <s v="PL-2012-089682"/>
        <s v="PL-2012-089687"/>
        <s v="PL-2012-089688"/>
        <s v="PL-2012-089698"/>
        <s v="PL-2012-089699"/>
        <s v="PL-2012-089700"/>
        <s v="PL-2012-089701"/>
        <s v="PL-2012-089707"/>
        <s v="PL-2012-089708"/>
        <s v="PL-2012-089709"/>
        <s v="PL-2012-089717"/>
        <s v="PL-2012-089724"/>
        <s v="PL-2012-089725"/>
        <s v="PL-2012-089731"/>
        <s v="PL-2012-089739"/>
        <s v="PL-2012-089740"/>
        <s v="PL-2012-089744"/>
        <s v="PL-2012-089745"/>
        <s v="PL-2012-089746"/>
        <s v="PL-2012-089751"/>
        <s v="PL-2012-089752"/>
        <s v="PL-2012-089753"/>
        <s v="PL-2012-089754"/>
        <s v="PL-2012-089763"/>
        <s v="PL-2012-089764"/>
        <s v="PL-2012-089765"/>
        <s v="PL-2012-089778"/>
        <s v="PL-2012-089779"/>
        <s v="PL-2012-089780"/>
        <s v="PL-2012-089788"/>
        <s v="PL-2012-089790"/>
        <s v="PL-2012-089797"/>
        <s v="PL-2012-089806"/>
        <s v="PL-2012-089811"/>
        <s v="PL-2012-089821"/>
        <s v="PL-2012-089830"/>
        <s v="PL-2012-089837"/>
        <s v="PL-2012-089841"/>
        <s v="PL-2012-089850"/>
        <s v="PL-2012-089851"/>
        <s v="PL-2012-089859"/>
        <s v="PL-2012-089860"/>
        <s v="PL-2012-089861"/>
        <s v="PL-2012-089870"/>
        <s v="PL-2012-089875"/>
        <s v="PL-2012-089881"/>
        <s v="PL-2012-089886"/>
        <s v="PL-2012-089887"/>
        <s v="PL-2012-089893"/>
        <s v="PL-2012-089898"/>
        <s v="PL-2012-089905"/>
        <s v="PL-2012-089911"/>
        <s v="PL-2012-089912"/>
        <s v="PL-2012-089916"/>
        <s v="PL-2012-089923"/>
        <s v="PL-2012-089924"/>
        <s v="PL-2012-089925"/>
        <s v="PL-2012-089929"/>
        <s v="PL-2012-089930"/>
        <s v="PL-2012-089934"/>
        <s v="PL-2012-089945"/>
        <s v="PL-2012-089946"/>
        <s v="PL-2012-089947"/>
        <s v="PL-2012-089962"/>
        <s v="PL-2012-089963"/>
        <s v="PL-2012-089971"/>
        <s v="PL-2012-089972"/>
        <s v="PL-2012-089973"/>
        <s v="PL-2012-089974"/>
        <s v="PL-2012-089975"/>
        <s v="PL-2012-089989"/>
        <s v="PL-2012-089995"/>
        <s v="PL-2012-089996"/>
        <s v="PL-2012-090012"/>
        <s v="PL-2012-090013"/>
        <s v="PL-2012-090014"/>
        <s v="PL-2012-090015"/>
        <s v="PL-2012-090028"/>
        <s v="PL-2012-090033"/>
        <s v="PL-2012-090041"/>
        <s v="PL-2012-090045"/>
        <s v="PL-2012-090049"/>
        <s v="PL-2012-090055"/>
        <s v="PL-2012-090060"/>
        <s v="PL-2012-090061"/>
        <s v="PL-2012-090062"/>
        <s v="PL-2012-090070"/>
        <s v="PL-2012-090071"/>
        <s v="PL-2012-090080"/>
        <s v="PL-2012-090081"/>
        <s v="PL-2012-090082"/>
        <s v="PL-2012-090105"/>
        <s v="PL-2012-090111"/>
        <s v="PL-2012-090112"/>
        <s v="PL-2012-090116"/>
        <s v="PL-2012-090117"/>
        <s v="PL-2012-090118"/>
        <s v="PL-2012-090119"/>
        <s v="PL-2012-090122"/>
        <s v="PL-2012-090127"/>
        <s v="PL-2012-090128"/>
        <s v="PL-2012-090131"/>
        <s v="PL-2012-090132"/>
        <s v="PL-2012-090133"/>
        <s v="PL-2012-090134"/>
        <s v="PL-2012-090135"/>
        <s v="PL-2012-090155"/>
        <s v="PL-2012-090175"/>
        <s v="PL-2012-090176"/>
        <s v="PL-2012-090177"/>
        <s v="PL-2012-090188"/>
        <s v="PL-2012-090194"/>
        <s v="PL-2012-090195"/>
        <s v="PL-2012-090202"/>
        <s v="PL-2012-090203"/>
        <s v="PL-2012-090204"/>
        <s v="PL-2012-090205"/>
        <s v="PL-2012-090215"/>
        <s v="PL-2012-090216"/>
        <s v="PL-2012-090219"/>
        <s v="PL-2012-090220"/>
        <s v="PL-2012-090221"/>
        <s v="PL-2012-090222"/>
        <s v="PL-2012-090230"/>
        <s v="PL-2012-090231"/>
        <s v="PL-2012-090232"/>
        <s v="PL-2012-090233"/>
        <s v="PL-2012-090240"/>
        <s v="PL-2012-090249"/>
        <s v="PL-2012-090256"/>
        <s v="PL-2012-090259"/>
        <s v="PL-2012-090260"/>
        <s v="PL-2012-090272"/>
        <s v="PL-2012-090273"/>
        <s v="PL-2012-090284"/>
        <s v="PL-2012-090285"/>
        <s v="PL-2012-090304"/>
        <s v="PL-2012-090305"/>
        <s v="PL-2012-090306"/>
        <s v="PL-2012-090310"/>
        <s v="PL-2012-090311"/>
        <s v="PL-2012-090315"/>
        <s v="PL-2012-090316"/>
        <s v="PL-2012-090323"/>
        <s v="PL-2012-090324"/>
        <s v="PL-2012-090328"/>
        <s v="PL-2012-090329"/>
        <s v="PL-2012-090340"/>
        <s v="PL-2012-090341"/>
        <s v="PL-2012-090342"/>
        <s v="PL-2012-090343"/>
        <s v="PL-2012-090355"/>
        <s v="PL-2012-090363"/>
        <s v="PL-2012-090364"/>
        <s v="PL-2012-090379"/>
        <s v="PL-2012-090388"/>
        <s v="PL-2012-090389"/>
        <s v="PL-2012-090390"/>
        <s v="PL-2012-090406"/>
        <s v="PL-2012-090409"/>
        <s v="PL-2012-090410"/>
        <s v="PL-2012-090411"/>
        <s v="PL-2012-090416"/>
        <s v="PL-2012-090417"/>
        <s v="PL-2012-090418"/>
        <s v="PL-2012-090422"/>
        <s v="PL-2012-090433"/>
        <s v="PL-2012-090440"/>
        <s v="PL-2012-090453"/>
        <s v="PL-2012-090463"/>
        <s v="PL-2012-090470"/>
        <s v="PL-2012-090471"/>
        <s v="PL-2012-090474"/>
        <s v="PL-2012-090475"/>
        <s v="PL-2012-090481"/>
        <s v="PL-2012-090482"/>
        <s v="PL-2012-090489"/>
        <s v="PL-2012-090494"/>
        <s v="PL-2012-090503"/>
        <s v="PL-2012-090515"/>
        <s v="PL-2012-090516"/>
        <s v="PL-2012-090517"/>
        <s v="PL-2012-090526"/>
        <s v="PL-2012-090541"/>
        <s v="PL-2012-090542"/>
        <s v="PL-2012-090543"/>
        <s v="PL-2012-090544"/>
        <s v="PL-2012-090552"/>
        <s v="PL-2012-090558"/>
        <s v="PL-2012-090559"/>
        <s v="PL-2012-090569"/>
        <s v="PL-2012-090570"/>
        <s v="PL-2012-090571"/>
        <s v="PL-2012-090579"/>
        <s v="PL-2012-090580"/>
        <s v="PL-2012-090581"/>
        <s v="PL-2012-090584"/>
        <s v="PL-2012-090585"/>
        <s v="PL-2012-090590"/>
        <s v="PL-2012-090598"/>
        <s v="PL-2012-090608"/>
        <s v="PL-2012-090609"/>
        <s v="PL-2012-090614"/>
        <s v="PL-2012-090615"/>
        <s v="PL-2012-090619"/>
        <s v="PL-2012-090625"/>
        <s v="PL-2012-090632"/>
        <s v="PL-2012-090633"/>
        <s v="PL-2012-090634"/>
        <s v="PL-2012-090642"/>
        <s v="PL-2012-090649"/>
        <s v="PL-2012-090650"/>
        <s v="PL-2012-090651"/>
        <s v="PL-2012-090654"/>
        <s v="PL-2012-090655"/>
        <s v="PL-2012-090663"/>
        <s v="PL-2012-090664"/>
        <s v="PL-2012-090665"/>
        <s v="PL-2012-090676"/>
        <s v="PL-2012-090679"/>
        <s v="PL-2012-090692"/>
        <s v="PL-2012-090693"/>
        <s v="PL-2012-090696"/>
        <s v="PL-2012-090697"/>
        <s v="PL-2012-090707"/>
        <s v="PL-2012-090711"/>
        <s v="PL-2012-090715"/>
        <s v="PL-2012-090716"/>
        <s v="PL-2012-090717"/>
        <s v="PL-2012-090718"/>
        <s v="PL-2012-090726"/>
        <s v="PL-2012-090727"/>
        <s v="PL-2012-090732"/>
        <s v="PL-2012-090736"/>
        <s v="PL-2012-090740"/>
        <s v="PL-2012-090741"/>
        <s v="PL-2012-090745"/>
        <s v="PL-2012-090746"/>
        <s v="PL-2012-090762"/>
        <s v="PL-2012-090768"/>
        <s v="PL-2012-090772"/>
        <s v="PL-2012-090775"/>
        <s v="PL-2012-090776"/>
        <s v="PL-2012-090777"/>
        <s v="PL-2012-090788"/>
        <s v="PL-2012-090789"/>
        <s v="PL-2012-090790"/>
        <s v="PL-2012-090791"/>
        <s v="PL-2012-090797"/>
        <s v="PL-2012-090801"/>
        <s v="PL-2012-090807"/>
        <s v="PL-2012-090808"/>
        <s v="PL-2012-090809"/>
        <s v="PL-2012-090816"/>
        <s v="PL-2012-090822"/>
        <s v="PL-2012-090826"/>
        <s v="PL-2012-090827"/>
        <s v="PL-2012-090838"/>
        <s v="PL-2012-090845"/>
        <s v="PL-2012-090846"/>
        <s v="PL-2012-090851"/>
        <s v="PL-2012-090856"/>
        <s v="PL-2012-090857"/>
        <s v="PL-2012-090872"/>
        <s v="PL-2012-090873"/>
        <s v="PL-2012-090875"/>
        <s v="PL-2012-090876"/>
        <s v="PL-2012-090882"/>
        <s v="PL-2012-090889"/>
        <s v="PL-2012-090892"/>
        <s v="PL-2012-090900"/>
        <s v="PL-2012-090906"/>
        <s v="PL-2012-090911"/>
        <s v="PL-2012-090918"/>
        <s v="PL-2012-090935"/>
        <s v="PL-2012-090936"/>
        <s v="PL-2012-090947"/>
        <s v="PL-2012-090948"/>
        <s v="PL-2012-090965"/>
        <s v="PL-2012-090966"/>
        <s v="PL-2012-090967"/>
        <s v="PL-2012-090974"/>
        <s v="PL-2012-090975"/>
        <s v="PL-2012-090978"/>
        <s v="PL-2012-090988"/>
        <s v="PL-2012-090989"/>
        <s v="PL-2012-090990"/>
        <s v="PL-2012-090994"/>
        <s v="PL-2012-090995"/>
        <s v="PL-2012-091001"/>
        <s v="PL-2012-091010"/>
        <s v="PL-2012-091011"/>
        <s v="PL-2012-091018"/>
        <s v="PL-2012-091019"/>
        <s v="PL-2012-091026"/>
        <s v="PL-2012-091031"/>
        <s v="PL-2012-091032"/>
        <s v="PL-2012-091044"/>
        <s v="PL-2012-091045"/>
        <s v="PL-2012-091050"/>
        <s v="PL-2012-091051"/>
        <s v="PL-2012-091064"/>
        <s v="PL-2012-091065"/>
        <s v="PL-2012-091074"/>
        <s v="PL-2012-091079"/>
        <s v="PL-2012-091080"/>
        <s v="PL-2012-091081"/>
        <s v="PL-2012-091091"/>
        <s v="PL-2012-091092"/>
        <s v="PL-2012-091101"/>
        <s v="PL-2012-091102"/>
        <s v="PL-2012-091111"/>
        <s v="PL-2012-091112"/>
        <s v="PL-2012-091128"/>
        <s v="PL-2012-091132"/>
        <s v="PL-2012-091133"/>
        <s v="PL-2012-091138"/>
        <s v="PL-2012-091145"/>
        <s v="PL-2012-091153"/>
        <s v="PL-2012-091159"/>
        <s v="PL-2012-091160"/>
        <s v="PL-2012-091163"/>
        <s v="PL-2012-091168"/>
        <s v="PL-2012-091176"/>
        <s v="PL-2012-091181"/>
        <s v="PL-2012-091182"/>
        <s v="PL-2012-091183"/>
        <s v="PL-2012-091187"/>
        <s v="PL-2012-091188"/>
        <s v="PL-2012-091196"/>
        <s v="PL-2012-091210"/>
        <s v="PL-2012-091214"/>
        <s v="PL-2012-091215"/>
        <s v="PL-2012-091220"/>
        <s v="PL-2012-091221"/>
        <s v="PL-2012-091230"/>
        <s v="PL-2012-091246"/>
        <s v="PL-2012-091252"/>
        <s v="PL-2012-091270"/>
        <s v="PL-2012-091271"/>
        <s v="PL-2012-091272"/>
        <s v="PL-2012-091278"/>
        <s v="PL-2012-091281"/>
        <s v="PL-2012-091287"/>
        <s v="PL-2012-091288"/>
        <s v="PL-2012-091294"/>
        <s v="PL-2012-091299"/>
        <s v="PL-2012-091300"/>
        <s v="PL-2012-091301"/>
        <s v="PL-2012-091302"/>
        <s v="PL-2012-091311"/>
        <s v="PL-2012-091317"/>
        <s v="PL-2012-091318"/>
        <s v="PL-2012-091322"/>
        <s v="PL-2012-091323"/>
        <s v="PL-2012-091324"/>
        <s v="PL-2012-091331"/>
        <s v="PL-2012-091332"/>
        <s v="PL-2012-091336"/>
        <s v="PL-2012-091338"/>
        <s v="PL-2012-091339"/>
        <s v="PL-2012-091345"/>
        <s v="PL-2012-091351"/>
        <s v="PL-2012-091356"/>
        <s v="PL-2012-091367"/>
        <s v="PL-2012-091368"/>
        <s v="PL-2012-091372"/>
        <s v="PL-2012-091377"/>
        <s v="PL-2012-091378"/>
        <s v="PL-2012-091387"/>
        <s v="PL-2012-091390"/>
        <s v="PL-2012-091391"/>
        <s v="PL-2012-091399"/>
        <s v="PL-2012-091409"/>
        <s v="PL-2012-091421"/>
        <s v="PL-2012-091425"/>
        <s v="PL-2012-091429"/>
        <s v="PL-2012-091439"/>
        <s v="PL-2012-091443"/>
        <s v="PL-2012-091444"/>
        <s v="PL-2012-091448"/>
        <s v="PL-2012-091449"/>
        <s v="PL-2012-091459"/>
        <s v="PL-2012-091472"/>
        <s v="PL-2012-091473"/>
        <s v="PL-2012-091474"/>
        <s v="PL-2012-091475"/>
        <s v="PL-2012-091476"/>
        <s v="PL-2012-091489"/>
        <s v="PL-2012-091507"/>
        <s v="PL-2012-091514"/>
        <s v="PL-2012-091515"/>
        <s v="PL-2012-091521"/>
        <s v="PL-2012-091524"/>
        <s v="PL-2012-091525"/>
        <s v="PL-2012-091529"/>
        <s v="PL-2012-091537"/>
        <s v="PL-2012-091538"/>
        <s v="PL-2012-091551"/>
        <s v="PL-2012-091556"/>
        <s v="PL-2012-091559"/>
        <s v="PL-2012-091560"/>
        <s v="PL-2012-091567"/>
        <s v="PL-2012-091587"/>
        <s v="PL-2012-091589"/>
        <s v="PL-2013-000386"/>
        <s v="PL-2013-000454"/>
        <s v="PL-2013-000613"/>
        <s v="PL-2013-000835"/>
        <s v="PL-2013-002309"/>
        <s v="PL-2013-002311"/>
        <s v="PL-2013-002467"/>
        <s v="PL-2013-002757"/>
        <s v="PL-2013-002947"/>
        <s v="PL-2013-002978"/>
        <s v="PL-2013-003008"/>
        <s v="PL-2013-003266"/>
        <s v="PL-2013-003271"/>
        <s v="PL-2013-003460"/>
        <s v="PL-2013-004769"/>
        <s v="PL-2013-005153"/>
        <s v="PL-2013-005217"/>
        <s v="PL-2013-005444"/>
        <s v="PL-2013-006180"/>
        <s v="PL-2013-007142"/>
        <s v="PL-2013-008419"/>
        <s v="PL-2013-009062"/>
        <s v="PL-2013-009344"/>
        <s v="PL-2013-010944"/>
        <s v="PL-2013-011425"/>
        <s v="PL-2013-011651"/>
        <s v="PL-2013-011876"/>
        <s v="PL-2013-011968"/>
        <s v="PL-2013-012320"/>
        <s v="PL-2013-012868"/>
        <s v="PL-2013-012897"/>
        <s v="PL-2013-012930"/>
        <s v="PL-2013-013634"/>
        <s v="PL-2013-013638"/>
        <s v="PL-2013-013730"/>
        <s v="PL-2013-014693"/>
        <s v="PL-2013-014884"/>
        <s v="PL-2013-015009"/>
        <s v="PL-2013-015264"/>
        <s v="PL-2013-015300"/>
        <s v="PL-2013-015714"/>
        <s v="PL-2013-015907"/>
        <s v="PL-2013-016320"/>
        <s v="PL-2013-016422"/>
        <s v="PL-2013-016710"/>
        <s v="PL-2013-017860"/>
        <s v="PL-2013-017985"/>
        <s v="PL-2013-018534"/>
        <s v="PL-2013-018789"/>
        <s v="PL-2013-019041"/>
        <s v="PL-2013-019365"/>
        <s v="PL-2013-020068"/>
        <s v="PL-2013-020960"/>
        <s v="PL-2013-021057"/>
        <s v="PL-2013-021601"/>
        <s v="PL-2013-021670"/>
        <s v="PL-2013-021760"/>
        <s v="PL-2013-022051"/>
        <s v="PL-2013-022727"/>
        <s v="PL-2013-022787"/>
        <s v="PL-2013-022848"/>
        <s v="PL-2013-023617"/>
        <s v="PL-2013-023781"/>
        <s v="PL-2013-023940"/>
        <s v="PL-2013-023968"/>
        <s v="PL-2013-024486"/>
        <s v="PL-2013-024519"/>
        <s v="PL-2013-024931"/>
        <s v="PL-2013-025669"/>
        <s v="PL-2013-025697"/>
        <s v="PL-2013-026214"/>
        <s v="PL-2013-026370"/>
        <s v="PL-2013-026406"/>
        <s v="PL-2013-026439"/>
        <s v="PL-2013-026851"/>
        <s v="PL-2013-026887"/>
        <s v="PL-2013-027174"/>
        <s v="PL-2013-027811"/>
        <s v="PL-2013-027872"/>
        <s v="PL-2013-028581"/>
        <s v="PL-2013-028807"/>
        <s v="PL-2013-029152"/>
        <s v="PL-2013-029249"/>
        <s v="PL-2013-029255"/>
        <s v="PL-2013-029958"/>
        <s v="PL-2013-030048"/>
        <s v="PL-2013-030497"/>
        <s v="PL-2013-031140"/>
        <s v="PL-2013-031303"/>
        <s v="PL-2013-031939"/>
        <s v="PL-2013-032065"/>
        <s v="PL-2013-032450"/>
        <s v="PL-2013-032454"/>
        <s v="PL-2013-032647"/>
        <s v="PL-2013-032806"/>
        <s v="PL-2013-033219"/>
        <s v="PL-2013-033287"/>
        <s v="PL-2013-033540"/>
        <s v="PL-2013-034048"/>
        <s v="PL-2013-034881"/>
        <s v="PL-2013-035649"/>
        <s v="PL-2013-035684"/>
        <s v="PL-2013-036196"/>
        <s v="PL-2013-036356"/>
        <s v="PL-2013-036482"/>
        <s v="PL-2013-036931"/>
        <s v="PL-2013-037252"/>
        <s v="PL-2013-037380"/>
        <s v="PL-2013-037414"/>
        <s v="PL-2013-037988"/>
        <s v="PL-2013-038693"/>
        <s v="PL-2013-038758"/>
        <s v="PL-2013-039332"/>
        <s v="PL-2013-039878"/>
        <s v="PL-2013-040165"/>
        <s v="PL-2013-040612"/>
        <s v="PL-2013-040643"/>
        <s v="PL-2013-040870"/>
        <s v="PL-2013-040896"/>
        <s v="PL-2013-040934"/>
        <s v="PL-2013-040962"/>
        <s v="PL-2013-041026"/>
        <s v="PL-2013-041157"/>
        <s v="PL-2013-041539"/>
        <s v="PL-2013-041857"/>
        <s v="PL-2013-041987"/>
        <s v="PL-2013-042213"/>
        <s v="PL-2013-043239"/>
        <s v="PL-2013-043267"/>
        <s v="PL-2013-043398"/>
        <s v="PL-2013-043814"/>
        <s v="PL-2013-044451"/>
        <s v="PL-2013-044452"/>
        <s v="PL-2013-045671"/>
        <s v="PL-2013-045794"/>
        <s v="PL-2013-046115"/>
        <s v="PL-2013-046402"/>
        <s v="PL-2013-046565"/>
        <s v="PL-2013-047109"/>
        <s v="PL-2013-047265"/>
        <s v="PL-2013-048071"/>
        <s v="PL-2013-048101"/>
        <s v="PL-2013-048288"/>
        <s v="PL-2013-048515"/>
        <s v="PL-2013-049027"/>
        <s v="PL-2013-049443"/>
        <s v="PL-2013-049762"/>
        <s v="PL-2013-049824"/>
        <s v="PL-2013-050533"/>
        <s v="PL-2013-050726"/>
        <s v="PL-2013-050945"/>
        <s v="PL-2013-051494"/>
        <s v="PL-2013-052389"/>
        <s v="PL-2013-053411"/>
        <s v="PL-2013-054592"/>
        <s v="PL-2013-054914"/>
        <s v="PL-2013-056039"/>
        <s v="PL-2013-056834"/>
        <s v="PL-2013-057095"/>
        <s v="PL-2013-057376"/>
        <s v="PL-2013-058054"/>
        <s v="PL-2013-058342"/>
        <s v="PL-2013-058433"/>
        <s v="PL-2013-058496"/>
        <s v="PL-2013-058947"/>
        <s v="PL-2013-059009"/>
        <s v="PL-2013-059108"/>
        <s v="PL-2013-059686"/>
        <s v="PL-2013-059812"/>
        <s v="PL-2013-085821"/>
        <s v="PL-2013-085822"/>
        <s v="PL-2013-085830"/>
        <s v="PL-2013-085838"/>
        <s v="PL-2013-085839"/>
        <s v="PL-2013-085840"/>
        <s v="PL-2013-085846"/>
        <s v="PL-2013-085847"/>
        <s v="PL-2013-085849"/>
        <s v="PL-2013-085852"/>
        <s v="PL-2013-085853"/>
        <s v="PL-2013-085854"/>
        <s v="PL-2013-085862"/>
        <s v="PL-2013-085872"/>
        <s v="PL-2013-085884"/>
        <s v="PL-2013-085885"/>
        <s v="PL-2013-085886"/>
        <s v="PL-2013-085887"/>
        <s v="PL-2013-085888"/>
        <s v="PL-2013-085902"/>
        <s v="PL-2013-085903"/>
        <s v="PL-2013-085904"/>
        <s v="PL-2013-085910"/>
        <s v="PL-2013-085911"/>
        <s v="PL-2013-085912"/>
        <s v="PL-2013-085920"/>
        <s v="PL-2013-085921"/>
        <s v="PL-2013-085931"/>
        <s v="PL-2013-085932"/>
        <s v="PL-2013-085942"/>
        <s v="PL-2013-085955"/>
        <s v="PL-2013-085956"/>
        <s v="PL-2013-085957"/>
        <s v="PL-2013-085972"/>
        <s v="PL-2013-085973"/>
        <s v="PL-2013-085983"/>
        <s v="PL-2013-085984"/>
        <s v="PL-2013-085995"/>
        <s v="PL-2013-085996"/>
        <s v="PL-2013-085997"/>
        <s v="PL-2013-086006"/>
        <s v="PL-2013-086021"/>
        <s v="PL-2013-086022"/>
        <s v="PL-2013-086023"/>
        <s v="PL-2013-086024"/>
        <s v="PL-2013-086035"/>
        <s v="PL-2013-086042"/>
        <s v="PL-2013-086046"/>
        <s v="PL-2013-086057"/>
        <s v="PL-2013-086058"/>
        <s v="PL-2013-086059"/>
        <s v="PL-2013-086068"/>
        <s v="PL-2013-086069"/>
        <s v="PL-2013-086070"/>
        <s v="PL-2013-086071"/>
        <s v="PL-2013-086072"/>
        <s v="PL-2013-086080"/>
        <s v="PL-2013-086081"/>
        <s v="PL-2013-086082"/>
        <s v="PL-2013-086088"/>
        <s v="PL-2013-086096"/>
        <s v="PL-2013-086097"/>
        <s v="PL-2013-086110"/>
        <s v="PL-2013-086111"/>
        <s v="PL-2013-086112"/>
        <s v="PL-2013-086127"/>
        <s v="PL-2013-086128"/>
        <s v="PL-2013-086129"/>
        <s v="PL-2013-086140"/>
        <s v="PL-2013-086147"/>
        <s v="PL-2013-086155"/>
        <s v="PL-2013-086156"/>
        <s v="PL-2013-086159"/>
        <s v="PL-2013-086160"/>
        <s v="PL-2013-086168"/>
        <s v="PL-2013-086169"/>
        <s v="PL-2013-086170"/>
        <s v="PL-2013-086178"/>
        <s v="PL-2013-086187"/>
        <s v="PL-2013-086195"/>
        <s v="PL-2013-086196"/>
        <s v="PL-2013-086197"/>
        <s v="PL-2013-086201"/>
        <s v="PL-2013-086207"/>
        <s v="PL-2013-086208"/>
        <s v="PL-2013-086209"/>
        <s v="PL-2013-086210"/>
        <s v="PL-2013-086211"/>
        <s v="PL-2013-086224"/>
        <s v="PL-2013-086225"/>
        <s v="PL-2013-086231"/>
        <s v="PL-2013-086237"/>
        <s v="PL-2013-086238"/>
        <s v="PL-2013-086239"/>
        <s v="PL-2013-086254"/>
        <s v="PL-2013-086262"/>
        <s v="PL-2013-086265"/>
        <s v="PL-2013-086273"/>
        <s v="PL-2013-086282"/>
        <s v="PL-2013-086287"/>
        <s v="PL-2013-086295"/>
        <s v="PL-2013-086302"/>
        <s v="PL-2013-086319"/>
        <s v="PL-2013-086320"/>
        <s v="PL-2013-086321"/>
        <s v="PL-2013-086328"/>
        <s v="PL-2013-086334"/>
        <s v="PL-2013-086341"/>
        <s v="PL-2013-086342"/>
        <s v="PL-2013-086348"/>
        <s v="PL-2013-086354"/>
        <s v="PL-2013-086359"/>
        <s v="PL-2013-086360"/>
        <s v="PL-2013-086361"/>
        <s v="PL-2013-086362"/>
        <s v="PL-2013-086371"/>
        <s v="PL-2013-086376"/>
        <s v="PL-2013-086377"/>
        <s v="PL-2013-086389"/>
        <s v="PL-2013-086390"/>
        <s v="PL-2013-086403"/>
        <s v="PL-2013-086404"/>
        <s v="PL-2013-086405"/>
        <s v="PL-2013-086415"/>
        <s v="PL-2013-086416"/>
        <s v="PL-2013-086417"/>
        <s v="PL-2013-086418"/>
        <s v="PL-2013-086424"/>
        <s v="PL-2013-086425"/>
        <s v="PL-2013-086426"/>
        <s v="PL-2013-086429"/>
        <s v="PL-2013-086441"/>
        <s v="PL-2013-086442"/>
        <s v="PL-2013-086449"/>
        <s v="PL-2013-086450"/>
        <s v="PL-2013-086451"/>
        <s v="PL-2013-086456"/>
        <s v="PL-2013-086457"/>
        <s v="PL-2013-086458"/>
        <s v="PL-2013-086461"/>
        <s v="PL-2013-086473"/>
        <s v="PL-2013-086474"/>
        <s v="PL-2013-086475"/>
        <s v="PL-2013-086477"/>
        <s v="PL-2013-086478"/>
        <s v="PL-2013-086479"/>
        <s v="PL-2013-086480"/>
        <s v="PL-2013-086481"/>
        <s v="PL-2013-086487"/>
        <s v="PL-2013-086494"/>
        <s v="PL-2013-086495"/>
        <s v="PL-2013-086503"/>
        <s v="PL-2013-086504"/>
        <s v="PL-2013-086512"/>
        <s v="PL-2013-086517"/>
        <s v="PL-2013-086522"/>
        <s v="PL-2013-086523"/>
        <s v="PL-2013-086524"/>
        <s v="PL-2013-086531"/>
        <s v="PL-2013-086532"/>
        <s v="PL-2013-086541"/>
        <s v="PL-2013-086550"/>
        <s v="PL-2013-086560"/>
        <s v="PL-2013-086570"/>
        <s v="PL-2013-086580"/>
        <s v="PL-2013-086581"/>
        <s v="PL-2013-086582"/>
        <s v="PL-2013-086583"/>
        <s v="PL-2013-086597"/>
        <s v="PL-2013-086604"/>
        <s v="PL-2013-086605"/>
        <s v="PL-2013-086613"/>
        <s v="PL-2013-086614"/>
        <s v="PL-2013-086615"/>
        <s v="PL-2013-086622"/>
        <s v="PL-2013-086623"/>
        <s v="PL-2013-086624"/>
        <s v="PL-2013-086642"/>
        <s v="PL-2013-086648"/>
        <s v="PL-2013-086649"/>
        <s v="PL-2013-086657"/>
        <s v="PL-2013-086658"/>
        <s v="PL-2013-086659"/>
        <s v="PL-2013-086663"/>
        <s v="PL-2013-086664"/>
        <s v="PL-2013-086672"/>
        <s v="PL-2013-086673"/>
        <s v="PL-2013-086674"/>
        <s v="PL-2013-086675"/>
        <s v="PL-2013-086676"/>
        <s v="PL-2013-086690"/>
        <s v="PL-2013-086691"/>
        <s v="PL-2013-086695"/>
        <s v="PL-2013-086696"/>
        <s v="PL-2013-086704"/>
        <s v="PL-2013-086705"/>
        <s v="PL-2013-086706"/>
        <s v="PL-2013-086743"/>
        <s v="PL-2013-086744"/>
        <s v="PL-2013-086759"/>
        <s v="PL-2013-086760"/>
        <s v="PL-2013-086774"/>
        <s v="PL-2013-086775"/>
        <s v="PL-2013-086776"/>
        <s v="PL-2013-086777"/>
        <s v="PL-2013-086778"/>
        <s v="PL-2013-086779"/>
        <s v="PL-2013-086799"/>
        <s v="PL-2013-086800"/>
        <s v="PL-2013-086801"/>
        <s v="PL-2013-086807"/>
        <s v="PL-2013-086819"/>
        <s v="PL-2013-086820"/>
        <s v="PL-2013-086830"/>
        <s v="PL-2013-086831"/>
        <s v="PL-2013-086841"/>
        <s v="PL-2013-086851"/>
        <s v="PL-2013-086852"/>
        <s v="PL-2013-086853"/>
        <s v="PL-2013-086854"/>
        <s v="PL-2013-086855"/>
        <s v="PL-2013-086856"/>
        <s v="PL-2013-086862"/>
        <s v="PL-2013-086871"/>
        <s v="PL-2013-086872"/>
        <s v="PL-2013-086890"/>
        <s v="PL-2013-086891"/>
        <s v="PL-2013-086892"/>
        <s v="PL-2013-086893"/>
        <s v="PL-2013-086894"/>
        <s v="PL-2013-086905"/>
        <s v="PL-2013-086906"/>
        <s v="PL-2013-086907"/>
        <s v="PL-2013-086908"/>
        <s v="PL-2013-086909"/>
        <s v="PL-2013-086916"/>
        <s v="PL-2013-086917"/>
        <s v="PL-2013-086928"/>
        <s v="PL-2013-086929"/>
        <s v="PL-2013-086930"/>
        <s v="PL-2013-086940"/>
        <s v="PL-2013-086941"/>
        <s v="PL-2013-086942"/>
        <s v="PL-2013-086943"/>
        <s v="PL-2013-086954"/>
        <s v="PL-2013-086962"/>
        <s v="PL-2013-086963"/>
        <s v="PL-2013-086968"/>
        <s v="PL-2013-086969"/>
        <s v="PL-2013-086970"/>
        <s v="PL-2013-086977"/>
        <s v="PL-2013-086978"/>
        <s v="PL-2013-086999"/>
        <s v="PL-2013-087010"/>
        <s v="PL-2013-087011"/>
        <s v="PL-2013-087018"/>
        <s v="PL-2013-087019"/>
        <s v="PL-2013-087022"/>
        <s v="PL-2013-087027"/>
        <s v="PL-2013-087038"/>
        <s v="PL-2013-087039"/>
        <s v="PL-2013-087048"/>
        <s v="PL-2013-087049"/>
        <s v="PL-2013-087050"/>
        <s v="PL-2013-087062"/>
        <s v="PL-2013-087063"/>
        <s v="PL-2013-087064"/>
        <s v="PL-2013-087065"/>
        <s v="PL-2013-087092"/>
        <s v="PL-2013-087093"/>
        <s v="PL-2013-087094"/>
        <s v="PL-2013-087100"/>
        <s v="PL-2013-087107"/>
        <s v="PL-2013-087108"/>
        <s v="PL-2013-087111"/>
        <s v="PL-2013-087112"/>
        <s v="PL-2013-087113"/>
        <s v="PL-2013-087114"/>
        <s v="PL-2013-087121"/>
        <s v="PL-2013-087122"/>
        <s v="PL-2013-087123"/>
        <s v="PL-2013-087124"/>
        <s v="PL-2013-087129"/>
        <s v="PL-2013-087130"/>
        <s v="PL-2013-087140"/>
        <s v="PL-2013-087141"/>
        <s v="PL-2013-087154"/>
        <s v="PL-2013-087155"/>
        <s v="PL-2013-087156"/>
        <s v="PL-2013-087157"/>
        <s v="PL-2013-087169"/>
        <s v="PL-2013-087170"/>
        <s v="PL-2013-087181"/>
        <s v="PL-2013-087182"/>
        <s v="PL-2013-087183"/>
        <s v="PL-2013-087189"/>
        <s v="PL-2013-087190"/>
        <s v="PL-2013-087199"/>
        <s v="PL-2013-087200"/>
        <s v="PL-2013-087211"/>
        <s v="PL-2013-087212"/>
        <s v="PL-2013-087216"/>
        <s v="PL-2013-087217"/>
        <s v="PL-2013-087218"/>
        <s v="PL-2013-087230"/>
        <s v="PL-2013-087231"/>
        <s v="PL-2013-087232"/>
        <s v="PL-2013-087237"/>
        <s v="PL-2013-087242"/>
        <s v="PL-2013-087249"/>
        <s v="PL-2013-087250"/>
        <s v="PL-2013-087251"/>
        <s v="PL-2013-087252"/>
        <s v="PL-2013-087262"/>
        <s v="PL-2013-087263"/>
        <s v="PL-2013-087264"/>
        <s v="PL-2013-087274"/>
        <s v="PL-2013-087279"/>
        <s v="PL-2013-087280"/>
        <s v="PL-2013-087281"/>
        <s v="PL-2013-087290"/>
        <s v="PL-2013-087301"/>
        <s v="PL-2013-087302"/>
        <s v="PL-2013-087309"/>
        <s v="PL-2013-087319"/>
        <s v="PL-2013-087320"/>
        <s v="PL-2013-087321"/>
        <s v="PL-2013-087330"/>
        <s v="PL-2013-087331"/>
        <s v="PL-2013-087338"/>
        <s v="PL-2013-087346"/>
        <s v="PL-2013-087351"/>
        <s v="PL-2013-087352"/>
        <s v="PL-2013-087359"/>
        <s v="PL-2013-087369"/>
        <s v="PL-2013-087379"/>
        <s v="PL-2013-087386"/>
        <s v="PL-2013-087387"/>
        <s v="PL-2013-087392"/>
        <s v="PL-2013-087399"/>
        <s v="PL-2013-087400"/>
        <s v="PL-2013-087401"/>
        <s v="PL-2013-087410"/>
        <s v="PL-2013-087411"/>
        <s v="PL-2013-087430"/>
        <s v="PL-2013-087439"/>
        <s v="PL-2013-087440"/>
        <s v="PL-2013-087441"/>
        <s v="PL-2013-087448"/>
        <s v="PL-2013-087471"/>
        <s v="PL-2013-087477"/>
        <s v="PL-2013-087478"/>
        <s v="PL-2013-087492"/>
        <s v="PL-2013-087493"/>
        <s v="PL-2013-087494"/>
        <s v="PL-2013-087495"/>
        <s v="PL-2013-087496"/>
        <s v="PL-2013-087497"/>
        <s v="PL-2013-087498"/>
        <s v="PL-2013-087499"/>
        <s v="PL-2013-087500"/>
        <s v="PL-2013-087501"/>
        <s v="PL-2013-087507"/>
        <s v="PL-2013-087508"/>
        <s v="PL-2013-087515"/>
        <s v="PL-2013-087516"/>
        <s v="PL-2013-087524"/>
        <s v="PL-2013-087526"/>
        <s v="PL-2013-087540"/>
        <s v="PL-2013-087541"/>
        <s v="PL-2013-087542"/>
        <s v="PL-2013-087543"/>
        <s v="PL-2013-087544"/>
        <s v="PL-2013-087545"/>
        <s v="PL-2013-087560"/>
        <s v="PL-2013-087561"/>
        <s v="PL-2013-087562"/>
        <s v="PL-2013-087576"/>
        <s v="PL-2013-087581"/>
        <s v="PL-2013-087595"/>
        <s v="PL-2013-087596"/>
        <s v="PL-2013-087607"/>
        <s v="PL-2013-087608"/>
        <s v="PL-2013-087609"/>
        <s v="PL-2013-087614"/>
        <s v="PL-2013-087624"/>
        <s v="PL-2013-087625"/>
        <s v="PL-2013-087626"/>
        <s v="PL-2013-087627"/>
        <s v="PL-2013-087640"/>
        <s v="PL-2013-087641"/>
        <s v="PL-2013-087649"/>
        <s v="PL-2013-087650"/>
        <s v="PL-2013-087656"/>
        <s v="PL-2013-087657"/>
        <s v="PL-2013-087658"/>
        <s v="PL-2013-087659"/>
        <s v="PL-2013-087660"/>
        <s v="PL-2013-087661"/>
        <s v="PL-2013-087662"/>
        <s v="PL-2013-087685"/>
        <s v="PL-2013-087686"/>
        <s v="PL-2013-087687"/>
        <s v="PL-2013-087697"/>
        <s v="PL-2013-087698"/>
        <s v="PL-2013-087704"/>
        <s v="PL-2013-087705"/>
        <s v="PL-2013-087706"/>
        <s v="PL-2013-087713"/>
        <s v="PL-2013-087714"/>
        <s v="PL-2013-087723"/>
        <s v="PL-2013-087729"/>
        <s v="PL-2013-087730"/>
        <s v="PL-2013-087745"/>
        <s v="PL-2013-087761"/>
        <s v="PL-2013-087762"/>
        <s v="PL-2013-087763"/>
        <s v="PL-2013-087766"/>
        <s v="PL-2013-087768"/>
        <s v="PL-2013-087769"/>
        <s v="PL-2013-087779"/>
        <s v="PL-2013-087780"/>
        <s v="PL-2013-087781"/>
        <s v="PL-2013-087786"/>
        <s v="PL-2013-087792"/>
        <s v="PL-2013-087793"/>
        <s v="PL-2013-087800"/>
        <s v="PL-2013-087801"/>
        <s v="PL-2013-087802"/>
        <s v="PL-2013-087806"/>
        <s v="PL-2013-087807"/>
        <s v="PL-2013-087817"/>
        <s v="PL-2013-087818"/>
        <s v="PL-2013-087825"/>
        <s v="PL-2013-087837"/>
        <s v="PL-2013-087838"/>
        <s v="PL-2013-087842"/>
        <s v="PL-2013-087849"/>
        <s v="PL-2013-087850"/>
        <s v="PL-2013-087854"/>
        <s v="PL-2013-087855"/>
        <s v="PL-2013-087856"/>
        <s v="PL-2013-087857"/>
        <s v="PL-2013-087858"/>
        <s v="PL-2013-087859"/>
        <s v="PL-2013-087866"/>
        <s v="PL-2013-087867"/>
        <s v="PL-2013-087868"/>
        <s v="PL-2013-087869"/>
        <s v="PL-2013-087870"/>
        <s v="PL-2013-087871"/>
        <s v="PL-2013-087872"/>
        <s v="PL-2013-087881"/>
        <s v="PL-2013-087894"/>
        <s v="PL-2013-087895"/>
        <s v="PL-2013-087896"/>
        <s v="PL-2013-087901"/>
        <s v="PL-2013-087902"/>
        <s v="PL-2013-087911"/>
        <s v="PL-2013-087912"/>
        <s v="PL-2013-087919"/>
        <s v="PL-2013-087920"/>
        <s v="PL-2013-087921"/>
        <s v="PL-2013-087922"/>
        <s v="PL-2013-087948"/>
        <s v="PL-2013-087958"/>
        <s v="PL-2013-087959"/>
        <s v="PL-2013-087960"/>
        <s v="PL-2013-087968"/>
        <s v="PL-2013-087969"/>
        <s v="PL-2013-087970"/>
        <s v="PL-2013-087971"/>
        <s v="PL-2013-087985"/>
        <s v="PL-2013-087986"/>
        <s v="PL-2013-087987"/>
        <s v="PL-2013-087988"/>
        <s v="PL-2013-087996"/>
        <s v="PL-2013-087997"/>
        <s v="PL-2013-088003"/>
        <s v="PL-2013-088007"/>
        <s v="PL-2013-088008"/>
        <s v="PL-2013-088009"/>
        <s v="PL-2013-088010"/>
        <s v="PL-2013-088019"/>
        <s v="PL-2013-088025"/>
        <s v="PL-2013-088026"/>
        <s v="PL-2013-088027"/>
        <s v="PL-2013-088033"/>
        <s v="PL-2013-088034"/>
        <s v="PL-2013-088043"/>
        <s v="PL-2013-088044"/>
        <s v="PL-2013-088052"/>
        <s v="PL-2013-088053"/>
        <s v="PL-2013-088054"/>
        <s v="PL-2013-088055"/>
        <s v="PL-2013-088065"/>
        <s v="PL-2013-088066"/>
        <s v="PL-2013-088067"/>
        <s v="PL-2013-088072"/>
        <s v="PL-2013-088078"/>
        <s v="PL-2013-088095"/>
        <s v="PL-2013-088096"/>
        <s v="PL-2013-088097"/>
        <s v="PL-2013-088098"/>
        <s v="PL-2013-088109"/>
        <s v="PL-2013-088110"/>
        <s v="PL-2013-088111"/>
        <s v="PL-2013-088112"/>
        <s v="PL-2013-088117"/>
        <s v="PL-2013-088118"/>
        <s v="PL-2013-088119"/>
        <s v="PL-2013-088120"/>
        <s v="PL-2013-088121"/>
        <s v="PL-2013-088128"/>
        <s v="PL-2013-088129"/>
        <s v="PL-2013-088130"/>
        <s v="PL-2013-088131"/>
        <s v="PL-2013-088141"/>
        <s v="PL-2013-088142"/>
        <s v="PL-2013-088143"/>
        <s v="PL-2013-088158"/>
        <s v="PL-2013-088159"/>
        <s v="PL-2013-088179"/>
        <s v="PL-2013-088180"/>
        <s v="PL-2013-088188"/>
        <s v="PL-2013-088189"/>
        <s v="PL-2013-088193"/>
        <s v="PL-2013-088199"/>
        <s v="PL-2013-088209"/>
        <s v="PL-2013-088224"/>
        <s v="PL-2013-088225"/>
        <s v="PL-2013-088226"/>
        <s v="PL-2013-088227"/>
        <s v="PL-2013-088228"/>
        <s v="PL-2013-088229"/>
        <s v="PL-2013-088235"/>
        <s v="PL-2013-088236"/>
        <s v="PL-2013-088237"/>
        <s v="PL-2013-088246"/>
        <s v="PL-2013-088247"/>
        <s v="PL-2013-088255"/>
        <s v="PL-2013-088262"/>
        <s v="PL-2013-088271"/>
        <s v="PL-2013-088272"/>
        <s v="PL-2013-088273"/>
        <s v="PL-2013-088274"/>
        <s v="PL-2013-088285"/>
        <s v="PL-2013-088286"/>
        <s v="PL-2013-088304"/>
        <s v="PL-2013-088315"/>
        <s v="PL-2013-088323"/>
        <s v="PL-2013-088333"/>
        <s v="PL-2013-088334"/>
        <s v="PL-2013-088335"/>
        <s v="PL-2013-088341"/>
        <s v="PL-2013-088342"/>
        <s v="PL-2013-088343"/>
        <s v="PL-2013-088344"/>
        <s v="PL-2013-088345"/>
        <s v="PL-2013-088353"/>
        <s v="PL-2013-088364"/>
        <s v="PL-2013-088365"/>
        <s v="PL-2013-088374"/>
        <s v="PL-2013-088382"/>
        <s v="PL-2013-088383"/>
        <s v="PL-2013-088384"/>
        <s v="PL-2013-088385"/>
        <s v="PL-2013-088394"/>
        <s v="PL-2013-088395"/>
        <s v="PL-2013-088396"/>
        <s v="PL-2013-088397"/>
        <s v="PL-2013-088398"/>
        <s v="PL-2013-088399"/>
        <s v="PL-2013-088408"/>
        <s v="PL-2013-088409"/>
        <s v="PL-2013-088414"/>
        <s v="PL-2013-088428"/>
        <s v="PL-2013-088431"/>
        <s v="PL-2013-088438"/>
        <s v="PL-2013-088439"/>
        <s v="PL-2013-088454"/>
        <s v="PL-2013-088455"/>
        <s v="PL-2013-088464"/>
        <s v="PL-2013-088465"/>
        <s v="PL-2013-088477"/>
        <s v="PL-2013-088483"/>
        <s v="PL-2013-088494"/>
        <s v="PL-2013-088495"/>
        <s v="PL-2013-088496"/>
        <s v="PL-2013-088497"/>
        <s v="PL-2013-088507"/>
        <s v="PL-2013-088508"/>
        <s v="PL-2013-088509"/>
        <s v="PL-2013-088510"/>
        <s v="PL-2013-088514"/>
        <s v="PL-2013-088518"/>
        <s v="PL-2013-088525"/>
        <s v="PL-2013-088530"/>
        <s v="PL-2013-088531"/>
        <s v="PL-2013-088532"/>
        <s v="PL-2013-088535"/>
        <s v="PL-2013-088536"/>
        <s v="PL-2013-088549"/>
        <s v="PL-2013-088561"/>
        <s v="PL-2013-088572"/>
        <s v="PL-2013-088573"/>
        <s v="PL-2013-088583"/>
        <s v="PL-2013-088595"/>
        <s v="PL-2013-088602"/>
        <s v="PL-2013-088603"/>
        <s v="PL-2013-088604"/>
        <s v="PL-2013-088614"/>
        <s v="PL-2013-088615"/>
        <s v="PL-2013-088621"/>
        <s v="PL-2013-088625"/>
        <s v="PL-2013-088628"/>
        <s v="PL-2013-088637"/>
        <s v="PL-2013-088638"/>
        <s v="PL-2013-088639"/>
        <s v="PL-2013-088652"/>
        <s v="PL-2013-088653"/>
        <s v="PL-2013-088661"/>
        <s v="PL-2013-088671"/>
        <s v="PL-2013-088672"/>
        <s v="PL-2013-088687"/>
        <s v="PL-2013-088688"/>
        <s v="PL-2013-088689"/>
        <s v="PL-2013-088690"/>
        <s v="PL-2013-088691"/>
        <s v="PL-2013-088697"/>
        <s v="PL-2013-088698"/>
        <s v="PL-2013-088704"/>
        <s v="PL-2013-088705"/>
        <s v="PL-2013-088706"/>
        <s v="PL-2013-088707"/>
        <s v="PL-2013-088708"/>
        <s v="PL-2013-088715"/>
        <s v="PL-2013-088716"/>
        <s v="PL-2013-088717"/>
        <s v="PL-2013-088718"/>
        <s v="PL-2013-088737"/>
        <s v="PL-2013-088738"/>
        <s v="PL-2013-088739"/>
        <s v="PL-2013-088749"/>
        <s v="PL-2013-088755"/>
        <s v="PL-2013-088761"/>
        <s v="PL-2013-088788"/>
        <s v="PL-2013-088789"/>
        <s v="PL-2013-088796"/>
        <s v="PL-2013-088805"/>
        <s v="PL-2013-088806"/>
        <s v="PL-2013-088807"/>
        <s v="PL-2013-088808"/>
        <s v="PL-2013-088809"/>
        <s v="PL-2013-088820"/>
        <s v="PL-2013-088821"/>
        <s v="PL-2013-088830"/>
        <s v="PL-2013-088831"/>
        <s v="PL-2013-088832"/>
        <s v="PL-2013-088844"/>
        <s v="PL-2013-088845"/>
        <s v="PL-2013-088846"/>
        <s v="PL-2013-088853"/>
        <s v="PL-2013-088854"/>
        <s v="PL-2013-088855"/>
        <s v="PL-2013-088860"/>
        <s v="PL-2013-088861"/>
        <s v="PL-2013-088862"/>
        <s v="PL-2013-088863"/>
        <s v="PL-2013-088874"/>
        <s v="PL-2013-088875"/>
        <s v="PL-2013-088876"/>
        <s v="PL-2013-088885"/>
        <s v="PL-2013-088886"/>
        <s v="PL-2013-088893"/>
        <s v="PL-2013-088913"/>
        <s v="PL-2013-088915"/>
        <s v="PL-2013-088916"/>
        <s v="PL-2013-088917"/>
        <s v="PL-2013-088933"/>
        <s v="PL-2013-088934"/>
        <s v="PL-2013-088935"/>
        <s v="PL-2013-088936"/>
        <s v="PL-2013-088937"/>
        <s v="PL-2013-088947"/>
        <s v="PL-2013-088948"/>
        <s v="PL-2013-088949"/>
        <s v="PL-2013-088950"/>
        <s v="PL-2013-088955"/>
        <s v="PL-2013-088961"/>
        <s v="PL-2013-088962"/>
        <s v="PL-2013-088963"/>
        <s v="PL-2013-088964"/>
        <s v="PL-2013-088977"/>
        <s v="PL-2013-088978"/>
        <s v="PL-2013-088979"/>
        <s v="PL-2013-088980"/>
        <s v="PL-2013-088986"/>
        <s v="PL-2013-088989"/>
        <s v="PL-2013-088990"/>
        <s v="PL-2013-088991"/>
        <s v="PL-2013-088992"/>
        <s v="PL-2013-088999"/>
        <s v="PL-2013-089000"/>
        <s v="PL-2013-089011"/>
        <s v="PL-2013-089012"/>
        <s v="PL-2013-089013"/>
        <s v="PL-2013-089021"/>
        <s v="PL-2013-089029"/>
        <s v="PL-2013-089030"/>
        <s v="PL-2013-089031"/>
        <s v="PL-2013-089032"/>
        <s v="PL-2013-089042"/>
        <s v="PL-2013-089049"/>
        <s v="PL-2013-089058"/>
        <s v="PL-2013-089068"/>
        <s v="PL-2013-089074"/>
        <s v="PL-2013-089080"/>
        <s v="PL-2013-089087"/>
        <s v="PL-2013-089099"/>
        <s v="PL-2013-089104"/>
        <s v="PL-2013-089108"/>
        <s v="PL-2013-089109"/>
        <s v="PL-2013-089114"/>
        <s v="PL-2013-089115"/>
        <s v="PL-2013-089120"/>
        <s v="PL-2013-089121"/>
        <s v="PL-2013-089122"/>
        <s v="PL-2013-089134"/>
        <s v="PL-2013-089142"/>
        <s v="PL-2013-089143"/>
        <s v="PL-2013-089144"/>
        <s v="PL-2013-089151"/>
        <s v="PL-2013-089158"/>
        <s v="PL-2013-089161"/>
        <s v="PL-2013-089180"/>
        <s v="PL-2013-089181"/>
        <s v="PL-2013-089186"/>
        <s v="PL-2013-089187"/>
        <s v="PL-2013-089188"/>
        <s v="PL-2013-089195"/>
        <s v="PL-2013-089196"/>
        <s v="PL-2013-089197"/>
        <s v="PL-2013-089205"/>
        <s v="PL-2013-089206"/>
        <s v="PL-2013-089213"/>
        <s v="PL-2013-089214"/>
        <s v="PL-2013-089215"/>
        <s v="PL-2013-089225"/>
        <s v="PL-2013-089226"/>
        <s v="PL-2013-089227"/>
        <s v="PL-2013-089237"/>
        <s v="PL-2013-089238"/>
        <s v="PL-2013-089239"/>
        <s v="PL-2013-089243"/>
        <s v="PL-2013-089244"/>
        <s v="PL-2013-089245"/>
        <s v="PL-2013-089247"/>
        <s v="PL-2013-089248"/>
        <s v="PL-2013-089249"/>
        <s v="PL-2013-089254"/>
        <s v="PL-2013-089255"/>
        <s v="PL-2013-089262"/>
        <s v="PL-2013-089263"/>
        <s v="PL-2013-089264"/>
        <s v="PL-2013-089281"/>
        <s v="PL-2013-089282"/>
        <s v="PL-2013-089287"/>
        <s v="PL-2013-089294"/>
        <s v="PL-2013-089295"/>
        <s v="PL-2013-089296"/>
        <s v="PL-2013-089307"/>
        <s v="PL-2013-089308"/>
        <s v="PL-2013-089309"/>
        <s v="PL-2013-089310"/>
        <s v="PL-2013-089321"/>
        <s v="PL-2013-089322"/>
        <s v="PL-2013-089323"/>
        <s v="PL-2013-089336"/>
        <s v="PL-2013-089337"/>
        <s v="PL-2013-089342"/>
        <s v="PL-2013-089348"/>
        <s v="PL-2013-089349"/>
        <s v="PL-2013-089350"/>
        <s v="PL-2013-089351"/>
        <s v="PL-2013-089357"/>
        <s v="PL-2013-089362"/>
        <s v="PL-2013-089366"/>
        <s v="PL-2013-089367"/>
        <s v="PL-2013-089368"/>
        <s v="PL-2013-089377"/>
        <s v="PL-2013-089378"/>
        <s v="PL-2013-089379"/>
        <s v="PL-2013-089383"/>
        <s v="PL-2013-089384"/>
        <s v="PL-2013-089387"/>
        <s v="PL-2013-089391"/>
        <s v="PL-2013-089404"/>
        <s v="PL-2013-089410"/>
        <s v="PL-2013-089411"/>
        <s v="PL-2013-089421"/>
        <s v="PL-2013-089422"/>
        <s v="PL-2013-089429"/>
        <s v="PL-2013-089430"/>
        <s v="PL-2013-089435"/>
        <s v="PL-2013-089441"/>
        <s v="PL-2013-089452"/>
        <s v="PL-2013-089453"/>
        <s v="PL-2013-089459"/>
        <s v="PL-2013-089460"/>
        <s v="PL-2013-089461"/>
        <s v="PL-2013-089462"/>
        <s v="PL-2013-089463"/>
        <s v="PL-2013-089471"/>
        <s v="PL-2013-089473"/>
        <s v="PL-2013-089476"/>
        <s v="PL-2013-089485"/>
        <s v="PL-2013-089486"/>
        <s v="PL-2013-089490"/>
        <s v="PL-2013-089491"/>
        <s v="PL-2013-089492"/>
        <s v="PL-2013-089500"/>
        <s v="PL-2013-089510"/>
        <s v="PL-2013-089516"/>
        <s v="PL-2013-089526"/>
        <s v="PL-2013-089527"/>
        <s v="PL-2013-089528"/>
        <s v="PL-2013-089529"/>
        <s v="PL-2013-089530"/>
        <s v="PL-2013-089531"/>
        <s v="PL-2013-089545"/>
        <s v="PL-2013-089546"/>
        <s v="PL-2013-089547"/>
        <s v="PL-2013-089566"/>
        <s v="PL-2013-089575"/>
        <s v="PL-2013-089580"/>
        <s v="PL-2013-089581"/>
        <s v="PL-2013-089594"/>
        <s v="PL-2013-089600"/>
        <s v="PL-2013-089615"/>
        <s v="PL-2013-089616"/>
        <s v="PL-2013-089622"/>
        <s v="PL-2013-089623"/>
        <s v="PL-2013-089624"/>
        <s v="PL-2013-089625"/>
        <s v="PL-2013-089641"/>
        <s v="PL-2013-089650"/>
        <s v="PL-2013-089655"/>
        <s v="PL-2013-089661"/>
        <s v="PL-2013-089662"/>
        <s v="PL-2013-089670"/>
        <s v="PL-2013-089671"/>
        <s v="PL-2013-089672"/>
        <s v="PL-2013-089673"/>
        <s v="PL-2013-089674"/>
        <s v="PL-2013-089683"/>
        <s v="PL-2013-089689"/>
        <s v="PL-2013-089690"/>
        <s v="PL-2013-089710"/>
        <s v="PL-2013-089718"/>
        <s v="PL-2013-089719"/>
        <s v="PL-2013-089720"/>
        <s v="PL-2013-089727"/>
        <s v="PL-2013-089732"/>
        <s v="PL-2013-089733"/>
        <s v="PL-2013-089734"/>
        <s v="PL-2013-089741"/>
        <s v="PL-2013-089747"/>
        <s v="PL-2013-089755"/>
        <s v="PL-2013-089756"/>
        <s v="PL-2013-089766"/>
        <s v="PL-2013-089767"/>
        <s v="PL-2013-089771"/>
        <s v="PL-2013-089781"/>
        <s v="PL-2013-089782"/>
        <s v="PL-2013-089783"/>
        <s v="PL-2013-089784"/>
        <s v="PL-2013-089785"/>
        <s v="PL-2013-089791"/>
        <s v="PL-2013-089792"/>
        <s v="PL-2013-089793"/>
        <s v="PL-2013-089798"/>
        <s v="PL-2013-089802"/>
        <s v="PL-2013-089807"/>
        <s v="PL-2013-089812"/>
        <s v="PL-2013-089813"/>
        <s v="PL-2013-089814"/>
        <s v="PL-2013-089822"/>
        <s v="PL-2013-089823"/>
        <s v="PL-2013-089831"/>
        <s v="PL-2013-089832"/>
        <s v="PL-2013-089833"/>
        <s v="PL-2013-089838"/>
        <s v="PL-2013-089842"/>
        <s v="PL-2013-089843"/>
        <s v="PL-2013-089844"/>
        <s v="PL-2013-089852"/>
        <s v="PL-2013-089853"/>
        <s v="PL-2013-089862"/>
        <s v="PL-2013-089863"/>
        <s v="PL-2013-089864"/>
        <s v="PL-2013-089871"/>
        <s v="PL-2013-089876"/>
        <s v="PL-2013-089877"/>
        <s v="PL-2013-089882"/>
        <s v="PL-2013-089883"/>
        <s v="PL-2013-089888"/>
        <s v="PL-2013-089889"/>
        <s v="PL-2013-089894"/>
        <s v="PL-2013-089895"/>
        <s v="PL-2013-089899"/>
        <s v="PL-2013-089900"/>
        <s v="PL-2013-089902"/>
        <s v="PL-2013-089906"/>
        <s v="PL-2013-089913"/>
        <s v="PL-2013-089917"/>
        <s v="PL-2013-089918"/>
        <s v="PL-2013-089919"/>
        <s v="PL-2013-089926"/>
        <s v="PL-2013-089931"/>
        <s v="PL-2013-089935"/>
        <s v="PL-2013-089936"/>
        <s v="PL-2013-089948"/>
        <s v="PL-2013-089949"/>
        <s v="PL-2013-089950"/>
        <s v="PL-2013-089951"/>
        <s v="PL-2013-089958"/>
        <s v="PL-2013-089964"/>
        <s v="PL-2013-089976"/>
        <s v="PL-2013-089977"/>
        <s v="PL-2013-089990"/>
        <s v="PL-2013-089991"/>
        <s v="PL-2013-089992"/>
        <s v="PL-2013-089997"/>
        <s v="PL-2013-089998"/>
        <s v="PL-2013-090004"/>
        <s v="PL-2013-090005"/>
        <s v="PL-2013-090016"/>
        <s v="PL-2013-090017"/>
        <s v="PL-2013-090018"/>
        <s v="PL-2013-090019"/>
        <s v="PL-2013-090020"/>
        <s v="PL-2013-090021"/>
        <s v="PL-2013-090029"/>
        <s v="PL-2013-090030"/>
        <s v="PL-2013-090034"/>
        <s v="PL-2013-090035"/>
        <s v="PL-2013-090036"/>
        <s v="PL-2013-090046"/>
        <s v="PL-2013-090050"/>
        <s v="PL-2013-090051"/>
        <s v="PL-2013-090052"/>
        <s v="PL-2013-090063"/>
        <s v="PL-2013-090064"/>
        <s v="PL-2013-090065"/>
        <s v="PL-2013-090066"/>
        <s v="PL-2013-090072"/>
        <s v="PL-2013-090073"/>
        <s v="PL-2013-090083"/>
        <s v="PL-2013-090084"/>
        <s v="PL-2013-090085"/>
        <s v="PL-2013-090086"/>
        <s v="PL-2013-090087"/>
        <s v="PL-2013-090088"/>
        <s v="PL-2013-090094"/>
        <s v="PL-2013-090095"/>
        <s v="PL-2013-090096"/>
        <s v="PL-2013-090100"/>
        <s v="PL-2013-090106"/>
        <s v="PL-2013-090107"/>
        <s v="PL-2013-090108"/>
        <s v="PL-2013-090113"/>
        <s v="PL-2013-090123"/>
        <s v="PL-2013-090129"/>
        <s v="PL-2013-090136"/>
        <s v="PL-2013-090137"/>
        <s v="PL-2013-090138"/>
        <s v="PL-2013-090149"/>
        <s v="PL-2013-090150"/>
        <s v="PL-2013-090156"/>
        <s v="PL-2013-090157"/>
        <s v="PL-2013-090161"/>
        <s v="PL-2013-090162"/>
        <s v="PL-2013-090168"/>
        <s v="PL-2013-090169"/>
        <s v="PL-2013-090179"/>
        <s v="PL-2013-090180"/>
        <s v="PL-2013-090181"/>
        <s v="PL-2013-090196"/>
        <s v="PL-2013-090197"/>
        <s v="PL-2013-090198"/>
        <s v="PL-2013-090199"/>
        <s v="PL-2013-090200"/>
        <s v="PL-2013-090206"/>
        <s v="PL-2013-090207"/>
        <s v="PL-2013-090208"/>
        <s v="PL-2013-090209"/>
        <s v="PL-2013-090210"/>
        <s v="PL-2013-090211"/>
        <s v="PL-2013-090217"/>
        <s v="PL-2013-090223"/>
        <s v="PL-2013-090224"/>
        <s v="PL-2013-090225"/>
        <s v="PL-2013-090226"/>
        <s v="PL-2013-090234"/>
        <s v="PL-2013-090241"/>
        <s v="PL-2013-090245"/>
        <s v="PL-2013-090250"/>
        <s v="PL-2013-090251"/>
        <s v="PL-2013-090261"/>
        <s v="PL-2013-090266"/>
        <s v="PL-2013-090274"/>
        <s v="PL-2013-090275"/>
        <s v="PL-2013-090276"/>
        <s v="PL-2013-090281"/>
        <s v="PL-2013-090282"/>
        <s v="PL-2013-090286"/>
        <s v="PL-2013-090287"/>
        <s v="PL-2013-090288"/>
        <s v="PL-2013-090293"/>
        <s v="PL-2013-090297"/>
        <s v="PL-2013-090298"/>
        <s v="PL-2013-090299"/>
        <s v="PL-2013-090312"/>
        <s v="PL-2013-090317"/>
        <s v="PL-2013-090325"/>
        <s v="PL-2013-090330"/>
        <s v="PL-2013-090331"/>
        <s v="PL-2013-090344"/>
        <s v="PL-2013-090345"/>
        <s v="PL-2013-090356"/>
        <s v="PL-2013-090357"/>
        <s v="PL-2013-090365"/>
        <s v="PL-2013-090366"/>
        <s v="PL-2013-090368"/>
        <s v="PL-2013-090369"/>
        <s v="PL-2013-090370"/>
        <s v="PL-2013-090374"/>
        <s v="PL-2013-090375"/>
        <s v="PL-2013-090376"/>
        <s v="PL-2013-090380"/>
        <s v="PL-2013-090381"/>
        <s v="PL-2013-090382"/>
        <s v="PL-2013-090391"/>
        <s v="PL-2013-090392"/>
        <s v="PL-2013-090393"/>
        <s v="PL-2013-090394"/>
        <s v="PL-2013-090395"/>
        <s v="PL-2013-090396"/>
        <s v="PL-2013-090412"/>
        <s v="PL-2013-090413"/>
        <s v="PL-2013-090419"/>
        <s v="PL-2013-090423"/>
        <s v="PL-2013-090424"/>
        <s v="PL-2013-090425"/>
        <s v="PL-2013-090441"/>
        <s v="PL-2013-090442"/>
        <s v="PL-2013-090445"/>
        <s v="PL-2013-090446"/>
        <s v="PL-2013-090450"/>
        <s v="PL-2013-090451"/>
        <s v="PL-2013-090454"/>
        <s v="PL-2013-090455"/>
        <s v="PL-2013-090456"/>
        <s v="PL-2013-090457"/>
        <s v="PL-2013-090464"/>
        <s v="PL-2013-090465"/>
        <s v="PL-2013-090472"/>
        <s v="PL-2013-090476"/>
        <s v="PL-2013-090483"/>
        <s v="PL-2013-090495"/>
        <s v="PL-2013-090496"/>
        <s v="PL-2013-090497"/>
        <s v="PL-2013-090504"/>
        <s v="PL-2013-090505"/>
        <s v="PL-2013-090506"/>
        <s v="PL-2013-090507"/>
        <s v="PL-2013-090508"/>
        <s v="PL-2013-090518"/>
        <s v="PL-2013-090527"/>
        <s v="PL-2013-090534"/>
        <s v="PL-2013-090545"/>
        <s v="PL-2013-090546"/>
        <s v="PL-2013-090547"/>
        <s v="PL-2013-090548"/>
        <s v="PL-2013-090560"/>
        <s v="PL-2013-090561"/>
        <s v="PL-2013-090562"/>
        <s v="PL-2013-090572"/>
        <s v="PL-2013-090573"/>
        <s v="PL-2013-090591"/>
        <s v="PL-2013-090592"/>
        <s v="PL-2013-090603"/>
        <s v="PL-2013-090604"/>
        <s v="PL-2013-090610"/>
        <s v="PL-2013-090611"/>
        <s v="PL-2013-090635"/>
        <s v="PL-2013-090636"/>
        <s v="PL-2013-090637"/>
        <s v="PL-2013-090643"/>
        <s v="PL-2013-090647"/>
        <s v="PL-2013-090656"/>
        <s v="PL-2013-090666"/>
        <s v="PL-2013-090670"/>
        <s v="PL-2013-090671"/>
        <s v="PL-2013-090677"/>
        <s v="PL-2013-090686"/>
        <s v="PL-2013-090687"/>
        <s v="PL-2013-090698"/>
        <s v="PL-2013-090699"/>
        <s v="PL-2013-090700"/>
        <s v="PL-2013-090701"/>
        <s v="PL-2013-090708"/>
        <s v="PL-2013-090712"/>
        <s v="PL-2013-090713"/>
        <s v="PL-2013-090719"/>
        <s v="PL-2013-090720"/>
        <s v="PL-2013-090721"/>
        <s v="PL-2013-090737"/>
        <s v="PL-2013-090742"/>
        <s v="PL-2013-090743"/>
        <s v="PL-2013-090747"/>
        <s v="PL-2013-090748"/>
        <s v="PL-2013-090754"/>
        <s v="PL-2013-090755"/>
        <s v="PL-2013-090756"/>
        <s v="PL-2013-090757"/>
        <s v="PL-2013-090758"/>
        <s v="PL-2013-090763"/>
        <s v="PL-2013-090764"/>
        <s v="PL-2013-090769"/>
        <s v="PL-2013-090783"/>
        <s v="PL-2013-090792"/>
        <s v="PL-2013-090798"/>
        <s v="PL-2013-090799"/>
        <s v="PL-2013-090802"/>
        <s v="PL-2013-090803"/>
        <s v="PL-2013-090804"/>
        <s v="PL-2013-090810"/>
        <s v="PL-2013-090828"/>
        <s v="PL-2013-090834"/>
        <s v="PL-2013-090839"/>
        <s v="PL-2013-090840"/>
        <s v="PL-2013-090841"/>
        <s v="PL-2013-090852"/>
        <s v="PL-2013-090858"/>
        <s v="PL-2013-090862"/>
        <s v="PL-2013-090863"/>
        <s v="PL-2013-090868"/>
        <s v="PL-2013-090869"/>
        <s v="PL-2013-090870"/>
        <s v="PL-2013-090878"/>
        <s v="PL-2013-090883"/>
        <s v="PL-2013-090890"/>
        <s v="PL-2013-090893"/>
        <s v="PL-2013-090894"/>
        <s v="PL-2013-090901"/>
        <s v="PL-2013-090912"/>
        <s v="PL-2013-090913"/>
        <s v="PL-2013-090919"/>
        <s v="PL-2013-090920"/>
        <s v="PL-2013-090923"/>
        <s v="PL-2013-090924"/>
        <s v="PL-2013-090928"/>
        <s v="PL-2013-090937"/>
        <s v="PL-2013-090949"/>
        <s v="PL-2013-090953"/>
        <s v="PL-2013-090954"/>
        <s v="PL-2013-090955"/>
        <s v="PL-2013-090956"/>
        <s v="PL-2013-090957"/>
        <s v="PL-2013-090968"/>
        <s v="PL-2013-090979"/>
        <s v="PL-2013-090980"/>
        <s v="PL-2013-090991"/>
        <s v="PL-2013-090992"/>
        <s v="PL-2013-090996"/>
        <s v="PL-2013-091002"/>
        <s v="PL-2013-091008"/>
        <s v="PL-2013-091012"/>
        <s v="PL-2013-091013"/>
        <s v="PL-2013-091020"/>
        <s v="PL-2013-091021"/>
        <s v="PL-2013-091027"/>
        <s v="PL-2013-091039"/>
        <s v="PL-2013-091046"/>
        <s v="PL-2013-091047"/>
        <s v="PL-2013-091070"/>
        <s v="PL-2013-091071"/>
        <s v="PL-2013-091075"/>
        <s v="PL-2013-091082"/>
        <s v="PL-2013-091083"/>
        <s v="PL-2013-091093"/>
        <s v="PL-2013-091094"/>
        <s v="PL-2013-091095"/>
        <s v="PL-2013-091103"/>
        <s v="PL-2013-091104"/>
        <s v="PL-2013-091117"/>
        <s v="PL-2013-091118"/>
        <s v="PL-2013-091119"/>
        <s v="PL-2013-091124"/>
        <s v="PL-2013-091125"/>
        <s v="PL-2013-091126"/>
        <s v="PL-2013-091129"/>
        <s v="PL-2013-091134"/>
        <s v="PL-2013-091141"/>
        <s v="PL-2013-091146"/>
        <s v="PL-2013-091147"/>
        <s v="PL-2013-091148"/>
        <s v="PL-2013-091154"/>
        <s v="PL-2013-091155"/>
        <s v="PL-2013-091156"/>
        <s v="PL-2013-091161"/>
        <s v="PL-2013-091162"/>
        <s v="PL-2013-091164"/>
        <s v="PL-2013-091169"/>
        <s v="PL-2013-091170"/>
        <s v="PL-2013-091177"/>
        <s v="PL-2013-091184"/>
        <s v="PL-2013-091189"/>
        <s v="PL-2013-091202"/>
        <s v="PL-2013-091203"/>
        <s v="PL-2013-091204"/>
        <s v="PL-2013-091205"/>
        <s v="PL-2013-091222"/>
        <s v="PL-2013-091223"/>
        <s v="PL-2013-091225"/>
        <s v="PL-2013-091231"/>
        <s v="PL-2013-091232"/>
        <s v="PL-2013-091247"/>
        <s v="PL-2013-091248"/>
        <s v="PL-2013-091249"/>
        <s v="PL-2013-091253"/>
        <s v="PL-2013-091254"/>
        <s v="PL-2013-091256"/>
        <s v="PL-2013-091264"/>
        <s v="PL-2013-091266"/>
        <s v="PL-2013-091267"/>
        <s v="PL-2013-091273"/>
        <s v="PL-2013-091274"/>
        <s v="PL-2013-091282"/>
        <s v="PL-2013-091283"/>
        <s v="PL-2013-091290"/>
        <s v="PL-2013-091291"/>
        <s v="PL-2013-091292"/>
        <s v="PL-2013-091295"/>
        <s v="PL-2013-091309"/>
        <s v="PL-2013-091312"/>
        <s v="PL-2013-091314"/>
        <s v="PL-2013-091315"/>
        <s v="PL-2013-091319"/>
        <s v="PL-2013-091333"/>
        <s v="PL-2013-091334"/>
        <s v="PL-2013-091337"/>
        <s v="PL-2013-091340"/>
        <s v="PL-2013-091341"/>
        <s v="PL-2013-091346"/>
        <s v="PL-2013-091347"/>
        <s v="PL-2013-091348"/>
        <s v="PL-2013-091352"/>
        <s v="PL-2013-091353"/>
        <s v="PL-2013-091357"/>
        <s v="PL-2013-091364"/>
        <s v="PL-2013-091369"/>
        <s v="PL-2013-091374"/>
        <s v="PL-2013-091375"/>
        <s v="PL-2013-091392"/>
        <s v="PL-2013-091393"/>
        <s v="PL-2013-091394"/>
        <s v="PL-2013-091395"/>
        <s v="PL-2013-091400"/>
        <s v="PL-2013-091401"/>
        <s v="PL-2013-091403"/>
        <s v="PL-2013-091404"/>
        <s v="PL-2013-091410"/>
        <s v="PL-2013-091411"/>
        <s v="PL-2013-091418"/>
        <s v="PL-2013-091422"/>
        <s v="PL-2013-091426"/>
        <s v="PL-2013-091440"/>
        <s v="PL-2013-091441"/>
        <s v="PL-2013-091445"/>
        <s v="PL-2013-091452"/>
        <s v="PL-2013-091455"/>
        <s v="PL-2013-091460"/>
        <s v="PL-2013-091463"/>
        <s v="PL-2013-091469"/>
        <s v="PL-2013-091483"/>
        <s v="PL-2013-091484"/>
        <s v="PL-2013-091493"/>
        <s v="PL-2013-091494"/>
        <s v="PL-2013-091497"/>
        <s v="PL-2013-091498"/>
        <s v="PL-2013-091499"/>
        <s v="PL-2013-091503"/>
        <s v="PL-2013-091504"/>
        <s v="PL-2013-091505"/>
        <s v="PL-2013-091508"/>
        <s v="PL-2013-091509"/>
        <s v="PL-2013-091510"/>
        <s v="PL-2013-091516"/>
        <s v="PL-2013-091526"/>
        <s v="PL-2013-091527"/>
        <s v="PL-2013-091534"/>
        <s v="PL-2013-091539"/>
        <s v="PL-2013-091540"/>
        <s v="PL-2013-091541"/>
        <s v="PL-2013-091544"/>
        <s v="PL-2013-091552"/>
        <s v="PL-2013-091561"/>
        <s v="PL-2013-091569"/>
        <s v="PL-2013-091570"/>
        <s v="PL-2013-091572"/>
        <s v="PL-2013-091578"/>
        <s v="PL-2013-091579"/>
        <s v="PL-2013-091580"/>
        <s v="PL-2013-091582"/>
        <s v="PL-2013-091585"/>
        <s v="PL-2014-000006"/>
        <s v="PL-2014-000322"/>
        <s v="PL-2014-000388"/>
        <s v="PL-2014-000612"/>
        <s v="PL-2014-001447"/>
        <s v="PL-2014-001537"/>
        <s v="PL-2014-001793"/>
        <s v="PL-2014-001829"/>
        <s v="PL-2014-001856"/>
        <s v="PL-2014-002209"/>
        <s v="PL-2014-002497"/>
        <s v="PL-2014-003136"/>
        <s v="PL-2014-003524"/>
        <s v="PL-2014-003585"/>
        <s v="PL-2014-003621"/>
        <s v="PL-2014-003685"/>
        <s v="PL-2014-003841"/>
        <s v="PL-2014-004294"/>
        <s v="PL-2014-004674"/>
        <s v="PL-2014-004771"/>
        <s v="PL-2014-005441"/>
        <s v="PL-2014-005504"/>
        <s v="PL-2014-005890"/>
        <s v="PL-2014-005984"/>
        <s v="PL-2014-005986"/>
        <s v="PL-2014-006950"/>
        <s v="PL-2014-007042"/>
        <s v="PL-2014-007107"/>
        <s v="PL-2014-007203"/>
        <s v="PL-2014-007751"/>
        <s v="PL-2014-008257"/>
        <s v="PL-2014-008353"/>
        <s v="PL-2014-008833"/>
        <s v="PL-2014-009409"/>
        <s v="PL-2014-009476"/>
        <s v="PL-2014-009894"/>
        <s v="PL-2014-010435"/>
        <s v="PL-2014-010470"/>
        <s v="PL-2014-010567"/>
        <s v="PL-2014-010624"/>
        <s v="PL-2014-010949"/>
        <s v="PL-2014-010982"/>
        <s v="PL-2014-011683"/>
        <s v="PL-2014-011808"/>
        <s v="PL-2014-011874"/>
        <s v="PL-2014-012129"/>
        <s v="PL-2014-012256"/>
        <s v="PL-2014-012804"/>
        <s v="PL-2014-013284"/>
        <s v="PL-2014-013383"/>
        <s v="PL-2014-013444"/>
        <s v="PL-2014-013507"/>
        <s v="PL-2014-013570"/>
        <s v="PL-2014-013601"/>
        <s v="PL-2014-013984"/>
        <s v="PL-2014-013988"/>
        <s v="PL-2014-014115"/>
        <s v="PL-2014-014241"/>
        <s v="PL-2014-014630"/>
        <s v="PL-2014-014784"/>
        <s v="PL-2014-014916"/>
        <s v="PL-2014-016098"/>
        <s v="PL-2014-016480"/>
        <s v="PL-2014-016772"/>
        <s v="PL-2014-016806"/>
        <s v="PL-2014-016897"/>
        <s v="PL-2014-017155"/>
        <s v="PL-2014-017216"/>
        <s v="PL-2014-017317"/>
        <s v="PL-2014-018341"/>
        <s v="PL-2014-018373"/>
        <s v="PL-2014-018596"/>
        <s v="PL-2014-018790"/>
        <s v="PL-2014-018917"/>
        <s v="PL-2014-018945"/>
        <s v="PL-2014-018950"/>
        <s v="PL-2014-019332"/>
        <s v="PL-2014-019394"/>
        <s v="PL-2014-019429"/>
        <s v="PL-2014-019936"/>
        <s v="PL-2014-020261"/>
        <s v="PL-2014-020807"/>
        <s v="PL-2014-021249"/>
        <s v="PL-2014-021539"/>
        <s v="PL-2014-022115"/>
        <s v="PL-2014-022755"/>
        <s v="PL-2014-022885"/>
        <s v="PL-2014-023140"/>
        <s v="PL-2014-023172"/>
        <s v="PL-2014-024455"/>
        <s v="PL-2014-024993"/>
        <s v="PL-2014-025473"/>
        <s v="PL-2014-025569"/>
        <s v="PL-2014-026021"/>
        <s v="PL-2014-026274"/>
        <s v="PL-2014-026660"/>
        <s v="PL-2014-026756"/>
        <s v="PL-2014-026784"/>
        <s v="PL-2014-026818"/>
        <s v="PL-2014-026981"/>
        <s v="PL-2014-027138"/>
        <s v="PL-2014-027265"/>
        <s v="PL-2014-027616"/>
        <s v="PL-2014-027841"/>
        <s v="PL-2014-028453"/>
        <s v="PL-2014-028482"/>
        <s v="PL-2014-028582"/>
        <s v="PL-2014-028868"/>
        <s v="PL-2014-029090"/>
        <s v="PL-2014-029350"/>
        <s v="PL-2014-029507"/>
        <s v="PL-2014-029537"/>
        <s v="PL-2014-029671"/>
        <s v="PL-2014-029764"/>
        <s v="PL-2014-029985"/>
        <s v="PL-2014-030375"/>
        <s v="PL-2014-030660"/>
        <s v="PL-2014-030784"/>
        <s v="PL-2014-030883"/>
        <s v="PL-2014-031171"/>
        <s v="PL-2014-031173"/>
        <s v="PL-2014-031523"/>
        <s v="PL-2014-031681"/>
        <s v="PL-2014-031877"/>
        <s v="PL-2014-032230"/>
        <s v="PL-2014-032292"/>
        <s v="PL-2014-032325"/>
        <s v="PL-2014-032804"/>
        <s v="PL-2014-032869"/>
        <s v="PL-2014-033222"/>
        <s v="PL-2014-033477"/>
        <s v="PL-2014-033605"/>
        <s v="PL-2014-033732"/>
        <s v="PL-2014-033959"/>
        <s v="PL-2014-034086"/>
        <s v="PL-2014-034400"/>
        <s v="PL-2014-035045"/>
        <s v="PL-2014-035712"/>
        <s v="PL-2014-035842"/>
        <s v="PL-2014-036038"/>
        <s v="PL-2014-036069"/>
        <s v="PL-2014-036099"/>
        <s v="PL-2014-036743"/>
        <s v="PL-2014-037063"/>
        <s v="PL-2014-037188"/>
        <s v="PL-2014-037700"/>
        <s v="PL-2014-037760"/>
        <s v="PL-2014-037859"/>
        <s v="PL-2014-037895"/>
        <s v="PL-2014-037987"/>
        <s v="PL-2014-038853"/>
        <s v="PL-2014-038912"/>
        <s v="PL-2014-039300"/>
        <s v="PL-2014-039399"/>
        <s v="PL-2014-039490"/>
        <s v="PL-2014-039654"/>
        <s v="PL-2014-039686"/>
        <s v="PL-2014-039972"/>
        <s v="PL-2014-040194"/>
        <s v="PL-2014-040672"/>
        <s v="PL-2014-040997"/>
        <s v="PL-2014-041063"/>
        <s v="PL-2014-041441"/>
        <s v="PL-2014-041604"/>
        <s v="PL-2014-041636"/>
        <s v="PL-2014-041760"/>
        <s v="PL-2014-041831"/>
        <s v="PL-2014-042054"/>
        <s v="PL-2014-042369"/>
        <s v="PL-2014-042722"/>
        <s v="PL-2014-042823"/>
        <s v="PL-2014-042848"/>
        <s v="PL-2014-042944"/>
        <s v="PL-2014-042982"/>
        <s v="PL-2014-043330"/>
        <s v="PL-2014-043523"/>
        <s v="PL-2014-043713"/>
        <s v="PL-2014-043745"/>
        <s v="PL-2014-044099"/>
        <s v="PL-2014-044231"/>
        <s v="PL-2014-044295"/>
        <s v="PL-2014-044647"/>
        <s v="PL-2014-044737"/>
        <s v="PL-2014-045413"/>
        <s v="PL-2014-045476"/>
        <s v="PL-2014-045539"/>
        <s v="PL-2014-045571"/>
        <s v="PL-2014-045575"/>
        <s v="PL-2014-046787"/>
        <s v="PL-2014-047399"/>
        <s v="PL-2014-047682"/>
        <s v="PL-2014-047971"/>
        <s v="PL-2014-048452"/>
        <s v="PL-2014-048643"/>
        <s v="PL-2014-048706"/>
        <s v="PL-2014-048774"/>
        <s v="PL-2014-049889"/>
        <s v="PL-2014-049927"/>
        <s v="PL-2014-049990"/>
        <s v="PL-2014-050181"/>
        <s v="PL-2014-050433"/>
        <s v="PL-2014-050656"/>
        <s v="PL-2014-050721"/>
        <s v="PL-2014-051559"/>
        <s v="PL-2014-051620"/>
        <s v="PL-2014-052003"/>
        <s v="PL-2014-052039"/>
        <s v="PL-2014-052322"/>
        <s v="PL-2014-052673"/>
        <s v="PL-2014-052932"/>
        <s v="PL-2014-052995"/>
        <s v="PL-2014-053285"/>
        <s v="PL-2014-053350"/>
        <s v="PL-2014-053445"/>
        <s v="PL-2014-054053"/>
        <s v="PL-2014-054181"/>
        <s v="PL-2014-054595"/>
        <s v="PL-2014-054753"/>
        <s v="PL-2014-055813"/>
        <s v="PL-2014-055908"/>
        <s v="PL-2014-055968"/>
        <s v="PL-2014-056740"/>
        <s v="PL-2014-057025"/>
        <s v="PL-2014-057061"/>
        <s v="PL-2014-057092"/>
        <s v="PL-2014-057638"/>
        <s v="PL-2014-058914"/>
        <s v="PL-2014-058917"/>
        <s v="PL-2014-059238"/>
        <s v="PL-2014-059685"/>
        <s v="PL-2014-085823"/>
        <s v="PL-2014-085824"/>
        <s v="PL-2014-085825"/>
        <s v="PL-2014-085831"/>
        <s v="PL-2014-085832"/>
        <s v="PL-2014-085841"/>
        <s v="PL-2014-085842"/>
        <s v="PL-2014-085843"/>
        <s v="PL-2014-085848"/>
        <s v="PL-2014-085855"/>
        <s v="PL-2014-085856"/>
        <s v="PL-2014-085863"/>
        <s v="PL-2014-085864"/>
        <s v="PL-2014-085873"/>
        <s v="PL-2014-085874"/>
        <s v="PL-2014-085875"/>
        <s v="PL-2014-085876"/>
        <s v="PL-2014-085877"/>
        <s v="PL-2014-085878"/>
        <s v="PL-2014-085879"/>
        <s v="PL-2014-085889"/>
        <s v="PL-2014-085890"/>
        <s v="PL-2014-085891"/>
        <s v="PL-2014-085892"/>
        <s v="PL-2014-085905"/>
        <s v="PL-2014-085906"/>
        <s v="PL-2014-085913"/>
        <s v="PL-2014-085922"/>
        <s v="PL-2014-085923"/>
        <s v="PL-2014-085924"/>
        <s v="PL-2014-085925"/>
        <s v="PL-2014-085926"/>
        <s v="PL-2014-085927"/>
        <s v="PL-2014-085933"/>
        <s v="PL-2014-085934"/>
        <s v="PL-2014-085935"/>
        <s v="PL-2014-085936"/>
        <s v="PL-2014-085937"/>
        <s v="PL-2014-085943"/>
        <s v="PL-2014-085944"/>
        <s v="PL-2014-085945"/>
        <s v="PL-2014-085946"/>
        <s v="PL-2014-085958"/>
        <s v="PL-2014-085959"/>
        <s v="PL-2014-085960"/>
        <s v="PL-2014-085961"/>
        <s v="PL-2014-085962"/>
        <s v="PL-2014-085963"/>
        <s v="PL-2014-085974"/>
        <s v="PL-2014-085975"/>
        <s v="PL-2014-085976"/>
        <s v="PL-2014-085977"/>
        <s v="PL-2014-085978"/>
        <s v="PL-2014-085985"/>
        <s v="PL-2014-085986"/>
        <s v="PL-2014-085987"/>
        <s v="PL-2014-085988"/>
        <s v="PL-2014-085989"/>
        <s v="PL-2014-085998"/>
        <s v="PL-2014-085999"/>
        <s v="PL-2014-086000"/>
        <s v="PL-2014-086001"/>
        <s v="PL-2014-086007"/>
        <s v="PL-2014-086008"/>
        <s v="PL-2014-086009"/>
        <s v="PL-2014-086025"/>
        <s v="PL-2014-086026"/>
        <s v="PL-2014-086027"/>
        <s v="PL-2014-086028"/>
        <s v="PL-2014-086029"/>
        <s v="PL-2014-086030"/>
        <s v="PL-2014-086031"/>
        <s v="PL-2014-086032"/>
        <s v="PL-2014-086033"/>
        <s v="PL-2014-086036"/>
        <s v="PL-2014-086037"/>
        <s v="PL-2014-086038"/>
        <s v="PL-2014-086039"/>
        <s v="PL-2014-086040"/>
        <s v="PL-2014-086043"/>
        <s v="PL-2014-086044"/>
        <s v="PL-2014-086047"/>
        <s v="PL-2014-086048"/>
        <s v="PL-2014-086049"/>
        <s v="PL-2014-086060"/>
        <s v="PL-2014-086061"/>
        <s v="PL-2014-086062"/>
        <s v="PL-2014-086073"/>
        <s v="PL-2014-086074"/>
        <s v="PL-2014-086083"/>
        <s v="PL-2014-086084"/>
        <s v="PL-2014-086089"/>
        <s v="PL-2014-086090"/>
        <s v="PL-2014-086091"/>
        <s v="PL-2014-086098"/>
        <s v="PL-2014-086099"/>
        <s v="PL-2014-086100"/>
        <s v="PL-2014-086113"/>
        <s v="PL-2014-086114"/>
        <s v="PL-2014-086115"/>
        <s v="PL-2014-086116"/>
        <s v="PL-2014-086117"/>
        <s v="PL-2014-086130"/>
        <s v="PL-2014-086131"/>
        <s v="PL-2014-086132"/>
        <s v="PL-2014-086133"/>
        <s v="PL-2014-086134"/>
        <s v="PL-2014-086135"/>
        <s v="PL-2014-086141"/>
        <s v="PL-2014-086142"/>
        <s v="PL-2014-086143"/>
        <s v="PL-2014-086148"/>
        <s v="PL-2014-086149"/>
        <s v="PL-2014-086150"/>
        <s v="PL-2014-086151"/>
        <s v="PL-2014-086152"/>
        <s v="PL-2014-086157"/>
        <s v="PL-2014-086158"/>
        <s v="PL-2014-086161"/>
        <s v="PL-2014-086162"/>
        <s v="PL-2014-086171"/>
        <s v="PL-2014-086172"/>
        <s v="PL-2014-086179"/>
        <s v="PL-2014-086180"/>
        <s v="PL-2014-086183"/>
        <s v="PL-2014-086188"/>
        <s v="PL-2014-086198"/>
        <s v="PL-2014-086199"/>
        <s v="PL-2014-086202"/>
        <s v="PL-2014-086203"/>
        <s v="PL-2014-086204"/>
        <s v="PL-2014-086212"/>
        <s v="PL-2014-086213"/>
        <s v="PL-2014-086214"/>
        <s v="PL-2014-086217"/>
        <s v="PL-2014-086218"/>
        <s v="PL-2014-086219"/>
        <s v="PL-2014-086226"/>
        <s v="PL-2014-086232"/>
        <s v="PL-2014-086240"/>
        <s v="PL-2014-086241"/>
        <s v="PL-2014-086242"/>
        <s v="PL-2014-086243"/>
        <s v="PL-2014-086244"/>
        <s v="PL-2014-086245"/>
        <s v="PL-2014-086246"/>
        <s v="PL-2014-086247"/>
        <s v="PL-2014-086248"/>
        <s v="PL-2014-086249"/>
        <s v="PL-2014-086255"/>
        <s v="PL-2014-086256"/>
        <s v="PL-2014-086257"/>
        <s v="PL-2014-086266"/>
        <s v="PL-2014-086274"/>
        <s v="PL-2014-086275"/>
        <s v="PL-2014-086276"/>
        <s v="PL-2014-086277"/>
        <s v="PL-2014-086278"/>
        <s v="PL-2014-086288"/>
        <s v="PL-2014-086289"/>
        <s v="PL-2014-086290"/>
        <s v="PL-2014-086296"/>
        <s v="PL-2014-086303"/>
        <s v="PL-2014-086304"/>
        <s v="PL-2014-086305"/>
        <s v="PL-2014-086306"/>
        <s v="PL-2014-086322"/>
        <s v="PL-2014-086323"/>
        <s v="PL-2014-086324"/>
        <s v="PL-2014-086325"/>
        <s v="PL-2014-086326"/>
        <s v="PL-2014-086329"/>
        <s v="PL-2014-086330"/>
        <s v="PL-2014-086335"/>
        <s v="PL-2014-086336"/>
        <s v="PL-2014-086337"/>
        <s v="PL-2014-086343"/>
        <s v="PL-2014-086344"/>
        <s v="PL-2014-086345"/>
        <s v="PL-2014-086349"/>
        <s v="PL-2014-086350"/>
        <s v="PL-2014-086351"/>
        <s v="PL-2014-086355"/>
        <s v="PL-2014-086363"/>
        <s v="PL-2014-086364"/>
        <s v="PL-2014-086365"/>
        <s v="PL-2014-086366"/>
        <s v="PL-2014-086367"/>
        <s v="PL-2014-086372"/>
        <s v="PL-2014-086378"/>
        <s v="PL-2014-086379"/>
        <s v="PL-2014-086380"/>
        <s v="PL-2014-086381"/>
        <s v="PL-2014-086391"/>
        <s v="PL-2014-086392"/>
        <s v="PL-2014-086393"/>
        <s v="PL-2014-086394"/>
        <s v="PL-2014-086395"/>
        <s v="PL-2014-086396"/>
        <s v="PL-2014-086406"/>
        <s v="PL-2014-086407"/>
        <s v="PL-2014-086408"/>
        <s v="PL-2014-086419"/>
        <s v="PL-2014-086420"/>
        <s v="PL-2014-086421"/>
        <s v="PL-2014-086430"/>
        <s v="PL-2014-086431"/>
        <s v="PL-2014-086435"/>
        <s v="PL-2014-086443"/>
        <s v="PL-2014-086444"/>
        <s v="PL-2014-086445"/>
        <s v="PL-2014-086446"/>
        <s v="PL-2014-086452"/>
        <s v="PL-2014-086453"/>
        <s v="PL-2014-086462"/>
        <s v="PL-2014-086463"/>
        <s v="PL-2014-086464"/>
        <s v="PL-2014-086469"/>
        <s v="PL-2014-086470"/>
        <s v="PL-2014-086482"/>
        <s v="PL-2014-086483"/>
        <s v="PL-2014-086484"/>
        <s v="PL-2014-086485"/>
        <s v="PL-2014-086488"/>
        <s v="PL-2014-086496"/>
        <s v="PL-2014-086497"/>
        <s v="PL-2014-086498"/>
        <s v="PL-2014-086499"/>
        <s v="PL-2014-086505"/>
        <s v="PL-2014-086506"/>
        <s v="PL-2014-086513"/>
        <s v="PL-2014-086518"/>
        <s v="PL-2014-086519"/>
        <s v="PL-2014-086525"/>
        <s v="PL-2014-086526"/>
        <s v="PL-2014-086533"/>
        <s v="PL-2014-086542"/>
        <s v="PL-2014-086543"/>
        <s v="PL-2014-086551"/>
        <s v="PL-2014-086552"/>
        <s v="PL-2014-086553"/>
        <s v="PL-2014-086554"/>
        <s v="PL-2014-086561"/>
        <s v="PL-2014-086562"/>
        <s v="PL-2014-086563"/>
        <s v="PL-2014-086564"/>
        <s v="PL-2014-086571"/>
        <s v="PL-2014-086572"/>
        <s v="PL-2014-086584"/>
        <s v="PL-2014-086585"/>
        <s v="PL-2014-086586"/>
        <s v="PL-2014-086587"/>
        <s v="PL-2014-086588"/>
        <s v="PL-2014-086589"/>
        <s v="PL-2014-086590"/>
        <s v="PL-2014-086598"/>
        <s v="PL-2014-086606"/>
        <s v="PL-2014-086607"/>
        <s v="PL-2014-086608"/>
        <s v="PL-2014-086609"/>
        <s v="PL-2014-086616"/>
        <s v="PL-2014-086617"/>
        <s v="PL-2014-086618"/>
        <s v="PL-2014-086619"/>
        <s v="PL-2014-086620"/>
        <s v="PL-2014-086625"/>
        <s v="PL-2014-086626"/>
        <s v="PL-2014-086627"/>
        <s v="PL-2014-086628"/>
        <s v="PL-2014-086631"/>
        <s v="PL-2014-086632"/>
        <s v="PL-2014-086635"/>
        <s v="PL-2014-086636"/>
        <s v="PL-2014-086637"/>
        <s v="PL-2014-086638"/>
        <s v="PL-2014-086643"/>
        <s v="PL-2014-086644"/>
        <s v="PL-2014-086650"/>
        <s v="PL-2014-086651"/>
        <s v="PL-2014-086652"/>
        <s v="PL-2014-086653"/>
        <s v="PL-2014-086660"/>
        <s v="PL-2014-086661"/>
        <s v="PL-2014-086665"/>
        <s v="PL-2014-086666"/>
        <s v="PL-2014-086667"/>
        <s v="PL-2014-086677"/>
        <s v="PL-2014-086678"/>
        <s v="PL-2014-086682"/>
        <s v="PL-2014-086683"/>
        <s v="PL-2014-086684"/>
        <s v="PL-2014-086685"/>
        <s v="PL-2014-086692"/>
        <s v="PL-2014-086697"/>
        <s v="PL-2014-086698"/>
        <s v="PL-2014-086707"/>
        <s v="PL-2014-086708"/>
        <s v="PL-2014-086709"/>
        <s v="PL-2014-086713"/>
        <s v="PL-2014-086714"/>
        <s v="PL-2014-086715"/>
        <s v="PL-2014-086716"/>
        <s v="PL-2014-086717"/>
        <s v="PL-2014-086718"/>
        <s v="PL-2014-086719"/>
        <s v="PL-2014-086720"/>
        <s v="PL-2014-086721"/>
        <s v="PL-2014-086728"/>
        <s v="PL-2014-086729"/>
        <s v="PL-2014-086730"/>
        <s v="PL-2014-086731"/>
        <s v="PL-2014-086732"/>
        <s v="PL-2014-086733"/>
        <s v="PL-2014-086745"/>
        <s v="PL-2014-086746"/>
        <s v="PL-2014-086747"/>
        <s v="PL-2014-086748"/>
        <s v="PL-2014-086749"/>
        <s v="PL-2014-086761"/>
        <s v="PL-2014-086762"/>
        <s v="PL-2014-086763"/>
        <s v="PL-2014-086764"/>
        <s v="PL-2014-086765"/>
        <s v="PL-2014-086766"/>
        <s v="PL-2014-086780"/>
        <s v="PL-2014-086781"/>
        <s v="PL-2014-086782"/>
        <s v="PL-2014-086783"/>
        <s v="PL-2014-086784"/>
        <s v="PL-2014-086785"/>
        <s v="PL-2014-086786"/>
        <s v="PL-2014-086787"/>
        <s v="PL-2014-086788"/>
        <s v="PL-2014-086802"/>
        <s v="PL-2014-086803"/>
        <s v="PL-2014-086804"/>
        <s v="PL-2014-086805"/>
        <s v="PL-2014-086806"/>
        <s v="PL-2014-086808"/>
        <s v="PL-2014-086809"/>
        <s v="PL-2014-086810"/>
        <s v="PL-2014-086811"/>
        <s v="PL-2014-086821"/>
        <s v="PL-2014-086822"/>
        <s v="PL-2014-086823"/>
        <s v="PL-2014-086824"/>
        <s v="PL-2014-086825"/>
        <s v="PL-2014-086832"/>
        <s v="PL-2014-086833"/>
        <s v="PL-2014-086834"/>
        <s v="PL-2014-086835"/>
        <s v="PL-2014-086842"/>
        <s v="PL-2014-086843"/>
        <s v="PL-2014-086844"/>
        <s v="PL-2014-086845"/>
        <s v="PL-2014-086857"/>
        <s v="PL-2014-086858"/>
        <s v="PL-2014-086859"/>
        <s v="PL-2014-086863"/>
        <s v="PL-2014-086864"/>
        <s v="PL-2014-086865"/>
        <s v="PL-2014-086866"/>
        <s v="PL-2014-086873"/>
        <s v="PL-2014-086879"/>
        <s v="PL-2014-086880"/>
        <s v="PL-2014-086881"/>
        <s v="PL-2014-086882"/>
        <s v="PL-2014-086895"/>
        <s v="PL-2014-086896"/>
        <s v="PL-2014-086897"/>
        <s v="PL-2014-086910"/>
        <s v="PL-2014-086911"/>
        <s v="PL-2014-086912"/>
        <s v="PL-2014-086918"/>
        <s v="PL-2014-086919"/>
        <s v="PL-2014-086920"/>
        <s v="PL-2014-086921"/>
        <s v="PL-2014-086922"/>
        <s v="PL-2014-086923"/>
        <s v="PL-2014-086924"/>
        <s v="PL-2014-086931"/>
        <s v="PL-2014-086932"/>
        <s v="PL-2014-086944"/>
        <s v="PL-2014-086945"/>
        <s v="PL-2014-086946"/>
        <s v="PL-2014-086947"/>
        <s v="PL-2014-086948"/>
        <s v="PL-2014-086955"/>
        <s v="PL-2014-086964"/>
        <s v="PL-2014-086965"/>
        <s v="PL-2014-086971"/>
        <s v="PL-2014-086972"/>
        <s v="PL-2014-086979"/>
        <s v="PL-2014-086984"/>
        <s v="PL-2014-086985"/>
        <s v="PL-2014-086986"/>
        <s v="PL-2014-086987"/>
        <s v="PL-2014-086988"/>
        <s v="PL-2014-086993"/>
        <s v="PL-2014-086994"/>
        <s v="PL-2014-086995"/>
        <s v="PL-2014-086996"/>
        <s v="PL-2014-087000"/>
        <s v="PL-2014-087001"/>
        <s v="PL-2014-087012"/>
        <s v="PL-2014-087013"/>
        <s v="PL-2014-087014"/>
        <s v="PL-2014-087023"/>
        <s v="PL-2014-087024"/>
        <s v="PL-2014-087025"/>
        <s v="PL-2014-087026"/>
        <s v="PL-2014-087028"/>
        <s v="PL-2014-087040"/>
        <s v="PL-2014-087051"/>
        <s v="PL-2014-087052"/>
        <s v="PL-2014-087053"/>
        <s v="PL-2014-087054"/>
        <s v="PL-2014-087055"/>
        <s v="PL-2014-087056"/>
        <s v="PL-2014-087066"/>
        <s v="PL-2014-087067"/>
        <s v="PL-2014-087068"/>
        <s v="PL-2014-087069"/>
        <s v="PL-2014-087070"/>
        <s v="PL-2014-087074"/>
        <s v="PL-2014-087075"/>
        <s v="PL-2014-087081"/>
        <s v="PL-2014-087082"/>
        <s v="PL-2014-087083"/>
        <s v="PL-2014-087084"/>
        <s v="PL-2014-087085"/>
        <s v="PL-2014-087095"/>
        <s v="PL-2014-087096"/>
        <s v="PL-2014-087097"/>
        <s v="PL-2014-087098"/>
        <s v="PL-2014-087101"/>
        <s v="PL-2014-087102"/>
        <s v="PL-2014-087103"/>
        <s v="PL-2014-087115"/>
        <s v="PL-2014-087116"/>
        <s v="PL-2014-087125"/>
        <s v="PL-2014-087126"/>
        <s v="PL-2014-087131"/>
        <s v="PL-2014-087132"/>
        <s v="PL-2014-087133"/>
        <s v="PL-2014-087142"/>
        <s v="PL-2014-087143"/>
        <s v="PL-2014-087144"/>
        <s v="PL-2014-087145"/>
        <s v="PL-2014-087158"/>
        <s v="PL-2014-087159"/>
        <s v="PL-2014-087171"/>
        <s v="PL-2014-087172"/>
        <s v="PL-2014-087173"/>
        <s v="PL-2014-087174"/>
        <s v="PL-2014-087184"/>
        <s v="PL-2014-087185"/>
        <s v="PL-2014-087191"/>
        <s v="PL-2014-087192"/>
        <s v="PL-2014-087201"/>
        <s v="PL-2014-087202"/>
        <s v="PL-2014-087203"/>
        <s v="PL-2014-087204"/>
        <s v="PL-2014-087205"/>
        <s v="PL-2014-087206"/>
        <s v="PL-2014-087207"/>
        <s v="PL-2014-087213"/>
        <s v="PL-2014-087219"/>
        <s v="PL-2014-087220"/>
        <s v="PL-2014-087225"/>
        <s v="PL-2014-087226"/>
        <s v="PL-2014-087227"/>
        <s v="PL-2014-087228"/>
        <s v="PL-2014-087233"/>
        <s v="PL-2014-087238"/>
        <s v="PL-2014-087239"/>
        <s v="PL-2014-087253"/>
        <s v="PL-2014-087254"/>
        <s v="PL-2014-087255"/>
        <s v="PL-2014-087256"/>
        <s v="PL-2014-087257"/>
        <s v="PL-2014-087265"/>
        <s v="PL-2014-087266"/>
        <s v="PL-2014-087267"/>
        <s v="PL-2014-087268"/>
        <s v="PL-2014-087269"/>
        <s v="PL-2014-087270"/>
        <s v="PL-2014-087271"/>
        <s v="PL-2014-087275"/>
        <s v="PL-2014-087276"/>
        <s v="PL-2014-087282"/>
        <s v="PL-2014-087283"/>
        <s v="PL-2014-087284"/>
        <s v="PL-2014-087291"/>
        <s v="PL-2014-087292"/>
        <s v="PL-2014-087293"/>
        <s v="PL-2014-087294"/>
        <s v="PL-2014-087295"/>
        <s v="PL-2014-087303"/>
        <s v="PL-2014-087304"/>
        <s v="PL-2014-087305"/>
        <s v="PL-2014-087310"/>
        <s v="PL-2014-087311"/>
        <s v="PL-2014-087312"/>
        <s v="PL-2014-087313"/>
        <s v="PL-2014-087314"/>
        <s v="PL-2014-087315"/>
        <s v="PL-2014-087322"/>
        <s v="PL-2014-087323"/>
        <s v="PL-2014-087324"/>
        <s v="PL-2014-087325"/>
        <s v="PL-2014-087326"/>
        <s v="PL-2014-087327"/>
        <s v="PL-2014-087332"/>
        <s v="PL-2014-087333"/>
        <s v="PL-2014-087334"/>
        <s v="PL-2014-087335"/>
        <s v="PL-2014-087339"/>
        <s v="PL-2014-087340"/>
        <s v="PL-2014-087341"/>
        <s v="PL-2014-087344"/>
        <s v="PL-2014-087353"/>
        <s v="PL-2014-087354"/>
        <s v="PL-2014-087355"/>
        <s v="PL-2014-087360"/>
        <s v="PL-2014-087361"/>
        <s v="PL-2014-087362"/>
        <s v="PL-2014-087363"/>
        <s v="PL-2014-087370"/>
        <s v="PL-2014-087371"/>
        <s v="PL-2014-087372"/>
        <s v="PL-2014-087373"/>
        <s v="PL-2014-087377"/>
        <s v="PL-2014-087380"/>
        <s v="PL-2014-087381"/>
        <s v="PL-2014-087388"/>
        <s v="PL-2014-087389"/>
        <s v="PL-2014-087393"/>
        <s v="PL-2014-087394"/>
        <s v="PL-2014-087395"/>
        <s v="PL-2014-087402"/>
        <s v="PL-2014-087403"/>
        <s v="PL-2014-087404"/>
        <s v="PL-2014-087405"/>
        <s v="PL-2014-087412"/>
        <s v="PL-2014-087413"/>
        <s v="PL-2014-087414"/>
        <s v="PL-2014-087415"/>
        <s v="PL-2014-087416"/>
        <s v="PL-2014-087417"/>
        <s v="PL-2014-087418"/>
        <s v="PL-2014-087419"/>
        <s v="PL-2014-087420"/>
        <s v="PL-2014-087421"/>
        <s v="PL-2014-087422"/>
        <s v="PL-2014-087423"/>
        <s v="PL-2014-087431"/>
        <s v="PL-2014-087432"/>
        <s v="PL-2014-087434"/>
        <s v="PL-2014-087442"/>
        <s v="PL-2014-087443"/>
        <s v="PL-2014-087449"/>
        <s v="PL-2014-087450"/>
        <s v="PL-2014-087458"/>
        <s v="PL-2014-087459"/>
        <s v="PL-2014-087460"/>
        <s v="PL-2014-087461"/>
        <s v="PL-2014-087462"/>
        <s v="PL-2014-087467"/>
        <s v="PL-2014-087468"/>
        <s v="PL-2014-087472"/>
        <s v="PL-2014-087479"/>
        <s v="PL-2014-087480"/>
        <s v="PL-2014-087481"/>
        <s v="PL-2014-087482"/>
        <s v="PL-2014-087483"/>
        <s v="PL-2014-087502"/>
        <s v="PL-2014-087503"/>
        <s v="PL-2014-087504"/>
        <s v="PL-2014-087505"/>
        <s v="PL-2014-087509"/>
        <s v="PL-2014-087510"/>
        <s v="PL-2014-087517"/>
        <s v="PL-2014-087518"/>
        <s v="PL-2014-087519"/>
        <s v="PL-2014-087527"/>
        <s v="PL-2014-087528"/>
        <s v="PL-2014-087529"/>
        <s v="PL-2014-087532"/>
        <s v="PL-2014-087533"/>
        <s v="PL-2014-087546"/>
        <s v="PL-2014-087547"/>
        <s v="PL-2014-087548"/>
        <s v="PL-2014-087549"/>
        <s v="PL-2014-087550"/>
        <s v="PL-2014-087551"/>
        <s v="PL-2014-087563"/>
        <s v="PL-2014-087564"/>
        <s v="PL-2014-087565"/>
        <s v="PL-2014-087566"/>
        <s v="PL-2014-087567"/>
        <s v="PL-2014-087568"/>
        <s v="PL-2014-087573"/>
        <s v="PL-2014-087574"/>
        <s v="PL-2014-087577"/>
        <s v="PL-2014-087578"/>
        <s v="PL-2014-087582"/>
        <s v="PL-2014-087597"/>
        <s v="PL-2014-087598"/>
        <s v="PL-2014-087599"/>
        <s v="PL-2014-087600"/>
        <s v="PL-2014-087601"/>
        <s v="PL-2014-087610"/>
        <s v="PL-2014-087615"/>
        <s v="PL-2014-087616"/>
        <s v="PL-2014-087628"/>
        <s v="PL-2014-087629"/>
        <s v="PL-2014-087642"/>
        <s v="PL-2014-087643"/>
        <s v="PL-2014-087644"/>
        <s v="PL-2014-087645"/>
        <s v="PL-2014-087663"/>
        <s v="PL-2014-087664"/>
        <s v="PL-2014-087665"/>
        <s v="PL-2014-087666"/>
        <s v="PL-2014-087667"/>
        <s v="PL-2014-087668"/>
        <s v="PL-2014-087669"/>
        <s v="PL-2014-087670"/>
        <s v="PL-2014-087674"/>
        <s v="PL-2014-087675"/>
        <s v="PL-2014-087688"/>
        <s v="PL-2014-087689"/>
        <s v="PL-2014-087690"/>
        <s v="PL-2014-087691"/>
        <s v="PL-2014-087692"/>
        <s v="PL-2014-087693"/>
        <s v="PL-2014-087694"/>
        <s v="PL-2014-087699"/>
        <s v="PL-2014-087707"/>
        <s v="PL-2014-087708"/>
        <s v="PL-2014-087709"/>
        <s v="PL-2014-087715"/>
        <s v="PL-2014-087716"/>
        <s v="PL-2014-087717"/>
        <s v="PL-2014-087718"/>
        <s v="PL-2014-087719"/>
        <s v="PL-2014-087724"/>
        <s v="PL-2014-087731"/>
        <s v="PL-2014-087732"/>
        <s v="PL-2014-087733"/>
        <s v="PL-2014-087734"/>
        <s v="PL-2014-087735"/>
        <s v="PL-2014-087736"/>
        <s v="PL-2014-087737"/>
        <s v="PL-2014-087738"/>
        <s v="PL-2014-087746"/>
        <s v="PL-2014-087754"/>
        <s v="PL-2014-087755"/>
        <s v="PL-2014-087756"/>
        <s v="PL-2014-087764"/>
        <s v="PL-2014-087770"/>
        <s v="PL-2014-087771"/>
        <s v="PL-2014-087782"/>
        <s v="PL-2014-087783"/>
        <s v="PL-2014-087787"/>
        <s v="PL-2014-087788"/>
        <s v="PL-2014-087789"/>
        <s v="PL-2014-087794"/>
        <s v="PL-2014-087803"/>
        <s v="PL-2014-087808"/>
        <s v="PL-2014-087809"/>
        <s v="PL-2014-087810"/>
        <s v="PL-2014-087819"/>
        <s v="PL-2014-087820"/>
        <s v="PL-2014-087821"/>
        <s v="PL-2014-087822"/>
        <s v="PL-2014-087826"/>
        <s v="PL-2014-087827"/>
        <s v="PL-2014-087828"/>
        <s v="PL-2014-087829"/>
        <s v="PL-2014-087839"/>
        <s v="PL-2014-087840"/>
        <s v="PL-2014-087841"/>
        <s v="PL-2014-087843"/>
        <s v="PL-2014-087844"/>
        <s v="PL-2014-087845"/>
        <s v="PL-2014-087851"/>
        <s v="PL-2014-087852"/>
        <s v="PL-2014-087860"/>
        <s v="PL-2014-087861"/>
        <s v="PL-2014-087873"/>
        <s v="PL-2014-087874"/>
        <s v="PL-2014-087875"/>
        <s v="PL-2014-087876"/>
        <s v="PL-2014-087882"/>
        <s v="PL-2014-087883"/>
        <s v="PL-2014-087897"/>
        <s v="PL-2014-087898"/>
        <s v="PL-2014-087903"/>
        <s v="PL-2014-087904"/>
        <s v="PL-2014-087913"/>
        <s v="PL-2014-087914"/>
        <s v="PL-2014-087923"/>
        <s v="PL-2014-087924"/>
        <s v="PL-2014-087925"/>
        <s v="PL-2014-087926"/>
        <s v="PL-2014-087927"/>
        <s v="PL-2014-087928"/>
        <s v="PL-2014-087929"/>
        <s v="PL-2014-087930"/>
        <s v="PL-2014-087931"/>
        <s v="PL-2014-087932"/>
        <s v="PL-2014-087939"/>
        <s v="PL-2014-087943"/>
        <s v="PL-2014-087944"/>
        <s v="PL-2014-087945"/>
        <s v="PL-2014-087949"/>
        <s v="PL-2014-087950"/>
        <s v="PL-2014-087951"/>
        <s v="PL-2014-087961"/>
        <s v="PL-2014-087972"/>
        <s v="PL-2014-087976"/>
        <s v="PL-2014-087989"/>
        <s v="PL-2014-087990"/>
        <s v="PL-2014-087991"/>
        <s v="PL-2014-087992"/>
        <s v="PL-2014-087998"/>
        <s v="PL-2014-087999"/>
        <s v="PL-2014-088011"/>
        <s v="PL-2014-088012"/>
        <s v="PL-2014-088013"/>
        <s v="PL-2014-088020"/>
        <s v="PL-2014-088021"/>
        <s v="PL-2014-088022"/>
        <s v="PL-2014-088035"/>
        <s v="PL-2014-088036"/>
        <s v="PL-2014-088037"/>
        <s v="PL-2014-088038"/>
        <s v="PL-2014-088045"/>
        <s v="PL-2014-088046"/>
        <s v="PL-2014-088047"/>
        <s v="PL-2014-088056"/>
        <s v="PL-2014-088057"/>
        <s v="PL-2014-088058"/>
        <s v="PL-2014-088059"/>
        <s v="PL-2014-088068"/>
        <s v="PL-2014-088069"/>
        <s v="PL-2014-088070"/>
        <s v="PL-2014-088073"/>
        <s v="PL-2014-088074"/>
        <s v="PL-2014-088079"/>
        <s v="PL-2014-088080"/>
        <s v="PL-2014-088081"/>
        <s v="PL-2014-088082"/>
        <s v="PL-2014-088087"/>
        <s v="PL-2014-088088"/>
        <s v="PL-2014-088089"/>
        <s v="PL-2014-088090"/>
        <s v="PL-2014-088091"/>
        <s v="PL-2014-088092"/>
        <s v="PL-2014-088099"/>
        <s v="PL-2014-088100"/>
        <s v="PL-2014-088113"/>
        <s v="PL-2014-088122"/>
        <s v="PL-2014-088123"/>
        <s v="PL-2014-088124"/>
        <s v="PL-2014-088125"/>
        <s v="PL-2014-088132"/>
        <s v="PL-2014-088133"/>
        <s v="PL-2014-088134"/>
        <s v="PL-2014-088144"/>
        <s v="PL-2014-088145"/>
        <s v="PL-2014-088146"/>
        <s v="PL-2014-088147"/>
        <s v="PL-2014-088148"/>
        <s v="PL-2014-088149"/>
        <s v="PL-2014-088150"/>
        <s v="PL-2014-088153"/>
        <s v="PL-2014-088154"/>
        <s v="PL-2014-088155"/>
        <s v="PL-2014-088160"/>
        <s v="PL-2014-088161"/>
        <s v="PL-2014-088162"/>
        <s v="PL-2014-088168"/>
        <s v="PL-2014-088169"/>
        <s v="PL-2014-088170"/>
        <s v="PL-2014-088171"/>
        <s v="PL-2014-088172"/>
        <s v="PL-2014-088181"/>
        <s v="PL-2014-088182"/>
        <s v="PL-2014-088183"/>
        <s v="PL-2014-088190"/>
        <s v="PL-2014-088194"/>
        <s v="PL-2014-088195"/>
        <s v="PL-2014-088200"/>
        <s v="PL-2014-088201"/>
        <s v="PL-2014-088202"/>
        <s v="PL-2014-088203"/>
        <s v="PL-2014-088210"/>
        <s v="PL-2014-088211"/>
        <s v="PL-2014-088216"/>
        <s v="PL-2014-088217"/>
        <s v="PL-2014-088218"/>
        <s v="PL-2014-088230"/>
        <s v="PL-2014-088231"/>
        <s v="PL-2014-088238"/>
        <s v="PL-2014-088248"/>
        <s v="PL-2014-088249"/>
        <s v="PL-2014-088250"/>
        <s v="PL-2014-088251"/>
        <s v="PL-2014-088252"/>
        <s v="PL-2014-088263"/>
        <s v="PL-2014-088264"/>
        <s v="PL-2014-088275"/>
        <s v="PL-2014-088276"/>
        <s v="PL-2014-088277"/>
        <s v="PL-2014-088287"/>
        <s v="PL-2014-088288"/>
        <s v="PL-2014-088289"/>
        <s v="PL-2014-088290"/>
        <s v="PL-2014-088291"/>
        <s v="PL-2014-088292"/>
        <s v="PL-2014-088293"/>
        <s v="PL-2014-088294"/>
        <s v="PL-2014-088295"/>
        <s v="PL-2014-088305"/>
        <s v="PL-2014-088306"/>
        <s v="PL-2014-088307"/>
        <s v="PL-2014-088308"/>
        <s v="PL-2014-088309"/>
        <s v="PL-2014-088310"/>
        <s v="PL-2014-088311"/>
        <s v="PL-2014-088312"/>
        <s v="PL-2014-088313"/>
        <s v="PL-2014-088316"/>
        <s v="PL-2014-088317"/>
        <s v="PL-2014-088318"/>
        <s v="PL-2014-088324"/>
        <s v="PL-2014-088325"/>
        <s v="PL-2014-088326"/>
        <s v="PL-2014-088327"/>
        <s v="PL-2014-088328"/>
        <s v="PL-2014-088336"/>
        <s v="PL-2014-088337"/>
        <s v="PL-2014-088338"/>
        <s v="PL-2014-088339"/>
        <s v="PL-2014-088340"/>
        <s v="PL-2014-088346"/>
        <s v="PL-2014-088347"/>
        <s v="PL-2014-088354"/>
        <s v="PL-2014-088355"/>
        <s v="PL-2014-088356"/>
        <s v="PL-2014-088357"/>
        <s v="PL-2014-088358"/>
        <s v="PL-2014-088359"/>
        <s v="PL-2014-088366"/>
        <s v="PL-2014-088375"/>
        <s v="PL-2014-088376"/>
        <s v="PL-2014-088386"/>
        <s v="PL-2014-088400"/>
        <s v="PL-2014-088401"/>
        <s v="PL-2014-088402"/>
        <s v="PL-2014-088415"/>
        <s v="PL-2014-088416"/>
        <s v="PL-2014-088417"/>
        <s v="PL-2014-088420"/>
        <s v="PL-2014-088424"/>
        <s v="PL-2014-088429"/>
        <s v="PL-2014-088432"/>
        <s v="PL-2014-088433"/>
        <s v="PL-2014-088435"/>
        <s v="PL-2014-088440"/>
        <s v="PL-2014-088441"/>
        <s v="PL-2014-088442"/>
        <s v="PL-2014-088446"/>
        <s v="PL-2014-088451"/>
        <s v="PL-2014-088452"/>
        <s v="PL-2014-088456"/>
        <s v="PL-2014-088457"/>
        <s v="PL-2014-088458"/>
        <s v="PL-2014-088459"/>
        <s v="PL-2014-088466"/>
        <s v="PL-2014-088467"/>
        <s v="PL-2014-088468"/>
        <s v="PL-2014-088469"/>
        <s v="PL-2014-088473"/>
        <s v="PL-2014-088478"/>
        <s v="PL-2014-088484"/>
        <s v="PL-2014-088485"/>
        <s v="PL-2014-088486"/>
        <s v="PL-2014-088498"/>
        <s v="PL-2014-088499"/>
        <s v="PL-2014-088500"/>
        <s v="PL-2014-088501"/>
        <s v="PL-2014-088515"/>
        <s v="PL-2014-088516"/>
        <s v="PL-2014-088519"/>
        <s v="PL-2014-088520"/>
        <s v="PL-2014-088521"/>
        <s v="PL-2014-088526"/>
        <s v="PL-2014-088533"/>
        <s v="PL-2014-088537"/>
        <s v="PL-2014-088538"/>
        <s v="PL-2014-088539"/>
        <s v="PL-2014-088541"/>
        <s v="PL-2014-088542"/>
        <s v="PL-2014-088550"/>
        <s v="PL-2014-088551"/>
        <s v="PL-2014-088552"/>
        <s v="PL-2014-088553"/>
        <s v="PL-2014-088562"/>
        <s v="PL-2014-088563"/>
        <s v="PL-2014-088564"/>
        <s v="PL-2014-088565"/>
        <s v="PL-2014-088566"/>
        <s v="PL-2014-088567"/>
        <s v="PL-2014-088574"/>
        <s v="PL-2014-088575"/>
        <s v="PL-2014-088576"/>
        <s v="PL-2014-088577"/>
        <s v="PL-2014-088578"/>
        <s v="PL-2014-088584"/>
        <s v="PL-2014-088585"/>
        <s v="PL-2014-088586"/>
        <s v="PL-2014-088596"/>
        <s v="PL-2014-088597"/>
        <s v="PL-2014-088605"/>
        <s v="PL-2014-088606"/>
        <s v="PL-2014-088607"/>
        <s v="PL-2014-088608"/>
        <s v="PL-2014-088609"/>
        <s v="PL-2014-088616"/>
        <s v="PL-2014-088617"/>
        <s v="PL-2014-088618"/>
        <s v="PL-2014-088622"/>
        <s v="PL-2014-088623"/>
        <s v="PL-2014-088629"/>
        <s v="PL-2014-088630"/>
        <s v="PL-2014-088631"/>
        <s v="PL-2014-088640"/>
        <s v="PL-2014-088641"/>
        <s v="PL-2014-088642"/>
        <s v="PL-2014-088643"/>
        <s v="PL-2014-088654"/>
        <s v="PL-2014-088655"/>
        <s v="PL-2014-088662"/>
        <s v="PL-2014-088663"/>
        <s v="PL-2014-088664"/>
        <s v="PL-2014-088665"/>
        <s v="PL-2014-088673"/>
        <s v="PL-2014-088674"/>
        <s v="PL-2014-088675"/>
        <s v="PL-2014-088676"/>
        <s v="PL-2014-088680"/>
        <s v="PL-2014-088681"/>
        <s v="PL-2014-088683"/>
        <s v="PL-2014-088684"/>
        <s v="PL-2014-088694"/>
        <s v="PL-2014-088699"/>
        <s v="PL-2014-088700"/>
        <s v="PL-2014-088709"/>
        <s v="PL-2014-088710"/>
        <s v="PL-2014-088711"/>
        <s v="PL-2014-088712"/>
        <s v="PL-2014-088719"/>
        <s v="PL-2014-088720"/>
        <s v="PL-2014-088724"/>
        <s v="PL-2014-088725"/>
        <s v="PL-2014-088740"/>
        <s v="PL-2014-088741"/>
        <s v="PL-2014-088742"/>
        <s v="PL-2014-088743"/>
        <s v="PL-2014-088744"/>
        <s v="PL-2014-088750"/>
        <s v="PL-2014-088751"/>
        <s v="PL-2014-088752"/>
        <s v="PL-2014-088756"/>
        <s v="PL-2014-088757"/>
        <s v="PL-2014-088762"/>
        <s v="PL-2014-088763"/>
        <s v="PL-2014-088764"/>
        <s v="PL-2014-088765"/>
        <s v="PL-2014-088771"/>
        <s v="PL-2014-088777"/>
        <s v="PL-2014-088778"/>
        <s v="PL-2014-088779"/>
        <s v="PL-2014-088780"/>
        <s v="PL-2014-088790"/>
        <s v="PL-2014-088791"/>
        <s v="PL-2014-088792"/>
        <s v="PL-2014-088793"/>
        <s v="PL-2014-088797"/>
        <s v="PL-2014-088810"/>
        <s v="PL-2014-088811"/>
        <s v="PL-2014-088812"/>
        <s v="PL-2014-088813"/>
        <s v="PL-2014-088817"/>
        <s v="PL-2014-088818"/>
        <s v="PL-2014-088822"/>
        <s v="PL-2014-088823"/>
        <s v="PL-2014-088833"/>
        <s v="PL-2014-088834"/>
        <s v="PL-2014-088835"/>
        <s v="PL-2014-088847"/>
        <s v="PL-2014-088848"/>
        <s v="PL-2014-088849"/>
        <s v="PL-2014-088850"/>
        <s v="PL-2014-088851"/>
        <s v="PL-2014-088856"/>
        <s v="PL-2014-088864"/>
        <s v="PL-2014-088865"/>
        <s v="PL-2014-088866"/>
        <s v="PL-2014-088867"/>
        <s v="PL-2014-088868"/>
        <s v="PL-2014-088869"/>
        <s v="PL-2014-088877"/>
        <s v="PL-2014-088878"/>
        <s v="PL-2014-088887"/>
        <s v="PL-2014-088888"/>
        <s v="PL-2014-088894"/>
        <s v="PL-2014-088895"/>
        <s v="PL-2014-088896"/>
        <s v="PL-2014-088897"/>
        <s v="PL-2014-088898"/>
        <s v="PL-2014-088900"/>
        <s v="PL-2014-088901"/>
        <s v="PL-2014-088902"/>
        <s v="PL-2014-088903"/>
        <s v="PL-2014-088904"/>
        <s v="PL-2014-088910"/>
        <s v="PL-2014-088911"/>
        <s v="PL-2014-088914"/>
        <s v="PL-2014-088918"/>
        <s v="PL-2014-088919"/>
        <s v="PL-2014-088920"/>
        <s v="PL-2014-088923"/>
        <s v="PL-2014-088924"/>
        <s v="PL-2014-088925"/>
        <s v="PL-2014-088926"/>
        <s v="PL-2014-088927"/>
        <s v="PL-2014-088938"/>
        <s v="PL-2014-088939"/>
        <s v="PL-2014-088951"/>
        <s v="PL-2014-088952"/>
        <s v="PL-2014-088956"/>
        <s v="PL-2014-088957"/>
        <s v="PL-2014-088965"/>
        <s v="PL-2014-088966"/>
        <s v="PL-2014-088968"/>
        <s v="PL-2014-088969"/>
        <s v="PL-2014-088970"/>
        <s v="PL-2014-088981"/>
        <s v="PL-2014-088982"/>
        <s v="PL-2014-088983"/>
        <s v="PL-2014-088984"/>
        <s v="PL-2014-088987"/>
        <s v="PL-2014-088988"/>
        <s v="PL-2014-088993"/>
        <s v="PL-2014-088994"/>
        <s v="PL-2014-088995"/>
        <s v="PL-2014-088996"/>
        <s v="PL-2014-088997"/>
        <s v="PL-2014-089001"/>
        <s v="PL-2014-089002"/>
        <s v="PL-2014-089003"/>
        <s v="PL-2014-089014"/>
        <s v="PL-2014-089015"/>
        <s v="PL-2014-089016"/>
        <s v="PL-2014-089022"/>
        <s v="PL-2014-089023"/>
        <s v="PL-2014-089024"/>
        <s v="PL-2014-089033"/>
        <s v="PL-2014-089034"/>
        <s v="PL-2014-089035"/>
        <s v="PL-2014-089036"/>
        <s v="PL-2014-089037"/>
        <s v="PL-2014-089038"/>
        <s v="PL-2014-089043"/>
        <s v="PL-2014-089044"/>
        <s v="PL-2014-089045"/>
        <s v="PL-2014-089046"/>
        <s v="PL-2014-089050"/>
        <s v="PL-2014-089051"/>
        <s v="PL-2014-089052"/>
        <s v="PL-2014-089062"/>
        <s v="PL-2014-089063"/>
        <s v="PL-2014-089064"/>
        <s v="PL-2014-089069"/>
        <s v="PL-2014-089070"/>
        <s v="PL-2014-089075"/>
        <s v="PL-2014-089081"/>
        <s v="PL-2014-089082"/>
        <s v="PL-2014-089088"/>
        <s v="PL-2014-089089"/>
        <s v="PL-2014-089090"/>
        <s v="PL-2014-089091"/>
        <s v="PL-2014-089094"/>
        <s v="PL-2014-089100"/>
        <s v="PL-2014-089101"/>
        <s v="PL-2014-089105"/>
        <s v="PL-2014-089110"/>
        <s v="PL-2014-089111"/>
        <s v="PL-2014-089116"/>
        <s v="PL-2014-089117"/>
        <s v="PL-2014-089123"/>
        <s v="PL-2014-089126"/>
        <s v="PL-2014-089127"/>
        <s v="PL-2014-089132"/>
        <s v="PL-2014-089133"/>
        <s v="PL-2014-089135"/>
        <s v="PL-2014-089136"/>
        <s v="PL-2014-089137"/>
        <s v="PL-2014-089138"/>
        <s v="PL-2014-089145"/>
        <s v="PL-2014-089152"/>
        <s v="PL-2014-089153"/>
        <s v="PL-2014-089154"/>
        <s v="PL-2014-089159"/>
        <s v="PL-2014-089160"/>
        <s v="PL-2014-089162"/>
        <s v="PL-2014-089163"/>
        <s v="PL-2014-089164"/>
        <s v="PL-2014-089165"/>
        <s v="PL-2014-089170"/>
        <s v="PL-2014-089171"/>
        <s v="PL-2014-089172"/>
        <s v="PL-2014-089173"/>
        <s v="PL-2014-089182"/>
        <s v="PL-2014-089183"/>
        <s v="PL-2014-089189"/>
        <s v="PL-2014-089190"/>
        <s v="PL-2014-089191"/>
        <s v="PL-2014-089192"/>
        <s v="PL-2014-089198"/>
        <s v="PL-2014-089207"/>
        <s v="PL-2014-089208"/>
        <s v="PL-2014-089210"/>
        <s v="PL-2014-089216"/>
        <s v="PL-2014-089217"/>
        <s v="PL-2014-089228"/>
        <s v="PL-2014-089229"/>
        <s v="PL-2014-089230"/>
        <s v="PL-2014-089231"/>
        <s v="PL-2014-089232"/>
        <s v="PL-2014-089233"/>
        <s v="PL-2014-089234"/>
        <s v="PL-2014-089235"/>
        <s v="PL-2014-089246"/>
        <s v="PL-2014-089250"/>
        <s v="PL-2014-089256"/>
        <s v="PL-2014-089265"/>
        <s v="PL-2014-089266"/>
        <s v="PL-2014-089267"/>
        <s v="PL-2014-089268"/>
        <s v="PL-2014-089269"/>
        <s v="PL-2014-089270"/>
        <s v="PL-2014-089271"/>
        <s v="PL-2014-089272"/>
        <s v="PL-2014-089273"/>
        <s v="PL-2014-089275"/>
        <s v="PL-2014-089276"/>
        <s v="PL-2014-089277"/>
        <s v="PL-2014-089283"/>
        <s v="PL-2014-089288"/>
        <s v="PL-2014-089289"/>
        <s v="PL-2014-089290"/>
        <s v="PL-2014-089297"/>
        <s v="PL-2014-089298"/>
        <s v="PL-2014-089311"/>
        <s v="PL-2014-089312"/>
        <s v="PL-2014-089313"/>
        <s v="PL-2014-089317"/>
        <s v="PL-2014-089318"/>
        <s v="PL-2014-089324"/>
        <s v="PL-2014-089325"/>
        <s v="PL-2014-089326"/>
        <s v="PL-2014-089330"/>
        <s v="PL-2014-089331"/>
        <s v="PL-2014-089332"/>
        <s v="PL-2014-089338"/>
        <s v="PL-2014-089339"/>
        <s v="PL-2014-089340"/>
        <s v="PL-2014-089343"/>
        <s v="PL-2014-089352"/>
        <s v="PL-2014-089353"/>
        <s v="PL-2014-089354"/>
        <s v="PL-2014-089358"/>
        <s v="PL-2014-089359"/>
        <s v="PL-2014-089363"/>
        <s v="PL-2014-089364"/>
        <s v="PL-2014-089369"/>
        <s v="PL-2014-089370"/>
        <s v="PL-2014-089371"/>
        <s v="PL-2014-089374"/>
        <s v="PL-2014-089380"/>
        <s v="PL-2014-089381"/>
        <s v="PL-2014-089388"/>
        <s v="PL-2014-089392"/>
        <s v="PL-2014-089393"/>
        <s v="PL-2014-089398"/>
        <s v="PL-2014-089399"/>
        <s v="PL-2014-089400"/>
        <s v="PL-2014-089405"/>
        <s v="PL-2014-089412"/>
        <s v="PL-2014-089413"/>
        <s v="PL-2014-089416"/>
        <s v="PL-2014-089417"/>
        <s v="PL-2014-089423"/>
        <s v="PL-2014-089424"/>
        <s v="PL-2014-089425"/>
        <s v="PL-2014-089436"/>
        <s v="PL-2014-089437"/>
        <s v="PL-2014-089438"/>
        <s v="PL-2014-089442"/>
        <s v="PL-2014-089445"/>
        <s v="PL-2014-089446"/>
        <s v="PL-2014-089447"/>
        <s v="PL-2014-089454"/>
        <s v="PL-2014-089455"/>
        <s v="PL-2014-089464"/>
        <s v="PL-2014-089472"/>
        <s v="PL-2014-089474"/>
        <s v="PL-2014-089475"/>
        <s v="PL-2014-089477"/>
        <s v="PL-2014-089478"/>
        <s v="PL-2014-089479"/>
        <s v="PL-2014-089480"/>
        <s v="PL-2014-089487"/>
        <s v="PL-2014-089488"/>
        <s v="PL-2014-089489"/>
        <s v="PL-2014-089493"/>
        <s v="PL-2014-089494"/>
        <s v="PL-2014-089495"/>
        <s v="PL-2014-089496"/>
        <s v="PL-2014-089501"/>
        <s v="PL-2014-089502"/>
        <s v="PL-2014-089511"/>
        <s v="PL-2014-089512"/>
        <s v="PL-2014-089513"/>
        <s v="PL-2014-089517"/>
        <s v="PL-2014-089518"/>
        <s v="PL-2014-089519"/>
        <s v="PL-2014-089532"/>
        <s v="PL-2014-089533"/>
        <s v="PL-2014-089534"/>
        <s v="PL-2014-089535"/>
        <s v="PL-2014-089548"/>
        <s v="PL-2014-089549"/>
        <s v="PL-2014-089550"/>
        <s v="PL-2014-089551"/>
        <s v="PL-2014-089552"/>
        <s v="PL-2014-089553"/>
        <s v="PL-2014-089554"/>
        <s v="PL-2014-089555"/>
        <s v="PL-2014-089556"/>
        <s v="PL-2014-089557"/>
        <s v="PL-2014-089558"/>
        <s v="PL-2014-089559"/>
        <s v="PL-2014-089560"/>
        <s v="PL-2014-089561"/>
        <s v="PL-2014-089562"/>
        <s v="PL-2014-089563"/>
        <s v="PL-2014-089567"/>
        <s v="PL-2014-089568"/>
        <s v="PL-2014-089569"/>
        <s v="PL-2014-089570"/>
        <s v="PL-2014-089576"/>
        <s v="PL-2014-089577"/>
        <s v="PL-2014-089578"/>
        <s v="PL-2014-089582"/>
        <s v="PL-2014-089588"/>
        <s v="PL-2014-089589"/>
        <s v="PL-2014-089590"/>
        <s v="PL-2014-089591"/>
        <s v="PL-2014-089604"/>
        <s v="PL-2014-089605"/>
        <s v="PL-2014-089606"/>
        <s v="PL-2014-089607"/>
        <s v="PL-2014-089617"/>
        <s v="PL-2014-089618"/>
        <s v="PL-2014-089619"/>
        <s v="PL-2014-089626"/>
        <s v="PL-2014-089627"/>
        <s v="PL-2014-089628"/>
        <s v="PL-2014-089629"/>
        <s v="PL-2014-089630"/>
        <s v="PL-2014-089632"/>
        <s v="PL-2014-089633"/>
        <s v="PL-2014-089634"/>
        <s v="PL-2014-089637"/>
        <s v="PL-2014-089638"/>
        <s v="PL-2014-089642"/>
        <s v="PL-2014-089643"/>
        <s v="PL-2014-089644"/>
        <s v="PL-2014-089645"/>
        <s v="PL-2014-089646"/>
        <s v="PL-2014-089651"/>
        <s v="PL-2014-089652"/>
        <s v="PL-2014-089653"/>
        <s v="PL-2014-089656"/>
        <s v="PL-2014-089663"/>
        <s v="PL-2014-089675"/>
        <s v="PL-2014-089676"/>
        <s v="PL-2014-089677"/>
        <s v="PL-2014-089678"/>
        <s v="PL-2014-089684"/>
        <s v="PL-2014-089685"/>
        <s v="PL-2014-089691"/>
        <s v="PL-2014-089692"/>
        <s v="PL-2014-089693"/>
        <s v="PL-2014-089694"/>
        <s v="PL-2014-089695"/>
        <s v="PL-2014-089696"/>
        <s v="PL-2014-089702"/>
        <s v="PL-2014-089703"/>
        <s v="PL-2014-089711"/>
        <s v="PL-2014-089712"/>
        <s v="PL-2014-089713"/>
        <s v="PL-2014-089714"/>
        <s v="PL-2014-089715"/>
        <s v="PL-2014-089721"/>
        <s v="PL-2014-089722"/>
        <s v="PL-2014-089723"/>
        <s v="PL-2014-089728"/>
        <s v="PL-2014-089735"/>
        <s v="PL-2014-089736"/>
        <s v="PL-2014-089737"/>
        <s v="PL-2014-089738"/>
        <s v="PL-2014-089742"/>
        <s v="PL-2014-089748"/>
        <s v="PL-2014-089749"/>
        <s v="PL-2014-089750"/>
        <s v="PL-2014-089757"/>
        <s v="PL-2014-089758"/>
        <s v="PL-2014-089759"/>
        <s v="PL-2014-089760"/>
        <s v="PL-2014-089768"/>
        <s v="PL-2014-089769"/>
        <s v="PL-2014-089772"/>
        <s v="PL-2014-089773"/>
        <s v="PL-2014-089774"/>
        <s v="PL-2014-089786"/>
        <s v="PL-2014-089794"/>
        <s v="PL-2014-089795"/>
        <s v="PL-2014-089796"/>
        <s v="PL-2014-089799"/>
        <s v="PL-2014-089800"/>
        <s v="PL-2014-089803"/>
        <s v="PL-2014-089804"/>
        <s v="PL-2014-089808"/>
        <s v="PL-2014-089809"/>
        <s v="PL-2014-089815"/>
        <s v="PL-2014-089816"/>
        <s v="PL-2014-089817"/>
        <s v="PL-2014-089824"/>
        <s v="PL-2014-089825"/>
        <s v="PL-2014-089826"/>
        <s v="PL-2014-089827"/>
        <s v="PL-2014-089828"/>
        <s v="PL-2014-089829"/>
        <s v="PL-2014-089834"/>
        <s v="PL-2014-089839"/>
        <s v="PL-2014-089840"/>
        <s v="PL-2014-089845"/>
        <s v="PL-2014-089846"/>
        <s v="PL-2014-089854"/>
        <s v="PL-2014-089855"/>
        <s v="PL-2014-089865"/>
        <s v="PL-2014-089866"/>
        <s v="PL-2014-089867"/>
        <s v="PL-2014-089868"/>
        <s v="PL-2014-089878"/>
        <s v="PL-2014-089884"/>
        <s v="PL-2014-089890"/>
        <s v="PL-2014-089891"/>
        <s v="PL-2014-089892"/>
        <s v="PL-2014-089896"/>
        <s v="PL-2014-089901"/>
        <s v="PL-2014-089903"/>
        <s v="PL-2014-089904"/>
        <s v="PL-2014-089907"/>
        <s v="PL-2014-089908"/>
        <s v="PL-2014-089914"/>
        <s v="PL-2014-089920"/>
        <s v="PL-2014-089921"/>
        <s v="PL-2014-089922"/>
        <s v="PL-2014-089927"/>
        <s v="PL-2014-089932"/>
        <s v="PL-2014-089933"/>
        <s v="PL-2014-089937"/>
        <s v="PL-2014-089938"/>
        <s v="PL-2014-089952"/>
        <s v="PL-2014-089953"/>
        <s v="PL-2014-089954"/>
        <s v="PL-2014-089955"/>
        <s v="PL-2014-089956"/>
        <s v="PL-2014-089959"/>
        <s v="PL-2014-089960"/>
        <s v="PL-2014-089965"/>
        <s v="PL-2014-089966"/>
        <s v="PL-2014-089967"/>
        <s v="PL-2014-089968"/>
        <s v="PL-2014-089969"/>
        <s v="PL-2014-089978"/>
        <s v="PL-2014-089979"/>
        <s v="PL-2014-089980"/>
        <s v="PL-2014-089985"/>
        <s v="PL-2014-089986"/>
        <s v="PL-2014-089987"/>
        <s v="PL-2014-090006"/>
        <s v="PL-2014-090007"/>
        <s v="PL-2014-090008"/>
        <s v="PL-2014-090009"/>
        <s v="PL-2014-090010"/>
        <s v="PL-2014-090022"/>
        <s v="PL-2014-090023"/>
        <s v="PL-2014-090024"/>
        <s v="PL-2014-090025"/>
        <s v="PL-2014-090037"/>
        <s v="PL-2014-090038"/>
        <s v="PL-2014-090039"/>
        <s v="PL-2014-090042"/>
        <s v="PL-2014-090047"/>
        <s v="PL-2014-090053"/>
        <s v="PL-2014-090054"/>
        <s v="PL-2014-090056"/>
        <s v="PL-2014-090057"/>
        <s v="PL-2014-090067"/>
        <s v="PL-2014-090068"/>
        <s v="PL-2014-090074"/>
        <s v="PL-2014-090075"/>
        <s v="PL-2014-090076"/>
        <s v="PL-2014-090077"/>
        <s v="PL-2014-090089"/>
        <s v="PL-2014-090090"/>
        <s v="PL-2014-090091"/>
        <s v="PL-2014-090092"/>
        <s v="PL-2014-090093"/>
        <s v="PL-2014-090097"/>
        <s v="PL-2014-090098"/>
        <s v="PL-2014-090101"/>
        <s v="PL-2014-090102"/>
        <s v="PL-2014-090124"/>
        <s v="PL-2014-090125"/>
        <s v="PL-2014-090126"/>
        <s v="PL-2014-090130"/>
        <s v="PL-2014-090139"/>
        <s v="PL-2014-090140"/>
        <s v="PL-2014-090141"/>
        <s v="PL-2014-090142"/>
        <s v="PL-2014-090143"/>
        <s v="PL-2014-090151"/>
        <s v="PL-2014-090152"/>
        <s v="PL-2014-090153"/>
        <s v="PL-2014-090158"/>
        <s v="PL-2014-090159"/>
        <s v="PL-2014-090163"/>
        <s v="PL-2014-090164"/>
        <s v="PL-2014-090165"/>
        <s v="PL-2014-090170"/>
        <s v="PL-2014-090171"/>
        <s v="PL-2014-090172"/>
        <s v="PL-2014-090173"/>
        <s v="PL-2014-090174"/>
        <s v="PL-2014-090182"/>
        <s v="PL-2014-090183"/>
        <s v="PL-2014-090184"/>
        <s v="PL-2014-090191"/>
        <s v="PL-2014-090212"/>
        <s v="PL-2014-090213"/>
        <s v="PL-2014-090214"/>
        <s v="PL-2014-090227"/>
        <s v="PL-2014-090228"/>
        <s v="PL-2014-090229"/>
        <s v="PL-2014-090235"/>
        <s v="PL-2014-090242"/>
        <s v="PL-2014-090243"/>
        <s v="PL-2014-090246"/>
        <s v="PL-2014-090247"/>
        <s v="PL-2014-090252"/>
        <s v="PL-2014-090253"/>
        <s v="PL-2014-090254"/>
        <s v="PL-2014-090255"/>
        <s v="PL-2014-090257"/>
        <s v="PL-2014-090262"/>
        <s v="PL-2014-090263"/>
        <s v="PL-2014-090267"/>
        <s v="PL-2014-090268"/>
        <s v="PL-2014-090269"/>
        <s v="PL-2014-090277"/>
        <s v="PL-2014-090278"/>
        <s v="PL-2014-090279"/>
        <s v="PL-2014-090280"/>
        <s v="PL-2014-090283"/>
        <s v="PL-2014-090289"/>
        <s v="PL-2014-090290"/>
        <s v="PL-2014-090294"/>
        <s v="PL-2014-090295"/>
        <s v="PL-2014-090300"/>
        <s v="PL-2014-090302"/>
        <s v="PL-2014-090307"/>
        <s v="PL-2014-090308"/>
        <s v="PL-2014-090313"/>
        <s v="PL-2014-090318"/>
        <s v="PL-2014-090319"/>
        <s v="PL-2014-090320"/>
        <s v="PL-2014-090321"/>
        <s v="PL-2014-090326"/>
        <s v="PL-2014-090332"/>
        <s v="PL-2014-090336"/>
        <s v="PL-2014-090346"/>
        <s v="PL-2014-090347"/>
        <s v="PL-2014-090348"/>
        <s v="PL-2014-090349"/>
        <s v="PL-2014-090350"/>
        <s v="PL-2014-090351"/>
        <s v="PL-2014-090352"/>
        <s v="PL-2014-090358"/>
        <s v="PL-2014-090367"/>
        <s v="PL-2014-090371"/>
        <s v="PL-2014-090372"/>
        <s v="PL-2014-090373"/>
        <s v="PL-2014-090377"/>
        <s v="PL-2014-090383"/>
        <s v="PL-2014-090384"/>
        <s v="PL-2014-090397"/>
        <s v="PL-2014-090398"/>
        <s v="PL-2014-090399"/>
        <s v="PL-2014-090400"/>
        <s v="PL-2014-090401"/>
        <s v="PL-2014-090402"/>
        <s v="PL-2014-090403"/>
        <s v="PL-2014-090407"/>
        <s v="PL-2014-090420"/>
        <s v="PL-2014-090421"/>
        <s v="PL-2014-090426"/>
        <s v="PL-2014-090427"/>
        <s v="PL-2014-090428"/>
        <s v="PL-2014-090429"/>
        <s v="PL-2014-090434"/>
        <s v="PL-2014-090435"/>
        <s v="PL-2014-090436"/>
        <s v="PL-2014-090443"/>
        <s v="PL-2014-090444"/>
        <s v="PL-2014-090447"/>
        <s v="PL-2014-090448"/>
        <s v="PL-2014-090452"/>
        <s v="PL-2014-090458"/>
        <s v="PL-2014-090459"/>
        <s v="PL-2014-090466"/>
        <s v="PL-2014-090467"/>
        <s v="PL-2014-090468"/>
        <s v="PL-2014-090477"/>
        <s v="PL-2014-090478"/>
        <s v="PL-2014-090484"/>
        <s v="PL-2014-090485"/>
        <s v="PL-2014-090486"/>
        <s v="PL-2014-090487"/>
        <s v="PL-2014-090490"/>
        <s v="PL-2014-090498"/>
        <s v="PL-2014-090499"/>
        <s v="PL-2014-090509"/>
        <s v="PL-2014-090510"/>
        <s v="PL-2014-090511"/>
        <s v="PL-2014-090512"/>
        <s v="PL-2014-090519"/>
        <s v="PL-2014-090520"/>
        <s v="PL-2014-090521"/>
        <s v="PL-2014-090522"/>
        <s v="PL-2014-090523"/>
        <s v="PL-2014-090528"/>
        <s v="PL-2014-090529"/>
        <s v="PL-2014-090535"/>
        <s v="PL-2014-090536"/>
        <s v="PL-2014-090537"/>
        <s v="PL-2014-090549"/>
        <s v="PL-2014-090550"/>
        <s v="PL-2014-090553"/>
        <s v="PL-2014-090554"/>
        <s v="PL-2014-090555"/>
        <s v="PL-2014-090556"/>
        <s v="PL-2014-090563"/>
        <s v="PL-2014-090564"/>
        <s v="PL-2014-090565"/>
        <s v="PL-2014-090566"/>
        <s v="PL-2014-090567"/>
        <s v="PL-2014-090574"/>
        <s v="PL-2014-090575"/>
        <s v="PL-2014-090576"/>
        <s v="PL-2014-090582"/>
        <s v="PL-2014-090586"/>
        <s v="PL-2014-090587"/>
        <s v="PL-2014-090595"/>
        <s v="PL-2014-090599"/>
        <s v="PL-2014-090605"/>
        <s v="PL-2014-090606"/>
        <s v="PL-2014-090607"/>
        <s v="PL-2014-090616"/>
        <s v="PL-2014-090617"/>
        <s v="PL-2014-090618"/>
        <s v="PL-2014-090620"/>
        <s v="PL-2014-090622"/>
        <s v="PL-2014-090623"/>
        <s v="PL-2014-090626"/>
        <s v="PL-2014-090627"/>
        <s v="PL-2014-090628"/>
        <s v="PL-2014-090629"/>
        <s v="PL-2014-090638"/>
        <s v="PL-2014-090639"/>
        <s v="PL-2014-090640"/>
        <s v="PL-2014-090644"/>
        <s v="PL-2014-090645"/>
        <s v="PL-2014-090648"/>
        <s v="PL-2014-090652"/>
        <s v="PL-2014-090657"/>
        <s v="PL-2014-090658"/>
        <s v="PL-2014-090659"/>
        <s v="PL-2014-090660"/>
        <s v="PL-2014-090661"/>
        <s v="PL-2014-090667"/>
        <s v="PL-2014-090668"/>
        <s v="PL-2014-090672"/>
        <s v="PL-2014-090673"/>
        <s v="PL-2014-090680"/>
        <s v="PL-2014-090681"/>
        <s v="PL-2014-090682"/>
        <s v="PL-2014-090683"/>
        <s v="PL-2014-090684"/>
        <s v="PL-2014-090688"/>
        <s v="PL-2014-090689"/>
        <s v="PL-2014-090690"/>
        <s v="PL-2014-090691"/>
        <s v="PL-2014-090694"/>
        <s v="PL-2014-090702"/>
        <s v="PL-2014-090703"/>
        <s v="PL-2014-090704"/>
        <s v="PL-2014-090705"/>
        <s v="PL-2014-090709"/>
        <s v="PL-2014-090722"/>
        <s v="PL-2014-090723"/>
        <s v="PL-2014-090728"/>
        <s v="PL-2014-090729"/>
        <s v="PL-2014-090730"/>
        <s v="PL-2014-090733"/>
        <s v="PL-2014-090734"/>
        <s v="PL-2014-090738"/>
        <s v="PL-2014-090744"/>
        <s v="PL-2014-090749"/>
        <s v="PL-2014-090759"/>
        <s v="PL-2014-090760"/>
        <s v="PL-2014-090761"/>
        <s v="PL-2014-090765"/>
        <s v="PL-2014-090770"/>
        <s v="PL-2014-090773"/>
        <s v="PL-2014-090774"/>
        <s v="PL-2014-090778"/>
        <s v="PL-2014-090779"/>
        <s v="PL-2014-090780"/>
        <s v="PL-2014-090781"/>
        <s v="PL-2014-090782"/>
        <s v="PL-2014-090784"/>
        <s v="PL-2014-090785"/>
        <s v="PL-2014-090793"/>
        <s v="PL-2014-090794"/>
        <s v="PL-2014-090795"/>
        <s v="PL-2014-090805"/>
        <s v="PL-2014-090811"/>
        <s v="PL-2014-090812"/>
        <s v="PL-2014-090813"/>
        <s v="PL-2014-090817"/>
        <s v="PL-2014-090823"/>
        <s v="PL-2014-090824"/>
        <s v="PL-2014-090825"/>
        <s v="PL-2014-090829"/>
        <s v="PL-2014-090830"/>
        <s v="PL-2014-090831"/>
        <s v="PL-2014-090835"/>
        <s v="PL-2014-090836"/>
        <s v="PL-2014-090842"/>
        <s v="PL-2014-090843"/>
        <s v="PL-2014-090847"/>
        <s v="PL-2014-090848"/>
        <s v="PL-2014-090849"/>
        <s v="PL-2014-090864"/>
        <s v="PL-2014-090865"/>
        <s v="PL-2014-090866"/>
        <s v="PL-2014-090874"/>
        <s v="PL-2014-090877"/>
        <s v="PL-2014-090879"/>
        <s v="PL-2014-090884"/>
        <s v="PL-2014-090885"/>
        <s v="PL-2014-090886"/>
        <s v="PL-2014-090887"/>
        <s v="PL-2014-090895"/>
        <s v="PL-2014-090896"/>
        <s v="PL-2014-090897"/>
        <s v="PL-2014-090898"/>
        <s v="PL-2014-090902"/>
        <s v="PL-2014-090903"/>
        <s v="PL-2014-090904"/>
        <s v="PL-2014-090907"/>
        <s v="PL-2014-090914"/>
        <s v="PL-2014-090915"/>
        <s v="PL-2014-090916"/>
        <s v="PL-2014-090921"/>
        <s v="PL-2014-090925"/>
        <s v="PL-2014-090926"/>
        <s v="PL-2014-090929"/>
        <s v="PL-2014-090930"/>
        <s v="PL-2014-090931"/>
        <s v="PL-2014-090933"/>
        <s v="PL-2014-090938"/>
        <s v="PL-2014-090939"/>
        <s v="PL-2014-090940"/>
        <s v="PL-2014-090941"/>
        <s v="PL-2014-090942"/>
        <s v="PL-2014-090943"/>
        <s v="PL-2014-090944"/>
        <s v="PL-2014-090945"/>
        <s v="PL-2014-090946"/>
        <s v="PL-2014-090950"/>
        <s v="PL-2014-090958"/>
        <s v="PL-2014-090959"/>
        <s v="PL-2014-090960"/>
        <s v="PL-2014-090963"/>
        <s v="PL-2014-090969"/>
        <s v="PL-2014-090970"/>
        <s v="PL-2014-090971"/>
        <s v="PL-2014-090972"/>
        <s v="PL-2014-090976"/>
        <s v="PL-2014-090981"/>
        <s v="PL-2014-090982"/>
        <s v="PL-2014-090983"/>
        <s v="PL-2014-090984"/>
        <s v="PL-2014-090993"/>
        <s v="PL-2014-090997"/>
        <s v="PL-2014-090998"/>
        <s v="PL-2014-090999"/>
        <s v="PL-2014-091003"/>
        <s v="PL-2014-091004"/>
        <s v="PL-2014-091005"/>
        <s v="PL-2014-091006"/>
        <s v="PL-2014-091007"/>
        <s v="PL-2014-091009"/>
        <s v="PL-2014-091014"/>
        <s v="PL-2014-091015"/>
        <s v="PL-2014-091016"/>
        <s v="PL-2014-091022"/>
        <s v="PL-2014-091023"/>
        <s v="PL-2014-091024"/>
        <s v="PL-2014-091028"/>
        <s v="PL-2014-091029"/>
        <s v="PL-2014-091033"/>
        <s v="PL-2014-091034"/>
        <s v="PL-2014-091035"/>
        <s v="PL-2014-091037"/>
        <s v="PL-2014-091038"/>
        <s v="PL-2014-091040"/>
        <s v="PL-2014-091048"/>
        <s v="PL-2014-091052"/>
        <s v="PL-2014-091055"/>
        <s v="PL-2014-091056"/>
        <s v="PL-2014-091058"/>
        <s v="PL-2014-091061"/>
        <s v="PL-2014-091066"/>
        <s v="PL-2014-091067"/>
        <s v="PL-2014-091068"/>
        <s v="PL-2014-091069"/>
        <s v="PL-2014-091072"/>
        <s v="PL-2014-091073"/>
        <s v="PL-2014-091084"/>
        <s v="PL-2014-091085"/>
        <s v="PL-2014-091096"/>
        <s v="PL-2014-091097"/>
        <s v="PL-2014-091098"/>
        <s v="PL-2014-091099"/>
        <s v="PL-2014-091100"/>
        <s v="PL-2014-091105"/>
        <s v="PL-2014-091106"/>
        <s v="PL-2014-091107"/>
        <s v="PL-2014-091113"/>
        <s v="PL-2014-091114"/>
        <s v="PL-2014-091120"/>
        <s v="PL-2014-091121"/>
        <s v="PL-2014-091135"/>
        <s v="PL-2014-091136"/>
        <s v="PL-2014-091137"/>
        <s v="PL-2014-091139"/>
        <s v="PL-2014-091140"/>
        <s v="PL-2014-091142"/>
        <s v="PL-2014-091143"/>
        <s v="PL-2014-091149"/>
        <s v="PL-2014-091150"/>
        <s v="PL-2014-091151"/>
        <s v="PL-2014-091152"/>
        <s v="PL-2014-091157"/>
        <s v="PL-2014-091158"/>
        <s v="PL-2014-091165"/>
        <s v="PL-2014-091171"/>
        <s v="PL-2014-091172"/>
        <s v="PL-2014-091173"/>
        <s v="PL-2014-091178"/>
        <s v="PL-2014-091179"/>
        <s v="PL-2014-091185"/>
        <s v="PL-2014-091186"/>
        <s v="PL-2014-091190"/>
        <s v="PL-2014-091191"/>
        <s v="PL-2014-091192"/>
        <s v="PL-2014-091193"/>
        <s v="PL-2014-091197"/>
        <s v="PL-2014-091198"/>
        <s v="PL-2014-091199"/>
        <s v="PL-2014-091206"/>
        <s v="PL-2014-091207"/>
        <s v="PL-2014-091208"/>
        <s v="PL-2014-091211"/>
        <s v="PL-2014-091216"/>
        <s v="PL-2014-091217"/>
        <s v="PL-2014-091218"/>
        <s v="PL-2014-091224"/>
        <s v="PL-2014-091226"/>
        <s v="PL-2014-091227"/>
        <s v="PL-2014-091233"/>
        <s v="PL-2014-091234"/>
        <s v="PL-2014-091237"/>
        <s v="PL-2014-091238"/>
        <s v="PL-2014-091239"/>
        <s v="PL-2014-091240"/>
        <s v="PL-2014-091241"/>
        <s v="PL-2014-091242"/>
        <s v="PL-2014-091243"/>
        <s v="PL-2014-091250"/>
        <s v="PL-2014-091251"/>
        <s v="PL-2014-091255"/>
        <s v="PL-2014-091257"/>
        <s v="PL-2014-091259"/>
        <s v="PL-2014-091260"/>
        <s v="PL-2014-091265"/>
        <s v="PL-2014-091268"/>
        <s v="PL-2014-091269"/>
        <s v="PL-2014-091275"/>
        <s v="PL-2014-091276"/>
        <s v="PL-2014-091279"/>
        <s v="PL-2014-091280"/>
        <s v="PL-2014-091284"/>
        <s v="PL-2014-091289"/>
        <s v="PL-2014-091293"/>
        <s v="PL-2014-091303"/>
        <s v="PL-2014-091307"/>
        <s v="PL-2014-091308"/>
        <s v="PL-2014-091313"/>
        <s v="PL-2014-091320"/>
        <s v="PL-2014-091325"/>
        <s v="PL-2014-091326"/>
        <s v="PL-2014-091327"/>
        <s v="PL-2014-091329"/>
        <s v="PL-2014-091330"/>
        <s v="PL-2014-091335"/>
        <s v="PL-2014-091342"/>
        <s v="PL-2014-091343"/>
        <s v="PL-2014-091349"/>
        <s v="PL-2014-091350"/>
        <s v="PL-2014-091358"/>
        <s v="PL-2014-091359"/>
        <s v="PL-2014-091360"/>
        <s v="PL-2014-091361"/>
        <s v="PL-2014-091370"/>
        <s v="PL-2014-091373"/>
        <s v="PL-2014-091379"/>
        <s v="PL-2014-091380"/>
        <s v="PL-2014-091381"/>
        <s v="PL-2014-091382"/>
        <s v="PL-2014-091383"/>
        <s v="PL-2014-091384"/>
        <s v="PL-2014-091385"/>
        <s v="PL-2014-091396"/>
        <s v="PL-2014-091402"/>
        <s v="PL-2014-091405"/>
        <s v="PL-2014-091406"/>
        <s v="PL-2014-091412"/>
        <s v="PL-2014-091413"/>
        <s v="PL-2014-091419"/>
        <s v="PL-2014-091420"/>
        <s v="PL-2014-091423"/>
        <s v="PL-2014-091427"/>
        <s v="PL-2014-091428"/>
        <s v="PL-2014-091430"/>
        <s v="PL-2014-091431"/>
        <s v="PL-2014-091434"/>
        <s v="PL-2014-091442"/>
        <s v="PL-2014-091446"/>
        <s v="PL-2014-091450"/>
        <s v="PL-2014-091453"/>
        <s v="PL-2014-091456"/>
        <s v="PL-2014-091457"/>
        <s v="PL-2014-091458"/>
        <s v="PL-2014-091461"/>
        <s v="PL-2014-091462"/>
        <s v="PL-2014-091464"/>
        <s v="PL-2014-091465"/>
        <s v="PL-2014-091467"/>
        <s v="PL-2014-091468"/>
        <s v="PL-2014-091470"/>
        <s v="PL-2014-091471"/>
        <s v="PL-2014-091477"/>
        <s v="PL-2014-091478"/>
        <s v="PL-2014-091479"/>
        <s v="PL-2014-091485"/>
        <s v="PL-2014-091486"/>
        <s v="PL-2014-091487"/>
        <s v="PL-2014-091490"/>
        <s v="PL-2014-091491"/>
        <s v="PL-2014-091500"/>
        <s v="PL-2014-091501"/>
        <s v="PL-2014-091511"/>
        <s v="PL-2014-091512"/>
        <s v="PL-2014-091517"/>
        <s v="PL-2014-091518"/>
        <s v="PL-2014-091519"/>
        <s v="PL-2014-091520"/>
        <s v="PL-2014-091523"/>
        <s v="PL-2014-091528"/>
        <s v="PL-2014-091530"/>
        <s v="PL-2014-091531"/>
        <s v="PL-2014-091532"/>
        <s v="PL-2014-091533"/>
        <s v="PL-2014-091535"/>
        <s v="PL-2014-091536"/>
        <s v="PL-2014-091542"/>
        <s v="PL-2014-091545"/>
        <s v="PL-2014-091546"/>
        <s v="PL-2014-091547"/>
        <s v="PL-2014-091548"/>
        <s v="PL-2014-091549"/>
        <s v="PL-2014-091553"/>
        <s v="PL-2014-091554"/>
        <s v="PL-2014-091557"/>
        <s v="PL-2014-091558"/>
        <s v="PL-2014-091562"/>
        <s v="PL-2014-091563"/>
        <s v="PL-2014-091564"/>
        <s v="PL-2014-091565"/>
        <s v="PL-2014-091566"/>
        <s v="PL-2014-091568"/>
        <s v="PL-2014-091573"/>
        <s v="PL-2014-091574"/>
        <s v="PL-2014-091577"/>
        <s v="PL-2014-091588"/>
        <s v="PL-2014-091590"/>
        <s v="PL-2014-091591"/>
      </sharedItems>
      <extLst>
        <ext xmlns:x15="http://schemas.microsoft.com/office/spreadsheetml/2010/11/main" uri="{4F2E5C28-24EA-4eb8-9CBF-B6C8F9C3D259}">
          <x15:cachedUniqueNames>
            <x15:cachedUniqueName index="0" name="[dane].[Nr zamówienia].&amp;[PL-2011-000359]"/>
            <x15:cachedUniqueName index="1" name="[dane].[Nr zamówienia].&amp;[PL-2011-000548]"/>
            <x15:cachedUniqueName index="2" name="[dane].[Nr zamówienia].&amp;[PL-2011-000646]"/>
            <x15:cachedUniqueName index="3" name="[dane].[Nr zamówienia].&amp;[PL-2011-000962]"/>
            <x15:cachedUniqueName index="4" name="[dane].[Nr zamówienia].&amp;[PL-2011-002433]"/>
            <x15:cachedUniqueName index="5" name="[dane].[Nr zamówienia].&amp;[PL-2011-003042]"/>
            <x15:cachedUniqueName index="6" name="[dane].[Nr zamówienia].&amp;[PL-2011-003138]"/>
            <x15:cachedUniqueName index="7" name="[dane].[Nr zamówienia].&amp;[PL-2011-003332]"/>
            <x15:cachedUniqueName index="8" name="[dane].[Nr zamówienia].&amp;[PL-2011-003397]"/>
            <x15:cachedUniqueName index="9" name="[dane].[Nr zamówienia].&amp;[PL-2011-003585]"/>
            <x15:cachedUniqueName index="10" name="[dane].[Nr zamówienia].&amp;[PL-2011-003841]"/>
            <x15:cachedUniqueName index="11" name="[dane].[Nr zamówienia].&amp;[PL-2011-004839]"/>
            <x15:cachedUniqueName index="12" name="[dane].[Nr zamówienia].&amp;[PL-2011-005509]"/>
            <x15:cachedUniqueName index="13" name="[dane].[Nr zamówienia].&amp;[PL-2011-005920]"/>
            <x15:cachedUniqueName index="14" name="[dane].[Nr zamówienia].&amp;[PL-2011-005984]"/>
            <x15:cachedUniqueName index="15" name="[dane].[Nr zamówienia].&amp;[PL-2011-006562]"/>
            <x15:cachedUniqueName index="16" name="[dane].[Nr zamówienia].&amp;[PL-2011-007364]"/>
            <x15:cachedUniqueName index="17" name="[dane].[Nr zamówienia].&amp;[PL-2011-007623]"/>
            <x15:cachedUniqueName index="18" name="[dane].[Nr zamówienia].&amp;[PL-2011-007909]"/>
            <x15:cachedUniqueName index="19" name="[dane].[Nr zamówienia].&amp;[PL-2011-008165]"/>
            <x15:cachedUniqueName index="20" name="[dane].[Nr zamówienia].&amp;[PL-2011-008257]"/>
            <x15:cachedUniqueName index="21" name="[dane].[Nr zamówienia].&amp;[PL-2011-008353]"/>
            <x15:cachedUniqueName index="22" name="[dane].[Nr zamówienia].&amp;[PL-2011-008994]"/>
            <x15:cachedUniqueName index="23" name="[dane].[Nr zamówienia].&amp;[PL-2011-009285]"/>
            <x15:cachedUniqueName index="24" name="[dane].[Nr zamówienia].&amp;[PL-2011-009606]"/>
            <x15:cachedUniqueName index="25" name="[dane].[Nr zamówienia].&amp;[PL-2011-010277]"/>
            <x15:cachedUniqueName index="26" name="[dane].[Nr zamówienia].&amp;[PL-2011-010464]"/>
            <x15:cachedUniqueName index="27" name="[dane].[Nr zamówienia].&amp;[PL-2011-011013]"/>
            <x15:cachedUniqueName index="28" name="[dane].[Nr zamówienia].&amp;[PL-2011-011077]"/>
            <x15:cachedUniqueName index="29" name="[dane].[Nr zamówienia].&amp;[PL-2011-011206]"/>
            <x15:cachedUniqueName index="30" name="[dane].[Nr zamówienia].&amp;[PL-2011-011527]"/>
            <x15:cachedUniqueName index="31" name="[dane].[Nr zamówienia].&amp;[PL-2011-011712]"/>
            <x15:cachedUniqueName index="32" name="[dane].[Nr zamówienia].&amp;[PL-2011-012224]"/>
            <x15:cachedUniqueName index="33" name="[dane].[Nr zamówienia].&amp;[PL-2011-012480]"/>
            <x15:cachedUniqueName index="34" name="[dane].[Nr zamówienia].&amp;[PL-2011-013408]"/>
            <x15:cachedUniqueName index="35" name="[dane].[Nr zamówienia].&amp;[PL-2011-013606]"/>
            <x15:cachedUniqueName index="36" name="[dane].[Nr zamówienia].&amp;[PL-2011-013735]"/>
            <x15:cachedUniqueName index="37" name="[dane].[Nr zamówienia].&amp;[PL-2011-013959]"/>
            <x15:cachedUniqueName index="38" name="[dane].[Nr zamówienia].&amp;[PL-2011-014115]"/>
            <x15:cachedUniqueName index="39" name="[dane].[Nr zamówienia].&amp;[PL-2011-014596]"/>
            <x15:cachedUniqueName index="40" name="[dane].[Nr zamówienia].&amp;[PL-2011-014756]"/>
            <x15:cachedUniqueName index="41" name="[dane].[Nr zamówienia].&amp;[PL-2011-014785]"/>
            <x15:cachedUniqueName index="42" name="[dane].[Nr zamówienia].&amp;[PL-2011-016547]"/>
            <x15:cachedUniqueName index="43" name="[dane].[Nr zamówienia].&amp;[PL-2011-016676]"/>
            <x15:cachedUniqueName index="44" name="[dane].[Nr zamówienia].&amp;[PL-2011-017155]"/>
            <x15:cachedUniqueName index="45" name="[dane].[Nr zamówienia].&amp;[PL-2011-017446]"/>
            <x15:cachedUniqueName index="46" name="[dane].[Nr zamówienia].&amp;[PL-2011-017636]"/>
            <x15:cachedUniqueName index="47" name="[dane].[Nr zamówienia].&amp;[PL-2011-018561]"/>
            <x15:cachedUniqueName index="48" name="[dane].[Nr zamówienia].&amp;[PL-2011-019042]"/>
            <x15:cachedUniqueName index="49" name="[dane].[Nr zamówienia].&amp;[PL-2011-020007]"/>
            <x15:cachedUniqueName index="50" name="[dane].[Nr zamówienia].&amp;[PL-2011-020261]"/>
            <x15:cachedUniqueName index="51" name="[dane].[Nr zamówienia].&amp;[PL-2011-021572]"/>
            <x15:cachedUniqueName index="52" name="[dane].[Nr zamówienia].&amp;[PL-2011-021636]"/>
            <x15:cachedUniqueName index="53" name="[dane].[Nr zamówienia].&amp;[PL-2011-021958]"/>
            <x15:cachedUniqueName index="54" name="[dane].[Nr zamówienia].&amp;[PL-2011-022147]"/>
            <x15:cachedUniqueName index="55" name="[dane].[Nr zamówienia].&amp;[PL-2011-022755]"/>
            <x15:cachedUniqueName index="56" name="[dane].[Nr zamówienia].&amp;[PL-2011-023042]"/>
            <x15:cachedUniqueName index="57" name="[dane].[Nr zamówienia].&amp;[PL-2011-023751]"/>
            <x15:cachedUniqueName index="58" name="[dane].[Nr zamówienia].&amp;[PL-2011-023877]"/>
            <x15:cachedUniqueName index="59" name="[dane].[Nr zamówienia].&amp;[PL-2011-024193]"/>
            <x15:cachedUniqueName index="60" name="[dane].[Nr zamówienia].&amp;[PL-2011-024294]"/>
            <x15:cachedUniqueName index="61" name="[dane].[Nr zamówienia].&amp;[PL-2011-024455]"/>
            <x15:cachedUniqueName index="62" name="[dane].[Nr zamówienia].&amp;[PL-2011-024869]"/>
            <x15:cachedUniqueName index="63" name="[dane].[Nr zamówienia].&amp;[PL-2011-026342]"/>
            <x15:cachedUniqueName index="64" name="[dane].[Nr zamówienia].&amp;[PL-2011-027013]"/>
            <x15:cachedUniqueName index="65" name="[dane].[Nr zamówienia].&amp;[PL-2011-027456]"/>
            <x15:cachedUniqueName index="66" name="[dane].[Nr zamówienia].&amp;[PL-2011-028001]"/>
            <x15:cachedUniqueName index="67" name="[dane].[Nr zamówienia].&amp;[PL-2011-028225]"/>
            <x15:cachedUniqueName index="68" name="[dane].[Nr zamówienia].&amp;[PL-2011-028647]"/>
            <x15:cachedUniqueName index="69" name="[dane].[Nr zamówienia].&amp;[PL-2011-029319]"/>
            <x15:cachedUniqueName index="70" name="[dane].[Nr zamówienia].&amp;[PL-2011-029350]"/>
            <x15:cachedUniqueName index="71" name="[dane].[Nr zamówienia].&amp;[PL-2011-029889]"/>
            <x15:cachedUniqueName index="72" name="[dane].[Nr zamówienia].&amp;[PL-2011-030785]"/>
            <x15:cachedUniqueName index="73" name="[dane].[Nr zamówienia].&amp;[PL-2011-032037]"/>
            <x15:cachedUniqueName index="74" name="[dane].[Nr zamówienia].&amp;[PL-2011-032420]"/>
            <x15:cachedUniqueName index="75" name="[dane].[Nr zamówienia].&amp;[PL-2011-032710]"/>
            <x15:cachedUniqueName index="76" name="[dane].[Nr zamówienia].&amp;[PL-2011-032869]"/>
            <x15:cachedUniqueName index="77" name="[dane].[Nr zamówienia].&amp;[PL-2011-033635]"/>
            <x15:cachedUniqueName index="78" name="[dane].[Nr zamówienia].&amp;[PL-2011-034017]"/>
            <x15:cachedUniqueName index="79" name="[dane].[Nr zamówienia].&amp;[PL-2011-034435]"/>
            <x15:cachedUniqueName index="80" name="[dane].[Nr zamówienia].&amp;[PL-2011-034882]"/>
            <x15:cachedUniqueName index="81" name="[dane].[Nr zamówienia].&amp;[PL-2011-035200]"/>
            <x15:cachedUniqueName index="82" name="[dane].[Nr zamówienia].&amp;[PL-2011-036069]"/>
            <x15:cachedUniqueName index="83" name="[dane].[Nr zamówienia].&amp;[PL-2011-036452]"/>
            <x15:cachedUniqueName index="84" name="[dane].[Nr zamówienia].&amp;[PL-2011-036647]"/>
            <x15:cachedUniqueName index="85" name="[dane].[Nr zamówienia].&amp;[PL-2011-037537]"/>
            <x15:cachedUniqueName index="86" name="[dane].[Nr zamówienia].&amp;[PL-2011-037729]"/>
            <x15:cachedUniqueName index="87" name="[dane].[Nr zamówienia].&amp;[PL-2011-037760]"/>
            <x15:cachedUniqueName index="88" name="[dane].[Nr zamówienia].&amp;[PL-2011-037924]"/>
            <x15:cachedUniqueName index="89" name="[dane].[Nr zamówienia].&amp;[PL-2011-037987]"/>
            <x15:cachedUniqueName index="90" name="[dane].[Nr zamówienia].&amp;[PL-2011-038080]"/>
            <x15:cachedUniqueName index="91" name="[dane].[Nr zamówienia].&amp;[PL-2011-038087]"/>
            <x15:cachedUniqueName index="92" name="[dane].[Nr zamówienia].&amp;[PL-2011-038529]"/>
            <x15:cachedUniqueName index="93" name="[dane].[Nr zamówienia].&amp;[PL-2011-038852]"/>
            <x15:cachedUniqueName index="94" name="[dane].[Nr zamówienia].&amp;[PL-2011-039015]"/>
            <x15:cachedUniqueName index="95" name="[dane].[Nr zamówienia].&amp;[PL-2011-039076]"/>
            <x15:cachedUniqueName index="96" name="[dane].[Nr zamówienia].&amp;[PL-2011-039430]"/>
            <x15:cachedUniqueName index="97" name="[dane].[Nr zamówienia].&amp;[PL-2011-040101]"/>
            <x15:cachedUniqueName index="98" name="[dane].[Nr zamówienia].&amp;[PL-2011-040224]"/>
            <x15:cachedUniqueName index="99" name="[dane].[Nr zamówienia].&amp;[PL-2011-040547]"/>
            <x15:cachedUniqueName index="100" name="[dane].[Nr zamówienia].&amp;[PL-2011-040997]"/>
            <x15:cachedUniqueName index="101" name="[dane].[Nr zamówienia].&amp;[PL-2011-041253]"/>
            <x15:cachedUniqueName index="102" name="[dane].[Nr zamówienia].&amp;[PL-2011-041636]"/>
            <x15:cachedUniqueName index="103" name="[dane].[Nr zamówienia].&amp;[PL-2011-041793]"/>
            <x15:cachedUniqueName index="104" name="[dane].[Nr zamówienia].&amp;[PL-2011-042599]"/>
            <x15:cachedUniqueName index="105" name="[dane].[Nr zamówienia].&amp;[PL-2011-042852]"/>
            <x15:cachedUniqueName index="106" name="[dane].[Nr zamówienia].&amp;[PL-2011-042949]"/>
            <x15:cachedUniqueName index="107" name="[dane].[Nr zamówienia].&amp;[PL-2011-043079]"/>
            <x15:cachedUniqueName index="108" name="[dane].[Nr zamówienia].&amp;[PL-2011-044002]"/>
            <x15:cachedUniqueName index="109" name="[dane].[Nr zamówienia].&amp;[PL-2011-044231]"/>
            <x15:cachedUniqueName index="110" name="[dane].[Nr zamówienia].&amp;[PL-2011-044517]"/>
            <x15:cachedUniqueName index="111" name="[dane].[Nr zamówienia].&amp;[PL-2011-045380]"/>
            <x15:cachedUniqueName index="112" name="[dane].[Nr zamówienia].&amp;[PL-2011-045539]"/>
            <x15:cachedUniqueName index="113" name="[dane].[Nr zamówienia].&amp;[PL-2011-045824]"/>
            <x15:cachedUniqueName index="114" name="[dane].[Nr zamówienia].&amp;[PL-2011-046436]"/>
            <x15:cachedUniqueName index="115" name="[dane].[Nr zamówienia].&amp;[PL-2011-046853]"/>
            <x15:cachedUniqueName index="116" name="[dane].[Nr zamówienia].&amp;[PL-2011-046884]"/>
            <x15:cachedUniqueName index="117" name="[dane].[Nr zamówienia].&amp;[PL-2011-047108]"/>
            <x15:cachedUniqueName index="118" name="[dane].[Nr zamówienia].&amp;[PL-2011-047493]"/>
            <x15:cachedUniqueName index="119" name="[dane].[Nr zamówienia].&amp;[PL-2011-047813]"/>
            <x15:cachedUniqueName index="120" name="[dane].[Nr zamówienia].&amp;[PL-2011-048257]"/>
            <x15:cachedUniqueName index="121" name="[dane].[Nr zamówienia].&amp;[PL-2011-048483]"/>
            <x15:cachedUniqueName index="122" name="[dane].[Nr zamówienia].&amp;[PL-2011-048836]"/>
            <x15:cachedUniqueName index="123" name="[dane].[Nr zamówienia].&amp;[PL-2011-049125]"/>
            <x15:cachedUniqueName index="124" name="[dane].[Nr zamówienia].&amp;[PL-2011-050656]"/>
            <x15:cachedUniqueName index="125" name="[dane].[Nr zamówienia].&amp;[PL-2011-050917]"/>
            <x15:cachedUniqueName index="126" name="[dane].[Nr zamówienia].&amp;[PL-2011-051072]"/>
            <x15:cachedUniqueName index="127" name="[dane].[Nr zamówienia].&amp;[PL-2011-053153]"/>
            <x15:cachedUniqueName index="128" name="[dane].[Nr zamówienia].&amp;[PL-2011-053410]"/>
            <x15:cachedUniqueName index="129" name="[dane].[Nr zamówienia].&amp;[PL-2011-053476]"/>
            <x15:cachedUniqueName index="130" name="[dane].[Nr zamówienia].&amp;[PL-2011-053953]"/>
            <x15:cachedUniqueName index="131" name="[dane].[Nr zamówienia].&amp;[PL-2011-054369]"/>
            <x15:cachedUniqueName index="132" name="[dane].[Nr zamówienia].&amp;[PL-2011-054567]"/>
            <x15:cachedUniqueName index="133" name="[dane].[Nr zamówienia].&amp;[PL-2011-054595]"/>
            <x15:cachedUniqueName index="134" name="[dane].[Nr zamówienia].&amp;[PL-2011-054949]"/>
            <x15:cachedUniqueName index="135" name="[dane].[Nr zamówienia].&amp;[PL-2011-055300]"/>
            <x15:cachedUniqueName index="136" name="[dane].[Nr zamówienia].&amp;[PL-2011-055392]"/>
            <x15:cachedUniqueName index="137" name="[dane].[Nr zamówienia].&amp;[PL-2011-055713]"/>
            <x15:cachedUniqueName index="138" name="[dane].[Nr zamówienia].&amp;[PL-2011-055874]"/>
            <x15:cachedUniqueName index="139" name="[dane].[Nr zamówienia].&amp;[PL-2011-056452]"/>
            <x15:cachedUniqueName index="140" name="[dane].[Nr zamówienia].&amp;[PL-2011-056486]"/>
            <x15:cachedUniqueName index="141" name="[dane].[Nr zamówienia].&amp;[PL-2011-057061]"/>
            <x15:cachedUniqueName index="142" name="[dane].[Nr zamówienia].&amp;[PL-2011-057794]"/>
            <x15:cachedUniqueName index="143" name="[dane].[Nr zamówienia].&amp;[PL-2011-058628]"/>
            <x15:cachedUniqueName index="144" name="[dane].[Nr zamówienia].&amp;[PL-2011-058914]"/>
            <x15:cachedUniqueName index="145" name="[dane].[Nr zamówienia].&amp;[PL-2011-059365]"/>
            <x15:cachedUniqueName index="146" name="[dane].[Nr zamówienia].&amp;[PL-2011-059937]"/>
            <x15:cachedUniqueName index="147" name="[dane].[Nr zamówienia].&amp;[PL-2011-085826]"/>
            <x15:cachedUniqueName index="148" name="[dane].[Nr zamówienia].&amp;[PL-2011-085827]"/>
            <x15:cachedUniqueName index="149" name="[dane].[Nr zamówienia].&amp;[PL-2011-085828]"/>
            <x15:cachedUniqueName index="150" name="[dane].[Nr zamówienia].&amp;[PL-2011-085833]"/>
            <x15:cachedUniqueName index="151" name="[dane].[Nr zamówienia].&amp;[PL-2011-085834]"/>
            <x15:cachedUniqueName index="152" name="[dane].[Nr zamówienia].&amp;[PL-2011-085835]"/>
            <x15:cachedUniqueName index="153" name="[dane].[Nr zamówienia].&amp;[PL-2011-085850]"/>
            <x15:cachedUniqueName index="154" name="[dane].[Nr zamówienia].&amp;[PL-2011-085857]"/>
            <x15:cachedUniqueName index="155" name="[dane].[Nr zamówienia].&amp;[PL-2011-085858]"/>
            <x15:cachedUniqueName index="156" name="[dane].[Nr zamówienia].&amp;[PL-2011-085865]"/>
            <x15:cachedUniqueName index="157" name="[dane].[Nr zamówienia].&amp;[PL-2011-085866]"/>
            <x15:cachedUniqueName index="158" name="[dane].[Nr zamówienia].&amp;[PL-2011-085867]"/>
            <x15:cachedUniqueName index="159" name="[dane].[Nr zamówienia].&amp;[PL-2011-085868]"/>
            <x15:cachedUniqueName index="160" name="[dane].[Nr zamówienia].&amp;[PL-2011-085880]"/>
            <x15:cachedUniqueName index="161" name="[dane].[Nr zamówienia].&amp;[PL-2011-085893]"/>
            <x15:cachedUniqueName index="162" name="[dane].[Nr zamówienia].&amp;[PL-2011-085894]"/>
            <x15:cachedUniqueName index="163" name="[dane].[Nr zamówienia].&amp;[PL-2011-085895]"/>
            <x15:cachedUniqueName index="164" name="[dane].[Nr zamówienia].&amp;[PL-2011-085896]"/>
            <x15:cachedUniqueName index="165" name="[dane].[Nr zamówienia].&amp;[PL-2011-085897]"/>
            <x15:cachedUniqueName index="166" name="[dane].[Nr zamówienia].&amp;[PL-2011-085898]"/>
            <x15:cachedUniqueName index="167" name="[dane].[Nr zamówienia].&amp;[PL-2011-085914]"/>
            <x15:cachedUniqueName index="168" name="[dane].[Nr zamówienia].&amp;[PL-2011-085915]"/>
            <x15:cachedUniqueName index="169" name="[dane].[Nr zamówienia].&amp;[PL-2011-085916]"/>
            <x15:cachedUniqueName index="170" name="[dane].[Nr zamówienia].&amp;[PL-2011-085928]"/>
            <x15:cachedUniqueName index="171" name="[dane].[Nr zamówienia].&amp;[PL-2011-085929]"/>
            <x15:cachedUniqueName index="172" name="[dane].[Nr zamówienia].&amp;[PL-2011-085938]"/>
            <x15:cachedUniqueName index="173" name="[dane].[Nr zamówienia].&amp;[PL-2011-085939]"/>
            <x15:cachedUniqueName index="174" name="[dane].[Nr zamówienia].&amp;[PL-2011-085940]"/>
            <x15:cachedUniqueName index="175" name="[dane].[Nr zamówienia].&amp;[PL-2011-085947]"/>
            <x15:cachedUniqueName index="176" name="[dane].[Nr zamówienia].&amp;[PL-2011-085948]"/>
            <x15:cachedUniqueName index="177" name="[dane].[Nr zamówienia].&amp;[PL-2011-085949]"/>
            <x15:cachedUniqueName index="178" name="[dane].[Nr zamówienia].&amp;[PL-2011-085950]"/>
            <x15:cachedUniqueName index="179" name="[dane].[Nr zamówienia].&amp;[PL-2011-085964]"/>
            <x15:cachedUniqueName index="180" name="[dane].[Nr zamówienia].&amp;[PL-2011-085965]"/>
            <x15:cachedUniqueName index="181" name="[dane].[Nr zamówienia].&amp;[PL-2011-085966]"/>
            <x15:cachedUniqueName index="182" name="[dane].[Nr zamówienia].&amp;[PL-2011-085979]"/>
            <x15:cachedUniqueName index="183" name="[dane].[Nr zamówienia].&amp;[PL-2011-085980]"/>
            <x15:cachedUniqueName index="184" name="[dane].[Nr zamówienia].&amp;[PL-2011-085981]"/>
            <x15:cachedUniqueName index="185" name="[dane].[Nr zamówienia].&amp;[PL-2011-085990]"/>
            <x15:cachedUniqueName index="186" name="[dane].[Nr zamówienia].&amp;[PL-2011-085991]"/>
            <x15:cachedUniqueName index="187" name="[dane].[Nr zamówienia].&amp;[PL-2011-086002]"/>
            <x15:cachedUniqueName index="188" name="[dane].[Nr zamówienia].&amp;[PL-2011-086003]"/>
            <x15:cachedUniqueName index="189" name="[dane].[Nr zamówienia].&amp;[PL-2011-086010]"/>
            <x15:cachedUniqueName index="190" name="[dane].[Nr zamówienia].&amp;[PL-2011-086011]"/>
            <x15:cachedUniqueName index="191" name="[dane].[Nr zamówienia].&amp;[PL-2011-086012]"/>
            <x15:cachedUniqueName index="192" name="[dane].[Nr zamówienia].&amp;[PL-2011-086013]"/>
            <x15:cachedUniqueName index="193" name="[dane].[Nr zamówienia].&amp;[PL-2011-086014]"/>
            <x15:cachedUniqueName index="194" name="[dane].[Nr zamówienia].&amp;[PL-2011-086041]"/>
            <x15:cachedUniqueName index="195" name="[dane].[Nr zamówienia].&amp;[PL-2011-086050]"/>
            <x15:cachedUniqueName index="196" name="[dane].[Nr zamówienia].&amp;[PL-2011-086051]"/>
            <x15:cachedUniqueName index="197" name="[dane].[Nr zamówienia].&amp;[PL-2011-086052]"/>
            <x15:cachedUniqueName index="198" name="[dane].[Nr zamówienia].&amp;[PL-2011-086053]"/>
            <x15:cachedUniqueName index="199" name="[dane].[Nr zamówienia].&amp;[PL-2011-086054]"/>
            <x15:cachedUniqueName index="200" name="[dane].[Nr zamówienia].&amp;[PL-2011-086063]"/>
            <x15:cachedUniqueName index="201" name="[dane].[Nr zamówienia].&amp;[PL-2011-086064]"/>
            <x15:cachedUniqueName index="202" name="[dane].[Nr zamówienia].&amp;[PL-2011-086075]"/>
            <x15:cachedUniqueName index="203" name="[dane].[Nr zamówienia].&amp;[PL-2011-086076]"/>
            <x15:cachedUniqueName index="204" name="[dane].[Nr zamówienia].&amp;[PL-2011-086077]"/>
            <x15:cachedUniqueName index="205" name="[dane].[Nr zamówienia].&amp;[PL-2011-086085]"/>
            <x15:cachedUniqueName index="206" name="[dane].[Nr zamówienia].&amp;[PL-2011-086086]"/>
            <x15:cachedUniqueName index="207" name="[dane].[Nr zamówienia].&amp;[PL-2011-086092]"/>
            <x15:cachedUniqueName index="208" name="[dane].[Nr zamówienia].&amp;[PL-2011-086101]"/>
            <x15:cachedUniqueName index="209" name="[dane].[Nr zamówienia].&amp;[PL-2011-086102]"/>
            <x15:cachedUniqueName index="210" name="[dane].[Nr zamówienia].&amp;[PL-2011-086103]"/>
            <x15:cachedUniqueName index="211" name="[dane].[Nr zamówienia].&amp;[PL-2011-086104]"/>
            <x15:cachedUniqueName index="212" name="[dane].[Nr zamówienia].&amp;[PL-2011-086118]"/>
            <x15:cachedUniqueName index="213" name="[dane].[Nr zamówienia].&amp;[PL-2011-086119]"/>
            <x15:cachedUniqueName index="214" name="[dane].[Nr zamówienia].&amp;[PL-2011-086122]"/>
            <x15:cachedUniqueName index="215" name="[dane].[Nr zamówienia].&amp;[PL-2011-086123]"/>
            <x15:cachedUniqueName index="216" name="[dane].[Nr zamówienia].&amp;[PL-2011-086124]"/>
            <x15:cachedUniqueName index="217" name="[dane].[Nr zamówienia].&amp;[PL-2011-086144]"/>
            <x15:cachedUniqueName index="218" name="[dane].[Nr zamówienia].&amp;[PL-2011-086145]"/>
            <x15:cachedUniqueName index="219" name="[dane].[Nr zamówienia].&amp;[PL-2011-086153]"/>
            <x15:cachedUniqueName index="220" name="[dane].[Nr zamówienia].&amp;[PL-2011-086163]"/>
            <x15:cachedUniqueName index="221" name="[dane].[Nr zamówienia].&amp;[PL-2011-086164]"/>
            <x15:cachedUniqueName index="222" name="[dane].[Nr zamówienia].&amp;[PL-2011-086165]"/>
            <x15:cachedUniqueName index="223" name="[dane].[Nr zamówienia].&amp;[PL-2011-086166]"/>
            <x15:cachedUniqueName index="224" name="[dane].[Nr zamówienia].&amp;[PL-2011-086173]"/>
            <x15:cachedUniqueName index="225" name="[dane].[Nr zamówienia].&amp;[PL-2011-086181]"/>
            <x15:cachedUniqueName index="226" name="[dane].[Nr zamówienia].&amp;[PL-2011-086184]"/>
            <x15:cachedUniqueName index="227" name="[dane].[Nr zamówienia].&amp;[PL-2011-086189]"/>
            <x15:cachedUniqueName index="228" name="[dane].[Nr zamówienia].&amp;[PL-2011-086190]"/>
            <x15:cachedUniqueName index="229" name="[dane].[Nr zamówienia].&amp;[PL-2011-086191]"/>
            <x15:cachedUniqueName index="230" name="[dane].[Nr zamówienia].&amp;[PL-2011-086192]"/>
            <x15:cachedUniqueName index="231" name="[dane].[Nr zamówienia].&amp;[PL-2011-086220]"/>
            <x15:cachedUniqueName index="232" name="[dane].[Nr zamówienia].&amp;[PL-2011-086221]"/>
            <x15:cachedUniqueName index="233" name="[dane].[Nr zamówienia].&amp;[PL-2011-086222]"/>
            <x15:cachedUniqueName index="234" name="[dane].[Nr zamówienia].&amp;[PL-2011-086227]"/>
            <x15:cachedUniqueName index="235" name="[dane].[Nr zamówienia].&amp;[PL-2011-086233]"/>
            <x15:cachedUniqueName index="236" name="[dane].[Nr zamówienia].&amp;[PL-2011-086234]"/>
            <x15:cachedUniqueName index="237" name="[dane].[Nr zamówienia].&amp;[PL-2011-086250]"/>
            <x15:cachedUniqueName index="238" name="[dane].[Nr zamówienia].&amp;[PL-2011-086258]"/>
            <x15:cachedUniqueName index="239" name="[dane].[Nr zamówienia].&amp;[PL-2011-086263]"/>
            <x15:cachedUniqueName index="240" name="[dane].[Nr zamówienia].&amp;[PL-2011-086264]"/>
            <x15:cachedUniqueName index="241" name="[dane].[Nr zamówienia].&amp;[PL-2011-086267]"/>
            <x15:cachedUniqueName index="242" name="[dane].[Nr zamówienia].&amp;[PL-2011-086268]"/>
            <x15:cachedUniqueName index="243" name="[dane].[Nr zamówienia].&amp;[PL-2011-086279]"/>
            <x15:cachedUniqueName index="244" name="[dane].[Nr zamówienia].&amp;[PL-2011-086283]"/>
            <x15:cachedUniqueName index="245" name="[dane].[Nr zamówienia].&amp;[PL-2011-086284]"/>
            <x15:cachedUniqueName index="246" name="[dane].[Nr zamówienia].&amp;[PL-2011-086297]"/>
            <x15:cachedUniqueName index="247" name="[dane].[Nr zamówienia].&amp;[PL-2011-086307]"/>
            <x15:cachedUniqueName index="248" name="[dane].[Nr zamówienia].&amp;[PL-2011-086308]"/>
            <x15:cachedUniqueName index="249" name="[dane].[Nr zamówienia].&amp;[PL-2011-086309]"/>
            <x15:cachedUniqueName index="250" name="[dane].[Nr zamówienia].&amp;[PL-2011-086310]"/>
            <x15:cachedUniqueName index="251" name="[dane].[Nr zamówienia].&amp;[PL-2011-086311]"/>
            <x15:cachedUniqueName index="252" name="[dane].[Nr zamówienia].&amp;[PL-2011-086327]"/>
            <x15:cachedUniqueName index="253" name="[dane].[Nr zamówienia].&amp;[PL-2011-086331]"/>
            <x15:cachedUniqueName index="254" name="[dane].[Nr zamówienia].&amp;[PL-2011-086338]"/>
            <x15:cachedUniqueName index="255" name="[dane].[Nr zamówienia].&amp;[PL-2011-086346]"/>
            <x15:cachedUniqueName index="256" name="[dane].[Nr zamówienia].&amp;[PL-2011-086356]"/>
            <x15:cachedUniqueName index="257" name="[dane].[Nr zamówienia].&amp;[PL-2011-086357]"/>
            <x15:cachedUniqueName index="258" name="[dane].[Nr zamówienia].&amp;[PL-2011-086368]"/>
            <x15:cachedUniqueName index="259" name="[dane].[Nr zamówienia].&amp;[PL-2011-086369]"/>
            <x15:cachedUniqueName index="260" name="[dane].[Nr zamówienia].&amp;[PL-2011-086373]"/>
            <x15:cachedUniqueName index="261" name="[dane].[Nr zamówienia].&amp;[PL-2011-086382]"/>
            <x15:cachedUniqueName index="262" name="[dane].[Nr zamówienia].&amp;[PL-2011-086383]"/>
            <x15:cachedUniqueName index="263" name="[dane].[Nr zamówienia].&amp;[PL-2011-086384]"/>
            <x15:cachedUniqueName index="264" name="[dane].[Nr zamówienia].&amp;[PL-2011-086397]"/>
            <x15:cachedUniqueName index="265" name="[dane].[Nr zamówienia].&amp;[PL-2011-086409]"/>
            <x15:cachedUniqueName index="266" name="[dane].[Nr zamówienia].&amp;[PL-2011-086410]"/>
            <x15:cachedUniqueName index="267" name="[dane].[Nr zamówienia].&amp;[PL-2011-086411]"/>
            <x15:cachedUniqueName index="268" name="[dane].[Nr zamówienia].&amp;[PL-2011-086422]"/>
            <x15:cachedUniqueName index="269" name="[dane].[Nr zamówienia].&amp;[PL-2011-086427]"/>
            <x15:cachedUniqueName index="270" name="[dane].[Nr zamówienia].&amp;[PL-2011-086432]"/>
            <x15:cachedUniqueName index="271" name="[dane].[Nr zamówienia].&amp;[PL-2011-086447]"/>
            <x15:cachedUniqueName index="272" name="[dane].[Nr zamówienia].&amp;[PL-2011-086448]"/>
            <x15:cachedUniqueName index="273" name="[dane].[Nr zamówienia].&amp;[PL-2011-086454]"/>
            <x15:cachedUniqueName index="274" name="[dane].[Nr zamówienia].&amp;[PL-2011-086459]"/>
            <x15:cachedUniqueName index="275" name="[dane].[Nr zamówienia].&amp;[PL-2011-086460]"/>
            <x15:cachedUniqueName index="276" name="[dane].[Nr zamówienia].&amp;[PL-2011-086465]"/>
            <x15:cachedUniqueName index="277" name="[dane].[Nr zamówienia].&amp;[PL-2011-086466]"/>
            <x15:cachedUniqueName index="278" name="[dane].[Nr zamówienia].&amp;[PL-2011-086486]"/>
            <x15:cachedUniqueName index="279" name="[dane].[Nr zamówienia].&amp;[PL-2011-086489]"/>
            <x15:cachedUniqueName index="280" name="[dane].[Nr zamówienia].&amp;[PL-2011-086490]"/>
            <x15:cachedUniqueName index="281" name="[dane].[Nr zamówienia].&amp;[PL-2011-086491]"/>
            <x15:cachedUniqueName index="282" name="[dane].[Nr zamówienia].&amp;[PL-2011-086500]"/>
            <x15:cachedUniqueName index="283" name="[dane].[Nr zamówienia].&amp;[PL-2011-086507]"/>
            <x15:cachedUniqueName index="284" name="[dane].[Nr zamówienia].&amp;[PL-2011-086508]"/>
            <x15:cachedUniqueName index="285" name="[dane].[Nr zamówienia].&amp;[PL-2011-086509]"/>
            <x15:cachedUniqueName index="286" name="[dane].[Nr zamówienia].&amp;[PL-2011-086514]"/>
            <x15:cachedUniqueName index="287" name="[dane].[Nr zamówienia].&amp;[PL-2011-086520]"/>
            <x15:cachedUniqueName index="288" name="[dane].[Nr zamówienia].&amp;[PL-2011-086527]"/>
            <x15:cachedUniqueName index="289" name="[dane].[Nr zamówienia].&amp;[PL-2011-086528]"/>
            <x15:cachedUniqueName index="290" name="[dane].[Nr zamówienia].&amp;[PL-2011-086529]"/>
            <x15:cachedUniqueName index="291" name="[dane].[Nr zamówienia].&amp;[PL-2011-086534]"/>
            <x15:cachedUniqueName index="292" name="[dane].[Nr zamówienia].&amp;[PL-2011-086535]"/>
            <x15:cachedUniqueName index="293" name="[dane].[Nr zamówienia].&amp;[PL-2011-086536]"/>
            <x15:cachedUniqueName index="294" name="[dane].[Nr zamówienia].&amp;[PL-2011-086544]"/>
            <x15:cachedUniqueName index="295" name="[dane].[Nr zamówienia].&amp;[PL-2011-086545]"/>
            <x15:cachedUniqueName index="296" name="[dane].[Nr zamówienia].&amp;[PL-2011-086546]"/>
            <x15:cachedUniqueName index="297" name="[dane].[Nr zamówienia].&amp;[PL-2011-086547]"/>
            <x15:cachedUniqueName index="298" name="[dane].[Nr zamówienia].&amp;[PL-2011-086548]"/>
            <x15:cachedUniqueName index="299" name="[dane].[Nr zamówienia].&amp;[PL-2011-086555]"/>
            <x15:cachedUniqueName index="300" name="[dane].[Nr zamówienia].&amp;[PL-2011-086556]"/>
            <x15:cachedUniqueName index="301" name="[dane].[Nr zamówienia].&amp;[PL-2011-086565]"/>
            <x15:cachedUniqueName index="302" name="[dane].[Nr zamówienia].&amp;[PL-2011-086566]"/>
            <x15:cachedUniqueName index="303" name="[dane].[Nr zamówienia].&amp;[PL-2011-086567]"/>
            <x15:cachedUniqueName index="304" name="[dane].[Nr zamówienia].&amp;[PL-2011-086573]"/>
            <x15:cachedUniqueName index="305" name="[dane].[Nr zamówienia].&amp;[PL-2011-086574]"/>
            <x15:cachedUniqueName index="306" name="[dane].[Nr zamówienia].&amp;[PL-2011-086575]"/>
            <x15:cachedUniqueName index="307" name="[dane].[Nr zamówienia].&amp;[PL-2011-086591]"/>
            <x15:cachedUniqueName index="308" name="[dane].[Nr zamówienia].&amp;[PL-2011-086592]"/>
            <x15:cachedUniqueName index="309" name="[dane].[Nr zamówienia].&amp;[PL-2011-086599]"/>
            <x15:cachedUniqueName index="310" name="[dane].[Nr zamówienia].&amp;[PL-2011-086600]"/>
            <x15:cachedUniqueName index="311" name="[dane].[Nr zamówienia].&amp;[PL-2011-086610]"/>
            <x15:cachedUniqueName index="312" name="[dane].[Nr zamówienia].&amp;[PL-2011-086611]"/>
            <x15:cachedUniqueName index="313" name="[dane].[Nr zamówienia].&amp;[PL-2011-086612]"/>
            <x15:cachedUniqueName index="314" name="[dane].[Nr zamówienia].&amp;[PL-2011-086621]"/>
            <x15:cachedUniqueName index="315" name="[dane].[Nr zamówienia].&amp;[PL-2011-086629]"/>
            <x15:cachedUniqueName index="316" name="[dane].[Nr zamówienia].&amp;[PL-2011-086633]"/>
            <x15:cachedUniqueName index="317" name="[dane].[Nr zamówienia].&amp;[PL-2011-086639]"/>
            <x15:cachedUniqueName index="318" name="[dane].[Nr zamówienia].&amp;[PL-2011-086645]"/>
            <x15:cachedUniqueName index="319" name="[dane].[Nr zamówienia].&amp;[PL-2011-086646]"/>
            <x15:cachedUniqueName index="320" name="[dane].[Nr zamówienia].&amp;[PL-2011-086654]"/>
            <x15:cachedUniqueName index="321" name="[dane].[Nr zamówienia].&amp;[PL-2011-086655]"/>
            <x15:cachedUniqueName index="322" name="[dane].[Nr zamówienia].&amp;[PL-2011-086662]"/>
            <x15:cachedUniqueName index="323" name="[dane].[Nr zamówienia].&amp;[PL-2011-086668]"/>
            <x15:cachedUniqueName index="324" name="[dane].[Nr zamówienia].&amp;[PL-2011-086686]"/>
            <x15:cachedUniqueName index="325" name="[dane].[Nr zamówienia].&amp;[PL-2011-086687]"/>
            <x15:cachedUniqueName index="326" name="[dane].[Nr zamówienia].&amp;[PL-2011-086688]"/>
            <x15:cachedUniqueName index="327" name="[dane].[Nr zamówienia].&amp;[PL-2011-086693]"/>
            <x15:cachedUniqueName index="328" name="[dane].[Nr zamówienia].&amp;[PL-2011-086694]"/>
            <x15:cachedUniqueName index="329" name="[dane].[Nr zamówienia].&amp;[PL-2011-086699]"/>
            <x15:cachedUniqueName index="330" name="[dane].[Nr zamówienia].&amp;[PL-2011-086722]"/>
            <x15:cachedUniqueName index="331" name="[dane].[Nr zamówienia].&amp;[PL-2011-086723]"/>
            <x15:cachedUniqueName index="332" name="[dane].[Nr zamówienia].&amp;[PL-2011-086724]"/>
            <x15:cachedUniqueName index="333" name="[dane].[Nr zamówienia].&amp;[PL-2011-086725]"/>
            <x15:cachedUniqueName index="334" name="[dane].[Nr zamówienia].&amp;[PL-2011-086734]"/>
            <x15:cachedUniqueName index="335" name="[dane].[Nr zamówienia].&amp;[PL-2011-086735]"/>
            <x15:cachedUniqueName index="336" name="[dane].[Nr zamówienia].&amp;[PL-2011-086750]"/>
            <x15:cachedUniqueName index="337" name="[dane].[Nr zamówienia].&amp;[PL-2011-086751]"/>
            <x15:cachedUniqueName index="338" name="[dane].[Nr zamówienia].&amp;[PL-2011-086752]"/>
            <x15:cachedUniqueName index="339" name="[dane].[Nr zamówienia].&amp;[PL-2011-086753]"/>
            <x15:cachedUniqueName index="340" name="[dane].[Nr zamówienia].&amp;[PL-2011-086754]"/>
            <x15:cachedUniqueName index="341" name="[dane].[Nr zamówienia].&amp;[PL-2011-086767]"/>
            <x15:cachedUniqueName index="342" name="[dane].[Nr zamówienia].&amp;[PL-2011-086768]"/>
            <x15:cachedUniqueName index="343" name="[dane].[Nr zamówienia].&amp;[PL-2011-086789]"/>
            <x15:cachedUniqueName index="344" name="[dane].[Nr zamówienia].&amp;[PL-2011-086790]"/>
            <x15:cachedUniqueName index="345" name="[dane].[Nr zamówienia].&amp;[PL-2011-086791]"/>
            <x15:cachedUniqueName index="346" name="[dane].[Nr zamówienia].&amp;[PL-2011-086792]"/>
            <x15:cachedUniqueName index="347" name="[dane].[Nr zamówienia].&amp;[PL-2011-086793]"/>
            <x15:cachedUniqueName index="348" name="[dane].[Nr zamówienia].&amp;[PL-2011-086794]"/>
            <x15:cachedUniqueName index="349" name="[dane].[Nr zamówienia].&amp;[PL-2011-086795]"/>
            <x15:cachedUniqueName index="350" name="[dane].[Nr zamówienia].&amp;[PL-2011-086796]"/>
            <x15:cachedUniqueName index="351" name="[dane].[Nr zamówienia].&amp;[PL-2011-086812]"/>
            <x15:cachedUniqueName index="352" name="[dane].[Nr zamówienia].&amp;[PL-2011-086813]"/>
            <x15:cachedUniqueName index="353" name="[dane].[Nr zamówienia].&amp;[PL-2011-086814]"/>
            <x15:cachedUniqueName index="354" name="[dane].[Nr zamówienia].&amp;[PL-2011-086815]"/>
            <x15:cachedUniqueName index="355" name="[dane].[Nr zamówienia].&amp;[PL-2011-086826]"/>
            <x15:cachedUniqueName index="356" name="[dane].[Nr zamówienia].&amp;[PL-2011-086827]"/>
            <x15:cachedUniqueName index="357" name="[dane].[Nr zamówienia].&amp;[PL-2011-086828]"/>
            <x15:cachedUniqueName index="358" name="[dane].[Nr zamówienia].&amp;[PL-2011-086836]"/>
            <x15:cachedUniqueName index="359" name="[dane].[Nr zamówienia].&amp;[PL-2011-086837]"/>
            <x15:cachedUniqueName index="360" name="[dane].[Nr zamówienia].&amp;[PL-2011-086838]"/>
            <x15:cachedUniqueName index="361" name="[dane].[Nr zamówienia].&amp;[PL-2011-086839]"/>
            <x15:cachedUniqueName index="362" name="[dane].[Nr zamówienia].&amp;[PL-2011-086846]"/>
            <x15:cachedUniqueName index="363" name="[dane].[Nr zamówienia].&amp;[PL-2011-086847]"/>
            <x15:cachedUniqueName index="364" name="[dane].[Nr zamówienia].&amp;[PL-2011-086860]"/>
            <x15:cachedUniqueName index="365" name="[dane].[Nr zamówienia].&amp;[PL-2011-086867]"/>
            <x15:cachedUniqueName index="366" name="[dane].[Nr zamówienia].&amp;[PL-2011-086868]"/>
            <x15:cachedUniqueName index="367" name="[dane].[Nr zamówienia].&amp;[PL-2011-086869]"/>
            <x15:cachedUniqueName index="368" name="[dane].[Nr zamówienia].&amp;[PL-2011-086870]"/>
            <x15:cachedUniqueName index="369" name="[dane].[Nr zamówienia].&amp;[PL-2011-086874]"/>
            <x15:cachedUniqueName index="370" name="[dane].[Nr zamówienia].&amp;[PL-2011-086883]"/>
            <x15:cachedUniqueName index="371" name="[dane].[Nr zamówienia].&amp;[PL-2011-086884]"/>
            <x15:cachedUniqueName index="372" name="[dane].[Nr zamówienia].&amp;[PL-2011-086885]"/>
            <x15:cachedUniqueName index="373" name="[dane].[Nr zamówienia].&amp;[PL-2011-086886]"/>
            <x15:cachedUniqueName index="374" name="[dane].[Nr zamówienia].&amp;[PL-2011-086887]"/>
            <x15:cachedUniqueName index="375" name="[dane].[Nr zamówienia].&amp;[PL-2011-086898]"/>
            <x15:cachedUniqueName index="376" name="[dane].[Nr zamówienia].&amp;[PL-2011-086899]"/>
            <x15:cachedUniqueName index="377" name="[dane].[Nr zamówienia].&amp;[PL-2011-086900]"/>
            <x15:cachedUniqueName index="378" name="[dane].[Nr zamówienia].&amp;[PL-2011-086901]"/>
            <x15:cachedUniqueName index="379" name="[dane].[Nr zamówienia].&amp;[PL-2011-086902]"/>
            <x15:cachedUniqueName index="380" name="[dane].[Nr zamówienia].&amp;[PL-2011-086913]"/>
            <x15:cachedUniqueName index="381" name="[dane].[Nr zamówienia].&amp;[PL-2011-086914]"/>
            <x15:cachedUniqueName index="382" name="[dane].[Nr zamówienia].&amp;[PL-2011-086925]"/>
            <x15:cachedUniqueName index="383" name="[dane].[Nr zamówienia].&amp;[PL-2011-086926]"/>
            <x15:cachedUniqueName index="384" name="[dane].[Nr zamówienia].&amp;[PL-2011-086927]"/>
            <x15:cachedUniqueName index="385" name="[dane].[Nr zamówienia].&amp;[PL-2011-086933]"/>
            <x15:cachedUniqueName index="386" name="[dane].[Nr zamówienia].&amp;[PL-2011-086949]"/>
            <x15:cachedUniqueName index="387" name="[dane].[Nr zamówienia].&amp;[PL-2011-086950]"/>
            <x15:cachedUniqueName index="388" name="[dane].[Nr zamówienia].&amp;[PL-2011-086951]"/>
            <x15:cachedUniqueName index="389" name="[dane].[Nr zamówienia].&amp;[PL-2011-086952]"/>
            <x15:cachedUniqueName index="390" name="[dane].[Nr zamówienia].&amp;[PL-2011-086956]"/>
            <x15:cachedUniqueName index="391" name="[dane].[Nr zamówienia].&amp;[PL-2011-086957]"/>
            <x15:cachedUniqueName index="392" name="[dane].[Nr zamówienia].&amp;[PL-2011-086958]"/>
            <x15:cachedUniqueName index="393" name="[dane].[Nr zamówienia].&amp;[PL-2011-086959]"/>
            <x15:cachedUniqueName index="394" name="[dane].[Nr zamówienia].&amp;[PL-2011-086960]"/>
            <x15:cachedUniqueName index="395" name="[dane].[Nr zamówienia].&amp;[PL-2011-086966]"/>
            <x15:cachedUniqueName index="396" name="[dane].[Nr zamówienia].&amp;[PL-2011-086973]"/>
            <x15:cachedUniqueName index="397" name="[dane].[Nr zamówienia].&amp;[PL-2011-086989]"/>
            <x15:cachedUniqueName index="398" name="[dane].[Nr zamówienia].&amp;[PL-2011-087002]"/>
            <x15:cachedUniqueName index="399" name="[dane].[Nr zamówienia].&amp;[PL-2011-087003]"/>
            <x15:cachedUniqueName index="400" name="[dane].[Nr zamówienia].&amp;[PL-2011-087004]"/>
            <x15:cachedUniqueName index="401" name="[dane].[Nr zamówienia].&amp;[PL-2011-087005]"/>
            <x15:cachedUniqueName index="402" name="[dane].[Nr zamówienia].&amp;[PL-2011-087015]"/>
            <x15:cachedUniqueName index="403" name="[dane].[Nr zamówienia].&amp;[PL-2011-087016]"/>
            <x15:cachedUniqueName index="404" name="[dane].[Nr zamówienia].&amp;[PL-2011-087020]"/>
            <x15:cachedUniqueName index="405" name="[dane].[Nr zamówienia].&amp;[PL-2011-087029]"/>
            <x15:cachedUniqueName index="406" name="[dane].[Nr zamówienia].&amp;[PL-2011-087030]"/>
            <x15:cachedUniqueName index="407" name="[dane].[Nr zamówienia].&amp;[PL-2011-087031]"/>
            <x15:cachedUniqueName index="408" name="[dane].[Nr zamówienia].&amp;[PL-2011-087032]"/>
            <x15:cachedUniqueName index="409" name="[dane].[Nr zamówienia].&amp;[PL-2011-087033]"/>
            <x15:cachedUniqueName index="410" name="[dane].[Nr zamówienia].&amp;[PL-2011-087041]"/>
            <x15:cachedUniqueName index="411" name="[dane].[Nr zamówienia].&amp;[PL-2011-087042]"/>
            <x15:cachedUniqueName index="412" name="[dane].[Nr zamówienia].&amp;[PL-2011-087043]"/>
            <x15:cachedUniqueName index="413" name="[dane].[Nr zamówienia].&amp;[PL-2011-087057]"/>
            <x15:cachedUniqueName index="414" name="[dane].[Nr zamówienia].&amp;[PL-2011-087071]"/>
            <x15:cachedUniqueName index="415" name="[dane].[Nr zamówienia].&amp;[PL-2011-087072]"/>
            <x15:cachedUniqueName index="416" name="[dane].[Nr zamówienia].&amp;[PL-2011-087076]"/>
            <x15:cachedUniqueName index="417" name="[dane].[Nr zamówienia].&amp;[PL-2011-087077]"/>
            <x15:cachedUniqueName index="418" name="[dane].[Nr zamówienia].&amp;[PL-2011-087078]"/>
            <x15:cachedUniqueName index="419" name="[dane].[Nr zamówienia].&amp;[PL-2011-087079]"/>
            <x15:cachedUniqueName index="420" name="[dane].[Nr zamówienia].&amp;[PL-2011-087086]"/>
            <x15:cachedUniqueName index="421" name="[dane].[Nr zamówienia].&amp;[PL-2011-087087]"/>
            <x15:cachedUniqueName index="422" name="[dane].[Nr zamówienia].&amp;[PL-2011-087109]"/>
            <x15:cachedUniqueName index="423" name="[dane].[Nr zamówienia].&amp;[PL-2011-087110]"/>
            <x15:cachedUniqueName index="424" name="[dane].[Nr zamówienia].&amp;[PL-2011-087117]"/>
            <x15:cachedUniqueName index="425" name="[dane].[Nr zamówienia].&amp;[PL-2011-087134]"/>
            <x15:cachedUniqueName index="426" name="[dane].[Nr zamówienia].&amp;[PL-2011-087135]"/>
            <x15:cachedUniqueName index="427" name="[dane].[Nr zamówienia].&amp;[PL-2011-087146]"/>
            <x15:cachedUniqueName index="428" name="[dane].[Nr zamówienia].&amp;[PL-2011-087147]"/>
            <x15:cachedUniqueName index="429" name="[dane].[Nr zamówienia].&amp;[PL-2011-087148]"/>
            <x15:cachedUniqueName index="430" name="[dane].[Nr zamówienia].&amp;[PL-2011-087160]"/>
            <x15:cachedUniqueName index="431" name="[dane].[Nr zamówienia].&amp;[PL-2011-087161]"/>
            <x15:cachedUniqueName index="432" name="[dane].[Nr zamówienia].&amp;[PL-2011-087162]"/>
            <x15:cachedUniqueName index="433" name="[dane].[Nr zamówienia].&amp;[PL-2011-087175]"/>
            <x15:cachedUniqueName index="434" name="[dane].[Nr zamówienia].&amp;[PL-2011-087176]"/>
            <x15:cachedUniqueName index="435" name="[dane].[Nr zamówienia].&amp;[PL-2011-087177]"/>
            <x15:cachedUniqueName index="436" name="[dane].[Nr zamówienia].&amp;[PL-2011-087178]"/>
            <x15:cachedUniqueName index="437" name="[dane].[Nr zamówienia].&amp;[PL-2011-087186]"/>
            <x15:cachedUniqueName index="438" name="[dane].[Nr zamówienia].&amp;[PL-2011-087187]"/>
            <x15:cachedUniqueName index="439" name="[dane].[Nr zamówienia].&amp;[PL-2011-087193]"/>
            <x15:cachedUniqueName index="440" name="[dane].[Nr zamówienia].&amp;[PL-2011-087194]"/>
            <x15:cachedUniqueName index="441" name="[dane].[Nr zamówienia].&amp;[PL-2011-087195]"/>
            <x15:cachedUniqueName index="442" name="[dane].[Nr zamówienia].&amp;[PL-2011-087208]"/>
            <x15:cachedUniqueName index="443" name="[dane].[Nr zamówienia].&amp;[PL-2011-087214]"/>
            <x15:cachedUniqueName index="444" name="[dane].[Nr zamówienia].&amp;[PL-2011-087221]"/>
            <x15:cachedUniqueName index="445" name="[dane].[Nr zamówienia].&amp;[PL-2011-087222]"/>
            <x15:cachedUniqueName index="446" name="[dane].[Nr zamówienia].&amp;[PL-2011-087234]"/>
            <x15:cachedUniqueName index="447" name="[dane].[Nr zamówienia].&amp;[PL-2011-087240]"/>
            <x15:cachedUniqueName index="448" name="[dane].[Nr zamówienia].&amp;[PL-2011-087243]"/>
            <x15:cachedUniqueName index="449" name="[dane].[Nr zamówienia].&amp;[PL-2011-087244]"/>
            <x15:cachedUniqueName index="450" name="[dane].[Nr zamówienia].&amp;[PL-2011-087245]"/>
            <x15:cachedUniqueName index="451" name="[dane].[Nr zamówienia].&amp;[PL-2011-087258]"/>
            <x15:cachedUniqueName index="452" name="[dane].[Nr zamówienia].&amp;[PL-2011-087259]"/>
            <x15:cachedUniqueName index="453" name="[dane].[Nr zamówienia].&amp;[PL-2011-087260]"/>
            <x15:cachedUniqueName index="454" name="[dane].[Nr zamówienia].&amp;[PL-2011-087272]"/>
            <x15:cachedUniqueName index="455" name="[dane].[Nr zamówienia].&amp;[PL-2011-087277]"/>
            <x15:cachedUniqueName index="456" name="[dane].[Nr zamówienia].&amp;[PL-2011-087285]"/>
            <x15:cachedUniqueName index="457" name="[dane].[Nr zamówienia].&amp;[PL-2011-087286]"/>
            <x15:cachedUniqueName index="458" name="[dane].[Nr zamówienia].&amp;[PL-2011-087287]"/>
            <x15:cachedUniqueName index="459" name="[dane].[Nr zamówienia].&amp;[PL-2011-087296]"/>
            <x15:cachedUniqueName index="460" name="[dane].[Nr zamówienia].&amp;[PL-2011-087297]"/>
            <x15:cachedUniqueName index="461" name="[dane].[Nr zamówienia].&amp;[PL-2011-087298]"/>
            <x15:cachedUniqueName index="462" name="[dane].[Nr zamówienia].&amp;[PL-2011-087299]"/>
            <x15:cachedUniqueName index="463" name="[dane].[Nr zamówienia].&amp;[PL-2011-087306]"/>
            <x15:cachedUniqueName index="464" name="[dane].[Nr zamówienia].&amp;[PL-2011-087316]"/>
            <x15:cachedUniqueName index="465" name="[dane].[Nr zamówienia].&amp;[PL-2011-087317]"/>
            <x15:cachedUniqueName index="466" name="[dane].[Nr zamówienia].&amp;[PL-2011-087342]"/>
            <x15:cachedUniqueName index="467" name="[dane].[Nr zamówienia].&amp;[PL-2011-087345]"/>
            <x15:cachedUniqueName index="468" name="[dane].[Nr zamówienia].&amp;[PL-2011-087347]"/>
            <x15:cachedUniqueName index="469" name="[dane].[Nr zamówienia].&amp;[PL-2011-087356]"/>
            <x15:cachedUniqueName index="470" name="[dane].[Nr zamówienia].&amp;[PL-2011-087357]"/>
            <x15:cachedUniqueName index="471" name="[dane].[Nr zamówienia].&amp;[PL-2011-087364]"/>
            <x15:cachedUniqueName index="472" name="[dane].[Nr zamówienia].&amp;[PL-2011-087365]"/>
            <x15:cachedUniqueName index="473" name="[dane].[Nr zamówienia].&amp;[PL-2011-087366]"/>
            <x15:cachedUniqueName index="474" name="[dane].[Nr zamówienia].&amp;[PL-2011-087374]"/>
            <x15:cachedUniqueName index="475" name="[dane].[Nr zamówienia].&amp;[PL-2011-087378]"/>
            <x15:cachedUniqueName index="476" name="[dane].[Nr zamówienia].&amp;[PL-2011-087382]"/>
            <x15:cachedUniqueName index="477" name="[dane].[Nr zamówienia].&amp;[PL-2011-087383]"/>
            <x15:cachedUniqueName index="478" name="[dane].[Nr zamówienia].&amp;[PL-2011-087396]"/>
            <x15:cachedUniqueName index="479" name="[dane].[Nr zamówienia].&amp;[PL-2011-087406]"/>
            <x15:cachedUniqueName index="480" name="[dane].[Nr zamówienia].&amp;[PL-2011-087407]"/>
            <x15:cachedUniqueName index="481" name="[dane].[Nr zamówienia].&amp;[PL-2011-087408]"/>
            <x15:cachedUniqueName index="482" name="[dane].[Nr zamówienia].&amp;[PL-2011-087424]"/>
            <x15:cachedUniqueName index="483" name="[dane].[Nr zamówienia].&amp;[PL-2011-087425]"/>
            <x15:cachedUniqueName index="484" name="[dane].[Nr zamówienia].&amp;[PL-2011-087426]"/>
            <x15:cachedUniqueName index="485" name="[dane].[Nr zamówienia].&amp;[PL-2011-087435]"/>
            <x15:cachedUniqueName index="486" name="[dane].[Nr zamówienia].&amp;[PL-2011-087436]"/>
            <x15:cachedUniqueName index="487" name="[dane].[Nr zamówienia].&amp;[PL-2011-087451]"/>
            <x15:cachedUniqueName index="488" name="[dane].[Nr zamówienia].&amp;[PL-2011-087452]"/>
            <x15:cachedUniqueName index="489" name="[dane].[Nr zamówienia].&amp;[PL-2011-087463]"/>
            <x15:cachedUniqueName index="490" name="[dane].[Nr zamówienia].&amp;[PL-2011-087464]"/>
            <x15:cachedUniqueName index="491" name="[dane].[Nr zamówienia].&amp;[PL-2011-087473]"/>
            <x15:cachedUniqueName index="492" name="[dane].[Nr zamówienia].&amp;[PL-2011-087474]"/>
            <x15:cachedUniqueName index="493" name="[dane].[Nr zamówienia].&amp;[PL-2011-087484]"/>
            <x15:cachedUniqueName index="494" name="[dane].[Nr zamówienia].&amp;[PL-2011-087485]"/>
            <x15:cachedUniqueName index="495" name="[dane].[Nr zamówienia].&amp;[PL-2011-087486]"/>
            <x15:cachedUniqueName index="496" name="[dane].[Nr zamówienia].&amp;[PL-2011-087487]"/>
            <x15:cachedUniqueName index="497" name="[dane].[Nr zamówienia].&amp;[PL-2011-087488]"/>
            <x15:cachedUniqueName index="498" name="[dane].[Nr zamówienia].&amp;[PL-2011-087511]"/>
            <x15:cachedUniqueName index="499" name="[dane].[Nr zamówienia].&amp;[PL-2011-087520]"/>
            <x15:cachedUniqueName index="500" name="[dane].[Nr zamówienia].&amp;[PL-2011-087525]"/>
            <x15:cachedUniqueName index="501" name="[dane].[Nr zamówienia].&amp;[PL-2011-087530]"/>
            <x15:cachedUniqueName index="502" name="[dane].[Nr zamówienia].&amp;[PL-2011-087534]"/>
            <x15:cachedUniqueName index="503" name="[dane].[Nr zamówienia].&amp;[PL-2011-087535]"/>
            <x15:cachedUniqueName index="504" name="[dane].[Nr zamówienia].&amp;[PL-2011-087536]"/>
            <x15:cachedUniqueName index="505" name="[dane].[Nr zamówienia].&amp;[PL-2011-087537]"/>
            <x15:cachedUniqueName index="506" name="[dane].[Nr zamówienia].&amp;[PL-2011-087552]"/>
            <x15:cachedUniqueName index="507" name="[dane].[Nr zamówienia].&amp;[PL-2011-087553]"/>
            <x15:cachedUniqueName index="508" name="[dane].[Nr zamówienia].&amp;[PL-2011-087554]"/>
            <x15:cachedUniqueName index="509" name="[dane].[Nr zamówienia].&amp;[PL-2011-087555]"/>
            <x15:cachedUniqueName index="510" name="[dane].[Nr zamówienia].&amp;[PL-2011-087556]"/>
            <x15:cachedUniqueName index="511" name="[dane].[Nr zamówienia].&amp;[PL-2011-087569]"/>
            <x15:cachedUniqueName index="512" name="[dane].[Nr zamówienia].&amp;[PL-2011-087570]"/>
            <x15:cachedUniqueName index="513" name="[dane].[Nr zamówienia].&amp;[PL-2011-087579]"/>
            <x15:cachedUniqueName index="514" name="[dane].[Nr zamówienia].&amp;[PL-2011-087583]"/>
            <x15:cachedUniqueName index="515" name="[dane].[Nr zamówienia].&amp;[PL-2011-087584]"/>
            <x15:cachedUniqueName index="516" name="[dane].[Nr zamówienia].&amp;[PL-2011-087585]"/>
            <x15:cachedUniqueName index="517" name="[dane].[Nr zamówienia].&amp;[PL-2011-087586]"/>
            <x15:cachedUniqueName index="518" name="[dane].[Nr zamówienia].&amp;[PL-2011-087587]"/>
            <x15:cachedUniqueName index="519" name="[dane].[Nr zamówienia].&amp;[PL-2011-087602]"/>
            <x15:cachedUniqueName index="520" name="[dane].[Nr zamówienia].&amp;[PL-2011-087603]"/>
            <x15:cachedUniqueName index="521" name="[dane].[Nr zamówienia].&amp;[PL-2011-087611]"/>
            <x15:cachedUniqueName index="522" name="[dane].[Nr zamówienia].&amp;[PL-2011-087617]"/>
            <x15:cachedUniqueName index="523" name="[dane].[Nr zamówienia].&amp;[PL-2011-087618]"/>
            <x15:cachedUniqueName index="524" name="[dane].[Nr zamówienia].&amp;[PL-2011-087619]"/>
            <x15:cachedUniqueName index="525" name="[dane].[Nr zamówienia].&amp;[PL-2011-087620]"/>
            <x15:cachedUniqueName index="526" name="[dane].[Nr zamówienia].&amp;[PL-2011-087630]"/>
            <x15:cachedUniqueName index="527" name="[dane].[Nr zamówienia].&amp;[PL-2011-087631]"/>
            <x15:cachedUniqueName index="528" name="[dane].[Nr zamówienia].&amp;[PL-2011-087632]"/>
            <x15:cachedUniqueName index="529" name="[dane].[Nr zamówienia].&amp;[PL-2011-087633]"/>
            <x15:cachedUniqueName index="530" name="[dane].[Nr zamówienia].&amp;[PL-2011-087634]"/>
            <x15:cachedUniqueName index="531" name="[dane].[Nr zamówienia].&amp;[PL-2011-087651]"/>
            <x15:cachedUniqueName index="532" name="[dane].[Nr zamówienia].&amp;[PL-2011-087652]"/>
            <x15:cachedUniqueName index="533" name="[dane].[Nr zamówienia].&amp;[PL-2011-087671]"/>
            <x15:cachedUniqueName index="534" name="[dane].[Nr zamówienia].&amp;[PL-2011-087672]"/>
            <x15:cachedUniqueName index="535" name="[dane].[Nr zamówienia].&amp;[PL-2011-087676]"/>
            <x15:cachedUniqueName index="536" name="[dane].[Nr zamówienia].&amp;[PL-2011-087677]"/>
            <x15:cachedUniqueName index="537" name="[dane].[Nr zamówienia].&amp;[PL-2011-087678]"/>
            <x15:cachedUniqueName index="538" name="[dane].[Nr zamówienia].&amp;[PL-2011-087679]"/>
            <x15:cachedUniqueName index="539" name="[dane].[Nr zamówienia].&amp;[PL-2011-087695]"/>
            <x15:cachedUniqueName index="540" name="[dane].[Nr zamówienia].&amp;[PL-2011-087696]"/>
            <x15:cachedUniqueName index="541" name="[dane].[Nr zamówienia].&amp;[PL-2011-087700]"/>
            <x15:cachedUniqueName index="542" name="[dane].[Nr zamówienia].&amp;[PL-2011-087720]"/>
            <x15:cachedUniqueName index="543" name="[dane].[Nr zamówienia].&amp;[PL-2011-087721]"/>
            <x15:cachedUniqueName index="544" name="[dane].[Nr zamówienia].&amp;[PL-2011-087725]"/>
            <x15:cachedUniqueName index="545" name="[dane].[Nr zamówienia].&amp;[PL-2011-087726]"/>
            <x15:cachedUniqueName index="546" name="[dane].[Nr zamówienia].&amp;[PL-2011-087727]"/>
            <x15:cachedUniqueName index="547" name="[dane].[Nr zamówienia].&amp;[PL-2011-087747]"/>
            <x15:cachedUniqueName index="548" name="[dane].[Nr zamówienia].&amp;[PL-2011-087748]"/>
            <x15:cachedUniqueName index="549" name="[dane].[Nr zamówienia].&amp;[PL-2011-087749]"/>
            <x15:cachedUniqueName index="550" name="[dane].[Nr zamówienia].&amp;[PL-2011-087757]"/>
            <x15:cachedUniqueName index="551" name="[dane].[Nr zamówienia].&amp;[PL-2011-087765]"/>
            <x15:cachedUniqueName index="552" name="[dane].[Nr zamówienia].&amp;[PL-2011-087772]"/>
            <x15:cachedUniqueName index="553" name="[dane].[Nr zamówienia].&amp;[PL-2011-087773]"/>
            <x15:cachedUniqueName index="554" name="[dane].[Nr zamówienia].&amp;[PL-2011-087790]"/>
            <x15:cachedUniqueName index="555" name="[dane].[Nr zamówienia].&amp;[PL-2011-087795]"/>
            <x15:cachedUniqueName index="556" name="[dane].[Nr zamówienia].&amp;[PL-2011-087804]"/>
            <x15:cachedUniqueName index="557" name="[dane].[Nr zamówienia].&amp;[PL-2011-087811]"/>
            <x15:cachedUniqueName index="558" name="[dane].[Nr zamówienia].&amp;[PL-2011-087812]"/>
            <x15:cachedUniqueName index="559" name="[dane].[Nr zamówienia].&amp;[PL-2011-087813]"/>
            <x15:cachedUniqueName index="560" name="[dane].[Nr zamówienia].&amp;[PL-2011-087823]"/>
            <x15:cachedUniqueName index="561" name="[dane].[Nr zamówienia].&amp;[PL-2011-087824]"/>
            <x15:cachedUniqueName index="562" name="[dane].[Nr zamówienia].&amp;[PL-2011-087830]"/>
            <x15:cachedUniqueName index="563" name="[dane].[Nr zamówienia].&amp;[PL-2011-087831]"/>
            <x15:cachedUniqueName index="564" name="[dane].[Nr zamówienia].&amp;[PL-2011-087832]"/>
            <x15:cachedUniqueName index="565" name="[dane].[Nr zamówienia].&amp;[PL-2011-087846]"/>
            <x15:cachedUniqueName index="566" name="[dane].[Nr zamówienia].&amp;[PL-2011-087847]"/>
            <x15:cachedUniqueName index="567" name="[dane].[Nr zamówienia].&amp;[PL-2011-087853]"/>
            <x15:cachedUniqueName index="568" name="[dane].[Nr zamówienia].&amp;[PL-2011-087862]"/>
            <x15:cachedUniqueName index="569" name="[dane].[Nr zamówienia].&amp;[PL-2011-087877]"/>
            <x15:cachedUniqueName index="570" name="[dane].[Nr zamówienia].&amp;[PL-2011-087884]"/>
            <x15:cachedUniqueName index="571" name="[dane].[Nr zamówienia].&amp;[PL-2011-087885]"/>
            <x15:cachedUniqueName index="572" name="[dane].[Nr zamówienia].&amp;[PL-2011-087888]"/>
            <x15:cachedUniqueName index="573" name="[dane].[Nr zamówienia].&amp;[PL-2011-087889]"/>
            <x15:cachedUniqueName index="574" name="[dane].[Nr zamówienia].&amp;[PL-2011-087899]"/>
            <x15:cachedUniqueName index="575" name="[dane].[Nr zamówienia].&amp;[PL-2011-087900]"/>
            <x15:cachedUniqueName index="576" name="[dane].[Nr zamówienia].&amp;[PL-2011-087905]"/>
            <x15:cachedUniqueName index="577" name="[dane].[Nr zamówienia].&amp;[PL-2011-087908]"/>
            <x15:cachedUniqueName index="578" name="[dane].[Nr zamówienia].&amp;[PL-2011-087909]"/>
            <x15:cachedUniqueName index="579" name="[dane].[Nr zamówienia].&amp;[PL-2011-087915]"/>
            <x15:cachedUniqueName index="580" name="[dane].[Nr zamówienia].&amp;[PL-2011-087916]"/>
            <x15:cachedUniqueName index="581" name="[dane].[Nr zamówienia].&amp;[PL-2011-087917]"/>
            <x15:cachedUniqueName index="582" name="[dane].[Nr zamówienia].&amp;[PL-2011-087933]"/>
            <x15:cachedUniqueName index="583" name="[dane].[Nr zamówienia].&amp;[PL-2011-087934]"/>
            <x15:cachedUniqueName index="584" name="[dane].[Nr zamówienia].&amp;[PL-2011-087935]"/>
            <x15:cachedUniqueName index="585" name="[dane].[Nr zamówienia].&amp;[PL-2011-087940]"/>
            <x15:cachedUniqueName index="586" name="[dane].[Nr zamówienia].&amp;[PL-2011-087946]"/>
            <x15:cachedUniqueName index="587" name="[dane].[Nr zamówienia].&amp;[PL-2011-087947]"/>
            <x15:cachedUniqueName index="588" name="[dane].[Nr zamówienia].&amp;[PL-2011-087952]"/>
            <x15:cachedUniqueName index="589" name="[dane].[Nr zamówienia].&amp;[PL-2011-087953]"/>
            <x15:cachedUniqueName index="590" name="[dane].[Nr zamówienia].&amp;[PL-2011-087954]"/>
            <x15:cachedUniqueName index="591" name="[dane].[Nr zamówienia].&amp;[PL-2011-087962]"/>
            <x15:cachedUniqueName index="592" name="[dane].[Nr zamówienia].&amp;[PL-2011-087963]"/>
            <x15:cachedUniqueName index="593" name="[dane].[Nr zamówienia].&amp;[PL-2011-087964]"/>
            <x15:cachedUniqueName index="594" name="[dane].[Nr zamówienia].&amp;[PL-2011-087965]"/>
            <x15:cachedUniqueName index="595" name="[dane].[Nr zamówienia].&amp;[PL-2011-087977]"/>
            <x15:cachedUniqueName index="596" name="[dane].[Nr zamówienia].&amp;[PL-2011-087978]"/>
            <x15:cachedUniqueName index="597" name="[dane].[Nr zamówienia].&amp;[PL-2011-087979]"/>
            <x15:cachedUniqueName index="598" name="[dane].[Nr zamówienia].&amp;[PL-2011-087980]"/>
            <x15:cachedUniqueName index="599" name="[dane].[Nr zamówienia].&amp;[PL-2011-087993]"/>
            <x15:cachedUniqueName index="600" name="[dane].[Nr zamówienia].&amp;[PL-2011-087994]"/>
            <x15:cachedUniqueName index="601" name="[dane].[Nr zamówienia].&amp;[PL-2011-087995]"/>
            <x15:cachedUniqueName index="602" name="[dane].[Nr zamówienia].&amp;[PL-2011-088004]"/>
            <x15:cachedUniqueName index="603" name="[dane].[Nr zamówienia].&amp;[PL-2011-088014]"/>
            <x15:cachedUniqueName index="604" name="[dane].[Nr zamówienia].&amp;[PL-2011-088015]"/>
            <x15:cachedUniqueName index="605" name="[dane].[Nr zamówienia].&amp;[PL-2011-088016]"/>
            <x15:cachedUniqueName index="606" name="[dane].[Nr zamówienia].&amp;[PL-2011-088017]"/>
            <x15:cachedUniqueName index="607" name="[dane].[Nr zamówienia].&amp;[PL-2011-088023]"/>
            <x15:cachedUniqueName index="608" name="[dane].[Nr zamówienia].&amp;[PL-2011-088028]"/>
            <x15:cachedUniqueName index="609" name="[dane].[Nr zamówienia].&amp;[PL-2011-088029]"/>
            <x15:cachedUniqueName index="610" name="[dane].[Nr zamówienia].&amp;[PL-2011-088030]"/>
            <x15:cachedUniqueName index="611" name="[dane].[Nr zamówienia].&amp;[PL-2011-088039]"/>
            <x15:cachedUniqueName index="612" name="[dane].[Nr zamówienia].&amp;[PL-2011-088040]"/>
            <x15:cachedUniqueName index="613" name="[dane].[Nr zamówienia].&amp;[PL-2011-088041]"/>
            <x15:cachedUniqueName index="614" name="[dane].[Nr zamówienia].&amp;[PL-2011-088048]"/>
            <x15:cachedUniqueName index="615" name="[dane].[Nr zamówienia].&amp;[PL-2011-088060]"/>
            <x15:cachedUniqueName index="616" name="[dane].[Nr zamówienia].&amp;[PL-2011-088061]"/>
            <x15:cachedUniqueName index="617" name="[dane].[Nr zamówienia].&amp;[PL-2011-088075]"/>
            <x15:cachedUniqueName index="618" name="[dane].[Nr zamówienia].&amp;[PL-2011-088083]"/>
            <x15:cachedUniqueName index="619" name="[dane].[Nr zamówienia].&amp;[PL-2011-088084]"/>
            <x15:cachedUniqueName index="620" name="[dane].[Nr zamówienia].&amp;[PL-2011-088085]"/>
            <x15:cachedUniqueName index="621" name="[dane].[Nr zamówienia].&amp;[PL-2011-088093]"/>
            <x15:cachedUniqueName index="622" name="[dane].[Nr zamówienia].&amp;[PL-2011-088094]"/>
            <x15:cachedUniqueName index="623" name="[dane].[Nr zamówienia].&amp;[PL-2011-088101]"/>
            <x15:cachedUniqueName index="624" name="[dane].[Nr zamówienia].&amp;[PL-2011-088102]"/>
            <x15:cachedUniqueName index="625" name="[dane].[Nr zamówienia].&amp;[PL-2011-088103]"/>
            <x15:cachedUniqueName index="626" name="[dane].[Nr zamówienia].&amp;[PL-2011-088104]"/>
            <x15:cachedUniqueName index="627" name="[dane].[Nr zamówienia].&amp;[PL-2011-088105]"/>
            <x15:cachedUniqueName index="628" name="[dane].[Nr zamówienia].&amp;[PL-2011-088114]"/>
            <x15:cachedUniqueName index="629" name="[dane].[Nr zamówienia].&amp;[PL-2011-088135]"/>
            <x15:cachedUniqueName index="630" name="[dane].[Nr zamówienia].&amp;[PL-2011-088136]"/>
            <x15:cachedUniqueName index="631" name="[dane].[Nr zamówienia].&amp;[PL-2011-088137]"/>
            <x15:cachedUniqueName index="632" name="[dane].[Nr zamówienia].&amp;[PL-2011-088151]"/>
            <x15:cachedUniqueName index="633" name="[dane].[Nr zamówienia].&amp;[PL-2011-088152]"/>
            <x15:cachedUniqueName index="634" name="[dane].[Nr zamówienia].&amp;[PL-2011-088156]"/>
            <x15:cachedUniqueName index="635" name="[dane].[Nr zamówienia].&amp;[PL-2011-088157]"/>
            <x15:cachedUniqueName index="636" name="[dane].[Nr zamówienia].&amp;[PL-2011-088163]"/>
            <x15:cachedUniqueName index="637" name="[dane].[Nr zamówienia].&amp;[PL-2011-088164]"/>
            <x15:cachedUniqueName index="638" name="[dane].[Nr zamówienia].&amp;[PL-2011-088165]"/>
            <x15:cachedUniqueName index="639" name="[dane].[Nr zamówienia].&amp;[PL-2011-088173]"/>
            <x15:cachedUniqueName index="640" name="[dane].[Nr zamówienia].&amp;[PL-2011-088174]"/>
            <x15:cachedUniqueName index="641" name="[dane].[Nr zamówienia].&amp;[PL-2011-088184]"/>
            <x15:cachedUniqueName index="642" name="[dane].[Nr zamówienia].&amp;[PL-2011-088185]"/>
            <x15:cachedUniqueName index="643" name="[dane].[Nr zamówienia].&amp;[PL-2011-088191]"/>
            <x15:cachedUniqueName index="644" name="[dane].[Nr zamówienia].&amp;[PL-2011-088192]"/>
            <x15:cachedUniqueName index="645" name="[dane].[Nr zamówienia].&amp;[PL-2011-088196]"/>
            <x15:cachedUniqueName index="646" name="[dane].[Nr zamówienia].&amp;[PL-2011-088197]"/>
            <x15:cachedUniqueName index="647" name="[dane].[Nr zamówienia].&amp;[PL-2011-088198]"/>
            <x15:cachedUniqueName index="648" name="[dane].[Nr zamówienia].&amp;[PL-2011-088204]"/>
            <x15:cachedUniqueName index="649" name="[dane].[Nr zamówienia].&amp;[PL-2011-088205]"/>
            <x15:cachedUniqueName index="650" name="[dane].[Nr zamówienia].&amp;[PL-2011-088212]"/>
            <x15:cachedUniqueName index="651" name="[dane].[Nr zamówienia].&amp;[PL-2011-088213]"/>
            <x15:cachedUniqueName index="652" name="[dane].[Nr zamówienia].&amp;[PL-2011-088219]"/>
            <x15:cachedUniqueName index="653" name="[dane].[Nr zamówienia].&amp;[PL-2011-088220]"/>
            <x15:cachedUniqueName index="654" name="[dane].[Nr zamówienia].&amp;[PL-2011-088232]"/>
            <x15:cachedUniqueName index="655" name="[dane].[Nr zamówienia].&amp;[PL-2011-088233]"/>
            <x15:cachedUniqueName index="656" name="[dane].[Nr zamówienia].&amp;[PL-2011-088234]"/>
            <x15:cachedUniqueName index="657" name="[dane].[Nr zamówienia].&amp;[PL-2011-088239]"/>
            <x15:cachedUniqueName index="658" name="[dane].[Nr zamówienia].&amp;[PL-2011-088240]"/>
            <x15:cachedUniqueName index="659" name="[dane].[Nr zamówienia].&amp;[PL-2011-088241]"/>
            <x15:cachedUniqueName index="660" name="[dane].[Nr zamówienia].&amp;[PL-2011-088256]"/>
            <x15:cachedUniqueName index="661" name="[dane].[Nr zamówienia].&amp;[PL-2011-088265]"/>
            <x15:cachedUniqueName index="662" name="[dane].[Nr zamówienia].&amp;[PL-2011-088266]"/>
            <x15:cachedUniqueName index="663" name="[dane].[Nr zamówienia].&amp;[PL-2011-088267]"/>
            <x15:cachedUniqueName index="664" name="[dane].[Nr zamówienia].&amp;[PL-2011-088268]"/>
            <x15:cachedUniqueName index="665" name="[dane].[Nr zamówienia].&amp;[PL-2011-088278]"/>
            <x15:cachedUniqueName index="666" name="[dane].[Nr zamówienia].&amp;[PL-2011-088279]"/>
            <x15:cachedUniqueName index="667" name="[dane].[Nr zamówienia].&amp;[PL-2011-088280]"/>
            <x15:cachedUniqueName index="668" name="[dane].[Nr zamówienia].&amp;[PL-2011-088281]"/>
            <x15:cachedUniqueName index="669" name="[dane].[Nr zamówienia].&amp;[PL-2011-088282]"/>
            <x15:cachedUniqueName index="670" name="[dane].[Nr zamówienia].&amp;[PL-2011-088296]"/>
            <x15:cachedUniqueName index="671" name="[dane].[Nr zamówienia].&amp;[PL-2011-088297]"/>
            <x15:cachedUniqueName index="672" name="[dane].[Nr zamówienia].&amp;[PL-2011-088298]"/>
            <x15:cachedUniqueName index="673" name="[dane].[Nr zamówienia].&amp;[PL-2011-088319]"/>
            <x15:cachedUniqueName index="674" name="[dane].[Nr zamówienia].&amp;[PL-2011-088320]"/>
            <x15:cachedUniqueName index="675" name="[dane].[Nr zamówienia].&amp;[PL-2011-088329]"/>
            <x15:cachedUniqueName index="676" name="[dane].[Nr zamówienia].&amp;[PL-2011-088330]"/>
            <x15:cachedUniqueName index="677" name="[dane].[Nr zamówienia].&amp;[PL-2011-088348]"/>
            <x15:cachedUniqueName index="678" name="[dane].[Nr zamówienia].&amp;[PL-2011-088360]"/>
            <x15:cachedUniqueName index="679" name="[dane].[Nr zamówienia].&amp;[PL-2011-088361]"/>
            <x15:cachedUniqueName index="680" name="[dane].[Nr zamówienia].&amp;[PL-2011-088367]"/>
            <x15:cachedUniqueName index="681" name="[dane].[Nr zamówienia].&amp;[PL-2011-088368]"/>
            <x15:cachedUniqueName index="682" name="[dane].[Nr zamówienia].&amp;[PL-2011-088371]"/>
            <x15:cachedUniqueName index="683" name="[dane].[Nr zamówienia].&amp;[PL-2011-088372]"/>
            <x15:cachedUniqueName index="684" name="[dane].[Nr zamówienia].&amp;[PL-2011-088380]"/>
            <x15:cachedUniqueName index="685" name="[dane].[Nr zamówienia].&amp;[PL-2011-088387]"/>
            <x15:cachedUniqueName index="686" name="[dane].[Nr zamówienia].&amp;[PL-2011-088388]"/>
            <x15:cachedUniqueName index="687" name="[dane].[Nr zamówienia].&amp;[PL-2011-088389]"/>
            <x15:cachedUniqueName index="688" name="[dane].[Nr zamówienia].&amp;[PL-2011-088390]"/>
            <x15:cachedUniqueName index="689" name="[dane].[Nr zamówienia].&amp;[PL-2011-088391]"/>
            <x15:cachedUniqueName index="690" name="[dane].[Nr zamówienia].&amp;[PL-2011-088403]"/>
            <x15:cachedUniqueName index="691" name="[dane].[Nr zamówienia].&amp;[PL-2011-088404]"/>
            <x15:cachedUniqueName index="692" name="[dane].[Nr zamówienia].&amp;[PL-2011-088405]"/>
            <x15:cachedUniqueName index="693" name="[dane].[Nr zamówienia].&amp;[PL-2011-088406]"/>
            <x15:cachedUniqueName index="694" name="[dane].[Nr zamówienia].&amp;[PL-2011-088410]"/>
            <x15:cachedUniqueName index="695" name="[dane].[Nr zamówienia].&amp;[PL-2011-088411]"/>
            <x15:cachedUniqueName index="696" name="[dane].[Nr zamówienia].&amp;[PL-2011-088418]"/>
            <x15:cachedUniqueName index="697" name="[dane].[Nr zamówienia].&amp;[PL-2011-088425]"/>
            <x15:cachedUniqueName index="698" name="[dane].[Nr zamówienia].&amp;[PL-2011-088426]"/>
            <x15:cachedUniqueName index="699" name="[dane].[Nr zamówienia].&amp;[PL-2011-088443]"/>
            <x15:cachedUniqueName index="700" name="[dane].[Nr zamówienia].&amp;[PL-2011-088444]"/>
            <x15:cachedUniqueName index="701" name="[dane].[Nr zamówienia].&amp;[PL-2011-088447]"/>
            <x15:cachedUniqueName index="702" name="[dane].[Nr zamówienia].&amp;[PL-2011-088448]"/>
            <x15:cachedUniqueName index="703" name="[dane].[Nr zamówienia].&amp;[PL-2011-088449]"/>
            <x15:cachedUniqueName index="704" name="[dane].[Nr zamówienia].&amp;[PL-2011-088460]"/>
            <x15:cachedUniqueName index="705" name="[dane].[Nr zamówienia].&amp;[PL-2011-088461]"/>
            <x15:cachedUniqueName index="706" name="[dane].[Nr zamówienia].&amp;[PL-2011-088474]"/>
            <x15:cachedUniqueName index="707" name="[dane].[Nr zamówienia].&amp;[PL-2011-088475]"/>
            <x15:cachedUniqueName index="708" name="[dane].[Nr zamówienia].&amp;[PL-2011-088479]"/>
            <x15:cachedUniqueName index="709" name="[dane].[Nr zamówienia].&amp;[PL-2011-088480]"/>
            <x15:cachedUniqueName index="710" name="[dane].[Nr zamówienia].&amp;[PL-2011-088487]"/>
            <x15:cachedUniqueName index="711" name="[dane].[Nr zamówienia].&amp;[PL-2011-088502]"/>
            <x15:cachedUniqueName index="712" name="[dane].[Nr zamówienia].&amp;[PL-2011-088503]"/>
            <x15:cachedUniqueName index="713" name="[dane].[Nr zamówienia].&amp;[PL-2011-088504]"/>
            <x15:cachedUniqueName index="714" name="[dane].[Nr zamówienia].&amp;[PL-2011-088511]"/>
            <x15:cachedUniqueName index="715" name="[dane].[Nr zamówienia].&amp;[PL-2011-088522]"/>
            <x15:cachedUniqueName index="716" name="[dane].[Nr zamówienia].&amp;[PL-2011-088527]"/>
            <x15:cachedUniqueName index="717" name="[dane].[Nr zamówienia].&amp;[PL-2011-088534]"/>
            <x15:cachedUniqueName index="718" name="[dane].[Nr zamówienia].&amp;[PL-2011-088543]"/>
            <x15:cachedUniqueName index="719" name="[dane].[Nr zamówienia].&amp;[PL-2011-088544]"/>
            <x15:cachedUniqueName index="720" name="[dane].[Nr zamówienia].&amp;[PL-2011-088545]"/>
            <x15:cachedUniqueName index="721" name="[dane].[Nr zamówienia].&amp;[PL-2011-088546]"/>
            <x15:cachedUniqueName index="722" name="[dane].[Nr zamówienia].&amp;[PL-2011-088547]"/>
            <x15:cachedUniqueName index="723" name="[dane].[Nr zamówienia].&amp;[PL-2011-088548]"/>
            <x15:cachedUniqueName index="724" name="[dane].[Nr zamówienia].&amp;[PL-2011-088554]"/>
            <x15:cachedUniqueName index="725" name="[dane].[Nr zamówienia].&amp;[PL-2011-088555]"/>
            <x15:cachedUniqueName index="726" name="[dane].[Nr zamówienia].&amp;[PL-2011-088556]"/>
            <x15:cachedUniqueName index="727" name="[dane].[Nr zamówienia].&amp;[PL-2011-088557]"/>
            <x15:cachedUniqueName index="728" name="[dane].[Nr zamówienia].&amp;[PL-2011-088558]"/>
            <x15:cachedUniqueName index="729" name="[dane].[Nr zamówienia].&amp;[PL-2011-088568]"/>
            <x15:cachedUniqueName index="730" name="[dane].[Nr zamówienia].&amp;[PL-2011-088569]"/>
            <x15:cachedUniqueName index="731" name="[dane].[Nr zamówienia].&amp;[PL-2011-088570]"/>
            <x15:cachedUniqueName index="732" name="[dane].[Nr zamówienia].&amp;[PL-2011-088571]"/>
            <x15:cachedUniqueName index="733" name="[dane].[Nr zamówienia].&amp;[PL-2011-088579]"/>
            <x15:cachedUniqueName index="734" name="[dane].[Nr zamówienia].&amp;[PL-2011-088580]"/>
            <x15:cachedUniqueName index="735" name="[dane].[Nr zamówienia].&amp;[PL-2011-088587]"/>
            <x15:cachedUniqueName index="736" name="[dane].[Nr zamówienia].&amp;[PL-2011-088588]"/>
            <x15:cachedUniqueName index="737" name="[dane].[Nr zamówienia].&amp;[PL-2011-088589]"/>
            <x15:cachedUniqueName index="738" name="[dane].[Nr zamówienia].&amp;[PL-2011-088590]"/>
            <x15:cachedUniqueName index="739" name="[dane].[Nr zamówienia].&amp;[PL-2011-088598]"/>
            <x15:cachedUniqueName index="740" name="[dane].[Nr zamówienia].&amp;[PL-2011-088599]"/>
            <x15:cachedUniqueName index="741" name="[dane].[Nr zamówienia].&amp;[PL-2011-088600]"/>
            <x15:cachedUniqueName index="742" name="[dane].[Nr zamówienia].&amp;[PL-2011-088610]"/>
            <x15:cachedUniqueName index="743" name="[dane].[Nr zamówienia].&amp;[PL-2011-088611]"/>
            <x15:cachedUniqueName index="744" name="[dane].[Nr zamówienia].&amp;[PL-2011-088612]"/>
            <x15:cachedUniqueName index="745" name="[dane].[Nr zamówienia].&amp;[PL-2011-088626]"/>
            <x15:cachedUniqueName index="746" name="[dane].[Nr zamówienia].&amp;[PL-2011-088627]"/>
            <x15:cachedUniqueName index="747" name="[dane].[Nr zamówienia].&amp;[PL-2011-088632]"/>
            <x15:cachedUniqueName index="748" name="[dane].[Nr zamówienia].&amp;[PL-2011-088633]"/>
            <x15:cachedUniqueName index="749" name="[dane].[Nr zamówienia].&amp;[PL-2011-088634]"/>
            <x15:cachedUniqueName index="750" name="[dane].[Nr zamówienia].&amp;[PL-2011-088644]"/>
            <x15:cachedUniqueName index="751" name="[dane].[Nr zamówienia].&amp;[PL-2011-088645]"/>
            <x15:cachedUniqueName index="752" name="[dane].[Nr zamówienia].&amp;[PL-2011-088646]"/>
            <x15:cachedUniqueName index="753" name="[dane].[Nr zamówienia].&amp;[PL-2011-088656]"/>
            <x15:cachedUniqueName index="754" name="[dane].[Nr zamówienia].&amp;[PL-2011-088657]"/>
            <x15:cachedUniqueName index="755" name="[dane].[Nr zamówienia].&amp;[PL-2011-088658]"/>
            <x15:cachedUniqueName index="756" name="[dane].[Nr zamówienia].&amp;[PL-2011-088666]"/>
            <x15:cachedUniqueName index="757" name="[dane].[Nr zamówienia].&amp;[PL-2011-088667]"/>
            <x15:cachedUniqueName index="758" name="[dane].[Nr zamówienia].&amp;[PL-2011-088668]"/>
            <x15:cachedUniqueName index="759" name="[dane].[Nr zamówienia].&amp;[PL-2011-088677]"/>
            <x15:cachedUniqueName index="760" name="[dane].[Nr zamówienia].&amp;[PL-2011-088678]"/>
            <x15:cachedUniqueName index="761" name="[dane].[Nr zamówienia].&amp;[PL-2011-088679]"/>
            <x15:cachedUniqueName index="762" name="[dane].[Nr zamówienia].&amp;[PL-2011-088685]"/>
            <x15:cachedUniqueName index="763" name="[dane].[Nr zamówienia].&amp;[PL-2011-088686]"/>
            <x15:cachedUniqueName index="764" name="[dane].[Nr zamówienia].&amp;[PL-2011-088692]"/>
            <x15:cachedUniqueName index="765" name="[dane].[Nr zamówienia].&amp;[PL-2011-088701]"/>
            <x15:cachedUniqueName index="766" name="[dane].[Nr zamówienia].&amp;[PL-2011-088702]"/>
            <x15:cachedUniqueName index="767" name="[dane].[Nr zamówienia].&amp;[PL-2011-088713]"/>
            <x15:cachedUniqueName index="768" name="[dane].[Nr zamówienia].&amp;[PL-2011-088714]"/>
            <x15:cachedUniqueName index="769" name="[dane].[Nr zamówienia].&amp;[PL-2011-088721]"/>
            <x15:cachedUniqueName index="770" name="[dane].[Nr zamówienia].&amp;[PL-2011-088722]"/>
            <x15:cachedUniqueName index="771" name="[dane].[Nr zamówienia].&amp;[PL-2011-088726]"/>
            <x15:cachedUniqueName index="772" name="[dane].[Nr zamówienia].&amp;[PL-2011-088727]"/>
            <x15:cachedUniqueName index="773" name="[dane].[Nr zamówienia].&amp;[PL-2011-088728]"/>
            <x15:cachedUniqueName index="774" name="[dane].[Nr zamówienia].&amp;[PL-2011-088729]"/>
            <x15:cachedUniqueName index="775" name="[dane].[Nr zamówienia].&amp;[PL-2011-088730]"/>
            <x15:cachedUniqueName index="776" name="[dane].[Nr zamówienia].&amp;[PL-2011-088731]"/>
            <x15:cachedUniqueName index="777" name="[dane].[Nr zamówienia].&amp;[PL-2011-088745]"/>
            <x15:cachedUniqueName index="778" name="[dane].[Nr zamówienia].&amp;[PL-2011-088746]"/>
            <x15:cachedUniqueName index="779" name="[dane].[Nr zamówienia].&amp;[PL-2011-088753]"/>
            <x15:cachedUniqueName index="780" name="[dane].[Nr zamówienia].&amp;[PL-2011-088758]"/>
            <x15:cachedUniqueName index="781" name="[dane].[Nr zamówienia].&amp;[PL-2011-088766]"/>
            <x15:cachedUniqueName index="782" name="[dane].[Nr zamówienia].&amp;[PL-2011-088781]"/>
            <x15:cachedUniqueName index="783" name="[dane].[Nr zamówienia].&amp;[PL-2011-088782]"/>
            <x15:cachedUniqueName index="784" name="[dane].[Nr zamówienia].&amp;[PL-2011-088783]"/>
            <x15:cachedUniqueName index="785" name="[dane].[Nr zamówienia].&amp;[PL-2011-088784]"/>
            <x15:cachedUniqueName index="786" name="[dane].[Nr zamówienia].&amp;[PL-2011-088794]"/>
            <x15:cachedUniqueName index="787" name="[dane].[Nr zamówienia].&amp;[PL-2011-088798]"/>
            <x15:cachedUniqueName index="788" name="[dane].[Nr zamówienia].&amp;[PL-2011-088814]"/>
            <x15:cachedUniqueName index="789" name="[dane].[Nr zamówienia].&amp;[PL-2011-088815]"/>
            <x15:cachedUniqueName index="790" name="[dane].[Nr zamówienia].&amp;[PL-2011-088819]"/>
            <x15:cachedUniqueName index="791" name="[dane].[Nr zamówienia].&amp;[PL-2011-088824]"/>
            <x15:cachedUniqueName index="792" name="[dane].[Nr zamówienia].&amp;[PL-2011-088825]"/>
            <x15:cachedUniqueName index="793" name="[dane].[Nr zamówienia].&amp;[PL-2011-088826]"/>
            <x15:cachedUniqueName index="794" name="[dane].[Nr zamówienia].&amp;[PL-2011-088836]"/>
            <x15:cachedUniqueName index="795" name="[dane].[Nr zamówienia].&amp;[PL-2011-088837]"/>
            <x15:cachedUniqueName index="796" name="[dane].[Nr zamówienia].&amp;[PL-2011-088838]"/>
            <x15:cachedUniqueName index="797" name="[dane].[Nr zamówienia].&amp;[PL-2011-088839]"/>
            <x15:cachedUniqueName index="798" name="[dane].[Nr zamówienia].&amp;[PL-2011-088840]"/>
            <x15:cachedUniqueName index="799" name="[dane].[Nr zamówienia].&amp;[PL-2011-088852]"/>
            <x15:cachedUniqueName index="800" name="[dane].[Nr zamówienia].&amp;[PL-2011-088857]"/>
            <x15:cachedUniqueName index="801" name="[dane].[Nr zamówienia].&amp;[PL-2011-088870]"/>
            <x15:cachedUniqueName index="802" name="[dane].[Nr zamówienia].&amp;[PL-2011-088871]"/>
            <x15:cachedUniqueName index="803" name="[dane].[Nr zamówienia].&amp;[PL-2011-088879]"/>
            <x15:cachedUniqueName index="804" name="[dane].[Nr zamówienia].&amp;[PL-2011-088880]"/>
            <x15:cachedUniqueName index="805" name="[dane].[Nr zamówienia].&amp;[PL-2011-088881]"/>
            <x15:cachedUniqueName index="806" name="[dane].[Nr zamówienia].&amp;[PL-2011-088882]"/>
            <x15:cachedUniqueName index="807" name="[dane].[Nr zamówienia].&amp;[PL-2011-088889]"/>
            <x15:cachedUniqueName index="808" name="[dane].[Nr zamówienia].&amp;[PL-2011-088890]"/>
            <x15:cachedUniqueName index="809" name="[dane].[Nr zamówienia].&amp;[PL-2011-088899]"/>
            <x15:cachedUniqueName index="810" name="[dane].[Nr zamówienia].&amp;[PL-2011-088905]"/>
            <x15:cachedUniqueName index="811" name="[dane].[Nr zamówienia].&amp;[PL-2011-088906]"/>
            <x15:cachedUniqueName index="812" name="[dane].[Nr zamówienia].&amp;[PL-2011-088907]"/>
            <x15:cachedUniqueName index="813" name="[dane].[Nr zamówienia].&amp;[PL-2011-088908]"/>
            <x15:cachedUniqueName index="814" name="[dane].[Nr zamówienia].&amp;[PL-2011-088921]"/>
            <x15:cachedUniqueName index="815" name="[dane].[Nr zamówienia].&amp;[PL-2011-088928]"/>
            <x15:cachedUniqueName index="816" name="[dane].[Nr zamówienia].&amp;[PL-2011-088929]"/>
            <x15:cachedUniqueName index="817" name="[dane].[Nr zamówienia].&amp;[PL-2011-088940]"/>
            <x15:cachedUniqueName index="818" name="[dane].[Nr zamówienia].&amp;[PL-2011-088941]"/>
            <x15:cachedUniqueName index="819" name="[dane].[Nr zamówienia].&amp;[PL-2011-088942]"/>
            <x15:cachedUniqueName index="820" name="[dane].[Nr zamówienia].&amp;[PL-2011-088958]"/>
            <x15:cachedUniqueName index="821" name="[dane].[Nr zamówienia].&amp;[PL-2011-088959]"/>
            <x15:cachedUniqueName index="822" name="[dane].[Nr zamówienia].&amp;[PL-2011-088971]"/>
            <x15:cachedUniqueName index="823" name="[dane].[Nr zamówienia].&amp;[PL-2011-088972]"/>
            <x15:cachedUniqueName index="824" name="[dane].[Nr zamówienia].&amp;[PL-2011-088974]"/>
            <x15:cachedUniqueName index="825" name="[dane].[Nr zamówienia].&amp;[PL-2011-088975]"/>
            <x15:cachedUniqueName index="826" name="[dane].[Nr zamówienia].&amp;[PL-2011-088998]"/>
            <x15:cachedUniqueName index="827" name="[dane].[Nr zamówienia].&amp;[PL-2011-089004]"/>
            <x15:cachedUniqueName index="828" name="[dane].[Nr zamówienia].&amp;[PL-2011-089005]"/>
            <x15:cachedUniqueName index="829" name="[dane].[Nr zamówienia].&amp;[PL-2011-089006]"/>
            <x15:cachedUniqueName index="830" name="[dane].[Nr zamówienia].&amp;[PL-2011-089007]"/>
            <x15:cachedUniqueName index="831" name="[dane].[Nr zamówienia].&amp;[PL-2011-089008]"/>
            <x15:cachedUniqueName index="832" name="[dane].[Nr zamówienia].&amp;[PL-2011-089017]"/>
            <x15:cachedUniqueName index="833" name="[dane].[Nr zamówienia].&amp;[PL-2011-089018]"/>
            <x15:cachedUniqueName index="834" name="[dane].[Nr zamówienia].&amp;[PL-2011-089019]"/>
            <x15:cachedUniqueName index="835" name="[dane].[Nr zamówienia].&amp;[PL-2011-089025]"/>
            <x15:cachedUniqueName index="836" name="[dane].[Nr zamówienia].&amp;[PL-2011-089039]"/>
            <x15:cachedUniqueName index="837" name="[dane].[Nr zamówienia].&amp;[PL-2011-089040]"/>
            <x15:cachedUniqueName index="838" name="[dane].[Nr zamówienia].&amp;[PL-2011-089041]"/>
            <x15:cachedUniqueName index="839" name="[dane].[Nr zamówienia].&amp;[PL-2011-089047]"/>
            <x15:cachedUniqueName index="840" name="[dane].[Nr zamówienia].&amp;[PL-2011-089053]"/>
            <x15:cachedUniqueName index="841" name="[dane].[Nr zamówienia].&amp;[PL-2011-089054]"/>
            <x15:cachedUniqueName index="842" name="[dane].[Nr zamówienia].&amp;[PL-2011-089055]"/>
            <x15:cachedUniqueName index="843" name="[dane].[Nr zamówienia].&amp;[PL-2011-089059]"/>
            <x15:cachedUniqueName index="844" name="[dane].[Nr zamówienia].&amp;[PL-2011-089071]"/>
            <x15:cachedUniqueName index="845" name="[dane].[Nr zamówienia].&amp;[PL-2011-089076]"/>
            <x15:cachedUniqueName index="846" name="[dane].[Nr zamówienia].&amp;[PL-2011-089077]"/>
            <x15:cachedUniqueName index="847" name="[dane].[Nr zamówienia].&amp;[PL-2011-089083]"/>
            <x15:cachedUniqueName index="848" name="[dane].[Nr zamówienia].&amp;[PL-2011-089084]"/>
            <x15:cachedUniqueName index="849" name="[dane].[Nr zamówienia].&amp;[PL-2011-089092]"/>
            <x15:cachedUniqueName index="850" name="[dane].[Nr zamówienia].&amp;[PL-2011-089093]"/>
            <x15:cachedUniqueName index="851" name="[dane].[Nr zamówienia].&amp;[PL-2011-089095]"/>
            <x15:cachedUniqueName index="852" name="[dane].[Nr zamówienia].&amp;[PL-2011-089096]"/>
            <x15:cachedUniqueName index="853" name="[dane].[Nr zamówienia].&amp;[PL-2011-089097]"/>
            <x15:cachedUniqueName index="854" name="[dane].[Nr zamówienia].&amp;[PL-2011-089102]"/>
            <x15:cachedUniqueName index="855" name="[dane].[Nr zamówienia].&amp;[PL-2011-089106]"/>
            <x15:cachedUniqueName index="856" name="[dane].[Nr zamówienia].&amp;[PL-2011-089112]"/>
            <x15:cachedUniqueName index="857" name="[dane].[Nr zamówienia].&amp;[PL-2011-089128]"/>
            <x15:cachedUniqueName index="858" name="[dane].[Nr zamówienia].&amp;[PL-2011-089129]"/>
            <x15:cachedUniqueName index="859" name="[dane].[Nr zamówienia].&amp;[PL-2011-089130]"/>
            <x15:cachedUniqueName index="860" name="[dane].[Nr zamówienia].&amp;[PL-2011-089139]"/>
            <x15:cachedUniqueName index="861" name="[dane].[Nr zamówienia].&amp;[PL-2011-089140]"/>
            <x15:cachedUniqueName index="862" name="[dane].[Nr zamówienia].&amp;[PL-2011-089146]"/>
            <x15:cachedUniqueName index="863" name="[dane].[Nr zamówienia].&amp;[PL-2011-089147]"/>
            <x15:cachedUniqueName index="864" name="[dane].[Nr zamówienia].&amp;[PL-2011-089148]"/>
            <x15:cachedUniqueName index="865" name="[dane].[Nr zamówienia].&amp;[PL-2011-089166]"/>
            <x15:cachedUniqueName index="866" name="[dane].[Nr zamówienia].&amp;[PL-2011-089174]"/>
            <x15:cachedUniqueName index="867" name="[dane].[Nr zamówienia].&amp;[PL-2011-089175]"/>
            <x15:cachedUniqueName index="868" name="[dane].[Nr zamówienia].&amp;[PL-2011-089176]"/>
            <x15:cachedUniqueName index="869" name="[dane].[Nr zamówienia].&amp;[PL-2011-089184]"/>
            <x15:cachedUniqueName index="870" name="[dane].[Nr zamówienia].&amp;[PL-2011-089193]"/>
            <x15:cachedUniqueName index="871" name="[dane].[Nr zamówienia].&amp;[PL-2011-089194]"/>
            <x15:cachedUniqueName index="872" name="[dane].[Nr zamówienia].&amp;[PL-2011-089199]"/>
            <x15:cachedUniqueName index="873" name="[dane].[Nr zamówienia].&amp;[PL-2011-089200]"/>
            <x15:cachedUniqueName index="874" name="[dane].[Nr zamówienia].&amp;[PL-2011-089201]"/>
            <x15:cachedUniqueName index="875" name="[dane].[Nr zamówienia].&amp;[PL-2011-089202]"/>
            <x15:cachedUniqueName index="876" name="[dane].[Nr zamówienia].&amp;[PL-2011-089203]"/>
            <x15:cachedUniqueName index="877" name="[dane].[Nr zamówienia].&amp;[PL-2011-089209]"/>
            <x15:cachedUniqueName index="878" name="[dane].[Nr zamówienia].&amp;[PL-2011-089211]"/>
            <x15:cachedUniqueName index="879" name="[dane].[Nr zamówienia].&amp;[PL-2011-089218]"/>
            <x15:cachedUniqueName index="880" name="[dane].[Nr zamówienia].&amp;[PL-2011-089219]"/>
            <x15:cachedUniqueName index="881" name="[dane].[Nr zamówienia].&amp;[PL-2011-089240]"/>
            <x15:cachedUniqueName index="882" name="[dane].[Nr zamówienia].&amp;[PL-2011-089251]"/>
            <x15:cachedUniqueName index="883" name="[dane].[Nr zamówienia].&amp;[PL-2011-089257]"/>
            <x15:cachedUniqueName index="884" name="[dane].[Nr zamówienia].&amp;[PL-2011-089258]"/>
            <x15:cachedUniqueName index="885" name="[dane].[Nr zamówienia].&amp;[PL-2011-089259]"/>
            <x15:cachedUniqueName index="886" name="[dane].[Nr zamówienia].&amp;[PL-2011-089278]"/>
            <x15:cachedUniqueName index="887" name="[dane].[Nr zamówienia].&amp;[PL-2011-089279]"/>
            <x15:cachedUniqueName index="888" name="[dane].[Nr zamówienia].&amp;[PL-2011-089284]"/>
            <x15:cachedUniqueName index="889" name="[dane].[Nr zamówienia].&amp;[PL-2011-089291]"/>
            <x15:cachedUniqueName index="890" name="[dane].[Nr zamówienia].&amp;[PL-2011-089292]"/>
            <x15:cachedUniqueName index="891" name="[dane].[Nr zamówienia].&amp;[PL-2011-089293]"/>
            <x15:cachedUniqueName index="892" name="[dane].[Nr zamówienia].&amp;[PL-2011-089299]"/>
            <x15:cachedUniqueName index="893" name="[dane].[Nr zamówienia].&amp;[PL-2011-089300]"/>
            <x15:cachedUniqueName index="894" name="[dane].[Nr zamówienia].&amp;[PL-2011-089301]"/>
            <x15:cachedUniqueName index="895" name="[dane].[Nr zamówienia].&amp;[PL-2011-089314]"/>
            <x15:cachedUniqueName index="896" name="[dane].[Nr zamówienia].&amp;[PL-2011-089315]"/>
            <x15:cachedUniqueName index="897" name="[dane].[Nr zamówienia].&amp;[PL-2011-089316]"/>
            <x15:cachedUniqueName index="898" name="[dane].[Nr zamówienia].&amp;[PL-2011-089319]"/>
            <x15:cachedUniqueName index="899" name="[dane].[Nr zamówienia].&amp;[PL-2011-089320]"/>
            <x15:cachedUniqueName index="900" name="[dane].[Nr zamówienia].&amp;[PL-2011-089327]"/>
            <x15:cachedUniqueName index="901" name="[dane].[Nr zamówienia].&amp;[PL-2011-089333]"/>
            <x15:cachedUniqueName index="902" name="[dane].[Nr zamówienia].&amp;[PL-2011-089334]"/>
            <x15:cachedUniqueName index="903" name="[dane].[Nr zamówienia].&amp;[PL-2011-089344]"/>
            <x15:cachedUniqueName index="904" name="[dane].[Nr zamówienia].&amp;[PL-2011-089355]"/>
            <x15:cachedUniqueName index="905" name="[dane].[Nr zamówienia].&amp;[PL-2011-089356]"/>
            <x15:cachedUniqueName index="906" name="[dane].[Nr zamówienia].&amp;[PL-2011-089360]"/>
            <x15:cachedUniqueName index="907" name="[dane].[Nr zamówienia].&amp;[PL-2011-089361]"/>
            <x15:cachedUniqueName index="908" name="[dane].[Nr zamówienia].&amp;[PL-2011-089375]"/>
            <x15:cachedUniqueName index="909" name="[dane].[Nr zamówienia].&amp;[PL-2011-089376]"/>
            <x15:cachedUniqueName index="910" name="[dane].[Nr zamówienia].&amp;[PL-2011-089389]"/>
            <x15:cachedUniqueName index="911" name="[dane].[Nr zamówienia].&amp;[PL-2011-089394]"/>
            <x15:cachedUniqueName index="912" name="[dane].[Nr zamówienia].&amp;[PL-2011-089401]"/>
            <x15:cachedUniqueName index="913" name="[dane].[Nr zamówienia].&amp;[PL-2011-089402]"/>
            <x15:cachedUniqueName index="914" name="[dane].[Nr zamówienia].&amp;[PL-2011-089406]"/>
            <x15:cachedUniqueName index="915" name="[dane].[Nr zamówienia].&amp;[PL-2011-089407]"/>
            <x15:cachedUniqueName index="916" name="[dane].[Nr zamówienia].&amp;[PL-2011-089408]"/>
            <x15:cachedUniqueName index="917" name="[dane].[Nr zamówienia].&amp;[PL-2011-089414]"/>
            <x15:cachedUniqueName index="918" name="[dane].[Nr zamówienia].&amp;[PL-2011-089415]"/>
            <x15:cachedUniqueName index="919" name="[dane].[Nr zamówienia].&amp;[PL-2011-089426]"/>
            <x15:cachedUniqueName index="920" name="[dane].[Nr zamówienia].&amp;[PL-2011-089431]"/>
            <x15:cachedUniqueName index="921" name="[dane].[Nr zamówienia].&amp;[PL-2011-089432]"/>
            <x15:cachedUniqueName index="922" name="[dane].[Nr zamówienia].&amp;[PL-2011-089433]"/>
            <x15:cachedUniqueName index="923" name="[dane].[Nr zamówienia].&amp;[PL-2011-089434]"/>
            <x15:cachedUniqueName index="924" name="[dane].[Nr zamówienia].&amp;[PL-2011-089440]"/>
            <x15:cachedUniqueName index="925" name="[dane].[Nr zamówienia].&amp;[PL-2011-089448]"/>
            <x15:cachedUniqueName index="926" name="[dane].[Nr zamówienia].&amp;[PL-2011-089449]"/>
            <x15:cachedUniqueName index="927" name="[dane].[Nr zamówienia].&amp;[PL-2011-089450]"/>
            <x15:cachedUniqueName index="928" name="[dane].[Nr zamówienia].&amp;[PL-2011-089456]"/>
            <x15:cachedUniqueName index="929" name="[dane].[Nr zamówienia].&amp;[PL-2011-089465]"/>
            <x15:cachedUniqueName index="930" name="[dane].[Nr zamówienia].&amp;[PL-2011-089481]"/>
            <x15:cachedUniqueName index="931" name="[dane].[Nr zamówienia].&amp;[PL-2011-089497]"/>
            <x15:cachedUniqueName index="932" name="[dane].[Nr zamówienia].&amp;[PL-2011-089503]"/>
            <x15:cachedUniqueName index="933" name="[dane].[Nr zamówienia].&amp;[PL-2011-089504]"/>
            <x15:cachedUniqueName index="934" name="[dane].[Nr zamówienia].&amp;[PL-2011-089505]"/>
            <x15:cachedUniqueName index="935" name="[dane].[Nr zamówienia].&amp;[PL-2011-089514]"/>
            <x15:cachedUniqueName index="936" name="[dane].[Nr zamówienia].&amp;[PL-2011-089515]"/>
            <x15:cachedUniqueName index="937" name="[dane].[Nr zamówienia].&amp;[PL-2011-089520]"/>
            <x15:cachedUniqueName index="938" name="[dane].[Nr zamówienia].&amp;[PL-2011-089521]"/>
            <x15:cachedUniqueName index="939" name="[dane].[Nr zamówienia].&amp;[PL-2011-089522]"/>
            <x15:cachedUniqueName index="940" name="[dane].[Nr zamówienia].&amp;[PL-2011-089523]"/>
            <x15:cachedUniqueName index="941" name="[dane].[Nr zamówienia].&amp;[PL-2011-089524]"/>
            <x15:cachedUniqueName index="942" name="[dane].[Nr zamówienia].&amp;[PL-2011-089525]"/>
            <x15:cachedUniqueName index="943" name="[dane].[Nr zamówienia].&amp;[PL-2011-089536]"/>
            <x15:cachedUniqueName index="944" name="[dane].[Nr zamówienia].&amp;[PL-2011-089537]"/>
            <x15:cachedUniqueName index="945" name="[dane].[Nr zamówienia].&amp;[PL-2011-089564]"/>
            <x15:cachedUniqueName index="946" name="[dane].[Nr zamówienia].&amp;[PL-2011-089571]"/>
            <x15:cachedUniqueName index="947" name="[dane].[Nr zamówienia].&amp;[PL-2011-089572]"/>
            <x15:cachedUniqueName index="948" name="[dane].[Nr zamówienia].&amp;[PL-2011-089579]"/>
            <x15:cachedUniqueName index="949" name="[dane].[Nr zamówienia].&amp;[PL-2011-089583]"/>
            <x15:cachedUniqueName index="950" name="[dane].[Nr zamówienia].&amp;[PL-2011-089584]"/>
            <x15:cachedUniqueName index="951" name="[dane].[Nr zamówienia].&amp;[PL-2011-089585]"/>
            <x15:cachedUniqueName index="952" name="[dane].[Nr zamówienia].&amp;[PL-2011-089595]"/>
            <x15:cachedUniqueName index="953" name="[dane].[Nr zamówienia].&amp;[PL-2011-089596]"/>
            <x15:cachedUniqueName index="954" name="[dane].[Nr zamówienia].&amp;[PL-2011-089601]"/>
            <x15:cachedUniqueName index="955" name="[dane].[Nr zamówienia].&amp;[PL-2011-089602]"/>
            <x15:cachedUniqueName index="956" name="[dane].[Nr zamówienia].&amp;[PL-2011-089608]"/>
            <x15:cachedUniqueName index="957" name="[dane].[Nr zamówienia].&amp;[PL-2011-089609]"/>
            <x15:cachedUniqueName index="958" name="[dane].[Nr zamówienia].&amp;[PL-2011-089610]"/>
            <x15:cachedUniqueName index="959" name="[dane].[Nr zamówienia].&amp;[PL-2011-089611]"/>
            <x15:cachedUniqueName index="960" name="[dane].[Nr zamówienia].&amp;[PL-2011-089631]"/>
            <x15:cachedUniqueName index="961" name="[dane].[Nr zamówienia].&amp;[PL-2011-089639]"/>
            <x15:cachedUniqueName index="962" name="[dane].[Nr zamówienia].&amp;[PL-2011-089647]"/>
            <x15:cachedUniqueName index="963" name="[dane].[Nr zamówienia].&amp;[PL-2011-089657]"/>
            <x15:cachedUniqueName index="964" name="[dane].[Nr zamówienia].&amp;[PL-2011-089658]"/>
            <x15:cachedUniqueName index="965" name="[dane].[Nr zamówienia].&amp;[PL-2011-089664]"/>
            <x15:cachedUniqueName index="966" name="[dane].[Nr zamówienia].&amp;[PL-2011-089665]"/>
            <x15:cachedUniqueName index="967" name="[dane].[Nr zamówienia].&amp;[PL-2011-089666]"/>
            <x15:cachedUniqueName index="968" name="[dane].[Nr zamówienia].&amp;[PL-2011-089679]"/>
            <x15:cachedUniqueName index="969" name="[dane].[Nr zamówienia].&amp;[PL-2011-089680]"/>
            <x15:cachedUniqueName index="970" name="[dane].[Nr zamówienia].&amp;[PL-2011-089686]"/>
            <x15:cachedUniqueName index="971" name="[dane].[Nr zamówienia].&amp;[PL-2011-089697]"/>
            <x15:cachedUniqueName index="972" name="[dane].[Nr zamówienia].&amp;[PL-2011-089704]"/>
            <x15:cachedUniqueName index="973" name="[dane].[Nr zamówienia].&amp;[PL-2011-089705]"/>
            <x15:cachedUniqueName index="974" name="[dane].[Nr zamówienia].&amp;[PL-2011-089706]"/>
            <x15:cachedUniqueName index="975" name="[dane].[Nr zamówienia].&amp;[PL-2011-089716]"/>
            <x15:cachedUniqueName index="976" name="[dane].[Nr zamówienia].&amp;[PL-2011-089726]"/>
            <x15:cachedUniqueName index="977" name="[dane].[Nr zamówienia].&amp;[PL-2011-089729]"/>
            <x15:cachedUniqueName index="978" name="[dane].[Nr zamówienia].&amp;[PL-2011-089730]"/>
            <x15:cachedUniqueName index="979" name="[dane].[Nr zamówienia].&amp;[PL-2011-089743]"/>
            <x15:cachedUniqueName index="980" name="[dane].[Nr zamówienia].&amp;[PL-2011-089761]"/>
            <x15:cachedUniqueName index="981" name="[dane].[Nr zamówienia].&amp;[PL-2011-089762]"/>
            <x15:cachedUniqueName index="982" name="[dane].[Nr zamówienia].&amp;[PL-2011-089770]"/>
            <x15:cachedUniqueName index="983" name="[dane].[Nr zamówienia].&amp;[PL-2011-089775]"/>
            <x15:cachedUniqueName index="984" name="[dane].[Nr zamówienia].&amp;[PL-2011-089776]"/>
            <x15:cachedUniqueName index="985" name="[dane].[Nr zamówienia].&amp;[PL-2011-089777]"/>
            <x15:cachedUniqueName index="986" name="[dane].[Nr zamówienia].&amp;[PL-2011-089787]"/>
            <x15:cachedUniqueName index="987" name="[dane].[Nr zamówienia].&amp;[PL-2011-089789]"/>
            <x15:cachedUniqueName index="988" name="[dane].[Nr zamówienia].&amp;[PL-2011-089801]"/>
            <x15:cachedUniqueName index="989" name="[dane].[Nr zamówienia].&amp;[PL-2011-089805]"/>
            <x15:cachedUniqueName index="990" name="[dane].[Nr zamówienia].&amp;[PL-2011-089810]"/>
            <x15:cachedUniqueName index="991" name="[dane].[Nr zamówienia].&amp;[PL-2011-089818]"/>
            <x15:cachedUniqueName index="992" name="[dane].[Nr zamówienia].&amp;[PL-2011-089819]"/>
            <x15:cachedUniqueName index="993" name="[dane].[Nr zamówienia].&amp;[PL-2011-089820]"/>
            <x15:cachedUniqueName index="994" name="[dane].[Nr zamówienia].&amp;[PL-2011-089835]"/>
            <x15:cachedUniqueName index="995" name="[dane].[Nr zamówienia].&amp;[PL-2011-089836]"/>
            <x15:cachedUniqueName index="996" name="[dane].[Nr zamówienia].&amp;[PL-2011-089847]"/>
            <x15:cachedUniqueName index="997" name="[dane].[Nr zamówienia].&amp;[PL-2011-089848]"/>
            <x15:cachedUniqueName index="998" name="[dane].[Nr zamówienia].&amp;[PL-2011-089849]"/>
            <x15:cachedUniqueName index="999" name="[dane].[Nr zamówienia].&amp;[PL-2011-089856]"/>
            <x15:cachedUniqueName index="1000" name="[dane].[Nr zamówienia].&amp;[PL-2011-089857]"/>
            <x15:cachedUniqueName index="1001" name="[dane].[Nr zamówienia].&amp;[PL-2011-089858]"/>
            <x15:cachedUniqueName index="1002" name="[dane].[Nr zamówienia].&amp;[PL-2011-089869]"/>
            <x15:cachedUniqueName index="1003" name="[dane].[Nr zamówienia].&amp;[PL-2011-089872]"/>
            <x15:cachedUniqueName index="1004" name="[dane].[Nr zamówienia].&amp;[PL-2011-089873]"/>
            <x15:cachedUniqueName index="1005" name="[dane].[Nr zamówienia].&amp;[PL-2011-089874]"/>
            <x15:cachedUniqueName index="1006" name="[dane].[Nr zamówienia].&amp;[PL-2011-089879]"/>
            <x15:cachedUniqueName index="1007" name="[dane].[Nr zamówienia].&amp;[PL-2011-089880]"/>
            <x15:cachedUniqueName index="1008" name="[dane].[Nr zamówienia].&amp;[PL-2011-089885]"/>
            <x15:cachedUniqueName index="1009" name="[dane].[Nr zamówienia].&amp;[PL-2011-089897]"/>
            <x15:cachedUniqueName index="1010" name="[dane].[Nr zamówienia].&amp;[PL-2011-089909]"/>
            <x15:cachedUniqueName index="1011" name="[dane].[Nr zamówienia].&amp;[PL-2011-089910]"/>
            <x15:cachedUniqueName index="1012" name="[dane].[Nr zamówienia].&amp;[PL-2011-089915]"/>
            <x15:cachedUniqueName index="1013" name="[dane].[Nr zamówienia].&amp;[PL-2011-089928]"/>
            <x15:cachedUniqueName index="1014" name="[dane].[Nr zamówienia].&amp;[PL-2011-089939]"/>
            <x15:cachedUniqueName index="1015" name="[dane].[Nr zamówienia].&amp;[PL-2011-089940]"/>
            <x15:cachedUniqueName index="1016" name="[dane].[Nr zamówienia].&amp;[PL-2011-089941]"/>
            <x15:cachedUniqueName index="1017" name="[dane].[Nr zamówienia].&amp;[PL-2011-089942]"/>
            <x15:cachedUniqueName index="1018" name="[dane].[Nr zamówienia].&amp;[PL-2011-089943]"/>
            <x15:cachedUniqueName index="1019" name="[dane].[Nr zamówienia].&amp;[PL-2011-089944]"/>
            <x15:cachedUniqueName index="1020" name="[dane].[Nr zamówienia].&amp;[PL-2011-089957]"/>
            <x15:cachedUniqueName index="1021" name="[dane].[Nr zamówienia].&amp;[PL-2011-089961]"/>
            <x15:cachedUniqueName index="1022" name="[dane].[Nr zamówienia].&amp;[PL-2011-089970]"/>
            <x15:cachedUniqueName index="1023" name="[dane].[Nr zamówienia].&amp;[PL-2011-089981]"/>
            <x15:cachedUniqueName index="1024" name="[dane].[Nr zamówienia].&amp;[PL-2011-089982]"/>
            <x15:cachedUniqueName index="1025" name="[dane].[Nr zamówienia].&amp;[PL-2011-089983]"/>
            <x15:cachedUniqueName index="1026" name="[dane].[Nr zamówienia].&amp;[PL-2011-089984]"/>
            <x15:cachedUniqueName index="1027" name="[dane].[Nr zamówienia].&amp;[PL-2011-089988]"/>
            <x15:cachedUniqueName index="1028" name="[dane].[Nr zamówienia].&amp;[PL-2011-089993]"/>
            <x15:cachedUniqueName index="1029" name="[dane].[Nr zamówienia].&amp;[PL-2011-089994]"/>
            <x15:cachedUniqueName index="1030" name="[dane].[Nr zamówienia].&amp;[PL-2011-089999]"/>
            <x15:cachedUniqueName index="1031" name="[dane].[Nr zamówienia].&amp;[PL-2011-090000]"/>
            <x15:cachedUniqueName index="1032" name="[dane].[Nr zamówienia].&amp;[PL-2011-090001]"/>
            <x15:cachedUniqueName index="1033" name="[dane].[Nr zamówienia].&amp;[PL-2011-090002]"/>
            <x15:cachedUniqueName index="1034" name="[dane].[Nr zamówienia].&amp;[PL-2011-090003]"/>
            <x15:cachedUniqueName index="1035" name="[dane].[Nr zamówienia].&amp;[PL-2011-090011]"/>
            <x15:cachedUniqueName index="1036" name="[dane].[Nr zamówienia].&amp;[PL-2011-090026]"/>
            <x15:cachedUniqueName index="1037" name="[dane].[Nr zamówienia].&amp;[PL-2011-090027]"/>
            <x15:cachedUniqueName index="1038" name="[dane].[Nr zamówienia].&amp;[PL-2011-090031]"/>
            <x15:cachedUniqueName index="1039" name="[dane].[Nr zamówienia].&amp;[PL-2011-090032]"/>
            <x15:cachedUniqueName index="1040" name="[dane].[Nr zamówienia].&amp;[PL-2011-090040]"/>
            <x15:cachedUniqueName index="1041" name="[dane].[Nr zamówienia].&amp;[PL-2011-090043]"/>
            <x15:cachedUniqueName index="1042" name="[dane].[Nr zamówienia].&amp;[PL-2011-090044]"/>
            <x15:cachedUniqueName index="1043" name="[dane].[Nr zamówienia].&amp;[PL-2011-090048]"/>
            <x15:cachedUniqueName index="1044" name="[dane].[Nr zamówienia].&amp;[PL-2011-090058]"/>
            <x15:cachedUniqueName index="1045" name="[dane].[Nr zamówienia].&amp;[PL-2011-090059]"/>
            <x15:cachedUniqueName index="1046" name="[dane].[Nr zamówienia].&amp;[PL-2011-090069]"/>
            <x15:cachedUniqueName index="1047" name="[dane].[Nr zamówienia].&amp;[PL-2011-090078]"/>
            <x15:cachedUniqueName index="1048" name="[dane].[Nr zamówienia].&amp;[PL-2011-090079]"/>
            <x15:cachedUniqueName index="1049" name="[dane].[Nr zamówienia].&amp;[PL-2011-090099]"/>
            <x15:cachedUniqueName index="1050" name="[dane].[Nr zamówienia].&amp;[PL-2011-090103]"/>
            <x15:cachedUniqueName index="1051" name="[dane].[Nr zamówienia].&amp;[PL-2011-090104]"/>
            <x15:cachedUniqueName index="1052" name="[dane].[Nr zamówienia].&amp;[PL-2011-090109]"/>
            <x15:cachedUniqueName index="1053" name="[dane].[Nr zamówienia].&amp;[PL-2011-090110]"/>
            <x15:cachedUniqueName index="1054" name="[dane].[Nr zamówienia].&amp;[PL-2011-090114]"/>
            <x15:cachedUniqueName index="1055" name="[dane].[Nr zamówienia].&amp;[PL-2011-090115]"/>
            <x15:cachedUniqueName index="1056" name="[dane].[Nr zamówienia].&amp;[PL-2011-090120]"/>
            <x15:cachedUniqueName index="1057" name="[dane].[Nr zamówienia].&amp;[PL-2011-090121]"/>
            <x15:cachedUniqueName index="1058" name="[dane].[Nr zamówienia].&amp;[PL-2011-090145]"/>
            <x15:cachedUniqueName index="1059" name="[dane].[Nr zamówienia].&amp;[PL-2011-090146]"/>
            <x15:cachedUniqueName index="1060" name="[dane].[Nr zamówienia].&amp;[PL-2011-090147]"/>
            <x15:cachedUniqueName index="1061" name="[dane].[Nr zamówienia].&amp;[PL-2011-090148]"/>
            <x15:cachedUniqueName index="1062" name="[dane].[Nr zamówienia].&amp;[PL-2011-090154]"/>
            <x15:cachedUniqueName index="1063" name="[dane].[Nr zamówienia].&amp;[PL-2011-090160]"/>
            <x15:cachedUniqueName index="1064" name="[dane].[Nr zamówienia].&amp;[PL-2011-090166]"/>
            <x15:cachedUniqueName index="1065" name="[dane].[Nr zamówienia].&amp;[PL-2011-090167]"/>
            <x15:cachedUniqueName index="1066" name="[dane].[Nr zamówienia].&amp;[PL-2011-090178]"/>
            <x15:cachedUniqueName index="1067" name="[dane].[Nr zamówienia].&amp;[PL-2011-090185]"/>
            <x15:cachedUniqueName index="1068" name="[dane].[Nr zamówienia].&amp;[PL-2011-090186]"/>
            <x15:cachedUniqueName index="1069" name="[dane].[Nr zamówienia].&amp;[PL-2011-090187]"/>
            <x15:cachedUniqueName index="1070" name="[dane].[Nr zamówienia].&amp;[PL-2011-090189]"/>
            <x15:cachedUniqueName index="1071" name="[dane].[Nr zamówienia].&amp;[PL-2011-090190]"/>
            <x15:cachedUniqueName index="1072" name="[dane].[Nr zamówienia].&amp;[PL-2011-090192]"/>
            <x15:cachedUniqueName index="1073" name="[dane].[Nr zamówienia].&amp;[PL-2011-090193]"/>
            <x15:cachedUniqueName index="1074" name="[dane].[Nr zamówienia].&amp;[PL-2011-090201]"/>
            <x15:cachedUniqueName index="1075" name="[dane].[Nr zamówienia].&amp;[PL-2011-090218]"/>
            <x15:cachedUniqueName index="1076" name="[dane].[Nr zamówienia].&amp;[PL-2011-090236]"/>
            <x15:cachedUniqueName index="1077" name="[dane].[Nr zamówienia].&amp;[PL-2011-090237]"/>
            <x15:cachedUniqueName index="1078" name="[dane].[Nr zamówienia].&amp;[PL-2011-090238]"/>
            <x15:cachedUniqueName index="1079" name="[dane].[Nr zamówienia].&amp;[PL-2011-090239]"/>
            <x15:cachedUniqueName index="1080" name="[dane].[Nr zamówienia].&amp;[PL-2011-090244]"/>
            <x15:cachedUniqueName index="1081" name="[dane].[Nr zamówienia].&amp;[PL-2011-090248]"/>
            <x15:cachedUniqueName index="1082" name="[dane].[Nr zamówienia].&amp;[PL-2011-090258]"/>
            <x15:cachedUniqueName index="1083" name="[dane].[Nr zamówienia].&amp;[PL-2011-090264]"/>
            <x15:cachedUniqueName index="1084" name="[dane].[Nr zamówienia].&amp;[PL-2011-090265]"/>
            <x15:cachedUniqueName index="1085" name="[dane].[Nr zamówienia].&amp;[PL-2011-090270]"/>
            <x15:cachedUniqueName index="1086" name="[dane].[Nr zamówienia].&amp;[PL-2011-090271]"/>
            <x15:cachedUniqueName index="1087" name="[dane].[Nr zamówienia].&amp;[PL-2011-090291]"/>
            <x15:cachedUniqueName index="1088" name="[dane].[Nr zamówienia].&amp;[PL-2011-090292]"/>
            <x15:cachedUniqueName index="1089" name="[dane].[Nr zamówienia].&amp;[PL-2011-090296]"/>
            <x15:cachedUniqueName index="1090" name="[dane].[Nr zamówienia].&amp;[PL-2011-090301]"/>
            <x15:cachedUniqueName index="1091" name="[dane].[Nr zamówienia].&amp;[PL-2011-090303]"/>
            <x15:cachedUniqueName index="1092" name="[dane].[Nr zamówienia].&amp;[PL-2011-090309]"/>
            <x15:cachedUniqueName index="1093" name="[dane].[Nr zamówienia].&amp;[PL-2011-090314]"/>
            <x15:cachedUniqueName index="1094" name="[dane].[Nr zamówienia].&amp;[PL-2011-090322]"/>
            <x15:cachedUniqueName index="1095" name="[dane].[Nr zamówienia].&amp;[PL-2011-090327]"/>
            <x15:cachedUniqueName index="1096" name="[dane].[Nr zamówienia].&amp;[PL-2011-090333]"/>
            <x15:cachedUniqueName index="1097" name="[dane].[Nr zamówienia].&amp;[PL-2011-090334]"/>
            <x15:cachedUniqueName index="1098" name="[dane].[Nr zamówienia].&amp;[PL-2011-090335]"/>
            <x15:cachedUniqueName index="1099" name="[dane].[Nr zamówienia].&amp;[PL-2011-090337]"/>
            <x15:cachedUniqueName index="1100" name="[dane].[Nr zamówienia].&amp;[PL-2011-090338]"/>
            <x15:cachedUniqueName index="1101" name="[dane].[Nr zamówienia].&amp;[PL-2011-090339]"/>
            <x15:cachedUniqueName index="1102" name="[dane].[Nr zamówienia].&amp;[PL-2011-090353]"/>
            <x15:cachedUniqueName index="1103" name="[dane].[Nr zamówienia].&amp;[PL-2011-090354]"/>
            <x15:cachedUniqueName index="1104" name="[dane].[Nr zamówienia].&amp;[PL-2011-090359]"/>
            <x15:cachedUniqueName index="1105" name="[dane].[Nr zamówienia].&amp;[PL-2011-090360]"/>
            <x15:cachedUniqueName index="1106" name="[dane].[Nr zamówienia].&amp;[PL-2011-090361]"/>
            <x15:cachedUniqueName index="1107" name="[dane].[Nr zamówienia].&amp;[PL-2011-090362]"/>
            <x15:cachedUniqueName index="1108" name="[dane].[Nr zamówienia].&amp;[PL-2011-090378]"/>
            <x15:cachedUniqueName index="1109" name="[dane].[Nr zamówienia].&amp;[PL-2011-090385]"/>
            <x15:cachedUniqueName index="1110" name="[dane].[Nr zamówienia].&amp;[PL-2011-090386]"/>
            <x15:cachedUniqueName index="1111" name="[dane].[Nr zamówienia].&amp;[PL-2011-090387]"/>
            <x15:cachedUniqueName index="1112" name="[dane].[Nr zamówienia].&amp;[PL-2011-090404]"/>
            <x15:cachedUniqueName index="1113" name="[dane].[Nr zamówienia].&amp;[PL-2011-090405]"/>
            <x15:cachedUniqueName index="1114" name="[dane].[Nr zamówienia].&amp;[PL-2011-090408]"/>
            <x15:cachedUniqueName index="1115" name="[dane].[Nr zamówienia].&amp;[PL-2011-090414]"/>
            <x15:cachedUniqueName index="1116" name="[dane].[Nr zamówienia].&amp;[PL-2011-090415]"/>
            <x15:cachedUniqueName index="1117" name="[dane].[Nr zamówienia].&amp;[PL-2011-090430]"/>
            <x15:cachedUniqueName index="1118" name="[dane].[Nr zamówienia].&amp;[PL-2011-090431]"/>
            <x15:cachedUniqueName index="1119" name="[dane].[Nr zamówienia].&amp;[PL-2011-090432]"/>
            <x15:cachedUniqueName index="1120" name="[dane].[Nr zamówienia].&amp;[PL-2011-090437]"/>
            <x15:cachedUniqueName index="1121" name="[dane].[Nr zamówienia].&amp;[PL-2011-090438]"/>
            <x15:cachedUniqueName index="1122" name="[dane].[Nr zamówienia].&amp;[PL-2011-090439]"/>
            <x15:cachedUniqueName index="1123" name="[dane].[Nr zamówienia].&amp;[PL-2011-090449]"/>
            <x15:cachedUniqueName index="1124" name="[dane].[Nr zamówienia].&amp;[PL-2011-090460]"/>
            <x15:cachedUniqueName index="1125" name="[dane].[Nr zamówienia].&amp;[PL-2011-090461]"/>
            <x15:cachedUniqueName index="1126" name="[dane].[Nr zamówienia].&amp;[PL-2011-090462]"/>
            <x15:cachedUniqueName index="1127" name="[dane].[Nr zamówienia].&amp;[PL-2011-090469]"/>
            <x15:cachedUniqueName index="1128" name="[dane].[Nr zamówienia].&amp;[PL-2011-090473]"/>
            <x15:cachedUniqueName index="1129" name="[dane].[Nr zamówienia].&amp;[PL-2011-090479]"/>
            <x15:cachedUniqueName index="1130" name="[dane].[Nr zamówienia].&amp;[PL-2011-090480]"/>
            <x15:cachedUniqueName index="1131" name="[dane].[Nr zamówienia].&amp;[PL-2011-090488]"/>
            <x15:cachedUniqueName index="1132" name="[dane].[Nr zamówienia].&amp;[PL-2011-090491]"/>
            <x15:cachedUniqueName index="1133" name="[dane].[Nr zamówienia].&amp;[PL-2011-090492]"/>
            <x15:cachedUniqueName index="1134" name="[dane].[Nr zamówienia].&amp;[PL-2011-090493]"/>
            <x15:cachedUniqueName index="1135" name="[dane].[Nr zamówienia].&amp;[PL-2011-090500]"/>
            <x15:cachedUniqueName index="1136" name="[dane].[Nr zamówienia].&amp;[PL-2011-090501]"/>
            <x15:cachedUniqueName index="1137" name="[dane].[Nr zamówienia].&amp;[PL-2011-090502]"/>
            <x15:cachedUniqueName index="1138" name="[dane].[Nr zamówienia].&amp;[PL-2011-090513]"/>
            <x15:cachedUniqueName index="1139" name="[dane].[Nr zamówienia].&amp;[PL-2011-090514]"/>
            <x15:cachedUniqueName index="1140" name="[dane].[Nr zamówienia].&amp;[PL-2011-090524]"/>
            <x15:cachedUniqueName index="1141" name="[dane].[Nr zamówienia].&amp;[PL-2011-090525]"/>
            <x15:cachedUniqueName index="1142" name="[dane].[Nr zamówienia].&amp;[PL-2011-090530]"/>
            <x15:cachedUniqueName index="1143" name="[dane].[Nr zamówienia].&amp;[PL-2011-090531]"/>
            <x15:cachedUniqueName index="1144" name="[dane].[Nr zamówienia].&amp;[PL-2011-090532]"/>
            <x15:cachedUniqueName index="1145" name="[dane].[Nr zamówienia].&amp;[PL-2011-090533]"/>
            <x15:cachedUniqueName index="1146" name="[dane].[Nr zamówienia].&amp;[PL-2011-090538]"/>
            <x15:cachedUniqueName index="1147" name="[dane].[Nr zamówienia].&amp;[PL-2011-090539]"/>
            <x15:cachedUniqueName index="1148" name="[dane].[Nr zamówienia].&amp;[PL-2011-090540]"/>
            <x15:cachedUniqueName index="1149" name="[dane].[Nr zamówienia].&amp;[PL-2011-090551]"/>
            <x15:cachedUniqueName index="1150" name="[dane].[Nr zamówienia].&amp;[PL-2011-090557]"/>
            <x15:cachedUniqueName index="1151" name="[dane].[Nr zamówienia].&amp;[PL-2011-090568]"/>
            <x15:cachedUniqueName index="1152" name="[dane].[Nr zamówienia].&amp;[PL-2011-090577]"/>
            <x15:cachedUniqueName index="1153" name="[dane].[Nr zamówienia].&amp;[PL-2011-090578]"/>
            <x15:cachedUniqueName index="1154" name="[dane].[Nr zamówienia].&amp;[PL-2011-090583]"/>
            <x15:cachedUniqueName index="1155" name="[dane].[Nr zamówienia].&amp;[PL-2011-090588]"/>
            <x15:cachedUniqueName index="1156" name="[dane].[Nr zamówienia].&amp;[PL-2011-090589]"/>
            <x15:cachedUniqueName index="1157" name="[dane].[Nr zamówienia].&amp;[PL-2011-090593]"/>
            <x15:cachedUniqueName index="1158" name="[dane].[Nr zamówienia].&amp;[PL-2011-090594]"/>
            <x15:cachedUniqueName index="1159" name="[dane].[Nr zamówienia].&amp;[PL-2011-090596]"/>
            <x15:cachedUniqueName index="1160" name="[dane].[Nr zamówienia].&amp;[PL-2011-090597]"/>
            <x15:cachedUniqueName index="1161" name="[dane].[Nr zamówienia].&amp;[PL-2011-090600]"/>
            <x15:cachedUniqueName index="1162" name="[dane].[Nr zamówienia].&amp;[PL-2011-090601]"/>
            <x15:cachedUniqueName index="1163" name="[dane].[Nr zamówienia].&amp;[PL-2011-090602]"/>
            <x15:cachedUniqueName index="1164" name="[dane].[Nr zamówienia].&amp;[PL-2011-090612]"/>
            <x15:cachedUniqueName index="1165" name="[dane].[Nr zamówienia].&amp;[PL-2011-090613]"/>
            <x15:cachedUniqueName index="1166" name="[dane].[Nr zamówienia].&amp;[PL-2011-090621]"/>
            <x15:cachedUniqueName index="1167" name="[dane].[Nr zamówienia].&amp;[PL-2011-090624]"/>
            <x15:cachedUniqueName index="1168" name="[dane].[Nr zamówienia].&amp;[PL-2011-090630]"/>
            <x15:cachedUniqueName index="1169" name="[dane].[Nr zamówienia].&amp;[PL-2011-090631]"/>
            <x15:cachedUniqueName index="1170" name="[dane].[Nr zamówienia].&amp;[PL-2011-090641]"/>
            <x15:cachedUniqueName index="1171" name="[dane].[Nr zamówienia].&amp;[PL-2011-090646]"/>
            <x15:cachedUniqueName index="1172" name="[dane].[Nr zamówienia].&amp;[PL-2011-090653]"/>
            <x15:cachedUniqueName index="1173" name="[dane].[Nr zamówienia].&amp;[PL-2011-090662]"/>
            <x15:cachedUniqueName index="1174" name="[dane].[Nr zamówienia].&amp;[PL-2011-090669]"/>
            <x15:cachedUniqueName index="1175" name="[dane].[Nr zamówienia].&amp;[PL-2011-090674]"/>
            <x15:cachedUniqueName index="1176" name="[dane].[Nr zamówienia].&amp;[PL-2011-090675]"/>
            <x15:cachedUniqueName index="1177" name="[dane].[Nr zamówienia].&amp;[PL-2011-090678]"/>
            <x15:cachedUniqueName index="1178" name="[dane].[Nr zamówienia].&amp;[PL-2011-090685]"/>
            <x15:cachedUniqueName index="1179" name="[dane].[Nr zamówienia].&amp;[PL-2011-090695]"/>
            <x15:cachedUniqueName index="1180" name="[dane].[Nr zamówienia].&amp;[PL-2011-090706]"/>
            <x15:cachedUniqueName index="1181" name="[dane].[Nr zamówienia].&amp;[PL-2011-090710]"/>
            <x15:cachedUniqueName index="1182" name="[dane].[Nr zamówienia].&amp;[PL-2011-090714]"/>
            <x15:cachedUniqueName index="1183" name="[dane].[Nr zamówienia].&amp;[PL-2011-090724]"/>
            <x15:cachedUniqueName index="1184" name="[dane].[Nr zamówienia].&amp;[PL-2011-090725]"/>
            <x15:cachedUniqueName index="1185" name="[dane].[Nr zamówienia].&amp;[PL-2011-090731]"/>
            <x15:cachedUniqueName index="1186" name="[dane].[Nr zamówienia].&amp;[PL-2011-090735]"/>
            <x15:cachedUniqueName index="1187" name="[dane].[Nr zamówienia].&amp;[PL-2011-090739]"/>
            <x15:cachedUniqueName index="1188" name="[dane].[Nr zamówienia].&amp;[PL-2011-090750]"/>
            <x15:cachedUniqueName index="1189" name="[dane].[Nr zamówienia].&amp;[PL-2011-090751]"/>
            <x15:cachedUniqueName index="1190" name="[dane].[Nr zamówienia].&amp;[PL-2011-090752]"/>
            <x15:cachedUniqueName index="1191" name="[dane].[Nr zamówienia].&amp;[PL-2011-090753]"/>
            <x15:cachedUniqueName index="1192" name="[dane].[Nr zamówienia].&amp;[PL-2011-090766]"/>
            <x15:cachedUniqueName index="1193" name="[dane].[Nr zamówienia].&amp;[PL-2011-090767]"/>
            <x15:cachedUniqueName index="1194" name="[dane].[Nr zamówienia].&amp;[PL-2011-090771]"/>
            <x15:cachedUniqueName index="1195" name="[dane].[Nr zamówienia].&amp;[PL-2011-090786]"/>
            <x15:cachedUniqueName index="1196" name="[dane].[Nr zamówienia].&amp;[PL-2011-090787]"/>
            <x15:cachedUniqueName index="1197" name="[dane].[Nr zamówienia].&amp;[PL-2011-090796]"/>
            <x15:cachedUniqueName index="1198" name="[dane].[Nr zamówienia].&amp;[PL-2011-090800]"/>
            <x15:cachedUniqueName index="1199" name="[dane].[Nr zamówienia].&amp;[PL-2011-090806]"/>
            <x15:cachedUniqueName index="1200" name="[dane].[Nr zamówienia].&amp;[PL-2011-090814]"/>
            <x15:cachedUniqueName index="1201" name="[dane].[Nr zamówienia].&amp;[PL-2011-090815]"/>
            <x15:cachedUniqueName index="1202" name="[dane].[Nr zamówienia].&amp;[PL-2011-090818]"/>
            <x15:cachedUniqueName index="1203" name="[dane].[Nr zamówienia].&amp;[PL-2011-090819]"/>
            <x15:cachedUniqueName index="1204" name="[dane].[Nr zamówienia].&amp;[PL-2011-090820]"/>
            <x15:cachedUniqueName index="1205" name="[dane].[Nr zamówienia].&amp;[PL-2011-090821]"/>
            <x15:cachedUniqueName index="1206" name="[dane].[Nr zamówienia].&amp;[PL-2011-090832]"/>
            <x15:cachedUniqueName index="1207" name="[dane].[Nr zamówienia].&amp;[PL-2011-090833]"/>
            <x15:cachedUniqueName index="1208" name="[dane].[Nr zamówienia].&amp;[PL-2011-090837]"/>
            <x15:cachedUniqueName index="1209" name="[dane].[Nr zamówienia].&amp;[PL-2011-090844]"/>
            <x15:cachedUniqueName index="1210" name="[dane].[Nr zamówienia].&amp;[PL-2011-090850]"/>
            <x15:cachedUniqueName index="1211" name="[dane].[Nr zamówienia].&amp;[PL-2011-090853]"/>
            <x15:cachedUniqueName index="1212" name="[dane].[Nr zamówienia].&amp;[PL-2011-090854]"/>
            <x15:cachedUniqueName index="1213" name="[dane].[Nr zamówienia].&amp;[PL-2011-090855]"/>
            <x15:cachedUniqueName index="1214" name="[dane].[Nr zamówienia].&amp;[PL-2011-090859]"/>
            <x15:cachedUniqueName index="1215" name="[dane].[Nr zamówienia].&amp;[PL-2011-090860]"/>
            <x15:cachedUniqueName index="1216" name="[dane].[Nr zamówienia].&amp;[PL-2011-090861]"/>
            <x15:cachedUniqueName index="1217" name="[dane].[Nr zamówienia].&amp;[PL-2011-090867]"/>
            <x15:cachedUniqueName index="1218" name="[dane].[Nr zamówienia].&amp;[PL-2011-090871]"/>
            <x15:cachedUniqueName index="1219" name="[dane].[Nr zamówienia].&amp;[PL-2011-090880]"/>
            <x15:cachedUniqueName index="1220" name="[dane].[Nr zamówienia].&amp;[PL-2011-090881]"/>
            <x15:cachedUniqueName index="1221" name="[dane].[Nr zamówienia].&amp;[PL-2011-090888]"/>
            <x15:cachedUniqueName index="1222" name="[dane].[Nr zamówienia].&amp;[PL-2011-090891]"/>
            <x15:cachedUniqueName index="1223" name="[dane].[Nr zamówienia].&amp;[PL-2011-090899]"/>
            <x15:cachedUniqueName index="1224" name="[dane].[Nr zamówienia].&amp;[PL-2011-090905]"/>
            <x15:cachedUniqueName index="1225" name="[dane].[Nr zamówienia].&amp;[PL-2011-090908]"/>
            <x15:cachedUniqueName index="1226" name="[dane].[Nr zamówienia].&amp;[PL-2011-090909]"/>
            <x15:cachedUniqueName index="1227" name="[dane].[Nr zamówienia].&amp;[PL-2011-090910]"/>
            <x15:cachedUniqueName index="1228" name="[dane].[Nr zamówienia].&amp;[PL-2011-090917]"/>
            <x15:cachedUniqueName index="1229" name="[dane].[Nr zamówienia].&amp;[PL-2011-090922]"/>
            <x15:cachedUniqueName index="1230" name="[dane].[Nr zamówienia].&amp;[PL-2011-090927]"/>
            <x15:cachedUniqueName index="1231" name="[dane].[Nr zamówienia].&amp;[PL-2011-090932]"/>
            <x15:cachedUniqueName index="1232" name="[dane].[Nr zamówienia].&amp;[PL-2011-090934]"/>
            <x15:cachedUniqueName index="1233" name="[dane].[Nr zamówienia].&amp;[PL-2011-090951]"/>
            <x15:cachedUniqueName index="1234" name="[dane].[Nr zamówienia].&amp;[PL-2011-090952]"/>
            <x15:cachedUniqueName index="1235" name="[dane].[Nr zamówienia].&amp;[PL-2011-090961]"/>
            <x15:cachedUniqueName index="1236" name="[dane].[Nr zamówienia].&amp;[PL-2011-090962]"/>
            <x15:cachedUniqueName index="1237" name="[dane].[Nr zamówienia].&amp;[PL-2011-090964]"/>
            <x15:cachedUniqueName index="1238" name="[dane].[Nr zamówienia].&amp;[PL-2011-090973]"/>
            <x15:cachedUniqueName index="1239" name="[dane].[Nr zamówienia].&amp;[PL-2011-090977]"/>
            <x15:cachedUniqueName index="1240" name="[dane].[Nr zamówienia].&amp;[PL-2011-090985]"/>
            <x15:cachedUniqueName index="1241" name="[dane].[Nr zamówienia].&amp;[PL-2011-090986]"/>
            <x15:cachedUniqueName index="1242" name="[dane].[Nr zamówienia].&amp;[PL-2011-090987]"/>
            <x15:cachedUniqueName index="1243" name="[dane].[Nr zamówienia].&amp;[PL-2011-091000]"/>
            <x15:cachedUniqueName index="1244" name="[dane].[Nr zamówienia].&amp;[PL-2011-091017]"/>
            <x15:cachedUniqueName index="1245" name="[dane].[Nr zamówienia].&amp;[PL-2011-091025]"/>
            <x15:cachedUniqueName index="1246" name="[dane].[Nr zamówienia].&amp;[PL-2011-091030]"/>
            <x15:cachedUniqueName index="1247" name="[dane].[Nr zamówienia].&amp;[PL-2011-091036]"/>
            <x15:cachedUniqueName index="1248" name="[dane].[Nr zamówienia].&amp;[PL-2011-091041]"/>
            <x15:cachedUniqueName index="1249" name="[dane].[Nr zamówienia].&amp;[PL-2011-091042]"/>
            <x15:cachedUniqueName index="1250" name="[dane].[Nr zamówienia].&amp;[PL-2011-091043]"/>
            <x15:cachedUniqueName index="1251" name="[dane].[Nr zamówienia].&amp;[PL-2011-091049]"/>
            <x15:cachedUniqueName index="1252" name="[dane].[Nr zamówienia].&amp;[PL-2011-091053]"/>
            <x15:cachedUniqueName index="1253" name="[dane].[Nr zamówienia].&amp;[PL-2011-091054]"/>
            <x15:cachedUniqueName index="1254" name="[dane].[Nr zamówienia].&amp;[PL-2011-091057]"/>
            <x15:cachedUniqueName index="1255" name="[dane].[Nr zamówienia].&amp;[PL-2011-091059]"/>
            <x15:cachedUniqueName index="1256" name="[dane].[Nr zamówienia].&amp;[PL-2011-091060]"/>
            <x15:cachedUniqueName index="1257" name="[dane].[Nr zamówienia].&amp;[PL-2011-091062]"/>
            <x15:cachedUniqueName index="1258" name="[dane].[Nr zamówienia].&amp;[PL-2011-091063]"/>
            <x15:cachedUniqueName index="1259" name="[dane].[Nr zamówienia].&amp;[PL-2011-091076]"/>
            <x15:cachedUniqueName index="1260" name="[dane].[Nr zamówienia].&amp;[PL-2011-091077]"/>
            <x15:cachedUniqueName index="1261" name="[dane].[Nr zamówienia].&amp;[PL-2011-091078]"/>
            <x15:cachedUniqueName index="1262" name="[dane].[Nr zamówienia].&amp;[PL-2011-091086]"/>
            <x15:cachedUniqueName index="1263" name="[dane].[Nr zamówienia].&amp;[PL-2011-091087]"/>
            <x15:cachedUniqueName index="1264" name="[dane].[Nr zamówienia].&amp;[PL-2011-091088]"/>
            <x15:cachedUniqueName index="1265" name="[dane].[Nr zamówienia].&amp;[PL-2011-091089]"/>
            <x15:cachedUniqueName index="1266" name="[dane].[Nr zamówienia].&amp;[PL-2011-091090]"/>
            <x15:cachedUniqueName index="1267" name="[dane].[Nr zamówienia].&amp;[PL-2011-091108]"/>
            <x15:cachedUniqueName index="1268" name="[dane].[Nr zamówienia].&amp;[PL-2011-091109]"/>
            <x15:cachedUniqueName index="1269" name="[dane].[Nr zamówienia].&amp;[PL-2011-091110]"/>
            <x15:cachedUniqueName index="1270" name="[dane].[Nr zamówienia].&amp;[PL-2011-091115]"/>
            <x15:cachedUniqueName index="1271" name="[dane].[Nr zamówienia].&amp;[PL-2011-091116]"/>
            <x15:cachedUniqueName index="1272" name="[dane].[Nr zamówienia].&amp;[PL-2011-091122]"/>
            <x15:cachedUniqueName index="1273" name="[dane].[Nr zamówienia].&amp;[PL-2011-091123]"/>
            <x15:cachedUniqueName index="1274" name="[dane].[Nr zamówienia].&amp;[PL-2011-091127]"/>
            <x15:cachedUniqueName index="1275" name="[dane].[Nr zamówienia].&amp;[PL-2011-091130]"/>
            <x15:cachedUniqueName index="1276" name="[dane].[Nr zamówienia].&amp;[PL-2011-091131]"/>
            <x15:cachedUniqueName index="1277" name="[dane].[Nr zamówienia].&amp;[PL-2011-091144]"/>
            <x15:cachedUniqueName index="1278" name="[dane].[Nr zamówienia].&amp;[PL-2011-091166]"/>
            <x15:cachedUniqueName index="1279" name="[dane].[Nr zamówienia].&amp;[PL-2011-091167]"/>
            <x15:cachedUniqueName index="1280" name="[dane].[Nr zamówienia].&amp;[PL-2011-091174]"/>
            <x15:cachedUniqueName index="1281" name="[dane].[Nr zamówienia].&amp;[PL-2011-091175]"/>
            <x15:cachedUniqueName index="1282" name="[dane].[Nr zamówienia].&amp;[PL-2011-091180]"/>
            <x15:cachedUniqueName index="1283" name="[dane].[Nr zamówienia].&amp;[PL-2011-091194]"/>
            <x15:cachedUniqueName index="1284" name="[dane].[Nr zamówienia].&amp;[PL-2011-091195]"/>
            <x15:cachedUniqueName index="1285" name="[dane].[Nr zamówienia].&amp;[PL-2011-091200]"/>
            <x15:cachedUniqueName index="1286" name="[dane].[Nr zamówienia].&amp;[PL-2011-091201]"/>
            <x15:cachedUniqueName index="1287" name="[dane].[Nr zamówienia].&amp;[PL-2011-091209]"/>
            <x15:cachedUniqueName index="1288" name="[dane].[Nr zamówienia].&amp;[PL-2011-091212]"/>
            <x15:cachedUniqueName index="1289" name="[dane].[Nr zamówienia].&amp;[PL-2011-091213]"/>
            <x15:cachedUniqueName index="1290" name="[dane].[Nr zamówienia].&amp;[PL-2011-091219]"/>
            <x15:cachedUniqueName index="1291" name="[dane].[Nr zamówienia].&amp;[PL-2011-091228]"/>
            <x15:cachedUniqueName index="1292" name="[dane].[Nr zamówienia].&amp;[PL-2011-091229]"/>
            <x15:cachedUniqueName index="1293" name="[dane].[Nr zamówienia].&amp;[PL-2011-091235]"/>
            <x15:cachedUniqueName index="1294" name="[dane].[Nr zamówienia].&amp;[PL-2011-091236]"/>
            <x15:cachedUniqueName index="1295" name="[dane].[Nr zamówienia].&amp;[PL-2011-091244]"/>
            <x15:cachedUniqueName index="1296" name="[dane].[Nr zamówienia].&amp;[PL-2011-091245]"/>
            <x15:cachedUniqueName index="1297" name="[dane].[Nr zamówienia].&amp;[PL-2011-091258]"/>
            <x15:cachedUniqueName index="1298" name="[dane].[Nr zamówienia].&amp;[PL-2011-091261]"/>
            <x15:cachedUniqueName index="1299" name="[dane].[Nr zamówienia].&amp;[PL-2011-091262]"/>
            <x15:cachedUniqueName index="1300" name="[dane].[Nr zamówienia].&amp;[PL-2011-091263]"/>
            <x15:cachedUniqueName index="1301" name="[dane].[Nr zamówienia].&amp;[PL-2011-091277]"/>
            <x15:cachedUniqueName index="1302" name="[dane].[Nr zamówienia].&amp;[PL-2011-091285]"/>
            <x15:cachedUniqueName index="1303" name="[dane].[Nr zamówienia].&amp;[PL-2011-091286]"/>
            <x15:cachedUniqueName index="1304" name="[dane].[Nr zamówienia].&amp;[PL-2011-091296]"/>
            <x15:cachedUniqueName index="1305" name="[dane].[Nr zamówienia].&amp;[PL-2011-091297]"/>
            <x15:cachedUniqueName index="1306" name="[dane].[Nr zamówienia].&amp;[PL-2011-091298]"/>
            <x15:cachedUniqueName index="1307" name="[dane].[Nr zamówienia].&amp;[PL-2011-091304]"/>
            <x15:cachedUniqueName index="1308" name="[dane].[Nr zamówienia].&amp;[PL-2011-091305]"/>
            <x15:cachedUniqueName index="1309" name="[dane].[Nr zamówienia].&amp;[PL-2011-091306]"/>
            <x15:cachedUniqueName index="1310" name="[dane].[Nr zamówienia].&amp;[PL-2011-091310]"/>
            <x15:cachedUniqueName index="1311" name="[dane].[Nr zamówienia].&amp;[PL-2011-091316]"/>
            <x15:cachedUniqueName index="1312" name="[dane].[Nr zamówienia].&amp;[PL-2011-091321]"/>
            <x15:cachedUniqueName index="1313" name="[dane].[Nr zamówienia].&amp;[PL-2011-091328]"/>
            <x15:cachedUniqueName index="1314" name="[dane].[Nr zamówienia].&amp;[PL-2011-091344]"/>
            <x15:cachedUniqueName index="1315" name="[dane].[Nr zamówienia].&amp;[PL-2011-091354]"/>
            <x15:cachedUniqueName index="1316" name="[dane].[Nr zamówienia].&amp;[PL-2011-091355]"/>
            <x15:cachedUniqueName index="1317" name="[dane].[Nr zamówienia].&amp;[PL-2011-091362]"/>
            <x15:cachedUniqueName index="1318" name="[dane].[Nr zamówienia].&amp;[PL-2011-091363]"/>
            <x15:cachedUniqueName index="1319" name="[dane].[Nr zamówienia].&amp;[PL-2011-091365]"/>
            <x15:cachedUniqueName index="1320" name="[dane].[Nr zamówienia].&amp;[PL-2011-091366]"/>
            <x15:cachedUniqueName index="1321" name="[dane].[Nr zamówienia].&amp;[PL-2011-091371]"/>
            <x15:cachedUniqueName index="1322" name="[dane].[Nr zamówienia].&amp;[PL-2011-091376]"/>
            <x15:cachedUniqueName index="1323" name="[dane].[Nr zamówienia].&amp;[PL-2011-091386]"/>
            <x15:cachedUniqueName index="1324" name="[dane].[Nr zamówienia].&amp;[PL-2011-091388]"/>
            <x15:cachedUniqueName index="1325" name="[dane].[Nr zamówienia].&amp;[PL-2011-091389]"/>
            <x15:cachedUniqueName index="1326" name="[dane].[Nr zamówienia].&amp;[PL-2011-091397]"/>
            <x15:cachedUniqueName index="1327" name="[dane].[Nr zamówienia].&amp;[PL-2011-091398]"/>
            <x15:cachedUniqueName index="1328" name="[dane].[Nr zamówienia].&amp;[PL-2011-091407]"/>
            <x15:cachedUniqueName index="1329" name="[dane].[Nr zamówienia].&amp;[PL-2011-091408]"/>
            <x15:cachedUniqueName index="1330" name="[dane].[Nr zamówienia].&amp;[PL-2011-091414]"/>
            <x15:cachedUniqueName index="1331" name="[dane].[Nr zamówienia].&amp;[PL-2011-091415]"/>
            <x15:cachedUniqueName index="1332" name="[dane].[Nr zamówienia].&amp;[PL-2011-091416]"/>
            <x15:cachedUniqueName index="1333" name="[dane].[Nr zamówienia].&amp;[PL-2011-091417]"/>
            <x15:cachedUniqueName index="1334" name="[dane].[Nr zamówienia].&amp;[PL-2011-091424]"/>
            <x15:cachedUniqueName index="1335" name="[dane].[Nr zamówienia].&amp;[PL-2011-091432]"/>
            <x15:cachedUniqueName index="1336" name="[dane].[Nr zamówienia].&amp;[PL-2011-091433]"/>
            <x15:cachedUniqueName index="1337" name="[dane].[Nr zamówienia].&amp;[PL-2011-091435]"/>
            <x15:cachedUniqueName index="1338" name="[dane].[Nr zamówienia].&amp;[PL-2011-091436]"/>
            <x15:cachedUniqueName index="1339" name="[dane].[Nr zamówienia].&amp;[PL-2011-091437]"/>
            <x15:cachedUniqueName index="1340" name="[dane].[Nr zamówienia].&amp;[PL-2011-091438]"/>
            <x15:cachedUniqueName index="1341" name="[dane].[Nr zamówienia].&amp;[PL-2011-091447]"/>
            <x15:cachedUniqueName index="1342" name="[dane].[Nr zamówienia].&amp;[PL-2011-091451]"/>
            <x15:cachedUniqueName index="1343" name="[dane].[Nr zamówienia].&amp;[PL-2011-091454]"/>
            <x15:cachedUniqueName index="1344" name="[dane].[Nr zamówienia].&amp;[PL-2011-091466]"/>
            <x15:cachedUniqueName index="1345" name="[dane].[Nr zamówienia].&amp;[PL-2011-091480]"/>
            <x15:cachedUniqueName index="1346" name="[dane].[Nr zamówienia].&amp;[PL-2011-091481]"/>
            <x15:cachedUniqueName index="1347" name="[dane].[Nr zamówienia].&amp;[PL-2011-091482]"/>
            <x15:cachedUniqueName index="1348" name="[dane].[Nr zamówienia].&amp;[PL-2011-091488]"/>
            <x15:cachedUniqueName index="1349" name="[dane].[Nr zamówienia].&amp;[PL-2011-091492]"/>
            <x15:cachedUniqueName index="1350" name="[dane].[Nr zamówienia].&amp;[PL-2011-091495]"/>
            <x15:cachedUniqueName index="1351" name="[dane].[Nr zamówienia].&amp;[PL-2011-091496]"/>
            <x15:cachedUniqueName index="1352" name="[dane].[Nr zamówienia].&amp;[PL-2011-091502]"/>
            <x15:cachedUniqueName index="1353" name="[dane].[Nr zamówienia].&amp;[PL-2011-091513]"/>
            <x15:cachedUniqueName index="1354" name="[dane].[Nr zamówienia].&amp;[PL-2011-091522]"/>
            <x15:cachedUniqueName index="1355" name="[dane].[Nr zamówienia].&amp;[PL-2011-091543]"/>
            <x15:cachedUniqueName index="1356" name="[dane].[Nr zamówienia].&amp;[PL-2011-091550]"/>
            <x15:cachedUniqueName index="1357" name="[dane].[Nr zamówienia].&amp;[PL-2011-091555]"/>
            <x15:cachedUniqueName index="1358" name="[dane].[Nr zamówienia].&amp;[PL-2011-091571]"/>
            <x15:cachedUniqueName index="1359" name="[dane].[Nr zamówienia].&amp;[PL-2011-091575]"/>
            <x15:cachedUniqueName index="1360" name="[dane].[Nr zamówienia].&amp;[PL-2011-091576]"/>
            <x15:cachedUniqueName index="1361" name="[dane].[Nr zamówienia].&amp;[PL-2011-091581]"/>
            <x15:cachedUniqueName index="1362" name="[dane].[Nr zamówienia].&amp;[PL-2011-091583]"/>
            <x15:cachedUniqueName index="1363" name="[dane].[Nr zamówienia].&amp;[PL-2011-091584]"/>
            <x15:cachedUniqueName index="1364" name="[dane].[Nr zamówienia].&amp;[PL-2011-091586]"/>
            <x15:cachedUniqueName index="1365" name="[dane].[Nr zamówienia].&amp;[PL-2012-000193]"/>
            <x15:cachedUniqueName index="1366" name="[dane].[Nr zamówienia].&amp;[PL-2012-000358]"/>
            <x15:cachedUniqueName index="1367" name="[dane].[Nr zamówienia].&amp;[PL-2012-000738]"/>
            <x15:cachedUniqueName index="1368" name="[dane].[Nr zamówienia].&amp;[PL-2012-000773]"/>
            <x15:cachedUniqueName index="1369" name="[dane].[Nr zamówienia].&amp;[PL-2012-001222]"/>
            <x15:cachedUniqueName index="1370" name="[dane].[Nr zamówienia].&amp;[PL-2012-002368]"/>
            <x15:cachedUniqueName index="1371" name="[dane].[Nr zamówienia].&amp;[PL-2012-002563]"/>
            <x15:cachedUniqueName index="1372" name="[dane].[Nr zamówienia].&amp;[PL-2012-002759]"/>
            <x15:cachedUniqueName index="1373" name="[dane].[Nr zamówienia].&amp;[PL-2012-003905]"/>
            <x15:cachedUniqueName index="1374" name="[dane].[Nr zamówienia].&amp;[PL-2012-004004]"/>
            <x15:cachedUniqueName index="1375" name="[dane].[Nr zamówienia].&amp;[PL-2012-004610]"/>
            <x15:cachedUniqueName index="1376" name="[dane].[Nr zamówienia].&amp;[PL-2012-005346]"/>
            <x15:cachedUniqueName index="1377" name="[dane].[Nr zamówienia].&amp;[PL-2012-005504]"/>
            <x15:cachedUniqueName index="1378" name="[dane].[Nr zamówienia].&amp;[PL-2012-005543]"/>
            <x15:cachedUniqueName index="1379" name="[dane].[Nr zamówienia].&amp;[PL-2012-005702]"/>
            <x15:cachedUniqueName index="1380" name="[dane].[Nr zamówienia].&amp;[PL-2012-005703]"/>
            <x15:cachedUniqueName index="1381" name="[dane].[Nr zamówienia].&amp;[PL-2012-007078]"/>
            <x15:cachedUniqueName index="1382" name="[dane].[Nr zamówienia].&amp;[PL-2012-007079]"/>
            <x15:cachedUniqueName index="1383" name="[dane].[Nr zamówienia].&amp;[PL-2012-007335]"/>
            <x15:cachedUniqueName index="1384" name="[dane].[Nr zamówienia].&amp;[PL-2012-007619]"/>
            <x15:cachedUniqueName index="1385" name="[dane].[Nr zamówienia].&amp;[PL-2012-008000]"/>
            <x15:cachedUniqueName index="1386" name="[dane].[Nr zamówienia].&amp;[PL-2012-008001]"/>
            <x15:cachedUniqueName index="1387" name="[dane].[Nr zamówienia].&amp;[PL-2012-008131]"/>
            <x15:cachedUniqueName index="1388" name="[dane].[Nr zamówienia].&amp;[PL-2012-009895]"/>
            <x15:cachedUniqueName index="1389" name="[dane].[Nr zamówienia].&amp;[PL-2012-010080]"/>
            <x15:cachedUniqueName index="1390" name="[dane].[Nr zamówienia].&amp;[PL-2012-010081]"/>
            <x15:cachedUniqueName index="1391" name="[dane].[Nr zamówienia].&amp;[PL-2012-010147]"/>
            <x15:cachedUniqueName index="1392" name="[dane].[Nr zamówienia].&amp;[PL-2012-010247]"/>
            <x15:cachedUniqueName index="1393" name="[dane].[Nr zamówienia].&amp;[PL-2012-010373]"/>
            <x15:cachedUniqueName index="1394" name="[dane].[Nr zamówienia].&amp;[PL-2012-010435]"/>
            <x15:cachedUniqueName index="1395" name="[dane].[Nr zamówienia].&amp;[PL-2012-010819]"/>
            <x15:cachedUniqueName index="1396" name="[dane].[Nr zamówienia].&amp;[PL-2012-010919]"/>
            <x15:cachedUniqueName index="1397" name="[dane].[Nr zamówienia].&amp;[PL-2012-011460]"/>
            <x15:cachedUniqueName index="1398" name="[dane].[Nr zamówienia].&amp;[PL-2012-011779]"/>
            <x15:cachedUniqueName index="1399" name="[dane].[Nr zamówienia].&amp;[PL-2012-012643]"/>
            <x15:cachedUniqueName index="1400" name="[dane].[Nr zamówienia].&amp;[PL-2012-012900]"/>
            <x15:cachedUniqueName index="1401" name="[dane].[Nr zamówienia].&amp;[PL-2012-013440]"/>
            <x15:cachedUniqueName index="1402" name="[dane].[Nr zamówienia].&amp;[PL-2012-014023]"/>
            <x15:cachedUniqueName index="1403" name="[dane].[Nr zamówienia].&amp;[PL-2012-014755]"/>
            <x15:cachedUniqueName index="1404" name="[dane].[Nr zamówienia].&amp;[PL-2012-014819]"/>
            <x15:cachedUniqueName index="1405" name="[dane].[Nr zamówienia].&amp;[PL-2012-014855]"/>
            <x15:cachedUniqueName index="1406" name="[dane].[Nr zamówienia].&amp;[PL-2012-015303]"/>
            <x15:cachedUniqueName index="1407" name="[dane].[Nr zamówienia].&amp;[PL-2012-015463]"/>
            <x15:cachedUniqueName index="1408" name="[dane].[Nr zamówienia].&amp;[PL-2012-016289]"/>
            <x15:cachedUniqueName index="1409" name="[dane].[Nr zamówienia].&amp;[PL-2012-016741]"/>
            <x15:cachedUniqueName index="1410" name="[dane].[Nr zamówienia].&amp;[PL-2012-016806]"/>
            <x15:cachedUniqueName index="1411" name="[dane].[Nr zamówienia].&amp;[PL-2012-017542]"/>
            <x15:cachedUniqueName index="1412" name="[dane].[Nr zamówienia].&amp;[PL-2012-018530]"/>
            <x15:cachedUniqueName index="1413" name="[dane].[Nr zamówienia].&amp;[PL-2012-018598]"/>
            <x15:cachedUniqueName index="1414" name="[dane].[Nr zamówienia].&amp;[PL-2012-019205]"/>
            <x15:cachedUniqueName index="1415" name="[dane].[Nr zamówienia].&amp;[PL-2012-019556]"/>
            <x15:cachedUniqueName index="1416" name="[dane].[Nr zamówienia].&amp;[PL-2012-019812]"/>
            <x15:cachedUniqueName index="1417" name="[dane].[Nr zamówienia].&amp;[PL-2012-019841]"/>
            <x15:cachedUniqueName index="1418" name="[dane].[Nr zamówienia].&amp;[PL-2012-020036]"/>
            <x15:cachedUniqueName index="1419" name="[dane].[Nr zamówienia].&amp;[PL-2012-021249]"/>
            <x15:cachedUniqueName index="1420" name="[dane].[Nr zamówienia].&amp;[PL-2012-021539]"/>
            <x15:cachedUniqueName index="1421" name="[dane].[Nr zamówienia].&amp;[PL-2012-021574]"/>
            <x15:cachedUniqueName index="1422" name="[dane].[Nr zamówienia].&amp;[PL-2012-021600]"/>
            <x15:cachedUniqueName index="1423" name="[dane].[Nr zamówienia].&amp;[PL-2012-022468]"/>
            <x15:cachedUniqueName index="1424" name="[dane].[Nr zamówienia].&amp;[PL-2012-022656]"/>
            <x15:cachedUniqueName index="1425" name="[dane].[Nr zamówienia].&amp;[PL-2012-023271]"/>
            <x15:cachedUniqueName index="1426" name="[dane].[Nr zamówienia].&amp;[PL-2012-023782]"/>
            <x15:cachedUniqueName index="1427" name="[dane].[Nr zamówienia].&amp;[PL-2012-024356]"/>
            <x15:cachedUniqueName index="1428" name="[dane].[Nr zamówienia].&amp;[PL-2012-024577]"/>
            <x15:cachedUniqueName index="1429" name="[dane].[Nr zamówienia].&amp;[PL-2012-024610]"/>
            <x15:cachedUniqueName index="1430" name="[dane].[Nr zamówienia].&amp;[PL-2012-024806]"/>
            <x15:cachedUniqueName index="1431" name="[dane].[Nr zamówienia].&amp;[PL-2012-024903]"/>
            <x15:cachedUniqueName index="1432" name="[dane].[Nr zamówienia].&amp;[PL-2012-025062]"/>
            <x15:cachedUniqueName index="1433" name="[dane].[Nr zamówienia].&amp;[PL-2012-025830]"/>
            <x15:cachedUniqueName index="1434" name="[dane].[Nr zamówienia].&amp;[PL-2012-026373]"/>
            <x15:cachedUniqueName index="1435" name="[dane].[Nr zamówienia].&amp;[PL-2012-026695]"/>
            <x15:cachedUniqueName index="1436" name="[dane].[Nr zamówienia].&amp;[PL-2012-026784]"/>
            <x15:cachedUniqueName index="1437" name="[dane].[Nr zamówienia].&amp;[PL-2012-027047]"/>
            <x15:cachedUniqueName index="1438" name="[dane].[Nr zamówienia].&amp;[PL-2012-027077]"/>
            <x15:cachedUniqueName index="1439" name="[dane].[Nr zamówienia].&amp;[PL-2012-028321]"/>
            <x15:cachedUniqueName index="1440" name="[dane].[Nr zamówienia].&amp;[PL-2012-028482]"/>
            <x15:cachedUniqueName index="1441" name="[dane].[Nr zamówienia].&amp;[PL-2012-029572]"/>
            <x15:cachedUniqueName index="1442" name="[dane].[Nr zamówienia].&amp;[PL-2012-029700]"/>
            <x15:cachedUniqueName index="1443" name="[dane].[Nr zamówienia].&amp;[PL-2012-030114]"/>
            <x15:cachedUniqueName index="1444" name="[dane].[Nr zamówienia].&amp;[PL-2012-030336]"/>
            <x15:cachedUniqueName index="1445" name="[dane].[Nr zamówienia].&amp;[PL-2012-030372]"/>
            <x15:cachedUniqueName index="1446" name="[dane].[Nr zamówienia].&amp;[PL-2012-031040]"/>
            <x15:cachedUniqueName index="1447" name="[dane].[Nr zamówienia].&amp;[PL-2012-031301]"/>
            <x15:cachedUniqueName index="1448" name="[dane].[Nr zamówienia].&amp;[PL-2012-031492]"/>
            <x15:cachedUniqueName index="1449" name="[dane].[Nr zamówienia].&amp;[PL-2012-031842]"/>
            <x15:cachedUniqueName index="1450" name="[dane].[Nr zamówienia].&amp;[PL-2012-031872]"/>
            <x15:cachedUniqueName index="1451" name="[dane].[Nr zamówienia].&amp;[PL-2012-032099]"/>
            <x15:cachedUniqueName index="1452" name="[dane].[Nr zamówienia].&amp;[PL-2012-032164]"/>
            <x15:cachedUniqueName index="1453" name="[dane].[Nr zamówienia].&amp;[PL-2012-032641]"/>
            <x15:cachedUniqueName index="1454" name="[dane].[Nr zamówienia].&amp;[PL-2012-032931]"/>
            <x15:cachedUniqueName index="1455" name="[dane].[Nr zamówienia].&amp;[PL-2012-033152]"/>
            <x15:cachedUniqueName index="1456" name="[dane].[Nr zamówienia].&amp;[PL-2012-033478]"/>
            <x15:cachedUniqueName index="1457" name="[dane].[Nr zamówienia].&amp;[PL-2012-033505]"/>
            <x15:cachedUniqueName index="1458" name="[dane].[Nr zamówienia].&amp;[PL-2012-033632]"/>
            <x15:cachedUniqueName index="1459" name="[dane].[Nr zamówienia].&amp;[PL-2012-033763]"/>
            <x15:cachedUniqueName index="1460" name="[dane].[Nr zamówienia].&amp;[PL-2012-033826]"/>
            <x15:cachedUniqueName index="1461" name="[dane].[Nr zamówienia].&amp;[PL-2012-034244]"/>
            <x15:cachedUniqueName index="1462" name="[dane].[Nr zamówienia].&amp;[PL-2012-034246]"/>
            <x15:cachedUniqueName index="1463" name="[dane].[Nr zamówienia].&amp;[PL-2012-034657]"/>
            <x15:cachedUniqueName index="1464" name="[dane].[Nr zamówienia].&amp;[PL-2012-034849]"/>
            <x15:cachedUniqueName index="1465" name="[dane].[Nr zamówienia].&amp;[PL-2012-035046]"/>
            <x15:cachedUniqueName index="1466" name="[dane].[Nr zamówienia].&amp;[PL-2012-035777]"/>
            <x15:cachedUniqueName index="1467" name="[dane].[Nr zamówienia].&amp;[PL-2012-035840]"/>
            <x15:cachedUniqueName index="1468" name="[dane].[Nr zamówienia].&amp;[PL-2012-036065]"/>
            <x15:cachedUniqueName index="1469" name="[dane].[Nr zamówienia].&amp;[PL-2012-036099]"/>
            <x15:cachedUniqueName index="1470" name="[dane].[Nr zamówienia].&amp;[PL-2012-036741]"/>
            <x15:cachedUniqueName index="1471" name="[dane].[Nr zamówienia].&amp;[PL-2012-037216]"/>
            <x15:cachedUniqueName index="1472" name="[dane].[Nr zamówienia].&amp;[PL-2012-037250]"/>
            <x15:cachedUniqueName index="1473" name="[dane].[Nr zamówienia].&amp;[PL-2012-037318]"/>
            <x15:cachedUniqueName index="1474" name="[dane].[Nr zamówienia].&amp;[PL-2012-037606]"/>
            <x15:cachedUniqueName index="1475" name="[dane].[Nr zamówienia].&amp;[PL-2012-038337]"/>
            <x15:cachedUniqueName index="1476" name="[dane].[Nr zamówienia].&amp;[PL-2012-038369]"/>
            <x15:cachedUniqueName index="1477" name="[dane].[Nr zamówienia].&amp;[PL-2012-038979]"/>
            <x15:cachedUniqueName index="1478" name="[dane].[Nr zamówienia].&amp;[PL-2012-039238]"/>
            <x15:cachedUniqueName index="1479" name="[dane].[Nr zamówienia].&amp;[PL-2012-040194]"/>
            <x15:cachedUniqueName index="1480" name="[dane].[Nr zamówienia].&amp;[PL-2012-041059]"/>
            <x15:cachedUniqueName index="1481" name="[dane].[Nr zamówienia].&amp;[PL-2012-041350]"/>
            <x15:cachedUniqueName index="1482" name="[dane].[Nr zamówienia].&amp;[PL-2012-041569]"/>
            <x15:cachedUniqueName index="1483" name="[dane].[Nr zamówienia].&amp;[PL-2012-042528]"/>
            <x15:cachedUniqueName index="1484" name="[dane].[Nr zamówienia].&amp;[PL-2012-042597]"/>
            <x15:cachedUniqueName index="1485" name="[dane].[Nr zamówienia].&amp;[PL-2012-042658]"/>
            <x15:cachedUniqueName index="1486" name="[dane].[Nr zamówienia].&amp;[PL-2012-043271]"/>
            <x15:cachedUniqueName index="1487" name="[dane].[Nr zamówienia].&amp;[PL-2012-043526]"/>
            <x15:cachedUniqueName index="1488" name="[dane].[Nr zamówienia].&amp;[PL-2012-043745]"/>
            <x15:cachedUniqueName index="1489" name="[dane].[Nr zamówienia].&amp;[PL-2012-043782]"/>
            <x15:cachedUniqueName index="1490" name="[dane].[Nr zamówienia].&amp;[PL-2012-044005]"/>
            <x15:cachedUniqueName index="1491" name="[dane].[Nr zamówienia].&amp;[PL-2012-044615]"/>
            <x15:cachedUniqueName index="1492" name="[dane].[Nr zamówienia].&amp;[PL-2012-044900]"/>
            <x15:cachedUniqueName index="1493" name="[dane].[Nr zamówienia].&amp;[PL-2012-045413]"/>
            <x15:cachedUniqueName index="1494" name="[dane].[Nr zamówienia].&amp;[PL-2012-045668]"/>
            <x15:cachedUniqueName index="1495" name="[dane].[Nr zamówienia].&amp;[PL-2012-045924]"/>
            <x15:cachedUniqueName index="1496" name="[dane].[Nr zamówienia].&amp;[PL-2012-046375]"/>
            <x15:cachedUniqueName index="1497" name="[dane].[Nr zamówienia].&amp;[PL-2012-046434]"/>
            <x15:cachedUniqueName index="1498" name="[dane].[Nr zamówienia].&amp;[PL-2012-048032]"/>
            <x15:cachedUniqueName index="1499" name="[dane].[Nr zamówienia].&amp;[PL-2012-048263]"/>
            <x15:cachedUniqueName index="1500" name="[dane].[Nr zamówienia].&amp;[PL-2012-048452]"/>
            <x15:cachedUniqueName index="1501" name="[dane].[Nr zamówienia].&amp;[PL-2012-048487]"/>
            <x15:cachedUniqueName index="1502" name="[dane].[Nr zamówienia].&amp;[PL-2012-048800]"/>
            <x15:cachedUniqueName index="1503" name="[dane].[Nr zamówienia].&amp;[PL-2012-048994]"/>
            <x15:cachedUniqueName index="1504" name="[dane].[Nr zamówienia].&amp;[PL-2012-049831]"/>
            <x15:cachedUniqueName index="1505" name="[dane].[Nr zamówienia].&amp;[PL-2012-050209]"/>
            <x15:cachedUniqueName index="1506" name="[dane].[Nr zamówienia].&amp;[PL-2012-050246]"/>
            <x15:cachedUniqueName index="1507" name="[dane].[Nr zamówienia].&amp;[PL-2012-051041]"/>
            <x15:cachedUniqueName index="1508" name="[dane].[Nr zamówienia].&amp;[PL-2012-052737]"/>
            <x15:cachedUniqueName index="1509" name="[dane].[Nr zamówienia].&amp;[PL-2012-052743]"/>
            <x15:cachedUniqueName index="1510" name="[dane].[Nr zamówienia].&amp;[PL-2012-053025]"/>
            <x15:cachedUniqueName index="1511" name="[dane].[Nr zamówienia].&amp;[PL-2012-053060]"/>
            <x15:cachedUniqueName index="1512" name="[dane].[Nr zamówienia].&amp;[PL-2012-053248]"/>
            <x15:cachedUniqueName index="1513" name="[dane].[Nr zamówienia].&amp;[PL-2012-053314]"/>
            <x15:cachedUniqueName index="1514" name="[dane].[Nr zamówienia].&amp;[PL-2012-054145]"/>
            <x15:cachedUniqueName index="1515" name="[dane].[Nr zamówienia].&amp;[PL-2012-054146]"/>
            <x15:cachedUniqueName index="1516" name="[dane].[Nr zamówienia].&amp;[PL-2012-054304]"/>
            <x15:cachedUniqueName index="1517" name="[dane].[Nr zamówienia].&amp;[PL-2012-054497]"/>
            <x15:cachedUniqueName index="1518" name="[dane].[Nr zamówienia].&amp;[PL-2012-054563]"/>
            <x15:cachedUniqueName index="1519" name="[dane].[Nr zamówienia].&amp;[PL-2012-054628]"/>
            <x15:cachedUniqueName index="1520" name="[dane].[Nr zamówienia].&amp;[PL-2012-055269]"/>
            <x15:cachedUniqueName index="1521" name="[dane].[Nr zamówienia].&amp;[PL-2012-056001]"/>
            <x15:cachedUniqueName index="1522" name="[dane].[Nr zamówienia].&amp;[PL-2012-056166]"/>
            <x15:cachedUniqueName index="1523" name="[dane].[Nr zamówienia].&amp;[PL-2012-056610]"/>
            <x15:cachedUniqueName index="1524" name="[dane].[Nr zamówienia].&amp;[PL-2012-056646]"/>
            <x15:cachedUniqueName index="1525" name="[dane].[Nr zamówienia].&amp;[PL-2012-056710]"/>
            <x15:cachedUniqueName index="1526" name="[dane].[Nr zamówienia].&amp;[PL-2012-056837]"/>
            <x15:cachedUniqueName index="1527" name="[dane].[Nr zamówienia].&amp;[PL-2012-056931]"/>
            <x15:cachedUniqueName index="1528" name="[dane].[Nr zamówienia].&amp;[PL-2012-057216]"/>
            <x15:cachedUniqueName index="1529" name="[dane].[Nr zamówienia].&amp;[PL-2012-057318]"/>
            <x15:cachedUniqueName index="1530" name="[dane].[Nr zamówienia].&amp;[PL-2012-058659]"/>
            <x15:cachedUniqueName index="1531" name="[dane].[Nr zamówienia].&amp;[PL-2012-058788]"/>
            <x15:cachedUniqueName index="1532" name="[dane].[Nr zamówienia].&amp;[PL-2012-058820]"/>
            <x15:cachedUniqueName index="1533" name="[dane].[Nr zamówienia].&amp;[PL-2012-059008]"/>
            <x15:cachedUniqueName index="1534" name="[dane].[Nr zamówienia].&amp;[PL-2012-059815]"/>
            <x15:cachedUniqueName index="1535" name="[dane].[Nr zamówienia].&amp;[PL-2012-085818]"/>
            <x15:cachedUniqueName index="1536" name="[dane].[Nr zamówienia].&amp;[PL-2012-085819]"/>
            <x15:cachedUniqueName index="1537" name="[dane].[Nr zamówienia].&amp;[PL-2012-085820]"/>
            <x15:cachedUniqueName index="1538" name="[dane].[Nr zamówienia].&amp;[PL-2012-085829]"/>
            <x15:cachedUniqueName index="1539" name="[dane].[Nr zamówienia].&amp;[PL-2012-085836]"/>
            <x15:cachedUniqueName index="1540" name="[dane].[Nr zamówienia].&amp;[PL-2012-085837]"/>
            <x15:cachedUniqueName index="1541" name="[dane].[Nr zamówienia].&amp;[PL-2012-085844]"/>
            <x15:cachedUniqueName index="1542" name="[dane].[Nr zamówienia].&amp;[PL-2012-085845]"/>
            <x15:cachedUniqueName index="1543" name="[dane].[Nr zamówienia].&amp;[PL-2012-085851]"/>
            <x15:cachedUniqueName index="1544" name="[dane].[Nr zamówienia].&amp;[PL-2012-085859]"/>
            <x15:cachedUniqueName index="1545" name="[dane].[Nr zamówienia].&amp;[PL-2012-085860]"/>
            <x15:cachedUniqueName index="1546" name="[dane].[Nr zamówienia].&amp;[PL-2012-085861]"/>
            <x15:cachedUniqueName index="1547" name="[dane].[Nr zamówienia].&amp;[PL-2012-085869]"/>
            <x15:cachedUniqueName index="1548" name="[dane].[Nr zamówienia].&amp;[PL-2012-085870]"/>
            <x15:cachedUniqueName index="1549" name="[dane].[Nr zamówienia].&amp;[PL-2012-085871]"/>
            <x15:cachedUniqueName index="1550" name="[dane].[Nr zamówienia].&amp;[PL-2012-085881]"/>
            <x15:cachedUniqueName index="1551" name="[dane].[Nr zamówienia].&amp;[PL-2012-085882]"/>
            <x15:cachedUniqueName index="1552" name="[dane].[Nr zamówienia].&amp;[PL-2012-085883]"/>
            <x15:cachedUniqueName index="1553" name="[dane].[Nr zamówienia].&amp;[PL-2012-085899]"/>
            <x15:cachedUniqueName index="1554" name="[dane].[Nr zamówienia].&amp;[PL-2012-085900]"/>
            <x15:cachedUniqueName index="1555" name="[dane].[Nr zamówienia].&amp;[PL-2012-085901]"/>
            <x15:cachedUniqueName index="1556" name="[dane].[Nr zamówienia].&amp;[PL-2012-085907]"/>
            <x15:cachedUniqueName index="1557" name="[dane].[Nr zamówienia].&amp;[PL-2012-085908]"/>
            <x15:cachedUniqueName index="1558" name="[dane].[Nr zamówienia].&amp;[PL-2012-085909]"/>
            <x15:cachedUniqueName index="1559" name="[dane].[Nr zamówienia].&amp;[PL-2012-085917]"/>
            <x15:cachedUniqueName index="1560" name="[dane].[Nr zamówienia].&amp;[PL-2012-085918]"/>
            <x15:cachedUniqueName index="1561" name="[dane].[Nr zamówienia].&amp;[PL-2012-085919]"/>
            <x15:cachedUniqueName index="1562" name="[dane].[Nr zamówienia].&amp;[PL-2012-085930]"/>
            <x15:cachedUniqueName index="1563" name="[dane].[Nr zamówienia].&amp;[PL-2012-085941]"/>
            <x15:cachedUniqueName index="1564" name="[dane].[Nr zamówienia].&amp;[PL-2012-085951]"/>
            <x15:cachedUniqueName index="1565" name="[dane].[Nr zamówienia].&amp;[PL-2012-085952]"/>
            <x15:cachedUniqueName index="1566" name="[dane].[Nr zamówienia].&amp;[PL-2012-085953]"/>
            <x15:cachedUniqueName index="1567" name="[dane].[Nr zamówienia].&amp;[PL-2012-085954]"/>
            <x15:cachedUniqueName index="1568" name="[dane].[Nr zamówienia].&amp;[PL-2012-085967]"/>
            <x15:cachedUniqueName index="1569" name="[dane].[Nr zamówienia].&amp;[PL-2012-085968]"/>
            <x15:cachedUniqueName index="1570" name="[dane].[Nr zamówienia].&amp;[PL-2012-085969]"/>
            <x15:cachedUniqueName index="1571" name="[dane].[Nr zamówienia].&amp;[PL-2012-085970]"/>
            <x15:cachedUniqueName index="1572" name="[dane].[Nr zamówienia].&amp;[PL-2012-085971]"/>
            <x15:cachedUniqueName index="1573" name="[dane].[Nr zamówienia].&amp;[PL-2012-085982]"/>
            <x15:cachedUniqueName index="1574" name="[dane].[Nr zamówienia].&amp;[PL-2012-085992]"/>
            <x15:cachedUniqueName index="1575" name="[dane].[Nr zamówienia].&amp;[PL-2012-085993]"/>
            <x15:cachedUniqueName index="1576" name="[dane].[Nr zamówienia].&amp;[PL-2012-085994]"/>
            <x15:cachedUniqueName index="1577" name="[dane].[Nr zamówienia].&amp;[PL-2012-086004]"/>
            <x15:cachedUniqueName index="1578" name="[dane].[Nr zamówienia].&amp;[PL-2012-086005]"/>
            <x15:cachedUniqueName index="1579" name="[dane].[Nr zamówienia].&amp;[PL-2012-086015]"/>
            <x15:cachedUniqueName index="1580" name="[dane].[Nr zamówienia].&amp;[PL-2012-086016]"/>
            <x15:cachedUniqueName index="1581" name="[dane].[Nr zamówienia].&amp;[PL-2012-086017]"/>
            <x15:cachedUniqueName index="1582" name="[dane].[Nr zamówienia].&amp;[PL-2012-086018]"/>
            <x15:cachedUniqueName index="1583" name="[dane].[Nr zamówienia].&amp;[PL-2012-086019]"/>
            <x15:cachedUniqueName index="1584" name="[dane].[Nr zamówienia].&amp;[PL-2012-086020]"/>
            <x15:cachedUniqueName index="1585" name="[dane].[Nr zamówienia].&amp;[PL-2012-086034]"/>
            <x15:cachedUniqueName index="1586" name="[dane].[Nr zamówienia].&amp;[PL-2012-086045]"/>
            <x15:cachedUniqueName index="1587" name="[dane].[Nr zamówienia].&amp;[PL-2012-086055]"/>
            <x15:cachedUniqueName index="1588" name="[dane].[Nr zamówienia].&amp;[PL-2012-086056]"/>
            <x15:cachedUniqueName index="1589" name="[dane].[Nr zamówienia].&amp;[PL-2012-086065]"/>
            <x15:cachedUniqueName index="1590" name="[dane].[Nr zamówienia].&amp;[PL-2012-086066]"/>
            <x15:cachedUniqueName index="1591" name="[dane].[Nr zamówienia].&amp;[PL-2012-086067]"/>
            <x15:cachedUniqueName index="1592" name="[dane].[Nr zamówienia].&amp;[PL-2012-086078]"/>
            <x15:cachedUniqueName index="1593" name="[dane].[Nr zamówienia].&amp;[PL-2012-086079]"/>
            <x15:cachedUniqueName index="1594" name="[dane].[Nr zamówienia].&amp;[PL-2012-086087]"/>
            <x15:cachedUniqueName index="1595" name="[dane].[Nr zamówienia].&amp;[PL-2012-086093]"/>
            <x15:cachedUniqueName index="1596" name="[dane].[Nr zamówienia].&amp;[PL-2012-086094]"/>
            <x15:cachedUniqueName index="1597" name="[dane].[Nr zamówienia].&amp;[PL-2012-086095]"/>
            <x15:cachedUniqueName index="1598" name="[dane].[Nr zamówienia].&amp;[PL-2012-086105]"/>
            <x15:cachedUniqueName index="1599" name="[dane].[Nr zamówienia].&amp;[PL-2012-086106]"/>
            <x15:cachedUniqueName index="1600" name="[dane].[Nr zamówienia].&amp;[PL-2012-086107]"/>
            <x15:cachedUniqueName index="1601" name="[dane].[Nr zamówienia].&amp;[PL-2012-086108]"/>
            <x15:cachedUniqueName index="1602" name="[dane].[Nr zamówienia].&amp;[PL-2012-086109]"/>
            <x15:cachedUniqueName index="1603" name="[dane].[Nr zamówienia].&amp;[PL-2012-086120]"/>
            <x15:cachedUniqueName index="1604" name="[dane].[Nr zamówienia].&amp;[PL-2012-086121]"/>
            <x15:cachedUniqueName index="1605" name="[dane].[Nr zamówienia].&amp;[PL-2012-086125]"/>
            <x15:cachedUniqueName index="1606" name="[dane].[Nr zamówienia].&amp;[PL-2012-086126]"/>
            <x15:cachedUniqueName index="1607" name="[dane].[Nr zamówienia].&amp;[PL-2012-086136]"/>
            <x15:cachedUniqueName index="1608" name="[dane].[Nr zamówienia].&amp;[PL-2012-086137]"/>
            <x15:cachedUniqueName index="1609" name="[dane].[Nr zamówienia].&amp;[PL-2012-086138]"/>
            <x15:cachedUniqueName index="1610" name="[dane].[Nr zamówienia].&amp;[PL-2012-086139]"/>
            <x15:cachedUniqueName index="1611" name="[dane].[Nr zamówienia].&amp;[PL-2012-086146]"/>
            <x15:cachedUniqueName index="1612" name="[dane].[Nr zamówienia].&amp;[PL-2012-086154]"/>
            <x15:cachedUniqueName index="1613" name="[dane].[Nr zamówienia].&amp;[PL-2012-086167]"/>
            <x15:cachedUniqueName index="1614" name="[dane].[Nr zamówienia].&amp;[PL-2012-086174]"/>
            <x15:cachedUniqueName index="1615" name="[dane].[Nr zamówienia].&amp;[PL-2012-086175]"/>
            <x15:cachedUniqueName index="1616" name="[dane].[Nr zamówienia].&amp;[PL-2012-086176]"/>
            <x15:cachedUniqueName index="1617" name="[dane].[Nr zamówienia].&amp;[PL-2012-086177]"/>
            <x15:cachedUniqueName index="1618" name="[dane].[Nr zamówienia].&amp;[PL-2012-086182]"/>
            <x15:cachedUniqueName index="1619" name="[dane].[Nr zamówienia].&amp;[PL-2012-086185]"/>
            <x15:cachedUniqueName index="1620" name="[dane].[Nr zamówienia].&amp;[PL-2012-086186]"/>
            <x15:cachedUniqueName index="1621" name="[dane].[Nr zamówienia].&amp;[PL-2012-086193]"/>
            <x15:cachedUniqueName index="1622" name="[dane].[Nr zamówienia].&amp;[PL-2012-086194]"/>
            <x15:cachedUniqueName index="1623" name="[dane].[Nr zamówienia].&amp;[PL-2012-086200]"/>
            <x15:cachedUniqueName index="1624" name="[dane].[Nr zamówienia].&amp;[PL-2012-086205]"/>
            <x15:cachedUniqueName index="1625" name="[dane].[Nr zamówienia].&amp;[PL-2012-086206]"/>
            <x15:cachedUniqueName index="1626" name="[dane].[Nr zamówienia].&amp;[PL-2012-086215]"/>
            <x15:cachedUniqueName index="1627" name="[dane].[Nr zamówienia].&amp;[PL-2012-086216]"/>
            <x15:cachedUniqueName index="1628" name="[dane].[Nr zamówienia].&amp;[PL-2012-086223]"/>
            <x15:cachedUniqueName index="1629" name="[dane].[Nr zamówienia].&amp;[PL-2012-086228]"/>
            <x15:cachedUniqueName index="1630" name="[dane].[Nr zamówienia].&amp;[PL-2012-086229]"/>
            <x15:cachedUniqueName index="1631" name="[dane].[Nr zamówienia].&amp;[PL-2012-086230]"/>
            <x15:cachedUniqueName index="1632" name="[dane].[Nr zamówienia].&amp;[PL-2012-086235]"/>
            <x15:cachedUniqueName index="1633" name="[dane].[Nr zamówienia].&amp;[PL-2012-086236]"/>
            <x15:cachedUniqueName index="1634" name="[dane].[Nr zamówienia].&amp;[PL-2012-086251]"/>
            <x15:cachedUniqueName index="1635" name="[dane].[Nr zamówienia].&amp;[PL-2012-086252]"/>
            <x15:cachedUniqueName index="1636" name="[dane].[Nr zamówienia].&amp;[PL-2012-086253]"/>
            <x15:cachedUniqueName index="1637" name="[dane].[Nr zamówienia].&amp;[PL-2012-086259]"/>
            <x15:cachedUniqueName index="1638" name="[dane].[Nr zamówienia].&amp;[PL-2012-086260]"/>
            <x15:cachedUniqueName index="1639" name="[dane].[Nr zamówienia].&amp;[PL-2012-086261]"/>
            <x15:cachedUniqueName index="1640" name="[dane].[Nr zamówienia].&amp;[PL-2012-086269]"/>
            <x15:cachedUniqueName index="1641" name="[dane].[Nr zamówienia].&amp;[PL-2012-086270]"/>
            <x15:cachedUniqueName index="1642" name="[dane].[Nr zamówienia].&amp;[PL-2012-086271]"/>
            <x15:cachedUniqueName index="1643" name="[dane].[Nr zamówienia].&amp;[PL-2012-086272]"/>
            <x15:cachedUniqueName index="1644" name="[dane].[Nr zamówienia].&amp;[PL-2012-086280]"/>
            <x15:cachedUniqueName index="1645" name="[dane].[Nr zamówienia].&amp;[PL-2012-086281]"/>
            <x15:cachedUniqueName index="1646" name="[dane].[Nr zamówienia].&amp;[PL-2012-086285]"/>
            <x15:cachedUniqueName index="1647" name="[dane].[Nr zamówienia].&amp;[PL-2012-086286]"/>
            <x15:cachedUniqueName index="1648" name="[dane].[Nr zamówienia].&amp;[PL-2012-086291]"/>
            <x15:cachedUniqueName index="1649" name="[dane].[Nr zamówienia].&amp;[PL-2012-086292]"/>
            <x15:cachedUniqueName index="1650" name="[dane].[Nr zamówienia].&amp;[PL-2012-086293]"/>
            <x15:cachedUniqueName index="1651" name="[dane].[Nr zamówienia].&amp;[PL-2012-086294]"/>
            <x15:cachedUniqueName index="1652" name="[dane].[Nr zamówienia].&amp;[PL-2012-086298]"/>
            <x15:cachedUniqueName index="1653" name="[dane].[Nr zamówienia].&amp;[PL-2012-086299]"/>
            <x15:cachedUniqueName index="1654" name="[dane].[Nr zamówienia].&amp;[PL-2012-086300]"/>
            <x15:cachedUniqueName index="1655" name="[dane].[Nr zamówienia].&amp;[PL-2012-086301]"/>
            <x15:cachedUniqueName index="1656" name="[dane].[Nr zamówienia].&amp;[PL-2012-086312]"/>
            <x15:cachedUniqueName index="1657" name="[dane].[Nr zamówienia].&amp;[PL-2012-086313]"/>
            <x15:cachedUniqueName index="1658" name="[dane].[Nr zamówienia].&amp;[PL-2012-086314]"/>
            <x15:cachedUniqueName index="1659" name="[dane].[Nr zamówienia].&amp;[PL-2012-086315]"/>
            <x15:cachedUniqueName index="1660" name="[dane].[Nr zamówienia].&amp;[PL-2012-086316]"/>
            <x15:cachedUniqueName index="1661" name="[dane].[Nr zamówienia].&amp;[PL-2012-086317]"/>
            <x15:cachedUniqueName index="1662" name="[dane].[Nr zamówienia].&amp;[PL-2012-086318]"/>
            <x15:cachedUniqueName index="1663" name="[dane].[Nr zamówienia].&amp;[PL-2012-086332]"/>
            <x15:cachedUniqueName index="1664" name="[dane].[Nr zamówienia].&amp;[PL-2012-086333]"/>
            <x15:cachedUniqueName index="1665" name="[dane].[Nr zamówienia].&amp;[PL-2012-086339]"/>
            <x15:cachedUniqueName index="1666" name="[dane].[Nr zamówienia].&amp;[PL-2012-086340]"/>
            <x15:cachedUniqueName index="1667" name="[dane].[Nr zamówienia].&amp;[PL-2012-086347]"/>
            <x15:cachedUniqueName index="1668" name="[dane].[Nr zamówienia].&amp;[PL-2012-086352]"/>
            <x15:cachedUniqueName index="1669" name="[dane].[Nr zamówienia].&amp;[PL-2012-086353]"/>
            <x15:cachedUniqueName index="1670" name="[dane].[Nr zamówienia].&amp;[PL-2012-086358]"/>
            <x15:cachedUniqueName index="1671" name="[dane].[Nr zamówienia].&amp;[PL-2012-086370]"/>
            <x15:cachedUniqueName index="1672" name="[dane].[Nr zamówienia].&amp;[PL-2012-086374]"/>
            <x15:cachedUniqueName index="1673" name="[dane].[Nr zamówienia].&amp;[PL-2012-086375]"/>
            <x15:cachedUniqueName index="1674" name="[dane].[Nr zamówienia].&amp;[PL-2012-086385]"/>
            <x15:cachedUniqueName index="1675" name="[dane].[Nr zamówienia].&amp;[PL-2012-086386]"/>
            <x15:cachedUniqueName index="1676" name="[dane].[Nr zamówienia].&amp;[PL-2012-086387]"/>
            <x15:cachedUniqueName index="1677" name="[dane].[Nr zamówienia].&amp;[PL-2012-086388]"/>
            <x15:cachedUniqueName index="1678" name="[dane].[Nr zamówienia].&amp;[PL-2012-086398]"/>
            <x15:cachedUniqueName index="1679" name="[dane].[Nr zamówienia].&amp;[PL-2012-086399]"/>
            <x15:cachedUniqueName index="1680" name="[dane].[Nr zamówienia].&amp;[PL-2012-086400]"/>
            <x15:cachedUniqueName index="1681" name="[dane].[Nr zamówienia].&amp;[PL-2012-086401]"/>
            <x15:cachedUniqueName index="1682" name="[dane].[Nr zamówienia].&amp;[PL-2012-086402]"/>
            <x15:cachedUniqueName index="1683" name="[dane].[Nr zamówienia].&amp;[PL-2012-086412]"/>
            <x15:cachedUniqueName index="1684" name="[dane].[Nr zamówienia].&amp;[PL-2012-086413]"/>
            <x15:cachedUniqueName index="1685" name="[dane].[Nr zamówienia].&amp;[PL-2012-086414]"/>
            <x15:cachedUniqueName index="1686" name="[dane].[Nr zamówienia].&amp;[PL-2012-086423]"/>
            <x15:cachedUniqueName index="1687" name="[dane].[Nr zamówienia].&amp;[PL-2012-086428]"/>
            <x15:cachedUniqueName index="1688" name="[dane].[Nr zamówienia].&amp;[PL-2012-086433]"/>
            <x15:cachedUniqueName index="1689" name="[dane].[Nr zamówienia].&amp;[PL-2012-086434]"/>
            <x15:cachedUniqueName index="1690" name="[dane].[Nr zamówienia].&amp;[PL-2012-086437]"/>
            <x15:cachedUniqueName index="1691" name="[dane].[Nr zamówienia].&amp;[PL-2012-086438]"/>
            <x15:cachedUniqueName index="1692" name="[dane].[Nr zamówienia].&amp;[PL-2012-086439]"/>
            <x15:cachedUniqueName index="1693" name="[dane].[Nr zamówienia].&amp;[PL-2012-086440]"/>
            <x15:cachedUniqueName index="1694" name="[dane].[Nr zamówienia].&amp;[PL-2012-086455]"/>
            <x15:cachedUniqueName index="1695" name="[dane].[Nr zamówienia].&amp;[PL-2012-086467]"/>
            <x15:cachedUniqueName index="1696" name="[dane].[Nr zamówienia].&amp;[PL-2012-086468]"/>
            <x15:cachedUniqueName index="1697" name="[dane].[Nr zamówienia].&amp;[PL-2012-086471]"/>
            <x15:cachedUniqueName index="1698" name="[dane].[Nr zamówienia].&amp;[PL-2012-086472]"/>
            <x15:cachedUniqueName index="1699" name="[dane].[Nr zamówienia].&amp;[PL-2012-086476]"/>
            <x15:cachedUniqueName index="1700" name="[dane].[Nr zamówienia].&amp;[PL-2012-086492]"/>
            <x15:cachedUniqueName index="1701" name="[dane].[Nr zamówienia].&amp;[PL-2012-086493]"/>
            <x15:cachedUniqueName index="1702" name="[dane].[Nr zamówienia].&amp;[PL-2012-086501]"/>
            <x15:cachedUniqueName index="1703" name="[dane].[Nr zamówienia].&amp;[PL-2012-086502]"/>
            <x15:cachedUniqueName index="1704" name="[dane].[Nr zamówienia].&amp;[PL-2012-086510]"/>
            <x15:cachedUniqueName index="1705" name="[dane].[Nr zamówienia].&amp;[PL-2012-086511]"/>
            <x15:cachedUniqueName index="1706" name="[dane].[Nr zamówienia].&amp;[PL-2012-086515]"/>
            <x15:cachedUniqueName index="1707" name="[dane].[Nr zamówienia].&amp;[PL-2012-086516]"/>
            <x15:cachedUniqueName index="1708" name="[dane].[Nr zamówienia].&amp;[PL-2012-086521]"/>
            <x15:cachedUniqueName index="1709" name="[dane].[Nr zamówienia].&amp;[PL-2012-086530]"/>
            <x15:cachedUniqueName index="1710" name="[dane].[Nr zamówienia].&amp;[PL-2012-086537]"/>
            <x15:cachedUniqueName index="1711" name="[dane].[Nr zamówienia].&amp;[PL-2012-086538]"/>
            <x15:cachedUniqueName index="1712" name="[dane].[Nr zamówienia].&amp;[PL-2012-086539]"/>
            <x15:cachedUniqueName index="1713" name="[dane].[Nr zamówienia].&amp;[PL-2012-086540]"/>
            <x15:cachedUniqueName index="1714" name="[dane].[Nr zamówienia].&amp;[PL-2012-086549]"/>
            <x15:cachedUniqueName index="1715" name="[dane].[Nr zamówienia].&amp;[PL-2012-086557]"/>
            <x15:cachedUniqueName index="1716" name="[dane].[Nr zamówienia].&amp;[PL-2012-086558]"/>
            <x15:cachedUniqueName index="1717" name="[dane].[Nr zamówienia].&amp;[PL-2012-086559]"/>
            <x15:cachedUniqueName index="1718" name="[dane].[Nr zamówienia].&amp;[PL-2012-086568]"/>
            <x15:cachedUniqueName index="1719" name="[dane].[Nr zamówienia].&amp;[PL-2012-086569]"/>
            <x15:cachedUniqueName index="1720" name="[dane].[Nr zamówienia].&amp;[PL-2012-086576]"/>
            <x15:cachedUniqueName index="1721" name="[dane].[Nr zamówienia].&amp;[PL-2012-086577]"/>
            <x15:cachedUniqueName index="1722" name="[dane].[Nr zamówienia].&amp;[PL-2012-086578]"/>
            <x15:cachedUniqueName index="1723" name="[dane].[Nr zamówienia].&amp;[PL-2012-086579]"/>
            <x15:cachedUniqueName index="1724" name="[dane].[Nr zamówienia].&amp;[PL-2012-086593]"/>
            <x15:cachedUniqueName index="1725" name="[dane].[Nr zamówienia].&amp;[PL-2012-086594]"/>
            <x15:cachedUniqueName index="1726" name="[dane].[Nr zamówienia].&amp;[PL-2012-086595]"/>
            <x15:cachedUniqueName index="1727" name="[dane].[Nr zamówienia].&amp;[PL-2012-086596]"/>
            <x15:cachedUniqueName index="1728" name="[dane].[Nr zamówienia].&amp;[PL-2012-086601]"/>
            <x15:cachedUniqueName index="1729" name="[dane].[Nr zamówienia].&amp;[PL-2012-086602]"/>
            <x15:cachedUniqueName index="1730" name="[dane].[Nr zamówienia].&amp;[PL-2012-086603]"/>
            <x15:cachedUniqueName index="1731" name="[dane].[Nr zamówienia].&amp;[PL-2012-086630]"/>
            <x15:cachedUniqueName index="1732" name="[dane].[Nr zamówienia].&amp;[PL-2012-086634]"/>
            <x15:cachedUniqueName index="1733" name="[dane].[Nr zamówienia].&amp;[PL-2012-086640]"/>
            <x15:cachedUniqueName index="1734" name="[dane].[Nr zamówienia].&amp;[PL-2012-086641]"/>
            <x15:cachedUniqueName index="1735" name="[dane].[Nr zamówienia].&amp;[PL-2012-086647]"/>
            <x15:cachedUniqueName index="1736" name="[dane].[Nr zamówienia].&amp;[PL-2012-086656]"/>
            <x15:cachedUniqueName index="1737" name="[dane].[Nr zamówienia].&amp;[PL-2012-086669]"/>
            <x15:cachedUniqueName index="1738" name="[dane].[Nr zamówienia].&amp;[PL-2012-086670]"/>
            <x15:cachedUniqueName index="1739" name="[dane].[Nr zamówienia].&amp;[PL-2012-086671]"/>
            <x15:cachedUniqueName index="1740" name="[dane].[Nr zamówienia].&amp;[PL-2012-086679]"/>
            <x15:cachedUniqueName index="1741" name="[dane].[Nr zamówienia].&amp;[PL-2012-086680]"/>
            <x15:cachedUniqueName index="1742" name="[dane].[Nr zamówienia].&amp;[PL-2012-086681]"/>
            <x15:cachedUniqueName index="1743" name="[dane].[Nr zamówienia].&amp;[PL-2012-086689]"/>
            <x15:cachedUniqueName index="1744" name="[dane].[Nr zamówienia].&amp;[PL-2012-086700]"/>
            <x15:cachedUniqueName index="1745" name="[dane].[Nr zamówienia].&amp;[PL-2012-086701]"/>
            <x15:cachedUniqueName index="1746" name="[dane].[Nr zamówienia].&amp;[PL-2012-086702]"/>
            <x15:cachedUniqueName index="1747" name="[dane].[Nr zamówienia].&amp;[PL-2012-086703]"/>
            <x15:cachedUniqueName index="1748" name="[dane].[Nr zamówienia].&amp;[PL-2012-086710]"/>
            <x15:cachedUniqueName index="1749" name="[dane].[Nr zamówienia].&amp;[PL-2012-086711]"/>
            <x15:cachedUniqueName index="1750" name="[dane].[Nr zamówienia].&amp;[PL-2012-086712]"/>
            <x15:cachedUniqueName index="1751" name="[dane].[Nr zamówienia].&amp;[PL-2012-086726]"/>
            <x15:cachedUniqueName index="1752" name="[dane].[Nr zamówienia].&amp;[PL-2012-086727]"/>
            <x15:cachedUniqueName index="1753" name="[dane].[Nr zamówienia].&amp;[PL-2012-086736]"/>
            <x15:cachedUniqueName index="1754" name="[dane].[Nr zamówienia].&amp;[PL-2012-086737]"/>
            <x15:cachedUniqueName index="1755" name="[dane].[Nr zamówienia].&amp;[PL-2012-086738]"/>
            <x15:cachedUniqueName index="1756" name="[dane].[Nr zamówienia].&amp;[PL-2012-086739]"/>
            <x15:cachedUniqueName index="1757" name="[dane].[Nr zamówienia].&amp;[PL-2012-086740]"/>
            <x15:cachedUniqueName index="1758" name="[dane].[Nr zamówienia].&amp;[PL-2012-086741]"/>
            <x15:cachedUniqueName index="1759" name="[dane].[Nr zamówienia].&amp;[PL-2012-086742]"/>
            <x15:cachedUniqueName index="1760" name="[dane].[Nr zamówienia].&amp;[PL-2012-086755]"/>
            <x15:cachedUniqueName index="1761" name="[dane].[Nr zamówienia].&amp;[PL-2012-086756]"/>
            <x15:cachedUniqueName index="1762" name="[dane].[Nr zamówienia].&amp;[PL-2012-086757]"/>
            <x15:cachedUniqueName index="1763" name="[dane].[Nr zamówienia].&amp;[PL-2012-086758]"/>
            <x15:cachedUniqueName index="1764" name="[dane].[Nr zamówienia].&amp;[PL-2012-086769]"/>
            <x15:cachedUniqueName index="1765" name="[dane].[Nr zamówienia].&amp;[PL-2012-086770]"/>
            <x15:cachedUniqueName index="1766" name="[dane].[Nr zamówienia].&amp;[PL-2012-086771]"/>
            <x15:cachedUniqueName index="1767" name="[dane].[Nr zamówienia].&amp;[PL-2012-086772]"/>
            <x15:cachedUniqueName index="1768" name="[dane].[Nr zamówienia].&amp;[PL-2012-086773]"/>
            <x15:cachedUniqueName index="1769" name="[dane].[Nr zamówienia].&amp;[PL-2012-086797]"/>
            <x15:cachedUniqueName index="1770" name="[dane].[Nr zamówienia].&amp;[PL-2012-086798]"/>
            <x15:cachedUniqueName index="1771" name="[dane].[Nr zamówienia].&amp;[PL-2012-086816]"/>
            <x15:cachedUniqueName index="1772" name="[dane].[Nr zamówienia].&amp;[PL-2012-086817]"/>
            <x15:cachedUniqueName index="1773" name="[dane].[Nr zamówienia].&amp;[PL-2012-086818]"/>
            <x15:cachedUniqueName index="1774" name="[dane].[Nr zamówienia].&amp;[PL-2012-086829]"/>
            <x15:cachedUniqueName index="1775" name="[dane].[Nr zamówienia].&amp;[PL-2012-086840]"/>
            <x15:cachedUniqueName index="1776" name="[dane].[Nr zamówienia].&amp;[PL-2012-086848]"/>
            <x15:cachedUniqueName index="1777" name="[dane].[Nr zamówienia].&amp;[PL-2012-086849]"/>
            <x15:cachedUniqueName index="1778" name="[dane].[Nr zamówienia].&amp;[PL-2012-086850]"/>
            <x15:cachedUniqueName index="1779" name="[dane].[Nr zamówienia].&amp;[PL-2012-086861]"/>
            <x15:cachedUniqueName index="1780" name="[dane].[Nr zamówienia].&amp;[PL-2012-086875]"/>
            <x15:cachedUniqueName index="1781" name="[dane].[Nr zamówienia].&amp;[PL-2012-086876]"/>
            <x15:cachedUniqueName index="1782" name="[dane].[Nr zamówienia].&amp;[PL-2012-086877]"/>
            <x15:cachedUniqueName index="1783" name="[dane].[Nr zamówienia].&amp;[PL-2012-086878]"/>
            <x15:cachedUniqueName index="1784" name="[dane].[Nr zamówienia].&amp;[PL-2012-086888]"/>
            <x15:cachedUniqueName index="1785" name="[dane].[Nr zamówienia].&amp;[PL-2012-086889]"/>
            <x15:cachedUniqueName index="1786" name="[dane].[Nr zamówienia].&amp;[PL-2012-086903]"/>
            <x15:cachedUniqueName index="1787" name="[dane].[Nr zamówienia].&amp;[PL-2012-086904]"/>
            <x15:cachedUniqueName index="1788" name="[dane].[Nr zamówienia].&amp;[PL-2012-086915]"/>
            <x15:cachedUniqueName index="1789" name="[dane].[Nr zamówienia].&amp;[PL-2012-086934]"/>
            <x15:cachedUniqueName index="1790" name="[dane].[Nr zamówienia].&amp;[PL-2012-086935]"/>
            <x15:cachedUniqueName index="1791" name="[dane].[Nr zamówienia].&amp;[PL-2012-086936]"/>
            <x15:cachedUniqueName index="1792" name="[dane].[Nr zamówienia].&amp;[PL-2012-086937]"/>
            <x15:cachedUniqueName index="1793" name="[dane].[Nr zamówienia].&amp;[PL-2012-086938]"/>
            <x15:cachedUniqueName index="1794" name="[dane].[Nr zamówienia].&amp;[PL-2012-086939]"/>
            <x15:cachedUniqueName index="1795" name="[dane].[Nr zamówienia].&amp;[PL-2012-086953]"/>
            <x15:cachedUniqueName index="1796" name="[dane].[Nr zamówienia].&amp;[PL-2012-086961]"/>
            <x15:cachedUniqueName index="1797" name="[dane].[Nr zamówienia].&amp;[PL-2012-086967]"/>
            <x15:cachedUniqueName index="1798" name="[dane].[Nr zamówienia].&amp;[PL-2012-086974]"/>
            <x15:cachedUniqueName index="1799" name="[dane].[Nr zamówienia].&amp;[PL-2012-086975]"/>
            <x15:cachedUniqueName index="1800" name="[dane].[Nr zamówienia].&amp;[PL-2012-086976]"/>
            <x15:cachedUniqueName index="1801" name="[dane].[Nr zamówienia].&amp;[PL-2012-086980]"/>
            <x15:cachedUniqueName index="1802" name="[dane].[Nr zamówienia].&amp;[PL-2012-086981]"/>
            <x15:cachedUniqueName index="1803" name="[dane].[Nr zamówienia].&amp;[PL-2012-086982]"/>
            <x15:cachedUniqueName index="1804" name="[dane].[Nr zamówienia].&amp;[PL-2012-086983]"/>
            <x15:cachedUniqueName index="1805" name="[dane].[Nr zamówienia].&amp;[PL-2012-086990]"/>
            <x15:cachedUniqueName index="1806" name="[dane].[Nr zamówienia].&amp;[PL-2012-086991]"/>
            <x15:cachedUniqueName index="1807" name="[dane].[Nr zamówienia].&amp;[PL-2012-086992]"/>
            <x15:cachedUniqueName index="1808" name="[dane].[Nr zamówienia].&amp;[PL-2012-086997]"/>
            <x15:cachedUniqueName index="1809" name="[dane].[Nr zamówienia].&amp;[PL-2012-086998]"/>
            <x15:cachedUniqueName index="1810" name="[dane].[Nr zamówienia].&amp;[PL-2012-087006]"/>
            <x15:cachedUniqueName index="1811" name="[dane].[Nr zamówienia].&amp;[PL-2012-087007]"/>
            <x15:cachedUniqueName index="1812" name="[dane].[Nr zamówienia].&amp;[PL-2012-087008]"/>
            <x15:cachedUniqueName index="1813" name="[dane].[Nr zamówienia].&amp;[PL-2012-087009]"/>
            <x15:cachedUniqueName index="1814" name="[dane].[Nr zamówienia].&amp;[PL-2012-087017]"/>
            <x15:cachedUniqueName index="1815" name="[dane].[Nr zamówienia].&amp;[PL-2012-087021]"/>
            <x15:cachedUniqueName index="1816" name="[dane].[Nr zamówienia].&amp;[PL-2012-087034]"/>
            <x15:cachedUniqueName index="1817" name="[dane].[Nr zamówienia].&amp;[PL-2012-087035]"/>
            <x15:cachedUniqueName index="1818" name="[dane].[Nr zamówienia].&amp;[PL-2012-087036]"/>
            <x15:cachedUniqueName index="1819" name="[dane].[Nr zamówienia].&amp;[PL-2012-087037]"/>
            <x15:cachedUniqueName index="1820" name="[dane].[Nr zamówienia].&amp;[PL-2012-087044]"/>
            <x15:cachedUniqueName index="1821" name="[dane].[Nr zamówienia].&amp;[PL-2012-087045]"/>
            <x15:cachedUniqueName index="1822" name="[dane].[Nr zamówienia].&amp;[PL-2012-087046]"/>
            <x15:cachedUniqueName index="1823" name="[dane].[Nr zamówienia].&amp;[PL-2012-087047]"/>
            <x15:cachedUniqueName index="1824" name="[dane].[Nr zamówienia].&amp;[PL-2012-087058]"/>
            <x15:cachedUniqueName index="1825" name="[dane].[Nr zamówienia].&amp;[PL-2012-087059]"/>
            <x15:cachedUniqueName index="1826" name="[dane].[Nr zamówienia].&amp;[PL-2012-087060]"/>
            <x15:cachedUniqueName index="1827" name="[dane].[Nr zamówienia].&amp;[PL-2012-087061]"/>
            <x15:cachedUniqueName index="1828" name="[dane].[Nr zamówienia].&amp;[PL-2012-087073]"/>
            <x15:cachedUniqueName index="1829" name="[dane].[Nr zamówienia].&amp;[PL-2012-087080]"/>
            <x15:cachedUniqueName index="1830" name="[dane].[Nr zamówienia].&amp;[PL-2012-087088]"/>
            <x15:cachedUniqueName index="1831" name="[dane].[Nr zamówienia].&amp;[PL-2012-087089]"/>
            <x15:cachedUniqueName index="1832" name="[dane].[Nr zamówienia].&amp;[PL-2012-087090]"/>
            <x15:cachedUniqueName index="1833" name="[dane].[Nr zamówienia].&amp;[PL-2012-087091]"/>
            <x15:cachedUniqueName index="1834" name="[dane].[Nr zamówienia].&amp;[PL-2012-087099]"/>
            <x15:cachedUniqueName index="1835" name="[dane].[Nr zamówienia].&amp;[PL-2012-087104]"/>
            <x15:cachedUniqueName index="1836" name="[dane].[Nr zamówienia].&amp;[PL-2012-087105]"/>
            <x15:cachedUniqueName index="1837" name="[dane].[Nr zamówienia].&amp;[PL-2012-087106]"/>
            <x15:cachedUniqueName index="1838" name="[dane].[Nr zamówienia].&amp;[PL-2012-087118]"/>
            <x15:cachedUniqueName index="1839" name="[dane].[Nr zamówienia].&amp;[PL-2012-087119]"/>
            <x15:cachedUniqueName index="1840" name="[dane].[Nr zamówienia].&amp;[PL-2012-087120]"/>
            <x15:cachedUniqueName index="1841" name="[dane].[Nr zamówienia].&amp;[PL-2012-087127]"/>
            <x15:cachedUniqueName index="1842" name="[dane].[Nr zamówienia].&amp;[PL-2012-087128]"/>
            <x15:cachedUniqueName index="1843" name="[dane].[Nr zamówienia].&amp;[PL-2012-087136]"/>
            <x15:cachedUniqueName index="1844" name="[dane].[Nr zamówienia].&amp;[PL-2012-087137]"/>
            <x15:cachedUniqueName index="1845" name="[dane].[Nr zamówienia].&amp;[PL-2012-087138]"/>
            <x15:cachedUniqueName index="1846" name="[dane].[Nr zamówienia].&amp;[PL-2012-087139]"/>
            <x15:cachedUniqueName index="1847" name="[dane].[Nr zamówienia].&amp;[PL-2012-087149]"/>
            <x15:cachedUniqueName index="1848" name="[dane].[Nr zamówienia].&amp;[PL-2012-087150]"/>
            <x15:cachedUniqueName index="1849" name="[dane].[Nr zamówienia].&amp;[PL-2012-087151]"/>
            <x15:cachedUniqueName index="1850" name="[dane].[Nr zamówienia].&amp;[PL-2012-087152]"/>
            <x15:cachedUniqueName index="1851" name="[dane].[Nr zamówienia].&amp;[PL-2012-087153]"/>
            <x15:cachedUniqueName index="1852" name="[dane].[Nr zamówienia].&amp;[PL-2012-087163]"/>
            <x15:cachedUniqueName index="1853" name="[dane].[Nr zamówienia].&amp;[PL-2012-087164]"/>
            <x15:cachedUniqueName index="1854" name="[dane].[Nr zamówienia].&amp;[PL-2012-087165]"/>
            <x15:cachedUniqueName index="1855" name="[dane].[Nr zamówienia].&amp;[PL-2012-087166]"/>
            <x15:cachedUniqueName index="1856" name="[dane].[Nr zamówienia].&amp;[PL-2012-087167]"/>
            <x15:cachedUniqueName index="1857" name="[dane].[Nr zamówienia].&amp;[PL-2012-087168]"/>
            <x15:cachedUniqueName index="1858" name="[dane].[Nr zamówienia].&amp;[PL-2012-087179]"/>
            <x15:cachedUniqueName index="1859" name="[dane].[Nr zamówienia].&amp;[PL-2012-087180]"/>
            <x15:cachedUniqueName index="1860" name="[dane].[Nr zamówienia].&amp;[PL-2012-087188]"/>
            <x15:cachedUniqueName index="1861" name="[dane].[Nr zamówienia].&amp;[PL-2012-087196]"/>
            <x15:cachedUniqueName index="1862" name="[dane].[Nr zamówienia].&amp;[PL-2012-087197]"/>
            <x15:cachedUniqueName index="1863" name="[dane].[Nr zamówienia].&amp;[PL-2012-087198]"/>
            <x15:cachedUniqueName index="1864" name="[dane].[Nr zamówienia].&amp;[PL-2012-087209]"/>
            <x15:cachedUniqueName index="1865" name="[dane].[Nr zamówienia].&amp;[PL-2012-087210]"/>
            <x15:cachedUniqueName index="1866" name="[dane].[Nr zamówienia].&amp;[PL-2012-087215]"/>
            <x15:cachedUniqueName index="1867" name="[dane].[Nr zamówienia].&amp;[PL-2012-087223]"/>
            <x15:cachedUniqueName index="1868" name="[dane].[Nr zamówienia].&amp;[PL-2012-087224]"/>
            <x15:cachedUniqueName index="1869" name="[dane].[Nr zamówienia].&amp;[PL-2012-087229]"/>
            <x15:cachedUniqueName index="1870" name="[dane].[Nr zamówienia].&amp;[PL-2012-087235]"/>
            <x15:cachedUniqueName index="1871" name="[dane].[Nr zamówienia].&amp;[PL-2012-087236]"/>
            <x15:cachedUniqueName index="1872" name="[dane].[Nr zamówienia].&amp;[PL-2012-087241]"/>
            <x15:cachedUniqueName index="1873" name="[dane].[Nr zamówienia].&amp;[PL-2012-087246]"/>
            <x15:cachedUniqueName index="1874" name="[dane].[Nr zamówienia].&amp;[PL-2012-087247]"/>
            <x15:cachedUniqueName index="1875" name="[dane].[Nr zamówienia].&amp;[PL-2012-087248]"/>
            <x15:cachedUniqueName index="1876" name="[dane].[Nr zamówienia].&amp;[PL-2012-087261]"/>
            <x15:cachedUniqueName index="1877" name="[dane].[Nr zamówienia].&amp;[PL-2012-087273]"/>
            <x15:cachedUniqueName index="1878" name="[dane].[Nr zamówienia].&amp;[PL-2012-087278]"/>
            <x15:cachedUniqueName index="1879" name="[dane].[Nr zamówienia].&amp;[PL-2012-087288]"/>
            <x15:cachedUniqueName index="1880" name="[dane].[Nr zamówienia].&amp;[PL-2012-087289]"/>
            <x15:cachedUniqueName index="1881" name="[dane].[Nr zamówienia].&amp;[PL-2012-087300]"/>
            <x15:cachedUniqueName index="1882" name="[dane].[Nr zamówienia].&amp;[PL-2012-087307]"/>
            <x15:cachedUniqueName index="1883" name="[dane].[Nr zamówienia].&amp;[PL-2012-087308]"/>
            <x15:cachedUniqueName index="1884" name="[dane].[Nr zamówienia].&amp;[PL-2012-087318]"/>
            <x15:cachedUniqueName index="1885" name="[dane].[Nr zamówienia].&amp;[PL-2012-087328]"/>
            <x15:cachedUniqueName index="1886" name="[dane].[Nr zamówienia].&amp;[PL-2012-087329]"/>
            <x15:cachedUniqueName index="1887" name="[dane].[Nr zamówienia].&amp;[PL-2012-087336]"/>
            <x15:cachedUniqueName index="1888" name="[dane].[Nr zamówienia].&amp;[PL-2012-087337]"/>
            <x15:cachedUniqueName index="1889" name="[dane].[Nr zamówienia].&amp;[PL-2012-087343]"/>
            <x15:cachedUniqueName index="1890" name="[dane].[Nr zamówienia].&amp;[PL-2012-087348]"/>
            <x15:cachedUniqueName index="1891" name="[dane].[Nr zamówienia].&amp;[PL-2012-087349]"/>
            <x15:cachedUniqueName index="1892" name="[dane].[Nr zamówienia].&amp;[PL-2012-087350]"/>
            <x15:cachedUniqueName index="1893" name="[dane].[Nr zamówienia].&amp;[PL-2012-087358]"/>
            <x15:cachedUniqueName index="1894" name="[dane].[Nr zamówienia].&amp;[PL-2012-087367]"/>
            <x15:cachedUniqueName index="1895" name="[dane].[Nr zamówienia].&amp;[PL-2012-087368]"/>
            <x15:cachedUniqueName index="1896" name="[dane].[Nr zamówienia].&amp;[PL-2012-087375]"/>
            <x15:cachedUniqueName index="1897" name="[dane].[Nr zamówienia].&amp;[PL-2012-087376]"/>
            <x15:cachedUniqueName index="1898" name="[dane].[Nr zamówienia].&amp;[PL-2012-087384]"/>
            <x15:cachedUniqueName index="1899" name="[dane].[Nr zamówienia].&amp;[PL-2012-087385]"/>
            <x15:cachedUniqueName index="1900" name="[dane].[Nr zamówienia].&amp;[PL-2012-087390]"/>
            <x15:cachedUniqueName index="1901" name="[dane].[Nr zamówienia].&amp;[PL-2012-087391]"/>
            <x15:cachedUniqueName index="1902" name="[dane].[Nr zamówienia].&amp;[PL-2012-087397]"/>
            <x15:cachedUniqueName index="1903" name="[dane].[Nr zamówienia].&amp;[PL-2012-087398]"/>
            <x15:cachedUniqueName index="1904" name="[dane].[Nr zamówienia].&amp;[PL-2012-087409]"/>
            <x15:cachedUniqueName index="1905" name="[dane].[Nr zamówienia].&amp;[PL-2012-087427]"/>
            <x15:cachedUniqueName index="1906" name="[dane].[Nr zamówienia].&amp;[PL-2012-087428]"/>
            <x15:cachedUniqueName index="1907" name="[dane].[Nr zamówienia].&amp;[PL-2012-087429]"/>
            <x15:cachedUniqueName index="1908" name="[dane].[Nr zamówienia].&amp;[PL-2012-087433]"/>
            <x15:cachedUniqueName index="1909" name="[dane].[Nr zamówienia].&amp;[PL-2012-087437]"/>
            <x15:cachedUniqueName index="1910" name="[dane].[Nr zamówienia].&amp;[PL-2012-087438]"/>
            <x15:cachedUniqueName index="1911" name="[dane].[Nr zamówienia].&amp;[PL-2012-087444]"/>
            <x15:cachedUniqueName index="1912" name="[dane].[Nr zamówienia].&amp;[PL-2012-087445]"/>
            <x15:cachedUniqueName index="1913" name="[dane].[Nr zamówienia].&amp;[PL-2012-087446]"/>
            <x15:cachedUniqueName index="1914" name="[dane].[Nr zamówienia].&amp;[PL-2012-087447]"/>
            <x15:cachedUniqueName index="1915" name="[dane].[Nr zamówienia].&amp;[PL-2012-087453]"/>
            <x15:cachedUniqueName index="1916" name="[dane].[Nr zamówienia].&amp;[PL-2012-087454]"/>
            <x15:cachedUniqueName index="1917" name="[dane].[Nr zamówienia].&amp;[PL-2012-087455]"/>
            <x15:cachedUniqueName index="1918" name="[dane].[Nr zamówienia].&amp;[PL-2012-087456]"/>
            <x15:cachedUniqueName index="1919" name="[dane].[Nr zamówienia].&amp;[PL-2012-087457]"/>
            <x15:cachedUniqueName index="1920" name="[dane].[Nr zamówienia].&amp;[PL-2012-087465]"/>
            <x15:cachedUniqueName index="1921" name="[dane].[Nr zamówienia].&amp;[PL-2012-087466]"/>
            <x15:cachedUniqueName index="1922" name="[dane].[Nr zamówienia].&amp;[PL-2012-087469]"/>
            <x15:cachedUniqueName index="1923" name="[dane].[Nr zamówienia].&amp;[PL-2012-087470]"/>
            <x15:cachedUniqueName index="1924" name="[dane].[Nr zamówienia].&amp;[PL-2012-087475]"/>
            <x15:cachedUniqueName index="1925" name="[dane].[Nr zamówienia].&amp;[PL-2012-087476]"/>
            <x15:cachedUniqueName index="1926" name="[dane].[Nr zamówienia].&amp;[PL-2012-087489]"/>
            <x15:cachedUniqueName index="1927" name="[dane].[Nr zamówienia].&amp;[PL-2012-087490]"/>
            <x15:cachedUniqueName index="1928" name="[dane].[Nr zamówienia].&amp;[PL-2012-087491]"/>
            <x15:cachedUniqueName index="1929" name="[dane].[Nr zamówienia].&amp;[PL-2012-087506]"/>
            <x15:cachedUniqueName index="1930" name="[dane].[Nr zamówienia].&amp;[PL-2012-087512]"/>
            <x15:cachedUniqueName index="1931" name="[dane].[Nr zamówienia].&amp;[PL-2012-087513]"/>
            <x15:cachedUniqueName index="1932" name="[dane].[Nr zamówienia].&amp;[PL-2012-087514]"/>
            <x15:cachedUniqueName index="1933" name="[dane].[Nr zamówienia].&amp;[PL-2012-087521]"/>
            <x15:cachedUniqueName index="1934" name="[dane].[Nr zamówienia].&amp;[PL-2012-087522]"/>
            <x15:cachedUniqueName index="1935" name="[dane].[Nr zamówienia].&amp;[PL-2012-087523]"/>
            <x15:cachedUniqueName index="1936" name="[dane].[Nr zamówienia].&amp;[PL-2012-087531]"/>
            <x15:cachedUniqueName index="1937" name="[dane].[Nr zamówienia].&amp;[PL-2012-087538]"/>
            <x15:cachedUniqueName index="1938" name="[dane].[Nr zamówienia].&amp;[PL-2012-087539]"/>
            <x15:cachedUniqueName index="1939" name="[dane].[Nr zamówienia].&amp;[PL-2012-087557]"/>
            <x15:cachedUniqueName index="1940" name="[dane].[Nr zamówienia].&amp;[PL-2012-087558]"/>
            <x15:cachedUniqueName index="1941" name="[dane].[Nr zamówienia].&amp;[PL-2012-087559]"/>
            <x15:cachedUniqueName index="1942" name="[dane].[Nr zamówienia].&amp;[PL-2012-087571]"/>
            <x15:cachedUniqueName index="1943" name="[dane].[Nr zamówienia].&amp;[PL-2012-087572]"/>
            <x15:cachedUniqueName index="1944" name="[dane].[Nr zamówienia].&amp;[PL-2012-087575]"/>
            <x15:cachedUniqueName index="1945" name="[dane].[Nr zamówienia].&amp;[PL-2012-087580]"/>
            <x15:cachedUniqueName index="1946" name="[dane].[Nr zamówienia].&amp;[PL-2012-087588]"/>
            <x15:cachedUniqueName index="1947" name="[dane].[Nr zamówienia].&amp;[PL-2012-087589]"/>
            <x15:cachedUniqueName index="1948" name="[dane].[Nr zamówienia].&amp;[PL-2012-087590]"/>
            <x15:cachedUniqueName index="1949" name="[dane].[Nr zamówienia].&amp;[PL-2012-087591]"/>
            <x15:cachedUniqueName index="1950" name="[dane].[Nr zamówienia].&amp;[PL-2012-087592]"/>
            <x15:cachedUniqueName index="1951" name="[dane].[Nr zamówienia].&amp;[PL-2012-087593]"/>
            <x15:cachedUniqueName index="1952" name="[dane].[Nr zamówienia].&amp;[PL-2012-087594]"/>
            <x15:cachedUniqueName index="1953" name="[dane].[Nr zamówienia].&amp;[PL-2012-087604]"/>
            <x15:cachedUniqueName index="1954" name="[dane].[Nr zamówienia].&amp;[PL-2012-087605]"/>
            <x15:cachedUniqueName index="1955" name="[dane].[Nr zamówienia].&amp;[PL-2012-087606]"/>
            <x15:cachedUniqueName index="1956" name="[dane].[Nr zamówienia].&amp;[PL-2012-087612]"/>
            <x15:cachedUniqueName index="1957" name="[dane].[Nr zamówienia].&amp;[PL-2012-087613]"/>
            <x15:cachedUniqueName index="1958" name="[dane].[Nr zamówienia].&amp;[PL-2012-087621]"/>
            <x15:cachedUniqueName index="1959" name="[dane].[Nr zamówienia].&amp;[PL-2012-087622]"/>
            <x15:cachedUniqueName index="1960" name="[dane].[Nr zamówienia].&amp;[PL-2012-087623]"/>
            <x15:cachedUniqueName index="1961" name="[dane].[Nr zamówienia].&amp;[PL-2012-087635]"/>
            <x15:cachedUniqueName index="1962" name="[dane].[Nr zamówienia].&amp;[PL-2012-087636]"/>
            <x15:cachedUniqueName index="1963" name="[dane].[Nr zamówienia].&amp;[PL-2012-087637]"/>
            <x15:cachedUniqueName index="1964" name="[dane].[Nr zamówienia].&amp;[PL-2012-087638]"/>
            <x15:cachedUniqueName index="1965" name="[dane].[Nr zamówienia].&amp;[PL-2012-087639]"/>
            <x15:cachedUniqueName index="1966" name="[dane].[Nr zamówienia].&amp;[PL-2012-087646]"/>
            <x15:cachedUniqueName index="1967" name="[dane].[Nr zamówienia].&amp;[PL-2012-087647]"/>
            <x15:cachedUniqueName index="1968" name="[dane].[Nr zamówienia].&amp;[PL-2012-087648]"/>
            <x15:cachedUniqueName index="1969" name="[dane].[Nr zamówienia].&amp;[PL-2012-087653]"/>
            <x15:cachedUniqueName index="1970" name="[dane].[Nr zamówienia].&amp;[PL-2012-087654]"/>
            <x15:cachedUniqueName index="1971" name="[dane].[Nr zamówienia].&amp;[PL-2012-087655]"/>
            <x15:cachedUniqueName index="1972" name="[dane].[Nr zamówienia].&amp;[PL-2012-087673]"/>
            <x15:cachedUniqueName index="1973" name="[dane].[Nr zamówienia].&amp;[PL-2012-087680]"/>
            <x15:cachedUniqueName index="1974" name="[dane].[Nr zamówienia].&amp;[PL-2012-087681]"/>
            <x15:cachedUniqueName index="1975" name="[dane].[Nr zamówienia].&amp;[PL-2012-087682]"/>
            <x15:cachedUniqueName index="1976" name="[dane].[Nr zamówienia].&amp;[PL-2012-087683]"/>
            <x15:cachedUniqueName index="1977" name="[dane].[Nr zamówienia].&amp;[PL-2012-087684]"/>
            <x15:cachedUniqueName index="1978" name="[dane].[Nr zamówienia].&amp;[PL-2012-087701]"/>
            <x15:cachedUniqueName index="1979" name="[dane].[Nr zamówienia].&amp;[PL-2012-087702]"/>
            <x15:cachedUniqueName index="1980" name="[dane].[Nr zamówienia].&amp;[PL-2012-087703]"/>
            <x15:cachedUniqueName index="1981" name="[dane].[Nr zamówienia].&amp;[PL-2012-087710]"/>
            <x15:cachedUniqueName index="1982" name="[dane].[Nr zamówienia].&amp;[PL-2012-087711]"/>
            <x15:cachedUniqueName index="1983" name="[dane].[Nr zamówienia].&amp;[PL-2012-087712]"/>
            <x15:cachedUniqueName index="1984" name="[dane].[Nr zamówienia].&amp;[PL-2012-087722]"/>
            <x15:cachedUniqueName index="1985" name="[dane].[Nr zamówienia].&amp;[PL-2012-087728]"/>
            <x15:cachedUniqueName index="1986" name="[dane].[Nr zamówienia].&amp;[PL-2012-087739]"/>
            <x15:cachedUniqueName index="1987" name="[dane].[Nr zamówienia].&amp;[PL-2012-087740]"/>
            <x15:cachedUniqueName index="1988" name="[dane].[Nr zamówienia].&amp;[PL-2012-087741]"/>
            <x15:cachedUniqueName index="1989" name="[dane].[Nr zamówienia].&amp;[PL-2012-087742]"/>
            <x15:cachedUniqueName index="1990" name="[dane].[Nr zamówienia].&amp;[PL-2012-087743]"/>
            <x15:cachedUniqueName index="1991" name="[dane].[Nr zamówienia].&amp;[PL-2012-087744]"/>
            <x15:cachedUniqueName index="1992" name="[dane].[Nr zamówienia].&amp;[PL-2012-087750]"/>
            <x15:cachedUniqueName index="1993" name="[dane].[Nr zamówienia].&amp;[PL-2012-087751]"/>
            <x15:cachedUniqueName index="1994" name="[dane].[Nr zamówienia].&amp;[PL-2012-087752]"/>
            <x15:cachedUniqueName index="1995" name="[dane].[Nr zamówienia].&amp;[PL-2012-087753]"/>
            <x15:cachedUniqueName index="1996" name="[dane].[Nr zamówienia].&amp;[PL-2012-087758]"/>
            <x15:cachedUniqueName index="1997" name="[dane].[Nr zamówienia].&amp;[PL-2012-087759]"/>
            <x15:cachedUniqueName index="1998" name="[dane].[Nr zamówienia].&amp;[PL-2012-087760]"/>
            <x15:cachedUniqueName index="1999" name="[dane].[Nr zamówienia].&amp;[PL-2012-087767]"/>
            <x15:cachedUniqueName index="2000" name="[dane].[Nr zamówienia].&amp;[PL-2012-087774]"/>
            <x15:cachedUniqueName index="2001" name="[dane].[Nr zamówienia].&amp;[PL-2012-087775]"/>
            <x15:cachedUniqueName index="2002" name="[dane].[Nr zamówienia].&amp;[PL-2012-087776]"/>
            <x15:cachedUniqueName index="2003" name="[dane].[Nr zamówienia].&amp;[PL-2012-087777]"/>
            <x15:cachedUniqueName index="2004" name="[dane].[Nr zamówienia].&amp;[PL-2012-087778]"/>
            <x15:cachedUniqueName index="2005" name="[dane].[Nr zamówienia].&amp;[PL-2012-087784]"/>
            <x15:cachedUniqueName index="2006" name="[dane].[Nr zamówienia].&amp;[PL-2012-087785]"/>
            <x15:cachedUniqueName index="2007" name="[dane].[Nr zamówienia].&amp;[PL-2012-087791]"/>
            <x15:cachedUniqueName index="2008" name="[dane].[Nr zamówienia].&amp;[PL-2012-087796]"/>
            <x15:cachedUniqueName index="2009" name="[dane].[Nr zamówienia].&amp;[PL-2012-087797]"/>
            <x15:cachedUniqueName index="2010" name="[dane].[Nr zamówienia].&amp;[PL-2012-087798]"/>
            <x15:cachedUniqueName index="2011" name="[dane].[Nr zamówienia].&amp;[PL-2012-087799]"/>
            <x15:cachedUniqueName index="2012" name="[dane].[Nr zamówienia].&amp;[PL-2012-087805]"/>
            <x15:cachedUniqueName index="2013" name="[dane].[Nr zamówienia].&amp;[PL-2012-087814]"/>
            <x15:cachedUniqueName index="2014" name="[dane].[Nr zamówienia].&amp;[PL-2012-087815]"/>
            <x15:cachedUniqueName index="2015" name="[dane].[Nr zamówienia].&amp;[PL-2012-087816]"/>
            <x15:cachedUniqueName index="2016" name="[dane].[Nr zamówienia].&amp;[PL-2012-087833]"/>
            <x15:cachedUniqueName index="2017" name="[dane].[Nr zamówienia].&amp;[PL-2012-087834]"/>
            <x15:cachedUniqueName index="2018" name="[dane].[Nr zamówienia].&amp;[PL-2012-087835]"/>
            <x15:cachedUniqueName index="2019" name="[dane].[Nr zamówienia].&amp;[PL-2012-087836]"/>
            <x15:cachedUniqueName index="2020" name="[dane].[Nr zamówienia].&amp;[PL-2012-087848]"/>
            <x15:cachedUniqueName index="2021" name="[dane].[Nr zamówienia].&amp;[PL-2012-087863]"/>
            <x15:cachedUniqueName index="2022" name="[dane].[Nr zamówienia].&amp;[PL-2012-087864]"/>
            <x15:cachedUniqueName index="2023" name="[dane].[Nr zamówienia].&amp;[PL-2012-087865]"/>
            <x15:cachedUniqueName index="2024" name="[dane].[Nr zamówienia].&amp;[PL-2012-087878]"/>
            <x15:cachedUniqueName index="2025" name="[dane].[Nr zamówienia].&amp;[PL-2012-087879]"/>
            <x15:cachedUniqueName index="2026" name="[dane].[Nr zamówienia].&amp;[PL-2012-087880]"/>
            <x15:cachedUniqueName index="2027" name="[dane].[Nr zamówienia].&amp;[PL-2012-087886]"/>
            <x15:cachedUniqueName index="2028" name="[dane].[Nr zamówienia].&amp;[PL-2012-087887]"/>
            <x15:cachedUniqueName index="2029" name="[dane].[Nr zamówienia].&amp;[PL-2012-087890]"/>
            <x15:cachedUniqueName index="2030" name="[dane].[Nr zamówienia].&amp;[PL-2012-087891]"/>
            <x15:cachedUniqueName index="2031" name="[dane].[Nr zamówienia].&amp;[PL-2012-087892]"/>
            <x15:cachedUniqueName index="2032" name="[dane].[Nr zamówienia].&amp;[PL-2012-087893]"/>
            <x15:cachedUniqueName index="2033" name="[dane].[Nr zamówienia].&amp;[PL-2012-087906]"/>
            <x15:cachedUniqueName index="2034" name="[dane].[Nr zamówienia].&amp;[PL-2012-087907]"/>
            <x15:cachedUniqueName index="2035" name="[dane].[Nr zamówienia].&amp;[PL-2012-087910]"/>
            <x15:cachedUniqueName index="2036" name="[dane].[Nr zamówienia].&amp;[PL-2012-087918]"/>
            <x15:cachedUniqueName index="2037" name="[dane].[Nr zamówienia].&amp;[PL-2012-087936]"/>
            <x15:cachedUniqueName index="2038" name="[dane].[Nr zamówienia].&amp;[PL-2012-087937]"/>
            <x15:cachedUniqueName index="2039" name="[dane].[Nr zamówienia].&amp;[PL-2012-087938]"/>
            <x15:cachedUniqueName index="2040" name="[dane].[Nr zamówienia].&amp;[PL-2012-087941]"/>
            <x15:cachedUniqueName index="2041" name="[dane].[Nr zamówienia].&amp;[PL-2012-087942]"/>
            <x15:cachedUniqueName index="2042" name="[dane].[Nr zamówienia].&amp;[PL-2012-087955]"/>
            <x15:cachedUniqueName index="2043" name="[dane].[Nr zamówienia].&amp;[PL-2012-087956]"/>
            <x15:cachedUniqueName index="2044" name="[dane].[Nr zamówienia].&amp;[PL-2012-087957]"/>
            <x15:cachedUniqueName index="2045" name="[dane].[Nr zamówienia].&amp;[PL-2012-087966]"/>
            <x15:cachedUniqueName index="2046" name="[dane].[Nr zamówienia].&amp;[PL-2012-087967]"/>
            <x15:cachedUniqueName index="2047" name="[dane].[Nr zamówienia].&amp;[PL-2012-087973]"/>
            <x15:cachedUniqueName index="2048" name="[dane].[Nr zamówienia].&amp;[PL-2012-087974]"/>
            <x15:cachedUniqueName index="2049" name="[dane].[Nr zamówienia].&amp;[PL-2012-087975]"/>
            <x15:cachedUniqueName index="2050" name="[dane].[Nr zamówienia].&amp;[PL-2012-087981]"/>
            <x15:cachedUniqueName index="2051" name="[dane].[Nr zamówienia].&amp;[PL-2012-087982]"/>
            <x15:cachedUniqueName index="2052" name="[dane].[Nr zamówienia].&amp;[PL-2012-087983]"/>
            <x15:cachedUniqueName index="2053" name="[dane].[Nr zamówienia].&amp;[PL-2012-087984]"/>
            <x15:cachedUniqueName index="2054" name="[dane].[Nr zamówienia].&amp;[PL-2012-088000]"/>
            <x15:cachedUniqueName index="2055" name="[dane].[Nr zamówienia].&amp;[PL-2012-088001]"/>
            <x15:cachedUniqueName index="2056" name="[dane].[Nr zamówienia].&amp;[PL-2012-088002]"/>
            <x15:cachedUniqueName index="2057" name="[dane].[Nr zamówienia].&amp;[PL-2012-088005]"/>
            <x15:cachedUniqueName index="2058" name="[dane].[Nr zamówienia].&amp;[PL-2012-088006]"/>
            <x15:cachedUniqueName index="2059" name="[dane].[Nr zamówienia].&amp;[PL-2012-088018]"/>
            <x15:cachedUniqueName index="2060" name="[dane].[Nr zamówienia].&amp;[PL-2012-088024]"/>
            <x15:cachedUniqueName index="2061" name="[dane].[Nr zamówienia].&amp;[PL-2012-088031]"/>
            <x15:cachedUniqueName index="2062" name="[dane].[Nr zamówienia].&amp;[PL-2012-088032]"/>
            <x15:cachedUniqueName index="2063" name="[dane].[Nr zamówienia].&amp;[PL-2012-088042]"/>
            <x15:cachedUniqueName index="2064" name="[dane].[Nr zamówienia].&amp;[PL-2012-088049]"/>
            <x15:cachedUniqueName index="2065" name="[dane].[Nr zamówienia].&amp;[PL-2012-088050]"/>
            <x15:cachedUniqueName index="2066" name="[dane].[Nr zamówienia].&amp;[PL-2012-088051]"/>
            <x15:cachedUniqueName index="2067" name="[dane].[Nr zamówienia].&amp;[PL-2012-088062]"/>
            <x15:cachedUniqueName index="2068" name="[dane].[Nr zamówienia].&amp;[PL-2012-088063]"/>
            <x15:cachedUniqueName index="2069" name="[dane].[Nr zamówienia].&amp;[PL-2012-088064]"/>
            <x15:cachedUniqueName index="2070" name="[dane].[Nr zamówienia].&amp;[PL-2012-088071]"/>
            <x15:cachedUniqueName index="2071" name="[dane].[Nr zamówienia].&amp;[PL-2012-088076]"/>
            <x15:cachedUniqueName index="2072" name="[dane].[Nr zamówienia].&amp;[PL-2012-088077]"/>
            <x15:cachedUniqueName index="2073" name="[dane].[Nr zamówienia].&amp;[PL-2012-088086]"/>
            <x15:cachedUniqueName index="2074" name="[dane].[Nr zamówienia].&amp;[PL-2012-088106]"/>
            <x15:cachedUniqueName index="2075" name="[dane].[Nr zamówienia].&amp;[PL-2012-088107]"/>
            <x15:cachedUniqueName index="2076" name="[dane].[Nr zamówienia].&amp;[PL-2012-088108]"/>
            <x15:cachedUniqueName index="2077" name="[dane].[Nr zamówienia].&amp;[PL-2012-088115]"/>
            <x15:cachedUniqueName index="2078" name="[dane].[Nr zamówienia].&amp;[PL-2012-088116]"/>
            <x15:cachedUniqueName index="2079" name="[dane].[Nr zamówienia].&amp;[PL-2012-088126]"/>
            <x15:cachedUniqueName index="2080" name="[dane].[Nr zamówienia].&amp;[PL-2012-088127]"/>
            <x15:cachedUniqueName index="2081" name="[dane].[Nr zamówienia].&amp;[PL-2012-088138]"/>
            <x15:cachedUniqueName index="2082" name="[dane].[Nr zamówienia].&amp;[PL-2012-088139]"/>
            <x15:cachedUniqueName index="2083" name="[dane].[Nr zamówienia].&amp;[PL-2012-088140]"/>
            <x15:cachedUniqueName index="2084" name="[dane].[Nr zamówienia].&amp;[PL-2012-088166]"/>
            <x15:cachedUniqueName index="2085" name="[dane].[Nr zamówienia].&amp;[PL-2012-088167]"/>
            <x15:cachedUniqueName index="2086" name="[dane].[Nr zamówienia].&amp;[PL-2012-088175]"/>
            <x15:cachedUniqueName index="2087" name="[dane].[Nr zamówienia].&amp;[PL-2012-088176]"/>
            <x15:cachedUniqueName index="2088" name="[dane].[Nr zamówienia].&amp;[PL-2012-088177]"/>
            <x15:cachedUniqueName index="2089" name="[dane].[Nr zamówienia].&amp;[PL-2012-088178]"/>
            <x15:cachedUniqueName index="2090" name="[dane].[Nr zamówienia].&amp;[PL-2012-088186]"/>
            <x15:cachedUniqueName index="2091" name="[dane].[Nr zamówienia].&amp;[PL-2012-088187]"/>
            <x15:cachedUniqueName index="2092" name="[dane].[Nr zamówienia].&amp;[PL-2012-088206]"/>
            <x15:cachedUniqueName index="2093" name="[dane].[Nr zamówienia].&amp;[PL-2012-088207]"/>
            <x15:cachedUniqueName index="2094" name="[dane].[Nr zamówienia].&amp;[PL-2012-088208]"/>
            <x15:cachedUniqueName index="2095" name="[dane].[Nr zamówienia].&amp;[PL-2012-088214]"/>
            <x15:cachedUniqueName index="2096" name="[dane].[Nr zamówienia].&amp;[PL-2012-088215]"/>
            <x15:cachedUniqueName index="2097" name="[dane].[Nr zamówienia].&amp;[PL-2012-088221]"/>
            <x15:cachedUniqueName index="2098" name="[dane].[Nr zamówienia].&amp;[PL-2012-088222]"/>
            <x15:cachedUniqueName index="2099" name="[dane].[Nr zamówienia].&amp;[PL-2012-088223]"/>
            <x15:cachedUniqueName index="2100" name="[dane].[Nr zamówienia].&amp;[PL-2012-088242]"/>
            <x15:cachedUniqueName index="2101" name="[dane].[Nr zamówienia].&amp;[PL-2012-088243]"/>
            <x15:cachedUniqueName index="2102" name="[dane].[Nr zamówienia].&amp;[PL-2012-088244]"/>
            <x15:cachedUniqueName index="2103" name="[dane].[Nr zamówienia].&amp;[PL-2012-088245]"/>
            <x15:cachedUniqueName index="2104" name="[dane].[Nr zamówienia].&amp;[PL-2012-088253]"/>
            <x15:cachedUniqueName index="2105" name="[dane].[Nr zamówienia].&amp;[PL-2012-088254]"/>
            <x15:cachedUniqueName index="2106" name="[dane].[Nr zamówienia].&amp;[PL-2012-088257]"/>
            <x15:cachedUniqueName index="2107" name="[dane].[Nr zamówienia].&amp;[PL-2012-088258]"/>
            <x15:cachedUniqueName index="2108" name="[dane].[Nr zamówienia].&amp;[PL-2012-088259]"/>
            <x15:cachedUniqueName index="2109" name="[dane].[Nr zamówienia].&amp;[PL-2012-088260]"/>
            <x15:cachedUniqueName index="2110" name="[dane].[Nr zamówienia].&amp;[PL-2012-088261]"/>
            <x15:cachedUniqueName index="2111" name="[dane].[Nr zamówienia].&amp;[PL-2012-088269]"/>
            <x15:cachedUniqueName index="2112" name="[dane].[Nr zamówienia].&amp;[PL-2012-088270]"/>
            <x15:cachedUniqueName index="2113" name="[dane].[Nr zamówienia].&amp;[PL-2012-088283]"/>
            <x15:cachedUniqueName index="2114" name="[dane].[Nr zamówienia].&amp;[PL-2012-088284]"/>
            <x15:cachedUniqueName index="2115" name="[dane].[Nr zamówienia].&amp;[PL-2012-088299]"/>
            <x15:cachedUniqueName index="2116" name="[dane].[Nr zamówienia].&amp;[PL-2012-088300]"/>
            <x15:cachedUniqueName index="2117" name="[dane].[Nr zamówienia].&amp;[PL-2012-088301]"/>
            <x15:cachedUniqueName index="2118" name="[dane].[Nr zamówienia].&amp;[PL-2012-088302]"/>
            <x15:cachedUniqueName index="2119" name="[dane].[Nr zamówienia].&amp;[PL-2012-088303]"/>
            <x15:cachedUniqueName index="2120" name="[dane].[Nr zamówienia].&amp;[PL-2012-088314]"/>
            <x15:cachedUniqueName index="2121" name="[dane].[Nr zamówienia].&amp;[PL-2012-088321]"/>
            <x15:cachedUniqueName index="2122" name="[dane].[Nr zamówienia].&amp;[PL-2012-088322]"/>
            <x15:cachedUniqueName index="2123" name="[dane].[Nr zamówienia].&amp;[PL-2012-088331]"/>
            <x15:cachedUniqueName index="2124" name="[dane].[Nr zamówienia].&amp;[PL-2012-088332]"/>
            <x15:cachedUniqueName index="2125" name="[dane].[Nr zamówienia].&amp;[PL-2012-088349]"/>
            <x15:cachedUniqueName index="2126" name="[dane].[Nr zamówienia].&amp;[PL-2012-088350]"/>
            <x15:cachedUniqueName index="2127" name="[dane].[Nr zamówienia].&amp;[PL-2012-088351]"/>
            <x15:cachedUniqueName index="2128" name="[dane].[Nr zamówienia].&amp;[PL-2012-088352]"/>
            <x15:cachedUniqueName index="2129" name="[dane].[Nr zamówienia].&amp;[PL-2012-088362]"/>
            <x15:cachedUniqueName index="2130" name="[dane].[Nr zamówienia].&amp;[PL-2012-088363]"/>
            <x15:cachedUniqueName index="2131" name="[dane].[Nr zamówienia].&amp;[PL-2012-088369]"/>
            <x15:cachedUniqueName index="2132" name="[dane].[Nr zamówienia].&amp;[PL-2012-088370]"/>
            <x15:cachedUniqueName index="2133" name="[dane].[Nr zamówienia].&amp;[PL-2012-088373]"/>
            <x15:cachedUniqueName index="2134" name="[dane].[Nr zamówienia].&amp;[PL-2012-088377]"/>
            <x15:cachedUniqueName index="2135" name="[dane].[Nr zamówienia].&amp;[PL-2012-088378]"/>
            <x15:cachedUniqueName index="2136" name="[dane].[Nr zamówienia].&amp;[PL-2012-088379]"/>
            <x15:cachedUniqueName index="2137" name="[dane].[Nr zamówienia].&amp;[PL-2012-088381]"/>
            <x15:cachedUniqueName index="2138" name="[dane].[Nr zamówienia].&amp;[PL-2012-088392]"/>
            <x15:cachedUniqueName index="2139" name="[dane].[Nr zamówienia].&amp;[PL-2012-088393]"/>
            <x15:cachedUniqueName index="2140" name="[dane].[Nr zamówienia].&amp;[PL-2012-088407]"/>
            <x15:cachedUniqueName index="2141" name="[dane].[Nr zamówienia].&amp;[PL-2012-088412]"/>
            <x15:cachedUniqueName index="2142" name="[dane].[Nr zamówienia].&amp;[PL-2012-088413]"/>
            <x15:cachedUniqueName index="2143" name="[dane].[Nr zamówienia].&amp;[PL-2012-088419]"/>
            <x15:cachedUniqueName index="2144" name="[dane].[Nr zamówienia].&amp;[PL-2012-088421]"/>
            <x15:cachedUniqueName index="2145" name="[dane].[Nr zamówienia].&amp;[PL-2012-088422]"/>
            <x15:cachedUniqueName index="2146" name="[dane].[Nr zamówienia].&amp;[PL-2012-088423]"/>
            <x15:cachedUniqueName index="2147" name="[dane].[Nr zamówienia].&amp;[PL-2012-088427]"/>
            <x15:cachedUniqueName index="2148" name="[dane].[Nr zamówienia].&amp;[PL-2012-088430]"/>
            <x15:cachedUniqueName index="2149" name="[dane].[Nr zamówienia].&amp;[PL-2012-088434]"/>
            <x15:cachedUniqueName index="2150" name="[dane].[Nr zamówienia].&amp;[PL-2012-088436]"/>
            <x15:cachedUniqueName index="2151" name="[dane].[Nr zamówienia].&amp;[PL-2012-088437]"/>
            <x15:cachedUniqueName index="2152" name="[dane].[Nr zamówienia].&amp;[PL-2012-088445]"/>
            <x15:cachedUniqueName index="2153" name="[dane].[Nr zamówienia].&amp;[PL-2012-088450]"/>
            <x15:cachedUniqueName index="2154" name="[dane].[Nr zamówienia].&amp;[PL-2012-088453]"/>
            <x15:cachedUniqueName index="2155" name="[dane].[Nr zamówienia].&amp;[PL-2012-088462]"/>
            <x15:cachedUniqueName index="2156" name="[dane].[Nr zamówienia].&amp;[PL-2012-088463]"/>
            <x15:cachedUniqueName index="2157" name="[dane].[Nr zamówienia].&amp;[PL-2012-088470]"/>
            <x15:cachedUniqueName index="2158" name="[dane].[Nr zamówienia].&amp;[PL-2012-088471]"/>
            <x15:cachedUniqueName index="2159" name="[dane].[Nr zamówienia].&amp;[PL-2012-088472]"/>
            <x15:cachedUniqueName index="2160" name="[dane].[Nr zamówienia].&amp;[PL-2012-088476]"/>
            <x15:cachedUniqueName index="2161" name="[dane].[Nr zamówienia].&amp;[PL-2012-088481]"/>
            <x15:cachedUniqueName index="2162" name="[dane].[Nr zamówienia].&amp;[PL-2012-088482]"/>
            <x15:cachedUniqueName index="2163" name="[dane].[Nr zamówienia].&amp;[PL-2012-088488]"/>
            <x15:cachedUniqueName index="2164" name="[dane].[Nr zamówienia].&amp;[PL-2012-088489]"/>
            <x15:cachedUniqueName index="2165" name="[dane].[Nr zamówienia].&amp;[PL-2012-088490]"/>
            <x15:cachedUniqueName index="2166" name="[dane].[Nr zamówienia].&amp;[PL-2012-088491]"/>
            <x15:cachedUniqueName index="2167" name="[dane].[Nr zamówienia].&amp;[PL-2012-088492]"/>
            <x15:cachedUniqueName index="2168" name="[dane].[Nr zamówienia].&amp;[PL-2012-088493]"/>
            <x15:cachedUniqueName index="2169" name="[dane].[Nr zamówienia].&amp;[PL-2012-088505]"/>
            <x15:cachedUniqueName index="2170" name="[dane].[Nr zamówienia].&amp;[PL-2012-088506]"/>
            <x15:cachedUniqueName index="2171" name="[dane].[Nr zamówienia].&amp;[PL-2012-088512]"/>
            <x15:cachedUniqueName index="2172" name="[dane].[Nr zamówienia].&amp;[PL-2012-088513]"/>
            <x15:cachedUniqueName index="2173" name="[dane].[Nr zamówienia].&amp;[PL-2012-088517]"/>
            <x15:cachedUniqueName index="2174" name="[dane].[Nr zamówienia].&amp;[PL-2012-088523]"/>
            <x15:cachedUniqueName index="2175" name="[dane].[Nr zamówienia].&amp;[PL-2012-088524]"/>
            <x15:cachedUniqueName index="2176" name="[dane].[Nr zamówienia].&amp;[PL-2012-088528]"/>
            <x15:cachedUniqueName index="2177" name="[dane].[Nr zamówienia].&amp;[PL-2012-088529]"/>
            <x15:cachedUniqueName index="2178" name="[dane].[Nr zamówienia].&amp;[PL-2012-088540]"/>
            <x15:cachedUniqueName index="2179" name="[dane].[Nr zamówienia].&amp;[PL-2012-088559]"/>
            <x15:cachedUniqueName index="2180" name="[dane].[Nr zamówienia].&amp;[PL-2012-088560]"/>
            <x15:cachedUniqueName index="2181" name="[dane].[Nr zamówienia].&amp;[PL-2012-088581]"/>
            <x15:cachedUniqueName index="2182" name="[dane].[Nr zamówienia].&amp;[PL-2012-088582]"/>
            <x15:cachedUniqueName index="2183" name="[dane].[Nr zamówienia].&amp;[PL-2012-088591]"/>
            <x15:cachedUniqueName index="2184" name="[dane].[Nr zamówienia].&amp;[PL-2012-088592]"/>
            <x15:cachedUniqueName index="2185" name="[dane].[Nr zamówienia].&amp;[PL-2012-088593]"/>
            <x15:cachedUniqueName index="2186" name="[dane].[Nr zamówienia].&amp;[PL-2012-088594]"/>
            <x15:cachedUniqueName index="2187" name="[dane].[Nr zamówienia].&amp;[PL-2012-088601]"/>
            <x15:cachedUniqueName index="2188" name="[dane].[Nr zamówienia].&amp;[PL-2012-088613]"/>
            <x15:cachedUniqueName index="2189" name="[dane].[Nr zamówienia].&amp;[PL-2012-088619]"/>
            <x15:cachedUniqueName index="2190" name="[dane].[Nr zamówienia].&amp;[PL-2012-088620]"/>
            <x15:cachedUniqueName index="2191" name="[dane].[Nr zamówienia].&amp;[PL-2012-088624]"/>
            <x15:cachedUniqueName index="2192" name="[dane].[Nr zamówienia].&amp;[PL-2012-088635]"/>
            <x15:cachedUniqueName index="2193" name="[dane].[Nr zamówienia].&amp;[PL-2012-088636]"/>
            <x15:cachedUniqueName index="2194" name="[dane].[Nr zamówienia].&amp;[PL-2012-088647]"/>
            <x15:cachedUniqueName index="2195" name="[dane].[Nr zamówienia].&amp;[PL-2012-088648]"/>
            <x15:cachedUniqueName index="2196" name="[dane].[Nr zamówienia].&amp;[PL-2012-088649]"/>
            <x15:cachedUniqueName index="2197" name="[dane].[Nr zamówienia].&amp;[PL-2012-088650]"/>
            <x15:cachedUniqueName index="2198" name="[dane].[Nr zamówienia].&amp;[PL-2012-088651]"/>
            <x15:cachedUniqueName index="2199" name="[dane].[Nr zamówienia].&amp;[PL-2012-088659]"/>
            <x15:cachedUniqueName index="2200" name="[dane].[Nr zamówienia].&amp;[PL-2012-088660]"/>
            <x15:cachedUniqueName index="2201" name="[dane].[Nr zamówienia].&amp;[PL-2012-088669]"/>
            <x15:cachedUniqueName index="2202" name="[dane].[Nr zamówienia].&amp;[PL-2012-088670]"/>
            <x15:cachedUniqueName index="2203" name="[dane].[Nr zamówienia].&amp;[PL-2012-088682]"/>
            <x15:cachedUniqueName index="2204" name="[dane].[Nr zamówienia].&amp;[PL-2012-088693]"/>
            <x15:cachedUniqueName index="2205" name="[dane].[Nr zamówienia].&amp;[PL-2012-088695]"/>
            <x15:cachedUniqueName index="2206" name="[dane].[Nr zamówienia].&amp;[PL-2012-088696]"/>
            <x15:cachedUniqueName index="2207" name="[dane].[Nr zamówienia].&amp;[PL-2012-088703]"/>
            <x15:cachedUniqueName index="2208" name="[dane].[Nr zamówienia].&amp;[PL-2012-088723]"/>
            <x15:cachedUniqueName index="2209" name="[dane].[Nr zamówienia].&amp;[PL-2012-088732]"/>
            <x15:cachedUniqueName index="2210" name="[dane].[Nr zamówienia].&amp;[PL-2012-088733]"/>
            <x15:cachedUniqueName index="2211" name="[dane].[Nr zamówienia].&amp;[PL-2012-088734]"/>
            <x15:cachedUniqueName index="2212" name="[dane].[Nr zamówienia].&amp;[PL-2012-088735]"/>
            <x15:cachedUniqueName index="2213" name="[dane].[Nr zamówienia].&amp;[PL-2012-088736]"/>
            <x15:cachedUniqueName index="2214" name="[dane].[Nr zamówienia].&amp;[PL-2012-088747]"/>
            <x15:cachedUniqueName index="2215" name="[dane].[Nr zamówienia].&amp;[PL-2012-088748]"/>
            <x15:cachedUniqueName index="2216" name="[dane].[Nr zamówienia].&amp;[PL-2012-088754]"/>
            <x15:cachedUniqueName index="2217" name="[dane].[Nr zamówienia].&amp;[PL-2012-088759]"/>
            <x15:cachedUniqueName index="2218" name="[dane].[Nr zamówienia].&amp;[PL-2012-088760]"/>
            <x15:cachedUniqueName index="2219" name="[dane].[Nr zamówienia].&amp;[PL-2012-088767]"/>
            <x15:cachedUniqueName index="2220" name="[dane].[Nr zamówienia].&amp;[PL-2012-088768]"/>
            <x15:cachedUniqueName index="2221" name="[dane].[Nr zamówienia].&amp;[PL-2012-088769]"/>
            <x15:cachedUniqueName index="2222" name="[dane].[Nr zamówienia].&amp;[PL-2012-088770]"/>
            <x15:cachedUniqueName index="2223" name="[dane].[Nr zamówienia].&amp;[PL-2012-088772]"/>
            <x15:cachedUniqueName index="2224" name="[dane].[Nr zamówienia].&amp;[PL-2012-088773]"/>
            <x15:cachedUniqueName index="2225" name="[dane].[Nr zamówienia].&amp;[PL-2012-088774]"/>
            <x15:cachedUniqueName index="2226" name="[dane].[Nr zamówienia].&amp;[PL-2012-088775]"/>
            <x15:cachedUniqueName index="2227" name="[dane].[Nr zamówienia].&amp;[PL-2012-088776]"/>
            <x15:cachedUniqueName index="2228" name="[dane].[Nr zamówienia].&amp;[PL-2012-088785]"/>
            <x15:cachedUniqueName index="2229" name="[dane].[Nr zamówienia].&amp;[PL-2012-088786]"/>
            <x15:cachedUniqueName index="2230" name="[dane].[Nr zamówienia].&amp;[PL-2012-088787]"/>
            <x15:cachedUniqueName index="2231" name="[dane].[Nr zamówienia].&amp;[PL-2012-088795]"/>
            <x15:cachedUniqueName index="2232" name="[dane].[Nr zamówienia].&amp;[PL-2012-088799]"/>
            <x15:cachedUniqueName index="2233" name="[dane].[Nr zamówienia].&amp;[PL-2012-088800]"/>
            <x15:cachedUniqueName index="2234" name="[dane].[Nr zamówienia].&amp;[PL-2012-088801]"/>
            <x15:cachedUniqueName index="2235" name="[dane].[Nr zamówienia].&amp;[PL-2012-088802]"/>
            <x15:cachedUniqueName index="2236" name="[dane].[Nr zamówienia].&amp;[PL-2012-088803]"/>
            <x15:cachedUniqueName index="2237" name="[dane].[Nr zamówienia].&amp;[PL-2012-088804]"/>
            <x15:cachedUniqueName index="2238" name="[dane].[Nr zamówienia].&amp;[PL-2012-088816]"/>
            <x15:cachedUniqueName index="2239" name="[dane].[Nr zamówienia].&amp;[PL-2012-088827]"/>
            <x15:cachedUniqueName index="2240" name="[dane].[Nr zamówienia].&amp;[PL-2012-088828]"/>
            <x15:cachedUniqueName index="2241" name="[dane].[Nr zamówienia].&amp;[PL-2012-088829]"/>
            <x15:cachedUniqueName index="2242" name="[dane].[Nr zamówienia].&amp;[PL-2012-088841]"/>
            <x15:cachedUniqueName index="2243" name="[dane].[Nr zamówienia].&amp;[PL-2012-088842]"/>
            <x15:cachedUniqueName index="2244" name="[dane].[Nr zamówienia].&amp;[PL-2012-088843]"/>
            <x15:cachedUniqueName index="2245" name="[dane].[Nr zamówienia].&amp;[PL-2012-088858]"/>
            <x15:cachedUniqueName index="2246" name="[dane].[Nr zamówienia].&amp;[PL-2012-088859]"/>
            <x15:cachedUniqueName index="2247" name="[dane].[Nr zamówienia].&amp;[PL-2012-088872]"/>
            <x15:cachedUniqueName index="2248" name="[dane].[Nr zamówienia].&amp;[PL-2012-088873]"/>
            <x15:cachedUniqueName index="2249" name="[dane].[Nr zamówienia].&amp;[PL-2012-088883]"/>
            <x15:cachedUniqueName index="2250" name="[dane].[Nr zamówienia].&amp;[PL-2012-088884]"/>
            <x15:cachedUniqueName index="2251" name="[dane].[Nr zamówienia].&amp;[PL-2012-088891]"/>
            <x15:cachedUniqueName index="2252" name="[dane].[Nr zamówienia].&amp;[PL-2012-088892]"/>
            <x15:cachedUniqueName index="2253" name="[dane].[Nr zamówienia].&amp;[PL-2012-088909]"/>
            <x15:cachedUniqueName index="2254" name="[dane].[Nr zamówienia].&amp;[PL-2012-088912]"/>
            <x15:cachedUniqueName index="2255" name="[dane].[Nr zamówienia].&amp;[PL-2012-088922]"/>
            <x15:cachedUniqueName index="2256" name="[dane].[Nr zamówienia].&amp;[PL-2012-088930]"/>
            <x15:cachedUniqueName index="2257" name="[dane].[Nr zamówienia].&amp;[PL-2012-088931]"/>
            <x15:cachedUniqueName index="2258" name="[dane].[Nr zamówienia].&amp;[PL-2012-088932]"/>
            <x15:cachedUniqueName index="2259" name="[dane].[Nr zamówienia].&amp;[PL-2012-088943]"/>
            <x15:cachedUniqueName index="2260" name="[dane].[Nr zamówienia].&amp;[PL-2012-088944]"/>
            <x15:cachedUniqueName index="2261" name="[dane].[Nr zamówienia].&amp;[PL-2012-088945]"/>
            <x15:cachedUniqueName index="2262" name="[dane].[Nr zamówienia].&amp;[PL-2012-088946]"/>
            <x15:cachedUniqueName index="2263" name="[dane].[Nr zamówienia].&amp;[PL-2012-088953]"/>
            <x15:cachedUniqueName index="2264" name="[dane].[Nr zamówienia].&amp;[PL-2012-088954]"/>
            <x15:cachedUniqueName index="2265" name="[dane].[Nr zamówienia].&amp;[PL-2012-088960]"/>
            <x15:cachedUniqueName index="2266" name="[dane].[Nr zamówienia].&amp;[PL-2012-088967]"/>
            <x15:cachedUniqueName index="2267" name="[dane].[Nr zamówienia].&amp;[PL-2012-088973]"/>
            <x15:cachedUniqueName index="2268" name="[dane].[Nr zamówienia].&amp;[PL-2012-088976]"/>
            <x15:cachedUniqueName index="2269" name="[dane].[Nr zamówienia].&amp;[PL-2012-088985]"/>
            <x15:cachedUniqueName index="2270" name="[dane].[Nr zamówienia].&amp;[PL-2012-089009]"/>
            <x15:cachedUniqueName index="2271" name="[dane].[Nr zamówienia].&amp;[PL-2012-089010]"/>
            <x15:cachedUniqueName index="2272" name="[dane].[Nr zamówienia].&amp;[PL-2012-089020]"/>
            <x15:cachedUniqueName index="2273" name="[dane].[Nr zamówienia].&amp;[PL-2012-089026]"/>
            <x15:cachedUniqueName index="2274" name="[dane].[Nr zamówienia].&amp;[PL-2012-089027]"/>
            <x15:cachedUniqueName index="2275" name="[dane].[Nr zamówienia].&amp;[PL-2012-089028]"/>
            <x15:cachedUniqueName index="2276" name="[dane].[Nr zamówienia].&amp;[PL-2012-089048]"/>
            <x15:cachedUniqueName index="2277" name="[dane].[Nr zamówienia].&amp;[PL-2012-089056]"/>
            <x15:cachedUniqueName index="2278" name="[dane].[Nr zamówienia].&amp;[PL-2012-089057]"/>
            <x15:cachedUniqueName index="2279" name="[dane].[Nr zamówienia].&amp;[PL-2012-089060]"/>
            <x15:cachedUniqueName index="2280" name="[dane].[Nr zamówienia].&amp;[PL-2012-089061]"/>
            <x15:cachedUniqueName index="2281" name="[dane].[Nr zamówienia].&amp;[PL-2012-089065]"/>
            <x15:cachedUniqueName index="2282" name="[dane].[Nr zamówienia].&amp;[PL-2012-089066]"/>
            <x15:cachedUniqueName index="2283" name="[dane].[Nr zamówienia].&amp;[PL-2012-089067]"/>
            <x15:cachedUniqueName index="2284" name="[dane].[Nr zamówienia].&amp;[PL-2012-089072]"/>
            <x15:cachedUniqueName index="2285" name="[dane].[Nr zamówienia].&amp;[PL-2012-089073]"/>
            <x15:cachedUniqueName index="2286" name="[dane].[Nr zamówienia].&amp;[PL-2012-089078]"/>
            <x15:cachedUniqueName index="2287" name="[dane].[Nr zamówienia].&amp;[PL-2012-089079]"/>
            <x15:cachedUniqueName index="2288" name="[dane].[Nr zamówienia].&amp;[PL-2012-089085]"/>
            <x15:cachedUniqueName index="2289" name="[dane].[Nr zamówienia].&amp;[PL-2012-089086]"/>
            <x15:cachedUniqueName index="2290" name="[dane].[Nr zamówienia].&amp;[PL-2012-089098]"/>
            <x15:cachedUniqueName index="2291" name="[dane].[Nr zamówienia].&amp;[PL-2012-089103]"/>
            <x15:cachedUniqueName index="2292" name="[dane].[Nr zamówienia].&amp;[PL-2012-089107]"/>
            <x15:cachedUniqueName index="2293" name="[dane].[Nr zamówienia].&amp;[PL-2012-089113]"/>
            <x15:cachedUniqueName index="2294" name="[dane].[Nr zamówienia].&amp;[PL-2012-089118]"/>
            <x15:cachedUniqueName index="2295" name="[dane].[Nr zamówienia].&amp;[PL-2012-089119]"/>
            <x15:cachedUniqueName index="2296" name="[dane].[Nr zamówienia].&amp;[PL-2012-089124]"/>
            <x15:cachedUniqueName index="2297" name="[dane].[Nr zamówienia].&amp;[PL-2012-089125]"/>
            <x15:cachedUniqueName index="2298" name="[dane].[Nr zamówienia].&amp;[PL-2012-089131]"/>
            <x15:cachedUniqueName index="2299" name="[dane].[Nr zamówienia].&amp;[PL-2012-089141]"/>
            <x15:cachedUniqueName index="2300" name="[dane].[Nr zamówienia].&amp;[PL-2012-089149]"/>
            <x15:cachedUniqueName index="2301" name="[dane].[Nr zamówienia].&amp;[PL-2012-089150]"/>
            <x15:cachedUniqueName index="2302" name="[dane].[Nr zamówienia].&amp;[PL-2012-089155]"/>
            <x15:cachedUniqueName index="2303" name="[dane].[Nr zamówienia].&amp;[PL-2012-089156]"/>
            <x15:cachedUniqueName index="2304" name="[dane].[Nr zamówienia].&amp;[PL-2012-089157]"/>
            <x15:cachedUniqueName index="2305" name="[dane].[Nr zamówienia].&amp;[PL-2012-089167]"/>
            <x15:cachedUniqueName index="2306" name="[dane].[Nr zamówienia].&amp;[PL-2012-089168]"/>
            <x15:cachedUniqueName index="2307" name="[dane].[Nr zamówienia].&amp;[PL-2012-089169]"/>
            <x15:cachedUniqueName index="2308" name="[dane].[Nr zamówienia].&amp;[PL-2012-089177]"/>
            <x15:cachedUniqueName index="2309" name="[dane].[Nr zamówienia].&amp;[PL-2012-089178]"/>
            <x15:cachedUniqueName index="2310" name="[dane].[Nr zamówienia].&amp;[PL-2012-089179]"/>
            <x15:cachedUniqueName index="2311" name="[dane].[Nr zamówienia].&amp;[PL-2012-089185]"/>
            <x15:cachedUniqueName index="2312" name="[dane].[Nr zamówienia].&amp;[PL-2012-089204]"/>
            <x15:cachedUniqueName index="2313" name="[dane].[Nr zamówienia].&amp;[PL-2012-089212]"/>
            <x15:cachedUniqueName index="2314" name="[dane].[Nr zamówienia].&amp;[PL-2012-089220]"/>
            <x15:cachedUniqueName index="2315" name="[dane].[Nr zamówienia].&amp;[PL-2012-089221]"/>
            <x15:cachedUniqueName index="2316" name="[dane].[Nr zamówienia].&amp;[PL-2012-089222]"/>
            <x15:cachedUniqueName index="2317" name="[dane].[Nr zamówienia].&amp;[PL-2012-089223]"/>
            <x15:cachedUniqueName index="2318" name="[dane].[Nr zamówienia].&amp;[PL-2012-089224]"/>
            <x15:cachedUniqueName index="2319" name="[dane].[Nr zamówienia].&amp;[PL-2012-089236]"/>
            <x15:cachedUniqueName index="2320" name="[dane].[Nr zamówienia].&amp;[PL-2012-089241]"/>
            <x15:cachedUniqueName index="2321" name="[dane].[Nr zamówienia].&amp;[PL-2012-089242]"/>
            <x15:cachedUniqueName index="2322" name="[dane].[Nr zamówienia].&amp;[PL-2012-089252]"/>
            <x15:cachedUniqueName index="2323" name="[dane].[Nr zamówienia].&amp;[PL-2012-089253]"/>
            <x15:cachedUniqueName index="2324" name="[dane].[Nr zamówienia].&amp;[PL-2012-089260]"/>
            <x15:cachedUniqueName index="2325" name="[dane].[Nr zamówienia].&amp;[PL-2012-089261]"/>
            <x15:cachedUniqueName index="2326" name="[dane].[Nr zamówienia].&amp;[PL-2012-089274]"/>
            <x15:cachedUniqueName index="2327" name="[dane].[Nr zamówienia].&amp;[PL-2012-089280]"/>
            <x15:cachedUniqueName index="2328" name="[dane].[Nr zamówienia].&amp;[PL-2012-089285]"/>
            <x15:cachedUniqueName index="2329" name="[dane].[Nr zamówienia].&amp;[PL-2012-089286]"/>
            <x15:cachedUniqueName index="2330" name="[dane].[Nr zamówienia].&amp;[PL-2012-089302]"/>
            <x15:cachedUniqueName index="2331" name="[dane].[Nr zamówienia].&amp;[PL-2012-089303]"/>
            <x15:cachedUniqueName index="2332" name="[dane].[Nr zamówienia].&amp;[PL-2012-089304]"/>
            <x15:cachedUniqueName index="2333" name="[dane].[Nr zamówienia].&amp;[PL-2012-089305]"/>
            <x15:cachedUniqueName index="2334" name="[dane].[Nr zamówienia].&amp;[PL-2012-089306]"/>
            <x15:cachedUniqueName index="2335" name="[dane].[Nr zamówienia].&amp;[PL-2012-089328]"/>
            <x15:cachedUniqueName index="2336" name="[dane].[Nr zamówienia].&amp;[PL-2012-089329]"/>
            <x15:cachedUniqueName index="2337" name="[dane].[Nr zamówienia].&amp;[PL-2012-089335]"/>
            <x15:cachedUniqueName index="2338" name="[dane].[Nr zamówienia].&amp;[PL-2012-089341]"/>
            <x15:cachedUniqueName index="2339" name="[dane].[Nr zamówienia].&amp;[PL-2012-089345]"/>
            <x15:cachedUniqueName index="2340" name="[dane].[Nr zamówienia].&amp;[PL-2012-089346]"/>
            <x15:cachedUniqueName index="2341" name="[dane].[Nr zamówienia].&amp;[PL-2012-089347]"/>
            <x15:cachedUniqueName index="2342" name="[dane].[Nr zamówienia].&amp;[PL-2012-089365]"/>
            <x15:cachedUniqueName index="2343" name="[dane].[Nr zamówienia].&amp;[PL-2012-089372]"/>
            <x15:cachedUniqueName index="2344" name="[dane].[Nr zamówienia].&amp;[PL-2012-089373]"/>
            <x15:cachedUniqueName index="2345" name="[dane].[Nr zamówienia].&amp;[PL-2012-089382]"/>
            <x15:cachedUniqueName index="2346" name="[dane].[Nr zamówienia].&amp;[PL-2012-089385]"/>
            <x15:cachedUniqueName index="2347" name="[dane].[Nr zamówienia].&amp;[PL-2012-089386]"/>
            <x15:cachedUniqueName index="2348" name="[dane].[Nr zamówienia].&amp;[PL-2012-089390]"/>
            <x15:cachedUniqueName index="2349" name="[dane].[Nr zamówienia].&amp;[PL-2012-089395]"/>
            <x15:cachedUniqueName index="2350" name="[dane].[Nr zamówienia].&amp;[PL-2012-089396]"/>
            <x15:cachedUniqueName index="2351" name="[dane].[Nr zamówienia].&amp;[PL-2012-089397]"/>
            <x15:cachedUniqueName index="2352" name="[dane].[Nr zamówienia].&amp;[PL-2012-089403]"/>
            <x15:cachedUniqueName index="2353" name="[dane].[Nr zamówienia].&amp;[PL-2012-089409]"/>
            <x15:cachedUniqueName index="2354" name="[dane].[Nr zamówienia].&amp;[PL-2012-089418]"/>
            <x15:cachedUniqueName index="2355" name="[dane].[Nr zamówienia].&amp;[PL-2012-089419]"/>
            <x15:cachedUniqueName index="2356" name="[dane].[Nr zamówienia].&amp;[PL-2012-089420]"/>
            <x15:cachedUniqueName index="2357" name="[dane].[Nr zamówienia].&amp;[PL-2012-089427]"/>
            <x15:cachedUniqueName index="2358" name="[dane].[Nr zamówienia].&amp;[PL-2012-089428]"/>
            <x15:cachedUniqueName index="2359" name="[dane].[Nr zamówienia].&amp;[PL-2012-089439]"/>
            <x15:cachedUniqueName index="2360" name="[dane].[Nr zamówienia].&amp;[PL-2012-089443]"/>
            <x15:cachedUniqueName index="2361" name="[dane].[Nr zamówienia].&amp;[PL-2012-089444]"/>
            <x15:cachedUniqueName index="2362" name="[dane].[Nr zamówienia].&amp;[PL-2012-089451]"/>
            <x15:cachedUniqueName index="2363" name="[dane].[Nr zamówienia].&amp;[PL-2012-089457]"/>
            <x15:cachedUniqueName index="2364" name="[dane].[Nr zamówienia].&amp;[PL-2012-089458]"/>
            <x15:cachedUniqueName index="2365" name="[dane].[Nr zamówienia].&amp;[PL-2012-089466]"/>
            <x15:cachedUniqueName index="2366" name="[dane].[Nr zamówienia].&amp;[PL-2012-089467]"/>
            <x15:cachedUniqueName index="2367" name="[dane].[Nr zamówienia].&amp;[PL-2012-089468]"/>
            <x15:cachedUniqueName index="2368" name="[dane].[Nr zamówienia].&amp;[PL-2012-089469]"/>
            <x15:cachedUniqueName index="2369" name="[dane].[Nr zamówienia].&amp;[PL-2012-089470]"/>
            <x15:cachedUniqueName index="2370" name="[dane].[Nr zamówienia].&amp;[PL-2012-089482]"/>
            <x15:cachedUniqueName index="2371" name="[dane].[Nr zamówienia].&amp;[PL-2012-089483]"/>
            <x15:cachedUniqueName index="2372" name="[dane].[Nr zamówienia].&amp;[PL-2012-089484]"/>
            <x15:cachedUniqueName index="2373" name="[dane].[Nr zamówienia].&amp;[PL-2012-089498]"/>
            <x15:cachedUniqueName index="2374" name="[dane].[Nr zamówienia].&amp;[PL-2012-089499]"/>
            <x15:cachedUniqueName index="2375" name="[dane].[Nr zamówienia].&amp;[PL-2012-089506]"/>
            <x15:cachedUniqueName index="2376" name="[dane].[Nr zamówienia].&amp;[PL-2012-089507]"/>
            <x15:cachedUniqueName index="2377" name="[dane].[Nr zamówienia].&amp;[PL-2012-089508]"/>
            <x15:cachedUniqueName index="2378" name="[dane].[Nr zamówienia].&amp;[PL-2012-089509]"/>
            <x15:cachedUniqueName index="2379" name="[dane].[Nr zamówienia].&amp;[PL-2012-089538]"/>
            <x15:cachedUniqueName index="2380" name="[dane].[Nr zamówienia].&amp;[PL-2012-089539]"/>
            <x15:cachedUniqueName index="2381" name="[dane].[Nr zamówienia].&amp;[PL-2012-089540]"/>
            <x15:cachedUniqueName index="2382" name="[dane].[Nr zamówienia].&amp;[PL-2012-089541]"/>
            <x15:cachedUniqueName index="2383" name="[dane].[Nr zamówienia].&amp;[PL-2012-089542]"/>
            <x15:cachedUniqueName index="2384" name="[dane].[Nr zamówienia].&amp;[PL-2012-089543]"/>
            <x15:cachedUniqueName index="2385" name="[dane].[Nr zamówienia].&amp;[PL-2012-089544]"/>
            <x15:cachedUniqueName index="2386" name="[dane].[Nr zamówienia].&amp;[PL-2012-089565]"/>
            <x15:cachedUniqueName index="2387" name="[dane].[Nr zamówienia].&amp;[PL-2012-089573]"/>
            <x15:cachedUniqueName index="2388" name="[dane].[Nr zamówienia].&amp;[PL-2012-089574]"/>
            <x15:cachedUniqueName index="2389" name="[dane].[Nr zamówienia].&amp;[PL-2012-089586]"/>
            <x15:cachedUniqueName index="2390" name="[dane].[Nr zamówienia].&amp;[PL-2012-089587]"/>
            <x15:cachedUniqueName index="2391" name="[dane].[Nr zamówienia].&amp;[PL-2012-089592]"/>
            <x15:cachedUniqueName index="2392" name="[dane].[Nr zamówienia].&amp;[PL-2012-089593]"/>
            <x15:cachedUniqueName index="2393" name="[dane].[Nr zamówienia].&amp;[PL-2012-089597]"/>
            <x15:cachedUniqueName index="2394" name="[dane].[Nr zamówienia].&amp;[PL-2012-089598]"/>
            <x15:cachedUniqueName index="2395" name="[dane].[Nr zamówienia].&amp;[PL-2012-089599]"/>
            <x15:cachedUniqueName index="2396" name="[dane].[Nr zamówienia].&amp;[PL-2012-089603]"/>
            <x15:cachedUniqueName index="2397" name="[dane].[Nr zamówienia].&amp;[PL-2012-089612]"/>
            <x15:cachedUniqueName index="2398" name="[dane].[Nr zamówienia].&amp;[PL-2012-089613]"/>
            <x15:cachedUniqueName index="2399" name="[dane].[Nr zamówienia].&amp;[PL-2012-089614]"/>
            <x15:cachedUniqueName index="2400" name="[dane].[Nr zamówienia].&amp;[PL-2012-089620]"/>
            <x15:cachedUniqueName index="2401" name="[dane].[Nr zamówienia].&amp;[PL-2012-089621]"/>
            <x15:cachedUniqueName index="2402" name="[dane].[Nr zamówienia].&amp;[PL-2012-089635]"/>
            <x15:cachedUniqueName index="2403" name="[dane].[Nr zamówienia].&amp;[PL-2012-089636]"/>
            <x15:cachedUniqueName index="2404" name="[dane].[Nr zamówienia].&amp;[PL-2012-089640]"/>
            <x15:cachedUniqueName index="2405" name="[dane].[Nr zamówienia].&amp;[PL-2012-089648]"/>
            <x15:cachedUniqueName index="2406" name="[dane].[Nr zamówienia].&amp;[PL-2012-089649]"/>
            <x15:cachedUniqueName index="2407" name="[dane].[Nr zamówienia].&amp;[PL-2012-089654]"/>
            <x15:cachedUniqueName index="2408" name="[dane].[Nr zamówienia].&amp;[PL-2012-089659]"/>
            <x15:cachedUniqueName index="2409" name="[dane].[Nr zamówienia].&amp;[PL-2012-089660]"/>
            <x15:cachedUniqueName index="2410" name="[dane].[Nr zamówienia].&amp;[PL-2012-089667]"/>
            <x15:cachedUniqueName index="2411" name="[dane].[Nr zamówienia].&amp;[PL-2012-089668]"/>
            <x15:cachedUniqueName index="2412" name="[dane].[Nr zamówienia].&amp;[PL-2012-089669]"/>
            <x15:cachedUniqueName index="2413" name="[dane].[Nr zamówienia].&amp;[PL-2012-089681]"/>
            <x15:cachedUniqueName index="2414" name="[dane].[Nr zamówienia].&amp;[PL-2012-089682]"/>
            <x15:cachedUniqueName index="2415" name="[dane].[Nr zamówienia].&amp;[PL-2012-089687]"/>
            <x15:cachedUniqueName index="2416" name="[dane].[Nr zamówienia].&amp;[PL-2012-089688]"/>
            <x15:cachedUniqueName index="2417" name="[dane].[Nr zamówienia].&amp;[PL-2012-089698]"/>
            <x15:cachedUniqueName index="2418" name="[dane].[Nr zamówienia].&amp;[PL-2012-089699]"/>
            <x15:cachedUniqueName index="2419" name="[dane].[Nr zamówienia].&amp;[PL-2012-089700]"/>
            <x15:cachedUniqueName index="2420" name="[dane].[Nr zamówienia].&amp;[PL-2012-089701]"/>
            <x15:cachedUniqueName index="2421" name="[dane].[Nr zamówienia].&amp;[PL-2012-089707]"/>
            <x15:cachedUniqueName index="2422" name="[dane].[Nr zamówienia].&amp;[PL-2012-089708]"/>
            <x15:cachedUniqueName index="2423" name="[dane].[Nr zamówienia].&amp;[PL-2012-089709]"/>
            <x15:cachedUniqueName index="2424" name="[dane].[Nr zamówienia].&amp;[PL-2012-089717]"/>
            <x15:cachedUniqueName index="2425" name="[dane].[Nr zamówienia].&amp;[PL-2012-089724]"/>
            <x15:cachedUniqueName index="2426" name="[dane].[Nr zamówienia].&amp;[PL-2012-089725]"/>
            <x15:cachedUniqueName index="2427" name="[dane].[Nr zamówienia].&amp;[PL-2012-089731]"/>
            <x15:cachedUniqueName index="2428" name="[dane].[Nr zamówienia].&amp;[PL-2012-089739]"/>
            <x15:cachedUniqueName index="2429" name="[dane].[Nr zamówienia].&amp;[PL-2012-089740]"/>
            <x15:cachedUniqueName index="2430" name="[dane].[Nr zamówienia].&amp;[PL-2012-089744]"/>
            <x15:cachedUniqueName index="2431" name="[dane].[Nr zamówienia].&amp;[PL-2012-089745]"/>
            <x15:cachedUniqueName index="2432" name="[dane].[Nr zamówienia].&amp;[PL-2012-089746]"/>
            <x15:cachedUniqueName index="2433" name="[dane].[Nr zamówienia].&amp;[PL-2012-089751]"/>
            <x15:cachedUniqueName index="2434" name="[dane].[Nr zamówienia].&amp;[PL-2012-089752]"/>
            <x15:cachedUniqueName index="2435" name="[dane].[Nr zamówienia].&amp;[PL-2012-089753]"/>
            <x15:cachedUniqueName index="2436" name="[dane].[Nr zamówienia].&amp;[PL-2012-089754]"/>
            <x15:cachedUniqueName index="2437" name="[dane].[Nr zamówienia].&amp;[PL-2012-089763]"/>
            <x15:cachedUniqueName index="2438" name="[dane].[Nr zamówienia].&amp;[PL-2012-089764]"/>
            <x15:cachedUniqueName index="2439" name="[dane].[Nr zamówienia].&amp;[PL-2012-089765]"/>
            <x15:cachedUniqueName index="2440" name="[dane].[Nr zamówienia].&amp;[PL-2012-089778]"/>
            <x15:cachedUniqueName index="2441" name="[dane].[Nr zamówienia].&amp;[PL-2012-089779]"/>
            <x15:cachedUniqueName index="2442" name="[dane].[Nr zamówienia].&amp;[PL-2012-089780]"/>
            <x15:cachedUniqueName index="2443" name="[dane].[Nr zamówienia].&amp;[PL-2012-089788]"/>
            <x15:cachedUniqueName index="2444" name="[dane].[Nr zamówienia].&amp;[PL-2012-089790]"/>
            <x15:cachedUniqueName index="2445" name="[dane].[Nr zamówienia].&amp;[PL-2012-089797]"/>
            <x15:cachedUniqueName index="2446" name="[dane].[Nr zamówienia].&amp;[PL-2012-089806]"/>
            <x15:cachedUniqueName index="2447" name="[dane].[Nr zamówienia].&amp;[PL-2012-089811]"/>
            <x15:cachedUniqueName index="2448" name="[dane].[Nr zamówienia].&amp;[PL-2012-089821]"/>
            <x15:cachedUniqueName index="2449" name="[dane].[Nr zamówienia].&amp;[PL-2012-089830]"/>
            <x15:cachedUniqueName index="2450" name="[dane].[Nr zamówienia].&amp;[PL-2012-089837]"/>
            <x15:cachedUniqueName index="2451" name="[dane].[Nr zamówienia].&amp;[PL-2012-089841]"/>
            <x15:cachedUniqueName index="2452" name="[dane].[Nr zamówienia].&amp;[PL-2012-089850]"/>
            <x15:cachedUniqueName index="2453" name="[dane].[Nr zamówienia].&amp;[PL-2012-089851]"/>
            <x15:cachedUniqueName index="2454" name="[dane].[Nr zamówienia].&amp;[PL-2012-089859]"/>
            <x15:cachedUniqueName index="2455" name="[dane].[Nr zamówienia].&amp;[PL-2012-089860]"/>
            <x15:cachedUniqueName index="2456" name="[dane].[Nr zamówienia].&amp;[PL-2012-089861]"/>
            <x15:cachedUniqueName index="2457" name="[dane].[Nr zamówienia].&amp;[PL-2012-089870]"/>
            <x15:cachedUniqueName index="2458" name="[dane].[Nr zamówienia].&amp;[PL-2012-089875]"/>
            <x15:cachedUniqueName index="2459" name="[dane].[Nr zamówienia].&amp;[PL-2012-089881]"/>
            <x15:cachedUniqueName index="2460" name="[dane].[Nr zamówienia].&amp;[PL-2012-089886]"/>
            <x15:cachedUniqueName index="2461" name="[dane].[Nr zamówienia].&amp;[PL-2012-089887]"/>
            <x15:cachedUniqueName index="2462" name="[dane].[Nr zamówienia].&amp;[PL-2012-089893]"/>
            <x15:cachedUniqueName index="2463" name="[dane].[Nr zamówienia].&amp;[PL-2012-089898]"/>
            <x15:cachedUniqueName index="2464" name="[dane].[Nr zamówienia].&amp;[PL-2012-089905]"/>
            <x15:cachedUniqueName index="2465" name="[dane].[Nr zamówienia].&amp;[PL-2012-089911]"/>
            <x15:cachedUniqueName index="2466" name="[dane].[Nr zamówienia].&amp;[PL-2012-089912]"/>
            <x15:cachedUniqueName index="2467" name="[dane].[Nr zamówienia].&amp;[PL-2012-089916]"/>
            <x15:cachedUniqueName index="2468" name="[dane].[Nr zamówienia].&amp;[PL-2012-089923]"/>
            <x15:cachedUniqueName index="2469" name="[dane].[Nr zamówienia].&amp;[PL-2012-089924]"/>
            <x15:cachedUniqueName index="2470" name="[dane].[Nr zamówienia].&amp;[PL-2012-089925]"/>
            <x15:cachedUniqueName index="2471" name="[dane].[Nr zamówienia].&amp;[PL-2012-089929]"/>
            <x15:cachedUniqueName index="2472" name="[dane].[Nr zamówienia].&amp;[PL-2012-089930]"/>
            <x15:cachedUniqueName index="2473" name="[dane].[Nr zamówienia].&amp;[PL-2012-089934]"/>
            <x15:cachedUniqueName index="2474" name="[dane].[Nr zamówienia].&amp;[PL-2012-089945]"/>
            <x15:cachedUniqueName index="2475" name="[dane].[Nr zamówienia].&amp;[PL-2012-089946]"/>
            <x15:cachedUniqueName index="2476" name="[dane].[Nr zamówienia].&amp;[PL-2012-089947]"/>
            <x15:cachedUniqueName index="2477" name="[dane].[Nr zamówienia].&amp;[PL-2012-089962]"/>
            <x15:cachedUniqueName index="2478" name="[dane].[Nr zamówienia].&amp;[PL-2012-089963]"/>
            <x15:cachedUniqueName index="2479" name="[dane].[Nr zamówienia].&amp;[PL-2012-089971]"/>
            <x15:cachedUniqueName index="2480" name="[dane].[Nr zamówienia].&amp;[PL-2012-089972]"/>
            <x15:cachedUniqueName index="2481" name="[dane].[Nr zamówienia].&amp;[PL-2012-089973]"/>
            <x15:cachedUniqueName index="2482" name="[dane].[Nr zamówienia].&amp;[PL-2012-089974]"/>
            <x15:cachedUniqueName index="2483" name="[dane].[Nr zamówienia].&amp;[PL-2012-089975]"/>
            <x15:cachedUniqueName index="2484" name="[dane].[Nr zamówienia].&amp;[PL-2012-089989]"/>
            <x15:cachedUniqueName index="2485" name="[dane].[Nr zamówienia].&amp;[PL-2012-089995]"/>
            <x15:cachedUniqueName index="2486" name="[dane].[Nr zamówienia].&amp;[PL-2012-089996]"/>
            <x15:cachedUniqueName index="2487" name="[dane].[Nr zamówienia].&amp;[PL-2012-090012]"/>
            <x15:cachedUniqueName index="2488" name="[dane].[Nr zamówienia].&amp;[PL-2012-090013]"/>
            <x15:cachedUniqueName index="2489" name="[dane].[Nr zamówienia].&amp;[PL-2012-090014]"/>
            <x15:cachedUniqueName index="2490" name="[dane].[Nr zamówienia].&amp;[PL-2012-090015]"/>
            <x15:cachedUniqueName index="2491" name="[dane].[Nr zamówienia].&amp;[PL-2012-090028]"/>
            <x15:cachedUniqueName index="2492" name="[dane].[Nr zamówienia].&amp;[PL-2012-090033]"/>
            <x15:cachedUniqueName index="2493" name="[dane].[Nr zamówienia].&amp;[PL-2012-090041]"/>
            <x15:cachedUniqueName index="2494" name="[dane].[Nr zamówienia].&amp;[PL-2012-090045]"/>
            <x15:cachedUniqueName index="2495" name="[dane].[Nr zamówienia].&amp;[PL-2012-090049]"/>
            <x15:cachedUniqueName index="2496" name="[dane].[Nr zamówienia].&amp;[PL-2012-090055]"/>
            <x15:cachedUniqueName index="2497" name="[dane].[Nr zamówienia].&amp;[PL-2012-090060]"/>
            <x15:cachedUniqueName index="2498" name="[dane].[Nr zamówienia].&amp;[PL-2012-090061]"/>
            <x15:cachedUniqueName index="2499" name="[dane].[Nr zamówienia].&amp;[PL-2012-090062]"/>
            <x15:cachedUniqueName index="2500" name="[dane].[Nr zamówienia].&amp;[PL-2012-090070]"/>
            <x15:cachedUniqueName index="2501" name="[dane].[Nr zamówienia].&amp;[PL-2012-090071]"/>
            <x15:cachedUniqueName index="2502" name="[dane].[Nr zamówienia].&amp;[PL-2012-090080]"/>
            <x15:cachedUniqueName index="2503" name="[dane].[Nr zamówienia].&amp;[PL-2012-090081]"/>
            <x15:cachedUniqueName index="2504" name="[dane].[Nr zamówienia].&amp;[PL-2012-090082]"/>
            <x15:cachedUniqueName index="2505" name="[dane].[Nr zamówienia].&amp;[PL-2012-090105]"/>
            <x15:cachedUniqueName index="2506" name="[dane].[Nr zamówienia].&amp;[PL-2012-090111]"/>
            <x15:cachedUniqueName index="2507" name="[dane].[Nr zamówienia].&amp;[PL-2012-090112]"/>
            <x15:cachedUniqueName index="2508" name="[dane].[Nr zamówienia].&amp;[PL-2012-090116]"/>
            <x15:cachedUniqueName index="2509" name="[dane].[Nr zamówienia].&amp;[PL-2012-090117]"/>
            <x15:cachedUniqueName index="2510" name="[dane].[Nr zamówienia].&amp;[PL-2012-090118]"/>
            <x15:cachedUniqueName index="2511" name="[dane].[Nr zamówienia].&amp;[PL-2012-090119]"/>
            <x15:cachedUniqueName index="2512" name="[dane].[Nr zamówienia].&amp;[PL-2012-090122]"/>
            <x15:cachedUniqueName index="2513" name="[dane].[Nr zamówienia].&amp;[PL-2012-090127]"/>
            <x15:cachedUniqueName index="2514" name="[dane].[Nr zamówienia].&amp;[PL-2012-090128]"/>
            <x15:cachedUniqueName index="2515" name="[dane].[Nr zamówienia].&amp;[PL-2012-090131]"/>
            <x15:cachedUniqueName index="2516" name="[dane].[Nr zamówienia].&amp;[PL-2012-090132]"/>
            <x15:cachedUniqueName index="2517" name="[dane].[Nr zamówienia].&amp;[PL-2012-090133]"/>
            <x15:cachedUniqueName index="2518" name="[dane].[Nr zamówienia].&amp;[PL-2012-090134]"/>
            <x15:cachedUniqueName index="2519" name="[dane].[Nr zamówienia].&amp;[PL-2012-090135]"/>
            <x15:cachedUniqueName index="2520" name="[dane].[Nr zamówienia].&amp;[PL-2012-090155]"/>
            <x15:cachedUniqueName index="2521" name="[dane].[Nr zamówienia].&amp;[PL-2012-090175]"/>
            <x15:cachedUniqueName index="2522" name="[dane].[Nr zamówienia].&amp;[PL-2012-090176]"/>
            <x15:cachedUniqueName index="2523" name="[dane].[Nr zamówienia].&amp;[PL-2012-090177]"/>
            <x15:cachedUniqueName index="2524" name="[dane].[Nr zamówienia].&amp;[PL-2012-090188]"/>
            <x15:cachedUniqueName index="2525" name="[dane].[Nr zamówienia].&amp;[PL-2012-090194]"/>
            <x15:cachedUniqueName index="2526" name="[dane].[Nr zamówienia].&amp;[PL-2012-090195]"/>
            <x15:cachedUniqueName index="2527" name="[dane].[Nr zamówienia].&amp;[PL-2012-090202]"/>
            <x15:cachedUniqueName index="2528" name="[dane].[Nr zamówienia].&amp;[PL-2012-090203]"/>
            <x15:cachedUniqueName index="2529" name="[dane].[Nr zamówienia].&amp;[PL-2012-090204]"/>
            <x15:cachedUniqueName index="2530" name="[dane].[Nr zamówienia].&amp;[PL-2012-090205]"/>
            <x15:cachedUniqueName index="2531" name="[dane].[Nr zamówienia].&amp;[PL-2012-090215]"/>
            <x15:cachedUniqueName index="2532" name="[dane].[Nr zamówienia].&amp;[PL-2012-090216]"/>
            <x15:cachedUniqueName index="2533" name="[dane].[Nr zamówienia].&amp;[PL-2012-090219]"/>
            <x15:cachedUniqueName index="2534" name="[dane].[Nr zamówienia].&amp;[PL-2012-090220]"/>
            <x15:cachedUniqueName index="2535" name="[dane].[Nr zamówienia].&amp;[PL-2012-090221]"/>
            <x15:cachedUniqueName index="2536" name="[dane].[Nr zamówienia].&amp;[PL-2012-090222]"/>
            <x15:cachedUniqueName index="2537" name="[dane].[Nr zamówienia].&amp;[PL-2012-090230]"/>
            <x15:cachedUniqueName index="2538" name="[dane].[Nr zamówienia].&amp;[PL-2012-090231]"/>
            <x15:cachedUniqueName index="2539" name="[dane].[Nr zamówienia].&amp;[PL-2012-090232]"/>
            <x15:cachedUniqueName index="2540" name="[dane].[Nr zamówienia].&amp;[PL-2012-090233]"/>
            <x15:cachedUniqueName index="2541" name="[dane].[Nr zamówienia].&amp;[PL-2012-090240]"/>
            <x15:cachedUniqueName index="2542" name="[dane].[Nr zamówienia].&amp;[PL-2012-090249]"/>
            <x15:cachedUniqueName index="2543" name="[dane].[Nr zamówienia].&amp;[PL-2012-090256]"/>
            <x15:cachedUniqueName index="2544" name="[dane].[Nr zamówienia].&amp;[PL-2012-090259]"/>
            <x15:cachedUniqueName index="2545" name="[dane].[Nr zamówienia].&amp;[PL-2012-090260]"/>
            <x15:cachedUniqueName index="2546" name="[dane].[Nr zamówienia].&amp;[PL-2012-090272]"/>
            <x15:cachedUniqueName index="2547" name="[dane].[Nr zamówienia].&amp;[PL-2012-090273]"/>
            <x15:cachedUniqueName index="2548" name="[dane].[Nr zamówienia].&amp;[PL-2012-090284]"/>
            <x15:cachedUniqueName index="2549" name="[dane].[Nr zamówienia].&amp;[PL-2012-090285]"/>
            <x15:cachedUniqueName index="2550" name="[dane].[Nr zamówienia].&amp;[PL-2012-090304]"/>
            <x15:cachedUniqueName index="2551" name="[dane].[Nr zamówienia].&amp;[PL-2012-090305]"/>
            <x15:cachedUniqueName index="2552" name="[dane].[Nr zamówienia].&amp;[PL-2012-090306]"/>
            <x15:cachedUniqueName index="2553" name="[dane].[Nr zamówienia].&amp;[PL-2012-090310]"/>
            <x15:cachedUniqueName index="2554" name="[dane].[Nr zamówienia].&amp;[PL-2012-090311]"/>
            <x15:cachedUniqueName index="2555" name="[dane].[Nr zamówienia].&amp;[PL-2012-090315]"/>
            <x15:cachedUniqueName index="2556" name="[dane].[Nr zamówienia].&amp;[PL-2012-090316]"/>
            <x15:cachedUniqueName index="2557" name="[dane].[Nr zamówienia].&amp;[PL-2012-090323]"/>
            <x15:cachedUniqueName index="2558" name="[dane].[Nr zamówienia].&amp;[PL-2012-090324]"/>
            <x15:cachedUniqueName index="2559" name="[dane].[Nr zamówienia].&amp;[PL-2012-090328]"/>
            <x15:cachedUniqueName index="2560" name="[dane].[Nr zamówienia].&amp;[PL-2012-090329]"/>
            <x15:cachedUniqueName index="2561" name="[dane].[Nr zamówienia].&amp;[PL-2012-090340]"/>
            <x15:cachedUniqueName index="2562" name="[dane].[Nr zamówienia].&amp;[PL-2012-090341]"/>
            <x15:cachedUniqueName index="2563" name="[dane].[Nr zamówienia].&amp;[PL-2012-090342]"/>
            <x15:cachedUniqueName index="2564" name="[dane].[Nr zamówienia].&amp;[PL-2012-090343]"/>
            <x15:cachedUniqueName index="2565" name="[dane].[Nr zamówienia].&amp;[PL-2012-090355]"/>
            <x15:cachedUniqueName index="2566" name="[dane].[Nr zamówienia].&amp;[PL-2012-090363]"/>
            <x15:cachedUniqueName index="2567" name="[dane].[Nr zamówienia].&amp;[PL-2012-090364]"/>
            <x15:cachedUniqueName index="2568" name="[dane].[Nr zamówienia].&amp;[PL-2012-090379]"/>
            <x15:cachedUniqueName index="2569" name="[dane].[Nr zamówienia].&amp;[PL-2012-090388]"/>
            <x15:cachedUniqueName index="2570" name="[dane].[Nr zamówienia].&amp;[PL-2012-090389]"/>
            <x15:cachedUniqueName index="2571" name="[dane].[Nr zamówienia].&amp;[PL-2012-090390]"/>
            <x15:cachedUniqueName index="2572" name="[dane].[Nr zamówienia].&amp;[PL-2012-090406]"/>
            <x15:cachedUniqueName index="2573" name="[dane].[Nr zamówienia].&amp;[PL-2012-090409]"/>
            <x15:cachedUniqueName index="2574" name="[dane].[Nr zamówienia].&amp;[PL-2012-090410]"/>
            <x15:cachedUniqueName index="2575" name="[dane].[Nr zamówienia].&amp;[PL-2012-090411]"/>
            <x15:cachedUniqueName index="2576" name="[dane].[Nr zamówienia].&amp;[PL-2012-090416]"/>
            <x15:cachedUniqueName index="2577" name="[dane].[Nr zamówienia].&amp;[PL-2012-090417]"/>
            <x15:cachedUniqueName index="2578" name="[dane].[Nr zamówienia].&amp;[PL-2012-090418]"/>
            <x15:cachedUniqueName index="2579" name="[dane].[Nr zamówienia].&amp;[PL-2012-090422]"/>
            <x15:cachedUniqueName index="2580" name="[dane].[Nr zamówienia].&amp;[PL-2012-090433]"/>
            <x15:cachedUniqueName index="2581" name="[dane].[Nr zamówienia].&amp;[PL-2012-090440]"/>
            <x15:cachedUniqueName index="2582" name="[dane].[Nr zamówienia].&amp;[PL-2012-090453]"/>
            <x15:cachedUniqueName index="2583" name="[dane].[Nr zamówienia].&amp;[PL-2012-090463]"/>
            <x15:cachedUniqueName index="2584" name="[dane].[Nr zamówienia].&amp;[PL-2012-090470]"/>
            <x15:cachedUniqueName index="2585" name="[dane].[Nr zamówienia].&amp;[PL-2012-090471]"/>
            <x15:cachedUniqueName index="2586" name="[dane].[Nr zamówienia].&amp;[PL-2012-090474]"/>
            <x15:cachedUniqueName index="2587" name="[dane].[Nr zamówienia].&amp;[PL-2012-090475]"/>
            <x15:cachedUniqueName index="2588" name="[dane].[Nr zamówienia].&amp;[PL-2012-090481]"/>
            <x15:cachedUniqueName index="2589" name="[dane].[Nr zamówienia].&amp;[PL-2012-090482]"/>
            <x15:cachedUniqueName index="2590" name="[dane].[Nr zamówienia].&amp;[PL-2012-090489]"/>
            <x15:cachedUniqueName index="2591" name="[dane].[Nr zamówienia].&amp;[PL-2012-090494]"/>
            <x15:cachedUniqueName index="2592" name="[dane].[Nr zamówienia].&amp;[PL-2012-090503]"/>
            <x15:cachedUniqueName index="2593" name="[dane].[Nr zamówienia].&amp;[PL-2012-090515]"/>
            <x15:cachedUniqueName index="2594" name="[dane].[Nr zamówienia].&amp;[PL-2012-090516]"/>
            <x15:cachedUniqueName index="2595" name="[dane].[Nr zamówienia].&amp;[PL-2012-090517]"/>
            <x15:cachedUniqueName index="2596" name="[dane].[Nr zamówienia].&amp;[PL-2012-090526]"/>
            <x15:cachedUniqueName index="2597" name="[dane].[Nr zamówienia].&amp;[PL-2012-090541]"/>
            <x15:cachedUniqueName index="2598" name="[dane].[Nr zamówienia].&amp;[PL-2012-090542]"/>
            <x15:cachedUniqueName index="2599" name="[dane].[Nr zamówienia].&amp;[PL-2012-090543]"/>
            <x15:cachedUniqueName index="2600" name="[dane].[Nr zamówienia].&amp;[PL-2012-090544]"/>
            <x15:cachedUniqueName index="2601" name="[dane].[Nr zamówienia].&amp;[PL-2012-090552]"/>
            <x15:cachedUniqueName index="2602" name="[dane].[Nr zamówienia].&amp;[PL-2012-090558]"/>
            <x15:cachedUniqueName index="2603" name="[dane].[Nr zamówienia].&amp;[PL-2012-090559]"/>
            <x15:cachedUniqueName index="2604" name="[dane].[Nr zamówienia].&amp;[PL-2012-090569]"/>
            <x15:cachedUniqueName index="2605" name="[dane].[Nr zamówienia].&amp;[PL-2012-090570]"/>
            <x15:cachedUniqueName index="2606" name="[dane].[Nr zamówienia].&amp;[PL-2012-090571]"/>
            <x15:cachedUniqueName index="2607" name="[dane].[Nr zamówienia].&amp;[PL-2012-090579]"/>
            <x15:cachedUniqueName index="2608" name="[dane].[Nr zamówienia].&amp;[PL-2012-090580]"/>
            <x15:cachedUniqueName index="2609" name="[dane].[Nr zamówienia].&amp;[PL-2012-090581]"/>
            <x15:cachedUniqueName index="2610" name="[dane].[Nr zamówienia].&amp;[PL-2012-090584]"/>
            <x15:cachedUniqueName index="2611" name="[dane].[Nr zamówienia].&amp;[PL-2012-090585]"/>
            <x15:cachedUniqueName index="2612" name="[dane].[Nr zamówienia].&amp;[PL-2012-090590]"/>
            <x15:cachedUniqueName index="2613" name="[dane].[Nr zamówienia].&amp;[PL-2012-090598]"/>
            <x15:cachedUniqueName index="2614" name="[dane].[Nr zamówienia].&amp;[PL-2012-090608]"/>
            <x15:cachedUniqueName index="2615" name="[dane].[Nr zamówienia].&amp;[PL-2012-090609]"/>
            <x15:cachedUniqueName index="2616" name="[dane].[Nr zamówienia].&amp;[PL-2012-090614]"/>
            <x15:cachedUniqueName index="2617" name="[dane].[Nr zamówienia].&amp;[PL-2012-090615]"/>
            <x15:cachedUniqueName index="2618" name="[dane].[Nr zamówienia].&amp;[PL-2012-090619]"/>
            <x15:cachedUniqueName index="2619" name="[dane].[Nr zamówienia].&amp;[PL-2012-090625]"/>
            <x15:cachedUniqueName index="2620" name="[dane].[Nr zamówienia].&amp;[PL-2012-090632]"/>
            <x15:cachedUniqueName index="2621" name="[dane].[Nr zamówienia].&amp;[PL-2012-090633]"/>
            <x15:cachedUniqueName index="2622" name="[dane].[Nr zamówienia].&amp;[PL-2012-090634]"/>
            <x15:cachedUniqueName index="2623" name="[dane].[Nr zamówienia].&amp;[PL-2012-090642]"/>
            <x15:cachedUniqueName index="2624" name="[dane].[Nr zamówienia].&amp;[PL-2012-090649]"/>
            <x15:cachedUniqueName index="2625" name="[dane].[Nr zamówienia].&amp;[PL-2012-090650]"/>
            <x15:cachedUniqueName index="2626" name="[dane].[Nr zamówienia].&amp;[PL-2012-090651]"/>
            <x15:cachedUniqueName index="2627" name="[dane].[Nr zamówienia].&amp;[PL-2012-090654]"/>
            <x15:cachedUniqueName index="2628" name="[dane].[Nr zamówienia].&amp;[PL-2012-090655]"/>
            <x15:cachedUniqueName index="2629" name="[dane].[Nr zamówienia].&amp;[PL-2012-090663]"/>
            <x15:cachedUniqueName index="2630" name="[dane].[Nr zamówienia].&amp;[PL-2012-090664]"/>
            <x15:cachedUniqueName index="2631" name="[dane].[Nr zamówienia].&amp;[PL-2012-090665]"/>
            <x15:cachedUniqueName index="2632" name="[dane].[Nr zamówienia].&amp;[PL-2012-090676]"/>
            <x15:cachedUniqueName index="2633" name="[dane].[Nr zamówienia].&amp;[PL-2012-090679]"/>
            <x15:cachedUniqueName index="2634" name="[dane].[Nr zamówienia].&amp;[PL-2012-090692]"/>
            <x15:cachedUniqueName index="2635" name="[dane].[Nr zamówienia].&amp;[PL-2012-090693]"/>
            <x15:cachedUniqueName index="2636" name="[dane].[Nr zamówienia].&amp;[PL-2012-090696]"/>
            <x15:cachedUniqueName index="2637" name="[dane].[Nr zamówienia].&amp;[PL-2012-090697]"/>
            <x15:cachedUniqueName index="2638" name="[dane].[Nr zamówienia].&amp;[PL-2012-090707]"/>
            <x15:cachedUniqueName index="2639" name="[dane].[Nr zamówienia].&amp;[PL-2012-090711]"/>
            <x15:cachedUniqueName index="2640" name="[dane].[Nr zamówienia].&amp;[PL-2012-090715]"/>
            <x15:cachedUniqueName index="2641" name="[dane].[Nr zamówienia].&amp;[PL-2012-090716]"/>
            <x15:cachedUniqueName index="2642" name="[dane].[Nr zamówienia].&amp;[PL-2012-090717]"/>
            <x15:cachedUniqueName index="2643" name="[dane].[Nr zamówienia].&amp;[PL-2012-090718]"/>
            <x15:cachedUniqueName index="2644" name="[dane].[Nr zamówienia].&amp;[PL-2012-090726]"/>
            <x15:cachedUniqueName index="2645" name="[dane].[Nr zamówienia].&amp;[PL-2012-090727]"/>
            <x15:cachedUniqueName index="2646" name="[dane].[Nr zamówienia].&amp;[PL-2012-090732]"/>
            <x15:cachedUniqueName index="2647" name="[dane].[Nr zamówienia].&amp;[PL-2012-090736]"/>
            <x15:cachedUniqueName index="2648" name="[dane].[Nr zamówienia].&amp;[PL-2012-090740]"/>
            <x15:cachedUniqueName index="2649" name="[dane].[Nr zamówienia].&amp;[PL-2012-090741]"/>
            <x15:cachedUniqueName index="2650" name="[dane].[Nr zamówienia].&amp;[PL-2012-090745]"/>
            <x15:cachedUniqueName index="2651" name="[dane].[Nr zamówienia].&amp;[PL-2012-090746]"/>
            <x15:cachedUniqueName index="2652" name="[dane].[Nr zamówienia].&amp;[PL-2012-090762]"/>
            <x15:cachedUniqueName index="2653" name="[dane].[Nr zamówienia].&amp;[PL-2012-090768]"/>
            <x15:cachedUniqueName index="2654" name="[dane].[Nr zamówienia].&amp;[PL-2012-090772]"/>
            <x15:cachedUniqueName index="2655" name="[dane].[Nr zamówienia].&amp;[PL-2012-090775]"/>
            <x15:cachedUniqueName index="2656" name="[dane].[Nr zamówienia].&amp;[PL-2012-090776]"/>
            <x15:cachedUniqueName index="2657" name="[dane].[Nr zamówienia].&amp;[PL-2012-090777]"/>
            <x15:cachedUniqueName index="2658" name="[dane].[Nr zamówienia].&amp;[PL-2012-090788]"/>
            <x15:cachedUniqueName index="2659" name="[dane].[Nr zamówienia].&amp;[PL-2012-090789]"/>
            <x15:cachedUniqueName index="2660" name="[dane].[Nr zamówienia].&amp;[PL-2012-090790]"/>
            <x15:cachedUniqueName index="2661" name="[dane].[Nr zamówienia].&amp;[PL-2012-090791]"/>
            <x15:cachedUniqueName index="2662" name="[dane].[Nr zamówienia].&amp;[PL-2012-090797]"/>
            <x15:cachedUniqueName index="2663" name="[dane].[Nr zamówienia].&amp;[PL-2012-090801]"/>
            <x15:cachedUniqueName index="2664" name="[dane].[Nr zamówienia].&amp;[PL-2012-090807]"/>
            <x15:cachedUniqueName index="2665" name="[dane].[Nr zamówienia].&amp;[PL-2012-090808]"/>
            <x15:cachedUniqueName index="2666" name="[dane].[Nr zamówienia].&amp;[PL-2012-090809]"/>
            <x15:cachedUniqueName index="2667" name="[dane].[Nr zamówienia].&amp;[PL-2012-090816]"/>
            <x15:cachedUniqueName index="2668" name="[dane].[Nr zamówienia].&amp;[PL-2012-090822]"/>
            <x15:cachedUniqueName index="2669" name="[dane].[Nr zamówienia].&amp;[PL-2012-090826]"/>
            <x15:cachedUniqueName index="2670" name="[dane].[Nr zamówienia].&amp;[PL-2012-090827]"/>
            <x15:cachedUniqueName index="2671" name="[dane].[Nr zamówienia].&amp;[PL-2012-090838]"/>
            <x15:cachedUniqueName index="2672" name="[dane].[Nr zamówienia].&amp;[PL-2012-090845]"/>
            <x15:cachedUniqueName index="2673" name="[dane].[Nr zamówienia].&amp;[PL-2012-090846]"/>
            <x15:cachedUniqueName index="2674" name="[dane].[Nr zamówienia].&amp;[PL-2012-090851]"/>
            <x15:cachedUniqueName index="2675" name="[dane].[Nr zamówienia].&amp;[PL-2012-090856]"/>
            <x15:cachedUniqueName index="2676" name="[dane].[Nr zamówienia].&amp;[PL-2012-090857]"/>
            <x15:cachedUniqueName index="2677" name="[dane].[Nr zamówienia].&amp;[PL-2012-090872]"/>
            <x15:cachedUniqueName index="2678" name="[dane].[Nr zamówienia].&amp;[PL-2012-090873]"/>
            <x15:cachedUniqueName index="2679" name="[dane].[Nr zamówienia].&amp;[PL-2012-090875]"/>
            <x15:cachedUniqueName index="2680" name="[dane].[Nr zamówienia].&amp;[PL-2012-090876]"/>
            <x15:cachedUniqueName index="2681" name="[dane].[Nr zamówienia].&amp;[PL-2012-090882]"/>
            <x15:cachedUniqueName index="2682" name="[dane].[Nr zamówienia].&amp;[PL-2012-090889]"/>
            <x15:cachedUniqueName index="2683" name="[dane].[Nr zamówienia].&amp;[PL-2012-090892]"/>
            <x15:cachedUniqueName index="2684" name="[dane].[Nr zamówienia].&amp;[PL-2012-090900]"/>
            <x15:cachedUniqueName index="2685" name="[dane].[Nr zamówienia].&amp;[PL-2012-090906]"/>
            <x15:cachedUniqueName index="2686" name="[dane].[Nr zamówienia].&amp;[PL-2012-090911]"/>
            <x15:cachedUniqueName index="2687" name="[dane].[Nr zamówienia].&amp;[PL-2012-090918]"/>
            <x15:cachedUniqueName index="2688" name="[dane].[Nr zamówienia].&amp;[PL-2012-090935]"/>
            <x15:cachedUniqueName index="2689" name="[dane].[Nr zamówienia].&amp;[PL-2012-090936]"/>
            <x15:cachedUniqueName index="2690" name="[dane].[Nr zamówienia].&amp;[PL-2012-090947]"/>
            <x15:cachedUniqueName index="2691" name="[dane].[Nr zamówienia].&amp;[PL-2012-090948]"/>
            <x15:cachedUniqueName index="2692" name="[dane].[Nr zamówienia].&amp;[PL-2012-090965]"/>
            <x15:cachedUniqueName index="2693" name="[dane].[Nr zamówienia].&amp;[PL-2012-090966]"/>
            <x15:cachedUniqueName index="2694" name="[dane].[Nr zamówienia].&amp;[PL-2012-090967]"/>
            <x15:cachedUniqueName index="2695" name="[dane].[Nr zamówienia].&amp;[PL-2012-090974]"/>
            <x15:cachedUniqueName index="2696" name="[dane].[Nr zamówienia].&amp;[PL-2012-090975]"/>
            <x15:cachedUniqueName index="2697" name="[dane].[Nr zamówienia].&amp;[PL-2012-090978]"/>
            <x15:cachedUniqueName index="2698" name="[dane].[Nr zamówienia].&amp;[PL-2012-090988]"/>
            <x15:cachedUniqueName index="2699" name="[dane].[Nr zamówienia].&amp;[PL-2012-090989]"/>
            <x15:cachedUniqueName index="2700" name="[dane].[Nr zamówienia].&amp;[PL-2012-090990]"/>
            <x15:cachedUniqueName index="2701" name="[dane].[Nr zamówienia].&amp;[PL-2012-090994]"/>
            <x15:cachedUniqueName index="2702" name="[dane].[Nr zamówienia].&amp;[PL-2012-090995]"/>
            <x15:cachedUniqueName index="2703" name="[dane].[Nr zamówienia].&amp;[PL-2012-091001]"/>
            <x15:cachedUniqueName index="2704" name="[dane].[Nr zamówienia].&amp;[PL-2012-091010]"/>
            <x15:cachedUniqueName index="2705" name="[dane].[Nr zamówienia].&amp;[PL-2012-091011]"/>
            <x15:cachedUniqueName index="2706" name="[dane].[Nr zamówienia].&amp;[PL-2012-091018]"/>
            <x15:cachedUniqueName index="2707" name="[dane].[Nr zamówienia].&amp;[PL-2012-091019]"/>
            <x15:cachedUniqueName index="2708" name="[dane].[Nr zamówienia].&amp;[PL-2012-091026]"/>
            <x15:cachedUniqueName index="2709" name="[dane].[Nr zamówienia].&amp;[PL-2012-091031]"/>
            <x15:cachedUniqueName index="2710" name="[dane].[Nr zamówienia].&amp;[PL-2012-091032]"/>
            <x15:cachedUniqueName index="2711" name="[dane].[Nr zamówienia].&amp;[PL-2012-091044]"/>
            <x15:cachedUniqueName index="2712" name="[dane].[Nr zamówienia].&amp;[PL-2012-091045]"/>
            <x15:cachedUniqueName index="2713" name="[dane].[Nr zamówienia].&amp;[PL-2012-091050]"/>
            <x15:cachedUniqueName index="2714" name="[dane].[Nr zamówienia].&amp;[PL-2012-091051]"/>
            <x15:cachedUniqueName index="2715" name="[dane].[Nr zamówienia].&amp;[PL-2012-091064]"/>
            <x15:cachedUniqueName index="2716" name="[dane].[Nr zamówienia].&amp;[PL-2012-091065]"/>
            <x15:cachedUniqueName index="2717" name="[dane].[Nr zamówienia].&amp;[PL-2012-091074]"/>
            <x15:cachedUniqueName index="2718" name="[dane].[Nr zamówienia].&amp;[PL-2012-091079]"/>
            <x15:cachedUniqueName index="2719" name="[dane].[Nr zamówienia].&amp;[PL-2012-091080]"/>
            <x15:cachedUniqueName index="2720" name="[dane].[Nr zamówienia].&amp;[PL-2012-091081]"/>
            <x15:cachedUniqueName index="2721" name="[dane].[Nr zamówienia].&amp;[PL-2012-091091]"/>
            <x15:cachedUniqueName index="2722" name="[dane].[Nr zamówienia].&amp;[PL-2012-091092]"/>
            <x15:cachedUniqueName index="2723" name="[dane].[Nr zamówienia].&amp;[PL-2012-091101]"/>
            <x15:cachedUniqueName index="2724" name="[dane].[Nr zamówienia].&amp;[PL-2012-091102]"/>
            <x15:cachedUniqueName index="2725" name="[dane].[Nr zamówienia].&amp;[PL-2012-091111]"/>
            <x15:cachedUniqueName index="2726" name="[dane].[Nr zamówienia].&amp;[PL-2012-091112]"/>
            <x15:cachedUniqueName index="2727" name="[dane].[Nr zamówienia].&amp;[PL-2012-091128]"/>
            <x15:cachedUniqueName index="2728" name="[dane].[Nr zamówienia].&amp;[PL-2012-091132]"/>
            <x15:cachedUniqueName index="2729" name="[dane].[Nr zamówienia].&amp;[PL-2012-091133]"/>
            <x15:cachedUniqueName index="2730" name="[dane].[Nr zamówienia].&amp;[PL-2012-091138]"/>
            <x15:cachedUniqueName index="2731" name="[dane].[Nr zamówienia].&amp;[PL-2012-091145]"/>
            <x15:cachedUniqueName index="2732" name="[dane].[Nr zamówienia].&amp;[PL-2012-091153]"/>
            <x15:cachedUniqueName index="2733" name="[dane].[Nr zamówienia].&amp;[PL-2012-091159]"/>
            <x15:cachedUniqueName index="2734" name="[dane].[Nr zamówienia].&amp;[PL-2012-091160]"/>
            <x15:cachedUniqueName index="2735" name="[dane].[Nr zamówienia].&amp;[PL-2012-091163]"/>
            <x15:cachedUniqueName index="2736" name="[dane].[Nr zamówienia].&amp;[PL-2012-091168]"/>
            <x15:cachedUniqueName index="2737" name="[dane].[Nr zamówienia].&amp;[PL-2012-091176]"/>
            <x15:cachedUniqueName index="2738" name="[dane].[Nr zamówienia].&amp;[PL-2012-091181]"/>
            <x15:cachedUniqueName index="2739" name="[dane].[Nr zamówienia].&amp;[PL-2012-091182]"/>
            <x15:cachedUniqueName index="2740" name="[dane].[Nr zamówienia].&amp;[PL-2012-091183]"/>
            <x15:cachedUniqueName index="2741" name="[dane].[Nr zamówienia].&amp;[PL-2012-091187]"/>
            <x15:cachedUniqueName index="2742" name="[dane].[Nr zamówienia].&amp;[PL-2012-091188]"/>
            <x15:cachedUniqueName index="2743" name="[dane].[Nr zamówienia].&amp;[PL-2012-091196]"/>
            <x15:cachedUniqueName index="2744" name="[dane].[Nr zamówienia].&amp;[PL-2012-091210]"/>
            <x15:cachedUniqueName index="2745" name="[dane].[Nr zamówienia].&amp;[PL-2012-091214]"/>
            <x15:cachedUniqueName index="2746" name="[dane].[Nr zamówienia].&amp;[PL-2012-091215]"/>
            <x15:cachedUniqueName index="2747" name="[dane].[Nr zamówienia].&amp;[PL-2012-091220]"/>
            <x15:cachedUniqueName index="2748" name="[dane].[Nr zamówienia].&amp;[PL-2012-091221]"/>
            <x15:cachedUniqueName index="2749" name="[dane].[Nr zamówienia].&amp;[PL-2012-091230]"/>
            <x15:cachedUniqueName index="2750" name="[dane].[Nr zamówienia].&amp;[PL-2012-091246]"/>
            <x15:cachedUniqueName index="2751" name="[dane].[Nr zamówienia].&amp;[PL-2012-091252]"/>
            <x15:cachedUniqueName index="2752" name="[dane].[Nr zamówienia].&amp;[PL-2012-091270]"/>
            <x15:cachedUniqueName index="2753" name="[dane].[Nr zamówienia].&amp;[PL-2012-091271]"/>
            <x15:cachedUniqueName index="2754" name="[dane].[Nr zamówienia].&amp;[PL-2012-091272]"/>
            <x15:cachedUniqueName index="2755" name="[dane].[Nr zamówienia].&amp;[PL-2012-091278]"/>
            <x15:cachedUniqueName index="2756" name="[dane].[Nr zamówienia].&amp;[PL-2012-091281]"/>
            <x15:cachedUniqueName index="2757" name="[dane].[Nr zamówienia].&amp;[PL-2012-091287]"/>
            <x15:cachedUniqueName index="2758" name="[dane].[Nr zamówienia].&amp;[PL-2012-091288]"/>
            <x15:cachedUniqueName index="2759" name="[dane].[Nr zamówienia].&amp;[PL-2012-091294]"/>
            <x15:cachedUniqueName index="2760" name="[dane].[Nr zamówienia].&amp;[PL-2012-091299]"/>
            <x15:cachedUniqueName index="2761" name="[dane].[Nr zamówienia].&amp;[PL-2012-091300]"/>
            <x15:cachedUniqueName index="2762" name="[dane].[Nr zamówienia].&amp;[PL-2012-091301]"/>
            <x15:cachedUniqueName index="2763" name="[dane].[Nr zamówienia].&amp;[PL-2012-091302]"/>
            <x15:cachedUniqueName index="2764" name="[dane].[Nr zamówienia].&amp;[PL-2012-091311]"/>
            <x15:cachedUniqueName index="2765" name="[dane].[Nr zamówienia].&amp;[PL-2012-091317]"/>
            <x15:cachedUniqueName index="2766" name="[dane].[Nr zamówienia].&amp;[PL-2012-091318]"/>
            <x15:cachedUniqueName index="2767" name="[dane].[Nr zamówienia].&amp;[PL-2012-091322]"/>
            <x15:cachedUniqueName index="2768" name="[dane].[Nr zamówienia].&amp;[PL-2012-091323]"/>
            <x15:cachedUniqueName index="2769" name="[dane].[Nr zamówienia].&amp;[PL-2012-091324]"/>
            <x15:cachedUniqueName index="2770" name="[dane].[Nr zamówienia].&amp;[PL-2012-091331]"/>
            <x15:cachedUniqueName index="2771" name="[dane].[Nr zamówienia].&amp;[PL-2012-091332]"/>
            <x15:cachedUniqueName index="2772" name="[dane].[Nr zamówienia].&amp;[PL-2012-091336]"/>
            <x15:cachedUniqueName index="2773" name="[dane].[Nr zamówienia].&amp;[PL-2012-091338]"/>
            <x15:cachedUniqueName index="2774" name="[dane].[Nr zamówienia].&amp;[PL-2012-091339]"/>
            <x15:cachedUniqueName index="2775" name="[dane].[Nr zamówienia].&amp;[PL-2012-091345]"/>
            <x15:cachedUniqueName index="2776" name="[dane].[Nr zamówienia].&amp;[PL-2012-091351]"/>
            <x15:cachedUniqueName index="2777" name="[dane].[Nr zamówienia].&amp;[PL-2012-091356]"/>
            <x15:cachedUniqueName index="2778" name="[dane].[Nr zamówienia].&amp;[PL-2012-091367]"/>
            <x15:cachedUniqueName index="2779" name="[dane].[Nr zamówienia].&amp;[PL-2012-091368]"/>
            <x15:cachedUniqueName index="2780" name="[dane].[Nr zamówienia].&amp;[PL-2012-091372]"/>
            <x15:cachedUniqueName index="2781" name="[dane].[Nr zamówienia].&amp;[PL-2012-091377]"/>
            <x15:cachedUniqueName index="2782" name="[dane].[Nr zamówienia].&amp;[PL-2012-091378]"/>
            <x15:cachedUniqueName index="2783" name="[dane].[Nr zamówienia].&amp;[PL-2012-091387]"/>
            <x15:cachedUniqueName index="2784" name="[dane].[Nr zamówienia].&amp;[PL-2012-091390]"/>
            <x15:cachedUniqueName index="2785" name="[dane].[Nr zamówienia].&amp;[PL-2012-091391]"/>
            <x15:cachedUniqueName index="2786" name="[dane].[Nr zamówienia].&amp;[PL-2012-091399]"/>
            <x15:cachedUniqueName index="2787" name="[dane].[Nr zamówienia].&amp;[PL-2012-091409]"/>
            <x15:cachedUniqueName index="2788" name="[dane].[Nr zamówienia].&amp;[PL-2012-091421]"/>
            <x15:cachedUniqueName index="2789" name="[dane].[Nr zamówienia].&amp;[PL-2012-091425]"/>
            <x15:cachedUniqueName index="2790" name="[dane].[Nr zamówienia].&amp;[PL-2012-091429]"/>
            <x15:cachedUniqueName index="2791" name="[dane].[Nr zamówienia].&amp;[PL-2012-091439]"/>
            <x15:cachedUniqueName index="2792" name="[dane].[Nr zamówienia].&amp;[PL-2012-091443]"/>
            <x15:cachedUniqueName index="2793" name="[dane].[Nr zamówienia].&amp;[PL-2012-091444]"/>
            <x15:cachedUniqueName index="2794" name="[dane].[Nr zamówienia].&amp;[PL-2012-091448]"/>
            <x15:cachedUniqueName index="2795" name="[dane].[Nr zamówienia].&amp;[PL-2012-091449]"/>
            <x15:cachedUniqueName index="2796" name="[dane].[Nr zamówienia].&amp;[PL-2012-091459]"/>
            <x15:cachedUniqueName index="2797" name="[dane].[Nr zamówienia].&amp;[PL-2012-091472]"/>
            <x15:cachedUniqueName index="2798" name="[dane].[Nr zamówienia].&amp;[PL-2012-091473]"/>
            <x15:cachedUniqueName index="2799" name="[dane].[Nr zamówienia].&amp;[PL-2012-091474]"/>
            <x15:cachedUniqueName index="2800" name="[dane].[Nr zamówienia].&amp;[PL-2012-091475]"/>
            <x15:cachedUniqueName index="2801" name="[dane].[Nr zamówienia].&amp;[PL-2012-091476]"/>
            <x15:cachedUniqueName index="2802" name="[dane].[Nr zamówienia].&amp;[PL-2012-091489]"/>
            <x15:cachedUniqueName index="2803" name="[dane].[Nr zamówienia].&amp;[PL-2012-091507]"/>
            <x15:cachedUniqueName index="2804" name="[dane].[Nr zamówienia].&amp;[PL-2012-091514]"/>
            <x15:cachedUniqueName index="2805" name="[dane].[Nr zamówienia].&amp;[PL-2012-091515]"/>
            <x15:cachedUniqueName index="2806" name="[dane].[Nr zamówienia].&amp;[PL-2012-091521]"/>
            <x15:cachedUniqueName index="2807" name="[dane].[Nr zamówienia].&amp;[PL-2012-091524]"/>
            <x15:cachedUniqueName index="2808" name="[dane].[Nr zamówienia].&amp;[PL-2012-091525]"/>
            <x15:cachedUniqueName index="2809" name="[dane].[Nr zamówienia].&amp;[PL-2012-091529]"/>
            <x15:cachedUniqueName index="2810" name="[dane].[Nr zamówienia].&amp;[PL-2012-091537]"/>
            <x15:cachedUniqueName index="2811" name="[dane].[Nr zamówienia].&amp;[PL-2012-091538]"/>
            <x15:cachedUniqueName index="2812" name="[dane].[Nr zamówienia].&amp;[PL-2012-091551]"/>
            <x15:cachedUniqueName index="2813" name="[dane].[Nr zamówienia].&amp;[PL-2012-091556]"/>
            <x15:cachedUniqueName index="2814" name="[dane].[Nr zamówienia].&amp;[PL-2012-091559]"/>
            <x15:cachedUniqueName index="2815" name="[dane].[Nr zamówienia].&amp;[PL-2012-091560]"/>
            <x15:cachedUniqueName index="2816" name="[dane].[Nr zamówienia].&amp;[PL-2012-091567]"/>
            <x15:cachedUniqueName index="2817" name="[dane].[Nr zamówienia].&amp;[PL-2012-091587]"/>
            <x15:cachedUniqueName index="2818" name="[dane].[Nr zamówienia].&amp;[PL-2012-091589]"/>
            <x15:cachedUniqueName index="2819" name="[dane].[Nr zamówienia].&amp;[PL-2013-000386]"/>
            <x15:cachedUniqueName index="2820" name="[dane].[Nr zamówienia].&amp;[PL-2013-000454]"/>
            <x15:cachedUniqueName index="2821" name="[dane].[Nr zamówienia].&amp;[PL-2013-000613]"/>
            <x15:cachedUniqueName index="2822" name="[dane].[Nr zamówienia].&amp;[PL-2013-000835]"/>
            <x15:cachedUniqueName index="2823" name="[dane].[Nr zamówienia].&amp;[PL-2013-002309]"/>
            <x15:cachedUniqueName index="2824" name="[dane].[Nr zamówienia].&amp;[PL-2013-002311]"/>
            <x15:cachedUniqueName index="2825" name="[dane].[Nr zamówienia].&amp;[PL-2013-002467]"/>
            <x15:cachedUniqueName index="2826" name="[dane].[Nr zamówienia].&amp;[PL-2013-002757]"/>
            <x15:cachedUniqueName index="2827" name="[dane].[Nr zamówienia].&amp;[PL-2013-002947]"/>
            <x15:cachedUniqueName index="2828" name="[dane].[Nr zamówienia].&amp;[PL-2013-002978]"/>
            <x15:cachedUniqueName index="2829" name="[dane].[Nr zamówienia].&amp;[PL-2013-003008]"/>
            <x15:cachedUniqueName index="2830" name="[dane].[Nr zamówienia].&amp;[PL-2013-003266]"/>
            <x15:cachedUniqueName index="2831" name="[dane].[Nr zamówienia].&amp;[PL-2013-003271]"/>
            <x15:cachedUniqueName index="2832" name="[dane].[Nr zamówienia].&amp;[PL-2013-003460]"/>
            <x15:cachedUniqueName index="2833" name="[dane].[Nr zamówienia].&amp;[PL-2013-004769]"/>
            <x15:cachedUniqueName index="2834" name="[dane].[Nr zamówienia].&amp;[PL-2013-005153]"/>
            <x15:cachedUniqueName index="2835" name="[dane].[Nr zamówienia].&amp;[PL-2013-005217]"/>
            <x15:cachedUniqueName index="2836" name="[dane].[Nr zamówienia].&amp;[PL-2013-005444]"/>
            <x15:cachedUniqueName index="2837" name="[dane].[Nr zamówienia].&amp;[PL-2013-006180]"/>
            <x15:cachedUniqueName index="2838" name="[dane].[Nr zamówienia].&amp;[PL-2013-007142]"/>
            <x15:cachedUniqueName index="2839" name="[dane].[Nr zamówienia].&amp;[PL-2013-008419]"/>
            <x15:cachedUniqueName index="2840" name="[dane].[Nr zamówienia].&amp;[PL-2013-009062]"/>
            <x15:cachedUniqueName index="2841" name="[dane].[Nr zamówienia].&amp;[PL-2013-009344]"/>
            <x15:cachedUniqueName index="2842" name="[dane].[Nr zamówienia].&amp;[PL-2013-010944]"/>
            <x15:cachedUniqueName index="2843" name="[dane].[Nr zamówienia].&amp;[PL-2013-011425]"/>
            <x15:cachedUniqueName index="2844" name="[dane].[Nr zamówienia].&amp;[PL-2013-011651]"/>
            <x15:cachedUniqueName index="2845" name="[dane].[Nr zamówienia].&amp;[PL-2013-011876]"/>
            <x15:cachedUniqueName index="2846" name="[dane].[Nr zamówienia].&amp;[PL-2013-011968]"/>
            <x15:cachedUniqueName index="2847" name="[dane].[Nr zamówienia].&amp;[PL-2013-012320]"/>
            <x15:cachedUniqueName index="2848" name="[dane].[Nr zamówienia].&amp;[PL-2013-012868]"/>
            <x15:cachedUniqueName index="2849" name="[dane].[Nr zamówienia].&amp;[PL-2013-012897]"/>
            <x15:cachedUniqueName index="2850" name="[dane].[Nr zamówienia].&amp;[PL-2013-012930]"/>
            <x15:cachedUniqueName index="2851" name="[dane].[Nr zamówienia].&amp;[PL-2013-013634]"/>
            <x15:cachedUniqueName index="2852" name="[dane].[Nr zamówienia].&amp;[PL-2013-013638]"/>
            <x15:cachedUniqueName index="2853" name="[dane].[Nr zamówienia].&amp;[PL-2013-013730]"/>
            <x15:cachedUniqueName index="2854" name="[dane].[Nr zamówienia].&amp;[PL-2013-014693]"/>
            <x15:cachedUniqueName index="2855" name="[dane].[Nr zamówienia].&amp;[PL-2013-014884]"/>
            <x15:cachedUniqueName index="2856" name="[dane].[Nr zamówienia].&amp;[PL-2013-015009]"/>
            <x15:cachedUniqueName index="2857" name="[dane].[Nr zamówienia].&amp;[PL-2013-015264]"/>
            <x15:cachedUniqueName index="2858" name="[dane].[Nr zamówienia].&amp;[PL-2013-015300]"/>
            <x15:cachedUniqueName index="2859" name="[dane].[Nr zamówienia].&amp;[PL-2013-015714]"/>
            <x15:cachedUniqueName index="2860" name="[dane].[Nr zamówienia].&amp;[PL-2013-015907]"/>
            <x15:cachedUniqueName index="2861" name="[dane].[Nr zamówienia].&amp;[PL-2013-016320]"/>
            <x15:cachedUniqueName index="2862" name="[dane].[Nr zamówienia].&amp;[PL-2013-016422]"/>
            <x15:cachedUniqueName index="2863" name="[dane].[Nr zamówienia].&amp;[PL-2013-016710]"/>
            <x15:cachedUniqueName index="2864" name="[dane].[Nr zamówienia].&amp;[PL-2013-017860]"/>
            <x15:cachedUniqueName index="2865" name="[dane].[Nr zamówienia].&amp;[PL-2013-017985]"/>
            <x15:cachedUniqueName index="2866" name="[dane].[Nr zamówienia].&amp;[PL-2013-018534]"/>
            <x15:cachedUniqueName index="2867" name="[dane].[Nr zamówienia].&amp;[PL-2013-018789]"/>
            <x15:cachedUniqueName index="2868" name="[dane].[Nr zamówienia].&amp;[PL-2013-019041]"/>
            <x15:cachedUniqueName index="2869" name="[dane].[Nr zamówienia].&amp;[PL-2013-019365]"/>
            <x15:cachedUniqueName index="2870" name="[dane].[Nr zamówienia].&amp;[PL-2013-020068]"/>
            <x15:cachedUniqueName index="2871" name="[dane].[Nr zamówienia].&amp;[PL-2013-020960]"/>
            <x15:cachedUniqueName index="2872" name="[dane].[Nr zamówienia].&amp;[PL-2013-021057]"/>
            <x15:cachedUniqueName index="2873" name="[dane].[Nr zamówienia].&amp;[PL-2013-021601]"/>
            <x15:cachedUniqueName index="2874" name="[dane].[Nr zamówienia].&amp;[PL-2013-021670]"/>
            <x15:cachedUniqueName index="2875" name="[dane].[Nr zamówienia].&amp;[PL-2013-021760]"/>
            <x15:cachedUniqueName index="2876" name="[dane].[Nr zamówienia].&amp;[PL-2013-022051]"/>
            <x15:cachedUniqueName index="2877" name="[dane].[Nr zamówienia].&amp;[PL-2013-022727]"/>
            <x15:cachedUniqueName index="2878" name="[dane].[Nr zamówienia].&amp;[PL-2013-022787]"/>
            <x15:cachedUniqueName index="2879" name="[dane].[Nr zamówienia].&amp;[PL-2013-022848]"/>
            <x15:cachedUniqueName index="2880" name="[dane].[Nr zamówienia].&amp;[PL-2013-023617]"/>
            <x15:cachedUniqueName index="2881" name="[dane].[Nr zamówienia].&amp;[PL-2013-023781]"/>
            <x15:cachedUniqueName index="2882" name="[dane].[Nr zamówienia].&amp;[PL-2013-023940]"/>
            <x15:cachedUniqueName index="2883" name="[dane].[Nr zamówienia].&amp;[PL-2013-023968]"/>
            <x15:cachedUniqueName index="2884" name="[dane].[Nr zamówienia].&amp;[PL-2013-024486]"/>
            <x15:cachedUniqueName index="2885" name="[dane].[Nr zamówienia].&amp;[PL-2013-024519]"/>
            <x15:cachedUniqueName index="2886" name="[dane].[Nr zamówienia].&amp;[PL-2013-024931]"/>
            <x15:cachedUniqueName index="2887" name="[dane].[Nr zamówienia].&amp;[PL-2013-025669]"/>
            <x15:cachedUniqueName index="2888" name="[dane].[Nr zamówienia].&amp;[PL-2013-025697]"/>
            <x15:cachedUniqueName index="2889" name="[dane].[Nr zamówienia].&amp;[PL-2013-026214]"/>
            <x15:cachedUniqueName index="2890" name="[dane].[Nr zamówienia].&amp;[PL-2013-026370]"/>
            <x15:cachedUniqueName index="2891" name="[dane].[Nr zamówienia].&amp;[PL-2013-026406]"/>
            <x15:cachedUniqueName index="2892" name="[dane].[Nr zamówienia].&amp;[PL-2013-026439]"/>
            <x15:cachedUniqueName index="2893" name="[dane].[Nr zamówienia].&amp;[PL-2013-026851]"/>
            <x15:cachedUniqueName index="2894" name="[dane].[Nr zamówienia].&amp;[PL-2013-026887]"/>
            <x15:cachedUniqueName index="2895" name="[dane].[Nr zamówienia].&amp;[PL-2013-027174]"/>
            <x15:cachedUniqueName index="2896" name="[dane].[Nr zamówienia].&amp;[PL-2013-027811]"/>
            <x15:cachedUniqueName index="2897" name="[dane].[Nr zamówienia].&amp;[PL-2013-027872]"/>
            <x15:cachedUniqueName index="2898" name="[dane].[Nr zamówienia].&amp;[PL-2013-028581]"/>
            <x15:cachedUniqueName index="2899" name="[dane].[Nr zamówienia].&amp;[PL-2013-028807]"/>
            <x15:cachedUniqueName index="2900" name="[dane].[Nr zamówienia].&amp;[PL-2013-029152]"/>
            <x15:cachedUniqueName index="2901" name="[dane].[Nr zamówienia].&amp;[PL-2013-029249]"/>
            <x15:cachedUniqueName index="2902" name="[dane].[Nr zamówienia].&amp;[PL-2013-029255]"/>
            <x15:cachedUniqueName index="2903" name="[dane].[Nr zamówienia].&amp;[PL-2013-029958]"/>
            <x15:cachedUniqueName index="2904" name="[dane].[Nr zamówienia].&amp;[PL-2013-030048]"/>
            <x15:cachedUniqueName index="2905" name="[dane].[Nr zamówienia].&amp;[PL-2013-030497]"/>
            <x15:cachedUniqueName index="2906" name="[dane].[Nr zamówienia].&amp;[PL-2013-031140]"/>
            <x15:cachedUniqueName index="2907" name="[dane].[Nr zamówienia].&amp;[PL-2013-031303]"/>
            <x15:cachedUniqueName index="2908" name="[dane].[Nr zamówienia].&amp;[PL-2013-031939]"/>
            <x15:cachedUniqueName index="2909" name="[dane].[Nr zamówienia].&amp;[PL-2013-032065]"/>
            <x15:cachedUniqueName index="2910" name="[dane].[Nr zamówienia].&amp;[PL-2013-032450]"/>
            <x15:cachedUniqueName index="2911" name="[dane].[Nr zamówienia].&amp;[PL-2013-032454]"/>
            <x15:cachedUniqueName index="2912" name="[dane].[Nr zamówienia].&amp;[PL-2013-032647]"/>
            <x15:cachedUniqueName index="2913" name="[dane].[Nr zamówienia].&amp;[PL-2013-032806]"/>
            <x15:cachedUniqueName index="2914" name="[dane].[Nr zamówienia].&amp;[PL-2013-033219]"/>
            <x15:cachedUniqueName index="2915" name="[dane].[Nr zamówienia].&amp;[PL-2013-033287]"/>
            <x15:cachedUniqueName index="2916" name="[dane].[Nr zamówienia].&amp;[PL-2013-033540]"/>
            <x15:cachedUniqueName index="2917" name="[dane].[Nr zamówienia].&amp;[PL-2013-034048]"/>
            <x15:cachedUniqueName index="2918" name="[dane].[Nr zamówienia].&amp;[PL-2013-034881]"/>
            <x15:cachedUniqueName index="2919" name="[dane].[Nr zamówienia].&amp;[PL-2013-035649]"/>
            <x15:cachedUniqueName index="2920" name="[dane].[Nr zamówienia].&amp;[PL-2013-035684]"/>
            <x15:cachedUniqueName index="2921" name="[dane].[Nr zamówienia].&amp;[PL-2013-036196]"/>
            <x15:cachedUniqueName index="2922" name="[dane].[Nr zamówienia].&amp;[PL-2013-036356]"/>
            <x15:cachedUniqueName index="2923" name="[dane].[Nr zamówienia].&amp;[PL-2013-036482]"/>
            <x15:cachedUniqueName index="2924" name="[dane].[Nr zamówienia].&amp;[PL-2013-036931]"/>
            <x15:cachedUniqueName index="2925" name="[dane].[Nr zamówienia].&amp;[PL-2013-037252]"/>
            <x15:cachedUniqueName index="2926" name="[dane].[Nr zamówienia].&amp;[PL-2013-037380]"/>
            <x15:cachedUniqueName index="2927" name="[dane].[Nr zamówienia].&amp;[PL-2013-037414]"/>
            <x15:cachedUniqueName index="2928" name="[dane].[Nr zamówienia].&amp;[PL-2013-037988]"/>
            <x15:cachedUniqueName index="2929" name="[dane].[Nr zamówienia].&amp;[PL-2013-038693]"/>
            <x15:cachedUniqueName index="2930" name="[dane].[Nr zamówienia].&amp;[PL-2013-038758]"/>
            <x15:cachedUniqueName index="2931" name="[dane].[Nr zamówienia].&amp;[PL-2013-039332]"/>
            <x15:cachedUniqueName index="2932" name="[dane].[Nr zamówienia].&amp;[PL-2013-039878]"/>
            <x15:cachedUniqueName index="2933" name="[dane].[Nr zamówienia].&amp;[PL-2013-040165]"/>
            <x15:cachedUniqueName index="2934" name="[dane].[Nr zamówienia].&amp;[PL-2013-040612]"/>
            <x15:cachedUniqueName index="2935" name="[dane].[Nr zamówienia].&amp;[PL-2013-040643]"/>
            <x15:cachedUniqueName index="2936" name="[dane].[Nr zamówienia].&amp;[PL-2013-040870]"/>
            <x15:cachedUniqueName index="2937" name="[dane].[Nr zamówienia].&amp;[PL-2013-040896]"/>
            <x15:cachedUniqueName index="2938" name="[dane].[Nr zamówienia].&amp;[PL-2013-040934]"/>
            <x15:cachedUniqueName index="2939" name="[dane].[Nr zamówienia].&amp;[PL-2013-040962]"/>
            <x15:cachedUniqueName index="2940" name="[dane].[Nr zamówienia].&amp;[PL-2013-041026]"/>
            <x15:cachedUniqueName index="2941" name="[dane].[Nr zamówienia].&amp;[PL-2013-041157]"/>
            <x15:cachedUniqueName index="2942" name="[dane].[Nr zamówienia].&amp;[PL-2013-041539]"/>
            <x15:cachedUniqueName index="2943" name="[dane].[Nr zamówienia].&amp;[PL-2013-041857]"/>
            <x15:cachedUniqueName index="2944" name="[dane].[Nr zamówienia].&amp;[PL-2013-041987]"/>
            <x15:cachedUniqueName index="2945" name="[dane].[Nr zamówienia].&amp;[PL-2013-042213]"/>
            <x15:cachedUniqueName index="2946" name="[dane].[Nr zamówienia].&amp;[PL-2013-043239]"/>
            <x15:cachedUniqueName index="2947" name="[dane].[Nr zamówienia].&amp;[PL-2013-043267]"/>
            <x15:cachedUniqueName index="2948" name="[dane].[Nr zamówienia].&amp;[PL-2013-043398]"/>
            <x15:cachedUniqueName index="2949" name="[dane].[Nr zamówienia].&amp;[PL-2013-043814]"/>
            <x15:cachedUniqueName index="2950" name="[dane].[Nr zamówienia].&amp;[PL-2013-044451]"/>
            <x15:cachedUniqueName index="2951" name="[dane].[Nr zamówienia].&amp;[PL-2013-044452]"/>
            <x15:cachedUniqueName index="2952" name="[dane].[Nr zamówienia].&amp;[PL-2013-045671]"/>
            <x15:cachedUniqueName index="2953" name="[dane].[Nr zamówienia].&amp;[PL-2013-045794]"/>
            <x15:cachedUniqueName index="2954" name="[dane].[Nr zamówienia].&amp;[PL-2013-046115]"/>
            <x15:cachedUniqueName index="2955" name="[dane].[Nr zamówienia].&amp;[PL-2013-046402]"/>
            <x15:cachedUniqueName index="2956" name="[dane].[Nr zamówienia].&amp;[PL-2013-046565]"/>
            <x15:cachedUniqueName index="2957" name="[dane].[Nr zamówienia].&amp;[PL-2013-047109]"/>
            <x15:cachedUniqueName index="2958" name="[dane].[Nr zamówienia].&amp;[PL-2013-047265]"/>
            <x15:cachedUniqueName index="2959" name="[dane].[Nr zamówienia].&amp;[PL-2013-048071]"/>
            <x15:cachedUniqueName index="2960" name="[dane].[Nr zamówienia].&amp;[PL-2013-048101]"/>
            <x15:cachedUniqueName index="2961" name="[dane].[Nr zamówienia].&amp;[PL-2013-048288]"/>
            <x15:cachedUniqueName index="2962" name="[dane].[Nr zamówienia].&amp;[PL-2013-048515]"/>
            <x15:cachedUniqueName index="2963" name="[dane].[Nr zamówienia].&amp;[PL-2013-049027]"/>
            <x15:cachedUniqueName index="2964" name="[dane].[Nr zamówienia].&amp;[PL-2013-049443]"/>
            <x15:cachedUniqueName index="2965" name="[dane].[Nr zamówienia].&amp;[PL-2013-049762]"/>
            <x15:cachedUniqueName index="2966" name="[dane].[Nr zamówienia].&amp;[PL-2013-049824]"/>
            <x15:cachedUniqueName index="2967" name="[dane].[Nr zamówienia].&amp;[PL-2013-050533]"/>
            <x15:cachedUniqueName index="2968" name="[dane].[Nr zamówienia].&amp;[PL-2013-050726]"/>
            <x15:cachedUniqueName index="2969" name="[dane].[Nr zamówienia].&amp;[PL-2013-050945]"/>
            <x15:cachedUniqueName index="2970" name="[dane].[Nr zamówienia].&amp;[PL-2013-051494]"/>
            <x15:cachedUniqueName index="2971" name="[dane].[Nr zamówienia].&amp;[PL-2013-052389]"/>
            <x15:cachedUniqueName index="2972" name="[dane].[Nr zamówienia].&amp;[PL-2013-053411]"/>
            <x15:cachedUniqueName index="2973" name="[dane].[Nr zamówienia].&amp;[PL-2013-054592]"/>
            <x15:cachedUniqueName index="2974" name="[dane].[Nr zamówienia].&amp;[PL-2013-054914]"/>
            <x15:cachedUniqueName index="2975" name="[dane].[Nr zamówienia].&amp;[PL-2013-056039]"/>
            <x15:cachedUniqueName index="2976" name="[dane].[Nr zamówienia].&amp;[PL-2013-056834]"/>
            <x15:cachedUniqueName index="2977" name="[dane].[Nr zamówienia].&amp;[PL-2013-057095]"/>
            <x15:cachedUniqueName index="2978" name="[dane].[Nr zamówienia].&amp;[PL-2013-057376]"/>
            <x15:cachedUniqueName index="2979" name="[dane].[Nr zamówienia].&amp;[PL-2013-058054]"/>
            <x15:cachedUniqueName index="2980" name="[dane].[Nr zamówienia].&amp;[PL-2013-058342]"/>
            <x15:cachedUniqueName index="2981" name="[dane].[Nr zamówienia].&amp;[PL-2013-058433]"/>
            <x15:cachedUniqueName index="2982" name="[dane].[Nr zamówienia].&amp;[PL-2013-058496]"/>
            <x15:cachedUniqueName index="2983" name="[dane].[Nr zamówienia].&amp;[PL-2013-058947]"/>
            <x15:cachedUniqueName index="2984" name="[dane].[Nr zamówienia].&amp;[PL-2013-059009]"/>
            <x15:cachedUniqueName index="2985" name="[dane].[Nr zamówienia].&amp;[PL-2013-059108]"/>
            <x15:cachedUniqueName index="2986" name="[dane].[Nr zamówienia].&amp;[PL-2013-059686]"/>
            <x15:cachedUniqueName index="2987" name="[dane].[Nr zamówienia].&amp;[PL-2013-059812]"/>
            <x15:cachedUniqueName index="2988" name="[dane].[Nr zamówienia].&amp;[PL-2013-085821]"/>
            <x15:cachedUniqueName index="2989" name="[dane].[Nr zamówienia].&amp;[PL-2013-085822]"/>
            <x15:cachedUniqueName index="2990" name="[dane].[Nr zamówienia].&amp;[PL-2013-085830]"/>
            <x15:cachedUniqueName index="2991" name="[dane].[Nr zamówienia].&amp;[PL-2013-085838]"/>
            <x15:cachedUniqueName index="2992" name="[dane].[Nr zamówienia].&amp;[PL-2013-085839]"/>
            <x15:cachedUniqueName index="2993" name="[dane].[Nr zamówienia].&amp;[PL-2013-085840]"/>
            <x15:cachedUniqueName index="2994" name="[dane].[Nr zamówienia].&amp;[PL-2013-085846]"/>
            <x15:cachedUniqueName index="2995" name="[dane].[Nr zamówienia].&amp;[PL-2013-085847]"/>
            <x15:cachedUniqueName index="2996" name="[dane].[Nr zamówienia].&amp;[PL-2013-085849]"/>
            <x15:cachedUniqueName index="2997" name="[dane].[Nr zamówienia].&amp;[PL-2013-085852]"/>
            <x15:cachedUniqueName index="2998" name="[dane].[Nr zamówienia].&amp;[PL-2013-085853]"/>
            <x15:cachedUniqueName index="2999" name="[dane].[Nr zamówienia].&amp;[PL-2013-085854]"/>
            <x15:cachedUniqueName index="3000" name="[dane].[Nr zamówienia].&amp;[PL-2013-085862]"/>
            <x15:cachedUniqueName index="3001" name="[dane].[Nr zamówienia].&amp;[PL-2013-085872]"/>
            <x15:cachedUniqueName index="3002" name="[dane].[Nr zamówienia].&amp;[PL-2013-085884]"/>
            <x15:cachedUniqueName index="3003" name="[dane].[Nr zamówienia].&amp;[PL-2013-085885]"/>
            <x15:cachedUniqueName index="3004" name="[dane].[Nr zamówienia].&amp;[PL-2013-085886]"/>
            <x15:cachedUniqueName index="3005" name="[dane].[Nr zamówienia].&amp;[PL-2013-085887]"/>
            <x15:cachedUniqueName index="3006" name="[dane].[Nr zamówienia].&amp;[PL-2013-085888]"/>
            <x15:cachedUniqueName index="3007" name="[dane].[Nr zamówienia].&amp;[PL-2013-085902]"/>
            <x15:cachedUniqueName index="3008" name="[dane].[Nr zamówienia].&amp;[PL-2013-085903]"/>
            <x15:cachedUniqueName index="3009" name="[dane].[Nr zamówienia].&amp;[PL-2013-085904]"/>
            <x15:cachedUniqueName index="3010" name="[dane].[Nr zamówienia].&amp;[PL-2013-085910]"/>
            <x15:cachedUniqueName index="3011" name="[dane].[Nr zamówienia].&amp;[PL-2013-085911]"/>
            <x15:cachedUniqueName index="3012" name="[dane].[Nr zamówienia].&amp;[PL-2013-085912]"/>
            <x15:cachedUniqueName index="3013" name="[dane].[Nr zamówienia].&amp;[PL-2013-085920]"/>
            <x15:cachedUniqueName index="3014" name="[dane].[Nr zamówienia].&amp;[PL-2013-085921]"/>
            <x15:cachedUniqueName index="3015" name="[dane].[Nr zamówienia].&amp;[PL-2013-085931]"/>
            <x15:cachedUniqueName index="3016" name="[dane].[Nr zamówienia].&amp;[PL-2013-085932]"/>
            <x15:cachedUniqueName index="3017" name="[dane].[Nr zamówienia].&amp;[PL-2013-085942]"/>
            <x15:cachedUniqueName index="3018" name="[dane].[Nr zamówienia].&amp;[PL-2013-085955]"/>
            <x15:cachedUniqueName index="3019" name="[dane].[Nr zamówienia].&amp;[PL-2013-085956]"/>
            <x15:cachedUniqueName index="3020" name="[dane].[Nr zamówienia].&amp;[PL-2013-085957]"/>
            <x15:cachedUniqueName index="3021" name="[dane].[Nr zamówienia].&amp;[PL-2013-085972]"/>
            <x15:cachedUniqueName index="3022" name="[dane].[Nr zamówienia].&amp;[PL-2013-085973]"/>
            <x15:cachedUniqueName index="3023" name="[dane].[Nr zamówienia].&amp;[PL-2013-085983]"/>
            <x15:cachedUniqueName index="3024" name="[dane].[Nr zamówienia].&amp;[PL-2013-085984]"/>
            <x15:cachedUniqueName index="3025" name="[dane].[Nr zamówienia].&amp;[PL-2013-085995]"/>
            <x15:cachedUniqueName index="3026" name="[dane].[Nr zamówienia].&amp;[PL-2013-085996]"/>
            <x15:cachedUniqueName index="3027" name="[dane].[Nr zamówienia].&amp;[PL-2013-085997]"/>
            <x15:cachedUniqueName index="3028" name="[dane].[Nr zamówienia].&amp;[PL-2013-086006]"/>
            <x15:cachedUniqueName index="3029" name="[dane].[Nr zamówienia].&amp;[PL-2013-086021]"/>
            <x15:cachedUniqueName index="3030" name="[dane].[Nr zamówienia].&amp;[PL-2013-086022]"/>
            <x15:cachedUniqueName index="3031" name="[dane].[Nr zamówienia].&amp;[PL-2013-086023]"/>
            <x15:cachedUniqueName index="3032" name="[dane].[Nr zamówienia].&amp;[PL-2013-086024]"/>
            <x15:cachedUniqueName index="3033" name="[dane].[Nr zamówienia].&amp;[PL-2013-086035]"/>
            <x15:cachedUniqueName index="3034" name="[dane].[Nr zamówienia].&amp;[PL-2013-086042]"/>
            <x15:cachedUniqueName index="3035" name="[dane].[Nr zamówienia].&amp;[PL-2013-086046]"/>
            <x15:cachedUniqueName index="3036" name="[dane].[Nr zamówienia].&amp;[PL-2013-086057]"/>
            <x15:cachedUniqueName index="3037" name="[dane].[Nr zamówienia].&amp;[PL-2013-086058]"/>
            <x15:cachedUniqueName index="3038" name="[dane].[Nr zamówienia].&amp;[PL-2013-086059]"/>
            <x15:cachedUniqueName index="3039" name="[dane].[Nr zamówienia].&amp;[PL-2013-086068]"/>
            <x15:cachedUniqueName index="3040" name="[dane].[Nr zamówienia].&amp;[PL-2013-086069]"/>
            <x15:cachedUniqueName index="3041" name="[dane].[Nr zamówienia].&amp;[PL-2013-086070]"/>
            <x15:cachedUniqueName index="3042" name="[dane].[Nr zamówienia].&amp;[PL-2013-086071]"/>
            <x15:cachedUniqueName index="3043" name="[dane].[Nr zamówienia].&amp;[PL-2013-086072]"/>
            <x15:cachedUniqueName index="3044" name="[dane].[Nr zamówienia].&amp;[PL-2013-086080]"/>
            <x15:cachedUniqueName index="3045" name="[dane].[Nr zamówienia].&amp;[PL-2013-086081]"/>
            <x15:cachedUniqueName index="3046" name="[dane].[Nr zamówienia].&amp;[PL-2013-086082]"/>
            <x15:cachedUniqueName index="3047" name="[dane].[Nr zamówienia].&amp;[PL-2013-086088]"/>
            <x15:cachedUniqueName index="3048" name="[dane].[Nr zamówienia].&amp;[PL-2013-086096]"/>
            <x15:cachedUniqueName index="3049" name="[dane].[Nr zamówienia].&amp;[PL-2013-086097]"/>
            <x15:cachedUniqueName index="3050" name="[dane].[Nr zamówienia].&amp;[PL-2013-086110]"/>
            <x15:cachedUniqueName index="3051" name="[dane].[Nr zamówienia].&amp;[PL-2013-086111]"/>
            <x15:cachedUniqueName index="3052" name="[dane].[Nr zamówienia].&amp;[PL-2013-086112]"/>
            <x15:cachedUniqueName index="3053" name="[dane].[Nr zamówienia].&amp;[PL-2013-086127]"/>
            <x15:cachedUniqueName index="3054" name="[dane].[Nr zamówienia].&amp;[PL-2013-086128]"/>
            <x15:cachedUniqueName index="3055" name="[dane].[Nr zamówienia].&amp;[PL-2013-086129]"/>
            <x15:cachedUniqueName index="3056" name="[dane].[Nr zamówienia].&amp;[PL-2013-086140]"/>
            <x15:cachedUniqueName index="3057" name="[dane].[Nr zamówienia].&amp;[PL-2013-086147]"/>
            <x15:cachedUniqueName index="3058" name="[dane].[Nr zamówienia].&amp;[PL-2013-086155]"/>
            <x15:cachedUniqueName index="3059" name="[dane].[Nr zamówienia].&amp;[PL-2013-086156]"/>
            <x15:cachedUniqueName index="3060" name="[dane].[Nr zamówienia].&amp;[PL-2013-086159]"/>
            <x15:cachedUniqueName index="3061" name="[dane].[Nr zamówienia].&amp;[PL-2013-086160]"/>
            <x15:cachedUniqueName index="3062" name="[dane].[Nr zamówienia].&amp;[PL-2013-086168]"/>
            <x15:cachedUniqueName index="3063" name="[dane].[Nr zamówienia].&amp;[PL-2013-086169]"/>
            <x15:cachedUniqueName index="3064" name="[dane].[Nr zamówienia].&amp;[PL-2013-086170]"/>
            <x15:cachedUniqueName index="3065" name="[dane].[Nr zamówienia].&amp;[PL-2013-086178]"/>
            <x15:cachedUniqueName index="3066" name="[dane].[Nr zamówienia].&amp;[PL-2013-086187]"/>
            <x15:cachedUniqueName index="3067" name="[dane].[Nr zamówienia].&amp;[PL-2013-086195]"/>
            <x15:cachedUniqueName index="3068" name="[dane].[Nr zamówienia].&amp;[PL-2013-086196]"/>
            <x15:cachedUniqueName index="3069" name="[dane].[Nr zamówienia].&amp;[PL-2013-086197]"/>
            <x15:cachedUniqueName index="3070" name="[dane].[Nr zamówienia].&amp;[PL-2013-086201]"/>
            <x15:cachedUniqueName index="3071" name="[dane].[Nr zamówienia].&amp;[PL-2013-086207]"/>
            <x15:cachedUniqueName index="3072" name="[dane].[Nr zamówienia].&amp;[PL-2013-086208]"/>
            <x15:cachedUniqueName index="3073" name="[dane].[Nr zamówienia].&amp;[PL-2013-086209]"/>
            <x15:cachedUniqueName index="3074" name="[dane].[Nr zamówienia].&amp;[PL-2013-086210]"/>
            <x15:cachedUniqueName index="3075" name="[dane].[Nr zamówienia].&amp;[PL-2013-086211]"/>
            <x15:cachedUniqueName index="3076" name="[dane].[Nr zamówienia].&amp;[PL-2013-086224]"/>
            <x15:cachedUniqueName index="3077" name="[dane].[Nr zamówienia].&amp;[PL-2013-086225]"/>
            <x15:cachedUniqueName index="3078" name="[dane].[Nr zamówienia].&amp;[PL-2013-086231]"/>
            <x15:cachedUniqueName index="3079" name="[dane].[Nr zamówienia].&amp;[PL-2013-086237]"/>
            <x15:cachedUniqueName index="3080" name="[dane].[Nr zamówienia].&amp;[PL-2013-086238]"/>
            <x15:cachedUniqueName index="3081" name="[dane].[Nr zamówienia].&amp;[PL-2013-086239]"/>
            <x15:cachedUniqueName index="3082" name="[dane].[Nr zamówienia].&amp;[PL-2013-086254]"/>
            <x15:cachedUniqueName index="3083" name="[dane].[Nr zamówienia].&amp;[PL-2013-086262]"/>
            <x15:cachedUniqueName index="3084" name="[dane].[Nr zamówienia].&amp;[PL-2013-086265]"/>
            <x15:cachedUniqueName index="3085" name="[dane].[Nr zamówienia].&amp;[PL-2013-086273]"/>
            <x15:cachedUniqueName index="3086" name="[dane].[Nr zamówienia].&amp;[PL-2013-086282]"/>
            <x15:cachedUniqueName index="3087" name="[dane].[Nr zamówienia].&amp;[PL-2013-086287]"/>
            <x15:cachedUniqueName index="3088" name="[dane].[Nr zamówienia].&amp;[PL-2013-086295]"/>
            <x15:cachedUniqueName index="3089" name="[dane].[Nr zamówienia].&amp;[PL-2013-086302]"/>
            <x15:cachedUniqueName index="3090" name="[dane].[Nr zamówienia].&amp;[PL-2013-086319]"/>
            <x15:cachedUniqueName index="3091" name="[dane].[Nr zamówienia].&amp;[PL-2013-086320]"/>
            <x15:cachedUniqueName index="3092" name="[dane].[Nr zamówienia].&amp;[PL-2013-086321]"/>
            <x15:cachedUniqueName index="3093" name="[dane].[Nr zamówienia].&amp;[PL-2013-086328]"/>
            <x15:cachedUniqueName index="3094" name="[dane].[Nr zamówienia].&amp;[PL-2013-086334]"/>
            <x15:cachedUniqueName index="3095" name="[dane].[Nr zamówienia].&amp;[PL-2013-086341]"/>
            <x15:cachedUniqueName index="3096" name="[dane].[Nr zamówienia].&amp;[PL-2013-086342]"/>
            <x15:cachedUniqueName index="3097" name="[dane].[Nr zamówienia].&amp;[PL-2013-086348]"/>
            <x15:cachedUniqueName index="3098" name="[dane].[Nr zamówienia].&amp;[PL-2013-086354]"/>
            <x15:cachedUniqueName index="3099" name="[dane].[Nr zamówienia].&amp;[PL-2013-086359]"/>
            <x15:cachedUniqueName index="3100" name="[dane].[Nr zamówienia].&amp;[PL-2013-086360]"/>
            <x15:cachedUniqueName index="3101" name="[dane].[Nr zamówienia].&amp;[PL-2013-086361]"/>
            <x15:cachedUniqueName index="3102" name="[dane].[Nr zamówienia].&amp;[PL-2013-086362]"/>
            <x15:cachedUniqueName index="3103" name="[dane].[Nr zamówienia].&amp;[PL-2013-086371]"/>
            <x15:cachedUniqueName index="3104" name="[dane].[Nr zamówienia].&amp;[PL-2013-086376]"/>
            <x15:cachedUniqueName index="3105" name="[dane].[Nr zamówienia].&amp;[PL-2013-086377]"/>
            <x15:cachedUniqueName index="3106" name="[dane].[Nr zamówienia].&amp;[PL-2013-086389]"/>
            <x15:cachedUniqueName index="3107" name="[dane].[Nr zamówienia].&amp;[PL-2013-086390]"/>
            <x15:cachedUniqueName index="3108" name="[dane].[Nr zamówienia].&amp;[PL-2013-086403]"/>
            <x15:cachedUniqueName index="3109" name="[dane].[Nr zamówienia].&amp;[PL-2013-086404]"/>
            <x15:cachedUniqueName index="3110" name="[dane].[Nr zamówienia].&amp;[PL-2013-086405]"/>
            <x15:cachedUniqueName index="3111" name="[dane].[Nr zamówienia].&amp;[PL-2013-086415]"/>
            <x15:cachedUniqueName index="3112" name="[dane].[Nr zamówienia].&amp;[PL-2013-086416]"/>
            <x15:cachedUniqueName index="3113" name="[dane].[Nr zamówienia].&amp;[PL-2013-086417]"/>
            <x15:cachedUniqueName index="3114" name="[dane].[Nr zamówienia].&amp;[PL-2013-086418]"/>
            <x15:cachedUniqueName index="3115" name="[dane].[Nr zamówienia].&amp;[PL-2013-086424]"/>
            <x15:cachedUniqueName index="3116" name="[dane].[Nr zamówienia].&amp;[PL-2013-086425]"/>
            <x15:cachedUniqueName index="3117" name="[dane].[Nr zamówienia].&amp;[PL-2013-086426]"/>
            <x15:cachedUniqueName index="3118" name="[dane].[Nr zamówienia].&amp;[PL-2013-086429]"/>
            <x15:cachedUniqueName index="3119" name="[dane].[Nr zamówienia].&amp;[PL-2013-086441]"/>
            <x15:cachedUniqueName index="3120" name="[dane].[Nr zamówienia].&amp;[PL-2013-086442]"/>
            <x15:cachedUniqueName index="3121" name="[dane].[Nr zamówienia].&amp;[PL-2013-086449]"/>
            <x15:cachedUniqueName index="3122" name="[dane].[Nr zamówienia].&amp;[PL-2013-086450]"/>
            <x15:cachedUniqueName index="3123" name="[dane].[Nr zamówienia].&amp;[PL-2013-086451]"/>
            <x15:cachedUniqueName index="3124" name="[dane].[Nr zamówienia].&amp;[PL-2013-086456]"/>
            <x15:cachedUniqueName index="3125" name="[dane].[Nr zamówienia].&amp;[PL-2013-086457]"/>
            <x15:cachedUniqueName index="3126" name="[dane].[Nr zamówienia].&amp;[PL-2013-086458]"/>
            <x15:cachedUniqueName index="3127" name="[dane].[Nr zamówienia].&amp;[PL-2013-086461]"/>
            <x15:cachedUniqueName index="3128" name="[dane].[Nr zamówienia].&amp;[PL-2013-086473]"/>
            <x15:cachedUniqueName index="3129" name="[dane].[Nr zamówienia].&amp;[PL-2013-086474]"/>
            <x15:cachedUniqueName index="3130" name="[dane].[Nr zamówienia].&amp;[PL-2013-086475]"/>
            <x15:cachedUniqueName index="3131" name="[dane].[Nr zamówienia].&amp;[PL-2013-086477]"/>
            <x15:cachedUniqueName index="3132" name="[dane].[Nr zamówienia].&amp;[PL-2013-086478]"/>
            <x15:cachedUniqueName index="3133" name="[dane].[Nr zamówienia].&amp;[PL-2013-086479]"/>
            <x15:cachedUniqueName index="3134" name="[dane].[Nr zamówienia].&amp;[PL-2013-086480]"/>
            <x15:cachedUniqueName index="3135" name="[dane].[Nr zamówienia].&amp;[PL-2013-086481]"/>
            <x15:cachedUniqueName index="3136" name="[dane].[Nr zamówienia].&amp;[PL-2013-086487]"/>
            <x15:cachedUniqueName index="3137" name="[dane].[Nr zamówienia].&amp;[PL-2013-086494]"/>
            <x15:cachedUniqueName index="3138" name="[dane].[Nr zamówienia].&amp;[PL-2013-086495]"/>
            <x15:cachedUniqueName index="3139" name="[dane].[Nr zamówienia].&amp;[PL-2013-086503]"/>
            <x15:cachedUniqueName index="3140" name="[dane].[Nr zamówienia].&amp;[PL-2013-086504]"/>
            <x15:cachedUniqueName index="3141" name="[dane].[Nr zamówienia].&amp;[PL-2013-086512]"/>
            <x15:cachedUniqueName index="3142" name="[dane].[Nr zamówienia].&amp;[PL-2013-086517]"/>
            <x15:cachedUniqueName index="3143" name="[dane].[Nr zamówienia].&amp;[PL-2013-086522]"/>
            <x15:cachedUniqueName index="3144" name="[dane].[Nr zamówienia].&amp;[PL-2013-086523]"/>
            <x15:cachedUniqueName index="3145" name="[dane].[Nr zamówienia].&amp;[PL-2013-086524]"/>
            <x15:cachedUniqueName index="3146" name="[dane].[Nr zamówienia].&amp;[PL-2013-086531]"/>
            <x15:cachedUniqueName index="3147" name="[dane].[Nr zamówienia].&amp;[PL-2013-086532]"/>
            <x15:cachedUniqueName index="3148" name="[dane].[Nr zamówienia].&amp;[PL-2013-086541]"/>
            <x15:cachedUniqueName index="3149" name="[dane].[Nr zamówienia].&amp;[PL-2013-086550]"/>
            <x15:cachedUniqueName index="3150" name="[dane].[Nr zamówienia].&amp;[PL-2013-086560]"/>
            <x15:cachedUniqueName index="3151" name="[dane].[Nr zamówienia].&amp;[PL-2013-086570]"/>
            <x15:cachedUniqueName index="3152" name="[dane].[Nr zamówienia].&amp;[PL-2013-086580]"/>
            <x15:cachedUniqueName index="3153" name="[dane].[Nr zamówienia].&amp;[PL-2013-086581]"/>
            <x15:cachedUniqueName index="3154" name="[dane].[Nr zamówienia].&amp;[PL-2013-086582]"/>
            <x15:cachedUniqueName index="3155" name="[dane].[Nr zamówienia].&amp;[PL-2013-086583]"/>
            <x15:cachedUniqueName index="3156" name="[dane].[Nr zamówienia].&amp;[PL-2013-086597]"/>
            <x15:cachedUniqueName index="3157" name="[dane].[Nr zamówienia].&amp;[PL-2013-086604]"/>
            <x15:cachedUniqueName index="3158" name="[dane].[Nr zamówienia].&amp;[PL-2013-086605]"/>
            <x15:cachedUniqueName index="3159" name="[dane].[Nr zamówienia].&amp;[PL-2013-086613]"/>
            <x15:cachedUniqueName index="3160" name="[dane].[Nr zamówienia].&amp;[PL-2013-086614]"/>
            <x15:cachedUniqueName index="3161" name="[dane].[Nr zamówienia].&amp;[PL-2013-086615]"/>
            <x15:cachedUniqueName index="3162" name="[dane].[Nr zamówienia].&amp;[PL-2013-086622]"/>
            <x15:cachedUniqueName index="3163" name="[dane].[Nr zamówienia].&amp;[PL-2013-086623]"/>
            <x15:cachedUniqueName index="3164" name="[dane].[Nr zamówienia].&amp;[PL-2013-086624]"/>
            <x15:cachedUniqueName index="3165" name="[dane].[Nr zamówienia].&amp;[PL-2013-086642]"/>
            <x15:cachedUniqueName index="3166" name="[dane].[Nr zamówienia].&amp;[PL-2013-086648]"/>
            <x15:cachedUniqueName index="3167" name="[dane].[Nr zamówienia].&amp;[PL-2013-086649]"/>
            <x15:cachedUniqueName index="3168" name="[dane].[Nr zamówienia].&amp;[PL-2013-086657]"/>
            <x15:cachedUniqueName index="3169" name="[dane].[Nr zamówienia].&amp;[PL-2013-086658]"/>
            <x15:cachedUniqueName index="3170" name="[dane].[Nr zamówienia].&amp;[PL-2013-086659]"/>
            <x15:cachedUniqueName index="3171" name="[dane].[Nr zamówienia].&amp;[PL-2013-086663]"/>
            <x15:cachedUniqueName index="3172" name="[dane].[Nr zamówienia].&amp;[PL-2013-086664]"/>
            <x15:cachedUniqueName index="3173" name="[dane].[Nr zamówienia].&amp;[PL-2013-086672]"/>
            <x15:cachedUniqueName index="3174" name="[dane].[Nr zamówienia].&amp;[PL-2013-086673]"/>
            <x15:cachedUniqueName index="3175" name="[dane].[Nr zamówienia].&amp;[PL-2013-086674]"/>
            <x15:cachedUniqueName index="3176" name="[dane].[Nr zamówienia].&amp;[PL-2013-086675]"/>
            <x15:cachedUniqueName index="3177" name="[dane].[Nr zamówienia].&amp;[PL-2013-086676]"/>
            <x15:cachedUniqueName index="3178" name="[dane].[Nr zamówienia].&amp;[PL-2013-086690]"/>
            <x15:cachedUniqueName index="3179" name="[dane].[Nr zamówienia].&amp;[PL-2013-086691]"/>
            <x15:cachedUniqueName index="3180" name="[dane].[Nr zamówienia].&amp;[PL-2013-086695]"/>
            <x15:cachedUniqueName index="3181" name="[dane].[Nr zamówienia].&amp;[PL-2013-086696]"/>
            <x15:cachedUniqueName index="3182" name="[dane].[Nr zamówienia].&amp;[PL-2013-086704]"/>
            <x15:cachedUniqueName index="3183" name="[dane].[Nr zamówienia].&amp;[PL-2013-086705]"/>
            <x15:cachedUniqueName index="3184" name="[dane].[Nr zamówienia].&amp;[PL-2013-086706]"/>
            <x15:cachedUniqueName index="3185" name="[dane].[Nr zamówienia].&amp;[PL-2013-086743]"/>
            <x15:cachedUniqueName index="3186" name="[dane].[Nr zamówienia].&amp;[PL-2013-086744]"/>
            <x15:cachedUniqueName index="3187" name="[dane].[Nr zamówienia].&amp;[PL-2013-086759]"/>
            <x15:cachedUniqueName index="3188" name="[dane].[Nr zamówienia].&amp;[PL-2013-086760]"/>
            <x15:cachedUniqueName index="3189" name="[dane].[Nr zamówienia].&amp;[PL-2013-086774]"/>
            <x15:cachedUniqueName index="3190" name="[dane].[Nr zamówienia].&amp;[PL-2013-086775]"/>
            <x15:cachedUniqueName index="3191" name="[dane].[Nr zamówienia].&amp;[PL-2013-086776]"/>
            <x15:cachedUniqueName index="3192" name="[dane].[Nr zamówienia].&amp;[PL-2013-086777]"/>
            <x15:cachedUniqueName index="3193" name="[dane].[Nr zamówienia].&amp;[PL-2013-086778]"/>
            <x15:cachedUniqueName index="3194" name="[dane].[Nr zamówienia].&amp;[PL-2013-086779]"/>
            <x15:cachedUniqueName index="3195" name="[dane].[Nr zamówienia].&amp;[PL-2013-086799]"/>
            <x15:cachedUniqueName index="3196" name="[dane].[Nr zamówienia].&amp;[PL-2013-086800]"/>
            <x15:cachedUniqueName index="3197" name="[dane].[Nr zamówienia].&amp;[PL-2013-086801]"/>
            <x15:cachedUniqueName index="3198" name="[dane].[Nr zamówienia].&amp;[PL-2013-086807]"/>
            <x15:cachedUniqueName index="3199" name="[dane].[Nr zamówienia].&amp;[PL-2013-086819]"/>
            <x15:cachedUniqueName index="3200" name="[dane].[Nr zamówienia].&amp;[PL-2013-086820]"/>
            <x15:cachedUniqueName index="3201" name="[dane].[Nr zamówienia].&amp;[PL-2013-086830]"/>
            <x15:cachedUniqueName index="3202" name="[dane].[Nr zamówienia].&amp;[PL-2013-086831]"/>
            <x15:cachedUniqueName index="3203" name="[dane].[Nr zamówienia].&amp;[PL-2013-086841]"/>
            <x15:cachedUniqueName index="3204" name="[dane].[Nr zamówienia].&amp;[PL-2013-086851]"/>
            <x15:cachedUniqueName index="3205" name="[dane].[Nr zamówienia].&amp;[PL-2013-086852]"/>
            <x15:cachedUniqueName index="3206" name="[dane].[Nr zamówienia].&amp;[PL-2013-086853]"/>
            <x15:cachedUniqueName index="3207" name="[dane].[Nr zamówienia].&amp;[PL-2013-086854]"/>
            <x15:cachedUniqueName index="3208" name="[dane].[Nr zamówienia].&amp;[PL-2013-086855]"/>
            <x15:cachedUniqueName index="3209" name="[dane].[Nr zamówienia].&amp;[PL-2013-086856]"/>
            <x15:cachedUniqueName index="3210" name="[dane].[Nr zamówienia].&amp;[PL-2013-086862]"/>
            <x15:cachedUniqueName index="3211" name="[dane].[Nr zamówienia].&amp;[PL-2013-086871]"/>
            <x15:cachedUniqueName index="3212" name="[dane].[Nr zamówienia].&amp;[PL-2013-086872]"/>
            <x15:cachedUniqueName index="3213" name="[dane].[Nr zamówienia].&amp;[PL-2013-086890]"/>
            <x15:cachedUniqueName index="3214" name="[dane].[Nr zamówienia].&amp;[PL-2013-086891]"/>
            <x15:cachedUniqueName index="3215" name="[dane].[Nr zamówienia].&amp;[PL-2013-086892]"/>
            <x15:cachedUniqueName index="3216" name="[dane].[Nr zamówienia].&amp;[PL-2013-086893]"/>
            <x15:cachedUniqueName index="3217" name="[dane].[Nr zamówienia].&amp;[PL-2013-086894]"/>
            <x15:cachedUniqueName index="3218" name="[dane].[Nr zamówienia].&amp;[PL-2013-086905]"/>
            <x15:cachedUniqueName index="3219" name="[dane].[Nr zamówienia].&amp;[PL-2013-086906]"/>
            <x15:cachedUniqueName index="3220" name="[dane].[Nr zamówienia].&amp;[PL-2013-086907]"/>
            <x15:cachedUniqueName index="3221" name="[dane].[Nr zamówienia].&amp;[PL-2013-086908]"/>
            <x15:cachedUniqueName index="3222" name="[dane].[Nr zamówienia].&amp;[PL-2013-086909]"/>
            <x15:cachedUniqueName index="3223" name="[dane].[Nr zamówienia].&amp;[PL-2013-086916]"/>
            <x15:cachedUniqueName index="3224" name="[dane].[Nr zamówienia].&amp;[PL-2013-086917]"/>
            <x15:cachedUniqueName index="3225" name="[dane].[Nr zamówienia].&amp;[PL-2013-086928]"/>
            <x15:cachedUniqueName index="3226" name="[dane].[Nr zamówienia].&amp;[PL-2013-086929]"/>
            <x15:cachedUniqueName index="3227" name="[dane].[Nr zamówienia].&amp;[PL-2013-086930]"/>
            <x15:cachedUniqueName index="3228" name="[dane].[Nr zamówienia].&amp;[PL-2013-086940]"/>
            <x15:cachedUniqueName index="3229" name="[dane].[Nr zamówienia].&amp;[PL-2013-086941]"/>
            <x15:cachedUniqueName index="3230" name="[dane].[Nr zamówienia].&amp;[PL-2013-086942]"/>
            <x15:cachedUniqueName index="3231" name="[dane].[Nr zamówienia].&amp;[PL-2013-086943]"/>
            <x15:cachedUniqueName index="3232" name="[dane].[Nr zamówienia].&amp;[PL-2013-086954]"/>
            <x15:cachedUniqueName index="3233" name="[dane].[Nr zamówienia].&amp;[PL-2013-086962]"/>
            <x15:cachedUniqueName index="3234" name="[dane].[Nr zamówienia].&amp;[PL-2013-086963]"/>
            <x15:cachedUniqueName index="3235" name="[dane].[Nr zamówienia].&amp;[PL-2013-086968]"/>
            <x15:cachedUniqueName index="3236" name="[dane].[Nr zamówienia].&amp;[PL-2013-086969]"/>
            <x15:cachedUniqueName index="3237" name="[dane].[Nr zamówienia].&amp;[PL-2013-086970]"/>
            <x15:cachedUniqueName index="3238" name="[dane].[Nr zamówienia].&amp;[PL-2013-086977]"/>
            <x15:cachedUniqueName index="3239" name="[dane].[Nr zamówienia].&amp;[PL-2013-086978]"/>
            <x15:cachedUniqueName index="3240" name="[dane].[Nr zamówienia].&amp;[PL-2013-086999]"/>
            <x15:cachedUniqueName index="3241" name="[dane].[Nr zamówienia].&amp;[PL-2013-087010]"/>
            <x15:cachedUniqueName index="3242" name="[dane].[Nr zamówienia].&amp;[PL-2013-087011]"/>
            <x15:cachedUniqueName index="3243" name="[dane].[Nr zamówienia].&amp;[PL-2013-087018]"/>
            <x15:cachedUniqueName index="3244" name="[dane].[Nr zamówienia].&amp;[PL-2013-087019]"/>
            <x15:cachedUniqueName index="3245" name="[dane].[Nr zamówienia].&amp;[PL-2013-087022]"/>
            <x15:cachedUniqueName index="3246" name="[dane].[Nr zamówienia].&amp;[PL-2013-087027]"/>
            <x15:cachedUniqueName index="3247" name="[dane].[Nr zamówienia].&amp;[PL-2013-087038]"/>
            <x15:cachedUniqueName index="3248" name="[dane].[Nr zamówienia].&amp;[PL-2013-087039]"/>
            <x15:cachedUniqueName index="3249" name="[dane].[Nr zamówienia].&amp;[PL-2013-087048]"/>
            <x15:cachedUniqueName index="3250" name="[dane].[Nr zamówienia].&amp;[PL-2013-087049]"/>
            <x15:cachedUniqueName index="3251" name="[dane].[Nr zamówienia].&amp;[PL-2013-087050]"/>
            <x15:cachedUniqueName index="3252" name="[dane].[Nr zamówienia].&amp;[PL-2013-087062]"/>
            <x15:cachedUniqueName index="3253" name="[dane].[Nr zamówienia].&amp;[PL-2013-087063]"/>
            <x15:cachedUniqueName index="3254" name="[dane].[Nr zamówienia].&amp;[PL-2013-087064]"/>
            <x15:cachedUniqueName index="3255" name="[dane].[Nr zamówienia].&amp;[PL-2013-087065]"/>
            <x15:cachedUniqueName index="3256" name="[dane].[Nr zamówienia].&amp;[PL-2013-087092]"/>
            <x15:cachedUniqueName index="3257" name="[dane].[Nr zamówienia].&amp;[PL-2013-087093]"/>
            <x15:cachedUniqueName index="3258" name="[dane].[Nr zamówienia].&amp;[PL-2013-087094]"/>
            <x15:cachedUniqueName index="3259" name="[dane].[Nr zamówienia].&amp;[PL-2013-087100]"/>
            <x15:cachedUniqueName index="3260" name="[dane].[Nr zamówienia].&amp;[PL-2013-087107]"/>
            <x15:cachedUniqueName index="3261" name="[dane].[Nr zamówienia].&amp;[PL-2013-087108]"/>
            <x15:cachedUniqueName index="3262" name="[dane].[Nr zamówienia].&amp;[PL-2013-087111]"/>
            <x15:cachedUniqueName index="3263" name="[dane].[Nr zamówienia].&amp;[PL-2013-087112]"/>
            <x15:cachedUniqueName index="3264" name="[dane].[Nr zamówienia].&amp;[PL-2013-087113]"/>
            <x15:cachedUniqueName index="3265" name="[dane].[Nr zamówienia].&amp;[PL-2013-087114]"/>
            <x15:cachedUniqueName index="3266" name="[dane].[Nr zamówienia].&amp;[PL-2013-087121]"/>
            <x15:cachedUniqueName index="3267" name="[dane].[Nr zamówienia].&amp;[PL-2013-087122]"/>
            <x15:cachedUniqueName index="3268" name="[dane].[Nr zamówienia].&amp;[PL-2013-087123]"/>
            <x15:cachedUniqueName index="3269" name="[dane].[Nr zamówienia].&amp;[PL-2013-087124]"/>
            <x15:cachedUniqueName index="3270" name="[dane].[Nr zamówienia].&amp;[PL-2013-087129]"/>
            <x15:cachedUniqueName index="3271" name="[dane].[Nr zamówienia].&amp;[PL-2013-087130]"/>
            <x15:cachedUniqueName index="3272" name="[dane].[Nr zamówienia].&amp;[PL-2013-087140]"/>
            <x15:cachedUniqueName index="3273" name="[dane].[Nr zamówienia].&amp;[PL-2013-087141]"/>
            <x15:cachedUniqueName index="3274" name="[dane].[Nr zamówienia].&amp;[PL-2013-087154]"/>
            <x15:cachedUniqueName index="3275" name="[dane].[Nr zamówienia].&amp;[PL-2013-087155]"/>
            <x15:cachedUniqueName index="3276" name="[dane].[Nr zamówienia].&amp;[PL-2013-087156]"/>
            <x15:cachedUniqueName index="3277" name="[dane].[Nr zamówienia].&amp;[PL-2013-087157]"/>
            <x15:cachedUniqueName index="3278" name="[dane].[Nr zamówienia].&amp;[PL-2013-087169]"/>
            <x15:cachedUniqueName index="3279" name="[dane].[Nr zamówienia].&amp;[PL-2013-087170]"/>
            <x15:cachedUniqueName index="3280" name="[dane].[Nr zamówienia].&amp;[PL-2013-087181]"/>
            <x15:cachedUniqueName index="3281" name="[dane].[Nr zamówienia].&amp;[PL-2013-087182]"/>
            <x15:cachedUniqueName index="3282" name="[dane].[Nr zamówienia].&amp;[PL-2013-087183]"/>
            <x15:cachedUniqueName index="3283" name="[dane].[Nr zamówienia].&amp;[PL-2013-087189]"/>
            <x15:cachedUniqueName index="3284" name="[dane].[Nr zamówienia].&amp;[PL-2013-087190]"/>
            <x15:cachedUniqueName index="3285" name="[dane].[Nr zamówienia].&amp;[PL-2013-087199]"/>
            <x15:cachedUniqueName index="3286" name="[dane].[Nr zamówienia].&amp;[PL-2013-087200]"/>
            <x15:cachedUniqueName index="3287" name="[dane].[Nr zamówienia].&amp;[PL-2013-087211]"/>
            <x15:cachedUniqueName index="3288" name="[dane].[Nr zamówienia].&amp;[PL-2013-087212]"/>
            <x15:cachedUniqueName index="3289" name="[dane].[Nr zamówienia].&amp;[PL-2013-087216]"/>
            <x15:cachedUniqueName index="3290" name="[dane].[Nr zamówienia].&amp;[PL-2013-087217]"/>
            <x15:cachedUniqueName index="3291" name="[dane].[Nr zamówienia].&amp;[PL-2013-087218]"/>
            <x15:cachedUniqueName index="3292" name="[dane].[Nr zamówienia].&amp;[PL-2013-087230]"/>
            <x15:cachedUniqueName index="3293" name="[dane].[Nr zamówienia].&amp;[PL-2013-087231]"/>
            <x15:cachedUniqueName index="3294" name="[dane].[Nr zamówienia].&amp;[PL-2013-087232]"/>
            <x15:cachedUniqueName index="3295" name="[dane].[Nr zamówienia].&amp;[PL-2013-087237]"/>
            <x15:cachedUniqueName index="3296" name="[dane].[Nr zamówienia].&amp;[PL-2013-087242]"/>
            <x15:cachedUniqueName index="3297" name="[dane].[Nr zamówienia].&amp;[PL-2013-087249]"/>
            <x15:cachedUniqueName index="3298" name="[dane].[Nr zamówienia].&amp;[PL-2013-087250]"/>
            <x15:cachedUniqueName index="3299" name="[dane].[Nr zamówienia].&amp;[PL-2013-087251]"/>
            <x15:cachedUniqueName index="3300" name="[dane].[Nr zamówienia].&amp;[PL-2013-087252]"/>
            <x15:cachedUniqueName index="3301" name="[dane].[Nr zamówienia].&amp;[PL-2013-087262]"/>
            <x15:cachedUniqueName index="3302" name="[dane].[Nr zamówienia].&amp;[PL-2013-087263]"/>
            <x15:cachedUniqueName index="3303" name="[dane].[Nr zamówienia].&amp;[PL-2013-087264]"/>
            <x15:cachedUniqueName index="3304" name="[dane].[Nr zamówienia].&amp;[PL-2013-087274]"/>
            <x15:cachedUniqueName index="3305" name="[dane].[Nr zamówienia].&amp;[PL-2013-087279]"/>
            <x15:cachedUniqueName index="3306" name="[dane].[Nr zamówienia].&amp;[PL-2013-087280]"/>
            <x15:cachedUniqueName index="3307" name="[dane].[Nr zamówienia].&amp;[PL-2013-087281]"/>
            <x15:cachedUniqueName index="3308" name="[dane].[Nr zamówienia].&amp;[PL-2013-087290]"/>
            <x15:cachedUniqueName index="3309" name="[dane].[Nr zamówienia].&amp;[PL-2013-087301]"/>
            <x15:cachedUniqueName index="3310" name="[dane].[Nr zamówienia].&amp;[PL-2013-087302]"/>
            <x15:cachedUniqueName index="3311" name="[dane].[Nr zamówienia].&amp;[PL-2013-087309]"/>
            <x15:cachedUniqueName index="3312" name="[dane].[Nr zamówienia].&amp;[PL-2013-087319]"/>
            <x15:cachedUniqueName index="3313" name="[dane].[Nr zamówienia].&amp;[PL-2013-087320]"/>
            <x15:cachedUniqueName index="3314" name="[dane].[Nr zamówienia].&amp;[PL-2013-087321]"/>
            <x15:cachedUniqueName index="3315" name="[dane].[Nr zamówienia].&amp;[PL-2013-087330]"/>
            <x15:cachedUniqueName index="3316" name="[dane].[Nr zamówienia].&amp;[PL-2013-087331]"/>
            <x15:cachedUniqueName index="3317" name="[dane].[Nr zamówienia].&amp;[PL-2013-087338]"/>
            <x15:cachedUniqueName index="3318" name="[dane].[Nr zamówienia].&amp;[PL-2013-087346]"/>
            <x15:cachedUniqueName index="3319" name="[dane].[Nr zamówienia].&amp;[PL-2013-087351]"/>
            <x15:cachedUniqueName index="3320" name="[dane].[Nr zamówienia].&amp;[PL-2013-087352]"/>
            <x15:cachedUniqueName index="3321" name="[dane].[Nr zamówienia].&amp;[PL-2013-087359]"/>
            <x15:cachedUniqueName index="3322" name="[dane].[Nr zamówienia].&amp;[PL-2013-087369]"/>
            <x15:cachedUniqueName index="3323" name="[dane].[Nr zamówienia].&amp;[PL-2013-087379]"/>
            <x15:cachedUniqueName index="3324" name="[dane].[Nr zamówienia].&amp;[PL-2013-087386]"/>
            <x15:cachedUniqueName index="3325" name="[dane].[Nr zamówienia].&amp;[PL-2013-087387]"/>
            <x15:cachedUniqueName index="3326" name="[dane].[Nr zamówienia].&amp;[PL-2013-087392]"/>
            <x15:cachedUniqueName index="3327" name="[dane].[Nr zamówienia].&amp;[PL-2013-087399]"/>
            <x15:cachedUniqueName index="3328" name="[dane].[Nr zamówienia].&amp;[PL-2013-087400]"/>
            <x15:cachedUniqueName index="3329" name="[dane].[Nr zamówienia].&amp;[PL-2013-087401]"/>
            <x15:cachedUniqueName index="3330" name="[dane].[Nr zamówienia].&amp;[PL-2013-087410]"/>
            <x15:cachedUniqueName index="3331" name="[dane].[Nr zamówienia].&amp;[PL-2013-087411]"/>
            <x15:cachedUniqueName index="3332" name="[dane].[Nr zamówienia].&amp;[PL-2013-087430]"/>
            <x15:cachedUniqueName index="3333" name="[dane].[Nr zamówienia].&amp;[PL-2013-087439]"/>
            <x15:cachedUniqueName index="3334" name="[dane].[Nr zamówienia].&amp;[PL-2013-087440]"/>
            <x15:cachedUniqueName index="3335" name="[dane].[Nr zamówienia].&amp;[PL-2013-087441]"/>
            <x15:cachedUniqueName index="3336" name="[dane].[Nr zamówienia].&amp;[PL-2013-087448]"/>
            <x15:cachedUniqueName index="3337" name="[dane].[Nr zamówienia].&amp;[PL-2013-087471]"/>
            <x15:cachedUniqueName index="3338" name="[dane].[Nr zamówienia].&amp;[PL-2013-087477]"/>
            <x15:cachedUniqueName index="3339" name="[dane].[Nr zamówienia].&amp;[PL-2013-087478]"/>
            <x15:cachedUniqueName index="3340" name="[dane].[Nr zamówienia].&amp;[PL-2013-087492]"/>
            <x15:cachedUniqueName index="3341" name="[dane].[Nr zamówienia].&amp;[PL-2013-087493]"/>
            <x15:cachedUniqueName index="3342" name="[dane].[Nr zamówienia].&amp;[PL-2013-087494]"/>
            <x15:cachedUniqueName index="3343" name="[dane].[Nr zamówienia].&amp;[PL-2013-087495]"/>
            <x15:cachedUniqueName index="3344" name="[dane].[Nr zamówienia].&amp;[PL-2013-087496]"/>
            <x15:cachedUniqueName index="3345" name="[dane].[Nr zamówienia].&amp;[PL-2013-087497]"/>
            <x15:cachedUniqueName index="3346" name="[dane].[Nr zamówienia].&amp;[PL-2013-087498]"/>
            <x15:cachedUniqueName index="3347" name="[dane].[Nr zamówienia].&amp;[PL-2013-087499]"/>
            <x15:cachedUniqueName index="3348" name="[dane].[Nr zamówienia].&amp;[PL-2013-087500]"/>
            <x15:cachedUniqueName index="3349" name="[dane].[Nr zamówienia].&amp;[PL-2013-087501]"/>
            <x15:cachedUniqueName index="3350" name="[dane].[Nr zamówienia].&amp;[PL-2013-087507]"/>
            <x15:cachedUniqueName index="3351" name="[dane].[Nr zamówienia].&amp;[PL-2013-087508]"/>
            <x15:cachedUniqueName index="3352" name="[dane].[Nr zamówienia].&amp;[PL-2013-087515]"/>
            <x15:cachedUniqueName index="3353" name="[dane].[Nr zamówienia].&amp;[PL-2013-087516]"/>
            <x15:cachedUniqueName index="3354" name="[dane].[Nr zamówienia].&amp;[PL-2013-087524]"/>
            <x15:cachedUniqueName index="3355" name="[dane].[Nr zamówienia].&amp;[PL-2013-087526]"/>
            <x15:cachedUniqueName index="3356" name="[dane].[Nr zamówienia].&amp;[PL-2013-087540]"/>
            <x15:cachedUniqueName index="3357" name="[dane].[Nr zamówienia].&amp;[PL-2013-087541]"/>
            <x15:cachedUniqueName index="3358" name="[dane].[Nr zamówienia].&amp;[PL-2013-087542]"/>
            <x15:cachedUniqueName index="3359" name="[dane].[Nr zamówienia].&amp;[PL-2013-087543]"/>
            <x15:cachedUniqueName index="3360" name="[dane].[Nr zamówienia].&amp;[PL-2013-087544]"/>
            <x15:cachedUniqueName index="3361" name="[dane].[Nr zamówienia].&amp;[PL-2013-087545]"/>
            <x15:cachedUniqueName index="3362" name="[dane].[Nr zamówienia].&amp;[PL-2013-087560]"/>
            <x15:cachedUniqueName index="3363" name="[dane].[Nr zamówienia].&amp;[PL-2013-087561]"/>
            <x15:cachedUniqueName index="3364" name="[dane].[Nr zamówienia].&amp;[PL-2013-087562]"/>
            <x15:cachedUniqueName index="3365" name="[dane].[Nr zamówienia].&amp;[PL-2013-087576]"/>
            <x15:cachedUniqueName index="3366" name="[dane].[Nr zamówienia].&amp;[PL-2013-087581]"/>
            <x15:cachedUniqueName index="3367" name="[dane].[Nr zamówienia].&amp;[PL-2013-087595]"/>
            <x15:cachedUniqueName index="3368" name="[dane].[Nr zamówienia].&amp;[PL-2013-087596]"/>
            <x15:cachedUniqueName index="3369" name="[dane].[Nr zamówienia].&amp;[PL-2013-087607]"/>
            <x15:cachedUniqueName index="3370" name="[dane].[Nr zamówienia].&amp;[PL-2013-087608]"/>
            <x15:cachedUniqueName index="3371" name="[dane].[Nr zamówienia].&amp;[PL-2013-087609]"/>
            <x15:cachedUniqueName index="3372" name="[dane].[Nr zamówienia].&amp;[PL-2013-087614]"/>
            <x15:cachedUniqueName index="3373" name="[dane].[Nr zamówienia].&amp;[PL-2013-087624]"/>
            <x15:cachedUniqueName index="3374" name="[dane].[Nr zamówienia].&amp;[PL-2013-087625]"/>
            <x15:cachedUniqueName index="3375" name="[dane].[Nr zamówienia].&amp;[PL-2013-087626]"/>
            <x15:cachedUniqueName index="3376" name="[dane].[Nr zamówienia].&amp;[PL-2013-087627]"/>
            <x15:cachedUniqueName index="3377" name="[dane].[Nr zamówienia].&amp;[PL-2013-087640]"/>
            <x15:cachedUniqueName index="3378" name="[dane].[Nr zamówienia].&amp;[PL-2013-087641]"/>
            <x15:cachedUniqueName index="3379" name="[dane].[Nr zamówienia].&amp;[PL-2013-087649]"/>
            <x15:cachedUniqueName index="3380" name="[dane].[Nr zamówienia].&amp;[PL-2013-087650]"/>
            <x15:cachedUniqueName index="3381" name="[dane].[Nr zamówienia].&amp;[PL-2013-087656]"/>
            <x15:cachedUniqueName index="3382" name="[dane].[Nr zamówienia].&amp;[PL-2013-087657]"/>
            <x15:cachedUniqueName index="3383" name="[dane].[Nr zamówienia].&amp;[PL-2013-087658]"/>
            <x15:cachedUniqueName index="3384" name="[dane].[Nr zamówienia].&amp;[PL-2013-087659]"/>
            <x15:cachedUniqueName index="3385" name="[dane].[Nr zamówienia].&amp;[PL-2013-087660]"/>
            <x15:cachedUniqueName index="3386" name="[dane].[Nr zamówienia].&amp;[PL-2013-087661]"/>
            <x15:cachedUniqueName index="3387" name="[dane].[Nr zamówienia].&amp;[PL-2013-087662]"/>
            <x15:cachedUniqueName index="3388" name="[dane].[Nr zamówienia].&amp;[PL-2013-087685]"/>
            <x15:cachedUniqueName index="3389" name="[dane].[Nr zamówienia].&amp;[PL-2013-087686]"/>
            <x15:cachedUniqueName index="3390" name="[dane].[Nr zamówienia].&amp;[PL-2013-087687]"/>
            <x15:cachedUniqueName index="3391" name="[dane].[Nr zamówienia].&amp;[PL-2013-087697]"/>
            <x15:cachedUniqueName index="3392" name="[dane].[Nr zamówienia].&amp;[PL-2013-087698]"/>
            <x15:cachedUniqueName index="3393" name="[dane].[Nr zamówienia].&amp;[PL-2013-087704]"/>
            <x15:cachedUniqueName index="3394" name="[dane].[Nr zamówienia].&amp;[PL-2013-087705]"/>
            <x15:cachedUniqueName index="3395" name="[dane].[Nr zamówienia].&amp;[PL-2013-087706]"/>
            <x15:cachedUniqueName index="3396" name="[dane].[Nr zamówienia].&amp;[PL-2013-087713]"/>
            <x15:cachedUniqueName index="3397" name="[dane].[Nr zamówienia].&amp;[PL-2013-087714]"/>
            <x15:cachedUniqueName index="3398" name="[dane].[Nr zamówienia].&amp;[PL-2013-087723]"/>
            <x15:cachedUniqueName index="3399" name="[dane].[Nr zamówienia].&amp;[PL-2013-087729]"/>
            <x15:cachedUniqueName index="3400" name="[dane].[Nr zamówienia].&amp;[PL-2013-087730]"/>
            <x15:cachedUniqueName index="3401" name="[dane].[Nr zamówienia].&amp;[PL-2013-087745]"/>
            <x15:cachedUniqueName index="3402" name="[dane].[Nr zamówienia].&amp;[PL-2013-087761]"/>
            <x15:cachedUniqueName index="3403" name="[dane].[Nr zamówienia].&amp;[PL-2013-087762]"/>
            <x15:cachedUniqueName index="3404" name="[dane].[Nr zamówienia].&amp;[PL-2013-087763]"/>
            <x15:cachedUniqueName index="3405" name="[dane].[Nr zamówienia].&amp;[PL-2013-087766]"/>
            <x15:cachedUniqueName index="3406" name="[dane].[Nr zamówienia].&amp;[PL-2013-087768]"/>
            <x15:cachedUniqueName index="3407" name="[dane].[Nr zamówienia].&amp;[PL-2013-087769]"/>
            <x15:cachedUniqueName index="3408" name="[dane].[Nr zamówienia].&amp;[PL-2013-087779]"/>
            <x15:cachedUniqueName index="3409" name="[dane].[Nr zamówienia].&amp;[PL-2013-087780]"/>
            <x15:cachedUniqueName index="3410" name="[dane].[Nr zamówienia].&amp;[PL-2013-087781]"/>
            <x15:cachedUniqueName index="3411" name="[dane].[Nr zamówienia].&amp;[PL-2013-087786]"/>
            <x15:cachedUniqueName index="3412" name="[dane].[Nr zamówienia].&amp;[PL-2013-087792]"/>
            <x15:cachedUniqueName index="3413" name="[dane].[Nr zamówienia].&amp;[PL-2013-087793]"/>
            <x15:cachedUniqueName index="3414" name="[dane].[Nr zamówienia].&amp;[PL-2013-087800]"/>
            <x15:cachedUniqueName index="3415" name="[dane].[Nr zamówienia].&amp;[PL-2013-087801]"/>
            <x15:cachedUniqueName index="3416" name="[dane].[Nr zamówienia].&amp;[PL-2013-087802]"/>
            <x15:cachedUniqueName index="3417" name="[dane].[Nr zamówienia].&amp;[PL-2013-087806]"/>
            <x15:cachedUniqueName index="3418" name="[dane].[Nr zamówienia].&amp;[PL-2013-087807]"/>
            <x15:cachedUniqueName index="3419" name="[dane].[Nr zamówienia].&amp;[PL-2013-087817]"/>
            <x15:cachedUniqueName index="3420" name="[dane].[Nr zamówienia].&amp;[PL-2013-087818]"/>
            <x15:cachedUniqueName index="3421" name="[dane].[Nr zamówienia].&amp;[PL-2013-087825]"/>
            <x15:cachedUniqueName index="3422" name="[dane].[Nr zamówienia].&amp;[PL-2013-087837]"/>
            <x15:cachedUniqueName index="3423" name="[dane].[Nr zamówienia].&amp;[PL-2013-087838]"/>
            <x15:cachedUniqueName index="3424" name="[dane].[Nr zamówienia].&amp;[PL-2013-087842]"/>
            <x15:cachedUniqueName index="3425" name="[dane].[Nr zamówienia].&amp;[PL-2013-087849]"/>
            <x15:cachedUniqueName index="3426" name="[dane].[Nr zamówienia].&amp;[PL-2013-087850]"/>
            <x15:cachedUniqueName index="3427" name="[dane].[Nr zamówienia].&amp;[PL-2013-087854]"/>
            <x15:cachedUniqueName index="3428" name="[dane].[Nr zamówienia].&amp;[PL-2013-087855]"/>
            <x15:cachedUniqueName index="3429" name="[dane].[Nr zamówienia].&amp;[PL-2013-087856]"/>
            <x15:cachedUniqueName index="3430" name="[dane].[Nr zamówienia].&amp;[PL-2013-087857]"/>
            <x15:cachedUniqueName index="3431" name="[dane].[Nr zamówienia].&amp;[PL-2013-087858]"/>
            <x15:cachedUniqueName index="3432" name="[dane].[Nr zamówienia].&amp;[PL-2013-087859]"/>
            <x15:cachedUniqueName index="3433" name="[dane].[Nr zamówienia].&amp;[PL-2013-087866]"/>
            <x15:cachedUniqueName index="3434" name="[dane].[Nr zamówienia].&amp;[PL-2013-087867]"/>
            <x15:cachedUniqueName index="3435" name="[dane].[Nr zamówienia].&amp;[PL-2013-087868]"/>
            <x15:cachedUniqueName index="3436" name="[dane].[Nr zamówienia].&amp;[PL-2013-087869]"/>
            <x15:cachedUniqueName index="3437" name="[dane].[Nr zamówienia].&amp;[PL-2013-087870]"/>
            <x15:cachedUniqueName index="3438" name="[dane].[Nr zamówienia].&amp;[PL-2013-087871]"/>
            <x15:cachedUniqueName index="3439" name="[dane].[Nr zamówienia].&amp;[PL-2013-087872]"/>
            <x15:cachedUniqueName index="3440" name="[dane].[Nr zamówienia].&amp;[PL-2013-087881]"/>
            <x15:cachedUniqueName index="3441" name="[dane].[Nr zamówienia].&amp;[PL-2013-087894]"/>
            <x15:cachedUniqueName index="3442" name="[dane].[Nr zamówienia].&amp;[PL-2013-087895]"/>
            <x15:cachedUniqueName index="3443" name="[dane].[Nr zamówienia].&amp;[PL-2013-087896]"/>
            <x15:cachedUniqueName index="3444" name="[dane].[Nr zamówienia].&amp;[PL-2013-087901]"/>
            <x15:cachedUniqueName index="3445" name="[dane].[Nr zamówienia].&amp;[PL-2013-087902]"/>
            <x15:cachedUniqueName index="3446" name="[dane].[Nr zamówienia].&amp;[PL-2013-087911]"/>
            <x15:cachedUniqueName index="3447" name="[dane].[Nr zamówienia].&amp;[PL-2013-087912]"/>
            <x15:cachedUniqueName index="3448" name="[dane].[Nr zamówienia].&amp;[PL-2013-087919]"/>
            <x15:cachedUniqueName index="3449" name="[dane].[Nr zamówienia].&amp;[PL-2013-087920]"/>
            <x15:cachedUniqueName index="3450" name="[dane].[Nr zamówienia].&amp;[PL-2013-087921]"/>
            <x15:cachedUniqueName index="3451" name="[dane].[Nr zamówienia].&amp;[PL-2013-087922]"/>
            <x15:cachedUniqueName index="3452" name="[dane].[Nr zamówienia].&amp;[PL-2013-087948]"/>
            <x15:cachedUniqueName index="3453" name="[dane].[Nr zamówienia].&amp;[PL-2013-087958]"/>
            <x15:cachedUniqueName index="3454" name="[dane].[Nr zamówienia].&amp;[PL-2013-087959]"/>
            <x15:cachedUniqueName index="3455" name="[dane].[Nr zamówienia].&amp;[PL-2013-087960]"/>
            <x15:cachedUniqueName index="3456" name="[dane].[Nr zamówienia].&amp;[PL-2013-087968]"/>
            <x15:cachedUniqueName index="3457" name="[dane].[Nr zamówienia].&amp;[PL-2013-087969]"/>
            <x15:cachedUniqueName index="3458" name="[dane].[Nr zamówienia].&amp;[PL-2013-087970]"/>
            <x15:cachedUniqueName index="3459" name="[dane].[Nr zamówienia].&amp;[PL-2013-087971]"/>
            <x15:cachedUniqueName index="3460" name="[dane].[Nr zamówienia].&amp;[PL-2013-087985]"/>
            <x15:cachedUniqueName index="3461" name="[dane].[Nr zamówienia].&amp;[PL-2013-087986]"/>
            <x15:cachedUniqueName index="3462" name="[dane].[Nr zamówienia].&amp;[PL-2013-087987]"/>
            <x15:cachedUniqueName index="3463" name="[dane].[Nr zamówienia].&amp;[PL-2013-087988]"/>
            <x15:cachedUniqueName index="3464" name="[dane].[Nr zamówienia].&amp;[PL-2013-087996]"/>
            <x15:cachedUniqueName index="3465" name="[dane].[Nr zamówienia].&amp;[PL-2013-087997]"/>
            <x15:cachedUniqueName index="3466" name="[dane].[Nr zamówienia].&amp;[PL-2013-088003]"/>
            <x15:cachedUniqueName index="3467" name="[dane].[Nr zamówienia].&amp;[PL-2013-088007]"/>
            <x15:cachedUniqueName index="3468" name="[dane].[Nr zamówienia].&amp;[PL-2013-088008]"/>
            <x15:cachedUniqueName index="3469" name="[dane].[Nr zamówienia].&amp;[PL-2013-088009]"/>
            <x15:cachedUniqueName index="3470" name="[dane].[Nr zamówienia].&amp;[PL-2013-088010]"/>
            <x15:cachedUniqueName index="3471" name="[dane].[Nr zamówienia].&amp;[PL-2013-088019]"/>
            <x15:cachedUniqueName index="3472" name="[dane].[Nr zamówienia].&amp;[PL-2013-088025]"/>
            <x15:cachedUniqueName index="3473" name="[dane].[Nr zamówienia].&amp;[PL-2013-088026]"/>
            <x15:cachedUniqueName index="3474" name="[dane].[Nr zamówienia].&amp;[PL-2013-088027]"/>
            <x15:cachedUniqueName index="3475" name="[dane].[Nr zamówienia].&amp;[PL-2013-088033]"/>
            <x15:cachedUniqueName index="3476" name="[dane].[Nr zamówienia].&amp;[PL-2013-088034]"/>
            <x15:cachedUniqueName index="3477" name="[dane].[Nr zamówienia].&amp;[PL-2013-088043]"/>
            <x15:cachedUniqueName index="3478" name="[dane].[Nr zamówienia].&amp;[PL-2013-088044]"/>
            <x15:cachedUniqueName index="3479" name="[dane].[Nr zamówienia].&amp;[PL-2013-088052]"/>
            <x15:cachedUniqueName index="3480" name="[dane].[Nr zamówienia].&amp;[PL-2013-088053]"/>
            <x15:cachedUniqueName index="3481" name="[dane].[Nr zamówienia].&amp;[PL-2013-088054]"/>
            <x15:cachedUniqueName index="3482" name="[dane].[Nr zamówienia].&amp;[PL-2013-088055]"/>
            <x15:cachedUniqueName index="3483" name="[dane].[Nr zamówienia].&amp;[PL-2013-088065]"/>
            <x15:cachedUniqueName index="3484" name="[dane].[Nr zamówienia].&amp;[PL-2013-088066]"/>
            <x15:cachedUniqueName index="3485" name="[dane].[Nr zamówienia].&amp;[PL-2013-088067]"/>
            <x15:cachedUniqueName index="3486" name="[dane].[Nr zamówienia].&amp;[PL-2013-088072]"/>
            <x15:cachedUniqueName index="3487" name="[dane].[Nr zamówienia].&amp;[PL-2013-088078]"/>
            <x15:cachedUniqueName index="3488" name="[dane].[Nr zamówienia].&amp;[PL-2013-088095]"/>
            <x15:cachedUniqueName index="3489" name="[dane].[Nr zamówienia].&amp;[PL-2013-088096]"/>
            <x15:cachedUniqueName index="3490" name="[dane].[Nr zamówienia].&amp;[PL-2013-088097]"/>
            <x15:cachedUniqueName index="3491" name="[dane].[Nr zamówienia].&amp;[PL-2013-088098]"/>
            <x15:cachedUniqueName index="3492" name="[dane].[Nr zamówienia].&amp;[PL-2013-088109]"/>
            <x15:cachedUniqueName index="3493" name="[dane].[Nr zamówienia].&amp;[PL-2013-088110]"/>
            <x15:cachedUniqueName index="3494" name="[dane].[Nr zamówienia].&amp;[PL-2013-088111]"/>
            <x15:cachedUniqueName index="3495" name="[dane].[Nr zamówienia].&amp;[PL-2013-088112]"/>
            <x15:cachedUniqueName index="3496" name="[dane].[Nr zamówienia].&amp;[PL-2013-088117]"/>
            <x15:cachedUniqueName index="3497" name="[dane].[Nr zamówienia].&amp;[PL-2013-088118]"/>
            <x15:cachedUniqueName index="3498" name="[dane].[Nr zamówienia].&amp;[PL-2013-088119]"/>
            <x15:cachedUniqueName index="3499" name="[dane].[Nr zamówienia].&amp;[PL-2013-088120]"/>
            <x15:cachedUniqueName index="3500" name="[dane].[Nr zamówienia].&amp;[PL-2013-088121]"/>
            <x15:cachedUniqueName index="3501" name="[dane].[Nr zamówienia].&amp;[PL-2013-088128]"/>
            <x15:cachedUniqueName index="3502" name="[dane].[Nr zamówienia].&amp;[PL-2013-088129]"/>
            <x15:cachedUniqueName index="3503" name="[dane].[Nr zamówienia].&amp;[PL-2013-088130]"/>
            <x15:cachedUniqueName index="3504" name="[dane].[Nr zamówienia].&amp;[PL-2013-088131]"/>
            <x15:cachedUniqueName index="3505" name="[dane].[Nr zamówienia].&amp;[PL-2013-088141]"/>
            <x15:cachedUniqueName index="3506" name="[dane].[Nr zamówienia].&amp;[PL-2013-088142]"/>
            <x15:cachedUniqueName index="3507" name="[dane].[Nr zamówienia].&amp;[PL-2013-088143]"/>
            <x15:cachedUniqueName index="3508" name="[dane].[Nr zamówienia].&amp;[PL-2013-088158]"/>
            <x15:cachedUniqueName index="3509" name="[dane].[Nr zamówienia].&amp;[PL-2013-088159]"/>
            <x15:cachedUniqueName index="3510" name="[dane].[Nr zamówienia].&amp;[PL-2013-088179]"/>
            <x15:cachedUniqueName index="3511" name="[dane].[Nr zamówienia].&amp;[PL-2013-088180]"/>
            <x15:cachedUniqueName index="3512" name="[dane].[Nr zamówienia].&amp;[PL-2013-088188]"/>
            <x15:cachedUniqueName index="3513" name="[dane].[Nr zamówienia].&amp;[PL-2013-088189]"/>
            <x15:cachedUniqueName index="3514" name="[dane].[Nr zamówienia].&amp;[PL-2013-088193]"/>
            <x15:cachedUniqueName index="3515" name="[dane].[Nr zamówienia].&amp;[PL-2013-088199]"/>
            <x15:cachedUniqueName index="3516" name="[dane].[Nr zamówienia].&amp;[PL-2013-088209]"/>
            <x15:cachedUniqueName index="3517" name="[dane].[Nr zamówienia].&amp;[PL-2013-088224]"/>
            <x15:cachedUniqueName index="3518" name="[dane].[Nr zamówienia].&amp;[PL-2013-088225]"/>
            <x15:cachedUniqueName index="3519" name="[dane].[Nr zamówienia].&amp;[PL-2013-088226]"/>
            <x15:cachedUniqueName index="3520" name="[dane].[Nr zamówienia].&amp;[PL-2013-088227]"/>
            <x15:cachedUniqueName index="3521" name="[dane].[Nr zamówienia].&amp;[PL-2013-088228]"/>
            <x15:cachedUniqueName index="3522" name="[dane].[Nr zamówienia].&amp;[PL-2013-088229]"/>
            <x15:cachedUniqueName index="3523" name="[dane].[Nr zamówienia].&amp;[PL-2013-088235]"/>
            <x15:cachedUniqueName index="3524" name="[dane].[Nr zamówienia].&amp;[PL-2013-088236]"/>
            <x15:cachedUniqueName index="3525" name="[dane].[Nr zamówienia].&amp;[PL-2013-088237]"/>
            <x15:cachedUniqueName index="3526" name="[dane].[Nr zamówienia].&amp;[PL-2013-088246]"/>
            <x15:cachedUniqueName index="3527" name="[dane].[Nr zamówienia].&amp;[PL-2013-088247]"/>
            <x15:cachedUniqueName index="3528" name="[dane].[Nr zamówienia].&amp;[PL-2013-088255]"/>
            <x15:cachedUniqueName index="3529" name="[dane].[Nr zamówienia].&amp;[PL-2013-088262]"/>
            <x15:cachedUniqueName index="3530" name="[dane].[Nr zamówienia].&amp;[PL-2013-088271]"/>
            <x15:cachedUniqueName index="3531" name="[dane].[Nr zamówienia].&amp;[PL-2013-088272]"/>
            <x15:cachedUniqueName index="3532" name="[dane].[Nr zamówienia].&amp;[PL-2013-088273]"/>
            <x15:cachedUniqueName index="3533" name="[dane].[Nr zamówienia].&amp;[PL-2013-088274]"/>
            <x15:cachedUniqueName index="3534" name="[dane].[Nr zamówienia].&amp;[PL-2013-088285]"/>
            <x15:cachedUniqueName index="3535" name="[dane].[Nr zamówienia].&amp;[PL-2013-088286]"/>
            <x15:cachedUniqueName index="3536" name="[dane].[Nr zamówienia].&amp;[PL-2013-088304]"/>
            <x15:cachedUniqueName index="3537" name="[dane].[Nr zamówienia].&amp;[PL-2013-088315]"/>
            <x15:cachedUniqueName index="3538" name="[dane].[Nr zamówienia].&amp;[PL-2013-088323]"/>
            <x15:cachedUniqueName index="3539" name="[dane].[Nr zamówienia].&amp;[PL-2013-088333]"/>
            <x15:cachedUniqueName index="3540" name="[dane].[Nr zamówienia].&amp;[PL-2013-088334]"/>
            <x15:cachedUniqueName index="3541" name="[dane].[Nr zamówienia].&amp;[PL-2013-088335]"/>
            <x15:cachedUniqueName index="3542" name="[dane].[Nr zamówienia].&amp;[PL-2013-088341]"/>
            <x15:cachedUniqueName index="3543" name="[dane].[Nr zamówienia].&amp;[PL-2013-088342]"/>
            <x15:cachedUniqueName index="3544" name="[dane].[Nr zamówienia].&amp;[PL-2013-088343]"/>
            <x15:cachedUniqueName index="3545" name="[dane].[Nr zamówienia].&amp;[PL-2013-088344]"/>
            <x15:cachedUniqueName index="3546" name="[dane].[Nr zamówienia].&amp;[PL-2013-088345]"/>
            <x15:cachedUniqueName index="3547" name="[dane].[Nr zamówienia].&amp;[PL-2013-088353]"/>
            <x15:cachedUniqueName index="3548" name="[dane].[Nr zamówienia].&amp;[PL-2013-088364]"/>
            <x15:cachedUniqueName index="3549" name="[dane].[Nr zamówienia].&amp;[PL-2013-088365]"/>
            <x15:cachedUniqueName index="3550" name="[dane].[Nr zamówienia].&amp;[PL-2013-088374]"/>
            <x15:cachedUniqueName index="3551" name="[dane].[Nr zamówienia].&amp;[PL-2013-088382]"/>
            <x15:cachedUniqueName index="3552" name="[dane].[Nr zamówienia].&amp;[PL-2013-088383]"/>
            <x15:cachedUniqueName index="3553" name="[dane].[Nr zamówienia].&amp;[PL-2013-088384]"/>
            <x15:cachedUniqueName index="3554" name="[dane].[Nr zamówienia].&amp;[PL-2013-088385]"/>
            <x15:cachedUniqueName index="3555" name="[dane].[Nr zamówienia].&amp;[PL-2013-088394]"/>
            <x15:cachedUniqueName index="3556" name="[dane].[Nr zamówienia].&amp;[PL-2013-088395]"/>
            <x15:cachedUniqueName index="3557" name="[dane].[Nr zamówienia].&amp;[PL-2013-088396]"/>
            <x15:cachedUniqueName index="3558" name="[dane].[Nr zamówienia].&amp;[PL-2013-088397]"/>
            <x15:cachedUniqueName index="3559" name="[dane].[Nr zamówienia].&amp;[PL-2013-088398]"/>
            <x15:cachedUniqueName index="3560" name="[dane].[Nr zamówienia].&amp;[PL-2013-088399]"/>
            <x15:cachedUniqueName index="3561" name="[dane].[Nr zamówienia].&amp;[PL-2013-088408]"/>
            <x15:cachedUniqueName index="3562" name="[dane].[Nr zamówienia].&amp;[PL-2013-088409]"/>
            <x15:cachedUniqueName index="3563" name="[dane].[Nr zamówienia].&amp;[PL-2013-088414]"/>
            <x15:cachedUniqueName index="3564" name="[dane].[Nr zamówienia].&amp;[PL-2013-088428]"/>
            <x15:cachedUniqueName index="3565" name="[dane].[Nr zamówienia].&amp;[PL-2013-088431]"/>
            <x15:cachedUniqueName index="3566" name="[dane].[Nr zamówienia].&amp;[PL-2013-088438]"/>
            <x15:cachedUniqueName index="3567" name="[dane].[Nr zamówienia].&amp;[PL-2013-088439]"/>
            <x15:cachedUniqueName index="3568" name="[dane].[Nr zamówienia].&amp;[PL-2013-088454]"/>
            <x15:cachedUniqueName index="3569" name="[dane].[Nr zamówienia].&amp;[PL-2013-088455]"/>
            <x15:cachedUniqueName index="3570" name="[dane].[Nr zamówienia].&amp;[PL-2013-088464]"/>
            <x15:cachedUniqueName index="3571" name="[dane].[Nr zamówienia].&amp;[PL-2013-088465]"/>
            <x15:cachedUniqueName index="3572" name="[dane].[Nr zamówienia].&amp;[PL-2013-088477]"/>
            <x15:cachedUniqueName index="3573" name="[dane].[Nr zamówienia].&amp;[PL-2013-088483]"/>
            <x15:cachedUniqueName index="3574" name="[dane].[Nr zamówienia].&amp;[PL-2013-088494]"/>
            <x15:cachedUniqueName index="3575" name="[dane].[Nr zamówienia].&amp;[PL-2013-088495]"/>
            <x15:cachedUniqueName index="3576" name="[dane].[Nr zamówienia].&amp;[PL-2013-088496]"/>
            <x15:cachedUniqueName index="3577" name="[dane].[Nr zamówienia].&amp;[PL-2013-088497]"/>
            <x15:cachedUniqueName index="3578" name="[dane].[Nr zamówienia].&amp;[PL-2013-088507]"/>
            <x15:cachedUniqueName index="3579" name="[dane].[Nr zamówienia].&amp;[PL-2013-088508]"/>
            <x15:cachedUniqueName index="3580" name="[dane].[Nr zamówienia].&amp;[PL-2013-088509]"/>
            <x15:cachedUniqueName index="3581" name="[dane].[Nr zamówienia].&amp;[PL-2013-088510]"/>
            <x15:cachedUniqueName index="3582" name="[dane].[Nr zamówienia].&amp;[PL-2013-088514]"/>
            <x15:cachedUniqueName index="3583" name="[dane].[Nr zamówienia].&amp;[PL-2013-088518]"/>
            <x15:cachedUniqueName index="3584" name="[dane].[Nr zamówienia].&amp;[PL-2013-088525]"/>
            <x15:cachedUniqueName index="3585" name="[dane].[Nr zamówienia].&amp;[PL-2013-088530]"/>
            <x15:cachedUniqueName index="3586" name="[dane].[Nr zamówienia].&amp;[PL-2013-088531]"/>
            <x15:cachedUniqueName index="3587" name="[dane].[Nr zamówienia].&amp;[PL-2013-088532]"/>
            <x15:cachedUniqueName index="3588" name="[dane].[Nr zamówienia].&amp;[PL-2013-088535]"/>
            <x15:cachedUniqueName index="3589" name="[dane].[Nr zamówienia].&amp;[PL-2013-088536]"/>
            <x15:cachedUniqueName index="3590" name="[dane].[Nr zamówienia].&amp;[PL-2013-088549]"/>
            <x15:cachedUniqueName index="3591" name="[dane].[Nr zamówienia].&amp;[PL-2013-088561]"/>
            <x15:cachedUniqueName index="3592" name="[dane].[Nr zamówienia].&amp;[PL-2013-088572]"/>
            <x15:cachedUniqueName index="3593" name="[dane].[Nr zamówienia].&amp;[PL-2013-088573]"/>
            <x15:cachedUniqueName index="3594" name="[dane].[Nr zamówienia].&amp;[PL-2013-088583]"/>
            <x15:cachedUniqueName index="3595" name="[dane].[Nr zamówienia].&amp;[PL-2013-088595]"/>
            <x15:cachedUniqueName index="3596" name="[dane].[Nr zamówienia].&amp;[PL-2013-088602]"/>
            <x15:cachedUniqueName index="3597" name="[dane].[Nr zamówienia].&amp;[PL-2013-088603]"/>
            <x15:cachedUniqueName index="3598" name="[dane].[Nr zamówienia].&amp;[PL-2013-088604]"/>
            <x15:cachedUniqueName index="3599" name="[dane].[Nr zamówienia].&amp;[PL-2013-088614]"/>
            <x15:cachedUniqueName index="3600" name="[dane].[Nr zamówienia].&amp;[PL-2013-088615]"/>
            <x15:cachedUniqueName index="3601" name="[dane].[Nr zamówienia].&amp;[PL-2013-088621]"/>
            <x15:cachedUniqueName index="3602" name="[dane].[Nr zamówienia].&amp;[PL-2013-088625]"/>
            <x15:cachedUniqueName index="3603" name="[dane].[Nr zamówienia].&amp;[PL-2013-088628]"/>
            <x15:cachedUniqueName index="3604" name="[dane].[Nr zamówienia].&amp;[PL-2013-088637]"/>
            <x15:cachedUniqueName index="3605" name="[dane].[Nr zamówienia].&amp;[PL-2013-088638]"/>
            <x15:cachedUniqueName index="3606" name="[dane].[Nr zamówienia].&amp;[PL-2013-088639]"/>
            <x15:cachedUniqueName index="3607" name="[dane].[Nr zamówienia].&amp;[PL-2013-088652]"/>
            <x15:cachedUniqueName index="3608" name="[dane].[Nr zamówienia].&amp;[PL-2013-088653]"/>
            <x15:cachedUniqueName index="3609" name="[dane].[Nr zamówienia].&amp;[PL-2013-088661]"/>
            <x15:cachedUniqueName index="3610" name="[dane].[Nr zamówienia].&amp;[PL-2013-088671]"/>
            <x15:cachedUniqueName index="3611" name="[dane].[Nr zamówienia].&amp;[PL-2013-088672]"/>
            <x15:cachedUniqueName index="3612" name="[dane].[Nr zamówienia].&amp;[PL-2013-088687]"/>
            <x15:cachedUniqueName index="3613" name="[dane].[Nr zamówienia].&amp;[PL-2013-088688]"/>
            <x15:cachedUniqueName index="3614" name="[dane].[Nr zamówienia].&amp;[PL-2013-088689]"/>
            <x15:cachedUniqueName index="3615" name="[dane].[Nr zamówienia].&amp;[PL-2013-088690]"/>
            <x15:cachedUniqueName index="3616" name="[dane].[Nr zamówienia].&amp;[PL-2013-088691]"/>
            <x15:cachedUniqueName index="3617" name="[dane].[Nr zamówienia].&amp;[PL-2013-088697]"/>
            <x15:cachedUniqueName index="3618" name="[dane].[Nr zamówienia].&amp;[PL-2013-088698]"/>
            <x15:cachedUniqueName index="3619" name="[dane].[Nr zamówienia].&amp;[PL-2013-088704]"/>
            <x15:cachedUniqueName index="3620" name="[dane].[Nr zamówienia].&amp;[PL-2013-088705]"/>
            <x15:cachedUniqueName index="3621" name="[dane].[Nr zamówienia].&amp;[PL-2013-088706]"/>
            <x15:cachedUniqueName index="3622" name="[dane].[Nr zamówienia].&amp;[PL-2013-088707]"/>
            <x15:cachedUniqueName index="3623" name="[dane].[Nr zamówienia].&amp;[PL-2013-088708]"/>
            <x15:cachedUniqueName index="3624" name="[dane].[Nr zamówienia].&amp;[PL-2013-088715]"/>
            <x15:cachedUniqueName index="3625" name="[dane].[Nr zamówienia].&amp;[PL-2013-088716]"/>
            <x15:cachedUniqueName index="3626" name="[dane].[Nr zamówienia].&amp;[PL-2013-088717]"/>
            <x15:cachedUniqueName index="3627" name="[dane].[Nr zamówienia].&amp;[PL-2013-088718]"/>
            <x15:cachedUniqueName index="3628" name="[dane].[Nr zamówienia].&amp;[PL-2013-088737]"/>
            <x15:cachedUniqueName index="3629" name="[dane].[Nr zamówienia].&amp;[PL-2013-088738]"/>
            <x15:cachedUniqueName index="3630" name="[dane].[Nr zamówienia].&amp;[PL-2013-088739]"/>
            <x15:cachedUniqueName index="3631" name="[dane].[Nr zamówienia].&amp;[PL-2013-088749]"/>
            <x15:cachedUniqueName index="3632" name="[dane].[Nr zamówienia].&amp;[PL-2013-088755]"/>
            <x15:cachedUniqueName index="3633" name="[dane].[Nr zamówienia].&amp;[PL-2013-088761]"/>
            <x15:cachedUniqueName index="3634" name="[dane].[Nr zamówienia].&amp;[PL-2013-088788]"/>
            <x15:cachedUniqueName index="3635" name="[dane].[Nr zamówienia].&amp;[PL-2013-088789]"/>
            <x15:cachedUniqueName index="3636" name="[dane].[Nr zamówienia].&amp;[PL-2013-088796]"/>
            <x15:cachedUniqueName index="3637" name="[dane].[Nr zamówienia].&amp;[PL-2013-088805]"/>
            <x15:cachedUniqueName index="3638" name="[dane].[Nr zamówienia].&amp;[PL-2013-088806]"/>
            <x15:cachedUniqueName index="3639" name="[dane].[Nr zamówienia].&amp;[PL-2013-088807]"/>
            <x15:cachedUniqueName index="3640" name="[dane].[Nr zamówienia].&amp;[PL-2013-088808]"/>
            <x15:cachedUniqueName index="3641" name="[dane].[Nr zamówienia].&amp;[PL-2013-088809]"/>
            <x15:cachedUniqueName index="3642" name="[dane].[Nr zamówienia].&amp;[PL-2013-088820]"/>
            <x15:cachedUniqueName index="3643" name="[dane].[Nr zamówienia].&amp;[PL-2013-088821]"/>
            <x15:cachedUniqueName index="3644" name="[dane].[Nr zamówienia].&amp;[PL-2013-088830]"/>
            <x15:cachedUniqueName index="3645" name="[dane].[Nr zamówienia].&amp;[PL-2013-088831]"/>
            <x15:cachedUniqueName index="3646" name="[dane].[Nr zamówienia].&amp;[PL-2013-088832]"/>
            <x15:cachedUniqueName index="3647" name="[dane].[Nr zamówienia].&amp;[PL-2013-088844]"/>
            <x15:cachedUniqueName index="3648" name="[dane].[Nr zamówienia].&amp;[PL-2013-088845]"/>
            <x15:cachedUniqueName index="3649" name="[dane].[Nr zamówienia].&amp;[PL-2013-088846]"/>
            <x15:cachedUniqueName index="3650" name="[dane].[Nr zamówienia].&amp;[PL-2013-088853]"/>
            <x15:cachedUniqueName index="3651" name="[dane].[Nr zamówienia].&amp;[PL-2013-088854]"/>
            <x15:cachedUniqueName index="3652" name="[dane].[Nr zamówienia].&amp;[PL-2013-088855]"/>
            <x15:cachedUniqueName index="3653" name="[dane].[Nr zamówienia].&amp;[PL-2013-088860]"/>
            <x15:cachedUniqueName index="3654" name="[dane].[Nr zamówienia].&amp;[PL-2013-088861]"/>
            <x15:cachedUniqueName index="3655" name="[dane].[Nr zamówienia].&amp;[PL-2013-088862]"/>
            <x15:cachedUniqueName index="3656" name="[dane].[Nr zamówienia].&amp;[PL-2013-088863]"/>
            <x15:cachedUniqueName index="3657" name="[dane].[Nr zamówienia].&amp;[PL-2013-088874]"/>
            <x15:cachedUniqueName index="3658" name="[dane].[Nr zamówienia].&amp;[PL-2013-088875]"/>
            <x15:cachedUniqueName index="3659" name="[dane].[Nr zamówienia].&amp;[PL-2013-088876]"/>
            <x15:cachedUniqueName index="3660" name="[dane].[Nr zamówienia].&amp;[PL-2013-088885]"/>
            <x15:cachedUniqueName index="3661" name="[dane].[Nr zamówienia].&amp;[PL-2013-088886]"/>
            <x15:cachedUniqueName index="3662" name="[dane].[Nr zamówienia].&amp;[PL-2013-088893]"/>
            <x15:cachedUniqueName index="3663" name="[dane].[Nr zamówienia].&amp;[PL-2013-088913]"/>
            <x15:cachedUniqueName index="3664" name="[dane].[Nr zamówienia].&amp;[PL-2013-088915]"/>
            <x15:cachedUniqueName index="3665" name="[dane].[Nr zamówienia].&amp;[PL-2013-088916]"/>
            <x15:cachedUniqueName index="3666" name="[dane].[Nr zamówienia].&amp;[PL-2013-088917]"/>
            <x15:cachedUniqueName index="3667" name="[dane].[Nr zamówienia].&amp;[PL-2013-088933]"/>
            <x15:cachedUniqueName index="3668" name="[dane].[Nr zamówienia].&amp;[PL-2013-088934]"/>
            <x15:cachedUniqueName index="3669" name="[dane].[Nr zamówienia].&amp;[PL-2013-088935]"/>
            <x15:cachedUniqueName index="3670" name="[dane].[Nr zamówienia].&amp;[PL-2013-088936]"/>
            <x15:cachedUniqueName index="3671" name="[dane].[Nr zamówienia].&amp;[PL-2013-088937]"/>
            <x15:cachedUniqueName index="3672" name="[dane].[Nr zamówienia].&amp;[PL-2013-088947]"/>
            <x15:cachedUniqueName index="3673" name="[dane].[Nr zamówienia].&amp;[PL-2013-088948]"/>
            <x15:cachedUniqueName index="3674" name="[dane].[Nr zamówienia].&amp;[PL-2013-088949]"/>
            <x15:cachedUniqueName index="3675" name="[dane].[Nr zamówienia].&amp;[PL-2013-088950]"/>
            <x15:cachedUniqueName index="3676" name="[dane].[Nr zamówienia].&amp;[PL-2013-088955]"/>
            <x15:cachedUniqueName index="3677" name="[dane].[Nr zamówienia].&amp;[PL-2013-088961]"/>
            <x15:cachedUniqueName index="3678" name="[dane].[Nr zamówienia].&amp;[PL-2013-088962]"/>
            <x15:cachedUniqueName index="3679" name="[dane].[Nr zamówienia].&amp;[PL-2013-088963]"/>
            <x15:cachedUniqueName index="3680" name="[dane].[Nr zamówienia].&amp;[PL-2013-088964]"/>
            <x15:cachedUniqueName index="3681" name="[dane].[Nr zamówienia].&amp;[PL-2013-088977]"/>
            <x15:cachedUniqueName index="3682" name="[dane].[Nr zamówienia].&amp;[PL-2013-088978]"/>
            <x15:cachedUniqueName index="3683" name="[dane].[Nr zamówienia].&amp;[PL-2013-088979]"/>
            <x15:cachedUniqueName index="3684" name="[dane].[Nr zamówienia].&amp;[PL-2013-088980]"/>
            <x15:cachedUniqueName index="3685" name="[dane].[Nr zamówienia].&amp;[PL-2013-088986]"/>
            <x15:cachedUniqueName index="3686" name="[dane].[Nr zamówienia].&amp;[PL-2013-088989]"/>
            <x15:cachedUniqueName index="3687" name="[dane].[Nr zamówienia].&amp;[PL-2013-088990]"/>
            <x15:cachedUniqueName index="3688" name="[dane].[Nr zamówienia].&amp;[PL-2013-088991]"/>
            <x15:cachedUniqueName index="3689" name="[dane].[Nr zamówienia].&amp;[PL-2013-088992]"/>
            <x15:cachedUniqueName index="3690" name="[dane].[Nr zamówienia].&amp;[PL-2013-088999]"/>
            <x15:cachedUniqueName index="3691" name="[dane].[Nr zamówienia].&amp;[PL-2013-089000]"/>
            <x15:cachedUniqueName index="3692" name="[dane].[Nr zamówienia].&amp;[PL-2013-089011]"/>
            <x15:cachedUniqueName index="3693" name="[dane].[Nr zamówienia].&amp;[PL-2013-089012]"/>
            <x15:cachedUniqueName index="3694" name="[dane].[Nr zamówienia].&amp;[PL-2013-089013]"/>
            <x15:cachedUniqueName index="3695" name="[dane].[Nr zamówienia].&amp;[PL-2013-089021]"/>
            <x15:cachedUniqueName index="3696" name="[dane].[Nr zamówienia].&amp;[PL-2013-089029]"/>
            <x15:cachedUniqueName index="3697" name="[dane].[Nr zamówienia].&amp;[PL-2013-089030]"/>
            <x15:cachedUniqueName index="3698" name="[dane].[Nr zamówienia].&amp;[PL-2013-089031]"/>
            <x15:cachedUniqueName index="3699" name="[dane].[Nr zamówienia].&amp;[PL-2013-089032]"/>
            <x15:cachedUniqueName index="3700" name="[dane].[Nr zamówienia].&amp;[PL-2013-089042]"/>
            <x15:cachedUniqueName index="3701" name="[dane].[Nr zamówienia].&amp;[PL-2013-089049]"/>
            <x15:cachedUniqueName index="3702" name="[dane].[Nr zamówienia].&amp;[PL-2013-089058]"/>
            <x15:cachedUniqueName index="3703" name="[dane].[Nr zamówienia].&amp;[PL-2013-089068]"/>
            <x15:cachedUniqueName index="3704" name="[dane].[Nr zamówienia].&amp;[PL-2013-089074]"/>
            <x15:cachedUniqueName index="3705" name="[dane].[Nr zamówienia].&amp;[PL-2013-089080]"/>
            <x15:cachedUniqueName index="3706" name="[dane].[Nr zamówienia].&amp;[PL-2013-089087]"/>
            <x15:cachedUniqueName index="3707" name="[dane].[Nr zamówienia].&amp;[PL-2013-089099]"/>
            <x15:cachedUniqueName index="3708" name="[dane].[Nr zamówienia].&amp;[PL-2013-089104]"/>
            <x15:cachedUniqueName index="3709" name="[dane].[Nr zamówienia].&amp;[PL-2013-089108]"/>
            <x15:cachedUniqueName index="3710" name="[dane].[Nr zamówienia].&amp;[PL-2013-089109]"/>
            <x15:cachedUniqueName index="3711" name="[dane].[Nr zamówienia].&amp;[PL-2013-089114]"/>
            <x15:cachedUniqueName index="3712" name="[dane].[Nr zamówienia].&amp;[PL-2013-089115]"/>
            <x15:cachedUniqueName index="3713" name="[dane].[Nr zamówienia].&amp;[PL-2013-089120]"/>
            <x15:cachedUniqueName index="3714" name="[dane].[Nr zamówienia].&amp;[PL-2013-089121]"/>
            <x15:cachedUniqueName index="3715" name="[dane].[Nr zamówienia].&amp;[PL-2013-089122]"/>
            <x15:cachedUniqueName index="3716" name="[dane].[Nr zamówienia].&amp;[PL-2013-089134]"/>
            <x15:cachedUniqueName index="3717" name="[dane].[Nr zamówienia].&amp;[PL-2013-089142]"/>
            <x15:cachedUniqueName index="3718" name="[dane].[Nr zamówienia].&amp;[PL-2013-089143]"/>
            <x15:cachedUniqueName index="3719" name="[dane].[Nr zamówienia].&amp;[PL-2013-089144]"/>
            <x15:cachedUniqueName index="3720" name="[dane].[Nr zamówienia].&amp;[PL-2013-089151]"/>
            <x15:cachedUniqueName index="3721" name="[dane].[Nr zamówienia].&amp;[PL-2013-089158]"/>
            <x15:cachedUniqueName index="3722" name="[dane].[Nr zamówienia].&amp;[PL-2013-089161]"/>
            <x15:cachedUniqueName index="3723" name="[dane].[Nr zamówienia].&amp;[PL-2013-089180]"/>
            <x15:cachedUniqueName index="3724" name="[dane].[Nr zamówienia].&amp;[PL-2013-089181]"/>
            <x15:cachedUniqueName index="3725" name="[dane].[Nr zamówienia].&amp;[PL-2013-089186]"/>
            <x15:cachedUniqueName index="3726" name="[dane].[Nr zamówienia].&amp;[PL-2013-089187]"/>
            <x15:cachedUniqueName index="3727" name="[dane].[Nr zamówienia].&amp;[PL-2013-089188]"/>
            <x15:cachedUniqueName index="3728" name="[dane].[Nr zamówienia].&amp;[PL-2013-089195]"/>
            <x15:cachedUniqueName index="3729" name="[dane].[Nr zamówienia].&amp;[PL-2013-089196]"/>
            <x15:cachedUniqueName index="3730" name="[dane].[Nr zamówienia].&amp;[PL-2013-089197]"/>
            <x15:cachedUniqueName index="3731" name="[dane].[Nr zamówienia].&amp;[PL-2013-089205]"/>
            <x15:cachedUniqueName index="3732" name="[dane].[Nr zamówienia].&amp;[PL-2013-089206]"/>
            <x15:cachedUniqueName index="3733" name="[dane].[Nr zamówienia].&amp;[PL-2013-089213]"/>
            <x15:cachedUniqueName index="3734" name="[dane].[Nr zamówienia].&amp;[PL-2013-089214]"/>
            <x15:cachedUniqueName index="3735" name="[dane].[Nr zamówienia].&amp;[PL-2013-089215]"/>
            <x15:cachedUniqueName index="3736" name="[dane].[Nr zamówienia].&amp;[PL-2013-089225]"/>
            <x15:cachedUniqueName index="3737" name="[dane].[Nr zamówienia].&amp;[PL-2013-089226]"/>
            <x15:cachedUniqueName index="3738" name="[dane].[Nr zamówienia].&amp;[PL-2013-089227]"/>
            <x15:cachedUniqueName index="3739" name="[dane].[Nr zamówienia].&amp;[PL-2013-089237]"/>
            <x15:cachedUniqueName index="3740" name="[dane].[Nr zamówienia].&amp;[PL-2013-089238]"/>
            <x15:cachedUniqueName index="3741" name="[dane].[Nr zamówienia].&amp;[PL-2013-089239]"/>
            <x15:cachedUniqueName index="3742" name="[dane].[Nr zamówienia].&amp;[PL-2013-089243]"/>
            <x15:cachedUniqueName index="3743" name="[dane].[Nr zamówienia].&amp;[PL-2013-089244]"/>
            <x15:cachedUniqueName index="3744" name="[dane].[Nr zamówienia].&amp;[PL-2013-089245]"/>
            <x15:cachedUniqueName index="3745" name="[dane].[Nr zamówienia].&amp;[PL-2013-089247]"/>
            <x15:cachedUniqueName index="3746" name="[dane].[Nr zamówienia].&amp;[PL-2013-089248]"/>
            <x15:cachedUniqueName index="3747" name="[dane].[Nr zamówienia].&amp;[PL-2013-089249]"/>
            <x15:cachedUniqueName index="3748" name="[dane].[Nr zamówienia].&amp;[PL-2013-089254]"/>
            <x15:cachedUniqueName index="3749" name="[dane].[Nr zamówienia].&amp;[PL-2013-089255]"/>
            <x15:cachedUniqueName index="3750" name="[dane].[Nr zamówienia].&amp;[PL-2013-089262]"/>
            <x15:cachedUniqueName index="3751" name="[dane].[Nr zamówienia].&amp;[PL-2013-089263]"/>
            <x15:cachedUniqueName index="3752" name="[dane].[Nr zamówienia].&amp;[PL-2013-089264]"/>
            <x15:cachedUniqueName index="3753" name="[dane].[Nr zamówienia].&amp;[PL-2013-089281]"/>
            <x15:cachedUniqueName index="3754" name="[dane].[Nr zamówienia].&amp;[PL-2013-089282]"/>
            <x15:cachedUniqueName index="3755" name="[dane].[Nr zamówienia].&amp;[PL-2013-089287]"/>
            <x15:cachedUniqueName index="3756" name="[dane].[Nr zamówienia].&amp;[PL-2013-089294]"/>
            <x15:cachedUniqueName index="3757" name="[dane].[Nr zamówienia].&amp;[PL-2013-089295]"/>
            <x15:cachedUniqueName index="3758" name="[dane].[Nr zamówienia].&amp;[PL-2013-089296]"/>
            <x15:cachedUniqueName index="3759" name="[dane].[Nr zamówienia].&amp;[PL-2013-089307]"/>
            <x15:cachedUniqueName index="3760" name="[dane].[Nr zamówienia].&amp;[PL-2013-089308]"/>
            <x15:cachedUniqueName index="3761" name="[dane].[Nr zamówienia].&amp;[PL-2013-089309]"/>
            <x15:cachedUniqueName index="3762" name="[dane].[Nr zamówienia].&amp;[PL-2013-089310]"/>
            <x15:cachedUniqueName index="3763" name="[dane].[Nr zamówienia].&amp;[PL-2013-089321]"/>
            <x15:cachedUniqueName index="3764" name="[dane].[Nr zamówienia].&amp;[PL-2013-089322]"/>
            <x15:cachedUniqueName index="3765" name="[dane].[Nr zamówienia].&amp;[PL-2013-089323]"/>
            <x15:cachedUniqueName index="3766" name="[dane].[Nr zamówienia].&amp;[PL-2013-089336]"/>
            <x15:cachedUniqueName index="3767" name="[dane].[Nr zamówienia].&amp;[PL-2013-089337]"/>
            <x15:cachedUniqueName index="3768" name="[dane].[Nr zamówienia].&amp;[PL-2013-089342]"/>
            <x15:cachedUniqueName index="3769" name="[dane].[Nr zamówienia].&amp;[PL-2013-089348]"/>
            <x15:cachedUniqueName index="3770" name="[dane].[Nr zamówienia].&amp;[PL-2013-089349]"/>
            <x15:cachedUniqueName index="3771" name="[dane].[Nr zamówienia].&amp;[PL-2013-089350]"/>
            <x15:cachedUniqueName index="3772" name="[dane].[Nr zamówienia].&amp;[PL-2013-089351]"/>
            <x15:cachedUniqueName index="3773" name="[dane].[Nr zamówienia].&amp;[PL-2013-089357]"/>
            <x15:cachedUniqueName index="3774" name="[dane].[Nr zamówienia].&amp;[PL-2013-089362]"/>
            <x15:cachedUniqueName index="3775" name="[dane].[Nr zamówienia].&amp;[PL-2013-089366]"/>
            <x15:cachedUniqueName index="3776" name="[dane].[Nr zamówienia].&amp;[PL-2013-089367]"/>
            <x15:cachedUniqueName index="3777" name="[dane].[Nr zamówienia].&amp;[PL-2013-089368]"/>
            <x15:cachedUniqueName index="3778" name="[dane].[Nr zamówienia].&amp;[PL-2013-089377]"/>
            <x15:cachedUniqueName index="3779" name="[dane].[Nr zamówienia].&amp;[PL-2013-089378]"/>
            <x15:cachedUniqueName index="3780" name="[dane].[Nr zamówienia].&amp;[PL-2013-089379]"/>
            <x15:cachedUniqueName index="3781" name="[dane].[Nr zamówienia].&amp;[PL-2013-089383]"/>
            <x15:cachedUniqueName index="3782" name="[dane].[Nr zamówienia].&amp;[PL-2013-089384]"/>
            <x15:cachedUniqueName index="3783" name="[dane].[Nr zamówienia].&amp;[PL-2013-089387]"/>
            <x15:cachedUniqueName index="3784" name="[dane].[Nr zamówienia].&amp;[PL-2013-089391]"/>
            <x15:cachedUniqueName index="3785" name="[dane].[Nr zamówienia].&amp;[PL-2013-089404]"/>
            <x15:cachedUniqueName index="3786" name="[dane].[Nr zamówienia].&amp;[PL-2013-089410]"/>
            <x15:cachedUniqueName index="3787" name="[dane].[Nr zamówienia].&amp;[PL-2013-089411]"/>
            <x15:cachedUniqueName index="3788" name="[dane].[Nr zamówienia].&amp;[PL-2013-089421]"/>
            <x15:cachedUniqueName index="3789" name="[dane].[Nr zamówienia].&amp;[PL-2013-089422]"/>
            <x15:cachedUniqueName index="3790" name="[dane].[Nr zamówienia].&amp;[PL-2013-089429]"/>
            <x15:cachedUniqueName index="3791" name="[dane].[Nr zamówienia].&amp;[PL-2013-089430]"/>
            <x15:cachedUniqueName index="3792" name="[dane].[Nr zamówienia].&amp;[PL-2013-089435]"/>
            <x15:cachedUniqueName index="3793" name="[dane].[Nr zamówienia].&amp;[PL-2013-089441]"/>
            <x15:cachedUniqueName index="3794" name="[dane].[Nr zamówienia].&amp;[PL-2013-089452]"/>
            <x15:cachedUniqueName index="3795" name="[dane].[Nr zamówienia].&amp;[PL-2013-089453]"/>
            <x15:cachedUniqueName index="3796" name="[dane].[Nr zamówienia].&amp;[PL-2013-089459]"/>
            <x15:cachedUniqueName index="3797" name="[dane].[Nr zamówienia].&amp;[PL-2013-089460]"/>
            <x15:cachedUniqueName index="3798" name="[dane].[Nr zamówienia].&amp;[PL-2013-089461]"/>
            <x15:cachedUniqueName index="3799" name="[dane].[Nr zamówienia].&amp;[PL-2013-089462]"/>
            <x15:cachedUniqueName index="3800" name="[dane].[Nr zamówienia].&amp;[PL-2013-089463]"/>
            <x15:cachedUniqueName index="3801" name="[dane].[Nr zamówienia].&amp;[PL-2013-089471]"/>
            <x15:cachedUniqueName index="3802" name="[dane].[Nr zamówienia].&amp;[PL-2013-089473]"/>
            <x15:cachedUniqueName index="3803" name="[dane].[Nr zamówienia].&amp;[PL-2013-089476]"/>
            <x15:cachedUniqueName index="3804" name="[dane].[Nr zamówienia].&amp;[PL-2013-089485]"/>
            <x15:cachedUniqueName index="3805" name="[dane].[Nr zamówienia].&amp;[PL-2013-089486]"/>
            <x15:cachedUniqueName index="3806" name="[dane].[Nr zamówienia].&amp;[PL-2013-089490]"/>
            <x15:cachedUniqueName index="3807" name="[dane].[Nr zamówienia].&amp;[PL-2013-089491]"/>
            <x15:cachedUniqueName index="3808" name="[dane].[Nr zamówienia].&amp;[PL-2013-089492]"/>
            <x15:cachedUniqueName index="3809" name="[dane].[Nr zamówienia].&amp;[PL-2013-089500]"/>
            <x15:cachedUniqueName index="3810" name="[dane].[Nr zamówienia].&amp;[PL-2013-089510]"/>
            <x15:cachedUniqueName index="3811" name="[dane].[Nr zamówienia].&amp;[PL-2013-089516]"/>
            <x15:cachedUniqueName index="3812" name="[dane].[Nr zamówienia].&amp;[PL-2013-089526]"/>
            <x15:cachedUniqueName index="3813" name="[dane].[Nr zamówienia].&amp;[PL-2013-089527]"/>
            <x15:cachedUniqueName index="3814" name="[dane].[Nr zamówienia].&amp;[PL-2013-089528]"/>
            <x15:cachedUniqueName index="3815" name="[dane].[Nr zamówienia].&amp;[PL-2013-089529]"/>
            <x15:cachedUniqueName index="3816" name="[dane].[Nr zamówienia].&amp;[PL-2013-089530]"/>
            <x15:cachedUniqueName index="3817" name="[dane].[Nr zamówienia].&amp;[PL-2013-089531]"/>
            <x15:cachedUniqueName index="3818" name="[dane].[Nr zamówienia].&amp;[PL-2013-089545]"/>
            <x15:cachedUniqueName index="3819" name="[dane].[Nr zamówienia].&amp;[PL-2013-089546]"/>
            <x15:cachedUniqueName index="3820" name="[dane].[Nr zamówienia].&amp;[PL-2013-089547]"/>
            <x15:cachedUniqueName index="3821" name="[dane].[Nr zamówienia].&amp;[PL-2013-089566]"/>
            <x15:cachedUniqueName index="3822" name="[dane].[Nr zamówienia].&amp;[PL-2013-089575]"/>
            <x15:cachedUniqueName index="3823" name="[dane].[Nr zamówienia].&amp;[PL-2013-089580]"/>
            <x15:cachedUniqueName index="3824" name="[dane].[Nr zamówienia].&amp;[PL-2013-089581]"/>
            <x15:cachedUniqueName index="3825" name="[dane].[Nr zamówienia].&amp;[PL-2013-089594]"/>
            <x15:cachedUniqueName index="3826" name="[dane].[Nr zamówienia].&amp;[PL-2013-089600]"/>
            <x15:cachedUniqueName index="3827" name="[dane].[Nr zamówienia].&amp;[PL-2013-089615]"/>
            <x15:cachedUniqueName index="3828" name="[dane].[Nr zamówienia].&amp;[PL-2013-089616]"/>
            <x15:cachedUniqueName index="3829" name="[dane].[Nr zamówienia].&amp;[PL-2013-089622]"/>
            <x15:cachedUniqueName index="3830" name="[dane].[Nr zamówienia].&amp;[PL-2013-089623]"/>
            <x15:cachedUniqueName index="3831" name="[dane].[Nr zamówienia].&amp;[PL-2013-089624]"/>
            <x15:cachedUniqueName index="3832" name="[dane].[Nr zamówienia].&amp;[PL-2013-089625]"/>
            <x15:cachedUniqueName index="3833" name="[dane].[Nr zamówienia].&amp;[PL-2013-089641]"/>
            <x15:cachedUniqueName index="3834" name="[dane].[Nr zamówienia].&amp;[PL-2013-089650]"/>
            <x15:cachedUniqueName index="3835" name="[dane].[Nr zamówienia].&amp;[PL-2013-089655]"/>
            <x15:cachedUniqueName index="3836" name="[dane].[Nr zamówienia].&amp;[PL-2013-089661]"/>
            <x15:cachedUniqueName index="3837" name="[dane].[Nr zamówienia].&amp;[PL-2013-089662]"/>
            <x15:cachedUniqueName index="3838" name="[dane].[Nr zamówienia].&amp;[PL-2013-089670]"/>
            <x15:cachedUniqueName index="3839" name="[dane].[Nr zamówienia].&amp;[PL-2013-089671]"/>
            <x15:cachedUniqueName index="3840" name="[dane].[Nr zamówienia].&amp;[PL-2013-089672]"/>
            <x15:cachedUniqueName index="3841" name="[dane].[Nr zamówienia].&amp;[PL-2013-089673]"/>
            <x15:cachedUniqueName index="3842" name="[dane].[Nr zamówienia].&amp;[PL-2013-089674]"/>
            <x15:cachedUniqueName index="3843" name="[dane].[Nr zamówienia].&amp;[PL-2013-089683]"/>
            <x15:cachedUniqueName index="3844" name="[dane].[Nr zamówienia].&amp;[PL-2013-089689]"/>
            <x15:cachedUniqueName index="3845" name="[dane].[Nr zamówienia].&amp;[PL-2013-089690]"/>
            <x15:cachedUniqueName index="3846" name="[dane].[Nr zamówienia].&amp;[PL-2013-089710]"/>
            <x15:cachedUniqueName index="3847" name="[dane].[Nr zamówienia].&amp;[PL-2013-089718]"/>
            <x15:cachedUniqueName index="3848" name="[dane].[Nr zamówienia].&amp;[PL-2013-089719]"/>
            <x15:cachedUniqueName index="3849" name="[dane].[Nr zamówienia].&amp;[PL-2013-089720]"/>
            <x15:cachedUniqueName index="3850" name="[dane].[Nr zamówienia].&amp;[PL-2013-089727]"/>
            <x15:cachedUniqueName index="3851" name="[dane].[Nr zamówienia].&amp;[PL-2013-089732]"/>
            <x15:cachedUniqueName index="3852" name="[dane].[Nr zamówienia].&amp;[PL-2013-089733]"/>
            <x15:cachedUniqueName index="3853" name="[dane].[Nr zamówienia].&amp;[PL-2013-089734]"/>
            <x15:cachedUniqueName index="3854" name="[dane].[Nr zamówienia].&amp;[PL-2013-089741]"/>
            <x15:cachedUniqueName index="3855" name="[dane].[Nr zamówienia].&amp;[PL-2013-089747]"/>
            <x15:cachedUniqueName index="3856" name="[dane].[Nr zamówienia].&amp;[PL-2013-089755]"/>
            <x15:cachedUniqueName index="3857" name="[dane].[Nr zamówienia].&amp;[PL-2013-089756]"/>
            <x15:cachedUniqueName index="3858" name="[dane].[Nr zamówienia].&amp;[PL-2013-089766]"/>
            <x15:cachedUniqueName index="3859" name="[dane].[Nr zamówienia].&amp;[PL-2013-089767]"/>
            <x15:cachedUniqueName index="3860" name="[dane].[Nr zamówienia].&amp;[PL-2013-089771]"/>
            <x15:cachedUniqueName index="3861" name="[dane].[Nr zamówienia].&amp;[PL-2013-089781]"/>
            <x15:cachedUniqueName index="3862" name="[dane].[Nr zamówienia].&amp;[PL-2013-089782]"/>
            <x15:cachedUniqueName index="3863" name="[dane].[Nr zamówienia].&amp;[PL-2013-089783]"/>
            <x15:cachedUniqueName index="3864" name="[dane].[Nr zamówienia].&amp;[PL-2013-089784]"/>
            <x15:cachedUniqueName index="3865" name="[dane].[Nr zamówienia].&amp;[PL-2013-089785]"/>
            <x15:cachedUniqueName index="3866" name="[dane].[Nr zamówienia].&amp;[PL-2013-089791]"/>
            <x15:cachedUniqueName index="3867" name="[dane].[Nr zamówienia].&amp;[PL-2013-089792]"/>
            <x15:cachedUniqueName index="3868" name="[dane].[Nr zamówienia].&amp;[PL-2013-089793]"/>
            <x15:cachedUniqueName index="3869" name="[dane].[Nr zamówienia].&amp;[PL-2013-089798]"/>
            <x15:cachedUniqueName index="3870" name="[dane].[Nr zamówienia].&amp;[PL-2013-089802]"/>
            <x15:cachedUniqueName index="3871" name="[dane].[Nr zamówienia].&amp;[PL-2013-089807]"/>
            <x15:cachedUniqueName index="3872" name="[dane].[Nr zamówienia].&amp;[PL-2013-089812]"/>
            <x15:cachedUniqueName index="3873" name="[dane].[Nr zamówienia].&amp;[PL-2013-089813]"/>
            <x15:cachedUniqueName index="3874" name="[dane].[Nr zamówienia].&amp;[PL-2013-089814]"/>
            <x15:cachedUniqueName index="3875" name="[dane].[Nr zamówienia].&amp;[PL-2013-089822]"/>
            <x15:cachedUniqueName index="3876" name="[dane].[Nr zamówienia].&amp;[PL-2013-089823]"/>
            <x15:cachedUniqueName index="3877" name="[dane].[Nr zamówienia].&amp;[PL-2013-089831]"/>
            <x15:cachedUniqueName index="3878" name="[dane].[Nr zamówienia].&amp;[PL-2013-089832]"/>
            <x15:cachedUniqueName index="3879" name="[dane].[Nr zamówienia].&amp;[PL-2013-089833]"/>
            <x15:cachedUniqueName index="3880" name="[dane].[Nr zamówienia].&amp;[PL-2013-089838]"/>
            <x15:cachedUniqueName index="3881" name="[dane].[Nr zamówienia].&amp;[PL-2013-089842]"/>
            <x15:cachedUniqueName index="3882" name="[dane].[Nr zamówienia].&amp;[PL-2013-089843]"/>
            <x15:cachedUniqueName index="3883" name="[dane].[Nr zamówienia].&amp;[PL-2013-089844]"/>
            <x15:cachedUniqueName index="3884" name="[dane].[Nr zamówienia].&amp;[PL-2013-089852]"/>
            <x15:cachedUniqueName index="3885" name="[dane].[Nr zamówienia].&amp;[PL-2013-089853]"/>
            <x15:cachedUniqueName index="3886" name="[dane].[Nr zamówienia].&amp;[PL-2013-089862]"/>
            <x15:cachedUniqueName index="3887" name="[dane].[Nr zamówienia].&amp;[PL-2013-089863]"/>
            <x15:cachedUniqueName index="3888" name="[dane].[Nr zamówienia].&amp;[PL-2013-089864]"/>
            <x15:cachedUniqueName index="3889" name="[dane].[Nr zamówienia].&amp;[PL-2013-089871]"/>
            <x15:cachedUniqueName index="3890" name="[dane].[Nr zamówienia].&amp;[PL-2013-089876]"/>
            <x15:cachedUniqueName index="3891" name="[dane].[Nr zamówienia].&amp;[PL-2013-089877]"/>
            <x15:cachedUniqueName index="3892" name="[dane].[Nr zamówienia].&amp;[PL-2013-089882]"/>
            <x15:cachedUniqueName index="3893" name="[dane].[Nr zamówienia].&amp;[PL-2013-089883]"/>
            <x15:cachedUniqueName index="3894" name="[dane].[Nr zamówienia].&amp;[PL-2013-089888]"/>
            <x15:cachedUniqueName index="3895" name="[dane].[Nr zamówienia].&amp;[PL-2013-089889]"/>
            <x15:cachedUniqueName index="3896" name="[dane].[Nr zamówienia].&amp;[PL-2013-089894]"/>
            <x15:cachedUniqueName index="3897" name="[dane].[Nr zamówienia].&amp;[PL-2013-089895]"/>
            <x15:cachedUniqueName index="3898" name="[dane].[Nr zamówienia].&amp;[PL-2013-089899]"/>
            <x15:cachedUniqueName index="3899" name="[dane].[Nr zamówienia].&amp;[PL-2013-089900]"/>
            <x15:cachedUniqueName index="3900" name="[dane].[Nr zamówienia].&amp;[PL-2013-089902]"/>
            <x15:cachedUniqueName index="3901" name="[dane].[Nr zamówienia].&amp;[PL-2013-089906]"/>
            <x15:cachedUniqueName index="3902" name="[dane].[Nr zamówienia].&amp;[PL-2013-089913]"/>
            <x15:cachedUniqueName index="3903" name="[dane].[Nr zamówienia].&amp;[PL-2013-089917]"/>
            <x15:cachedUniqueName index="3904" name="[dane].[Nr zamówienia].&amp;[PL-2013-089918]"/>
            <x15:cachedUniqueName index="3905" name="[dane].[Nr zamówienia].&amp;[PL-2013-089919]"/>
            <x15:cachedUniqueName index="3906" name="[dane].[Nr zamówienia].&amp;[PL-2013-089926]"/>
            <x15:cachedUniqueName index="3907" name="[dane].[Nr zamówienia].&amp;[PL-2013-089931]"/>
            <x15:cachedUniqueName index="3908" name="[dane].[Nr zamówienia].&amp;[PL-2013-089935]"/>
            <x15:cachedUniqueName index="3909" name="[dane].[Nr zamówienia].&amp;[PL-2013-089936]"/>
            <x15:cachedUniqueName index="3910" name="[dane].[Nr zamówienia].&amp;[PL-2013-089948]"/>
            <x15:cachedUniqueName index="3911" name="[dane].[Nr zamówienia].&amp;[PL-2013-089949]"/>
            <x15:cachedUniqueName index="3912" name="[dane].[Nr zamówienia].&amp;[PL-2013-089950]"/>
            <x15:cachedUniqueName index="3913" name="[dane].[Nr zamówienia].&amp;[PL-2013-089951]"/>
            <x15:cachedUniqueName index="3914" name="[dane].[Nr zamówienia].&amp;[PL-2013-089958]"/>
            <x15:cachedUniqueName index="3915" name="[dane].[Nr zamówienia].&amp;[PL-2013-089964]"/>
            <x15:cachedUniqueName index="3916" name="[dane].[Nr zamówienia].&amp;[PL-2013-089976]"/>
            <x15:cachedUniqueName index="3917" name="[dane].[Nr zamówienia].&amp;[PL-2013-089977]"/>
            <x15:cachedUniqueName index="3918" name="[dane].[Nr zamówienia].&amp;[PL-2013-089990]"/>
            <x15:cachedUniqueName index="3919" name="[dane].[Nr zamówienia].&amp;[PL-2013-089991]"/>
            <x15:cachedUniqueName index="3920" name="[dane].[Nr zamówienia].&amp;[PL-2013-089992]"/>
            <x15:cachedUniqueName index="3921" name="[dane].[Nr zamówienia].&amp;[PL-2013-089997]"/>
            <x15:cachedUniqueName index="3922" name="[dane].[Nr zamówienia].&amp;[PL-2013-089998]"/>
            <x15:cachedUniqueName index="3923" name="[dane].[Nr zamówienia].&amp;[PL-2013-090004]"/>
            <x15:cachedUniqueName index="3924" name="[dane].[Nr zamówienia].&amp;[PL-2013-090005]"/>
            <x15:cachedUniqueName index="3925" name="[dane].[Nr zamówienia].&amp;[PL-2013-090016]"/>
            <x15:cachedUniqueName index="3926" name="[dane].[Nr zamówienia].&amp;[PL-2013-090017]"/>
            <x15:cachedUniqueName index="3927" name="[dane].[Nr zamówienia].&amp;[PL-2013-090018]"/>
            <x15:cachedUniqueName index="3928" name="[dane].[Nr zamówienia].&amp;[PL-2013-090019]"/>
            <x15:cachedUniqueName index="3929" name="[dane].[Nr zamówienia].&amp;[PL-2013-090020]"/>
            <x15:cachedUniqueName index="3930" name="[dane].[Nr zamówienia].&amp;[PL-2013-090021]"/>
            <x15:cachedUniqueName index="3931" name="[dane].[Nr zamówienia].&amp;[PL-2013-090029]"/>
            <x15:cachedUniqueName index="3932" name="[dane].[Nr zamówienia].&amp;[PL-2013-090030]"/>
            <x15:cachedUniqueName index="3933" name="[dane].[Nr zamówienia].&amp;[PL-2013-090034]"/>
            <x15:cachedUniqueName index="3934" name="[dane].[Nr zamówienia].&amp;[PL-2013-090035]"/>
            <x15:cachedUniqueName index="3935" name="[dane].[Nr zamówienia].&amp;[PL-2013-090036]"/>
            <x15:cachedUniqueName index="3936" name="[dane].[Nr zamówienia].&amp;[PL-2013-090046]"/>
            <x15:cachedUniqueName index="3937" name="[dane].[Nr zamówienia].&amp;[PL-2013-090050]"/>
            <x15:cachedUniqueName index="3938" name="[dane].[Nr zamówienia].&amp;[PL-2013-090051]"/>
            <x15:cachedUniqueName index="3939" name="[dane].[Nr zamówienia].&amp;[PL-2013-090052]"/>
            <x15:cachedUniqueName index="3940" name="[dane].[Nr zamówienia].&amp;[PL-2013-090063]"/>
            <x15:cachedUniqueName index="3941" name="[dane].[Nr zamówienia].&amp;[PL-2013-090064]"/>
            <x15:cachedUniqueName index="3942" name="[dane].[Nr zamówienia].&amp;[PL-2013-090065]"/>
            <x15:cachedUniqueName index="3943" name="[dane].[Nr zamówienia].&amp;[PL-2013-090066]"/>
            <x15:cachedUniqueName index="3944" name="[dane].[Nr zamówienia].&amp;[PL-2013-090072]"/>
            <x15:cachedUniqueName index="3945" name="[dane].[Nr zamówienia].&amp;[PL-2013-090073]"/>
            <x15:cachedUniqueName index="3946" name="[dane].[Nr zamówienia].&amp;[PL-2013-090083]"/>
            <x15:cachedUniqueName index="3947" name="[dane].[Nr zamówienia].&amp;[PL-2013-090084]"/>
            <x15:cachedUniqueName index="3948" name="[dane].[Nr zamówienia].&amp;[PL-2013-090085]"/>
            <x15:cachedUniqueName index="3949" name="[dane].[Nr zamówienia].&amp;[PL-2013-090086]"/>
            <x15:cachedUniqueName index="3950" name="[dane].[Nr zamówienia].&amp;[PL-2013-090087]"/>
            <x15:cachedUniqueName index="3951" name="[dane].[Nr zamówienia].&amp;[PL-2013-090088]"/>
            <x15:cachedUniqueName index="3952" name="[dane].[Nr zamówienia].&amp;[PL-2013-090094]"/>
            <x15:cachedUniqueName index="3953" name="[dane].[Nr zamówienia].&amp;[PL-2013-090095]"/>
            <x15:cachedUniqueName index="3954" name="[dane].[Nr zamówienia].&amp;[PL-2013-090096]"/>
            <x15:cachedUniqueName index="3955" name="[dane].[Nr zamówienia].&amp;[PL-2013-090100]"/>
            <x15:cachedUniqueName index="3956" name="[dane].[Nr zamówienia].&amp;[PL-2013-090106]"/>
            <x15:cachedUniqueName index="3957" name="[dane].[Nr zamówienia].&amp;[PL-2013-090107]"/>
            <x15:cachedUniqueName index="3958" name="[dane].[Nr zamówienia].&amp;[PL-2013-090108]"/>
            <x15:cachedUniqueName index="3959" name="[dane].[Nr zamówienia].&amp;[PL-2013-090113]"/>
            <x15:cachedUniqueName index="3960" name="[dane].[Nr zamówienia].&amp;[PL-2013-090123]"/>
            <x15:cachedUniqueName index="3961" name="[dane].[Nr zamówienia].&amp;[PL-2013-090129]"/>
            <x15:cachedUniqueName index="3962" name="[dane].[Nr zamówienia].&amp;[PL-2013-090136]"/>
            <x15:cachedUniqueName index="3963" name="[dane].[Nr zamówienia].&amp;[PL-2013-090137]"/>
            <x15:cachedUniqueName index="3964" name="[dane].[Nr zamówienia].&amp;[PL-2013-090138]"/>
            <x15:cachedUniqueName index="3965" name="[dane].[Nr zamówienia].&amp;[PL-2013-090149]"/>
            <x15:cachedUniqueName index="3966" name="[dane].[Nr zamówienia].&amp;[PL-2013-090150]"/>
            <x15:cachedUniqueName index="3967" name="[dane].[Nr zamówienia].&amp;[PL-2013-090156]"/>
            <x15:cachedUniqueName index="3968" name="[dane].[Nr zamówienia].&amp;[PL-2013-090157]"/>
            <x15:cachedUniqueName index="3969" name="[dane].[Nr zamówienia].&amp;[PL-2013-090161]"/>
            <x15:cachedUniqueName index="3970" name="[dane].[Nr zamówienia].&amp;[PL-2013-090162]"/>
            <x15:cachedUniqueName index="3971" name="[dane].[Nr zamówienia].&amp;[PL-2013-090168]"/>
            <x15:cachedUniqueName index="3972" name="[dane].[Nr zamówienia].&amp;[PL-2013-090169]"/>
            <x15:cachedUniqueName index="3973" name="[dane].[Nr zamówienia].&amp;[PL-2013-090179]"/>
            <x15:cachedUniqueName index="3974" name="[dane].[Nr zamówienia].&amp;[PL-2013-090180]"/>
            <x15:cachedUniqueName index="3975" name="[dane].[Nr zamówienia].&amp;[PL-2013-090181]"/>
            <x15:cachedUniqueName index="3976" name="[dane].[Nr zamówienia].&amp;[PL-2013-090196]"/>
            <x15:cachedUniqueName index="3977" name="[dane].[Nr zamówienia].&amp;[PL-2013-090197]"/>
            <x15:cachedUniqueName index="3978" name="[dane].[Nr zamówienia].&amp;[PL-2013-090198]"/>
            <x15:cachedUniqueName index="3979" name="[dane].[Nr zamówienia].&amp;[PL-2013-090199]"/>
            <x15:cachedUniqueName index="3980" name="[dane].[Nr zamówienia].&amp;[PL-2013-090200]"/>
            <x15:cachedUniqueName index="3981" name="[dane].[Nr zamówienia].&amp;[PL-2013-090206]"/>
            <x15:cachedUniqueName index="3982" name="[dane].[Nr zamówienia].&amp;[PL-2013-090207]"/>
            <x15:cachedUniqueName index="3983" name="[dane].[Nr zamówienia].&amp;[PL-2013-090208]"/>
            <x15:cachedUniqueName index="3984" name="[dane].[Nr zamówienia].&amp;[PL-2013-090209]"/>
            <x15:cachedUniqueName index="3985" name="[dane].[Nr zamówienia].&amp;[PL-2013-090210]"/>
            <x15:cachedUniqueName index="3986" name="[dane].[Nr zamówienia].&amp;[PL-2013-090211]"/>
            <x15:cachedUniqueName index="3987" name="[dane].[Nr zamówienia].&amp;[PL-2013-090217]"/>
            <x15:cachedUniqueName index="3988" name="[dane].[Nr zamówienia].&amp;[PL-2013-090223]"/>
            <x15:cachedUniqueName index="3989" name="[dane].[Nr zamówienia].&amp;[PL-2013-090224]"/>
            <x15:cachedUniqueName index="3990" name="[dane].[Nr zamówienia].&amp;[PL-2013-090225]"/>
            <x15:cachedUniqueName index="3991" name="[dane].[Nr zamówienia].&amp;[PL-2013-090226]"/>
            <x15:cachedUniqueName index="3992" name="[dane].[Nr zamówienia].&amp;[PL-2013-090234]"/>
            <x15:cachedUniqueName index="3993" name="[dane].[Nr zamówienia].&amp;[PL-2013-090241]"/>
            <x15:cachedUniqueName index="3994" name="[dane].[Nr zamówienia].&amp;[PL-2013-090245]"/>
            <x15:cachedUniqueName index="3995" name="[dane].[Nr zamówienia].&amp;[PL-2013-090250]"/>
            <x15:cachedUniqueName index="3996" name="[dane].[Nr zamówienia].&amp;[PL-2013-090251]"/>
            <x15:cachedUniqueName index="3997" name="[dane].[Nr zamówienia].&amp;[PL-2013-090261]"/>
            <x15:cachedUniqueName index="3998" name="[dane].[Nr zamówienia].&amp;[PL-2013-090266]"/>
            <x15:cachedUniqueName index="3999" name="[dane].[Nr zamówienia].&amp;[PL-2013-090274]"/>
            <x15:cachedUniqueName index="4000" name="[dane].[Nr zamówienia].&amp;[PL-2013-090275]"/>
            <x15:cachedUniqueName index="4001" name="[dane].[Nr zamówienia].&amp;[PL-2013-090276]"/>
            <x15:cachedUniqueName index="4002" name="[dane].[Nr zamówienia].&amp;[PL-2013-090281]"/>
            <x15:cachedUniqueName index="4003" name="[dane].[Nr zamówienia].&amp;[PL-2013-090282]"/>
            <x15:cachedUniqueName index="4004" name="[dane].[Nr zamówienia].&amp;[PL-2013-090286]"/>
            <x15:cachedUniqueName index="4005" name="[dane].[Nr zamówienia].&amp;[PL-2013-090287]"/>
            <x15:cachedUniqueName index="4006" name="[dane].[Nr zamówienia].&amp;[PL-2013-090288]"/>
            <x15:cachedUniqueName index="4007" name="[dane].[Nr zamówienia].&amp;[PL-2013-090293]"/>
            <x15:cachedUniqueName index="4008" name="[dane].[Nr zamówienia].&amp;[PL-2013-090297]"/>
            <x15:cachedUniqueName index="4009" name="[dane].[Nr zamówienia].&amp;[PL-2013-090298]"/>
            <x15:cachedUniqueName index="4010" name="[dane].[Nr zamówienia].&amp;[PL-2013-090299]"/>
            <x15:cachedUniqueName index="4011" name="[dane].[Nr zamówienia].&amp;[PL-2013-090312]"/>
            <x15:cachedUniqueName index="4012" name="[dane].[Nr zamówienia].&amp;[PL-2013-090317]"/>
            <x15:cachedUniqueName index="4013" name="[dane].[Nr zamówienia].&amp;[PL-2013-090325]"/>
            <x15:cachedUniqueName index="4014" name="[dane].[Nr zamówienia].&amp;[PL-2013-090330]"/>
            <x15:cachedUniqueName index="4015" name="[dane].[Nr zamówienia].&amp;[PL-2013-090331]"/>
            <x15:cachedUniqueName index="4016" name="[dane].[Nr zamówienia].&amp;[PL-2013-090344]"/>
            <x15:cachedUniqueName index="4017" name="[dane].[Nr zamówienia].&amp;[PL-2013-090345]"/>
            <x15:cachedUniqueName index="4018" name="[dane].[Nr zamówienia].&amp;[PL-2013-090356]"/>
            <x15:cachedUniqueName index="4019" name="[dane].[Nr zamówienia].&amp;[PL-2013-090357]"/>
            <x15:cachedUniqueName index="4020" name="[dane].[Nr zamówienia].&amp;[PL-2013-090365]"/>
            <x15:cachedUniqueName index="4021" name="[dane].[Nr zamówienia].&amp;[PL-2013-090366]"/>
            <x15:cachedUniqueName index="4022" name="[dane].[Nr zamówienia].&amp;[PL-2013-090368]"/>
            <x15:cachedUniqueName index="4023" name="[dane].[Nr zamówienia].&amp;[PL-2013-090369]"/>
            <x15:cachedUniqueName index="4024" name="[dane].[Nr zamówienia].&amp;[PL-2013-090370]"/>
            <x15:cachedUniqueName index="4025" name="[dane].[Nr zamówienia].&amp;[PL-2013-090374]"/>
            <x15:cachedUniqueName index="4026" name="[dane].[Nr zamówienia].&amp;[PL-2013-090375]"/>
            <x15:cachedUniqueName index="4027" name="[dane].[Nr zamówienia].&amp;[PL-2013-090376]"/>
            <x15:cachedUniqueName index="4028" name="[dane].[Nr zamówienia].&amp;[PL-2013-090380]"/>
            <x15:cachedUniqueName index="4029" name="[dane].[Nr zamówienia].&amp;[PL-2013-090381]"/>
            <x15:cachedUniqueName index="4030" name="[dane].[Nr zamówienia].&amp;[PL-2013-090382]"/>
            <x15:cachedUniqueName index="4031" name="[dane].[Nr zamówienia].&amp;[PL-2013-090391]"/>
            <x15:cachedUniqueName index="4032" name="[dane].[Nr zamówienia].&amp;[PL-2013-090392]"/>
            <x15:cachedUniqueName index="4033" name="[dane].[Nr zamówienia].&amp;[PL-2013-090393]"/>
            <x15:cachedUniqueName index="4034" name="[dane].[Nr zamówienia].&amp;[PL-2013-090394]"/>
            <x15:cachedUniqueName index="4035" name="[dane].[Nr zamówienia].&amp;[PL-2013-090395]"/>
            <x15:cachedUniqueName index="4036" name="[dane].[Nr zamówienia].&amp;[PL-2013-090396]"/>
            <x15:cachedUniqueName index="4037" name="[dane].[Nr zamówienia].&amp;[PL-2013-090412]"/>
            <x15:cachedUniqueName index="4038" name="[dane].[Nr zamówienia].&amp;[PL-2013-090413]"/>
            <x15:cachedUniqueName index="4039" name="[dane].[Nr zamówienia].&amp;[PL-2013-090419]"/>
            <x15:cachedUniqueName index="4040" name="[dane].[Nr zamówienia].&amp;[PL-2013-090423]"/>
            <x15:cachedUniqueName index="4041" name="[dane].[Nr zamówienia].&amp;[PL-2013-090424]"/>
            <x15:cachedUniqueName index="4042" name="[dane].[Nr zamówienia].&amp;[PL-2013-090425]"/>
            <x15:cachedUniqueName index="4043" name="[dane].[Nr zamówienia].&amp;[PL-2013-090441]"/>
            <x15:cachedUniqueName index="4044" name="[dane].[Nr zamówienia].&amp;[PL-2013-090442]"/>
            <x15:cachedUniqueName index="4045" name="[dane].[Nr zamówienia].&amp;[PL-2013-090445]"/>
            <x15:cachedUniqueName index="4046" name="[dane].[Nr zamówienia].&amp;[PL-2013-090446]"/>
            <x15:cachedUniqueName index="4047" name="[dane].[Nr zamówienia].&amp;[PL-2013-090450]"/>
            <x15:cachedUniqueName index="4048" name="[dane].[Nr zamówienia].&amp;[PL-2013-090451]"/>
            <x15:cachedUniqueName index="4049" name="[dane].[Nr zamówienia].&amp;[PL-2013-090454]"/>
            <x15:cachedUniqueName index="4050" name="[dane].[Nr zamówienia].&amp;[PL-2013-090455]"/>
            <x15:cachedUniqueName index="4051" name="[dane].[Nr zamówienia].&amp;[PL-2013-090456]"/>
            <x15:cachedUniqueName index="4052" name="[dane].[Nr zamówienia].&amp;[PL-2013-090457]"/>
            <x15:cachedUniqueName index="4053" name="[dane].[Nr zamówienia].&amp;[PL-2013-090464]"/>
            <x15:cachedUniqueName index="4054" name="[dane].[Nr zamówienia].&amp;[PL-2013-090465]"/>
            <x15:cachedUniqueName index="4055" name="[dane].[Nr zamówienia].&amp;[PL-2013-090472]"/>
            <x15:cachedUniqueName index="4056" name="[dane].[Nr zamówienia].&amp;[PL-2013-090476]"/>
            <x15:cachedUniqueName index="4057" name="[dane].[Nr zamówienia].&amp;[PL-2013-090483]"/>
            <x15:cachedUniqueName index="4058" name="[dane].[Nr zamówienia].&amp;[PL-2013-090495]"/>
            <x15:cachedUniqueName index="4059" name="[dane].[Nr zamówienia].&amp;[PL-2013-090496]"/>
            <x15:cachedUniqueName index="4060" name="[dane].[Nr zamówienia].&amp;[PL-2013-090497]"/>
            <x15:cachedUniqueName index="4061" name="[dane].[Nr zamówienia].&amp;[PL-2013-090504]"/>
            <x15:cachedUniqueName index="4062" name="[dane].[Nr zamówienia].&amp;[PL-2013-090505]"/>
            <x15:cachedUniqueName index="4063" name="[dane].[Nr zamówienia].&amp;[PL-2013-090506]"/>
            <x15:cachedUniqueName index="4064" name="[dane].[Nr zamówienia].&amp;[PL-2013-090507]"/>
            <x15:cachedUniqueName index="4065" name="[dane].[Nr zamówienia].&amp;[PL-2013-090508]"/>
            <x15:cachedUniqueName index="4066" name="[dane].[Nr zamówienia].&amp;[PL-2013-090518]"/>
            <x15:cachedUniqueName index="4067" name="[dane].[Nr zamówienia].&amp;[PL-2013-090527]"/>
            <x15:cachedUniqueName index="4068" name="[dane].[Nr zamówienia].&amp;[PL-2013-090534]"/>
            <x15:cachedUniqueName index="4069" name="[dane].[Nr zamówienia].&amp;[PL-2013-090545]"/>
            <x15:cachedUniqueName index="4070" name="[dane].[Nr zamówienia].&amp;[PL-2013-090546]"/>
            <x15:cachedUniqueName index="4071" name="[dane].[Nr zamówienia].&amp;[PL-2013-090547]"/>
            <x15:cachedUniqueName index="4072" name="[dane].[Nr zamówienia].&amp;[PL-2013-090548]"/>
            <x15:cachedUniqueName index="4073" name="[dane].[Nr zamówienia].&amp;[PL-2013-090560]"/>
            <x15:cachedUniqueName index="4074" name="[dane].[Nr zamówienia].&amp;[PL-2013-090561]"/>
            <x15:cachedUniqueName index="4075" name="[dane].[Nr zamówienia].&amp;[PL-2013-090562]"/>
            <x15:cachedUniqueName index="4076" name="[dane].[Nr zamówienia].&amp;[PL-2013-090572]"/>
            <x15:cachedUniqueName index="4077" name="[dane].[Nr zamówienia].&amp;[PL-2013-090573]"/>
            <x15:cachedUniqueName index="4078" name="[dane].[Nr zamówienia].&amp;[PL-2013-090591]"/>
            <x15:cachedUniqueName index="4079" name="[dane].[Nr zamówienia].&amp;[PL-2013-090592]"/>
            <x15:cachedUniqueName index="4080" name="[dane].[Nr zamówienia].&amp;[PL-2013-090603]"/>
            <x15:cachedUniqueName index="4081" name="[dane].[Nr zamówienia].&amp;[PL-2013-090604]"/>
            <x15:cachedUniqueName index="4082" name="[dane].[Nr zamówienia].&amp;[PL-2013-090610]"/>
            <x15:cachedUniqueName index="4083" name="[dane].[Nr zamówienia].&amp;[PL-2013-090611]"/>
            <x15:cachedUniqueName index="4084" name="[dane].[Nr zamówienia].&amp;[PL-2013-090635]"/>
            <x15:cachedUniqueName index="4085" name="[dane].[Nr zamówienia].&amp;[PL-2013-090636]"/>
            <x15:cachedUniqueName index="4086" name="[dane].[Nr zamówienia].&amp;[PL-2013-090637]"/>
            <x15:cachedUniqueName index="4087" name="[dane].[Nr zamówienia].&amp;[PL-2013-090643]"/>
            <x15:cachedUniqueName index="4088" name="[dane].[Nr zamówienia].&amp;[PL-2013-090647]"/>
            <x15:cachedUniqueName index="4089" name="[dane].[Nr zamówienia].&amp;[PL-2013-090656]"/>
            <x15:cachedUniqueName index="4090" name="[dane].[Nr zamówienia].&amp;[PL-2013-090666]"/>
            <x15:cachedUniqueName index="4091" name="[dane].[Nr zamówienia].&amp;[PL-2013-090670]"/>
            <x15:cachedUniqueName index="4092" name="[dane].[Nr zamówienia].&amp;[PL-2013-090671]"/>
            <x15:cachedUniqueName index="4093" name="[dane].[Nr zamówienia].&amp;[PL-2013-090677]"/>
            <x15:cachedUniqueName index="4094" name="[dane].[Nr zamówienia].&amp;[PL-2013-090686]"/>
            <x15:cachedUniqueName index="4095" name="[dane].[Nr zamówienia].&amp;[PL-2013-090687]"/>
            <x15:cachedUniqueName index="4096" name="[dane].[Nr zamówienia].&amp;[PL-2013-090698]"/>
            <x15:cachedUniqueName index="4097" name="[dane].[Nr zamówienia].&amp;[PL-2013-090699]"/>
            <x15:cachedUniqueName index="4098" name="[dane].[Nr zamówienia].&amp;[PL-2013-090700]"/>
            <x15:cachedUniqueName index="4099" name="[dane].[Nr zamówienia].&amp;[PL-2013-090701]"/>
            <x15:cachedUniqueName index="4100" name="[dane].[Nr zamówienia].&amp;[PL-2013-090708]"/>
            <x15:cachedUniqueName index="4101" name="[dane].[Nr zamówienia].&amp;[PL-2013-090712]"/>
            <x15:cachedUniqueName index="4102" name="[dane].[Nr zamówienia].&amp;[PL-2013-090713]"/>
            <x15:cachedUniqueName index="4103" name="[dane].[Nr zamówienia].&amp;[PL-2013-090719]"/>
            <x15:cachedUniqueName index="4104" name="[dane].[Nr zamówienia].&amp;[PL-2013-090720]"/>
            <x15:cachedUniqueName index="4105" name="[dane].[Nr zamówienia].&amp;[PL-2013-090721]"/>
            <x15:cachedUniqueName index="4106" name="[dane].[Nr zamówienia].&amp;[PL-2013-090737]"/>
            <x15:cachedUniqueName index="4107" name="[dane].[Nr zamówienia].&amp;[PL-2013-090742]"/>
            <x15:cachedUniqueName index="4108" name="[dane].[Nr zamówienia].&amp;[PL-2013-090743]"/>
            <x15:cachedUniqueName index="4109" name="[dane].[Nr zamówienia].&amp;[PL-2013-090747]"/>
            <x15:cachedUniqueName index="4110" name="[dane].[Nr zamówienia].&amp;[PL-2013-090748]"/>
            <x15:cachedUniqueName index="4111" name="[dane].[Nr zamówienia].&amp;[PL-2013-090754]"/>
            <x15:cachedUniqueName index="4112" name="[dane].[Nr zamówienia].&amp;[PL-2013-090755]"/>
            <x15:cachedUniqueName index="4113" name="[dane].[Nr zamówienia].&amp;[PL-2013-090756]"/>
            <x15:cachedUniqueName index="4114" name="[dane].[Nr zamówienia].&amp;[PL-2013-090757]"/>
            <x15:cachedUniqueName index="4115" name="[dane].[Nr zamówienia].&amp;[PL-2013-090758]"/>
            <x15:cachedUniqueName index="4116" name="[dane].[Nr zamówienia].&amp;[PL-2013-090763]"/>
            <x15:cachedUniqueName index="4117" name="[dane].[Nr zamówienia].&amp;[PL-2013-090764]"/>
            <x15:cachedUniqueName index="4118" name="[dane].[Nr zamówienia].&amp;[PL-2013-090769]"/>
            <x15:cachedUniqueName index="4119" name="[dane].[Nr zamówienia].&amp;[PL-2013-090783]"/>
            <x15:cachedUniqueName index="4120" name="[dane].[Nr zamówienia].&amp;[PL-2013-090792]"/>
            <x15:cachedUniqueName index="4121" name="[dane].[Nr zamówienia].&amp;[PL-2013-090798]"/>
            <x15:cachedUniqueName index="4122" name="[dane].[Nr zamówienia].&amp;[PL-2013-090799]"/>
            <x15:cachedUniqueName index="4123" name="[dane].[Nr zamówienia].&amp;[PL-2013-090802]"/>
            <x15:cachedUniqueName index="4124" name="[dane].[Nr zamówienia].&amp;[PL-2013-090803]"/>
            <x15:cachedUniqueName index="4125" name="[dane].[Nr zamówienia].&amp;[PL-2013-090804]"/>
            <x15:cachedUniqueName index="4126" name="[dane].[Nr zamówienia].&amp;[PL-2013-090810]"/>
            <x15:cachedUniqueName index="4127" name="[dane].[Nr zamówienia].&amp;[PL-2013-090828]"/>
            <x15:cachedUniqueName index="4128" name="[dane].[Nr zamówienia].&amp;[PL-2013-090834]"/>
            <x15:cachedUniqueName index="4129" name="[dane].[Nr zamówienia].&amp;[PL-2013-090839]"/>
            <x15:cachedUniqueName index="4130" name="[dane].[Nr zamówienia].&amp;[PL-2013-090840]"/>
            <x15:cachedUniqueName index="4131" name="[dane].[Nr zamówienia].&amp;[PL-2013-090841]"/>
            <x15:cachedUniqueName index="4132" name="[dane].[Nr zamówienia].&amp;[PL-2013-090852]"/>
            <x15:cachedUniqueName index="4133" name="[dane].[Nr zamówienia].&amp;[PL-2013-090858]"/>
            <x15:cachedUniqueName index="4134" name="[dane].[Nr zamówienia].&amp;[PL-2013-090862]"/>
            <x15:cachedUniqueName index="4135" name="[dane].[Nr zamówienia].&amp;[PL-2013-090863]"/>
            <x15:cachedUniqueName index="4136" name="[dane].[Nr zamówienia].&amp;[PL-2013-090868]"/>
            <x15:cachedUniqueName index="4137" name="[dane].[Nr zamówienia].&amp;[PL-2013-090869]"/>
            <x15:cachedUniqueName index="4138" name="[dane].[Nr zamówienia].&amp;[PL-2013-090870]"/>
            <x15:cachedUniqueName index="4139" name="[dane].[Nr zamówienia].&amp;[PL-2013-090878]"/>
            <x15:cachedUniqueName index="4140" name="[dane].[Nr zamówienia].&amp;[PL-2013-090883]"/>
            <x15:cachedUniqueName index="4141" name="[dane].[Nr zamówienia].&amp;[PL-2013-090890]"/>
            <x15:cachedUniqueName index="4142" name="[dane].[Nr zamówienia].&amp;[PL-2013-090893]"/>
            <x15:cachedUniqueName index="4143" name="[dane].[Nr zamówienia].&amp;[PL-2013-090894]"/>
            <x15:cachedUniqueName index="4144" name="[dane].[Nr zamówienia].&amp;[PL-2013-090901]"/>
            <x15:cachedUniqueName index="4145" name="[dane].[Nr zamówienia].&amp;[PL-2013-090912]"/>
            <x15:cachedUniqueName index="4146" name="[dane].[Nr zamówienia].&amp;[PL-2013-090913]"/>
            <x15:cachedUniqueName index="4147" name="[dane].[Nr zamówienia].&amp;[PL-2013-090919]"/>
            <x15:cachedUniqueName index="4148" name="[dane].[Nr zamówienia].&amp;[PL-2013-090920]"/>
            <x15:cachedUniqueName index="4149" name="[dane].[Nr zamówienia].&amp;[PL-2013-090923]"/>
            <x15:cachedUniqueName index="4150" name="[dane].[Nr zamówienia].&amp;[PL-2013-090924]"/>
            <x15:cachedUniqueName index="4151" name="[dane].[Nr zamówienia].&amp;[PL-2013-090928]"/>
            <x15:cachedUniqueName index="4152" name="[dane].[Nr zamówienia].&amp;[PL-2013-090937]"/>
            <x15:cachedUniqueName index="4153" name="[dane].[Nr zamówienia].&amp;[PL-2013-090949]"/>
            <x15:cachedUniqueName index="4154" name="[dane].[Nr zamówienia].&amp;[PL-2013-090953]"/>
            <x15:cachedUniqueName index="4155" name="[dane].[Nr zamówienia].&amp;[PL-2013-090954]"/>
            <x15:cachedUniqueName index="4156" name="[dane].[Nr zamówienia].&amp;[PL-2013-090955]"/>
            <x15:cachedUniqueName index="4157" name="[dane].[Nr zamówienia].&amp;[PL-2013-090956]"/>
            <x15:cachedUniqueName index="4158" name="[dane].[Nr zamówienia].&amp;[PL-2013-090957]"/>
            <x15:cachedUniqueName index="4159" name="[dane].[Nr zamówienia].&amp;[PL-2013-090968]"/>
            <x15:cachedUniqueName index="4160" name="[dane].[Nr zamówienia].&amp;[PL-2013-090979]"/>
            <x15:cachedUniqueName index="4161" name="[dane].[Nr zamówienia].&amp;[PL-2013-090980]"/>
            <x15:cachedUniqueName index="4162" name="[dane].[Nr zamówienia].&amp;[PL-2013-090991]"/>
            <x15:cachedUniqueName index="4163" name="[dane].[Nr zamówienia].&amp;[PL-2013-090992]"/>
            <x15:cachedUniqueName index="4164" name="[dane].[Nr zamówienia].&amp;[PL-2013-090996]"/>
            <x15:cachedUniqueName index="4165" name="[dane].[Nr zamówienia].&amp;[PL-2013-091002]"/>
            <x15:cachedUniqueName index="4166" name="[dane].[Nr zamówienia].&amp;[PL-2013-091008]"/>
            <x15:cachedUniqueName index="4167" name="[dane].[Nr zamówienia].&amp;[PL-2013-091012]"/>
            <x15:cachedUniqueName index="4168" name="[dane].[Nr zamówienia].&amp;[PL-2013-091013]"/>
            <x15:cachedUniqueName index="4169" name="[dane].[Nr zamówienia].&amp;[PL-2013-091020]"/>
            <x15:cachedUniqueName index="4170" name="[dane].[Nr zamówienia].&amp;[PL-2013-091021]"/>
            <x15:cachedUniqueName index="4171" name="[dane].[Nr zamówienia].&amp;[PL-2013-091027]"/>
            <x15:cachedUniqueName index="4172" name="[dane].[Nr zamówienia].&amp;[PL-2013-091039]"/>
            <x15:cachedUniqueName index="4173" name="[dane].[Nr zamówienia].&amp;[PL-2013-091046]"/>
            <x15:cachedUniqueName index="4174" name="[dane].[Nr zamówienia].&amp;[PL-2013-091047]"/>
            <x15:cachedUniqueName index="4175" name="[dane].[Nr zamówienia].&amp;[PL-2013-091070]"/>
            <x15:cachedUniqueName index="4176" name="[dane].[Nr zamówienia].&amp;[PL-2013-091071]"/>
            <x15:cachedUniqueName index="4177" name="[dane].[Nr zamówienia].&amp;[PL-2013-091075]"/>
            <x15:cachedUniqueName index="4178" name="[dane].[Nr zamówienia].&amp;[PL-2013-091082]"/>
            <x15:cachedUniqueName index="4179" name="[dane].[Nr zamówienia].&amp;[PL-2013-091083]"/>
            <x15:cachedUniqueName index="4180" name="[dane].[Nr zamówienia].&amp;[PL-2013-091093]"/>
            <x15:cachedUniqueName index="4181" name="[dane].[Nr zamówienia].&amp;[PL-2013-091094]"/>
            <x15:cachedUniqueName index="4182" name="[dane].[Nr zamówienia].&amp;[PL-2013-091095]"/>
            <x15:cachedUniqueName index="4183" name="[dane].[Nr zamówienia].&amp;[PL-2013-091103]"/>
            <x15:cachedUniqueName index="4184" name="[dane].[Nr zamówienia].&amp;[PL-2013-091104]"/>
            <x15:cachedUniqueName index="4185" name="[dane].[Nr zamówienia].&amp;[PL-2013-091117]"/>
            <x15:cachedUniqueName index="4186" name="[dane].[Nr zamówienia].&amp;[PL-2013-091118]"/>
            <x15:cachedUniqueName index="4187" name="[dane].[Nr zamówienia].&amp;[PL-2013-091119]"/>
            <x15:cachedUniqueName index="4188" name="[dane].[Nr zamówienia].&amp;[PL-2013-091124]"/>
            <x15:cachedUniqueName index="4189" name="[dane].[Nr zamówienia].&amp;[PL-2013-091125]"/>
            <x15:cachedUniqueName index="4190" name="[dane].[Nr zamówienia].&amp;[PL-2013-091126]"/>
            <x15:cachedUniqueName index="4191" name="[dane].[Nr zamówienia].&amp;[PL-2013-091129]"/>
            <x15:cachedUniqueName index="4192" name="[dane].[Nr zamówienia].&amp;[PL-2013-091134]"/>
            <x15:cachedUniqueName index="4193" name="[dane].[Nr zamówienia].&amp;[PL-2013-091141]"/>
            <x15:cachedUniqueName index="4194" name="[dane].[Nr zamówienia].&amp;[PL-2013-091146]"/>
            <x15:cachedUniqueName index="4195" name="[dane].[Nr zamówienia].&amp;[PL-2013-091147]"/>
            <x15:cachedUniqueName index="4196" name="[dane].[Nr zamówienia].&amp;[PL-2013-091148]"/>
            <x15:cachedUniqueName index="4197" name="[dane].[Nr zamówienia].&amp;[PL-2013-091154]"/>
            <x15:cachedUniqueName index="4198" name="[dane].[Nr zamówienia].&amp;[PL-2013-091155]"/>
            <x15:cachedUniqueName index="4199" name="[dane].[Nr zamówienia].&amp;[PL-2013-091156]"/>
            <x15:cachedUniqueName index="4200" name="[dane].[Nr zamówienia].&amp;[PL-2013-091161]"/>
            <x15:cachedUniqueName index="4201" name="[dane].[Nr zamówienia].&amp;[PL-2013-091162]"/>
            <x15:cachedUniqueName index="4202" name="[dane].[Nr zamówienia].&amp;[PL-2013-091164]"/>
            <x15:cachedUniqueName index="4203" name="[dane].[Nr zamówienia].&amp;[PL-2013-091169]"/>
            <x15:cachedUniqueName index="4204" name="[dane].[Nr zamówienia].&amp;[PL-2013-091170]"/>
            <x15:cachedUniqueName index="4205" name="[dane].[Nr zamówienia].&amp;[PL-2013-091177]"/>
            <x15:cachedUniqueName index="4206" name="[dane].[Nr zamówienia].&amp;[PL-2013-091184]"/>
            <x15:cachedUniqueName index="4207" name="[dane].[Nr zamówienia].&amp;[PL-2013-091189]"/>
            <x15:cachedUniqueName index="4208" name="[dane].[Nr zamówienia].&amp;[PL-2013-091202]"/>
            <x15:cachedUniqueName index="4209" name="[dane].[Nr zamówienia].&amp;[PL-2013-091203]"/>
            <x15:cachedUniqueName index="4210" name="[dane].[Nr zamówienia].&amp;[PL-2013-091204]"/>
            <x15:cachedUniqueName index="4211" name="[dane].[Nr zamówienia].&amp;[PL-2013-091205]"/>
            <x15:cachedUniqueName index="4212" name="[dane].[Nr zamówienia].&amp;[PL-2013-091222]"/>
            <x15:cachedUniqueName index="4213" name="[dane].[Nr zamówienia].&amp;[PL-2013-091223]"/>
            <x15:cachedUniqueName index="4214" name="[dane].[Nr zamówienia].&amp;[PL-2013-091225]"/>
            <x15:cachedUniqueName index="4215" name="[dane].[Nr zamówienia].&amp;[PL-2013-091231]"/>
            <x15:cachedUniqueName index="4216" name="[dane].[Nr zamówienia].&amp;[PL-2013-091232]"/>
            <x15:cachedUniqueName index="4217" name="[dane].[Nr zamówienia].&amp;[PL-2013-091247]"/>
            <x15:cachedUniqueName index="4218" name="[dane].[Nr zamówienia].&amp;[PL-2013-091248]"/>
            <x15:cachedUniqueName index="4219" name="[dane].[Nr zamówienia].&amp;[PL-2013-091249]"/>
            <x15:cachedUniqueName index="4220" name="[dane].[Nr zamówienia].&amp;[PL-2013-091253]"/>
            <x15:cachedUniqueName index="4221" name="[dane].[Nr zamówienia].&amp;[PL-2013-091254]"/>
            <x15:cachedUniqueName index="4222" name="[dane].[Nr zamówienia].&amp;[PL-2013-091256]"/>
            <x15:cachedUniqueName index="4223" name="[dane].[Nr zamówienia].&amp;[PL-2013-091264]"/>
            <x15:cachedUniqueName index="4224" name="[dane].[Nr zamówienia].&amp;[PL-2013-091266]"/>
            <x15:cachedUniqueName index="4225" name="[dane].[Nr zamówienia].&amp;[PL-2013-091267]"/>
            <x15:cachedUniqueName index="4226" name="[dane].[Nr zamówienia].&amp;[PL-2013-091273]"/>
            <x15:cachedUniqueName index="4227" name="[dane].[Nr zamówienia].&amp;[PL-2013-091274]"/>
            <x15:cachedUniqueName index="4228" name="[dane].[Nr zamówienia].&amp;[PL-2013-091282]"/>
            <x15:cachedUniqueName index="4229" name="[dane].[Nr zamówienia].&amp;[PL-2013-091283]"/>
            <x15:cachedUniqueName index="4230" name="[dane].[Nr zamówienia].&amp;[PL-2013-091290]"/>
            <x15:cachedUniqueName index="4231" name="[dane].[Nr zamówienia].&amp;[PL-2013-091291]"/>
            <x15:cachedUniqueName index="4232" name="[dane].[Nr zamówienia].&amp;[PL-2013-091292]"/>
            <x15:cachedUniqueName index="4233" name="[dane].[Nr zamówienia].&amp;[PL-2013-091295]"/>
            <x15:cachedUniqueName index="4234" name="[dane].[Nr zamówienia].&amp;[PL-2013-091309]"/>
            <x15:cachedUniqueName index="4235" name="[dane].[Nr zamówienia].&amp;[PL-2013-091312]"/>
            <x15:cachedUniqueName index="4236" name="[dane].[Nr zamówienia].&amp;[PL-2013-091314]"/>
            <x15:cachedUniqueName index="4237" name="[dane].[Nr zamówienia].&amp;[PL-2013-091315]"/>
            <x15:cachedUniqueName index="4238" name="[dane].[Nr zamówienia].&amp;[PL-2013-091319]"/>
            <x15:cachedUniqueName index="4239" name="[dane].[Nr zamówienia].&amp;[PL-2013-091333]"/>
            <x15:cachedUniqueName index="4240" name="[dane].[Nr zamówienia].&amp;[PL-2013-091334]"/>
            <x15:cachedUniqueName index="4241" name="[dane].[Nr zamówienia].&amp;[PL-2013-091337]"/>
            <x15:cachedUniqueName index="4242" name="[dane].[Nr zamówienia].&amp;[PL-2013-091340]"/>
            <x15:cachedUniqueName index="4243" name="[dane].[Nr zamówienia].&amp;[PL-2013-091341]"/>
            <x15:cachedUniqueName index="4244" name="[dane].[Nr zamówienia].&amp;[PL-2013-091346]"/>
            <x15:cachedUniqueName index="4245" name="[dane].[Nr zamówienia].&amp;[PL-2013-091347]"/>
            <x15:cachedUniqueName index="4246" name="[dane].[Nr zamówienia].&amp;[PL-2013-091348]"/>
            <x15:cachedUniqueName index="4247" name="[dane].[Nr zamówienia].&amp;[PL-2013-091352]"/>
            <x15:cachedUniqueName index="4248" name="[dane].[Nr zamówienia].&amp;[PL-2013-091353]"/>
            <x15:cachedUniqueName index="4249" name="[dane].[Nr zamówienia].&amp;[PL-2013-091357]"/>
            <x15:cachedUniqueName index="4250" name="[dane].[Nr zamówienia].&amp;[PL-2013-091364]"/>
            <x15:cachedUniqueName index="4251" name="[dane].[Nr zamówienia].&amp;[PL-2013-091369]"/>
            <x15:cachedUniqueName index="4252" name="[dane].[Nr zamówienia].&amp;[PL-2013-091374]"/>
            <x15:cachedUniqueName index="4253" name="[dane].[Nr zamówienia].&amp;[PL-2013-091375]"/>
            <x15:cachedUniqueName index="4254" name="[dane].[Nr zamówienia].&amp;[PL-2013-091392]"/>
            <x15:cachedUniqueName index="4255" name="[dane].[Nr zamówienia].&amp;[PL-2013-091393]"/>
            <x15:cachedUniqueName index="4256" name="[dane].[Nr zamówienia].&amp;[PL-2013-091394]"/>
            <x15:cachedUniqueName index="4257" name="[dane].[Nr zamówienia].&amp;[PL-2013-091395]"/>
            <x15:cachedUniqueName index="4258" name="[dane].[Nr zamówienia].&amp;[PL-2013-091400]"/>
            <x15:cachedUniqueName index="4259" name="[dane].[Nr zamówienia].&amp;[PL-2013-091401]"/>
            <x15:cachedUniqueName index="4260" name="[dane].[Nr zamówienia].&amp;[PL-2013-091403]"/>
            <x15:cachedUniqueName index="4261" name="[dane].[Nr zamówienia].&amp;[PL-2013-091404]"/>
            <x15:cachedUniqueName index="4262" name="[dane].[Nr zamówienia].&amp;[PL-2013-091410]"/>
            <x15:cachedUniqueName index="4263" name="[dane].[Nr zamówienia].&amp;[PL-2013-091411]"/>
            <x15:cachedUniqueName index="4264" name="[dane].[Nr zamówienia].&amp;[PL-2013-091418]"/>
            <x15:cachedUniqueName index="4265" name="[dane].[Nr zamówienia].&amp;[PL-2013-091422]"/>
            <x15:cachedUniqueName index="4266" name="[dane].[Nr zamówienia].&amp;[PL-2013-091426]"/>
            <x15:cachedUniqueName index="4267" name="[dane].[Nr zamówienia].&amp;[PL-2013-091440]"/>
            <x15:cachedUniqueName index="4268" name="[dane].[Nr zamówienia].&amp;[PL-2013-091441]"/>
            <x15:cachedUniqueName index="4269" name="[dane].[Nr zamówienia].&amp;[PL-2013-091445]"/>
            <x15:cachedUniqueName index="4270" name="[dane].[Nr zamówienia].&amp;[PL-2013-091452]"/>
            <x15:cachedUniqueName index="4271" name="[dane].[Nr zamówienia].&amp;[PL-2013-091455]"/>
            <x15:cachedUniqueName index="4272" name="[dane].[Nr zamówienia].&amp;[PL-2013-091460]"/>
            <x15:cachedUniqueName index="4273" name="[dane].[Nr zamówienia].&amp;[PL-2013-091463]"/>
            <x15:cachedUniqueName index="4274" name="[dane].[Nr zamówienia].&amp;[PL-2013-091469]"/>
            <x15:cachedUniqueName index="4275" name="[dane].[Nr zamówienia].&amp;[PL-2013-091483]"/>
            <x15:cachedUniqueName index="4276" name="[dane].[Nr zamówienia].&amp;[PL-2013-091484]"/>
            <x15:cachedUniqueName index="4277" name="[dane].[Nr zamówienia].&amp;[PL-2013-091493]"/>
            <x15:cachedUniqueName index="4278" name="[dane].[Nr zamówienia].&amp;[PL-2013-091494]"/>
            <x15:cachedUniqueName index="4279" name="[dane].[Nr zamówienia].&amp;[PL-2013-091497]"/>
            <x15:cachedUniqueName index="4280" name="[dane].[Nr zamówienia].&amp;[PL-2013-091498]"/>
            <x15:cachedUniqueName index="4281" name="[dane].[Nr zamówienia].&amp;[PL-2013-091499]"/>
            <x15:cachedUniqueName index="4282" name="[dane].[Nr zamówienia].&amp;[PL-2013-091503]"/>
            <x15:cachedUniqueName index="4283" name="[dane].[Nr zamówienia].&amp;[PL-2013-091504]"/>
            <x15:cachedUniqueName index="4284" name="[dane].[Nr zamówienia].&amp;[PL-2013-091505]"/>
            <x15:cachedUniqueName index="4285" name="[dane].[Nr zamówienia].&amp;[PL-2013-091508]"/>
            <x15:cachedUniqueName index="4286" name="[dane].[Nr zamówienia].&amp;[PL-2013-091509]"/>
            <x15:cachedUniqueName index="4287" name="[dane].[Nr zamówienia].&amp;[PL-2013-091510]"/>
            <x15:cachedUniqueName index="4288" name="[dane].[Nr zamówienia].&amp;[PL-2013-091516]"/>
            <x15:cachedUniqueName index="4289" name="[dane].[Nr zamówienia].&amp;[PL-2013-091526]"/>
            <x15:cachedUniqueName index="4290" name="[dane].[Nr zamówienia].&amp;[PL-2013-091527]"/>
            <x15:cachedUniqueName index="4291" name="[dane].[Nr zamówienia].&amp;[PL-2013-091534]"/>
            <x15:cachedUniqueName index="4292" name="[dane].[Nr zamówienia].&amp;[PL-2013-091539]"/>
            <x15:cachedUniqueName index="4293" name="[dane].[Nr zamówienia].&amp;[PL-2013-091540]"/>
            <x15:cachedUniqueName index="4294" name="[dane].[Nr zamówienia].&amp;[PL-2013-091541]"/>
            <x15:cachedUniqueName index="4295" name="[dane].[Nr zamówienia].&amp;[PL-2013-091544]"/>
            <x15:cachedUniqueName index="4296" name="[dane].[Nr zamówienia].&amp;[PL-2013-091552]"/>
            <x15:cachedUniqueName index="4297" name="[dane].[Nr zamówienia].&amp;[PL-2013-091561]"/>
            <x15:cachedUniqueName index="4298" name="[dane].[Nr zamówienia].&amp;[PL-2013-091569]"/>
            <x15:cachedUniqueName index="4299" name="[dane].[Nr zamówienia].&amp;[PL-2013-091570]"/>
            <x15:cachedUniqueName index="4300" name="[dane].[Nr zamówienia].&amp;[PL-2013-091572]"/>
            <x15:cachedUniqueName index="4301" name="[dane].[Nr zamówienia].&amp;[PL-2013-091578]"/>
            <x15:cachedUniqueName index="4302" name="[dane].[Nr zamówienia].&amp;[PL-2013-091579]"/>
            <x15:cachedUniqueName index="4303" name="[dane].[Nr zamówienia].&amp;[PL-2013-091580]"/>
            <x15:cachedUniqueName index="4304" name="[dane].[Nr zamówienia].&amp;[PL-2013-091582]"/>
            <x15:cachedUniqueName index="4305" name="[dane].[Nr zamówienia].&amp;[PL-2013-091585]"/>
            <x15:cachedUniqueName index="4306" name="[dane].[Nr zamówienia].&amp;[PL-2014-000006]"/>
            <x15:cachedUniqueName index="4307" name="[dane].[Nr zamówienia].&amp;[PL-2014-000322]"/>
            <x15:cachedUniqueName index="4308" name="[dane].[Nr zamówienia].&amp;[PL-2014-000388]"/>
            <x15:cachedUniqueName index="4309" name="[dane].[Nr zamówienia].&amp;[PL-2014-000612]"/>
            <x15:cachedUniqueName index="4310" name="[dane].[Nr zamówienia].&amp;[PL-2014-001447]"/>
            <x15:cachedUniqueName index="4311" name="[dane].[Nr zamówienia].&amp;[PL-2014-001537]"/>
            <x15:cachedUniqueName index="4312" name="[dane].[Nr zamówienia].&amp;[PL-2014-001793]"/>
            <x15:cachedUniqueName index="4313" name="[dane].[Nr zamówienia].&amp;[PL-2014-001829]"/>
            <x15:cachedUniqueName index="4314" name="[dane].[Nr zamówienia].&amp;[PL-2014-001856]"/>
            <x15:cachedUniqueName index="4315" name="[dane].[Nr zamówienia].&amp;[PL-2014-002209]"/>
            <x15:cachedUniqueName index="4316" name="[dane].[Nr zamówienia].&amp;[PL-2014-002497]"/>
            <x15:cachedUniqueName index="4317" name="[dane].[Nr zamówienia].&amp;[PL-2014-003136]"/>
            <x15:cachedUniqueName index="4318" name="[dane].[Nr zamówienia].&amp;[PL-2014-003524]"/>
            <x15:cachedUniqueName index="4319" name="[dane].[Nr zamówienia].&amp;[PL-2014-003585]"/>
            <x15:cachedUniqueName index="4320" name="[dane].[Nr zamówienia].&amp;[PL-2014-003621]"/>
            <x15:cachedUniqueName index="4321" name="[dane].[Nr zamówienia].&amp;[PL-2014-003685]"/>
            <x15:cachedUniqueName index="4322" name="[dane].[Nr zamówienia].&amp;[PL-2014-003841]"/>
            <x15:cachedUniqueName index="4323" name="[dane].[Nr zamówienia].&amp;[PL-2014-004294]"/>
            <x15:cachedUniqueName index="4324" name="[dane].[Nr zamówienia].&amp;[PL-2014-004674]"/>
            <x15:cachedUniqueName index="4325" name="[dane].[Nr zamówienia].&amp;[PL-2014-004771]"/>
            <x15:cachedUniqueName index="4326" name="[dane].[Nr zamówienia].&amp;[PL-2014-005441]"/>
            <x15:cachedUniqueName index="4327" name="[dane].[Nr zamówienia].&amp;[PL-2014-005504]"/>
            <x15:cachedUniqueName index="4328" name="[dane].[Nr zamówienia].&amp;[PL-2014-005890]"/>
            <x15:cachedUniqueName index="4329" name="[dane].[Nr zamówienia].&amp;[PL-2014-005984]"/>
            <x15:cachedUniqueName index="4330" name="[dane].[Nr zamówienia].&amp;[PL-2014-005986]"/>
            <x15:cachedUniqueName index="4331" name="[dane].[Nr zamówienia].&amp;[PL-2014-006950]"/>
            <x15:cachedUniqueName index="4332" name="[dane].[Nr zamówienia].&amp;[PL-2014-007042]"/>
            <x15:cachedUniqueName index="4333" name="[dane].[Nr zamówienia].&amp;[PL-2014-007107]"/>
            <x15:cachedUniqueName index="4334" name="[dane].[Nr zamówienia].&amp;[PL-2014-007203]"/>
            <x15:cachedUniqueName index="4335" name="[dane].[Nr zamówienia].&amp;[PL-2014-007751]"/>
            <x15:cachedUniqueName index="4336" name="[dane].[Nr zamówienia].&amp;[PL-2014-008257]"/>
            <x15:cachedUniqueName index="4337" name="[dane].[Nr zamówienia].&amp;[PL-2014-008353]"/>
            <x15:cachedUniqueName index="4338" name="[dane].[Nr zamówienia].&amp;[PL-2014-008833]"/>
            <x15:cachedUniqueName index="4339" name="[dane].[Nr zamówienia].&amp;[PL-2014-009409]"/>
            <x15:cachedUniqueName index="4340" name="[dane].[Nr zamówienia].&amp;[PL-2014-009476]"/>
            <x15:cachedUniqueName index="4341" name="[dane].[Nr zamówienia].&amp;[PL-2014-009894]"/>
            <x15:cachedUniqueName index="4342" name="[dane].[Nr zamówienia].&amp;[PL-2014-010435]"/>
            <x15:cachedUniqueName index="4343" name="[dane].[Nr zamówienia].&amp;[PL-2014-010470]"/>
            <x15:cachedUniqueName index="4344" name="[dane].[Nr zamówienia].&amp;[PL-2014-010567]"/>
            <x15:cachedUniqueName index="4345" name="[dane].[Nr zamówienia].&amp;[PL-2014-010624]"/>
            <x15:cachedUniqueName index="4346" name="[dane].[Nr zamówienia].&amp;[PL-2014-010949]"/>
            <x15:cachedUniqueName index="4347" name="[dane].[Nr zamówienia].&amp;[PL-2014-010982]"/>
            <x15:cachedUniqueName index="4348" name="[dane].[Nr zamówienia].&amp;[PL-2014-011683]"/>
            <x15:cachedUniqueName index="4349" name="[dane].[Nr zamówienia].&amp;[PL-2014-011808]"/>
            <x15:cachedUniqueName index="4350" name="[dane].[Nr zamówienia].&amp;[PL-2014-011874]"/>
            <x15:cachedUniqueName index="4351" name="[dane].[Nr zamówienia].&amp;[PL-2014-012129]"/>
            <x15:cachedUniqueName index="4352" name="[dane].[Nr zamówienia].&amp;[PL-2014-012256]"/>
            <x15:cachedUniqueName index="4353" name="[dane].[Nr zamówienia].&amp;[PL-2014-012804]"/>
            <x15:cachedUniqueName index="4354" name="[dane].[Nr zamówienia].&amp;[PL-2014-013284]"/>
            <x15:cachedUniqueName index="4355" name="[dane].[Nr zamówienia].&amp;[PL-2014-013383]"/>
            <x15:cachedUniqueName index="4356" name="[dane].[Nr zamówienia].&amp;[PL-2014-013444]"/>
            <x15:cachedUniqueName index="4357" name="[dane].[Nr zamówienia].&amp;[PL-2014-013507]"/>
            <x15:cachedUniqueName index="4358" name="[dane].[Nr zamówienia].&amp;[PL-2014-013570]"/>
            <x15:cachedUniqueName index="4359" name="[dane].[Nr zamówienia].&amp;[PL-2014-013601]"/>
            <x15:cachedUniqueName index="4360" name="[dane].[Nr zamówienia].&amp;[PL-2014-013984]"/>
            <x15:cachedUniqueName index="4361" name="[dane].[Nr zamówienia].&amp;[PL-2014-013988]"/>
            <x15:cachedUniqueName index="4362" name="[dane].[Nr zamówienia].&amp;[PL-2014-014115]"/>
            <x15:cachedUniqueName index="4363" name="[dane].[Nr zamówienia].&amp;[PL-2014-014241]"/>
            <x15:cachedUniqueName index="4364" name="[dane].[Nr zamówienia].&amp;[PL-2014-014630]"/>
            <x15:cachedUniqueName index="4365" name="[dane].[Nr zamówienia].&amp;[PL-2014-014784]"/>
            <x15:cachedUniqueName index="4366" name="[dane].[Nr zamówienia].&amp;[PL-2014-014916]"/>
            <x15:cachedUniqueName index="4367" name="[dane].[Nr zamówienia].&amp;[PL-2014-016098]"/>
            <x15:cachedUniqueName index="4368" name="[dane].[Nr zamówienia].&amp;[PL-2014-016480]"/>
            <x15:cachedUniqueName index="4369" name="[dane].[Nr zamówienia].&amp;[PL-2014-016772]"/>
            <x15:cachedUniqueName index="4370" name="[dane].[Nr zamówienia].&amp;[PL-2014-016806]"/>
            <x15:cachedUniqueName index="4371" name="[dane].[Nr zamówienia].&amp;[PL-2014-016897]"/>
            <x15:cachedUniqueName index="4372" name="[dane].[Nr zamówienia].&amp;[PL-2014-017155]"/>
            <x15:cachedUniqueName index="4373" name="[dane].[Nr zamówienia].&amp;[PL-2014-017216]"/>
            <x15:cachedUniqueName index="4374" name="[dane].[Nr zamówienia].&amp;[PL-2014-017317]"/>
            <x15:cachedUniqueName index="4375" name="[dane].[Nr zamówienia].&amp;[PL-2014-018341]"/>
            <x15:cachedUniqueName index="4376" name="[dane].[Nr zamówienia].&amp;[PL-2014-018373]"/>
            <x15:cachedUniqueName index="4377" name="[dane].[Nr zamówienia].&amp;[PL-2014-018596]"/>
            <x15:cachedUniqueName index="4378" name="[dane].[Nr zamówienia].&amp;[PL-2014-018790]"/>
            <x15:cachedUniqueName index="4379" name="[dane].[Nr zamówienia].&amp;[PL-2014-018917]"/>
            <x15:cachedUniqueName index="4380" name="[dane].[Nr zamówienia].&amp;[PL-2014-018945]"/>
            <x15:cachedUniqueName index="4381" name="[dane].[Nr zamówienia].&amp;[PL-2014-018950]"/>
            <x15:cachedUniqueName index="4382" name="[dane].[Nr zamówienia].&amp;[PL-2014-019332]"/>
            <x15:cachedUniqueName index="4383" name="[dane].[Nr zamówienia].&amp;[PL-2014-019394]"/>
            <x15:cachedUniqueName index="4384" name="[dane].[Nr zamówienia].&amp;[PL-2014-019429]"/>
            <x15:cachedUniqueName index="4385" name="[dane].[Nr zamówienia].&amp;[PL-2014-019936]"/>
            <x15:cachedUniqueName index="4386" name="[dane].[Nr zamówienia].&amp;[PL-2014-020261]"/>
            <x15:cachedUniqueName index="4387" name="[dane].[Nr zamówienia].&amp;[PL-2014-020807]"/>
            <x15:cachedUniqueName index="4388" name="[dane].[Nr zamówienia].&amp;[PL-2014-021249]"/>
            <x15:cachedUniqueName index="4389" name="[dane].[Nr zamówienia].&amp;[PL-2014-021539]"/>
            <x15:cachedUniqueName index="4390" name="[dane].[Nr zamówienia].&amp;[PL-2014-022115]"/>
            <x15:cachedUniqueName index="4391" name="[dane].[Nr zamówienia].&amp;[PL-2014-022755]"/>
            <x15:cachedUniqueName index="4392" name="[dane].[Nr zamówienia].&amp;[PL-2014-022885]"/>
            <x15:cachedUniqueName index="4393" name="[dane].[Nr zamówienia].&amp;[PL-2014-023140]"/>
            <x15:cachedUniqueName index="4394" name="[dane].[Nr zamówienia].&amp;[PL-2014-023172]"/>
            <x15:cachedUniqueName index="4395" name="[dane].[Nr zamówienia].&amp;[PL-2014-024455]"/>
            <x15:cachedUniqueName index="4396" name="[dane].[Nr zamówienia].&amp;[PL-2014-024993]"/>
            <x15:cachedUniqueName index="4397" name="[dane].[Nr zamówienia].&amp;[PL-2014-025473]"/>
            <x15:cachedUniqueName index="4398" name="[dane].[Nr zamówienia].&amp;[PL-2014-025569]"/>
            <x15:cachedUniqueName index="4399" name="[dane].[Nr zamówienia].&amp;[PL-2014-026021]"/>
            <x15:cachedUniqueName index="4400" name="[dane].[Nr zamówienia].&amp;[PL-2014-026274]"/>
            <x15:cachedUniqueName index="4401" name="[dane].[Nr zamówienia].&amp;[PL-2014-026660]"/>
            <x15:cachedUniqueName index="4402" name="[dane].[Nr zamówienia].&amp;[PL-2014-026756]"/>
            <x15:cachedUniqueName index="4403" name="[dane].[Nr zamówienia].&amp;[PL-2014-026784]"/>
            <x15:cachedUniqueName index="4404" name="[dane].[Nr zamówienia].&amp;[PL-2014-026818]"/>
            <x15:cachedUniqueName index="4405" name="[dane].[Nr zamówienia].&amp;[PL-2014-026981]"/>
            <x15:cachedUniqueName index="4406" name="[dane].[Nr zamówienia].&amp;[PL-2014-027138]"/>
            <x15:cachedUniqueName index="4407" name="[dane].[Nr zamówienia].&amp;[PL-2014-027265]"/>
            <x15:cachedUniqueName index="4408" name="[dane].[Nr zamówienia].&amp;[PL-2014-027616]"/>
            <x15:cachedUniqueName index="4409" name="[dane].[Nr zamówienia].&amp;[PL-2014-027841]"/>
            <x15:cachedUniqueName index="4410" name="[dane].[Nr zamówienia].&amp;[PL-2014-028453]"/>
            <x15:cachedUniqueName index="4411" name="[dane].[Nr zamówienia].&amp;[PL-2014-028482]"/>
            <x15:cachedUniqueName index="4412" name="[dane].[Nr zamówienia].&amp;[PL-2014-028582]"/>
            <x15:cachedUniqueName index="4413" name="[dane].[Nr zamówienia].&amp;[PL-2014-028868]"/>
            <x15:cachedUniqueName index="4414" name="[dane].[Nr zamówienia].&amp;[PL-2014-029090]"/>
            <x15:cachedUniqueName index="4415" name="[dane].[Nr zamówienia].&amp;[PL-2014-029350]"/>
            <x15:cachedUniqueName index="4416" name="[dane].[Nr zamówienia].&amp;[PL-2014-029507]"/>
            <x15:cachedUniqueName index="4417" name="[dane].[Nr zamówienia].&amp;[PL-2014-029537]"/>
            <x15:cachedUniqueName index="4418" name="[dane].[Nr zamówienia].&amp;[PL-2014-029671]"/>
            <x15:cachedUniqueName index="4419" name="[dane].[Nr zamówienia].&amp;[PL-2014-029764]"/>
            <x15:cachedUniqueName index="4420" name="[dane].[Nr zamówienia].&amp;[PL-2014-029985]"/>
            <x15:cachedUniqueName index="4421" name="[dane].[Nr zamówienia].&amp;[PL-2014-030375]"/>
            <x15:cachedUniqueName index="4422" name="[dane].[Nr zamówienia].&amp;[PL-2014-030660]"/>
            <x15:cachedUniqueName index="4423" name="[dane].[Nr zamówienia].&amp;[PL-2014-030784]"/>
            <x15:cachedUniqueName index="4424" name="[dane].[Nr zamówienia].&amp;[PL-2014-030883]"/>
            <x15:cachedUniqueName index="4425" name="[dane].[Nr zamówienia].&amp;[PL-2014-031171]"/>
            <x15:cachedUniqueName index="4426" name="[dane].[Nr zamówienia].&amp;[PL-2014-031173]"/>
            <x15:cachedUniqueName index="4427" name="[dane].[Nr zamówienia].&amp;[PL-2014-031523]"/>
            <x15:cachedUniqueName index="4428" name="[dane].[Nr zamówienia].&amp;[PL-2014-031681]"/>
            <x15:cachedUniqueName index="4429" name="[dane].[Nr zamówienia].&amp;[PL-2014-031877]"/>
            <x15:cachedUniqueName index="4430" name="[dane].[Nr zamówienia].&amp;[PL-2014-032230]"/>
            <x15:cachedUniqueName index="4431" name="[dane].[Nr zamówienia].&amp;[PL-2014-032292]"/>
            <x15:cachedUniqueName index="4432" name="[dane].[Nr zamówienia].&amp;[PL-2014-032325]"/>
            <x15:cachedUniqueName index="4433" name="[dane].[Nr zamówienia].&amp;[PL-2014-032804]"/>
            <x15:cachedUniqueName index="4434" name="[dane].[Nr zamówienia].&amp;[PL-2014-032869]"/>
            <x15:cachedUniqueName index="4435" name="[dane].[Nr zamówienia].&amp;[PL-2014-033222]"/>
            <x15:cachedUniqueName index="4436" name="[dane].[Nr zamówienia].&amp;[PL-2014-033477]"/>
            <x15:cachedUniqueName index="4437" name="[dane].[Nr zamówienia].&amp;[PL-2014-033605]"/>
            <x15:cachedUniqueName index="4438" name="[dane].[Nr zamówienia].&amp;[PL-2014-033732]"/>
            <x15:cachedUniqueName index="4439" name="[dane].[Nr zamówienia].&amp;[PL-2014-033959]"/>
            <x15:cachedUniqueName index="4440" name="[dane].[Nr zamówienia].&amp;[PL-2014-034086]"/>
            <x15:cachedUniqueName index="4441" name="[dane].[Nr zamówienia].&amp;[PL-2014-034400]"/>
            <x15:cachedUniqueName index="4442" name="[dane].[Nr zamówienia].&amp;[PL-2014-035045]"/>
            <x15:cachedUniqueName index="4443" name="[dane].[Nr zamówienia].&amp;[PL-2014-035712]"/>
            <x15:cachedUniqueName index="4444" name="[dane].[Nr zamówienia].&amp;[PL-2014-035842]"/>
            <x15:cachedUniqueName index="4445" name="[dane].[Nr zamówienia].&amp;[PL-2014-036038]"/>
            <x15:cachedUniqueName index="4446" name="[dane].[Nr zamówienia].&amp;[PL-2014-036069]"/>
            <x15:cachedUniqueName index="4447" name="[dane].[Nr zamówienia].&amp;[PL-2014-036099]"/>
            <x15:cachedUniqueName index="4448" name="[dane].[Nr zamówienia].&amp;[PL-2014-036743]"/>
            <x15:cachedUniqueName index="4449" name="[dane].[Nr zamówienia].&amp;[PL-2014-037063]"/>
            <x15:cachedUniqueName index="4450" name="[dane].[Nr zamówienia].&amp;[PL-2014-037188]"/>
            <x15:cachedUniqueName index="4451" name="[dane].[Nr zamówienia].&amp;[PL-2014-037700]"/>
            <x15:cachedUniqueName index="4452" name="[dane].[Nr zamówienia].&amp;[PL-2014-037760]"/>
            <x15:cachedUniqueName index="4453" name="[dane].[Nr zamówienia].&amp;[PL-2014-037859]"/>
            <x15:cachedUniqueName index="4454" name="[dane].[Nr zamówienia].&amp;[PL-2014-037895]"/>
            <x15:cachedUniqueName index="4455" name="[dane].[Nr zamówienia].&amp;[PL-2014-037987]"/>
            <x15:cachedUniqueName index="4456" name="[dane].[Nr zamówienia].&amp;[PL-2014-038853]"/>
            <x15:cachedUniqueName index="4457" name="[dane].[Nr zamówienia].&amp;[PL-2014-038912]"/>
            <x15:cachedUniqueName index="4458" name="[dane].[Nr zamówienia].&amp;[PL-2014-039300]"/>
            <x15:cachedUniqueName index="4459" name="[dane].[Nr zamówienia].&amp;[PL-2014-039399]"/>
            <x15:cachedUniqueName index="4460" name="[dane].[Nr zamówienia].&amp;[PL-2014-039490]"/>
            <x15:cachedUniqueName index="4461" name="[dane].[Nr zamówienia].&amp;[PL-2014-039654]"/>
            <x15:cachedUniqueName index="4462" name="[dane].[Nr zamówienia].&amp;[PL-2014-039686]"/>
            <x15:cachedUniqueName index="4463" name="[dane].[Nr zamówienia].&amp;[PL-2014-039972]"/>
            <x15:cachedUniqueName index="4464" name="[dane].[Nr zamówienia].&amp;[PL-2014-040194]"/>
            <x15:cachedUniqueName index="4465" name="[dane].[Nr zamówienia].&amp;[PL-2014-040672]"/>
            <x15:cachedUniqueName index="4466" name="[dane].[Nr zamówienia].&amp;[PL-2014-040997]"/>
            <x15:cachedUniqueName index="4467" name="[dane].[Nr zamówienia].&amp;[PL-2014-041063]"/>
            <x15:cachedUniqueName index="4468" name="[dane].[Nr zamówienia].&amp;[PL-2014-041441]"/>
            <x15:cachedUniqueName index="4469" name="[dane].[Nr zamówienia].&amp;[PL-2014-041604]"/>
            <x15:cachedUniqueName index="4470" name="[dane].[Nr zamówienia].&amp;[PL-2014-041636]"/>
            <x15:cachedUniqueName index="4471" name="[dane].[Nr zamówienia].&amp;[PL-2014-041760]"/>
            <x15:cachedUniqueName index="4472" name="[dane].[Nr zamówienia].&amp;[PL-2014-041831]"/>
            <x15:cachedUniqueName index="4473" name="[dane].[Nr zamówienia].&amp;[PL-2014-042054]"/>
            <x15:cachedUniqueName index="4474" name="[dane].[Nr zamówienia].&amp;[PL-2014-042369]"/>
            <x15:cachedUniqueName index="4475" name="[dane].[Nr zamówienia].&amp;[PL-2014-042722]"/>
            <x15:cachedUniqueName index="4476" name="[dane].[Nr zamówienia].&amp;[PL-2014-042823]"/>
            <x15:cachedUniqueName index="4477" name="[dane].[Nr zamówienia].&amp;[PL-2014-042848]"/>
            <x15:cachedUniqueName index="4478" name="[dane].[Nr zamówienia].&amp;[PL-2014-042944]"/>
            <x15:cachedUniqueName index="4479" name="[dane].[Nr zamówienia].&amp;[PL-2014-042982]"/>
            <x15:cachedUniqueName index="4480" name="[dane].[Nr zamówienia].&amp;[PL-2014-043330]"/>
            <x15:cachedUniqueName index="4481" name="[dane].[Nr zamówienia].&amp;[PL-2014-043523]"/>
            <x15:cachedUniqueName index="4482" name="[dane].[Nr zamówienia].&amp;[PL-2014-043713]"/>
            <x15:cachedUniqueName index="4483" name="[dane].[Nr zamówienia].&amp;[PL-2014-043745]"/>
            <x15:cachedUniqueName index="4484" name="[dane].[Nr zamówienia].&amp;[PL-2014-044099]"/>
            <x15:cachedUniqueName index="4485" name="[dane].[Nr zamówienia].&amp;[PL-2014-044231]"/>
            <x15:cachedUniqueName index="4486" name="[dane].[Nr zamówienia].&amp;[PL-2014-044295]"/>
            <x15:cachedUniqueName index="4487" name="[dane].[Nr zamówienia].&amp;[PL-2014-044647]"/>
            <x15:cachedUniqueName index="4488" name="[dane].[Nr zamówienia].&amp;[PL-2014-044737]"/>
            <x15:cachedUniqueName index="4489" name="[dane].[Nr zamówienia].&amp;[PL-2014-045413]"/>
            <x15:cachedUniqueName index="4490" name="[dane].[Nr zamówienia].&amp;[PL-2014-045476]"/>
            <x15:cachedUniqueName index="4491" name="[dane].[Nr zamówienia].&amp;[PL-2014-045539]"/>
            <x15:cachedUniqueName index="4492" name="[dane].[Nr zamówienia].&amp;[PL-2014-045571]"/>
            <x15:cachedUniqueName index="4493" name="[dane].[Nr zamówienia].&amp;[PL-2014-045575]"/>
            <x15:cachedUniqueName index="4494" name="[dane].[Nr zamówienia].&amp;[PL-2014-046787]"/>
            <x15:cachedUniqueName index="4495" name="[dane].[Nr zamówienia].&amp;[PL-2014-047399]"/>
            <x15:cachedUniqueName index="4496" name="[dane].[Nr zamówienia].&amp;[PL-2014-047682]"/>
            <x15:cachedUniqueName index="4497" name="[dane].[Nr zamówienia].&amp;[PL-2014-047971]"/>
            <x15:cachedUniqueName index="4498" name="[dane].[Nr zamówienia].&amp;[PL-2014-048452]"/>
            <x15:cachedUniqueName index="4499" name="[dane].[Nr zamówienia].&amp;[PL-2014-048643]"/>
            <x15:cachedUniqueName index="4500" name="[dane].[Nr zamówienia].&amp;[PL-2014-048706]"/>
            <x15:cachedUniqueName index="4501" name="[dane].[Nr zamówienia].&amp;[PL-2014-048774]"/>
            <x15:cachedUniqueName index="4502" name="[dane].[Nr zamówienia].&amp;[PL-2014-049889]"/>
            <x15:cachedUniqueName index="4503" name="[dane].[Nr zamówienia].&amp;[PL-2014-049927]"/>
            <x15:cachedUniqueName index="4504" name="[dane].[Nr zamówienia].&amp;[PL-2014-049990]"/>
            <x15:cachedUniqueName index="4505" name="[dane].[Nr zamówienia].&amp;[PL-2014-050181]"/>
            <x15:cachedUniqueName index="4506" name="[dane].[Nr zamówienia].&amp;[PL-2014-050433]"/>
            <x15:cachedUniqueName index="4507" name="[dane].[Nr zamówienia].&amp;[PL-2014-050656]"/>
            <x15:cachedUniqueName index="4508" name="[dane].[Nr zamówienia].&amp;[PL-2014-050721]"/>
            <x15:cachedUniqueName index="4509" name="[dane].[Nr zamówienia].&amp;[PL-2014-051559]"/>
            <x15:cachedUniqueName index="4510" name="[dane].[Nr zamówienia].&amp;[PL-2014-051620]"/>
            <x15:cachedUniqueName index="4511" name="[dane].[Nr zamówienia].&amp;[PL-2014-052003]"/>
            <x15:cachedUniqueName index="4512" name="[dane].[Nr zamówienia].&amp;[PL-2014-052039]"/>
            <x15:cachedUniqueName index="4513" name="[dane].[Nr zamówienia].&amp;[PL-2014-052322]"/>
            <x15:cachedUniqueName index="4514" name="[dane].[Nr zamówienia].&amp;[PL-2014-052673]"/>
            <x15:cachedUniqueName index="4515" name="[dane].[Nr zamówienia].&amp;[PL-2014-052932]"/>
            <x15:cachedUniqueName index="4516" name="[dane].[Nr zamówienia].&amp;[PL-2014-052995]"/>
            <x15:cachedUniqueName index="4517" name="[dane].[Nr zamówienia].&amp;[PL-2014-053285]"/>
            <x15:cachedUniqueName index="4518" name="[dane].[Nr zamówienia].&amp;[PL-2014-053350]"/>
            <x15:cachedUniqueName index="4519" name="[dane].[Nr zamówienia].&amp;[PL-2014-053445]"/>
            <x15:cachedUniqueName index="4520" name="[dane].[Nr zamówienia].&amp;[PL-2014-054053]"/>
            <x15:cachedUniqueName index="4521" name="[dane].[Nr zamówienia].&amp;[PL-2014-054181]"/>
            <x15:cachedUniqueName index="4522" name="[dane].[Nr zamówienia].&amp;[PL-2014-054595]"/>
            <x15:cachedUniqueName index="4523" name="[dane].[Nr zamówienia].&amp;[PL-2014-054753]"/>
            <x15:cachedUniqueName index="4524" name="[dane].[Nr zamówienia].&amp;[PL-2014-055813]"/>
            <x15:cachedUniqueName index="4525" name="[dane].[Nr zamówienia].&amp;[PL-2014-055908]"/>
            <x15:cachedUniqueName index="4526" name="[dane].[Nr zamówienia].&amp;[PL-2014-055968]"/>
            <x15:cachedUniqueName index="4527" name="[dane].[Nr zamówienia].&amp;[PL-2014-056740]"/>
            <x15:cachedUniqueName index="4528" name="[dane].[Nr zamówienia].&amp;[PL-2014-057025]"/>
            <x15:cachedUniqueName index="4529" name="[dane].[Nr zamówienia].&amp;[PL-2014-057061]"/>
            <x15:cachedUniqueName index="4530" name="[dane].[Nr zamówienia].&amp;[PL-2014-057092]"/>
            <x15:cachedUniqueName index="4531" name="[dane].[Nr zamówienia].&amp;[PL-2014-057638]"/>
            <x15:cachedUniqueName index="4532" name="[dane].[Nr zamówienia].&amp;[PL-2014-058914]"/>
            <x15:cachedUniqueName index="4533" name="[dane].[Nr zamówienia].&amp;[PL-2014-058917]"/>
            <x15:cachedUniqueName index="4534" name="[dane].[Nr zamówienia].&amp;[PL-2014-059238]"/>
            <x15:cachedUniqueName index="4535" name="[dane].[Nr zamówienia].&amp;[PL-2014-059685]"/>
            <x15:cachedUniqueName index="4536" name="[dane].[Nr zamówienia].&amp;[PL-2014-085823]"/>
            <x15:cachedUniqueName index="4537" name="[dane].[Nr zamówienia].&amp;[PL-2014-085824]"/>
            <x15:cachedUniqueName index="4538" name="[dane].[Nr zamówienia].&amp;[PL-2014-085825]"/>
            <x15:cachedUniqueName index="4539" name="[dane].[Nr zamówienia].&amp;[PL-2014-085831]"/>
            <x15:cachedUniqueName index="4540" name="[dane].[Nr zamówienia].&amp;[PL-2014-085832]"/>
            <x15:cachedUniqueName index="4541" name="[dane].[Nr zamówienia].&amp;[PL-2014-085841]"/>
            <x15:cachedUniqueName index="4542" name="[dane].[Nr zamówienia].&amp;[PL-2014-085842]"/>
            <x15:cachedUniqueName index="4543" name="[dane].[Nr zamówienia].&amp;[PL-2014-085843]"/>
            <x15:cachedUniqueName index="4544" name="[dane].[Nr zamówienia].&amp;[PL-2014-085848]"/>
            <x15:cachedUniqueName index="4545" name="[dane].[Nr zamówienia].&amp;[PL-2014-085855]"/>
            <x15:cachedUniqueName index="4546" name="[dane].[Nr zamówienia].&amp;[PL-2014-085856]"/>
            <x15:cachedUniqueName index="4547" name="[dane].[Nr zamówienia].&amp;[PL-2014-085863]"/>
            <x15:cachedUniqueName index="4548" name="[dane].[Nr zamówienia].&amp;[PL-2014-085864]"/>
            <x15:cachedUniqueName index="4549" name="[dane].[Nr zamówienia].&amp;[PL-2014-085873]"/>
            <x15:cachedUniqueName index="4550" name="[dane].[Nr zamówienia].&amp;[PL-2014-085874]"/>
            <x15:cachedUniqueName index="4551" name="[dane].[Nr zamówienia].&amp;[PL-2014-085875]"/>
            <x15:cachedUniqueName index="4552" name="[dane].[Nr zamówienia].&amp;[PL-2014-085876]"/>
            <x15:cachedUniqueName index="4553" name="[dane].[Nr zamówienia].&amp;[PL-2014-085877]"/>
            <x15:cachedUniqueName index="4554" name="[dane].[Nr zamówienia].&amp;[PL-2014-085878]"/>
            <x15:cachedUniqueName index="4555" name="[dane].[Nr zamówienia].&amp;[PL-2014-085879]"/>
            <x15:cachedUniqueName index="4556" name="[dane].[Nr zamówienia].&amp;[PL-2014-085889]"/>
            <x15:cachedUniqueName index="4557" name="[dane].[Nr zamówienia].&amp;[PL-2014-085890]"/>
            <x15:cachedUniqueName index="4558" name="[dane].[Nr zamówienia].&amp;[PL-2014-085891]"/>
            <x15:cachedUniqueName index="4559" name="[dane].[Nr zamówienia].&amp;[PL-2014-085892]"/>
            <x15:cachedUniqueName index="4560" name="[dane].[Nr zamówienia].&amp;[PL-2014-085905]"/>
            <x15:cachedUniqueName index="4561" name="[dane].[Nr zamówienia].&amp;[PL-2014-085906]"/>
            <x15:cachedUniqueName index="4562" name="[dane].[Nr zamówienia].&amp;[PL-2014-085913]"/>
            <x15:cachedUniqueName index="4563" name="[dane].[Nr zamówienia].&amp;[PL-2014-085922]"/>
            <x15:cachedUniqueName index="4564" name="[dane].[Nr zamówienia].&amp;[PL-2014-085923]"/>
            <x15:cachedUniqueName index="4565" name="[dane].[Nr zamówienia].&amp;[PL-2014-085924]"/>
            <x15:cachedUniqueName index="4566" name="[dane].[Nr zamówienia].&amp;[PL-2014-085925]"/>
            <x15:cachedUniqueName index="4567" name="[dane].[Nr zamówienia].&amp;[PL-2014-085926]"/>
            <x15:cachedUniqueName index="4568" name="[dane].[Nr zamówienia].&amp;[PL-2014-085927]"/>
            <x15:cachedUniqueName index="4569" name="[dane].[Nr zamówienia].&amp;[PL-2014-085933]"/>
            <x15:cachedUniqueName index="4570" name="[dane].[Nr zamówienia].&amp;[PL-2014-085934]"/>
            <x15:cachedUniqueName index="4571" name="[dane].[Nr zamówienia].&amp;[PL-2014-085935]"/>
            <x15:cachedUniqueName index="4572" name="[dane].[Nr zamówienia].&amp;[PL-2014-085936]"/>
            <x15:cachedUniqueName index="4573" name="[dane].[Nr zamówienia].&amp;[PL-2014-085937]"/>
            <x15:cachedUniqueName index="4574" name="[dane].[Nr zamówienia].&amp;[PL-2014-085943]"/>
            <x15:cachedUniqueName index="4575" name="[dane].[Nr zamówienia].&amp;[PL-2014-085944]"/>
            <x15:cachedUniqueName index="4576" name="[dane].[Nr zamówienia].&amp;[PL-2014-085945]"/>
            <x15:cachedUniqueName index="4577" name="[dane].[Nr zamówienia].&amp;[PL-2014-085946]"/>
            <x15:cachedUniqueName index="4578" name="[dane].[Nr zamówienia].&amp;[PL-2014-085958]"/>
            <x15:cachedUniqueName index="4579" name="[dane].[Nr zamówienia].&amp;[PL-2014-085959]"/>
            <x15:cachedUniqueName index="4580" name="[dane].[Nr zamówienia].&amp;[PL-2014-085960]"/>
            <x15:cachedUniqueName index="4581" name="[dane].[Nr zamówienia].&amp;[PL-2014-085961]"/>
            <x15:cachedUniqueName index="4582" name="[dane].[Nr zamówienia].&amp;[PL-2014-085962]"/>
            <x15:cachedUniqueName index="4583" name="[dane].[Nr zamówienia].&amp;[PL-2014-085963]"/>
            <x15:cachedUniqueName index="4584" name="[dane].[Nr zamówienia].&amp;[PL-2014-085974]"/>
            <x15:cachedUniqueName index="4585" name="[dane].[Nr zamówienia].&amp;[PL-2014-085975]"/>
            <x15:cachedUniqueName index="4586" name="[dane].[Nr zamówienia].&amp;[PL-2014-085976]"/>
            <x15:cachedUniqueName index="4587" name="[dane].[Nr zamówienia].&amp;[PL-2014-085977]"/>
            <x15:cachedUniqueName index="4588" name="[dane].[Nr zamówienia].&amp;[PL-2014-085978]"/>
            <x15:cachedUniqueName index="4589" name="[dane].[Nr zamówienia].&amp;[PL-2014-085985]"/>
            <x15:cachedUniqueName index="4590" name="[dane].[Nr zamówienia].&amp;[PL-2014-085986]"/>
            <x15:cachedUniqueName index="4591" name="[dane].[Nr zamówienia].&amp;[PL-2014-085987]"/>
            <x15:cachedUniqueName index="4592" name="[dane].[Nr zamówienia].&amp;[PL-2014-085988]"/>
            <x15:cachedUniqueName index="4593" name="[dane].[Nr zamówienia].&amp;[PL-2014-085989]"/>
            <x15:cachedUniqueName index="4594" name="[dane].[Nr zamówienia].&amp;[PL-2014-085998]"/>
            <x15:cachedUniqueName index="4595" name="[dane].[Nr zamówienia].&amp;[PL-2014-085999]"/>
            <x15:cachedUniqueName index="4596" name="[dane].[Nr zamówienia].&amp;[PL-2014-086000]"/>
            <x15:cachedUniqueName index="4597" name="[dane].[Nr zamówienia].&amp;[PL-2014-086001]"/>
            <x15:cachedUniqueName index="4598" name="[dane].[Nr zamówienia].&amp;[PL-2014-086007]"/>
            <x15:cachedUniqueName index="4599" name="[dane].[Nr zamówienia].&amp;[PL-2014-086008]"/>
            <x15:cachedUniqueName index="4600" name="[dane].[Nr zamówienia].&amp;[PL-2014-086009]"/>
            <x15:cachedUniqueName index="4601" name="[dane].[Nr zamówienia].&amp;[PL-2014-086025]"/>
            <x15:cachedUniqueName index="4602" name="[dane].[Nr zamówienia].&amp;[PL-2014-086026]"/>
            <x15:cachedUniqueName index="4603" name="[dane].[Nr zamówienia].&amp;[PL-2014-086027]"/>
            <x15:cachedUniqueName index="4604" name="[dane].[Nr zamówienia].&amp;[PL-2014-086028]"/>
            <x15:cachedUniqueName index="4605" name="[dane].[Nr zamówienia].&amp;[PL-2014-086029]"/>
            <x15:cachedUniqueName index="4606" name="[dane].[Nr zamówienia].&amp;[PL-2014-086030]"/>
            <x15:cachedUniqueName index="4607" name="[dane].[Nr zamówienia].&amp;[PL-2014-086031]"/>
            <x15:cachedUniqueName index="4608" name="[dane].[Nr zamówienia].&amp;[PL-2014-086032]"/>
            <x15:cachedUniqueName index="4609" name="[dane].[Nr zamówienia].&amp;[PL-2014-086033]"/>
            <x15:cachedUniqueName index="4610" name="[dane].[Nr zamówienia].&amp;[PL-2014-086036]"/>
            <x15:cachedUniqueName index="4611" name="[dane].[Nr zamówienia].&amp;[PL-2014-086037]"/>
            <x15:cachedUniqueName index="4612" name="[dane].[Nr zamówienia].&amp;[PL-2014-086038]"/>
            <x15:cachedUniqueName index="4613" name="[dane].[Nr zamówienia].&amp;[PL-2014-086039]"/>
            <x15:cachedUniqueName index="4614" name="[dane].[Nr zamówienia].&amp;[PL-2014-086040]"/>
            <x15:cachedUniqueName index="4615" name="[dane].[Nr zamówienia].&amp;[PL-2014-086043]"/>
            <x15:cachedUniqueName index="4616" name="[dane].[Nr zamówienia].&amp;[PL-2014-086044]"/>
            <x15:cachedUniqueName index="4617" name="[dane].[Nr zamówienia].&amp;[PL-2014-086047]"/>
            <x15:cachedUniqueName index="4618" name="[dane].[Nr zamówienia].&amp;[PL-2014-086048]"/>
            <x15:cachedUniqueName index="4619" name="[dane].[Nr zamówienia].&amp;[PL-2014-086049]"/>
            <x15:cachedUniqueName index="4620" name="[dane].[Nr zamówienia].&amp;[PL-2014-086060]"/>
            <x15:cachedUniqueName index="4621" name="[dane].[Nr zamówienia].&amp;[PL-2014-086061]"/>
            <x15:cachedUniqueName index="4622" name="[dane].[Nr zamówienia].&amp;[PL-2014-086062]"/>
            <x15:cachedUniqueName index="4623" name="[dane].[Nr zamówienia].&amp;[PL-2014-086073]"/>
            <x15:cachedUniqueName index="4624" name="[dane].[Nr zamówienia].&amp;[PL-2014-086074]"/>
            <x15:cachedUniqueName index="4625" name="[dane].[Nr zamówienia].&amp;[PL-2014-086083]"/>
            <x15:cachedUniqueName index="4626" name="[dane].[Nr zamówienia].&amp;[PL-2014-086084]"/>
            <x15:cachedUniqueName index="4627" name="[dane].[Nr zamówienia].&amp;[PL-2014-086089]"/>
            <x15:cachedUniqueName index="4628" name="[dane].[Nr zamówienia].&amp;[PL-2014-086090]"/>
            <x15:cachedUniqueName index="4629" name="[dane].[Nr zamówienia].&amp;[PL-2014-086091]"/>
            <x15:cachedUniqueName index="4630" name="[dane].[Nr zamówienia].&amp;[PL-2014-086098]"/>
            <x15:cachedUniqueName index="4631" name="[dane].[Nr zamówienia].&amp;[PL-2014-086099]"/>
            <x15:cachedUniqueName index="4632" name="[dane].[Nr zamówienia].&amp;[PL-2014-086100]"/>
            <x15:cachedUniqueName index="4633" name="[dane].[Nr zamówienia].&amp;[PL-2014-086113]"/>
            <x15:cachedUniqueName index="4634" name="[dane].[Nr zamówienia].&amp;[PL-2014-086114]"/>
            <x15:cachedUniqueName index="4635" name="[dane].[Nr zamówienia].&amp;[PL-2014-086115]"/>
            <x15:cachedUniqueName index="4636" name="[dane].[Nr zamówienia].&amp;[PL-2014-086116]"/>
            <x15:cachedUniqueName index="4637" name="[dane].[Nr zamówienia].&amp;[PL-2014-086117]"/>
            <x15:cachedUniqueName index="4638" name="[dane].[Nr zamówienia].&amp;[PL-2014-086130]"/>
            <x15:cachedUniqueName index="4639" name="[dane].[Nr zamówienia].&amp;[PL-2014-086131]"/>
            <x15:cachedUniqueName index="4640" name="[dane].[Nr zamówienia].&amp;[PL-2014-086132]"/>
            <x15:cachedUniqueName index="4641" name="[dane].[Nr zamówienia].&amp;[PL-2014-086133]"/>
            <x15:cachedUniqueName index="4642" name="[dane].[Nr zamówienia].&amp;[PL-2014-086134]"/>
            <x15:cachedUniqueName index="4643" name="[dane].[Nr zamówienia].&amp;[PL-2014-086135]"/>
            <x15:cachedUniqueName index="4644" name="[dane].[Nr zamówienia].&amp;[PL-2014-086141]"/>
            <x15:cachedUniqueName index="4645" name="[dane].[Nr zamówienia].&amp;[PL-2014-086142]"/>
            <x15:cachedUniqueName index="4646" name="[dane].[Nr zamówienia].&amp;[PL-2014-086143]"/>
            <x15:cachedUniqueName index="4647" name="[dane].[Nr zamówienia].&amp;[PL-2014-086148]"/>
            <x15:cachedUniqueName index="4648" name="[dane].[Nr zamówienia].&amp;[PL-2014-086149]"/>
            <x15:cachedUniqueName index="4649" name="[dane].[Nr zamówienia].&amp;[PL-2014-086150]"/>
            <x15:cachedUniqueName index="4650" name="[dane].[Nr zamówienia].&amp;[PL-2014-086151]"/>
            <x15:cachedUniqueName index="4651" name="[dane].[Nr zamówienia].&amp;[PL-2014-086152]"/>
            <x15:cachedUniqueName index="4652" name="[dane].[Nr zamówienia].&amp;[PL-2014-086157]"/>
            <x15:cachedUniqueName index="4653" name="[dane].[Nr zamówienia].&amp;[PL-2014-086158]"/>
            <x15:cachedUniqueName index="4654" name="[dane].[Nr zamówienia].&amp;[PL-2014-086161]"/>
            <x15:cachedUniqueName index="4655" name="[dane].[Nr zamówienia].&amp;[PL-2014-086162]"/>
            <x15:cachedUniqueName index="4656" name="[dane].[Nr zamówienia].&amp;[PL-2014-086171]"/>
            <x15:cachedUniqueName index="4657" name="[dane].[Nr zamówienia].&amp;[PL-2014-086172]"/>
            <x15:cachedUniqueName index="4658" name="[dane].[Nr zamówienia].&amp;[PL-2014-086179]"/>
            <x15:cachedUniqueName index="4659" name="[dane].[Nr zamówienia].&amp;[PL-2014-086180]"/>
            <x15:cachedUniqueName index="4660" name="[dane].[Nr zamówienia].&amp;[PL-2014-086183]"/>
            <x15:cachedUniqueName index="4661" name="[dane].[Nr zamówienia].&amp;[PL-2014-086188]"/>
            <x15:cachedUniqueName index="4662" name="[dane].[Nr zamówienia].&amp;[PL-2014-086198]"/>
            <x15:cachedUniqueName index="4663" name="[dane].[Nr zamówienia].&amp;[PL-2014-086199]"/>
            <x15:cachedUniqueName index="4664" name="[dane].[Nr zamówienia].&amp;[PL-2014-086202]"/>
            <x15:cachedUniqueName index="4665" name="[dane].[Nr zamówienia].&amp;[PL-2014-086203]"/>
            <x15:cachedUniqueName index="4666" name="[dane].[Nr zamówienia].&amp;[PL-2014-086204]"/>
            <x15:cachedUniqueName index="4667" name="[dane].[Nr zamówienia].&amp;[PL-2014-086212]"/>
            <x15:cachedUniqueName index="4668" name="[dane].[Nr zamówienia].&amp;[PL-2014-086213]"/>
            <x15:cachedUniqueName index="4669" name="[dane].[Nr zamówienia].&amp;[PL-2014-086214]"/>
            <x15:cachedUniqueName index="4670" name="[dane].[Nr zamówienia].&amp;[PL-2014-086217]"/>
            <x15:cachedUniqueName index="4671" name="[dane].[Nr zamówienia].&amp;[PL-2014-086218]"/>
            <x15:cachedUniqueName index="4672" name="[dane].[Nr zamówienia].&amp;[PL-2014-086219]"/>
            <x15:cachedUniqueName index="4673" name="[dane].[Nr zamówienia].&amp;[PL-2014-086226]"/>
            <x15:cachedUniqueName index="4674" name="[dane].[Nr zamówienia].&amp;[PL-2014-086232]"/>
            <x15:cachedUniqueName index="4675" name="[dane].[Nr zamówienia].&amp;[PL-2014-086240]"/>
            <x15:cachedUniqueName index="4676" name="[dane].[Nr zamówienia].&amp;[PL-2014-086241]"/>
            <x15:cachedUniqueName index="4677" name="[dane].[Nr zamówienia].&amp;[PL-2014-086242]"/>
            <x15:cachedUniqueName index="4678" name="[dane].[Nr zamówienia].&amp;[PL-2014-086243]"/>
            <x15:cachedUniqueName index="4679" name="[dane].[Nr zamówienia].&amp;[PL-2014-086244]"/>
            <x15:cachedUniqueName index="4680" name="[dane].[Nr zamówienia].&amp;[PL-2014-086245]"/>
            <x15:cachedUniqueName index="4681" name="[dane].[Nr zamówienia].&amp;[PL-2014-086246]"/>
            <x15:cachedUniqueName index="4682" name="[dane].[Nr zamówienia].&amp;[PL-2014-086247]"/>
            <x15:cachedUniqueName index="4683" name="[dane].[Nr zamówienia].&amp;[PL-2014-086248]"/>
            <x15:cachedUniqueName index="4684" name="[dane].[Nr zamówienia].&amp;[PL-2014-086249]"/>
            <x15:cachedUniqueName index="4685" name="[dane].[Nr zamówienia].&amp;[PL-2014-086255]"/>
            <x15:cachedUniqueName index="4686" name="[dane].[Nr zamówienia].&amp;[PL-2014-086256]"/>
            <x15:cachedUniqueName index="4687" name="[dane].[Nr zamówienia].&amp;[PL-2014-086257]"/>
            <x15:cachedUniqueName index="4688" name="[dane].[Nr zamówienia].&amp;[PL-2014-086266]"/>
            <x15:cachedUniqueName index="4689" name="[dane].[Nr zamówienia].&amp;[PL-2014-086274]"/>
            <x15:cachedUniqueName index="4690" name="[dane].[Nr zamówienia].&amp;[PL-2014-086275]"/>
            <x15:cachedUniqueName index="4691" name="[dane].[Nr zamówienia].&amp;[PL-2014-086276]"/>
            <x15:cachedUniqueName index="4692" name="[dane].[Nr zamówienia].&amp;[PL-2014-086277]"/>
            <x15:cachedUniqueName index="4693" name="[dane].[Nr zamówienia].&amp;[PL-2014-086278]"/>
            <x15:cachedUniqueName index="4694" name="[dane].[Nr zamówienia].&amp;[PL-2014-086288]"/>
            <x15:cachedUniqueName index="4695" name="[dane].[Nr zamówienia].&amp;[PL-2014-086289]"/>
            <x15:cachedUniqueName index="4696" name="[dane].[Nr zamówienia].&amp;[PL-2014-086290]"/>
            <x15:cachedUniqueName index="4697" name="[dane].[Nr zamówienia].&amp;[PL-2014-086296]"/>
            <x15:cachedUniqueName index="4698" name="[dane].[Nr zamówienia].&amp;[PL-2014-086303]"/>
            <x15:cachedUniqueName index="4699" name="[dane].[Nr zamówienia].&amp;[PL-2014-086304]"/>
            <x15:cachedUniqueName index="4700" name="[dane].[Nr zamówienia].&amp;[PL-2014-086305]"/>
            <x15:cachedUniqueName index="4701" name="[dane].[Nr zamówienia].&amp;[PL-2014-086306]"/>
            <x15:cachedUniqueName index="4702" name="[dane].[Nr zamówienia].&amp;[PL-2014-086322]"/>
            <x15:cachedUniqueName index="4703" name="[dane].[Nr zamówienia].&amp;[PL-2014-086323]"/>
            <x15:cachedUniqueName index="4704" name="[dane].[Nr zamówienia].&amp;[PL-2014-086324]"/>
            <x15:cachedUniqueName index="4705" name="[dane].[Nr zamówienia].&amp;[PL-2014-086325]"/>
            <x15:cachedUniqueName index="4706" name="[dane].[Nr zamówienia].&amp;[PL-2014-086326]"/>
            <x15:cachedUniqueName index="4707" name="[dane].[Nr zamówienia].&amp;[PL-2014-086329]"/>
            <x15:cachedUniqueName index="4708" name="[dane].[Nr zamówienia].&amp;[PL-2014-086330]"/>
            <x15:cachedUniqueName index="4709" name="[dane].[Nr zamówienia].&amp;[PL-2014-086335]"/>
            <x15:cachedUniqueName index="4710" name="[dane].[Nr zamówienia].&amp;[PL-2014-086336]"/>
            <x15:cachedUniqueName index="4711" name="[dane].[Nr zamówienia].&amp;[PL-2014-086337]"/>
            <x15:cachedUniqueName index="4712" name="[dane].[Nr zamówienia].&amp;[PL-2014-086343]"/>
            <x15:cachedUniqueName index="4713" name="[dane].[Nr zamówienia].&amp;[PL-2014-086344]"/>
            <x15:cachedUniqueName index="4714" name="[dane].[Nr zamówienia].&amp;[PL-2014-086345]"/>
            <x15:cachedUniqueName index="4715" name="[dane].[Nr zamówienia].&amp;[PL-2014-086349]"/>
            <x15:cachedUniqueName index="4716" name="[dane].[Nr zamówienia].&amp;[PL-2014-086350]"/>
            <x15:cachedUniqueName index="4717" name="[dane].[Nr zamówienia].&amp;[PL-2014-086351]"/>
            <x15:cachedUniqueName index="4718" name="[dane].[Nr zamówienia].&amp;[PL-2014-086355]"/>
            <x15:cachedUniqueName index="4719" name="[dane].[Nr zamówienia].&amp;[PL-2014-086363]"/>
            <x15:cachedUniqueName index="4720" name="[dane].[Nr zamówienia].&amp;[PL-2014-086364]"/>
            <x15:cachedUniqueName index="4721" name="[dane].[Nr zamówienia].&amp;[PL-2014-086365]"/>
            <x15:cachedUniqueName index="4722" name="[dane].[Nr zamówienia].&amp;[PL-2014-086366]"/>
            <x15:cachedUniqueName index="4723" name="[dane].[Nr zamówienia].&amp;[PL-2014-086367]"/>
            <x15:cachedUniqueName index="4724" name="[dane].[Nr zamówienia].&amp;[PL-2014-086372]"/>
            <x15:cachedUniqueName index="4725" name="[dane].[Nr zamówienia].&amp;[PL-2014-086378]"/>
            <x15:cachedUniqueName index="4726" name="[dane].[Nr zamówienia].&amp;[PL-2014-086379]"/>
            <x15:cachedUniqueName index="4727" name="[dane].[Nr zamówienia].&amp;[PL-2014-086380]"/>
            <x15:cachedUniqueName index="4728" name="[dane].[Nr zamówienia].&amp;[PL-2014-086381]"/>
            <x15:cachedUniqueName index="4729" name="[dane].[Nr zamówienia].&amp;[PL-2014-086391]"/>
            <x15:cachedUniqueName index="4730" name="[dane].[Nr zamówienia].&amp;[PL-2014-086392]"/>
            <x15:cachedUniqueName index="4731" name="[dane].[Nr zamówienia].&amp;[PL-2014-086393]"/>
            <x15:cachedUniqueName index="4732" name="[dane].[Nr zamówienia].&amp;[PL-2014-086394]"/>
            <x15:cachedUniqueName index="4733" name="[dane].[Nr zamówienia].&amp;[PL-2014-086395]"/>
            <x15:cachedUniqueName index="4734" name="[dane].[Nr zamówienia].&amp;[PL-2014-086396]"/>
            <x15:cachedUniqueName index="4735" name="[dane].[Nr zamówienia].&amp;[PL-2014-086406]"/>
            <x15:cachedUniqueName index="4736" name="[dane].[Nr zamówienia].&amp;[PL-2014-086407]"/>
            <x15:cachedUniqueName index="4737" name="[dane].[Nr zamówienia].&amp;[PL-2014-086408]"/>
            <x15:cachedUniqueName index="4738" name="[dane].[Nr zamówienia].&amp;[PL-2014-086419]"/>
            <x15:cachedUniqueName index="4739" name="[dane].[Nr zamówienia].&amp;[PL-2014-086420]"/>
            <x15:cachedUniqueName index="4740" name="[dane].[Nr zamówienia].&amp;[PL-2014-086421]"/>
            <x15:cachedUniqueName index="4741" name="[dane].[Nr zamówienia].&amp;[PL-2014-086430]"/>
            <x15:cachedUniqueName index="4742" name="[dane].[Nr zamówienia].&amp;[PL-2014-086431]"/>
            <x15:cachedUniqueName index="4743" name="[dane].[Nr zamówienia].&amp;[PL-2014-086435]"/>
            <x15:cachedUniqueName index="4744" name="[dane].[Nr zamówienia].&amp;[PL-2014-086443]"/>
            <x15:cachedUniqueName index="4745" name="[dane].[Nr zamówienia].&amp;[PL-2014-086444]"/>
            <x15:cachedUniqueName index="4746" name="[dane].[Nr zamówienia].&amp;[PL-2014-086445]"/>
            <x15:cachedUniqueName index="4747" name="[dane].[Nr zamówienia].&amp;[PL-2014-086446]"/>
            <x15:cachedUniqueName index="4748" name="[dane].[Nr zamówienia].&amp;[PL-2014-086452]"/>
            <x15:cachedUniqueName index="4749" name="[dane].[Nr zamówienia].&amp;[PL-2014-086453]"/>
            <x15:cachedUniqueName index="4750" name="[dane].[Nr zamówienia].&amp;[PL-2014-086462]"/>
            <x15:cachedUniqueName index="4751" name="[dane].[Nr zamówienia].&amp;[PL-2014-086463]"/>
            <x15:cachedUniqueName index="4752" name="[dane].[Nr zamówienia].&amp;[PL-2014-086464]"/>
            <x15:cachedUniqueName index="4753" name="[dane].[Nr zamówienia].&amp;[PL-2014-086469]"/>
            <x15:cachedUniqueName index="4754" name="[dane].[Nr zamówienia].&amp;[PL-2014-086470]"/>
            <x15:cachedUniqueName index="4755" name="[dane].[Nr zamówienia].&amp;[PL-2014-086482]"/>
            <x15:cachedUniqueName index="4756" name="[dane].[Nr zamówienia].&amp;[PL-2014-086483]"/>
            <x15:cachedUniqueName index="4757" name="[dane].[Nr zamówienia].&amp;[PL-2014-086484]"/>
            <x15:cachedUniqueName index="4758" name="[dane].[Nr zamówienia].&amp;[PL-2014-086485]"/>
            <x15:cachedUniqueName index="4759" name="[dane].[Nr zamówienia].&amp;[PL-2014-086488]"/>
            <x15:cachedUniqueName index="4760" name="[dane].[Nr zamówienia].&amp;[PL-2014-086496]"/>
            <x15:cachedUniqueName index="4761" name="[dane].[Nr zamówienia].&amp;[PL-2014-086497]"/>
            <x15:cachedUniqueName index="4762" name="[dane].[Nr zamówienia].&amp;[PL-2014-086498]"/>
            <x15:cachedUniqueName index="4763" name="[dane].[Nr zamówienia].&amp;[PL-2014-086499]"/>
            <x15:cachedUniqueName index="4764" name="[dane].[Nr zamówienia].&amp;[PL-2014-086505]"/>
            <x15:cachedUniqueName index="4765" name="[dane].[Nr zamówienia].&amp;[PL-2014-086506]"/>
            <x15:cachedUniqueName index="4766" name="[dane].[Nr zamówienia].&amp;[PL-2014-086513]"/>
            <x15:cachedUniqueName index="4767" name="[dane].[Nr zamówienia].&amp;[PL-2014-086518]"/>
            <x15:cachedUniqueName index="4768" name="[dane].[Nr zamówienia].&amp;[PL-2014-086519]"/>
            <x15:cachedUniqueName index="4769" name="[dane].[Nr zamówienia].&amp;[PL-2014-086525]"/>
            <x15:cachedUniqueName index="4770" name="[dane].[Nr zamówienia].&amp;[PL-2014-086526]"/>
            <x15:cachedUniqueName index="4771" name="[dane].[Nr zamówienia].&amp;[PL-2014-086533]"/>
            <x15:cachedUniqueName index="4772" name="[dane].[Nr zamówienia].&amp;[PL-2014-086542]"/>
            <x15:cachedUniqueName index="4773" name="[dane].[Nr zamówienia].&amp;[PL-2014-086543]"/>
            <x15:cachedUniqueName index="4774" name="[dane].[Nr zamówienia].&amp;[PL-2014-086551]"/>
            <x15:cachedUniqueName index="4775" name="[dane].[Nr zamówienia].&amp;[PL-2014-086552]"/>
            <x15:cachedUniqueName index="4776" name="[dane].[Nr zamówienia].&amp;[PL-2014-086553]"/>
            <x15:cachedUniqueName index="4777" name="[dane].[Nr zamówienia].&amp;[PL-2014-086554]"/>
            <x15:cachedUniqueName index="4778" name="[dane].[Nr zamówienia].&amp;[PL-2014-086561]"/>
            <x15:cachedUniqueName index="4779" name="[dane].[Nr zamówienia].&amp;[PL-2014-086562]"/>
            <x15:cachedUniqueName index="4780" name="[dane].[Nr zamówienia].&amp;[PL-2014-086563]"/>
            <x15:cachedUniqueName index="4781" name="[dane].[Nr zamówienia].&amp;[PL-2014-086564]"/>
            <x15:cachedUniqueName index="4782" name="[dane].[Nr zamówienia].&amp;[PL-2014-086571]"/>
            <x15:cachedUniqueName index="4783" name="[dane].[Nr zamówienia].&amp;[PL-2014-086572]"/>
            <x15:cachedUniqueName index="4784" name="[dane].[Nr zamówienia].&amp;[PL-2014-086584]"/>
            <x15:cachedUniqueName index="4785" name="[dane].[Nr zamówienia].&amp;[PL-2014-086585]"/>
            <x15:cachedUniqueName index="4786" name="[dane].[Nr zamówienia].&amp;[PL-2014-086586]"/>
            <x15:cachedUniqueName index="4787" name="[dane].[Nr zamówienia].&amp;[PL-2014-086587]"/>
            <x15:cachedUniqueName index="4788" name="[dane].[Nr zamówienia].&amp;[PL-2014-086588]"/>
            <x15:cachedUniqueName index="4789" name="[dane].[Nr zamówienia].&amp;[PL-2014-086589]"/>
            <x15:cachedUniqueName index="4790" name="[dane].[Nr zamówienia].&amp;[PL-2014-086590]"/>
            <x15:cachedUniqueName index="4791" name="[dane].[Nr zamówienia].&amp;[PL-2014-086598]"/>
            <x15:cachedUniqueName index="4792" name="[dane].[Nr zamówienia].&amp;[PL-2014-086606]"/>
            <x15:cachedUniqueName index="4793" name="[dane].[Nr zamówienia].&amp;[PL-2014-086607]"/>
            <x15:cachedUniqueName index="4794" name="[dane].[Nr zamówienia].&amp;[PL-2014-086608]"/>
            <x15:cachedUniqueName index="4795" name="[dane].[Nr zamówienia].&amp;[PL-2014-086609]"/>
            <x15:cachedUniqueName index="4796" name="[dane].[Nr zamówienia].&amp;[PL-2014-086616]"/>
            <x15:cachedUniqueName index="4797" name="[dane].[Nr zamówienia].&amp;[PL-2014-086617]"/>
            <x15:cachedUniqueName index="4798" name="[dane].[Nr zamówienia].&amp;[PL-2014-086618]"/>
            <x15:cachedUniqueName index="4799" name="[dane].[Nr zamówienia].&amp;[PL-2014-086619]"/>
            <x15:cachedUniqueName index="4800" name="[dane].[Nr zamówienia].&amp;[PL-2014-086620]"/>
            <x15:cachedUniqueName index="4801" name="[dane].[Nr zamówienia].&amp;[PL-2014-086625]"/>
            <x15:cachedUniqueName index="4802" name="[dane].[Nr zamówienia].&amp;[PL-2014-086626]"/>
            <x15:cachedUniqueName index="4803" name="[dane].[Nr zamówienia].&amp;[PL-2014-086627]"/>
            <x15:cachedUniqueName index="4804" name="[dane].[Nr zamówienia].&amp;[PL-2014-086628]"/>
            <x15:cachedUniqueName index="4805" name="[dane].[Nr zamówienia].&amp;[PL-2014-086631]"/>
            <x15:cachedUniqueName index="4806" name="[dane].[Nr zamówienia].&amp;[PL-2014-086632]"/>
            <x15:cachedUniqueName index="4807" name="[dane].[Nr zamówienia].&amp;[PL-2014-086635]"/>
            <x15:cachedUniqueName index="4808" name="[dane].[Nr zamówienia].&amp;[PL-2014-086636]"/>
            <x15:cachedUniqueName index="4809" name="[dane].[Nr zamówienia].&amp;[PL-2014-086637]"/>
            <x15:cachedUniqueName index="4810" name="[dane].[Nr zamówienia].&amp;[PL-2014-086638]"/>
            <x15:cachedUniqueName index="4811" name="[dane].[Nr zamówienia].&amp;[PL-2014-086643]"/>
            <x15:cachedUniqueName index="4812" name="[dane].[Nr zamówienia].&amp;[PL-2014-086644]"/>
            <x15:cachedUniqueName index="4813" name="[dane].[Nr zamówienia].&amp;[PL-2014-086650]"/>
            <x15:cachedUniqueName index="4814" name="[dane].[Nr zamówienia].&amp;[PL-2014-086651]"/>
            <x15:cachedUniqueName index="4815" name="[dane].[Nr zamówienia].&amp;[PL-2014-086652]"/>
            <x15:cachedUniqueName index="4816" name="[dane].[Nr zamówienia].&amp;[PL-2014-086653]"/>
            <x15:cachedUniqueName index="4817" name="[dane].[Nr zamówienia].&amp;[PL-2014-086660]"/>
            <x15:cachedUniqueName index="4818" name="[dane].[Nr zamówienia].&amp;[PL-2014-086661]"/>
            <x15:cachedUniqueName index="4819" name="[dane].[Nr zamówienia].&amp;[PL-2014-086665]"/>
            <x15:cachedUniqueName index="4820" name="[dane].[Nr zamówienia].&amp;[PL-2014-086666]"/>
            <x15:cachedUniqueName index="4821" name="[dane].[Nr zamówienia].&amp;[PL-2014-086667]"/>
            <x15:cachedUniqueName index="4822" name="[dane].[Nr zamówienia].&amp;[PL-2014-086677]"/>
            <x15:cachedUniqueName index="4823" name="[dane].[Nr zamówienia].&amp;[PL-2014-086678]"/>
            <x15:cachedUniqueName index="4824" name="[dane].[Nr zamówienia].&amp;[PL-2014-086682]"/>
            <x15:cachedUniqueName index="4825" name="[dane].[Nr zamówienia].&amp;[PL-2014-086683]"/>
            <x15:cachedUniqueName index="4826" name="[dane].[Nr zamówienia].&amp;[PL-2014-086684]"/>
            <x15:cachedUniqueName index="4827" name="[dane].[Nr zamówienia].&amp;[PL-2014-086685]"/>
            <x15:cachedUniqueName index="4828" name="[dane].[Nr zamówienia].&amp;[PL-2014-086692]"/>
            <x15:cachedUniqueName index="4829" name="[dane].[Nr zamówienia].&amp;[PL-2014-086697]"/>
            <x15:cachedUniqueName index="4830" name="[dane].[Nr zamówienia].&amp;[PL-2014-086698]"/>
            <x15:cachedUniqueName index="4831" name="[dane].[Nr zamówienia].&amp;[PL-2014-086707]"/>
            <x15:cachedUniqueName index="4832" name="[dane].[Nr zamówienia].&amp;[PL-2014-086708]"/>
            <x15:cachedUniqueName index="4833" name="[dane].[Nr zamówienia].&amp;[PL-2014-086709]"/>
            <x15:cachedUniqueName index="4834" name="[dane].[Nr zamówienia].&amp;[PL-2014-086713]"/>
            <x15:cachedUniqueName index="4835" name="[dane].[Nr zamówienia].&amp;[PL-2014-086714]"/>
            <x15:cachedUniqueName index="4836" name="[dane].[Nr zamówienia].&amp;[PL-2014-086715]"/>
            <x15:cachedUniqueName index="4837" name="[dane].[Nr zamówienia].&amp;[PL-2014-086716]"/>
            <x15:cachedUniqueName index="4838" name="[dane].[Nr zamówienia].&amp;[PL-2014-086717]"/>
            <x15:cachedUniqueName index="4839" name="[dane].[Nr zamówienia].&amp;[PL-2014-086718]"/>
            <x15:cachedUniqueName index="4840" name="[dane].[Nr zamówienia].&amp;[PL-2014-086719]"/>
            <x15:cachedUniqueName index="4841" name="[dane].[Nr zamówienia].&amp;[PL-2014-086720]"/>
            <x15:cachedUniqueName index="4842" name="[dane].[Nr zamówienia].&amp;[PL-2014-086721]"/>
            <x15:cachedUniqueName index="4843" name="[dane].[Nr zamówienia].&amp;[PL-2014-086728]"/>
            <x15:cachedUniqueName index="4844" name="[dane].[Nr zamówienia].&amp;[PL-2014-086729]"/>
            <x15:cachedUniqueName index="4845" name="[dane].[Nr zamówienia].&amp;[PL-2014-086730]"/>
            <x15:cachedUniqueName index="4846" name="[dane].[Nr zamówienia].&amp;[PL-2014-086731]"/>
            <x15:cachedUniqueName index="4847" name="[dane].[Nr zamówienia].&amp;[PL-2014-086732]"/>
            <x15:cachedUniqueName index="4848" name="[dane].[Nr zamówienia].&amp;[PL-2014-086733]"/>
            <x15:cachedUniqueName index="4849" name="[dane].[Nr zamówienia].&amp;[PL-2014-086745]"/>
            <x15:cachedUniqueName index="4850" name="[dane].[Nr zamówienia].&amp;[PL-2014-086746]"/>
            <x15:cachedUniqueName index="4851" name="[dane].[Nr zamówienia].&amp;[PL-2014-086747]"/>
            <x15:cachedUniqueName index="4852" name="[dane].[Nr zamówienia].&amp;[PL-2014-086748]"/>
            <x15:cachedUniqueName index="4853" name="[dane].[Nr zamówienia].&amp;[PL-2014-086749]"/>
            <x15:cachedUniqueName index="4854" name="[dane].[Nr zamówienia].&amp;[PL-2014-086761]"/>
            <x15:cachedUniqueName index="4855" name="[dane].[Nr zamówienia].&amp;[PL-2014-086762]"/>
            <x15:cachedUniqueName index="4856" name="[dane].[Nr zamówienia].&amp;[PL-2014-086763]"/>
            <x15:cachedUniqueName index="4857" name="[dane].[Nr zamówienia].&amp;[PL-2014-086764]"/>
            <x15:cachedUniqueName index="4858" name="[dane].[Nr zamówienia].&amp;[PL-2014-086765]"/>
            <x15:cachedUniqueName index="4859" name="[dane].[Nr zamówienia].&amp;[PL-2014-086766]"/>
            <x15:cachedUniqueName index="4860" name="[dane].[Nr zamówienia].&amp;[PL-2014-086780]"/>
            <x15:cachedUniqueName index="4861" name="[dane].[Nr zamówienia].&amp;[PL-2014-086781]"/>
            <x15:cachedUniqueName index="4862" name="[dane].[Nr zamówienia].&amp;[PL-2014-086782]"/>
            <x15:cachedUniqueName index="4863" name="[dane].[Nr zamówienia].&amp;[PL-2014-086783]"/>
            <x15:cachedUniqueName index="4864" name="[dane].[Nr zamówienia].&amp;[PL-2014-086784]"/>
            <x15:cachedUniqueName index="4865" name="[dane].[Nr zamówienia].&amp;[PL-2014-086785]"/>
            <x15:cachedUniqueName index="4866" name="[dane].[Nr zamówienia].&amp;[PL-2014-086786]"/>
            <x15:cachedUniqueName index="4867" name="[dane].[Nr zamówienia].&amp;[PL-2014-086787]"/>
            <x15:cachedUniqueName index="4868" name="[dane].[Nr zamówienia].&amp;[PL-2014-086788]"/>
            <x15:cachedUniqueName index="4869" name="[dane].[Nr zamówienia].&amp;[PL-2014-086802]"/>
            <x15:cachedUniqueName index="4870" name="[dane].[Nr zamówienia].&amp;[PL-2014-086803]"/>
            <x15:cachedUniqueName index="4871" name="[dane].[Nr zamówienia].&amp;[PL-2014-086804]"/>
            <x15:cachedUniqueName index="4872" name="[dane].[Nr zamówienia].&amp;[PL-2014-086805]"/>
            <x15:cachedUniqueName index="4873" name="[dane].[Nr zamówienia].&amp;[PL-2014-086806]"/>
            <x15:cachedUniqueName index="4874" name="[dane].[Nr zamówienia].&amp;[PL-2014-086808]"/>
            <x15:cachedUniqueName index="4875" name="[dane].[Nr zamówienia].&amp;[PL-2014-086809]"/>
            <x15:cachedUniqueName index="4876" name="[dane].[Nr zamówienia].&amp;[PL-2014-086810]"/>
            <x15:cachedUniqueName index="4877" name="[dane].[Nr zamówienia].&amp;[PL-2014-086811]"/>
            <x15:cachedUniqueName index="4878" name="[dane].[Nr zamówienia].&amp;[PL-2014-086821]"/>
            <x15:cachedUniqueName index="4879" name="[dane].[Nr zamówienia].&amp;[PL-2014-086822]"/>
            <x15:cachedUniqueName index="4880" name="[dane].[Nr zamówienia].&amp;[PL-2014-086823]"/>
            <x15:cachedUniqueName index="4881" name="[dane].[Nr zamówienia].&amp;[PL-2014-086824]"/>
            <x15:cachedUniqueName index="4882" name="[dane].[Nr zamówienia].&amp;[PL-2014-086825]"/>
            <x15:cachedUniqueName index="4883" name="[dane].[Nr zamówienia].&amp;[PL-2014-086832]"/>
            <x15:cachedUniqueName index="4884" name="[dane].[Nr zamówienia].&amp;[PL-2014-086833]"/>
            <x15:cachedUniqueName index="4885" name="[dane].[Nr zamówienia].&amp;[PL-2014-086834]"/>
            <x15:cachedUniqueName index="4886" name="[dane].[Nr zamówienia].&amp;[PL-2014-086835]"/>
            <x15:cachedUniqueName index="4887" name="[dane].[Nr zamówienia].&amp;[PL-2014-086842]"/>
            <x15:cachedUniqueName index="4888" name="[dane].[Nr zamówienia].&amp;[PL-2014-086843]"/>
            <x15:cachedUniqueName index="4889" name="[dane].[Nr zamówienia].&amp;[PL-2014-086844]"/>
            <x15:cachedUniqueName index="4890" name="[dane].[Nr zamówienia].&amp;[PL-2014-086845]"/>
            <x15:cachedUniqueName index="4891" name="[dane].[Nr zamówienia].&amp;[PL-2014-086857]"/>
            <x15:cachedUniqueName index="4892" name="[dane].[Nr zamówienia].&amp;[PL-2014-086858]"/>
            <x15:cachedUniqueName index="4893" name="[dane].[Nr zamówienia].&amp;[PL-2014-086859]"/>
            <x15:cachedUniqueName index="4894" name="[dane].[Nr zamówienia].&amp;[PL-2014-086863]"/>
            <x15:cachedUniqueName index="4895" name="[dane].[Nr zamówienia].&amp;[PL-2014-086864]"/>
            <x15:cachedUniqueName index="4896" name="[dane].[Nr zamówienia].&amp;[PL-2014-086865]"/>
            <x15:cachedUniqueName index="4897" name="[dane].[Nr zamówienia].&amp;[PL-2014-086866]"/>
            <x15:cachedUniqueName index="4898" name="[dane].[Nr zamówienia].&amp;[PL-2014-086873]"/>
            <x15:cachedUniqueName index="4899" name="[dane].[Nr zamówienia].&amp;[PL-2014-086879]"/>
            <x15:cachedUniqueName index="4900" name="[dane].[Nr zamówienia].&amp;[PL-2014-086880]"/>
            <x15:cachedUniqueName index="4901" name="[dane].[Nr zamówienia].&amp;[PL-2014-086881]"/>
            <x15:cachedUniqueName index="4902" name="[dane].[Nr zamówienia].&amp;[PL-2014-086882]"/>
            <x15:cachedUniqueName index="4903" name="[dane].[Nr zamówienia].&amp;[PL-2014-086895]"/>
            <x15:cachedUniqueName index="4904" name="[dane].[Nr zamówienia].&amp;[PL-2014-086896]"/>
            <x15:cachedUniqueName index="4905" name="[dane].[Nr zamówienia].&amp;[PL-2014-086897]"/>
            <x15:cachedUniqueName index="4906" name="[dane].[Nr zamówienia].&amp;[PL-2014-086910]"/>
            <x15:cachedUniqueName index="4907" name="[dane].[Nr zamówienia].&amp;[PL-2014-086911]"/>
            <x15:cachedUniqueName index="4908" name="[dane].[Nr zamówienia].&amp;[PL-2014-086912]"/>
            <x15:cachedUniqueName index="4909" name="[dane].[Nr zamówienia].&amp;[PL-2014-086918]"/>
            <x15:cachedUniqueName index="4910" name="[dane].[Nr zamówienia].&amp;[PL-2014-086919]"/>
            <x15:cachedUniqueName index="4911" name="[dane].[Nr zamówienia].&amp;[PL-2014-086920]"/>
            <x15:cachedUniqueName index="4912" name="[dane].[Nr zamówienia].&amp;[PL-2014-086921]"/>
            <x15:cachedUniqueName index="4913" name="[dane].[Nr zamówienia].&amp;[PL-2014-086922]"/>
            <x15:cachedUniqueName index="4914" name="[dane].[Nr zamówienia].&amp;[PL-2014-086923]"/>
            <x15:cachedUniqueName index="4915" name="[dane].[Nr zamówienia].&amp;[PL-2014-086924]"/>
            <x15:cachedUniqueName index="4916" name="[dane].[Nr zamówienia].&amp;[PL-2014-086931]"/>
            <x15:cachedUniqueName index="4917" name="[dane].[Nr zamówienia].&amp;[PL-2014-086932]"/>
            <x15:cachedUniqueName index="4918" name="[dane].[Nr zamówienia].&amp;[PL-2014-086944]"/>
            <x15:cachedUniqueName index="4919" name="[dane].[Nr zamówienia].&amp;[PL-2014-086945]"/>
            <x15:cachedUniqueName index="4920" name="[dane].[Nr zamówienia].&amp;[PL-2014-086946]"/>
            <x15:cachedUniqueName index="4921" name="[dane].[Nr zamówienia].&amp;[PL-2014-086947]"/>
            <x15:cachedUniqueName index="4922" name="[dane].[Nr zamówienia].&amp;[PL-2014-086948]"/>
            <x15:cachedUniqueName index="4923" name="[dane].[Nr zamówienia].&amp;[PL-2014-086955]"/>
            <x15:cachedUniqueName index="4924" name="[dane].[Nr zamówienia].&amp;[PL-2014-086964]"/>
            <x15:cachedUniqueName index="4925" name="[dane].[Nr zamówienia].&amp;[PL-2014-086965]"/>
            <x15:cachedUniqueName index="4926" name="[dane].[Nr zamówienia].&amp;[PL-2014-086971]"/>
            <x15:cachedUniqueName index="4927" name="[dane].[Nr zamówienia].&amp;[PL-2014-086972]"/>
            <x15:cachedUniqueName index="4928" name="[dane].[Nr zamówienia].&amp;[PL-2014-086979]"/>
            <x15:cachedUniqueName index="4929" name="[dane].[Nr zamówienia].&amp;[PL-2014-086984]"/>
            <x15:cachedUniqueName index="4930" name="[dane].[Nr zamówienia].&amp;[PL-2014-086985]"/>
            <x15:cachedUniqueName index="4931" name="[dane].[Nr zamówienia].&amp;[PL-2014-086986]"/>
            <x15:cachedUniqueName index="4932" name="[dane].[Nr zamówienia].&amp;[PL-2014-086987]"/>
            <x15:cachedUniqueName index="4933" name="[dane].[Nr zamówienia].&amp;[PL-2014-086988]"/>
            <x15:cachedUniqueName index="4934" name="[dane].[Nr zamówienia].&amp;[PL-2014-086993]"/>
            <x15:cachedUniqueName index="4935" name="[dane].[Nr zamówienia].&amp;[PL-2014-086994]"/>
            <x15:cachedUniqueName index="4936" name="[dane].[Nr zamówienia].&amp;[PL-2014-086995]"/>
            <x15:cachedUniqueName index="4937" name="[dane].[Nr zamówienia].&amp;[PL-2014-086996]"/>
            <x15:cachedUniqueName index="4938" name="[dane].[Nr zamówienia].&amp;[PL-2014-087000]"/>
            <x15:cachedUniqueName index="4939" name="[dane].[Nr zamówienia].&amp;[PL-2014-087001]"/>
            <x15:cachedUniqueName index="4940" name="[dane].[Nr zamówienia].&amp;[PL-2014-087012]"/>
            <x15:cachedUniqueName index="4941" name="[dane].[Nr zamówienia].&amp;[PL-2014-087013]"/>
            <x15:cachedUniqueName index="4942" name="[dane].[Nr zamówienia].&amp;[PL-2014-087014]"/>
            <x15:cachedUniqueName index="4943" name="[dane].[Nr zamówienia].&amp;[PL-2014-087023]"/>
            <x15:cachedUniqueName index="4944" name="[dane].[Nr zamówienia].&amp;[PL-2014-087024]"/>
            <x15:cachedUniqueName index="4945" name="[dane].[Nr zamówienia].&amp;[PL-2014-087025]"/>
            <x15:cachedUniqueName index="4946" name="[dane].[Nr zamówienia].&amp;[PL-2014-087026]"/>
            <x15:cachedUniqueName index="4947" name="[dane].[Nr zamówienia].&amp;[PL-2014-087028]"/>
            <x15:cachedUniqueName index="4948" name="[dane].[Nr zamówienia].&amp;[PL-2014-087040]"/>
            <x15:cachedUniqueName index="4949" name="[dane].[Nr zamówienia].&amp;[PL-2014-087051]"/>
            <x15:cachedUniqueName index="4950" name="[dane].[Nr zamówienia].&amp;[PL-2014-087052]"/>
            <x15:cachedUniqueName index="4951" name="[dane].[Nr zamówienia].&amp;[PL-2014-087053]"/>
            <x15:cachedUniqueName index="4952" name="[dane].[Nr zamówienia].&amp;[PL-2014-087054]"/>
            <x15:cachedUniqueName index="4953" name="[dane].[Nr zamówienia].&amp;[PL-2014-087055]"/>
            <x15:cachedUniqueName index="4954" name="[dane].[Nr zamówienia].&amp;[PL-2014-087056]"/>
            <x15:cachedUniqueName index="4955" name="[dane].[Nr zamówienia].&amp;[PL-2014-087066]"/>
            <x15:cachedUniqueName index="4956" name="[dane].[Nr zamówienia].&amp;[PL-2014-087067]"/>
            <x15:cachedUniqueName index="4957" name="[dane].[Nr zamówienia].&amp;[PL-2014-087068]"/>
            <x15:cachedUniqueName index="4958" name="[dane].[Nr zamówienia].&amp;[PL-2014-087069]"/>
            <x15:cachedUniqueName index="4959" name="[dane].[Nr zamówienia].&amp;[PL-2014-087070]"/>
            <x15:cachedUniqueName index="4960" name="[dane].[Nr zamówienia].&amp;[PL-2014-087074]"/>
            <x15:cachedUniqueName index="4961" name="[dane].[Nr zamówienia].&amp;[PL-2014-087075]"/>
            <x15:cachedUniqueName index="4962" name="[dane].[Nr zamówienia].&amp;[PL-2014-087081]"/>
            <x15:cachedUniqueName index="4963" name="[dane].[Nr zamówienia].&amp;[PL-2014-087082]"/>
            <x15:cachedUniqueName index="4964" name="[dane].[Nr zamówienia].&amp;[PL-2014-087083]"/>
            <x15:cachedUniqueName index="4965" name="[dane].[Nr zamówienia].&amp;[PL-2014-087084]"/>
            <x15:cachedUniqueName index="4966" name="[dane].[Nr zamówienia].&amp;[PL-2014-087085]"/>
            <x15:cachedUniqueName index="4967" name="[dane].[Nr zamówienia].&amp;[PL-2014-087095]"/>
            <x15:cachedUniqueName index="4968" name="[dane].[Nr zamówienia].&amp;[PL-2014-087096]"/>
            <x15:cachedUniqueName index="4969" name="[dane].[Nr zamówienia].&amp;[PL-2014-087097]"/>
            <x15:cachedUniqueName index="4970" name="[dane].[Nr zamówienia].&amp;[PL-2014-087098]"/>
            <x15:cachedUniqueName index="4971" name="[dane].[Nr zamówienia].&amp;[PL-2014-087101]"/>
            <x15:cachedUniqueName index="4972" name="[dane].[Nr zamówienia].&amp;[PL-2014-087102]"/>
            <x15:cachedUniqueName index="4973" name="[dane].[Nr zamówienia].&amp;[PL-2014-087103]"/>
            <x15:cachedUniqueName index="4974" name="[dane].[Nr zamówienia].&amp;[PL-2014-087115]"/>
            <x15:cachedUniqueName index="4975" name="[dane].[Nr zamówienia].&amp;[PL-2014-087116]"/>
            <x15:cachedUniqueName index="4976" name="[dane].[Nr zamówienia].&amp;[PL-2014-087125]"/>
            <x15:cachedUniqueName index="4977" name="[dane].[Nr zamówienia].&amp;[PL-2014-087126]"/>
            <x15:cachedUniqueName index="4978" name="[dane].[Nr zamówienia].&amp;[PL-2014-087131]"/>
            <x15:cachedUniqueName index="4979" name="[dane].[Nr zamówienia].&amp;[PL-2014-087132]"/>
            <x15:cachedUniqueName index="4980" name="[dane].[Nr zamówienia].&amp;[PL-2014-087133]"/>
            <x15:cachedUniqueName index="4981" name="[dane].[Nr zamówienia].&amp;[PL-2014-087142]"/>
            <x15:cachedUniqueName index="4982" name="[dane].[Nr zamówienia].&amp;[PL-2014-087143]"/>
            <x15:cachedUniqueName index="4983" name="[dane].[Nr zamówienia].&amp;[PL-2014-087144]"/>
            <x15:cachedUniqueName index="4984" name="[dane].[Nr zamówienia].&amp;[PL-2014-087145]"/>
            <x15:cachedUniqueName index="4985" name="[dane].[Nr zamówienia].&amp;[PL-2014-087158]"/>
            <x15:cachedUniqueName index="4986" name="[dane].[Nr zamówienia].&amp;[PL-2014-087159]"/>
            <x15:cachedUniqueName index="4987" name="[dane].[Nr zamówienia].&amp;[PL-2014-087171]"/>
            <x15:cachedUniqueName index="4988" name="[dane].[Nr zamówienia].&amp;[PL-2014-087172]"/>
            <x15:cachedUniqueName index="4989" name="[dane].[Nr zamówienia].&amp;[PL-2014-087173]"/>
            <x15:cachedUniqueName index="4990" name="[dane].[Nr zamówienia].&amp;[PL-2014-087174]"/>
            <x15:cachedUniqueName index="4991" name="[dane].[Nr zamówienia].&amp;[PL-2014-087184]"/>
            <x15:cachedUniqueName index="4992" name="[dane].[Nr zamówienia].&amp;[PL-2014-087185]"/>
            <x15:cachedUniqueName index="4993" name="[dane].[Nr zamówienia].&amp;[PL-2014-087191]"/>
            <x15:cachedUniqueName index="4994" name="[dane].[Nr zamówienia].&amp;[PL-2014-087192]"/>
            <x15:cachedUniqueName index="4995" name="[dane].[Nr zamówienia].&amp;[PL-2014-087201]"/>
            <x15:cachedUniqueName index="4996" name="[dane].[Nr zamówienia].&amp;[PL-2014-087202]"/>
            <x15:cachedUniqueName index="4997" name="[dane].[Nr zamówienia].&amp;[PL-2014-087203]"/>
            <x15:cachedUniqueName index="4998" name="[dane].[Nr zamówienia].&amp;[PL-2014-087204]"/>
            <x15:cachedUniqueName index="4999" name="[dane].[Nr zamówienia].&amp;[PL-2014-087205]"/>
            <x15:cachedUniqueName index="5000" name="[dane].[Nr zamówienia].&amp;[PL-2014-087206]"/>
            <x15:cachedUniqueName index="5001" name="[dane].[Nr zamówienia].&amp;[PL-2014-087207]"/>
            <x15:cachedUniqueName index="5002" name="[dane].[Nr zamówienia].&amp;[PL-2014-087213]"/>
            <x15:cachedUniqueName index="5003" name="[dane].[Nr zamówienia].&amp;[PL-2014-087219]"/>
            <x15:cachedUniqueName index="5004" name="[dane].[Nr zamówienia].&amp;[PL-2014-087220]"/>
            <x15:cachedUniqueName index="5005" name="[dane].[Nr zamówienia].&amp;[PL-2014-087225]"/>
            <x15:cachedUniqueName index="5006" name="[dane].[Nr zamówienia].&amp;[PL-2014-087226]"/>
            <x15:cachedUniqueName index="5007" name="[dane].[Nr zamówienia].&amp;[PL-2014-087227]"/>
            <x15:cachedUniqueName index="5008" name="[dane].[Nr zamówienia].&amp;[PL-2014-087228]"/>
            <x15:cachedUniqueName index="5009" name="[dane].[Nr zamówienia].&amp;[PL-2014-087233]"/>
            <x15:cachedUniqueName index="5010" name="[dane].[Nr zamówienia].&amp;[PL-2014-087238]"/>
            <x15:cachedUniqueName index="5011" name="[dane].[Nr zamówienia].&amp;[PL-2014-087239]"/>
            <x15:cachedUniqueName index="5012" name="[dane].[Nr zamówienia].&amp;[PL-2014-087253]"/>
            <x15:cachedUniqueName index="5013" name="[dane].[Nr zamówienia].&amp;[PL-2014-087254]"/>
            <x15:cachedUniqueName index="5014" name="[dane].[Nr zamówienia].&amp;[PL-2014-087255]"/>
            <x15:cachedUniqueName index="5015" name="[dane].[Nr zamówienia].&amp;[PL-2014-087256]"/>
            <x15:cachedUniqueName index="5016" name="[dane].[Nr zamówienia].&amp;[PL-2014-087257]"/>
            <x15:cachedUniqueName index="5017" name="[dane].[Nr zamówienia].&amp;[PL-2014-087265]"/>
            <x15:cachedUniqueName index="5018" name="[dane].[Nr zamówienia].&amp;[PL-2014-087266]"/>
            <x15:cachedUniqueName index="5019" name="[dane].[Nr zamówienia].&amp;[PL-2014-087267]"/>
            <x15:cachedUniqueName index="5020" name="[dane].[Nr zamówienia].&amp;[PL-2014-087268]"/>
            <x15:cachedUniqueName index="5021" name="[dane].[Nr zamówienia].&amp;[PL-2014-087269]"/>
            <x15:cachedUniqueName index="5022" name="[dane].[Nr zamówienia].&amp;[PL-2014-087270]"/>
            <x15:cachedUniqueName index="5023" name="[dane].[Nr zamówienia].&amp;[PL-2014-087271]"/>
            <x15:cachedUniqueName index="5024" name="[dane].[Nr zamówienia].&amp;[PL-2014-087275]"/>
            <x15:cachedUniqueName index="5025" name="[dane].[Nr zamówienia].&amp;[PL-2014-087276]"/>
            <x15:cachedUniqueName index="5026" name="[dane].[Nr zamówienia].&amp;[PL-2014-087282]"/>
            <x15:cachedUniqueName index="5027" name="[dane].[Nr zamówienia].&amp;[PL-2014-087283]"/>
            <x15:cachedUniqueName index="5028" name="[dane].[Nr zamówienia].&amp;[PL-2014-087284]"/>
            <x15:cachedUniqueName index="5029" name="[dane].[Nr zamówienia].&amp;[PL-2014-087291]"/>
            <x15:cachedUniqueName index="5030" name="[dane].[Nr zamówienia].&amp;[PL-2014-087292]"/>
            <x15:cachedUniqueName index="5031" name="[dane].[Nr zamówienia].&amp;[PL-2014-087293]"/>
            <x15:cachedUniqueName index="5032" name="[dane].[Nr zamówienia].&amp;[PL-2014-087294]"/>
            <x15:cachedUniqueName index="5033" name="[dane].[Nr zamówienia].&amp;[PL-2014-087295]"/>
            <x15:cachedUniqueName index="5034" name="[dane].[Nr zamówienia].&amp;[PL-2014-087303]"/>
            <x15:cachedUniqueName index="5035" name="[dane].[Nr zamówienia].&amp;[PL-2014-087304]"/>
            <x15:cachedUniqueName index="5036" name="[dane].[Nr zamówienia].&amp;[PL-2014-087305]"/>
            <x15:cachedUniqueName index="5037" name="[dane].[Nr zamówienia].&amp;[PL-2014-087310]"/>
            <x15:cachedUniqueName index="5038" name="[dane].[Nr zamówienia].&amp;[PL-2014-087311]"/>
            <x15:cachedUniqueName index="5039" name="[dane].[Nr zamówienia].&amp;[PL-2014-087312]"/>
            <x15:cachedUniqueName index="5040" name="[dane].[Nr zamówienia].&amp;[PL-2014-087313]"/>
            <x15:cachedUniqueName index="5041" name="[dane].[Nr zamówienia].&amp;[PL-2014-087314]"/>
            <x15:cachedUniqueName index="5042" name="[dane].[Nr zamówienia].&amp;[PL-2014-087315]"/>
            <x15:cachedUniqueName index="5043" name="[dane].[Nr zamówienia].&amp;[PL-2014-087322]"/>
            <x15:cachedUniqueName index="5044" name="[dane].[Nr zamówienia].&amp;[PL-2014-087323]"/>
            <x15:cachedUniqueName index="5045" name="[dane].[Nr zamówienia].&amp;[PL-2014-087324]"/>
            <x15:cachedUniqueName index="5046" name="[dane].[Nr zamówienia].&amp;[PL-2014-087325]"/>
            <x15:cachedUniqueName index="5047" name="[dane].[Nr zamówienia].&amp;[PL-2014-087326]"/>
            <x15:cachedUniqueName index="5048" name="[dane].[Nr zamówienia].&amp;[PL-2014-087327]"/>
            <x15:cachedUniqueName index="5049" name="[dane].[Nr zamówienia].&amp;[PL-2014-087332]"/>
            <x15:cachedUniqueName index="5050" name="[dane].[Nr zamówienia].&amp;[PL-2014-087333]"/>
            <x15:cachedUniqueName index="5051" name="[dane].[Nr zamówienia].&amp;[PL-2014-087334]"/>
            <x15:cachedUniqueName index="5052" name="[dane].[Nr zamówienia].&amp;[PL-2014-087335]"/>
            <x15:cachedUniqueName index="5053" name="[dane].[Nr zamówienia].&amp;[PL-2014-087339]"/>
            <x15:cachedUniqueName index="5054" name="[dane].[Nr zamówienia].&amp;[PL-2014-087340]"/>
            <x15:cachedUniqueName index="5055" name="[dane].[Nr zamówienia].&amp;[PL-2014-087341]"/>
            <x15:cachedUniqueName index="5056" name="[dane].[Nr zamówienia].&amp;[PL-2014-087344]"/>
            <x15:cachedUniqueName index="5057" name="[dane].[Nr zamówienia].&amp;[PL-2014-087353]"/>
            <x15:cachedUniqueName index="5058" name="[dane].[Nr zamówienia].&amp;[PL-2014-087354]"/>
            <x15:cachedUniqueName index="5059" name="[dane].[Nr zamówienia].&amp;[PL-2014-087355]"/>
            <x15:cachedUniqueName index="5060" name="[dane].[Nr zamówienia].&amp;[PL-2014-087360]"/>
            <x15:cachedUniqueName index="5061" name="[dane].[Nr zamówienia].&amp;[PL-2014-087361]"/>
            <x15:cachedUniqueName index="5062" name="[dane].[Nr zamówienia].&amp;[PL-2014-087362]"/>
            <x15:cachedUniqueName index="5063" name="[dane].[Nr zamówienia].&amp;[PL-2014-087363]"/>
            <x15:cachedUniqueName index="5064" name="[dane].[Nr zamówienia].&amp;[PL-2014-087370]"/>
            <x15:cachedUniqueName index="5065" name="[dane].[Nr zamówienia].&amp;[PL-2014-087371]"/>
            <x15:cachedUniqueName index="5066" name="[dane].[Nr zamówienia].&amp;[PL-2014-087372]"/>
            <x15:cachedUniqueName index="5067" name="[dane].[Nr zamówienia].&amp;[PL-2014-087373]"/>
            <x15:cachedUniqueName index="5068" name="[dane].[Nr zamówienia].&amp;[PL-2014-087377]"/>
            <x15:cachedUniqueName index="5069" name="[dane].[Nr zamówienia].&amp;[PL-2014-087380]"/>
            <x15:cachedUniqueName index="5070" name="[dane].[Nr zamówienia].&amp;[PL-2014-087381]"/>
            <x15:cachedUniqueName index="5071" name="[dane].[Nr zamówienia].&amp;[PL-2014-087388]"/>
            <x15:cachedUniqueName index="5072" name="[dane].[Nr zamówienia].&amp;[PL-2014-087389]"/>
            <x15:cachedUniqueName index="5073" name="[dane].[Nr zamówienia].&amp;[PL-2014-087393]"/>
            <x15:cachedUniqueName index="5074" name="[dane].[Nr zamówienia].&amp;[PL-2014-087394]"/>
            <x15:cachedUniqueName index="5075" name="[dane].[Nr zamówienia].&amp;[PL-2014-087395]"/>
            <x15:cachedUniqueName index="5076" name="[dane].[Nr zamówienia].&amp;[PL-2014-087402]"/>
            <x15:cachedUniqueName index="5077" name="[dane].[Nr zamówienia].&amp;[PL-2014-087403]"/>
            <x15:cachedUniqueName index="5078" name="[dane].[Nr zamówienia].&amp;[PL-2014-087404]"/>
            <x15:cachedUniqueName index="5079" name="[dane].[Nr zamówienia].&amp;[PL-2014-087405]"/>
            <x15:cachedUniqueName index="5080" name="[dane].[Nr zamówienia].&amp;[PL-2014-087412]"/>
            <x15:cachedUniqueName index="5081" name="[dane].[Nr zamówienia].&amp;[PL-2014-087413]"/>
            <x15:cachedUniqueName index="5082" name="[dane].[Nr zamówienia].&amp;[PL-2014-087414]"/>
            <x15:cachedUniqueName index="5083" name="[dane].[Nr zamówienia].&amp;[PL-2014-087415]"/>
            <x15:cachedUniqueName index="5084" name="[dane].[Nr zamówienia].&amp;[PL-2014-087416]"/>
            <x15:cachedUniqueName index="5085" name="[dane].[Nr zamówienia].&amp;[PL-2014-087417]"/>
            <x15:cachedUniqueName index="5086" name="[dane].[Nr zamówienia].&amp;[PL-2014-087418]"/>
            <x15:cachedUniqueName index="5087" name="[dane].[Nr zamówienia].&amp;[PL-2014-087419]"/>
            <x15:cachedUniqueName index="5088" name="[dane].[Nr zamówienia].&amp;[PL-2014-087420]"/>
            <x15:cachedUniqueName index="5089" name="[dane].[Nr zamówienia].&amp;[PL-2014-087421]"/>
            <x15:cachedUniqueName index="5090" name="[dane].[Nr zamówienia].&amp;[PL-2014-087422]"/>
            <x15:cachedUniqueName index="5091" name="[dane].[Nr zamówienia].&amp;[PL-2014-087423]"/>
            <x15:cachedUniqueName index="5092" name="[dane].[Nr zamówienia].&amp;[PL-2014-087431]"/>
            <x15:cachedUniqueName index="5093" name="[dane].[Nr zamówienia].&amp;[PL-2014-087432]"/>
            <x15:cachedUniqueName index="5094" name="[dane].[Nr zamówienia].&amp;[PL-2014-087434]"/>
            <x15:cachedUniqueName index="5095" name="[dane].[Nr zamówienia].&amp;[PL-2014-087442]"/>
            <x15:cachedUniqueName index="5096" name="[dane].[Nr zamówienia].&amp;[PL-2014-087443]"/>
            <x15:cachedUniqueName index="5097" name="[dane].[Nr zamówienia].&amp;[PL-2014-087449]"/>
            <x15:cachedUniqueName index="5098" name="[dane].[Nr zamówienia].&amp;[PL-2014-087450]"/>
            <x15:cachedUniqueName index="5099" name="[dane].[Nr zamówienia].&amp;[PL-2014-087458]"/>
            <x15:cachedUniqueName index="5100" name="[dane].[Nr zamówienia].&amp;[PL-2014-087459]"/>
            <x15:cachedUniqueName index="5101" name="[dane].[Nr zamówienia].&amp;[PL-2014-087460]"/>
            <x15:cachedUniqueName index="5102" name="[dane].[Nr zamówienia].&amp;[PL-2014-087461]"/>
            <x15:cachedUniqueName index="5103" name="[dane].[Nr zamówienia].&amp;[PL-2014-087462]"/>
            <x15:cachedUniqueName index="5104" name="[dane].[Nr zamówienia].&amp;[PL-2014-087467]"/>
            <x15:cachedUniqueName index="5105" name="[dane].[Nr zamówienia].&amp;[PL-2014-087468]"/>
            <x15:cachedUniqueName index="5106" name="[dane].[Nr zamówienia].&amp;[PL-2014-087472]"/>
            <x15:cachedUniqueName index="5107" name="[dane].[Nr zamówienia].&amp;[PL-2014-087479]"/>
            <x15:cachedUniqueName index="5108" name="[dane].[Nr zamówienia].&amp;[PL-2014-087480]"/>
            <x15:cachedUniqueName index="5109" name="[dane].[Nr zamówienia].&amp;[PL-2014-087481]"/>
            <x15:cachedUniqueName index="5110" name="[dane].[Nr zamówienia].&amp;[PL-2014-087482]"/>
            <x15:cachedUniqueName index="5111" name="[dane].[Nr zamówienia].&amp;[PL-2014-087483]"/>
            <x15:cachedUniqueName index="5112" name="[dane].[Nr zamówienia].&amp;[PL-2014-087502]"/>
            <x15:cachedUniqueName index="5113" name="[dane].[Nr zamówienia].&amp;[PL-2014-087503]"/>
            <x15:cachedUniqueName index="5114" name="[dane].[Nr zamówienia].&amp;[PL-2014-087504]"/>
            <x15:cachedUniqueName index="5115" name="[dane].[Nr zamówienia].&amp;[PL-2014-087505]"/>
            <x15:cachedUniqueName index="5116" name="[dane].[Nr zamówienia].&amp;[PL-2014-087509]"/>
            <x15:cachedUniqueName index="5117" name="[dane].[Nr zamówienia].&amp;[PL-2014-087510]"/>
            <x15:cachedUniqueName index="5118" name="[dane].[Nr zamówienia].&amp;[PL-2014-087517]"/>
            <x15:cachedUniqueName index="5119" name="[dane].[Nr zamówienia].&amp;[PL-2014-087518]"/>
            <x15:cachedUniqueName index="5120" name="[dane].[Nr zamówienia].&amp;[PL-2014-087519]"/>
            <x15:cachedUniqueName index="5121" name="[dane].[Nr zamówienia].&amp;[PL-2014-087527]"/>
            <x15:cachedUniqueName index="5122" name="[dane].[Nr zamówienia].&amp;[PL-2014-087528]"/>
            <x15:cachedUniqueName index="5123" name="[dane].[Nr zamówienia].&amp;[PL-2014-087529]"/>
            <x15:cachedUniqueName index="5124" name="[dane].[Nr zamówienia].&amp;[PL-2014-087532]"/>
            <x15:cachedUniqueName index="5125" name="[dane].[Nr zamówienia].&amp;[PL-2014-087533]"/>
            <x15:cachedUniqueName index="5126" name="[dane].[Nr zamówienia].&amp;[PL-2014-087546]"/>
            <x15:cachedUniqueName index="5127" name="[dane].[Nr zamówienia].&amp;[PL-2014-087547]"/>
            <x15:cachedUniqueName index="5128" name="[dane].[Nr zamówienia].&amp;[PL-2014-087548]"/>
            <x15:cachedUniqueName index="5129" name="[dane].[Nr zamówienia].&amp;[PL-2014-087549]"/>
            <x15:cachedUniqueName index="5130" name="[dane].[Nr zamówienia].&amp;[PL-2014-087550]"/>
            <x15:cachedUniqueName index="5131" name="[dane].[Nr zamówienia].&amp;[PL-2014-087551]"/>
            <x15:cachedUniqueName index="5132" name="[dane].[Nr zamówienia].&amp;[PL-2014-087563]"/>
            <x15:cachedUniqueName index="5133" name="[dane].[Nr zamówienia].&amp;[PL-2014-087564]"/>
            <x15:cachedUniqueName index="5134" name="[dane].[Nr zamówienia].&amp;[PL-2014-087565]"/>
            <x15:cachedUniqueName index="5135" name="[dane].[Nr zamówienia].&amp;[PL-2014-087566]"/>
            <x15:cachedUniqueName index="5136" name="[dane].[Nr zamówienia].&amp;[PL-2014-087567]"/>
            <x15:cachedUniqueName index="5137" name="[dane].[Nr zamówienia].&amp;[PL-2014-087568]"/>
            <x15:cachedUniqueName index="5138" name="[dane].[Nr zamówienia].&amp;[PL-2014-087573]"/>
            <x15:cachedUniqueName index="5139" name="[dane].[Nr zamówienia].&amp;[PL-2014-087574]"/>
            <x15:cachedUniqueName index="5140" name="[dane].[Nr zamówienia].&amp;[PL-2014-087577]"/>
            <x15:cachedUniqueName index="5141" name="[dane].[Nr zamówienia].&amp;[PL-2014-087578]"/>
            <x15:cachedUniqueName index="5142" name="[dane].[Nr zamówienia].&amp;[PL-2014-087582]"/>
            <x15:cachedUniqueName index="5143" name="[dane].[Nr zamówienia].&amp;[PL-2014-087597]"/>
            <x15:cachedUniqueName index="5144" name="[dane].[Nr zamówienia].&amp;[PL-2014-087598]"/>
            <x15:cachedUniqueName index="5145" name="[dane].[Nr zamówienia].&amp;[PL-2014-087599]"/>
            <x15:cachedUniqueName index="5146" name="[dane].[Nr zamówienia].&amp;[PL-2014-087600]"/>
            <x15:cachedUniqueName index="5147" name="[dane].[Nr zamówienia].&amp;[PL-2014-087601]"/>
            <x15:cachedUniqueName index="5148" name="[dane].[Nr zamówienia].&amp;[PL-2014-087610]"/>
            <x15:cachedUniqueName index="5149" name="[dane].[Nr zamówienia].&amp;[PL-2014-087615]"/>
            <x15:cachedUniqueName index="5150" name="[dane].[Nr zamówienia].&amp;[PL-2014-087616]"/>
            <x15:cachedUniqueName index="5151" name="[dane].[Nr zamówienia].&amp;[PL-2014-087628]"/>
            <x15:cachedUniqueName index="5152" name="[dane].[Nr zamówienia].&amp;[PL-2014-087629]"/>
            <x15:cachedUniqueName index="5153" name="[dane].[Nr zamówienia].&amp;[PL-2014-087642]"/>
            <x15:cachedUniqueName index="5154" name="[dane].[Nr zamówienia].&amp;[PL-2014-087643]"/>
            <x15:cachedUniqueName index="5155" name="[dane].[Nr zamówienia].&amp;[PL-2014-087644]"/>
            <x15:cachedUniqueName index="5156" name="[dane].[Nr zamówienia].&amp;[PL-2014-087645]"/>
            <x15:cachedUniqueName index="5157" name="[dane].[Nr zamówienia].&amp;[PL-2014-087663]"/>
            <x15:cachedUniqueName index="5158" name="[dane].[Nr zamówienia].&amp;[PL-2014-087664]"/>
            <x15:cachedUniqueName index="5159" name="[dane].[Nr zamówienia].&amp;[PL-2014-087665]"/>
            <x15:cachedUniqueName index="5160" name="[dane].[Nr zamówienia].&amp;[PL-2014-087666]"/>
            <x15:cachedUniqueName index="5161" name="[dane].[Nr zamówienia].&amp;[PL-2014-087667]"/>
            <x15:cachedUniqueName index="5162" name="[dane].[Nr zamówienia].&amp;[PL-2014-087668]"/>
            <x15:cachedUniqueName index="5163" name="[dane].[Nr zamówienia].&amp;[PL-2014-087669]"/>
            <x15:cachedUniqueName index="5164" name="[dane].[Nr zamówienia].&amp;[PL-2014-087670]"/>
            <x15:cachedUniqueName index="5165" name="[dane].[Nr zamówienia].&amp;[PL-2014-087674]"/>
            <x15:cachedUniqueName index="5166" name="[dane].[Nr zamówienia].&amp;[PL-2014-087675]"/>
            <x15:cachedUniqueName index="5167" name="[dane].[Nr zamówienia].&amp;[PL-2014-087688]"/>
            <x15:cachedUniqueName index="5168" name="[dane].[Nr zamówienia].&amp;[PL-2014-087689]"/>
            <x15:cachedUniqueName index="5169" name="[dane].[Nr zamówienia].&amp;[PL-2014-087690]"/>
            <x15:cachedUniqueName index="5170" name="[dane].[Nr zamówienia].&amp;[PL-2014-087691]"/>
            <x15:cachedUniqueName index="5171" name="[dane].[Nr zamówienia].&amp;[PL-2014-087692]"/>
            <x15:cachedUniqueName index="5172" name="[dane].[Nr zamówienia].&amp;[PL-2014-087693]"/>
            <x15:cachedUniqueName index="5173" name="[dane].[Nr zamówienia].&amp;[PL-2014-087694]"/>
            <x15:cachedUniqueName index="5174" name="[dane].[Nr zamówienia].&amp;[PL-2014-087699]"/>
            <x15:cachedUniqueName index="5175" name="[dane].[Nr zamówienia].&amp;[PL-2014-087707]"/>
            <x15:cachedUniqueName index="5176" name="[dane].[Nr zamówienia].&amp;[PL-2014-087708]"/>
            <x15:cachedUniqueName index="5177" name="[dane].[Nr zamówienia].&amp;[PL-2014-087709]"/>
            <x15:cachedUniqueName index="5178" name="[dane].[Nr zamówienia].&amp;[PL-2014-087715]"/>
            <x15:cachedUniqueName index="5179" name="[dane].[Nr zamówienia].&amp;[PL-2014-087716]"/>
            <x15:cachedUniqueName index="5180" name="[dane].[Nr zamówienia].&amp;[PL-2014-087717]"/>
            <x15:cachedUniqueName index="5181" name="[dane].[Nr zamówienia].&amp;[PL-2014-087718]"/>
            <x15:cachedUniqueName index="5182" name="[dane].[Nr zamówienia].&amp;[PL-2014-087719]"/>
            <x15:cachedUniqueName index="5183" name="[dane].[Nr zamówienia].&amp;[PL-2014-087724]"/>
            <x15:cachedUniqueName index="5184" name="[dane].[Nr zamówienia].&amp;[PL-2014-087731]"/>
            <x15:cachedUniqueName index="5185" name="[dane].[Nr zamówienia].&amp;[PL-2014-087732]"/>
            <x15:cachedUniqueName index="5186" name="[dane].[Nr zamówienia].&amp;[PL-2014-087733]"/>
            <x15:cachedUniqueName index="5187" name="[dane].[Nr zamówienia].&amp;[PL-2014-087734]"/>
            <x15:cachedUniqueName index="5188" name="[dane].[Nr zamówienia].&amp;[PL-2014-087735]"/>
            <x15:cachedUniqueName index="5189" name="[dane].[Nr zamówienia].&amp;[PL-2014-087736]"/>
            <x15:cachedUniqueName index="5190" name="[dane].[Nr zamówienia].&amp;[PL-2014-087737]"/>
            <x15:cachedUniqueName index="5191" name="[dane].[Nr zamówienia].&amp;[PL-2014-087738]"/>
            <x15:cachedUniqueName index="5192" name="[dane].[Nr zamówienia].&amp;[PL-2014-087746]"/>
            <x15:cachedUniqueName index="5193" name="[dane].[Nr zamówienia].&amp;[PL-2014-087754]"/>
            <x15:cachedUniqueName index="5194" name="[dane].[Nr zamówienia].&amp;[PL-2014-087755]"/>
            <x15:cachedUniqueName index="5195" name="[dane].[Nr zamówienia].&amp;[PL-2014-087756]"/>
            <x15:cachedUniqueName index="5196" name="[dane].[Nr zamówienia].&amp;[PL-2014-087764]"/>
            <x15:cachedUniqueName index="5197" name="[dane].[Nr zamówienia].&amp;[PL-2014-087770]"/>
            <x15:cachedUniqueName index="5198" name="[dane].[Nr zamówienia].&amp;[PL-2014-087771]"/>
            <x15:cachedUniqueName index="5199" name="[dane].[Nr zamówienia].&amp;[PL-2014-087782]"/>
            <x15:cachedUniqueName index="5200" name="[dane].[Nr zamówienia].&amp;[PL-2014-087783]"/>
            <x15:cachedUniqueName index="5201" name="[dane].[Nr zamówienia].&amp;[PL-2014-087787]"/>
            <x15:cachedUniqueName index="5202" name="[dane].[Nr zamówienia].&amp;[PL-2014-087788]"/>
            <x15:cachedUniqueName index="5203" name="[dane].[Nr zamówienia].&amp;[PL-2014-087789]"/>
            <x15:cachedUniqueName index="5204" name="[dane].[Nr zamówienia].&amp;[PL-2014-087794]"/>
            <x15:cachedUniqueName index="5205" name="[dane].[Nr zamówienia].&amp;[PL-2014-087803]"/>
            <x15:cachedUniqueName index="5206" name="[dane].[Nr zamówienia].&amp;[PL-2014-087808]"/>
            <x15:cachedUniqueName index="5207" name="[dane].[Nr zamówienia].&amp;[PL-2014-087809]"/>
            <x15:cachedUniqueName index="5208" name="[dane].[Nr zamówienia].&amp;[PL-2014-087810]"/>
            <x15:cachedUniqueName index="5209" name="[dane].[Nr zamówienia].&amp;[PL-2014-087819]"/>
            <x15:cachedUniqueName index="5210" name="[dane].[Nr zamówienia].&amp;[PL-2014-087820]"/>
            <x15:cachedUniqueName index="5211" name="[dane].[Nr zamówienia].&amp;[PL-2014-087821]"/>
            <x15:cachedUniqueName index="5212" name="[dane].[Nr zamówienia].&amp;[PL-2014-087822]"/>
            <x15:cachedUniqueName index="5213" name="[dane].[Nr zamówienia].&amp;[PL-2014-087826]"/>
            <x15:cachedUniqueName index="5214" name="[dane].[Nr zamówienia].&amp;[PL-2014-087827]"/>
            <x15:cachedUniqueName index="5215" name="[dane].[Nr zamówienia].&amp;[PL-2014-087828]"/>
            <x15:cachedUniqueName index="5216" name="[dane].[Nr zamówienia].&amp;[PL-2014-087829]"/>
            <x15:cachedUniqueName index="5217" name="[dane].[Nr zamówienia].&amp;[PL-2014-087839]"/>
            <x15:cachedUniqueName index="5218" name="[dane].[Nr zamówienia].&amp;[PL-2014-087840]"/>
            <x15:cachedUniqueName index="5219" name="[dane].[Nr zamówienia].&amp;[PL-2014-087841]"/>
            <x15:cachedUniqueName index="5220" name="[dane].[Nr zamówienia].&amp;[PL-2014-087843]"/>
            <x15:cachedUniqueName index="5221" name="[dane].[Nr zamówienia].&amp;[PL-2014-087844]"/>
            <x15:cachedUniqueName index="5222" name="[dane].[Nr zamówienia].&amp;[PL-2014-087845]"/>
            <x15:cachedUniqueName index="5223" name="[dane].[Nr zamówienia].&amp;[PL-2014-087851]"/>
            <x15:cachedUniqueName index="5224" name="[dane].[Nr zamówienia].&amp;[PL-2014-087852]"/>
            <x15:cachedUniqueName index="5225" name="[dane].[Nr zamówienia].&amp;[PL-2014-087860]"/>
            <x15:cachedUniqueName index="5226" name="[dane].[Nr zamówienia].&amp;[PL-2014-087861]"/>
            <x15:cachedUniqueName index="5227" name="[dane].[Nr zamówienia].&amp;[PL-2014-087873]"/>
            <x15:cachedUniqueName index="5228" name="[dane].[Nr zamówienia].&amp;[PL-2014-087874]"/>
            <x15:cachedUniqueName index="5229" name="[dane].[Nr zamówienia].&amp;[PL-2014-087875]"/>
            <x15:cachedUniqueName index="5230" name="[dane].[Nr zamówienia].&amp;[PL-2014-087876]"/>
            <x15:cachedUniqueName index="5231" name="[dane].[Nr zamówienia].&amp;[PL-2014-087882]"/>
            <x15:cachedUniqueName index="5232" name="[dane].[Nr zamówienia].&amp;[PL-2014-087883]"/>
            <x15:cachedUniqueName index="5233" name="[dane].[Nr zamówienia].&amp;[PL-2014-087897]"/>
            <x15:cachedUniqueName index="5234" name="[dane].[Nr zamówienia].&amp;[PL-2014-087898]"/>
            <x15:cachedUniqueName index="5235" name="[dane].[Nr zamówienia].&amp;[PL-2014-087903]"/>
            <x15:cachedUniqueName index="5236" name="[dane].[Nr zamówienia].&amp;[PL-2014-087904]"/>
            <x15:cachedUniqueName index="5237" name="[dane].[Nr zamówienia].&amp;[PL-2014-087913]"/>
            <x15:cachedUniqueName index="5238" name="[dane].[Nr zamówienia].&amp;[PL-2014-087914]"/>
            <x15:cachedUniqueName index="5239" name="[dane].[Nr zamówienia].&amp;[PL-2014-087923]"/>
            <x15:cachedUniqueName index="5240" name="[dane].[Nr zamówienia].&amp;[PL-2014-087924]"/>
            <x15:cachedUniqueName index="5241" name="[dane].[Nr zamówienia].&amp;[PL-2014-087925]"/>
            <x15:cachedUniqueName index="5242" name="[dane].[Nr zamówienia].&amp;[PL-2014-087926]"/>
            <x15:cachedUniqueName index="5243" name="[dane].[Nr zamówienia].&amp;[PL-2014-087927]"/>
            <x15:cachedUniqueName index="5244" name="[dane].[Nr zamówienia].&amp;[PL-2014-087928]"/>
            <x15:cachedUniqueName index="5245" name="[dane].[Nr zamówienia].&amp;[PL-2014-087929]"/>
            <x15:cachedUniqueName index="5246" name="[dane].[Nr zamówienia].&amp;[PL-2014-087930]"/>
            <x15:cachedUniqueName index="5247" name="[dane].[Nr zamówienia].&amp;[PL-2014-087931]"/>
            <x15:cachedUniqueName index="5248" name="[dane].[Nr zamówienia].&amp;[PL-2014-087932]"/>
            <x15:cachedUniqueName index="5249" name="[dane].[Nr zamówienia].&amp;[PL-2014-087939]"/>
            <x15:cachedUniqueName index="5250" name="[dane].[Nr zamówienia].&amp;[PL-2014-087943]"/>
            <x15:cachedUniqueName index="5251" name="[dane].[Nr zamówienia].&amp;[PL-2014-087944]"/>
            <x15:cachedUniqueName index="5252" name="[dane].[Nr zamówienia].&amp;[PL-2014-087945]"/>
            <x15:cachedUniqueName index="5253" name="[dane].[Nr zamówienia].&amp;[PL-2014-087949]"/>
            <x15:cachedUniqueName index="5254" name="[dane].[Nr zamówienia].&amp;[PL-2014-087950]"/>
            <x15:cachedUniqueName index="5255" name="[dane].[Nr zamówienia].&amp;[PL-2014-087951]"/>
            <x15:cachedUniqueName index="5256" name="[dane].[Nr zamówienia].&amp;[PL-2014-087961]"/>
            <x15:cachedUniqueName index="5257" name="[dane].[Nr zamówienia].&amp;[PL-2014-087972]"/>
            <x15:cachedUniqueName index="5258" name="[dane].[Nr zamówienia].&amp;[PL-2014-087976]"/>
            <x15:cachedUniqueName index="5259" name="[dane].[Nr zamówienia].&amp;[PL-2014-087989]"/>
            <x15:cachedUniqueName index="5260" name="[dane].[Nr zamówienia].&amp;[PL-2014-087990]"/>
            <x15:cachedUniqueName index="5261" name="[dane].[Nr zamówienia].&amp;[PL-2014-087991]"/>
            <x15:cachedUniqueName index="5262" name="[dane].[Nr zamówienia].&amp;[PL-2014-087992]"/>
            <x15:cachedUniqueName index="5263" name="[dane].[Nr zamówienia].&amp;[PL-2014-087998]"/>
            <x15:cachedUniqueName index="5264" name="[dane].[Nr zamówienia].&amp;[PL-2014-087999]"/>
            <x15:cachedUniqueName index="5265" name="[dane].[Nr zamówienia].&amp;[PL-2014-088011]"/>
            <x15:cachedUniqueName index="5266" name="[dane].[Nr zamówienia].&amp;[PL-2014-088012]"/>
            <x15:cachedUniqueName index="5267" name="[dane].[Nr zamówienia].&amp;[PL-2014-088013]"/>
            <x15:cachedUniqueName index="5268" name="[dane].[Nr zamówienia].&amp;[PL-2014-088020]"/>
            <x15:cachedUniqueName index="5269" name="[dane].[Nr zamówienia].&amp;[PL-2014-088021]"/>
            <x15:cachedUniqueName index="5270" name="[dane].[Nr zamówienia].&amp;[PL-2014-088022]"/>
            <x15:cachedUniqueName index="5271" name="[dane].[Nr zamówienia].&amp;[PL-2014-088035]"/>
            <x15:cachedUniqueName index="5272" name="[dane].[Nr zamówienia].&amp;[PL-2014-088036]"/>
            <x15:cachedUniqueName index="5273" name="[dane].[Nr zamówienia].&amp;[PL-2014-088037]"/>
            <x15:cachedUniqueName index="5274" name="[dane].[Nr zamówienia].&amp;[PL-2014-088038]"/>
            <x15:cachedUniqueName index="5275" name="[dane].[Nr zamówienia].&amp;[PL-2014-088045]"/>
            <x15:cachedUniqueName index="5276" name="[dane].[Nr zamówienia].&amp;[PL-2014-088046]"/>
            <x15:cachedUniqueName index="5277" name="[dane].[Nr zamówienia].&amp;[PL-2014-088047]"/>
            <x15:cachedUniqueName index="5278" name="[dane].[Nr zamówienia].&amp;[PL-2014-088056]"/>
            <x15:cachedUniqueName index="5279" name="[dane].[Nr zamówienia].&amp;[PL-2014-088057]"/>
            <x15:cachedUniqueName index="5280" name="[dane].[Nr zamówienia].&amp;[PL-2014-088058]"/>
            <x15:cachedUniqueName index="5281" name="[dane].[Nr zamówienia].&amp;[PL-2014-088059]"/>
            <x15:cachedUniqueName index="5282" name="[dane].[Nr zamówienia].&amp;[PL-2014-088068]"/>
            <x15:cachedUniqueName index="5283" name="[dane].[Nr zamówienia].&amp;[PL-2014-088069]"/>
            <x15:cachedUniqueName index="5284" name="[dane].[Nr zamówienia].&amp;[PL-2014-088070]"/>
            <x15:cachedUniqueName index="5285" name="[dane].[Nr zamówienia].&amp;[PL-2014-088073]"/>
            <x15:cachedUniqueName index="5286" name="[dane].[Nr zamówienia].&amp;[PL-2014-088074]"/>
            <x15:cachedUniqueName index="5287" name="[dane].[Nr zamówienia].&amp;[PL-2014-088079]"/>
            <x15:cachedUniqueName index="5288" name="[dane].[Nr zamówienia].&amp;[PL-2014-088080]"/>
            <x15:cachedUniqueName index="5289" name="[dane].[Nr zamówienia].&amp;[PL-2014-088081]"/>
            <x15:cachedUniqueName index="5290" name="[dane].[Nr zamówienia].&amp;[PL-2014-088082]"/>
            <x15:cachedUniqueName index="5291" name="[dane].[Nr zamówienia].&amp;[PL-2014-088087]"/>
            <x15:cachedUniqueName index="5292" name="[dane].[Nr zamówienia].&amp;[PL-2014-088088]"/>
            <x15:cachedUniqueName index="5293" name="[dane].[Nr zamówienia].&amp;[PL-2014-088089]"/>
            <x15:cachedUniqueName index="5294" name="[dane].[Nr zamówienia].&amp;[PL-2014-088090]"/>
            <x15:cachedUniqueName index="5295" name="[dane].[Nr zamówienia].&amp;[PL-2014-088091]"/>
            <x15:cachedUniqueName index="5296" name="[dane].[Nr zamówienia].&amp;[PL-2014-088092]"/>
            <x15:cachedUniqueName index="5297" name="[dane].[Nr zamówienia].&amp;[PL-2014-088099]"/>
            <x15:cachedUniqueName index="5298" name="[dane].[Nr zamówienia].&amp;[PL-2014-088100]"/>
            <x15:cachedUniqueName index="5299" name="[dane].[Nr zamówienia].&amp;[PL-2014-088113]"/>
            <x15:cachedUniqueName index="5300" name="[dane].[Nr zamówienia].&amp;[PL-2014-088122]"/>
            <x15:cachedUniqueName index="5301" name="[dane].[Nr zamówienia].&amp;[PL-2014-088123]"/>
            <x15:cachedUniqueName index="5302" name="[dane].[Nr zamówienia].&amp;[PL-2014-088124]"/>
            <x15:cachedUniqueName index="5303" name="[dane].[Nr zamówienia].&amp;[PL-2014-088125]"/>
            <x15:cachedUniqueName index="5304" name="[dane].[Nr zamówienia].&amp;[PL-2014-088132]"/>
            <x15:cachedUniqueName index="5305" name="[dane].[Nr zamówienia].&amp;[PL-2014-088133]"/>
            <x15:cachedUniqueName index="5306" name="[dane].[Nr zamówienia].&amp;[PL-2014-088134]"/>
            <x15:cachedUniqueName index="5307" name="[dane].[Nr zamówienia].&amp;[PL-2014-088144]"/>
            <x15:cachedUniqueName index="5308" name="[dane].[Nr zamówienia].&amp;[PL-2014-088145]"/>
            <x15:cachedUniqueName index="5309" name="[dane].[Nr zamówienia].&amp;[PL-2014-088146]"/>
            <x15:cachedUniqueName index="5310" name="[dane].[Nr zamówienia].&amp;[PL-2014-088147]"/>
            <x15:cachedUniqueName index="5311" name="[dane].[Nr zamówienia].&amp;[PL-2014-088148]"/>
            <x15:cachedUniqueName index="5312" name="[dane].[Nr zamówienia].&amp;[PL-2014-088149]"/>
            <x15:cachedUniqueName index="5313" name="[dane].[Nr zamówienia].&amp;[PL-2014-088150]"/>
            <x15:cachedUniqueName index="5314" name="[dane].[Nr zamówienia].&amp;[PL-2014-088153]"/>
            <x15:cachedUniqueName index="5315" name="[dane].[Nr zamówienia].&amp;[PL-2014-088154]"/>
            <x15:cachedUniqueName index="5316" name="[dane].[Nr zamówienia].&amp;[PL-2014-088155]"/>
            <x15:cachedUniqueName index="5317" name="[dane].[Nr zamówienia].&amp;[PL-2014-088160]"/>
            <x15:cachedUniqueName index="5318" name="[dane].[Nr zamówienia].&amp;[PL-2014-088161]"/>
            <x15:cachedUniqueName index="5319" name="[dane].[Nr zamówienia].&amp;[PL-2014-088162]"/>
            <x15:cachedUniqueName index="5320" name="[dane].[Nr zamówienia].&amp;[PL-2014-088168]"/>
            <x15:cachedUniqueName index="5321" name="[dane].[Nr zamówienia].&amp;[PL-2014-088169]"/>
            <x15:cachedUniqueName index="5322" name="[dane].[Nr zamówienia].&amp;[PL-2014-088170]"/>
            <x15:cachedUniqueName index="5323" name="[dane].[Nr zamówienia].&amp;[PL-2014-088171]"/>
            <x15:cachedUniqueName index="5324" name="[dane].[Nr zamówienia].&amp;[PL-2014-088172]"/>
            <x15:cachedUniqueName index="5325" name="[dane].[Nr zamówienia].&amp;[PL-2014-088181]"/>
            <x15:cachedUniqueName index="5326" name="[dane].[Nr zamówienia].&amp;[PL-2014-088182]"/>
            <x15:cachedUniqueName index="5327" name="[dane].[Nr zamówienia].&amp;[PL-2014-088183]"/>
            <x15:cachedUniqueName index="5328" name="[dane].[Nr zamówienia].&amp;[PL-2014-088190]"/>
            <x15:cachedUniqueName index="5329" name="[dane].[Nr zamówienia].&amp;[PL-2014-088194]"/>
            <x15:cachedUniqueName index="5330" name="[dane].[Nr zamówienia].&amp;[PL-2014-088195]"/>
            <x15:cachedUniqueName index="5331" name="[dane].[Nr zamówienia].&amp;[PL-2014-088200]"/>
            <x15:cachedUniqueName index="5332" name="[dane].[Nr zamówienia].&amp;[PL-2014-088201]"/>
            <x15:cachedUniqueName index="5333" name="[dane].[Nr zamówienia].&amp;[PL-2014-088202]"/>
            <x15:cachedUniqueName index="5334" name="[dane].[Nr zamówienia].&amp;[PL-2014-088203]"/>
            <x15:cachedUniqueName index="5335" name="[dane].[Nr zamówienia].&amp;[PL-2014-088210]"/>
            <x15:cachedUniqueName index="5336" name="[dane].[Nr zamówienia].&amp;[PL-2014-088211]"/>
            <x15:cachedUniqueName index="5337" name="[dane].[Nr zamówienia].&amp;[PL-2014-088216]"/>
            <x15:cachedUniqueName index="5338" name="[dane].[Nr zamówienia].&amp;[PL-2014-088217]"/>
            <x15:cachedUniqueName index="5339" name="[dane].[Nr zamówienia].&amp;[PL-2014-088218]"/>
            <x15:cachedUniqueName index="5340" name="[dane].[Nr zamówienia].&amp;[PL-2014-088230]"/>
            <x15:cachedUniqueName index="5341" name="[dane].[Nr zamówienia].&amp;[PL-2014-088231]"/>
            <x15:cachedUniqueName index="5342" name="[dane].[Nr zamówienia].&amp;[PL-2014-088238]"/>
            <x15:cachedUniqueName index="5343" name="[dane].[Nr zamówienia].&amp;[PL-2014-088248]"/>
            <x15:cachedUniqueName index="5344" name="[dane].[Nr zamówienia].&amp;[PL-2014-088249]"/>
            <x15:cachedUniqueName index="5345" name="[dane].[Nr zamówienia].&amp;[PL-2014-088250]"/>
            <x15:cachedUniqueName index="5346" name="[dane].[Nr zamówienia].&amp;[PL-2014-088251]"/>
            <x15:cachedUniqueName index="5347" name="[dane].[Nr zamówienia].&amp;[PL-2014-088252]"/>
            <x15:cachedUniqueName index="5348" name="[dane].[Nr zamówienia].&amp;[PL-2014-088263]"/>
            <x15:cachedUniqueName index="5349" name="[dane].[Nr zamówienia].&amp;[PL-2014-088264]"/>
            <x15:cachedUniqueName index="5350" name="[dane].[Nr zamówienia].&amp;[PL-2014-088275]"/>
            <x15:cachedUniqueName index="5351" name="[dane].[Nr zamówienia].&amp;[PL-2014-088276]"/>
            <x15:cachedUniqueName index="5352" name="[dane].[Nr zamówienia].&amp;[PL-2014-088277]"/>
            <x15:cachedUniqueName index="5353" name="[dane].[Nr zamówienia].&amp;[PL-2014-088287]"/>
            <x15:cachedUniqueName index="5354" name="[dane].[Nr zamówienia].&amp;[PL-2014-088288]"/>
            <x15:cachedUniqueName index="5355" name="[dane].[Nr zamówienia].&amp;[PL-2014-088289]"/>
            <x15:cachedUniqueName index="5356" name="[dane].[Nr zamówienia].&amp;[PL-2014-088290]"/>
            <x15:cachedUniqueName index="5357" name="[dane].[Nr zamówienia].&amp;[PL-2014-088291]"/>
            <x15:cachedUniqueName index="5358" name="[dane].[Nr zamówienia].&amp;[PL-2014-088292]"/>
            <x15:cachedUniqueName index="5359" name="[dane].[Nr zamówienia].&amp;[PL-2014-088293]"/>
            <x15:cachedUniqueName index="5360" name="[dane].[Nr zamówienia].&amp;[PL-2014-088294]"/>
            <x15:cachedUniqueName index="5361" name="[dane].[Nr zamówienia].&amp;[PL-2014-088295]"/>
            <x15:cachedUniqueName index="5362" name="[dane].[Nr zamówienia].&amp;[PL-2014-088305]"/>
            <x15:cachedUniqueName index="5363" name="[dane].[Nr zamówienia].&amp;[PL-2014-088306]"/>
            <x15:cachedUniqueName index="5364" name="[dane].[Nr zamówienia].&amp;[PL-2014-088307]"/>
            <x15:cachedUniqueName index="5365" name="[dane].[Nr zamówienia].&amp;[PL-2014-088308]"/>
            <x15:cachedUniqueName index="5366" name="[dane].[Nr zamówienia].&amp;[PL-2014-088309]"/>
            <x15:cachedUniqueName index="5367" name="[dane].[Nr zamówienia].&amp;[PL-2014-088310]"/>
            <x15:cachedUniqueName index="5368" name="[dane].[Nr zamówienia].&amp;[PL-2014-088311]"/>
            <x15:cachedUniqueName index="5369" name="[dane].[Nr zamówienia].&amp;[PL-2014-088312]"/>
            <x15:cachedUniqueName index="5370" name="[dane].[Nr zamówienia].&amp;[PL-2014-088313]"/>
            <x15:cachedUniqueName index="5371" name="[dane].[Nr zamówienia].&amp;[PL-2014-088316]"/>
            <x15:cachedUniqueName index="5372" name="[dane].[Nr zamówienia].&amp;[PL-2014-088317]"/>
            <x15:cachedUniqueName index="5373" name="[dane].[Nr zamówienia].&amp;[PL-2014-088318]"/>
            <x15:cachedUniqueName index="5374" name="[dane].[Nr zamówienia].&amp;[PL-2014-088324]"/>
            <x15:cachedUniqueName index="5375" name="[dane].[Nr zamówienia].&amp;[PL-2014-088325]"/>
            <x15:cachedUniqueName index="5376" name="[dane].[Nr zamówienia].&amp;[PL-2014-088326]"/>
            <x15:cachedUniqueName index="5377" name="[dane].[Nr zamówienia].&amp;[PL-2014-088327]"/>
            <x15:cachedUniqueName index="5378" name="[dane].[Nr zamówienia].&amp;[PL-2014-088328]"/>
            <x15:cachedUniqueName index="5379" name="[dane].[Nr zamówienia].&amp;[PL-2014-088336]"/>
            <x15:cachedUniqueName index="5380" name="[dane].[Nr zamówienia].&amp;[PL-2014-088337]"/>
            <x15:cachedUniqueName index="5381" name="[dane].[Nr zamówienia].&amp;[PL-2014-088338]"/>
            <x15:cachedUniqueName index="5382" name="[dane].[Nr zamówienia].&amp;[PL-2014-088339]"/>
            <x15:cachedUniqueName index="5383" name="[dane].[Nr zamówienia].&amp;[PL-2014-088340]"/>
            <x15:cachedUniqueName index="5384" name="[dane].[Nr zamówienia].&amp;[PL-2014-088346]"/>
            <x15:cachedUniqueName index="5385" name="[dane].[Nr zamówienia].&amp;[PL-2014-088347]"/>
            <x15:cachedUniqueName index="5386" name="[dane].[Nr zamówienia].&amp;[PL-2014-088354]"/>
            <x15:cachedUniqueName index="5387" name="[dane].[Nr zamówienia].&amp;[PL-2014-088355]"/>
            <x15:cachedUniqueName index="5388" name="[dane].[Nr zamówienia].&amp;[PL-2014-088356]"/>
            <x15:cachedUniqueName index="5389" name="[dane].[Nr zamówienia].&amp;[PL-2014-088357]"/>
            <x15:cachedUniqueName index="5390" name="[dane].[Nr zamówienia].&amp;[PL-2014-088358]"/>
            <x15:cachedUniqueName index="5391" name="[dane].[Nr zamówienia].&amp;[PL-2014-088359]"/>
            <x15:cachedUniqueName index="5392" name="[dane].[Nr zamówienia].&amp;[PL-2014-088366]"/>
            <x15:cachedUniqueName index="5393" name="[dane].[Nr zamówienia].&amp;[PL-2014-088375]"/>
            <x15:cachedUniqueName index="5394" name="[dane].[Nr zamówienia].&amp;[PL-2014-088376]"/>
            <x15:cachedUniqueName index="5395" name="[dane].[Nr zamówienia].&amp;[PL-2014-088386]"/>
            <x15:cachedUniqueName index="5396" name="[dane].[Nr zamówienia].&amp;[PL-2014-088400]"/>
            <x15:cachedUniqueName index="5397" name="[dane].[Nr zamówienia].&amp;[PL-2014-088401]"/>
            <x15:cachedUniqueName index="5398" name="[dane].[Nr zamówienia].&amp;[PL-2014-088402]"/>
            <x15:cachedUniqueName index="5399" name="[dane].[Nr zamówienia].&amp;[PL-2014-088415]"/>
            <x15:cachedUniqueName index="5400" name="[dane].[Nr zamówienia].&amp;[PL-2014-088416]"/>
            <x15:cachedUniqueName index="5401" name="[dane].[Nr zamówienia].&amp;[PL-2014-088417]"/>
            <x15:cachedUniqueName index="5402" name="[dane].[Nr zamówienia].&amp;[PL-2014-088420]"/>
            <x15:cachedUniqueName index="5403" name="[dane].[Nr zamówienia].&amp;[PL-2014-088424]"/>
            <x15:cachedUniqueName index="5404" name="[dane].[Nr zamówienia].&amp;[PL-2014-088429]"/>
            <x15:cachedUniqueName index="5405" name="[dane].[Nr zamówienia].&amp;[PL-2014-088432]"/>
            <x15:cachedUniqueName index="5406" name="[dane].[Nr zamówienia].&amp;[PL-2014-088433]"/>
            <x15:cachedUniqueName index="5407" name="[dane].[Nr zamówienia].&amp;[PL-2014-088435]"/>
            <x15:cachedUniqueName index="5408" name="[dane].[Nr zamówienia].&amp;[PL-2014-088440]"/>
            <x15:cachedUniqueName index="5409" name="[dane].[Nr zamówienia].&amp;[PL-2014-088441]"/>
            <x15:cachedUniqueName index="5410" name="[dane].[Nr zamówienia].&amp;[PL-2014-088442]"/>
            <x15:cachedUniqueName index="5411" name="[dane].[Nr zamówienia].&amp;[PL-2014-088446]"/>
            <x15:cachedUniqueName index="5412" name="[dane].[Nr zamówienia].&amp;[PL-2014-088451]"/>
            <x15:cachedUniqueName index="5413" name="[dane].[Nr zamówienia].&amp;[PL-2014-088452]"/>
            <x15:cachedUniqueName index="5414" name="[dane].[Nr zamówienia].&amp;[PL-2014-088456]"/>
            <x15:cachedUniqueName index="5415" name="[dane].[Nr zamówienia].&amp;[PL-2014-088457]"/>
            <x15:cachedUniqueName index="5416" name="[dane].[Nr zamówienia].&amp;[PL-2014-088458]"/>
            <x15:cachedUniqueName index="5417" name="[dane].[Nr zamówienia].&amp;[PL-2014-088459]"/>
            <x15:cachedUniqueName index="5418" name="[dane].[Nr zamówienia].&amp;[PL-2014-088466]"/>
            <x15:cachedUniqueName index="5419" name="[dane].[Nr zamówienia].&amp;[PL-2014-088467]"/>
            <x15:cachedUniqueName index="5420" name="[dane].[Nr zamówienia].&amp;[PL-2014-088468]"/>
            <x15:cachedUniqueName index="5421" name="[dane].[Nr zamówienia].&amp;[PL-2014-088469]"/>
            <x15:cachedUniqueName index="5422" name="[dane].[Nr zamówienia].&amp;[PL-2014-088473]"/>
            <x15:cachedUniqueName index="5423" name="[dane].[Nr zamówienia].&amp;[PL-2014-088478]"/>
            <x15:cachedUniqueName index="5424" name="[dane].[Nr zamówienia].&amp;[PL-2014-088484]"/>
            <x15:cachedUniqueName index="5425" name="[dane].[Nr zamówienia].&amp;[PL-2014-088485]"/>
            <x15:cachedUniqueName index="5426" name="[dane].[Nr zamówienia].&amp;[PL-2014-088486]"/>
            <x15:cachedUniqueName index="5427" name="[dane].[Nr zamówienia].&amp;[PL-2014-088498]"/>
            <x15:cachedUniqueName index="5428" name="[dane].[Nr zamówienia].&amp;[PL-2014-088499]"/>
            <x15:cachedUniqueName index="5429" name="[dane].[Nr zamówienia].&amp;[PL-2014-088500]"/>
            <x15:cachedUniqueName index="5430" name="[dane].[Nr zamówienia].&amp;[PL-2014-088501]"/>
            <x15:cachedUniqueName index="5431" name="[dane].[Nr zamówienia].&amp;[PL-2014-088515]"/>
            <x15:cachedUniqueName index="5432" name="[dane].[Nr zamówienia].&amp;[PL-2014-088516]"/>
            <x15:cachedUniqueName index="5433" name="[dane].[Nr zamówienia].&amp;[PL-2014-088519]"/>
            <x15:cachedUniqueName index="5434" name="[dane].[Nr zamówienia].&amp;[PL-2014-088520]"/>
            <x15:cachedUniqueName index="5435" name="[dane].[Nr zamówienia].&amp;[PL-2014-088521]"/>
            <x15:cachedUniqueName index="5436" name="[dane].[Nr zamówienia].&amp;[PL-2014-088526]"/>
            <x15:cachedUniqueName index="5437" name="[dane].[Nr zamówienia].&amp;[PL-2014-088533]"/>
            <x15:cachedUniqueName index="5438" name="[dane].[Nr zamówienia].&amp;[PL-2014-088537]"/>
            <x15:cachedUniqueName index="5439" name="[dane].[Nr zamówienia].&amp;[PL-2014-088538]"/>
            <x15:cachedUniqueName index="5440" name="[dane].[Nr zamówienia].&amp;[PL-2014-088539]"/>
            <x15:cachedUniqueName index="5441" name="[dane].[Nr zamówienia].&amp;[PL-2014-088541]"/>
            <x15:cachedUniqueName index="5442" name="[dane].[Nr zamówienia].&amp;[PL-2014-088542]"/>
            <x15:cachedUniqueName index="5443" name="[dane].[Nr zamówienia].&amp;[PL-2014-088550]"/>
            <x15:cachedUniqueName index="5444" name="[dane].[Nr zamówienia].&amp;[PL-2014-088551]"/>
            <x15:cachedUniqueName index="5445" name="[dane].[Nr zamówienia].&amp;[PL-2014-088552]"/>
            <x15:cachedUniqueName index="5446" name="[dane].[Nr zamówienia].&amp;[PL-2014-088553]"/>
            <x15:cachedUniqueName index="5447" name="[dane].[Nr zamówienia].&amp;[PL-2014-088562]"/>
            <x15:cachedUniqueName index="5448" name="[dane].[Nr zamówienia].&amp;[PL-2014-088563]"/>
            <x15:cachedUniqueName index="5449" name="[dane].[Nr zamówienia].&amp;[PL-2014-088564]"/>
            <x15:cachedUniqueName index="5450" name="[dane].[Nr zamówienia].&amp;[PL-2014-088565]"/>
            <x15:cachedUniqueName index="5451" name="[dane].[Nr zamówienia].&amp;[PL-2014-088566]"/>
            <x15:cachedUniqueName index="5452" name="[dane].[Nr zamówienia].&amp;[PL-2014-088567]"/>
            <x15:cachedUniqueName index="5453" name="[dane].[Nr zamówienia].&amp;[PL-2014-088574]"/>
            <x15:cachedUniqueName index="5454" name="[dane].[Nr zamówienia].&amp;[PL-2014-088575]"/>
            <x15:cachedUniqueName index="5455" name="[dane].[Nr zamówienia].&amp;[PL-2014-088576]"/>
            <x15:cachedUniqueName index="5456" name="[dane].[Nr zamówienia].&amp;[PL-2014-088577]"/>
            <x15:cachedUniqueName index="5457" name="[dane].[Nr zamówienia].&amp;[PL-2014-088578]"/>
            <x15:cachedUniqueName index="5458" name="[dane].[Nr zamówienia].&amp;[PL-2014-088584]"/>
            <x15:cachedUniqueName index="5459" name="[dane].[Nr zamówienia].&amp;[PL-2014-088585]"/>
            <x15:cachedUniqueName index="5460" name="[dane].[Nr zamówienia].&amp;[PL-2014-088586]"/>
            <x15:cachedUniqueName index="5461" name="[dane].[Nr zamówienia].&amp;[PL-2014-088596]"/>
            <x15:cachedUniqueName index="5462" name="[dane].[Nr zamówienia].&amp;[PL-2014-088597]"/>
            <x15:cachedUniqueName index="5463" name="[dane].[Nr zamówienia].&amp;[PL-2014-088605]"/>
            <x15:cachedUniqueName index="5464" name="[dane].[Nr zamówienia].&amp;[PL-2014-088606]"/>
            <x15:cachedUniqueName index="5465" name="[dane].[Nr zamówienia].&amp;[PL-2014-088607]"/>
            <x15:cachedUniqueName index="5466" name="[dane].[Nr zamówienia].&amp;[PL-2014-088608]"/>
            <x15:cachedUniqueName index="5467" name="[dane].[Nr zamówienia].&amp;[PL-2014-088609]"/>
            <x15:cachedUniqueName index="5468" name="[dane].[Nr zamówienia].&amp;[PL-2014-088616]"/>
            <x15:cachedUniqueName index="5469" name="[dane].[Nr zamówienia].&amp;[PL-2014-088617]"/>
            <x15:cachedUniqueName index="5470" name="[dane].[Nr zamówienia].&amp;[PL-2014-088618]"/>
            <x15:cachedUniqueName index="5471" name="[dane].[Nr zamówienia].&amp;[PL-2014-088622]"/>
            <x15:cachedUniqueName index="5472" name="[dane].[Nr zamówienia].&amp;[PL-2014-088623]"/>
            <x15:cachedUniqueName index="5473" name="[dane].[Nr zamówienia].&amp;[PL-2014-088629]"/>
            <x15:cachedUniqueName index="5474" name="[dane].[Nr zamówienia].&amp;[PL-2014-088630]"/>
            <x15:cachedUniqueName index="5475" name="[dane].[Nr zamówienia].&amp;[PL-2014-088631]"/>
            <x15:cachedUniqueName index="5476" name="[dane].[Nr zamówienia].&amp;[PL-2014-088640]"/>
            <x15:cachedUniqueName index="5477" name="[dane].[Nr zamówienia].&amp;[PL-2014-088641]"/>
            <x15:cachedUniqueName index="5478" name="[dane].[Nr zamówienia].&amp;[PL-2014-088642]"/>
            <x15:cachedUniqueName index="5479" name="[dane].[Nr zamówienia].&amp;[PL-2014-088643]"/>
            <x15:cachedUniqueName index="5480" name="[dane].[Nr zamówienia].&amp;[PL-2014-088654]"/>
            <x15:cachedUniqueName index="5481" name="[dane].[Nr zamówienia].&amp;[PL-2014-088655]"/>
            <x15:cachedUniqueName index="5482" name="[dane].[Nr zamówienia].&amp;[PL-2014-088662]"/>
            <x15:cachedUniqueName index="5483" name="[dane].[Nr zamówienia].&amp;[PL-2014-088663]"/>
            <x15:cachedUniqueName index="5484" name="[dane].[Nr zamówienia].&amp;[PL-2014-088664]"/>
            <x15:cachedUniqueName index="5485" name="[dane].[Nr zamówienia].&amp;[PL-2014-088665]"/>
            <x15:cachedUniqueName index="5486" name="[dane].[Nr zamówienia].&amp;[PL-2014-088673]"/>
            <x15:cachedUniqueName index="5487" name="[dane].[Nr zamówienia].&amp;[PL-2014-088674]"/>
            <x15:cachedUniqueName index="5488" name="[dane].[Nr zamówienia].&amp;[PL-2014-088675]"/>
            <x15:cachedUniqueName index="5489" name="[dane].[Nr zamówienia].&amp;[PL-2014-088676]"/>
            <x15:cachedUniqueName index="5490" name="[dane].[Nr zamówienia].&amp;[PL-2014-088680]"/>
            <x15:cachedUniqueName index="5491" name="[dane].[Nr zamówienia].&amp;[PL-2014-088681]"/>
            <x15:cachedUniqueName index="5492" name="[dane].[Nr zamówienia].&amp;[PL-2014-088683]"/>
            <x15:cachedUniqueName index="5493" name="[dane].[Nr zamówienia].&amp;[PL-2014-088684]"/>
            <x15:cachedUniqueName index="5494" name="[dane].[Nr zamówienia].&amp;[PL-2014-088694]"/>
            <x15:cachedUniqueName index="5495" name="[dane].[Nr zamówienia].&amp;[PL-2014-088699]"/>
            <x15:cachedUniqueName index="5496" name="[dane].[Nr zamówienia].&amp;[PL-2014-088700]"/>
            <x15:cachedUniqueName index="5497" name="[dane].[Nr zamówienia].&amp;[PL-2014-088709]"/>
            <x15:cachedUniqueName index="5498" name="[dane].[Nr zamówienia].&amp;[PL-2014-088710]"/>
            <x15:cachedUniqueName index="5499" name="[dane].[Nr zamówienia].&amp;[PL-2014-088711]"/>
            <x15:cachedUniqueName index="5500" name="[dane].[Nr zamówienia].&amp;[PL-2014-088712]"/>
            <x15:cachedUniqueName index="5501" name="[dane].[Nr zamówienia].&amp;[PL-2014-088719]"/>
            <x15:cachedUniqueName index="5502" name="[dane].[Nr zamówienia].&amp;[PL-2014-088720]"/>
            <x15:cachedUniqueName index="5503" name="[dane].[Nr zamówienia].&amp;[PL-2014-088724]"/>
            <x15:cachedUniqueName index="5504" name="[dane].[Nr zamówienia].&amp;[PL-2014-088725]"/>
            <x15:cachedUniqueName index="5505" name="[dane].[Nr zamówienia].&amp;[PL-2014-088740]"/>
            <x15:cachedUniqueName index="5506" name="[dane].[Nr zamówienia].&amp;[PL-2014-088741]"/>
            <x15:cachedUniqueName index="5507" name="[dane].[Nr zamówienia].&amp;[PL-2014-088742]"/>
            <x15:cachedUniqueName index="5508" name="[dane].[Nr zamówienia].&amp;[PL-2014-088743]"/>
            <x15:cachedUniqueName index="5509" name="[dane].[Nr zamówienia].&amp;[PL-2014-088744]"/>
            <x15:cachedUniqueName index="5510" name="[dane].[Nr zamówienia].&amp;[PL-2014-088750]"/>
            <x15:cachedUniqueName index="5511" name="[dane].[Nr zamówienia].&amp;[PL-2014-088751]"/>
            <x15:cachedUniqueName index="5512" name="[dane].[Nr zamówienia].&amp;[PL-2014-088752]"/>
            <x15:cachedUniqueName index="5513" name="[dane].[Nr zamówienia].&amp;[PL-2014-088756]"/>
            <x15:cachedUniqueName index="5514" name="[dane].[Nr zamówienia].&amp;[PL-2014-088757]"/>
            <x15:cachedUniqueName index="5515" name="[dane].[Nr zamówienia].&amp;[PL-2014-088762]"/>
            <x15:cachedUniqueName index="5516" name="[dane].[Nr zamówienia].&amp;[PL-2014-088763]"/>
            <x15:cachedUniqueName index="5517" name="[dane].[Nr zamówienia].&amp;[PL-2014-088764]"/>
            <x15:cachedUniqueName index="5518" name="[dane].[Nr zamówienia].&amp;[PL-2014-088765]"/>
            <x15:cachedUniqueName index="5519" name="[dane].[Nr zamówienia].&amp;[PL-2014-088771]"/>
            <x15:cachedUniqueName index="5520" name="[dane].[Nr zamówienia].&amp;[PL-2014-088777]"/>
            <x15:cachedUniqueName index="5521" name="[dane].[Nr zamówienia].&amp;[PL-2014-088778]"/>
            <x15:cachedUniqueName index="5522" name="[dane].[Nr zamówienia].&amp;[PL-2014-088779]"/>
            <x15:cachedUniqueName index="5523" name="[dane].[Nr zamówienia].&amp;[PL-2014-088780]"/>
            <x15:cachedUniqueName index="5524" name="[dane].[Nr zamówienia].&amp;[PL-2014-088790]"/>
            <x15:cachedUniqueName index="5525" name="[dane].[Nr zamówienia].&amp;[PL-2014-088791]"/>
            <x15:cachedUniqueName index="5526" name="[dane].[Nr zamówienia].&amp;[PL-2014-088792]"/>
            <x15:cachedUniqueName index="5527" name="[dane].[Nr zamówienia].&amp;[PL-2014-088793]"/>
            <x15:cachedUniqueName index="5528" name="[dane].[Nr zamówienia].&amp;[PL-2014-088797]"/>
            <x15:cachedUniqueName index="5529" name="[dane].[Nr zamówienia].&amp;[PL-2014-088810]"/>
            <x15:cachedUniqueName index="5530" name="[dane].[Nr zamówienia].&amp;[PL-2014-088811]"/>
            <x15:cachedUniqueName index="5531" name="[dane].[Nr zamówienia].&amp;[PL-2014-088812]"/>
            <x15:cachedUniqueName index="5532" name="[dane].[Nr zamówienia].&amp;[PL-2014-088813]"/>
            <x15:cachedUniqueName index="5533" name="[dane].[Nr zamówienia].&amp;[PL-2014-088817]"/>
            <x15:cachedUniqueName index="5534" name="[dane].[Nr zamówienia].&amp;[PL-2014-088818]"/>
            <x15:cachedUniqueName index="5535" name="[dane].[Nr zamówienia].&amp;[PL-2014-088822]"/>
            <x15:cachedUniqueName index="5536" name="[dane].[Nr zamówienia].&amp;[PL-2014-088823]"/>
            <x15:cachedUniqueName index="5537" name="[dane].[Nr zamówienia].&amp;[PL-2014-088833]"/>
            <x15:cachedUniqueName index="5538" name="[dane].[Nr zamówienia].&amp;[PL-2014-088834]"/>
            <x15:cachedUniqueName index="5539" name="[dane].[Nr zamówienia].&amp;[PL-2014-088835]"/>
            <x15:cachedUniqueName index="5540" name="[dane].[Nr zamówienia].&amp;[PL-2014-088847]"/>
            <x15:cachedUniqueName index="5541" name="[dane].[Nr zamówienia].&amp;[PL-2014-088848]"/>
            <x15:cachedUniqueName index="5542" name="[dane].[Nr zamówienia].&amp;[PL-2014-088849]"/>
            <x15:cachedUniqueName index="5543" name="[dane].[Nr zamówienia].&amp;[PL-2014-088850]"/>
            <x15:cachedUniqueName index="5544" name="[dane].[Nr zamówienia].&amp;[PL-2014-088851]"/>
            <x15:cachedUniqueName index="5545" name="[dane].[Nr zamówienia].&amp;[PL-2014-088856]"/>
            <x15:cachedUniqueName index="5546" name="[dane].[Nr zamówienia].&amp;[PL-2014-088864]"/>
            <x15:cachedUniqueName index="5547" name="[dane].[Nr zamówienia].&amp;[PL-2014-088865]"/>
            <x15:cachedUniqueName index="5548" name="[dane].[Nr zamówienia].&amp;[PL-2014-088866]"/>
            <x15:cachedUniqueName index="5549" name="[dane].[Nr zamówienia].&amp;[PL-2014-088867]"/>
            <x15:cachedUniqueName index="5550" name="[dane].[Nr zamówienia].&amp;[PL-2014-088868]"/>
            <x15:cachedUniqueName index="5551" name="[dane].[Nr zamówienia].&amp;[PL-2014-088869]"/>
            <x15:cachedUniqueName index="5552" name="[dane].[Nr zamówienia].&amp;[PL-2014-088877]"/>
            <x15:cachedUniqueName index="5553" name="[dane].[Nr zamówienia].&amp;[PL-2014-088878]"/>
            <x15:cachedUniqueName index="5554" name="[dane].[Nr zamówienia].&amp;[PL-2014-088887]"/>
            <x15:cachedUniqueName index="5555" name="[dane].[Nr zamówienia].&amp;[PL-2014-088888]"/>
            <x15:cachedUniqueName index="5556" name="[dane].[Nr zamówienia].&amp;[PL-2014-088894]"/>
            <x15:cachedUniqueName index="5557" name="[dane].[Nr zamówienia].&amp;[PL-2014-088895]"/>
            <x15:cachedUniqueName index="5558" name="[dane].[Nr zamówienia].&amp;[PL-2014-088896]"/>
            <x15:cachedUniqueName index="5559" name="[dane].[Nr zamówienia].&amp;[PL-2014-088897]"/>
            <x15:cachedUniqueName index="5560" name="[dane].[Nr zamówienia].&amp;[PL-2014-088898]"/>
            <x15:cachedUniqueName index="5561" name="[dane].[Nr zamówienia].&amp;[PL-2014-088900]"/>
            <x15:cachedUniqueName index="5562" name="[dane].[Nr zamówienia].&amp;[PL-2014-088901]"/>
            <x15:cachedUniqueName index="5563" name="[dane].[Nr zamówienia].&amp;[PL-2014-088902]"/>
            <x15:cachedUniqueName index="5564" name="[dane].[Nr zamówienia].&amp;[PL-2014-088903]"/>
            <x15:cachedUniqueName index="5565" name="[dane].[Nr zamówienia].&amp;[PL-2014-088904]"/>
            <x15:cachedUniqueName index="5566" name="[dane].[Nr zamówienia].&amp;[PL-2014-088910]"/>
            <x15:cachedUniqueName index="5567" name="[dane].[Nr zamówienia].&amp;[PL-2014-088911]"/>
            <x15:cachedUniqueName index="5568" name="[dane].[Nr zamówienia].&amp;[PL-2014-088914]"/>
            <x15:cachedUniqueName index="5569" name="[dane].[Nr zamówienia].&amp;[PL-2014-088918]"/>
            <x15:cachedUniqueName index="5570" name="[dane].[Nr zamówienia].&amp;[PL-2014-088919]"/>
            <x15:cachedUniqueName index="5571" name="[dane].[Nr zamówienia].&amp;[PL-2014-088920]"/>
            <x15:cachedUniqueName index="5572" name="[dane].[Nr zamówienia].&amp;[PL-2014-088923]"/>
            <x15:cachedUniqueName index="5573" name="[dane].[Nr zamówienia].&amp;[PL-2014-088924]"/>
            <x15:cachedUniqueName index="5574" name="[dane].[Nr zamówienia].&amp;[PL-2014-088925]"/>
            <x15:cachedUniqueName index="5575" name="[dane].[Nr zamówienia].&amp;[PL-2014-088926]"/>
            <x15:cachedUniqueName index="5576" name="[dane].[Nr zamówienia].&amp;[PL-2014-088927]"/>
            <x15:cachedUniqueName index="5577" name="[dane].[Nr zamówienia].&amp;[PL-2014-088938]"/>
            <x15:cachedUniqueName index="5578" name="[dane].[Nr zamówienia].&amp;[PL-2014-088939]"/>
            <x15:cachedUniqueName index="5579" name="[dane].[Nr zamówienia].&amp;[PL-2014-088951]"/>
            <x15:cachedUniqueName index="5580" name="[dane].[Nr zamówienia].&amp;[PL-2014-088952]"/>
            <x15:cachedUniqueName index="5581" name="[dane].[Nr zamówienia].&amp;[PL-2014-088956]"/>
            <x15:cachedUniqueName index="5582" name="[dane].[Nr zamówienia].&amp;[PL-2014-088957]"/>
            <x15:cachedUniqueName index="5583" name="[dane].[Nr zamówienia].&amp;[PL-2014-088965]"/>
            <x15:cachedUniqueName index="5584" name="[dane].[Nr zamówienia].&amp;[PL-2014-088966]"/>
            <x15:cachedUniqueName index="5585" name="[dane].[Nr zamówienia].&amp;[PL-2014-088968]"/>
            <x15:cachedUniqueName index="5586" name="[dane].[Nr zamówienia].&amp;[PL-2014-088969]"/>
            <x15:cachedUniqueName index="5587" name="[dane].[Nr zamówienia].&amp;[PL-2014-088970]"/>
            <x15:cachedUniqueName index="5588" name="[dane].[Nr zamówienia].&amp;[PL-2014-088981]"/>
            <x15:cachedUniqueName index="5589" name="[dane].[Nr zamówienia].&amp;[PL-2014-088982]"/>
            <x15:cachedUniqueName index="5590" name="[dane].[Nr zamówienia].&amp;[PL-2014-088983]"/>
            <x15:cachedUniqueName index="5591" name="[dane].[Nr zamówienia].&amp;[PL-2014-088984]"/>
            <x15:cachedUniqueName index="5592" name="[dane].[Nr zamówienia].&amp;[PL-2014-088987]"/>
            <x15:cachedUniqueName index="5593" name="[dane].[Nr zamówienia].&amp;[PL-2014-088988]"/>
            <x15:cachedUniqueName index="5594" name="[dane].[Nr zamówienia].&amp;[PL-2014-088993]"/>
            <x15:cachedUniqueName index="5595" name="[dane].[Nr zamówienia].&amp;[PL-2014-088994]"/>
            <x15:cachedUniqueName index="5596" name="[dane].[Nr zamówienia].&amp;[PL-2014-088995]"/>
            <x15:cachedUniqueName index="5597" name="[dane].[Nr zamówienia].&amp;[PL-2014-088996]"/>
            <x15:cachedUniqueName index="5598" name="[dane].[Nr zamówienia].&amp;[PL-2014-088997]"/>
            <x15:cachedUniqueName index="5599" name="[dane].[Nr zamówienia].&amp;[PL-2014-089001]"/>
            <x15:cachedUniqueName index="5600" name="[dane].[Nr zamówienia].&amp;[PL-2014-089002]"/>
            <x15:cachedUniqueName index="5601" name="[dane].[Nr zamówienia].&amp;[PL-2014-089003]"/>
            <x15:cachedUniqueName index="5602" name="[dane].[Nr zamówienia].&amp;[PL-2014-089014]"/>
            <x15:cachedUniqueName index="5603" name="[dane].[Nr zamówienia].&amp;[PL-2014-089015]"/>
            <x15:cachedUniqueName index="5604" name="[dane].[Nr zamówienia].&amp;[PL-2014-089016]"/>
            <x15:cachedUniqueName index="5605" name="[dane].[Nr zamówienia].&amp;[PL-2014-089022]"/>
            <x15:cachedUniqueName index="5606" name="[dane].[Nr zamówienia].&amp;[PL-2014-089023]"/>
            <x15:cachedUniqueName index="5607" name="[dane].[Nr zamówienia].&amp;[PL-2014-089024]"/>
            <x15:cachedUniqueName index="5608" name="[dane].[Nr zamówienia].&amp;[PL-2014-089033]"/>
            <x15:cachedUniqueName index="5609" name="[dane].[Nr zamówienia].&amp;[PL-2014-089034]"/>
            <x15:cachedUniqueName index="5610" name="[dane].[Nr zamówienia].&amp;[PL-2014-089035]"/>
            <x15:cachedUniqueName index="5611" name="[dane].[Nr zamówienia].&amp;[PL-2014-089036]"/>
            <x15:cachedUniqueName index="5612" name="[dane].[Nr zamówienia].&amp;[PL-2014-089037]"/>
            <x15:cachedUniqueName index="5613" name="[dane].[Nr zamówienia].&amp;[PL-2014-089038]"/>
            <x15:cachedUniqueName index="5614" name="[dane].[Nr zamówienia].&amp;[PL-2014-089043]"/>
            <x15:cachedUniqueName index="5615" name="[dane].[Nr zamówienia].&amp;[PL-2014-089044]"/>
            <x15:cachedUniqueName index="5616" name="[dane].[Nr zamówienia].&amp;[PL-2014-089045]"/>
            <x15:cachedUniqueName index="5617" name="[dane].[Nr zamówienia].&amp;[PL-2014-089046]"/>
            <x15:cachedUniqueName index="5618" name="[dane].[Nr zamówienia].&amp;[PL-2014-089050]"/>
            <x15:cachedUniqueName index="5619" name="[dane].[Nr zamówienia].&amp;[PL-2014-089051]"/>
            <x15:cachedUniqueName index="5620" name="[dane].[Nr zamówienia].&amp;[PL-2014-089052]"/>
            <x15:cachedUniqueName index="5621" name="[dane].[Nr zamówienia].&amp;[PL-2014-089062]"/>
            <x15:cachedUniqueName index="5622" name="[dane].[Nr zamówienia].&amp;[PL-2014-089063]"/>
            <x15:cachedUniqueName index="5623" name="[dane].[Nr zamówienia].&amp;[PL-2014-089064]"/>
            <x15:cachedUniqueName index="5624" name="[dane].[Nr zamówienia].&amp;[PL-2014-089069]"/>
            <x15:cachedUniqueName index="5625" name="[dane].[Nr zamówienia].&amp;[PL-2014-089070]"/>
            <x15:cachedUniqueName index="5626" name="[dane].[Nr zamówienia].&amp;[PL-2014-089075]"/>
            <x15:cachedUniqueName index="5627" name="[dane].[Nr zamówienia].&amp;[PL-2014-089081]"/>
            <x15:cachedUniqueName index="5628" name="[dane].[Nr zamówienia].&amp;[PL-2014-089082]"/>
            <x15:cachedUniqueName index="5629" name="[dane].[Nr zamówienia].&amp;[PL-2014-089088]"/>
            <x15:cachedUniqueName index="5630" name="[dane].[Nr zamówienia].&amp;[PL-2014-089089]"/>
            <x15:cachedUniqueName index="5631" name="[dane].[Nr zamówienia].&amp;[PL-2014-089090]"/>
            <x15:cachedUniqueName index="5632" name="[dane].[Nr zamówienia].&amp;[PL-2014-089091]"/>
            <x15:cachedUniqueName index="5633" name="[dane].[Nr zamówienia].&amp;[PL-2014-089094]"/>
            <x15:cachedUniqueName index="5634" name="[dane].[Nr zamówienia].&amp;[PL-2014-089100]"/>
            <x15:cachedUniqueName index="5635" name="[dane].[Nr zamówienia].&amp;[PL-2014-089101]"/>
            <x15:cachedUniqueName index="5636" name="[dane].[Nr zamówienia].&amp;[PL-2014-089105]"/>
            <x15:cachedUniqueName index="5637" name="[dane].[Nr zamówienia].&amp;[PL-2014-089110]"/>
            <x15:cachedUniqueName index="5638" name="[dane].[Nr zamówienia].&amp;[PL-2014-089111]"/>
            <x15:cachedUniqueName index="5639" name="[dane].[Nr zamówienia].&amp;[PL-2014-089116]"/>
            <x15:cachedUniqueName index="5640" name="[dane].[Nr zamówienia].&amp;[PL-2014-089117]"/>
            <x15:cachedUniqueName index="5641" name="[dane].[Nr zamówienia].&amp;[PL-2014-089123]"/>
            <x15:cachedUniqueName index="5642" name="[dane].[Nr zamówienia].&amp;[PL-2014-089126]"/>
            <x15:cachedUniqueName index="5643" name="[dane].[Nr zamówienia].&amp;[PL-2014-089127]"/>
            <x15:cachedUniqueName index="5644" name="[dane].[Nr zamówienia].&amp;[PL-2014-089132]"/>
            <x15:cachedUniqueName index="5645" name="[dane].[Nr zamówienia].&amp;[PL-2014-089133]"/>
            <x15:cachedUniqueName index="5646" name="[dane].[Nr zamówienia].&amp;[PL-2014-089135]"/>
            <x15:cachedUniqueName index="5647" name="[dane].[Nr zamówienia].&amp;[PL-2014-089136]"/>
            <x15:cachedUniqueName index="5648" name="[dane].[Nr zamówienia].&amp;[PL-2014-089137]"/>
            <x15:cachedUniqueName index="5649" name="[dane].[Nr zamówienia].&amp;[PL-2014-089138]"/>
            <x15:cachedUniqueName index="5650" name="[dane].[Nr zamówienia].&amp;[PL-2014-089145]"/>
            <x15:cachedUniqueName index="5651" name="[dane].[Nr zamówienia].&amp;[PL-2014-089152]"/>
            <x15:cachedUniqueName index="5652" name="[dane].[Nr zamówienia].&amp;[PL-2014-089153]"/>
            <x15:cachedUniqueName index="5653" name="[dane].[Nr zamówienia].&amp;[PL-2014-089154]"/>
            <x15:cachedUniqueName index="5654" name="[dane].[Nr zamówienia].&amp;[PL-2014-089159]"/>
            <x15:cachedUniqueName index="5655" name="[dane].[Nr zamówienia].&amp;[PL-2014-089160]"/>
            <x15:cachedUniqueName index="5656" name="[dane].[Nr zamówienia].&amp;[PL-2014-089162]"/>
            <x15:cachedUniqueName index="5657" name="[dane].[Nr zamówienia].&amp;[PL-2014-089163]"/>
            <x15:cachedUniqueName index="5658" name="[dane].[Nr zamówienia].&amp;[PL-2014-089164]"/>
            <x15:cachedUniqueName index="5659" name="[dane].[Nr zamówienia].&amp;[PL-2014-089165]"/>
            <x15:cachedUniqueName index="5660" name="[dane].[Nr zamówienia].&amp;[PL-2014-089170]"/>
            <x15:cachedUniqueName index="5661" name="[dane].[Nr zamówienia].&amp;[PL-2014-089171]"/>
            <x15:cachedUniqueName index="5662" name="[dane].[Nr zamówienia].&amp;[PL-2014-089172]"/>
            <x15:cachedUniqueName index="5663" name="[dane].[Nr zamówienia].&amp;[PL-2014-089173]"/>
            <x15:cachedUniqueName index="5664" name="[dane].[Nr zamówienia].&amp;[PL-2014-089182]"/>
            <x15:cachedUniqueName index="5665" name="[dane].[Nr zamówienia].&amp;[PL-2014-089183]"/>
            <x15:cachedUniqueName index="5666" name="[dane].[Nr zamówienia].&amp;[PL-2014-089189]"/>
            <x15:cachedUniqueName index="5667" name="[dane].[Nr zamówienia].&amp;[PL-2014-089190]"/>
            <x15:cachedUniqueName index="5668" name="[dane].[Nr zamówienia].&amp;[PL-2014-089191]"/>
            <x15:cachedUniqueName index="5669" name="[dane].[Nr zamówienia].&amp;[PL-2014-089192]"/>
            <x15:cachedUniqueName index="5670" name="[dane].[Nr zamówienia].&amp;[PL-2014-089198]"/>
            <x15:cachedUniqueName index="5671" name="[dane].[Nr zamówienia].&amp;[PL-2014-089207]"/>
            <x15:cachedUniqueName index="5672" name="[dane].[Nr zamówienia].&amp;[PL-2014-089208]"/>
            <x15:cachedUniqueName index="5673" name="[dane].[Nr zamówienia].&amp;[PL-2014-089210]"/>
            <x15:cachedUniqueName index="5674" name="[dane].[Nr zamówienia].&amp;[PL-2014-089216]"/>
            <x15:cachedUniqueName index="5675" name="[dane].[Nr zamówienia].&amp;[PL-2014-089217]"/>
            <x15:cachedUniqueName index="5676" name="[dane].[Nr zamówienia].&amp;[PL-2014-089228]"/>
            <x15:cachedUniqueName index="5677" name="[dane].[Nr zamówienia].&amp;[PL-2014-089229]"/>
            <x15:cachedUniqueName index="5678" name="[dane].[Nr zamówienia].&amp;[PL-2014-089230]"/>
            <x15:cachedUniqueName index="5679" name="[dane].[Nr zamówienia].&amp;[PL-2014-089231]"/>
            <x15:cachedUniqueName index="5680" name="[dane].[Nr zamówienia].&amp;[PL-2014-089232]"/>
            <x15:cachedUniqueName index="5681" name="[dane].[Nr zamówienia].&amp;[PL-2014-089233]"/>
            <x15:cachedUniqueName index="5682" name="[dane].[Nr zamówienia].&amp;[PL-2014-089234]"/>
            <x15:cachedUniqueName index="5683" name="[dane].[Nr zamówienia].&amp;[PL-2014-089235]"/>
            <x15:cachedUniqueName index="5684" name="[dane].[Nr zamówienia].&amp;[PL-2014-089246]"/>
            <x15:cachedUniqueName index="5685" name="[dane].[Nr zamówienia].&amp;[PL-2014-089250]"/>
            <x15:cachedUniqueName index="5686" name="[dane].[Nr zamówienia].&amp;[PL-2014-089256]"/>
            <x15:cachedUniqueName index="5687" name="[dane].[Nr zamówienia].&amp;[PL-2014-089265]"/>
            <x15:cachedUniqueName index="5688" name="[dane].[Nr zamówienia].&amp;[PL-2014-089266]"/>
            <x15:cachedUniqueName index="5689" name="[dane].[Nr zamówienia].&amp;[PL-2014-089267]"/>
            <x15:cachedUniqueName index="5690" name="[dane].[Nr zamówienia].&amp;[PL-2014-089268]"/>
            <x15:cachedUniqueName index="5691" name="[dane].[Nr zamówienia].&amp;[PL-2014-089269]"/>
            <x15:cachedUniqueName index="5692" name="[dane].[Nr zamówienia].&amp;[PL-2014-089270]"/>
            <x15:cachedUniqueName index="5693" name="[dane].[Nr zamówienia].&amp;[PL-2014-089271]"/>
            <x15:cachedUniqueName index="5694" name="[dane].[Nr zamówienia].&amp;[PL-2014-089272]"/>
            <x15:cachedUniqueName index="5695" name="[dane].[Nr zamówienia].&amp;[PL-2014-089273]"/>
            <x15:cachedUniqueName index="5696" name="[dane].[Nr zamówienia].&amp;[PL-2014-089275]"/>
            <x15:cachedUniqueName index="5697" name="[dane].[Nr zamówienia].&amp;[PL-2014-089276]"/>
            <x15:cachedUniqueName index="5698" name="[dane].[Nr zamówienia].&amp;[PL-2014-089277]"/>
            <x15:cachedUniqueName index="5699" name="[dane].[Nr zamówienia].&amp;[PL-2014-089283]"/>
            <x15:cachedUniqueName index="5700" name="[dane].[Nr zamówienia].&amp;[PL-2014-089288]"/>
            <x15:cachedUniqueName index="5701" name="[dane].[Nr zamówienia].&amp;[PL-2014-089289]"/>
            <x15:cachedUniqueName index="5702" name="[dane].[Nr zamówienia].&amp;[PL-2014-089290]"/>
            <x15:cachedUniqueName index="5703" name="[dane].[Nr zamówienia].&amp;[PL-2014-089297]"/>
            <x15:cachedUniqueName index="5704" name="[dane].[Nr zamówienia].&amp;[PL-2014-089298]"/>
            <x15:cachedUniqueName index="5705" name="[dane].[Nr zamówienia].&amp;[PL-2014-089311]"/>
            <x15:cachedUniqueName index="5706" name="[dane].[Nr zamówienia].&amp;[PL-2014-089312]"/>
            <x15:cachedUniqueName index="5707" name="[dane].[Nr zamówienia].&amp;[PL-2014-089313]"/>
            <x15:cachedUniqueName index="5708" name="[dane].[Nr zamówienia].&amp;[PL-2014-089317]"/>
            <x15:cachedUniqueName index="5709" name="[dane].[Nr zamówienia].&amp;[PL-2014-089318]"/>
            <x15:cachedUniqueName index="5710" name="[dane].[Nr zamówienia].&amp;[PL-2014-089324]"/>
            <x15:cachedUniqueName index="5711" name="[dane].[Nr zamówienia].&amp;[PL-2014-089325]"/>
            <x15:cachedUniqueName index="5712" name="[dane].[Nr zamówienia].&amp;[PL-2014-089326]"/>
            <x15:cachedUniqueName index="5713" name="[dane].[Nr zamówienia].&amp;[PL-2014-089330]"/>
            <x15:cachedUniqueName index="5714" name="[dane].[Nr zamówienia].&amp;[PL-2014-089331]"/>
            <x15:cachedUniqueName index="5715" name="[dane].[Nr zamówienia].&amp;[PL-2014-089332]"/>
            <x15:cachedUniqueName index="5716" name="[dane].[Nr zamówienia].&amp;[PL-2014-089338]"/>
            <x15:cachedUniqueName index="5717" name="[dane].[Nr zamówienia].&amp;[PL-2014-089339]"/>
            <x15:cachedUniqueName index="5718" name="[dane].[Nr zamówienia].&amp;[PL-2014-089340]"/>
            <x15:cachedUniqueName index="5719" name="[dane].[Nr zamówienia].&amp;[PL-2014-089343]"/>
            <x15:cachedUniqueName index="5720" name="[dane].[Nr zamówienia].&amp;[PL-2014-089352]"/>
            <x15:cachedUniqueName index="5721" name="[dane].[Nr zamówienia].&amp;[PL-2014-089353]"/>
            <x15:cachedUniqueName index="5722" name="[dane].[Nr zamówienia].&amp;[PL-2014-089354]"/>
            <x15:cachedUniqueName index="5723" name="[dane].[Nr zamówienia].&amp;[PL-2014-089358]"/>
            <x15:cachedUniqueName index="5724" name="[dane].[Nr zamówienia].&amp;[PL-2014-089359]"/>
            <x15:cachedUniqueName index="5725" name="[dane].[Nr zamówienia].&amp;[PL-2014-089363]"/>
            <x15:cachedUniqueName index="5726" name="[dane].[Nr zamówienia].&amp;[PL-2014-089364]"/>
            <x15:cachedUniqueName index="5727" name="[dane].[Nr zamówienia].&amp;[PL-2014-089369]"/>
            <x15:cachedUniqueName index="5728" name="[dane].[Nr zamówienia].&amp;[PL-2014-089370]"/>
            <x15:cachedUniqueName index="5729" name="[dane].[Nr zamówienia].&amp;[PL-2014-089371]"/>
            <x15:cachedUniqueName index="5730" name="[dane].[Nr zamówienia].&amp;[PL-2014-089374]"/>
            <x15:cachedUniqueName index="5731" name="[dane].[Nr zamówienia].&amp;[PL-2014-089380]"/>
            <x15:cachedUniqueName index="5732" name="[dane].[Nr zamówienia].&amp;[PL-2014-089381]"/>
            <x15:cachedUniqueName index="5733" name="[dane].[Nr zamówienia].&amp;[PL-2014-089388]"/>
            <x15:cachedUniqueName index="5734" name="[dane].[Nr zamówienia].&amp;[PL-2014-089392]"/>
            <x15:cachedUniqueName index="5735" name="[dane].[Nr zamówienia].&amp;[PL-2014-089393]"/>
            <x15:cachedUniqueName index="5736" name="[dane].[Nr zamówienia].&amp;[PL-2014-089398]"/>
            <x15:cachedUniqueName index="5737" name="[dane].[Nr zamówienia].&amp;[PL-2014-089399]"/>
            <x15:cachedUniqueName index="5738" name="[dane].[Nr zamówienia].&amp;[PL-2014-089400]"/>
            <x15:cachedUniqueName index="5739" name="[dane].[Nr zamówienia].&amp;[PL-2014-089405]"/>
            <x15:cachedUniqueName index="5740" name="[dane].[Nr zamówienia].&amp;[PL-2014-089412]"/>
            <x15:cachedUniqueName index="5741" name="[dane].[Nr zamówienia].&amp;[PL-2014-089413]"/>
            <x15:cachedUniqueName index="5742" name="[dane].[Nr zamówienia].&amp;[PL-2014-089416]"/>
            <x15:cachedUniqueName index="5743" name="[dane].[Nr zamówienia].&amp;[PL-2014-089417]"/>
            <x15:cachedUniqueName index="5744" name="[dane].[Nr zamówienia].&amp;[PL-2014-089423]"/>
            <x15:cachedUniqueName index="5745" name="[dane].[Nr zamówienia].&amp;[PL-2014-089424]"/>
            <x15:cachedUniqueName index="5746" name="[dane].[Nr zamówienia].&amp;[PL-2014-089425]"/>
            <x15:cachedUniqueName index="5747" name="[dane].[Nr zamówienia].&amp;[PL-2014-089436]"/>
            <x15:cachedUniqueName index="5748" name="[dane].[Nr zamówienia].&amp;[PL-2014-089437]"/>
            <x15:cachedUniqueName index="5749" name="[dane].[Nr zamówienia].&amp;[PL-2014-089438]"/>
            <x15:cachedUniqueName index="5750" name="[dane].[Nr zamówienia].&amp;[PL-2014-089442]"/>
            <x15:cachedUniqueName index="5751" name="[dane].[Nr zamówienia].&amp;[PL-2014-089445]"/>
            <x15:cachedUniqueName index="5752" name="[dane].[Nr zamówienia].&amp;[PL-2014-089446]"/>
            <x15:cachedUniqueName index="5753" name="[dane].[Nr zamówienia].&amp;[PL-2014-089447]"/>
            <x15:cachedUniqueName index="5754" name="[dane].[Nr zamówienia].&amp;[PL-2014-089454]"/>
            <x15:cachedUniqueName index="5755" name="[dane].[Nr zamówienia].&amp;[PL-2014-089455]"/>
            <x15:cachedUniqueName index="5756" name="[dane].[Nr zamówienia].&amp;[PL-2014-089464]"/>
            <x15:cachedUniqueName index="5757" name="[dane].[Nr zamówienia].&amp;[PL-2014-089472]"/>
            <x15:cachedUniqueName index="5758" name="[dane].[Nr zamówienia].&amp;[PL-2014-089474]"/>
            <x15:cachedUniqueName index="5759" name="[dane].[Nr zamówienia].&amp;[PL-2014-089475]"/>
            <x15:cachedUniqueName index="5760" name="[dane].[Nr zamówienia].&amp;[PL-2014-089477]"/>
            <x15:cachedUniqueName index="5761" name="[dane].[Nr zamówienia].&amp;[PL-2014-089478]"/>
            <x15:cachedUniqueName index="5762" name="[dane].[Nr zamówienia].&amp;[PL-2014-089479]"/>
            <x15:cachedUniqueName index="5763" name="[dane].[Nr zamówienia].&amp;[PL-2014-089480]"/>
            <x15:cachedUniqueName index="5764" name="[dane].[Nr zamówienia].&amp;[PL-2014-089487]"/>
            <x15:cachedUniqueName index="5765" name="[dane].[Nr zamówienia].&amp;[PL-2014-089488]"/>
            <x15:cachedUniqueName index="5766" name="[dane].[Nr zamówienia].&amp;[PL-2014-089489]"/>
            <x15:cachedUniqueName index="5767" name="[dane].[Nr zamówienia].&amp;[PL-2014-089493]"/>
            <x15:cachedUniqueName index="5768" name="[dane].[Nr zamówienia].&amp;[PL-2014-089494]"/>
            <x15:cachedUniqueName index="5769" name="[dane].[Nr zamówienia].&amp;[PL-2014-089495]"/>
            <x15:cachedUniqueName index="5770" name="[dane].[Nr zamówienia].&amp;[PL-2014-089496]"/>
            <x15:cachedUniqueName index="5771" name="[dane].[Nr zamówienia].&amp;[PL-2014-089501]"/>
            <x15:cachedUniqueName index="5772" name="[dane].[Nr zamówienia].&amp;[PL-2014-089502]"/>
            <x15:cachedUniqueName index="5773" name="[dane].[Nr zamówienia].&amp;[PL-2014-089511]"/>
            <x15:cachedUniqueName index="5774" name="[dane].[Nr zamówienia].&amp;[PL-2014-089512]"/>
            <x15:cachedUniqueName index="5775" name="[dane].[Nr zamówienia].&amp;[PL-2014-089513]"/>
            <x15:cachedUniqueName index="5776" name="[dane].[Nr zamówienia].&amp;[PL-2014-089517]"/>
            <x15:cachedUniqueName index="5777" name="[dane].[Nr zamówienia].&amp;[PL-2014-089518]"/>
            <x15:cachedUniqueName index="5778" name="[dane].[Nr zamówienia].&amp;[PL-2014-089519]"/>
            <x15:cachedUniqueName index="5779" name="[dane].[Nr zamówienia].&amp;[PL-2014-089532]"/>
            <x15:cachedUniqueName index="5780" name="[dane].[Nr zamówienia].&amp;[PL-2014-089533]"/>
            <x15:cachedUniqueName index="5781" name="[dane].[Nr zamówienia].&amp;[PL-2014-089534]"/>
            <x15:cachedUniqueName index="5782" name="[dane].[Nr zamówienia].&amp;[PL-2014-089535]"/>
            <x15:cachedUniqueName index="5783" name="[dane].[Nr zamówienia].&amp;[PL-2014-089548]"/>
            <x15:cachedUniqueName index="5784" name="[dane].[Nr zamówienia].&amp;[PL-2014-089549]"/>
            <x15:cachedUniqueName index="5785" name="[dane].[Nr zamówienia].&amp;[PL-2014-089550]"/>
            <x15:cachedUniqueName index="5786" name="[dane].[Nr zamówienia].&amp;[PL-2014-089551]"/>
            <x15:cachedUniqueName index="5787" name="[dane].[Nr zamówienia].&amp;[PL-2014-089552]"/>
            <x15:cachedUniqueName index="5788" name="[dane].[Nr zamówienia].&amp;[PL-2014-089553]"/>
            <x15:cachedUniqueName index="5789" name="[dane].[Nr zamówienia].&amp;[PL-2014-089554]"/>
            <x15:cachedUniqueName index="5790" name="[dane].[Nr zamówienia].&amp;[PL-2014-089555]"/>
            <x15:cachedUniqueName index="5791" name="[dane].[Nr zamówienia].&amp;[PL-2014-089556]"/>
            <x15:cachedUniqueName index="5792" name="[dane].[Nr zamówienia].&amp;[PL-2014-089557]"/>
            <x15:cachedUniqueName index="5793" name="[dane].[Nr zamówienia].&amp;[PL-2014-089558]"/>
            <x15:cachedUniqueName index="5794" name="[dane].[Nr zamówienia].&amp;[PL-2014-089559]"/>
            <x15:cachedUniqueName index="5795" name="[dane].[Nr zamówienia].&amp;[PL-2014-089560]"/>
            <x15:cachedUniqueName index="5796" name="[dane].[Nr zamówienia].&amp;[PL-2014-089561]"/>
            <x15:cachedUniqueName index="5797" name="[dane].[Nr zamówienia].&amp;[PL-2014-089562]"/>
            <x15:cachedUniqueName index="5798" name="[dane].[Nr zamówienia].&amp;[PL-2014-089563]"/>
            <x15:cachedUniqueName index="5799" name="[dane].[Nr zamówienia].&amp;[PL-2014-089567]"/>
            <x15:cachedUniqueName index="5800" name="[dane].[Nr zamówienia].&amp;[PL-2014-089568]"/>
            <x15:cachedUniqueName index="5801" name="[dane].[Nr zamówienia].&amp;[PL-2014-089569]"/>
            <x15:cachedUniqueName index="5802" name="[dane].[Nr zamówienia].&amp;[PL-2014-089570]"/>
            <x15:cachedUniqueName index="5803" name="[dane].[Nr zamówienia].&amp;[PL-2014-089576]"/>
            <x15:cachedUniqueName index="5804" name="[dane].[Nr zamówienia].&amp;[PL-2014-089577]"/>
            <x15:cachedUniqueName index="5805" name="[dane].[Nr zamówienia].&amp;[PL-2014-089578]"/>
            <x15:cachedUniqueName index="5806" name="[dane].[Nr zamówienia].&amp;[PL-2014-089582]"/>
            <x15:cachedUniqueName index="5807" name="[dane].[Nr zamówienia].&amp;[PL-2014-089588]"/>
            <x15:cachedUniqueName index="5808" name="[dane].[Nr zamówienia].&amp;[PL-2014-089589]"/>
            <x15:cachedUniqueName index="5809" name="[dane].[Nr zamówienia].&amp;[PL-2014-089590]"/>
            <x15:cachedUniqueName index="5810" name="[dane].[Nr zamówienia].&amp;[PL-2014-089591]"/>
            <x15:cachedUniqueName index="5811" name="[dane].[Nr zamówienia].&amp;[PL-2014-089604]"/>
            <x15:cachedUniqueName index="5812" name="[dane].[Nr zamówienia].&amp;[PL-2014-089605]"/>
            <x15:cachedUniqueName index="5813" name="[dane].[Nr zamówienia].&amp;[PL-2014-089606]"/>
            <x15:cachedUniqueName index="5814" name="[dane].[Nr zamówienia].&amp;[PL-2014-089607]"/>
            <x15:cachedUniqueName index="5815" name="[dane].[Nr zamówienia].&amp;[PL-2014-089617]"/>
            <x15:cachedUniqueName index="5816" name="[dane].[Nr zamówienia].&amp;[PL-2014-089618]"/>
            <x15:cachedUniqueName index="5817" name="[dane].[Nr zamówienia].&amp;[PL-2014-089619]"/>
            <x15:cachedUniqueName index="5818" name="[dane].[Nr zamówienia].&amp;[PL-2014-089626]"/>
            <x15:cachedUniqueName index="5819" name="[dane].[Nr zamówienia].&amp;[PL-2014-089627]"/>
            <x15:cachedUniqueName index="5820" name="[dane].[Nr zamówienia].&amp;[PL-2014-089628]"/>
            <x15:cachedUniqueName index="5821" name="[dane].[Nr zamówienia].&amp;[PL-2014-089629]"/>
            <x15:cachedUniqueName index="5822" name="[dane].[Nr zamówienia].&amp;[PL-2014-089630]"/>
            <x15:cachedUniqueName index="5823" name="[dane].[Nr zamówienia].&amp;[PL-2014-089632]"/>
            <x15:cachedUniqueName index="5824" name="[dane].[Nr zamówienia].&amp;[PL-2014-089633]"/>
            <x15:cachedUniqueName index="5825" name="[dane].[Nr zamówienia].&amp;[PL-2014-089634]"/>
            <x15:cachedUniqueName index="5826" name="[dane].[Nr zamówienia].&amp;[PL-2014-089637]"/>
            <x15:cachedUniqueName index="5827" name="[dane].[Nr zamówienia].&amp;[PL-2014-089638]"/>
            <x15:cachedUniqueName index="5828" name="[dane].[Nr zamówienia].&amp;[PL-2014-089642]"/>
            <x15:cachedUniqueName index="5829" name="[dane].[Nr zamówienia].&amp;[PL-2014-089643]"/>
            <x15:cachedUniqueName index="5830" name="[dane].[Nr zamówienia].&amp;[PL-2014-089644]"/>
            <x15:cachedUniqueName index="5831" name="[dane].[Nr zamówienia].&amp;[PL-2014-089645]"/>
            <x15:cachedUniqueName index="5832" name="[dane].[Nr zamówienia].&amp;[PL-2014-089646]"/>
            <x15:cachedUniqueName index="5833" name="[dane].[Nr zamówienia].&amp;[PL-2014-089651]"/>
            <x15:cachedUniqueName index="5834" name="[dane].[Nr zamówienia].&amp;[PL-2014-089652]"/>
            <x15:cachedUniqueName index="5835" name="[dane].[Nr zamówienia].&amp;[PL-2014-089653]"/>
            <x15:cachedUniqueName index="5836" name="[dane].[Nr zamówienia].&amp;[PL-2014-089656]"/>
            <x15:cachedUniqueName index="5837" name="[dane].[Nr zamówienia].&amp;[PL-2014-089663]"/>
            <x15:cachedUniqueName index="5838" name="[dane].[Nr zamówienia].&amp;[PL-2014-089675]"/>
            <x15:cachedUniqueName index="5839" name="[dane].[Nr zamówienia].&amp;[PL-2014-089676]"/>
            <x15:cachedUniqueName index="5840" name="[dane].[Nr zamówienia].&amp;[PL-2014-089677]"/>
            <x15:cachedUniqueName index="5841" name="[dane].[Nr zamówienia].&amp;[PL-2014-089678]"/>
            <x15:cachedUniqueName index="5842" name="[dane].[Nr zamówienia].&amp;[PL-2014-089684]"/>
            <x15:cachedUniqueName index="5843" name="[dane].[Nr zamówienia].&amp;[PL-2014-089685]"/>
            <x15:cachedUniqueName index="5844" name="[dane].[Nr zamówienia].&amp;[PL-2014-089691]"/>
            <x15:cachedUniqueName index="5845" name="[dane].[Nr zamówienia].&amp;[PL-2014-089692]"/>
            <x15:cachedUniqueName index="5846" name="[dane].[Nr zamówienia].&amp;[PL-2014-089693]"/>
            <x15:cachedUniqueName index="5847" name="[dane].[Nr zamówienia].&amp;[PL-2014-089694]"/>
            <x15:cachedUniqueName index="5848" name="[dane].[Nr zamówienia].&amp;[PL-2014-089695]"/>
            <x15:cachedUniqueName index="5849" name="[dane].[Nr zamówienia].&amp;[PL-2014-089696]"/>
            <x15:cachedUniqueName index="5850" name="[dane].[Nr zamówienia].&amp;[PL-2014-089702]"/>
            <x15:cachedUniqueName index="5851" name="[dane].[Nr zamówienia].&amp;[PL-2014-089703]"/>
            <x15:cachedUniqueName index="5852" name="[dane].[Nr zamówienia].&amp;[PL-2014-089711]"/>
            <x15:cachedUniqueName index="5853" name="[dane].[Nr zamówienia].&amp;[PL-2014-089712]"/>
            <x15:cachedUniqueName index="5854" name="[dane].[Nr zamówienia].&amp;[PL-2014-089713]"/>
            <x15:cachedUniqueName index="5855" name="[dane].[Nr zamówienia].&amp;[PL-2014-089714]"/>
            <x15:cachedUniqueName index="5856" name="[dane].[Nr zamówienia].&amp;[PL-2014-089715]"/>
            <x15:cachedUniqueName index="5857" name="[dane].[Nr zamówienia].&amp;[PL-2014-089721]"/>
            <x15:cachedUniqueName index="5858" name="[dane].[Nr zamówienia].&amp;[PL-2014-089722]"/>
            <x15:cachedUniqueName index="5859" name="[dane].[Nr zamówienia].&amp;[PL-2014-089723]"/>
            <x15:cachedUniqueName index="5860" name="[dane].[Nr zamówienia].&amp;[PL-2014-089728]"/>
            <x15:cachedUniqueName index="5861" name="[dane].[Nr zamówienia].&amp;[PL-2014-089735]"/>
            <x15:cachedUniqueName index="5862" name="[dane].[Nr zamówienia].&amp;[PL-2014-089736]"/>
            <x15:cachedUniqueName index="5863" name="[dane].[Nr zamówienia].&amp;[PL-2014-089737]"/>
            <x15:cachedUniqueName index="5864" name="[dane].[Nr zamówienia].&amp;[PL-2014-089738]"/>
            <x15:cachedUniqueName index="5865" name="[dane].[Nr zamówienia].&amp;[PL-2014-089742]"/>
            <x15:cachedUniqueName index="5866" name="[dane].[Nr zamówienia].&amp;[PL-2014-089748]"/>
            <x15:cachedUniqueName index="5867" name="[dane].[Nr zamówienia].&amp;[PL-2014-089749]"/>
            <x15:cachedUniqueName index="5868" name="[dane].[Nr zamówienia].&amp;[PL-2014-089750]"/>
            <x15:cachedUniqueName index="5869" name="[dane].[Nr zamówienia].&amp;[PL-2014-089757]"/>
            <x15:cachedUniqueName index="5870" name="[dane].[Nr zamówienia].&amp;[PL-2014-089758]"/>
            <x15:cachedUniqueName index="5871" name="[dane].[Nr zamówienia].&amp;[PL-2014-089759]"/>
            <x15:cachedUniqueName index="5872" name="[dane].[Nr zamówienia].&amp;[PL-2014-089760]"/>
            <x15:cachedUniqueName index="5873" name="[dane].[Nr zamówienia].&amp;[PL-2014-089768]"/>
            <x15:cachedUniqueName index="5874" name="[dane].[Nr zamówienia].&amp;[PL-2014-089769]"/>
            <x15:cachedUniqueName index="5875" name="[dane].[Nr zamówienia].&amp;[PL-2014-089772]"/>
            <x15:cachedUniqueName index="5876" name="[dane].[Nr zamówienia].&amp;[PL-2014-089773]"/>
            <x15:cachedUniqueName index="5877" name="[dane].[Nr zamówienia].&amp;[PL-2014-089774]"/>
            <x15:cachedUniqueName index="5878" name="[dane].[Nr zamówienia].&amp;[PL-2014-089786]"/>
            <x15:cachedUniqueName index="5879" name="[dane].[Nr zamówienia].&amp;[PL-2014-089794]"/>
            <x15:cachedUniqueName index="5880" name="[dane].[Nr zamówienia].&amp;[PL-2014-089795]"/>
            <x15:cachedUniqueName index="5881" name="[dane].[Nr zamówienia].&amp;[PL-2014-089796]"/>
            <x15:cachedUniqueName index="5882" name="[dane].[Nr zamówienia].&amp;[PL-2014-089799]"/>
            <x15:cachedUniqueName index="5883" name="[dane].[Nr zamówienia].&amp;[PL-2014-089800]"/>
            <x15:cachedUniqueName index="5884" name="[dane].[Nr zamówienia].&amp;[PL-2014-089803]"/>
            <x15:cachedUniqueName index="5885" name="[dane].[Nr zamówienia].&amp;[PL-2014-089804]"/>
            <x15:cachedUniqueName index="5886" name="[dane].[Nr zamówienia].&amp;[PL-2014-089808]"/>
            <x15:cachedUniqueName index="5887" name="[dane].[Nr zamówienia].&amp;[PL-2014-089809]"/>
            <x15:cachedUniqueName index="5888" name="[dane].[Nr zamówienia].&amp;[PL-2014-089815]"/>
            <x15:cachedUniqueName index="5889" name="[dane].[Nr zamówienia].&amp;[PL-2014-089816]"/>
            <x15:cachedUniqueName index="5890" name="[dane].[Nr zamówienia].&amp;[PL-2014-089817]"/>
            <x15:cachedUniqueName index="5891" name="[dane].[Nr zamówienia].&amp;[PL-2014-089824]"/>
            <x15:cachedUniqueName index="5892" name="[dane].[Nr zamówienia].&amp;[PL-2014-089825]"/>
            <x15:cachedUniqueName index="5893" name="[dane].[Nr zamówienia].&amp;[PL-2014-089826]"/>
            <x15:cachedUniqueName index="5894" name="[dane].[Nr zamówienia].&amp;[PL-2014-089827]"/>
            <x15:cachedUniqueName index="5895" name="[dane].[Nr zamówienia].&amp;[PL-2014-089828]"/>
            <x15:cachedUniqueName index="5896" name="[dane].[Nr zamówienia].&amp;[PL-2014-089829]"/>
            <x15:cachedUniqueName index="5897" name="[dane].[Nr zamówienia].&amp;[PL-2014-089834]"/>
            <x15:cachedUniqueName index="5898" name="[dane].[Nr zamówienia].&amp;[PL-2014-089839]"/>
            <x15:cachedUniqueName index="5899" name="[dane].[Nr zamówienia].&amp;[PL-2014-089840]"/>
            <x15:cachedUniqueName index="5900" name="[dane].[Nr zamówienia].&amp;[PL-2014-089845]"/>
            <x15:cachedUniqueName index="5901" name="[dane].[Nr zamówienia].&amp;[PL-2014-089846]"/>
            <x15:cachedUniqueName index="5902" name="[dane].[Nr zamówienia].&amp;[PL-2014-089854]"/>
            <x15:cachedUniqueName index="5903" name="[dane].[Nr zamówienia].&amp;[PL-2014-089855]"/>
            <x15:cachedUniqueName index="5904" name="[dane].[Nr zamówienia].&amp;[PL-2014-089865]"/>
            <x15:cachedUniqueName index="5905" name="[dane].[Nr zamówienia].&amp;[PL-2014-089866]"/>
            <x15:cachedUniqueName index="5906" name="[dane].[Nr zamówienia].&amp;[PL-2014-089867]"/>
            <x15:cachedUniqueName index="5907" name="[dane].[Nr zamówienia].&amp;[PL-2014-089868]"/>
            <x15:cachedUniqueName index="5908" name="[dane].[Nr zamówienia].&amp;[PL-2014-089878]"/>
            <x15:cachedUniqueName index="5909" name="[dane].[Nr zamówienia].&amp;[PL-2014-089884]"/>
            <x15:cachedUniqueName index="5910" name="[dane].[Nr zamówienia].&amp;[PL-2014-089890]"/>
            <x15:cachedUniqueName index="5911" name="[dane].[Nr zamówienia].&amp;[PL-2014-089891]"/>
            <x15:cachedUniqueName index="5912" name="[dane].[Nr zamówienia].&amp;[PL-2014-089892]"/>
            <x15:cachedUniqueName index="5913" name="[dane].[Nr zamówienia].&amp;[PL-2014-089896]"/>
            <x15:cachedUniqueName index="5914" name="[dane].[Nr zamówienia].&amp;[PL-2014-089901]"/>
            <x15:cachedUniqueName index="5915" name="[dane].[Nr zamówienia].&amp;[PL-2014-089903]"/>
            <x15:cachedUniqueName index="5916" name="[dane].[Nr zamówienia].&amp;[PL-2014-089904]"/>
            <x15:cachedUniqueName index="5917" name="[dane].[Nr zamówienia].&amp;[PL-2014-089907]"/>
            <x15:cachedUniqueName index="5918" name="[dane].[Nr zamówienia].&amp;[PL-2014-089908]"/>
            <x15:cachedUniqueName index="5919" name="[dane].[Nr zamówienia].&amp;[PL-2014-089914]"/>
            <x15:cachedUniqueName index="5920" name="[dane].[Nr zamówienia].&amp;[PL-2014-089920]"/>
            <x15:cachedUniqueName index="5921" name="[dane].[Nr zamówienia].&amp;[PL-2014-089921]"/>
            <x15:cachedUniqueName index="5922" name="[dane].[Nr zamówienia].&amp;[PL-2014-089922]"/>
            <x15:cachedUniqueName index="5923" name="[dane].[Nr zamówienia].&amp;[PL-2014-089927]"/>
            <x15:cachedUniqueName index="5924" name="[dane].[Nr zamówienia].&amp;[PL-2014-089932]"/>
            <x15:cachedUniqueName index="5925" name="[dane].[Nr zamówienia].&amp;[PL-2014-089933]"/>
            <x15:cachedUniqueName index="5926" name="[dane].[Nr zamówienia].&amp;[PL-2014-089937]"/>
            <x15:cachedUniqueName index="5927" name="[dane].[Nr zamówienia].&amp;[PL-2014-089938]"/>
            <x15:cachedUniqueName index="5928" name="[dane].[Nr zamówienia].&amp;[PL-2014-089952]"/>
            <x15:cachedUniqueName index="5929" name="[dane].[Nr zamówienia].&amp;[PL-2014-089953]"/>
            <x15:cachedUniqueName index="5930" name="[dane].[Nr zamówienia].&amp;[PL-2014-089954]"/>
            <x15:cachedUniqueName index="5931" name="[dane].[Nr zamówienia].&amp;[PL-2014-089955]"/>
            <x15:cachedUniqueName index="5932" name="[dane].[Nr zamówienia].&amp;[PL-2014-089956]"/>
            <x15:cachedUniqueName index="5933" name="[dane].[Nr zamówienia].&amp;[PL-2014-089959]"/>
            <x15:cachedUniqueName index="5934" name="[dane].[Nr zamówienia].&amp;[PL-2014-089960]"/>
            <x15:cachedUniqueName index="5935" name="[dane].[Nr zamówienia].&amp;[PL-2014-089965]"/>
            <x15:cachedUniqueName index="5936" name="[dane].[Nr zamówienia].&amp;[PL-2014-089966]"/>
            <x15:cachedUniqueName index="5937" name="[dane].[Nr zamówienia].&amp;[PL-2014-089967]"/>
            <x15:cachedUniqueName index="5938" name="[dane].[Nr zamówienia].&amp;[PL-2014-089968]"/>
            <x15:cachedUniqueName index="5939" name="[dane].[Nr zamówienia].&amp;[PL-2014-089969]"/>
            <x15:cachedUniqueName index="5940" name="[dane].[Nr zamówienia].&amp;[PL-2014-089978]"/>
            <x15:cachedUniqueName index="5941" name="[dane].[Nr zamówienia].&amp;[PL-2014-089979]"/>
            <x15:cachedUniqueName index="5942" name="[dane].[Nr zamówienia].&amp;[PL-2014-089980]"/>
            <x15:cachedUniqueName index="5943" name="[dane].[Nr zamówienia].&amp;[PL-2014-089985]"/>
            <x15:cachedUniqueName index="5944" name="[dane].[Nr zamówienia].&amp;[PL-2014-089986]"/>
            <x15:cachedUniqueName index="5945" name="[dane].[Nr zamówienia].&amp;[PL-2014-089987]"/>
            <x15:cachedUniqueName index="5946" name="[dane].[Nr zamówienia].&amp;[PL-2014-090006]"/>
            <x15:cachedUniqueName index="5947" name="[dane].[Nr zamówienia].&amp;[PL-2014-090007]"/>
            <x15:cachedUniqueName index="5948" name="[dane].[Nr zamówienia].&amp;[PL-2014-090008]"/>
            <x15:cachedUniqueName index="5949" name="[dane].[Nr zamówienia].&amp;[PL-2014-090009]"/>
            <x15:cachedUniqueName index="5950" name="[dane].[Nr zamówienia].&amp;[PL-2014-090010]"/>
            <x15:cachedUniqueName index="5951" name="[dane].[Nr zamówienia].&amp;[PL-2014-090022]"/>
            <x15:cachedUniqueName index="5952" name="[dane].[Nr zamówienia].&amp;[PL-2014-090023]"/>
            <x15:cachedUniqueName index="5953" name="[dane].[Nr zamówienia].&amp;[PL-2014-090024]"/>
            <x15:cachedUniqueName index="5954" name="[dane].[Nr zamówienia].&amp;[PL-2014-090025]"/>
            <x15:cachedUniqueName index="5955" name="[dane].[Nr zamówienia].&amp;[PL-2014-090037]"/>
            <x15:cachedUniqueName index="5956" name="[dane].[Nr zamówienia].&amp;[PL-2014-090038]"/>
            <x15:cachedUniqueName index="5957" name="[dane].[Nr zamówienia].&amp;[PL-2014-090039]"/>
            <x15:cachedUniqueName index="5958" name="[dane].[Nr zamówienia].&amp;[PL-2014-090042]"/>
            <x15:cachedUniqueName index="5959" name="[dane].[Nr zamówienia].&amp;[PL-2014-090047]"/>
            <x15:cachedUniqueName index="5960" name="[dane].[Nr zamówienia].&amp;[PL-2014-090053]"/>
            <x15:cachedUniqueName index="5961" name="[dane].[Nr zamówienia].&amp;[PL-2014-090054]"/>
            <x15:cachedUniqueName index="5962" name="[dane].[Nr zamówienia].&amp;[PL-2014-090056]"/>
            <x15:cachedUniqueName index="5963" name="[dane].[Nr zamówienia].&amp;[PL-2014-090057]"/>
            <x15:cachedUniqueName index="5964" name="[dane].[Nr zamówienia].&amp;[PL-2014-090067]"/>
            <x15:cachedUniqueName index="5965" name="[dane].[Nr zamówienia].&amp;[PL-2014-090068]"/>
            <x15:cachedUniqueName index="5966" name="[dane].[Nr zamówienia].&amp;[PL-2014-090074]"/>
            <x15:cachedUniqueName index="5967" name="[dane].[Nr zamówienia].&amp;[PL-2014-090075]"/>
            <x15:cachedUniqueName index="5968" name="[dane].[Nr zamówienia].&amp;[PL-2014-090076]"/>
            <x15:cachedUniqueName index="5969" name="[dane].[Nr zamówienia].&amp;[PL-2014-090077]"/>
            <x15:cachedUniqueName index="5970" name="[dane].[Nr zamówienia].&amp;[PL-2014-090089]"/>
            <x15:cachedUniqueName index="5971" name="[dane].[Nr zamówienia].&amp;[PL-2014-090090]"/>
            <x15:cachedUniqueName index="5972" name="[dane].[Nr zamówienia].&amp;[PL-2014-090091]"/>
            <x15:cachedUniqueName index="5973" name="[dane].[Nr zamówienia].&amp;[PL-2014-090092]"/>
            <x15:cachedUniqueName index="5974" name="[dane].[Nr zamówienia].&amp;[PL-2014-090093]"/>
            <x15:cachedUniqueName index="5975" name="[dane].[Nr zamówienia].&amp;[PL-2014-090097]"/>
            <x15:cachedUniqueName index="5976" name="[dane].[Nr zamówienia].&amp;[PL-2014-090098]"/>
            <x15:cachedUniqueName index="5977" name="[dane].[Nr zamówienia].&amp;[PL-2014-090101]"/>
            <x15:cachedUniqueName index="5978" name="[dane].[Nr zamówienia].&amp;[PL-2014-090102]"/>
            <x15:cachedUniqueName index="5979" name="[dane].[Nr zamówienia].&amp;[PL-2014-090124]"/>
            <x15:cachedUniqueName index="5980" name="[dane].[Nr zamówienia].&amp;[PL-2014-090125]"/>
            <x15:cachedUniqueName index="5981" name="[dane].[Nr zamówienia].&amp;[PL-2014-090126]"/>
            <x15:cachedUniqueName index="5982" name="[dane].[Nr zamówienia].&amp;[PL-2014-090130]"/>
            <x15:cachedUniqueName index="5983" name="[dane].[Nr zamówienia].&amp;[PL-2014-090139]"/>
            <x15:cachedUniqueName index="5984" name="[dane].[Nr zamówienia].&amp;[PL-2014-090140]"/>
            <x15:cachedUniqueName index="5985" name="[dane].[Nr zamówienia].&amp;[PL-2014-090141]"/>
            <x15:cachedUniqueName index="5986" name="[dane].[Nr zamówienia].&amp;[PL-2014-090142]"/>
            <x15:cachedUniqueName index="5987" name="[dane].[Nr zamówienia].&amp;[PL-2014-090143]"/>
            <x15:cachedUniqueName index="5988" name="[dane].[Nr zamówienia].&amp;[PL-2014-090151]"/>
            <x15:cachedUniqueName index="5989" name="[dane].[Nr zamówienia].&amp;[PL-2014-090152]"/>
            <x15:cachedUniqueName index="5990" name="[dane].[Nr zamówienia].&amp;[PL-2014-090153]"/>
            <x15:cachedUniqueName index="5991" name="[dane].[Nr zamówienia].&amp;[PL-2014-090158]"/>
            <x15:cachedUniqueName index="5992" name="[dane].[Nr zamówienia].&amp;[PL-2014-090159]"/>
            <x15:cachedUniqueName index="5993" name="[dane].[Nr zamówienia].&amp;[PL-2014-090163]"/>
            <x15:cachedUniqueName index="5994" name="[dane].[Nr zamówienia].&amp;[PL-2014-090164]"/>
            <x15:cachedUniqueName index="5995" name="[dane].[Nr zamówienia].&amp;[PL-2014-090165]"/>
            <x15:cachedUniqueName index="5996" name="[dane].[Nr zamówienia].&amp;[PL-2014-090170]"/>
            <x15:cachedUniqueName index="5997" name="[dane].[Nr zamówienia].&amp;[PL-2014-090171]"/>
            <x15:cachedUniqueName index="5998" name="[dane].[Nr zamówienia].&amp;[PL-2014-090172]"/>
            <x15:cachedUniqueName index="5999" name="[dane].[Nr zamówienia].&amp;[PL-2014-090173]"/>
            <x15:cachedUniqueName index="6000" name="[dane].[Nr zamówienia].&amp;[PL-2014-090174]"/>
            <x15:cachedUniqueName index="6001" name="[dane].[Nr zamówienia].&amp;[PL-2014-090182]"/>
            <x15:cachedUniqueName index="6002" name="[dane].[Nr zamówienia].&amp;[PL-2014-090183]"/>
            <x15:cachedUniqueName index="6003" name="[dane].[Nr zamówienia].&amp;[PL-2014-090184]"/>
            <x15:cachedUniqueName index="6004" name="[dane].[Nr zamówienia].&amp;[PL-2014-090191]"/>
            <x15:cachedUniqueName index="6005" name="[dane].[Nr zamówienia].&amp;[PL-2014-090212]"/>
            <x15:cachedUniqueName index="6006" name="[dane].[Nr zamówienia].&amp;[PL-2014-090213]"/>
            <x15:cachedUniqueName index="6007" name="[dane].[Nr zamówienia].&amp;[PL-2014-090214]"/>
            <x15:cachedUniqueName index="6008" name="[dane].[Nr zamówienia].&amp;[PL-2014-090227]"/>
            <x15:cachedUniqueName index="6009" name="[dane].[Nr zamówienia].&amp;[PL-2014-090228]"/>
            <x15:cachedUniqueName index="6010" name="[dane].[Nr zamówienia].&amp;[PL-2014-090229]"/>
            <x15:cachedUniqueName index="6011" name="[dane].[Nr zamówienia].&amp;[PL-2014-090235]"/>
            <x15:cachedUniqueName index="6012" name="[dane].[Nr zamówienia].&amp;[PL-2014-090242]"/>
            <x15:cachedUniqueName index="6013" name="[dane].[Nr zamówienia].&amp;[PL-2014-090243]"/>
            <x15:cachedUniqueName index="6014" name="[dane].[Nr zamówienia].&amp;[PL-2014-090246]"/>
            <x15:cachedUniqueName index="6015" name="[dane].[Nr zamówienia].&amp;[PL-2014-090247]"/>
            <x15:cachedUniqueName index="6016" name="[dane].[Nr zamówienia].&amp;[PL-2014-090252]"/>
            <x15:cachedUniqueName index="6017" name="[dane].[Nr zamówienia].&amp;[PL-2014-090253]"/>
            <x15:cachedUniqueName index="6018" name="[dane].[Nr zamówienia].&amp;[PL-2014-090254]"/>
            <x15:cachedUniqueName index="6019" name="[dane].[Nr zamówienia].&amp;[PL-2014-090255]"/>
            <x15:cachedUniqueName index="6020" name="[dane].[Nr zamówienia].&amp;[PL-2014-090257]"/>
            <x15:cachedUniqueName index="6021" name="[dane].[Nr zamówienia].&amp;[PL-2014-090262]"/>
            <x15:cachedUniqueName index="6022" name="[dane].[Nr zamówienia].&amp;[PL-2014-090263]"/>
            <x15:cachedUniqueName index="6023" name="[dane].[Nr zamówienia].&amp;[PL-2014-090267]"/>
            <x15:cachedUniqueName index="6024" name="[dane].[Nr zamówienia].&amp;[PL-2014-090268]"/>
            <x15:cachedUniqueName index="6025" name="[dane].[Nr zamówienia].&amp;[PL-2014-090269]"/>
            <x15:cachedUniqueName index="6026" name="[dane].[Nr zamówienia].&amp;[PL-2014-090277]"/>
            <x15:cachedUniqueName index="6027" name="[dane].[Nr zamówienia].&amp;[PL-2014-090278]"/>
            <x15:cachedUniqueName index="6028" name="[dane].[Nr zamówienia].&amp;[PL-2014-090279]"/>
            <x15:cachedUniqueName index="6029" name="[dane].[Nr zamówienia].&amp;[PL-2014-090280]"/>
            <x15:cachedUniqueName index="6030" name="[dane].[Nr zamówienia].&amp;[PL-2014-090283]"/>
            <x15:cachedUniqueName index="6031" name="[dane].[Nr zamówienia].&amp;[PL-2014-090289]"/>
            <x15:cachedUniqueName index="6032" name="[dane].[Nr zamówienia].&amp;[PL-2014-090290]"/>
            <x15:cachedUniqueName index="6033" name="[dane].[Nr zamówienia].&amp;[PL-2014-090294]"/>
            <x15:cachedUniqueName index="6034" name="[dane].[Nr zamówienia].&amp;[PL-2014-090295]"/>
            <x15:cachedUniqueName index="6035" name="[dane].[Nr zamówienia].&amp;[PL-2014-090300]"/>
            <x15:cachedUniqueName index="6036" name="[dane].[Nr zamówienia].&amp;[PL-2014-090302]"/>
            <x15:cachedUniqueName index="6037" name="[dane].[Nr zamówienia].&amp;[PL-2014-090307]"/>
            <x15:cachedUniqueName index="6038" name="[dane].[Nr zamówienia].&amp;[PL-2014-090308]"/>
            <x15:cachedUniqueName index="6039" name="[dane].[Nr zamówienia].&amp;[PL-2014-090313]"/>
            <x15:cachedUniqueName index="6040" name="[dane].[Nr zamówienia].&amp;[PL-2014-090318]"/>
            <x15:cachedUniqueName index="6041" name="[dane].[Nr zamówienia].&amp;[PL-2014-090319]"/>
            <x15:cachedUniqueName index="6042" name="[dane].[Nr zamówienia].&amp;[PL-2014-090320]"/>
            <x15:cachedUniqueName index="6043" name="[dane].[Nr zamówienia].&amp;[PL-2014-090321]"/>
            <x15:cachedUniqueName index="6044" name="[dane].[Nr zamówienia].&amp;[PL-2014-090326]"/>
            <x15:cachedUniqueName index="6045" name="[dane].[Nr zamówienia].&amp;[PL-2014-090332]"/>
            <x15:cachedUniqueName index="6046" name="[dane].[Nr zamówienia].&amp;[PL-2014-090336]"/>
            <x15:cachedUniqueName index="6047" name="[dane].[Nr zamówienia].&amp;[PL-2014-090346]"/>
            <x15:cachedUniqueName index="6048" name="[dane].[Nr zamówienia].&amp;[PL-2014-090347]"/>
            <x15:cachedUniqueName index="6049" name="[dane].[Nr zamówienia].&amp;[PL-2014-090348]"/>
            <x15:cachedUniqueName index="6050" name="[dane].[Nr zamówienia].&amp;[PL-2014-090349]"/>
            <x15:cachedUniqueName index="6051" name="[dane].[Nr zamówienia].&amp;[PL-2014-090350]"/>
            <x15:cachedUniqueName index="6052" name="[dane].[Nr zamówienia].&amp;[PL-2014-090351]"/>
            <x15:cachedUniqueName index="6053" name="[dane].[Nr zamówienia].&amp;[PL-2014-090352]"/>
            <x15:cachedUniqueName index="6054" name="[dane].[Nr zamówienia].&amp;[PL-2014-090358]"/>
            <x15:cachedUniqueName index="6055" name="[dane].[Nr zamówienia].&amp;[PL-2014-090367]"/>
            <x15:cachedUniqueName index="6056" name="[dane].[Nr zamówienia].&amp;[PL-2014-090371]"/>
            <x15:cachedUniqueName index="6057" name="[dane].[Nr zamówienia].&amp;[PL-2014-090372]"/>
            <x15:cachedUniqueName index="6058" name="[dane].[Nr zamówienia].&amp;[PL-2014-090373]"/>
            <x15:cachedUniqueName index="6059" name="[dane].[Nr zamówienia].&amp;[PL-2014-090377]"/>
            <x15:cachedUniqueName index="6060" name="[dane].[Nr zamówienia].&amp;[PL-2014-090383]"/>
            <x15:cachedUniqueName index="6061" name="[dane].[Nr zamówienia].&amp;[PL-2014-090384]"/>
            <x15:cachedUniqueName index="6062" name="[dane].[Nr zamówienia].&amp;[PL-2014-090397]"/>
            <x15:cachedUniqueName index="6063" name="[dane].[Nr zamówienia].&amp;[PL-2014-090398]"/>
            <x15:cachedUniqueName index="6064" name="[dane].[Nr zamówienia].&amp;[PL-2014-090399]"/>
            <x15:cachedUniqueName index="6065" name="[dane].[Nr zamówienia].&amp;[PL-2014-090400]"/>
            <x15:cachedUniqueName index="6066" name="[dane].[Nr zamówienia].&amp;[PL-2014-090401]"/>
            <x15:cachedUniqueName index="6067" name="[dane].[Nr zamówienia].&amp;[PL-2014-090402]"/>
            <x15:cachedUniqueName index="6068" name="[dane].[Nr zamówienia].&amp;[PL-2014-090403]"/>
            <x15:cachedUniqueName index="6069" name="[dane].[Nr zamówienia].&amp;[PL-2014-090407]"/>
            <x15:cachedUniqueName index="6070" name="[dane].[Nr zamówienia].&amp;[PL-2014-090420]"/>
            <x15:cachedUniqueName index="6071" name="[dane].[Nr zamówienia].&amp;[PL-2014-090421]"/>
            <x15:cachedUniqueName index="6072" name="[dane].[Nr zamówienia].&amp;[PL-2014-090426]"/>
            <x15:cachedUniqueName index="6073" name="[dane].[Nr zamówienia].&amp;[PL-2014-090427]"/>
            <x15:cachedUniqueName index="6074" name="[dane].[Nr zamówienia].&amp;[PL-2014-090428]"/>
            <x15:cachedUniqueName index="6075" name="[dane].[Nr zamówienia].&amp;[PL-2014-090429]"/>
            <x15:cachedUniqueName index="6076" name="[dane].[Nr zamówienia].&amp;[PL-2014-090434]"/>
            <x15:cachedUniqueName index="6077" name="[dane].[Nr zamówienia].&amp;[PL-2014-090435]"/>
            <x15:cachedUniqueName index="6078" name="[dane].[Nr zamówienia].&amp;[PL-2014-090436]"/>
            <x15:cachedUniqueName index="6079" name="[dane].[Nr zamówienia].&amp;[PL-2014-090443]"/>
            <x15:cachedUniqueName index="6080" name="[dane].[Nr zamówienia].&amp;[PL-2014-090444]"/>
            <x15:cachedUniqueName index="6081" name="[dane].[Nr zamówienia].&amp;[PL-2014-090447]"/>
            <x15:cachedUniqueName index="6082" name="[dane].[Nr zamówienia].&amp;[PL-2014-090448]"/>
            <x15:cachedUniqueName index="6083" name="[dane].[Nr zamówienia].&amp;[PL-2014-090452]"/>
            <x15:cachedUniqueName index="6084" name="[dane].[Nr zamówienia].&amp;[PL-2014-090458]"/>
            <x15:cachedUniqueName index="6085" name="[dane].[Nr zamówienia].&amp;[PL-2014-090459]"/>
            <x15:cachedUniqueName index="6086" name="[dane].[Nr zamówienia].&amp;[PL-2014-090466]"/>
            <x15:cachedUniqueName index="6087" name="[dane].[Nr zamówienia].&amp;[PL-2014-090467]"/>
            <x15:cachedUniqueName index="6088" name="[dane].[Nr zamówienia].&amp;[PL-2014-090468]"/>
            <x15:cachedUniqueName index="6089" name="[dane].[Nr zamówienia].&amp;[PL-2014-090477]"/>
            <x15:cachedUniqueName index="6090" name="[dane].[Nr zamówienia].&amp;[PL-2014-090478]"/>
            <x15:cachedUniqueName index="6091" name="[dane].[Nr zamówienia].&amp;[PL-2014-090484]"/>
            <x15:cachedUniqueName index="6092" name="[dane].[Nr zamówienia].&amp;[PL-2014-090485]"/>
            <x15:cachedUniqueName index="6093" name="[dane].[Nr zamówienia].&amp;[PL-2014-090486]"/>
            <x15:cachedUniqueName index="6094" name="[dane].[Nr zamówienia].&amp;[PL-2014-090487]"/>
            <x15:cachedUniqueName index="6095" name="[dane].[Nr zamówienia].&amp;[PL-2014-090490]"/>
            <x15:cachedUniqueName index="6096" name="[dane].[Nr zamówienia].&amp;[PL-2014-090498]"/>
            <x15:cachedUniqueName index="6097" name="[dane].[Nr zamówienia].&amp;[PL-2014-090499]"/>
            <x15:cachedUniqueName index="6098" name="[dane].[Nr zamówienia].&amp;[PL-2014-090509]"/>
            <x15:cachedUniqueName index="6099" name="[dane].[Nr zamówienia].&amp;[PL-2014-090510]"/>
            <x15:cachedUniqueName index="6100" name="[dane].[Nr zamówienia].&amp;[PL-2014-090511]"/>
            <x15:cachedUniqueName index="6101" name="[dane].[Nr zamówienia].&amp;[PL-2014-090512]"/>
            <x15:cachedUniqueName index="6102" name="[dane].[Nr zamówienia].&amp;[PL-2014-090519]"/>
            <x15:cachedUniqueName index="6103" name="[dane].[Nr zamówienia].&amp;[PL-2014-090520]"/>
            <x15:cachedUniqueName index="6104" name="[dane].[Nr zamówienia].&amp;[PL-2014-090521]"/>
            <x15:cachedUniqueName index="6105" name="[dane].[Nr zamówienia].&amp;[PL-2014-090522]"/>
            <x15:cachedUniqueName index="6106" name="[dane].[Nr zamówienia].&amp;[PL-2014-090523]"/>
            <x15:cachedUniqueName index="6107" name="[dane].[Nr zamówienia].&amp;[PL-2014-090528]"/>
            <x15:cachedUniqueName index="6108" name="[dane].[Nr zamówienia].&amp;[PL-2014-090529]"/>
            <x15:cachedUniqueName index="6109" name="[dane].[Nr zamówienia].&amp;[PL-2014-090535]"/>
            <x15:cachedUniqueName index="6110" name="[dane].[Nr zamówienia].&amp;[PL-2014-090536]"/>
            <x15:cachedUniqueName index="6111" name="[dane].[Nr zamówienia].&amp;[PL-2014-090537]"/>
            <x15:cachedUniqueName index="6112" name="[dane].[Nr zamówienia].&amp;[PL-2014-090549]"/>
            <x15:cachedUniqueName index="6113" name="[dane].[Nr zamówienia].&amp;[PL-2014-090550]"/>
            <x15:cachedUniqueName index="6114" name="[dane].[Nr zamówienia].&amp;[PL-2014-090553]"/>
            <x15:cachedUniqueName index="6115" name="[dane].[Nr zamówienia].&amp;[PL-2014-090554]"/>
            <x15:cachedUniqueName index="6116" name="[dane].[Nr zamówienia].&amp;[PL-2014-090555]"/>
            <x15:cachedUniqueName index="6117" name="[dane].[Nr zamówienia].&amp;[PL-2014-090556]"/>
            <x15:cachedUniqueName index="6118" name="[dane].[Nr zamówienia].&amp;[PL-2014-090563]"/>
            <x15:cachedUniqueName index="6119" name="[dane].[Nr zamówienia].&amp;[PL-2014-090564]"/>
            <x15:cachedUniqueName index="6120" name="[dane].[Nr zamówienia].&amp;[PL-2014-090565]"/>
            <x15:cachedUniqueName index="6121" name="[dane].[Nr zamówienia].&amp;[PL-2014-090566]"/>
            <x15:cachedUniqueName index="6122" name="[dane].[Nr zamówienia].&amp;[PL-2014-090567]"/>
            <x15:cachedUniqueName index="6123" name="[dane].[Nr zamówienia].&amp;[PL-2014-090574]"/>
            <x15:cachedUniqueName index="6124" name="[dane].[Nr zamówienia].&amp;[PL-2014-090575]"/>
            <x15:cachedUniqueName index="6125" name="[dane].[Nr zamówienia].&amp;[PL-2014-090576]"/>
            <x15:cachedUniqueName index="6126" name="[dane].[Nr zamówienia].&amp;[PL-2014-090582]"/>
            <x15:cachedUniqueName index="6127" name="[dane].[Nr zamówienia].&amp;[PL-2014-090586]"/>
            <x15:cachedUniqueName index="6128" name="[dane].[Nr zamówienia].&amp;[PL-2014-090587]"/>
            <x15:cachedUniqueName index="6129" name="[dane].[Nr zamówienia].&amp;[PL-2014-090595]"/>
            <x15:cachedUniqueName index="6130" name="[dane].[Nr zamówienia].&amp;[PL-2014-090599]"/>
            <x15:cachedUniqueName index="6131" name="[dane].[Nr zamówienia].&amp;[PL-2014-090605]"/>
            <x15:cachedUniqueName index="6132" name="[dane].[Nr zamówienia].&amp;[PL-2014-090606]"/>
            <x15:cachedUniqueName index="6133" name="[dane].[Nr zamówienia].&amp;[PL-2014-090607]"/>
            <x15:cachedUniqueName index="6134" name="[dane].[Nr zamówienia].&amp;[PL-2014-090616]"/>
            <x15:cachedUniqueName index="6135" name="[dane].[Nr zamówienia].&amp;[PL-2014-090617]"/>
            <x15:cachedUniqueName index="6136" name="[dane].[Nr zamówienia].&amp;[PL-2014-090618]"/>
            <x15:cachedUniqueName index="6137" name="[dane].[Nr zamówienia].&amp;[PL-2014-090620]"/>
            <x15:cachedUniqueName index="6138" name="[dane].[Nr zamówienia].&amp;[PL-2014-090622]"/>
            <x15:cachedUniqueName index="6139" name="[dane].[Nr zamówienia].&amp;[PL-2014-090623]"/>
            <x15:cachedUniqueName index="6140" name="[dane].[Nr zamówienia].&amp;[PL-2014-090626]"/>
            <x15:cachedUniqueName index="6141" name="[dane].[Nr zamówienia].&amp;[PL-2014-090627]"/>
            <x15:cachedUniqueName index="6142" name="[dane].[Nr zamówienia].&amp;[PL-2014-090628]"/>
            <x15:cachedUniqueName index="6143" name="[dane].[Nr zamówienia].&amp;[PL-2014-090629]"/>
            <x15:cachedUniqueName index="6144" name="[dane].[Nr zamówienia].&amp;[PL-2014-090638]"/>
            <x15:cachedUniqueName index="6145" name="[dane].[Nr zamówienia].&amp;[PL-2014-090639]"/>
            <x15:cachedUniqueName index="6146" name="[dane].[Nr zamówienia].&amp;[PL-2014-090640]"/>
            <x15:cachedUniqueName index="6147" name="[dane].[Nr zamówienia].&amp;[PL-2014-090644]"/>
            <x15:cachedUniqueName index="6148" name="[dane].[Nr zamówienia].&amp;[PL-2014-090645]"/>
            <x15:cachedUniqueName index="6149" name="[dane].[Nr zamówienia].&amp;[PL-2014-090648]"/>
            <x15:cachedUniqueName index="6150" name="[dane].[Nr zamówienia].&amp;[PL-2014-090652]"/>
            <x15:cachedUniqueName index="6151" name="[dane].[Nr zamówienia].&amp;[PL-2014-090657]"/>
            <x15:cachedUniqueName index="6152" name="[dane].[Nr zamówienia].&amp;[PL-2014-090658]"/>
            <x15:cachedUniqueName index="6153" name="[dane].[Nr zamówienia].&amp;[PL-2014-090659]"/>
            <x15:cachedUniqueName index="6154" name="[dane].[Nr zamówienia].&amp;[PL-2014-090660]"/>
            <x15:cachedUniqueName index="6155" name="[dane].[Nr zamówienia].&amp;[PL-2014-090661]"/>
            <x15:cachedUniqueName index="6156" name="[dane].[Nr zamówienia].&amp;[PL-2014-090667]"/>
            <x15:cachedUniqueName index="6157" name="[dane].[Nr zamówienia].&amp;[PL-2014-090668]"/>
            <x15:cachedUniqueName index="6158" name="[dane].[Nr zamówienia].&amp;[PL-2014-090672]"/>
            <x15:cachedUniqueName index="6159" name="[dane].[Nr zamówienia].&amp;[PL-2014-090673]"/>
            <x15:cachedUniqueName index="6160" name="[dane].[Nr zamówienia].&amp;[PL-2014-090680]"/>
            <x15:cachedUniqueName index="6161" name="[dane].[Nr zamówienia].&amp;[PL-2014-090681]"/>
            <x15:cachedUniqueName index="6162" name="[dane].[Nr zamówienia].&amp;[PL-2014-090682]"/>
            <x15:cachedUniqueName index="6163" name="[dane].[Nr zamówienia].&amp;[PL-2014-090683]"/>
            <x15:cachedUniqueName index="6164" name="[dane].[Nr zamówienia].&amp;[PL-2014-090684]"/>
            <x15:cachedUniqueName index="6165" name="[dane].[Nr zamówienia].&amp;[PL-2014-090688]"/>
            <x15:cachedUniqueName index="6166" name="[dane].[Nr zamówienia].&amp;[PL-2014-090689]"/>
            <x15:cachedUniqueName index="6167" name="[dane].[Nr zamówienia].&amp;[PL-2014-090690]"/>
            <x15:cachedUniqueName index="6168" name="[dane].[Nr zamówienia].&amp;[PL-2014-090691]"/>
            <x15:cachedUniqueName index="6169" name="[dane].[Nr zamówienia].&amp;[PL-2014-090694]"/>
            <x15:cachedUniqueName index="6170" name="[dane].[Nr zamówienia].&amp;[PL-2014-090702]"/>
            <x15:cachedUniqueName index="6171" name="[dane].[Nr zamówienia].&amp;[PL-2014-090703]"/>
            <x15:cachedUniqueName index="6172" name="[dane].[Nr zamówienia].&amp;[PL-2014-090704]"/>
            <x15:cachedUniqueName index="6173" name="[dane].[Nr zamówienia].&amp;[PL-2014-090705]"/>
            <x15:cachedUniqueName index="6174" name="[dane].[Nr zamówienia].&amp;[PL-2014-090709]"/>
            <x15:cachedUniqueName index="6175" name="[dane].[Nr zamówienia].&amp;[PL-2014-090722]"/>
            <x15:cachedUniqueName index="6176" name="[dane].[Nr zamówienia].&amp;[PL-2014-090723]"/>
            <x15:cachedUniqueName index="6177" name="[dane].[Nr zamówienia].&amp;[PL-2014-090728]"/>
            <x15:cachedUniqueName index="6178" name="[dane].[Nr zamówienia].&amp;[PL-2014-090729]"/>
            <x15:cachedUniqueName index="6179" name="[dane].[Nr zamówienia].&amp;[PL-2014-090730]"/>
            <x15:cachedUniqueName index="6180" name="[dane].[Nr zamówienia].&amp;[PL-2014-090733]"/>
            <x15:cachedUniqueName index="6181" name="[dane].[Nr zamówienia].&amp;[PL-2014-090734]"/>
            <x15:cachedUniqueName index="6182" name="[dane].[Nr zamówienia].&amp;[PL-2014-090738]"/>
            <x15:cachedUniqueName index="6183" name="[dane].[Nr zamówienia].&amp;[PL-2014-090744]"/>
            <x15:cachedUniqueName index="6184" name="[dane].[Nr zamówienia].&amp;[PL-2014-090749]"/>
            <x15:cachedUniqueName index="6185" name="[dane].[Nr zamówienia].&amp;[PL-2014-090759]"/>
            <x15:cachedUniqueName index="6186" name="[dane].[Nr zamówienia].&amp;[PL-2014-090760]"/>
            <x15:cachedUniqueName index="6187" name="[dane].[Nr zamówienia].&amp;[PL-2014-090761]"/>
            <x15:cachedUniqueName index="6188" name="[dane].[Nr zamówienia].&amp;[PL-2014-090765]"/>
            <x15:cachedUniqueName index="6189" name="[dane].[Nr zamówienia].&amp;[PL-2014-090770]"/>
            <x15:cachedUniqueName index="6190" name="[dane].[Nr zamówienia].&amp;[PL-2014-090773]"/>
            <x15:cachedUniqueName index="6191" name="[dane].[Nr zamówienia].&amp;[PL-2014-090774]"/>
            <x15:cachedUniqueName index="6192" name="[dane].[Nr zamówienia].&amp;[PL-2014-090778]"/>
            <x15:cachedUniqueName index="6193" name="[dane].[Nr zamówienia].&amp;[PL-2014-090779]"/>
            <x15:cachedUniqueName index="6194" name="[dane].[Nr zamówienia].&amp;[PL-2014-090780]"/>
            <x15:cachedUniqueName index="6195" name="[dane].[Nr zamówienia].&amp;[PL-2014-090781]"/>
            <x15:cachedUniqueName index="6196" name="[dane].[Nr zamówienia].&amp;[PL-2014-090782]"/>
            <x15:cachedUniqueName index="6197" name="[dane].[Nr zamówienia].&amp;[PL-2014-090784]"/>
            <x15:cachedUniqueName index="6198" name="[dane].[Nr zamówienia].&amp;[PL-2014-090785]"/>
            <x15:cachedUniqueName index="6199" name="[dane].[Nr zamówienia].&amp;[PL-2014-090793]"/>
            <x15:cachedUniqueName index="6200" name="[dane].[Nr zamówienia].&amp;[PL-2014-090794]"/>
            <x15:cachedUniqueName index="6201" name="[dane].[Nr zamówienia].&amp;[PL-2014-090795]"/>
            <x15:cachedUniqueName index="6202" name="[dane].[Nr zamówienia].&amp;[PL-2014-090805]"/>
            <x15:cachedUniqueName index="6203" name="[dane].[Nr zamówienia].&amp;[PL-2014-090811]"/>
            <x15:cachedUniqueName index="6204" name="[dane].[Nr zamówienia].&amp;[PL-2014-090812]"/>
            <x15:cachedUniqueName index="6205" name="[dane].[Nr zamówienia].&amp;[PL-2014-090813]"/>
            <x15:cachedUniqueName index="6206" name="[dane].[Nr zamówienia].&amp;[PL-2014-090817]"/>
            <x15:cachedUniqueName index="6207" name="[dane].[Nr zamówienia].&amp;[PL-2014-090823]"/>
            <x15:cachedUniqueName index="6208" name="[dane].[Nr zamówienia].&amp;[PL-2014-090824]"/>
            <x15:cachedUniqueName index="6209" name="[dane].[Nr zamówienia].&amp;[PL-2014-090825]"/>
            <x15:cachedUniqueName index="6210" name="[dane].[Nr zamówienia].&amp;[PL-2014-090829]"/>
            <x15:cachedUniqueName index="6211" name="[dane].[Nr zamówienia].&amp;[PL-2014-090830]"/>
            <x15:cachedUniqueName index="6212" name="[dane].[Nr zamówienia].&amp;[PL-2014-090831]"/>
            <x15:cachedUniqueName index="6213" name="[dane].[Nr zamówienia].&amp;[PL-2014-090835]"/>
            <x15:cachedUniqueName index="6214" name="[dane].[Nr zamówienia].&amp;[PL-2014-090836]"/>
            <x15:cachedUniqueName index="6215" name="[dane].[Nr zamówienia].&amp;[PL-2014-090842]"/>
            <x15:cachedUniqueName index="6216" name="[dane].[Nr zamówienia].&amp;[PL-2014-090843]"/>
            <x15:cachedUniqueName index="6217" name="[dane].[Nr zamówienia].&amp;[PL-2014-090847]"/>
            <x15:cachedUniqueName index="6218" name="[dane].[Nr zamówienia].&amp;[PL-2014-090848]"/>
            <x15:cachedUniqueName index="6219" name="[dane].[Nr zamówienia].&amp;[PL-2014-090849]"/>
            <x15:cachedUniqueName index="6220" name="[dane].[Nr zamówienia].&amp;[PL-2014-090864]"/>
            <x15:cachedUniqueName index="6221" name="[dane].[Nr zamówienia].&amp;[PL-2014-090865]"/>
            <x15:cachedUniqueName index="6222" name="[dane].[Nr zamówienia].&amp;[PL-2014-090866]"/>
            <x15:cachedUniqueName index="6223" name="[dane].[Nr zamówienia].&amp;[PL-2014-090874]"/>
            <x15:cachedUniqueName index="6224" name="[dane].[Nr zamówienia].&amp;[PL-2014-090877]"/>
            <x15:cachedUniqueName index="6225" name="[dane].[Nr zamówienia].&amp;[PL-2014-090879]"/>
            <x15:cachedUniqueName index="6226" name="[dane].[Nr zamówienia].&amp;[PL-2014-090884]"/>
            <x15:cachedUniqueName index="6227" name="[dane].[Nr zamówienia].&amp;[PL-2014-090885]"/>
            <x15:cachedUniqueName index="6228" name="[dane].[Nr zamówienia].&amp;[PL-2014-090886]"/>
            <x15:cachedUniqueName index="6229" name="[dane].[Nr zamówienia].&amp;[PL-2014-090887]"/>
            <x15:cachedUniqueName index="6230" name="[dane].[Nr zamówienia].&amp;[PL-2014-090895]"/>
            <x15:cachedUniqueName index="6231" name="[dane].[Nr zamówienia].&amp;[PL-2014-090896]"/>
            <x15:cachedUniqueName index="6232" name="[dane].[Nr zamówienia].&amp;[PL-2014-090897]"/>
            <x15:cachedUniqueName index="6233" name="[dane].[Nr zamówienia].&amp;[PL-2014-090898]"/>
            <x15:cachedUniqueName index="6234" name="[dane].[Nr zamówienia].&amp;[PL-2014-090902]"/>
            <x15:cachedUniqueName index="6235" name="[dane].[Nr zamówienia].&amp;[PL-2014-090903]"/>
            <x15:cachedUniqueName index="6236" name="[dane].[Nr zamówienia].&amp;[PL-2014-090904]"/>
            <x15:cachedUniqueName index="6237" name="[dane].[Nr zamówienia].&amp;[PL-2014-090907]"/>
            <x15:cachedUniqueName index="6238" name="[dane].[Nr zamówienia].&amp;[PL-2014-090914]"/>
            <x15:cachedUniqueName index="6239" name="[dane].[Nr zamówienia].&amp;[PL-2014-090915]"/>
            <x15:cachedUniqueName index="6240" name="[dane].[Nr zamówienia].&amp;[PL-2014-090916]"/>
            <x15:cachedUniqueName index="6241" name="[dane].[Nr zamówienia].&amp;[PL-2014-090921]"/>
            <x15:cachedUniqueName index="6242" name="[dane].[Nr zamówienia].&amp;[PL-2014-090925]"/>
            <x15:cachedUniqueName index="6243" name="[dane].[Nr zamówienia].&amp;[PL-2014-090926]"/>
            <x15:cachedUniqueName index="6244" name="[dane].[Nr zamówienia].&amp;[PL-2014-090929]"/>
            <x15:cachedUniqueName index="6245" name="[dane].[Nr zamówienia].&amp;[PL-2014-090930]"/>
            <x15:cachedUniqueName index="6246" name="[dane].[Nr zamówienia].&amp;[PL-2014-090931]"/>
            <x15:cachedUniqueName index="6247" name="[dane].[Nr zamówienia].&amp;[PL-2014-090933]"/>
            <x15:cachedUniqueName index="6248" name="[dane].[Nr zamówienia].&amp;[PL-2014-090938]"/>
            <x15:cachedUniqueName index="6249" name="[dane].[Nr zamówienia].&amp;[PL-2014-090939]"/>
            <x15:cachedUniqueName index="6250" name="[dane].[Nr zamówienia].&amp;[PL-2014-090940]"/>
            <x15:cachedUniqueName index="6251" name="[dane].[Nr zamówienia].&amp;[PL-2014-090941]"/>
            <x15:cachedUniqueName index="6252" name="[dane].[Nr zamówienia].&amp;[PL-2014-090942]"/>
            <x15:cachedUniqueName index="6253" name="[dane].[Nr zamówienia].&amp;[PL-2014-090943]"/>
            <x15:cachedUniqueName index="6254" name="[dane].[Nr zamówienia].&amp;[PL-2014-090944]"/>
            <x15:cachedUniqueName index="6255" name="[dane].[Nr zamówienia].&amp;[PL-2014-090945]"/>
            <x15:cachedUniqueName index="6256" name="[dane].[Nr zamówienia].&amp;[PL-2014-090946]"/>
            <x15:cachedUniqueName index="6257" name="[dane].[Nr zamówienia].&amp;[PL-2014-090950]"/>
            <x15:cachedUniqueName index="6258" name="[dane].[Nr zamówienia].&amp;[PL-2014-090958]"/>
            <x15:cachedUniqueName index="6259" name="[dane].[Nr zamówienia].&amp;[PL-2014-090959]"/>
            <x15:cachedUniqueName index="6260" name="[dane].[Nr zamówienia].&amp;[PL-2014-090960]"/>
            <x15:cachedUniqueName index="6261" name="[dane].[Nr zamówienia].&amp;[PL-2014-090963]"/>
            <x15:cachedUniqueName index="6262" name="[dane].[Nr zamówienia].&amp;[PL-2014-090969]"/>
            <x15:cachedUniqueName index="6263" name="[dane].[Nr zamówienia].&amp;[PL-2014-090970]"/>
            <x15:cachedUniqueName index="6264" name="[dane].[Nr zamówienia].&amp;[PL-2014-090971]"/>
            <x15:cachedUniqueName index="6265" name="[dane].[Nr zamówienia].&amp;[PL-2014-090972]"/>
            <x15:cachedUniqueName index="6266" name="[dane].[Nr zamówienia].&amp;[PL-2014-090976]"/>
            <x15:cachedUniqueName index="6267" name="[dane].[Nr zamówienia].&amp;[PL-2014-090981]"/>
            <x15:cachedUniqueName index="6268" name="[dane].[Nr zamówienia].&amp;[PL-2014-090982]"/>
            <x15:cachedUniqueName index="6269" name="[dane].[Nr zamówienia].&amp;[PL-2014-090983]"/>
            <x15:cachedUniqueName index="6270" name="[dane].[Nr zamówienia].&amp;[PL-2014-090984]"/>
            <x15:cachedUniqueName index="6271" name="[dane].[Nr zamówienia].&amp;[PL-2014-090993]"/>
            <x15:cachedUniqueName index="6272" name="[dane].[Nr zamówienia].&amp;[PL-2014-090997]"/>
            <x15:cachedUniqueName index="6273" name="[dane].[Nr zamówienia].&amp;[PL-2014-090998]"/>
            <x15:cachedUniqueName index="6274" name="[dane].[Nr zamówienia].&amp;[PL-2014-090999]"/>
            <x15:cachedUniqueName index="6275" name="[dane].[Nr zamówienia].&amp;[PL-2014-091003]"/>
            <x15:cachedUniqueName index="6276" name="[dane].[Nr zamówienia].&amp;[PL-2014-091004]"/>
            <x15:cachedUniqueName index="6277" name="[dane].[Nr zamówienia].&amp;[PL-2014-091005]"/>
            <x15:cachedUniqueName index="6278" name="[dane].[Nr zamówienia].&amp;[PL-2014-091006]"/>
            <x15:cachedUniqueName index="6279" name="[dane].[Nr zamówienia].&amp;[PL-2014-091007]"/>
            <x15:cachedUniqueName index="6280" name="[dane].[Nr zamówienia].&amp;[PL-2014-091009]"/>
            <x15:cachedUniqueName index="6281" name="[dane].[Nr zamówienia].&amp;[PL-2014-091014]"/>
            <x15:cachedUniqueName index="6282" name="[dane].[Nr zamówienia].&amp;[PL-2014-091015]"/>
            <x15:cachedUniqueName index="6283" name="[dane].[Nr zamówienia].&amp;[PL-2014-091016]"/>
            <x15:cachedUniqueName index="6284" name="[dane].[Nr zamówienia].&amp;[PL-2014-091022]"/>
            <x15:cachedUniqueName index="6285" name="[dane].[Nr zamówienia].&amp;[PL-2014-091023]"/>
            <x15:cachedUniqueName index="6286" name="[dane].[Nr zamówienia].&amp;[PL-2014-091024]"/>
            <x15:cachedUniqueName index="6287" name="[dane].[Nr zamówienia].&amp;[PL-2014-091028]"/>
            <x15:cachedUniqueName index="6288" name="[dane].[Nr zamówienia].&amp;[PL-2014-091029]"/>
            <x15:cachedUniqueName index="6289" name="[dane].[Nr zamówienia].&amp;[PL-2014-091033]"/>
            <x15:cachedUniqueName index="6290" name="[dane].[Nr zamówienia].&amp;[PL-2014-091034]"/>
            <x15:cachedUniqueName index="6291" name="[dane].[Nr zamówienia].&amp;[PL-2014-091035]"/>
            <x15:cachedUniqueName index="6292" name="[dane].[Nr zamówienia].&amp;[PL-2014-091037]"/>
            <x15:cachedUniqueName index="6293" name="[dane].[Nr zamówienia].&amp;[PL-2014-091038]"/>
            <x15:cachedUniqueName index="6294" name="[dane].[Nr zamówienia].&amp;[PL-2014-091040]"/>
            <x15:cachedUniqueName index="6295" name="[dane].[Nr zamówienia].&amp;[PL-2014-091048]"/>
            <x15:cachedUniqueName index="6296" name="[dane].[Nr zamówienia].&amp;[PL-2014-091052]"/>
            <x15:cachedUniqueName index="6297" name="[dane].[Nr zamówienia].&amp;[PL-2014-091055]"/>
            <x15:cachedUniqueName index="6298" name="[dane].[Nr zamówienia].&amp;[PL-2014-091056]"/>
            <x15:cachedUniqueName index="6299" name="[dane].[Nr zamówienia].&amp;[PL-2014-091058]"/>
            <x15:cachedUniqueName index="6300" name="[dane].[Nr zamówienia].&amp;[PL-2014-091061]"/>
            <x15:cachedUniqueName index="6301" name="[dane].[Nr zamówienia].&amp;[PL-2014-091066]"/>
            <x15:cachedUniqueName index="6302" name="[dane].[Nr zamówienia].&amp;[PL-2014-091067]"/>
            <x15:cachedUniqueName index="6303" name="[dane].[Nr zamówienia].&amp;[PL-2014-091068]"/>
            <x15:cachedUniqueName index="6304" name="[dane].[Nr zamówienia].&amp;[PL-2014-091069]"/>
            <x15:cachedUniqueName index="6305" name="[dane].[Nr zamówienia].&amp;[PL-2014-091072]"/>
            <x15:cachedUniqueName index="6306" name="[dane].[Nr zamówienia].&amp;[PL-2014-091073]"/>
            <x15:cachedUniqueName index="6307" name="[dane].[Nr zamówienia].&amp;[PL-2014-091084]"/>
            <x15:cachedUniqueName index="6308" name="[dane].[Nr zamówienia].&amp;[PL-2014-091085]"/>
            <x15:cachedUniqueName index="6309" name="[dane].[Nr zamówienia].&amp;[PL-2014-091096]"/>
            <x15:cachedUniqueName index="6310" name="[dane].[Nr zamówienia].&amp;[PL-2014-091097]"/>
            <x15:cachedUniqueName index="6311" name="[dane].[Nr zamówienia].&amp;[PL-2014-091098]"/>
            <x15:cachedUniqueName index="6312" name="[dane].[Nr zamówienia].&amp;[PL-2014-091099]"/>
            <x15:cachedUniqueName index="6313" name="[dane].[Nr zamówienia].&amp;[PL-2014-091100]"/>
            <x15:cachedUniqueName index="6314" name="[dane].[Nr zamówienia].&amp;[PL-2014-091105]"/>
            <x15:cachedUniqueName index="6315" name="[dane].[Nr zamówienia].&amp;[PL-2014-091106]"/>
            <x15:cachedUniqueName index="6316" name="[dane].[Nr zamówienia].&amp;[PL-2014-091107]"/>
            <x15:cachedUniqueName index="6317" name="[dane].[Nr zamówienia].&amp;[PL-2014-091113]"/>
            <x15:cachedUniqueName index="6318" name="[dane].[Nr zamówienia].&amp;[PL-2014-091114]"/>
            <x15:cachedUniqueName index="6319" name="[dane].[Nr zamówienia].&amp;[PL-2014-091120]"/>
            <x15:cachedUniqueName index="6320" name="[dane].[Nr zamówienia].&amp;[PL-2014-091121]"/>
            <x15:cachedUniqueName index="6321" name="[dane].[Nr zamówienia].&amp;[PL-2014-091135]"/>
            <x15:cachedUniqueName index="6322" name="[dane].[Nr zamówienia].&amp;[PL-2014-091136]"/>
            <x15:cachedUniqueName index="6323" name="[dane].[Nr zamówienia].&amp;[PL-2014-091137]"/>
            <x15:cachedUniqueName index="6324" name="[dane].[Nr zamówienia].&amp;[PL-2014-091139]"/>
            <x15:cachedUniqueName index="6325" name="[dane].[Nr zamówienia].&amp;[PL-2014-091140]"/>
            <x15:cachedUniqueName index="6326" name="[dane].[Nr zamówienia].&amp;[PL-2014-091142]"/>
            <x15:cachedUniqueName index="6327" name="[dane].[Nr zamówienia].&amp;[PL-2014-091143]"/>
            <x15:cachedUniqueName index="6328" name="[dane].[Nr zamówienia].&amp;[PL-2014-091149]"/>
            <x15:cachedUniqueName index="6329" name="[dane].[Nr zamówienia].&amp;[PL-2014-091150]"/>
            <x15:cachedUniqueName index="6330" name="[dane].[Nr zamówienia].&amp;[PL-2014-091151]"/>
            <x15:cachedUniqueName index="6331" name="[dane].[Nr zamówienia].&amp;[PL-2014-091152]"/>
            <x15:cachedUniqueName index="6332" name="[dane].[Nr zamówienia].&amp;[PL-2014-091157]"/>
            <x15:cachedUniqueName index="6333" name="[dane].[Nr zamówienia].&amp;[PL-2014-091158]"/>
            <x15:cachedUniqueName index="6334" name="[dane].[Nr zamówienia].&amp;[PL-2014-091165]"/>
            <x15:cachedUniqueName index="6335" name="[dane].[Nr zamówienia].&amp;[PL-2014-091171]"/>
            <x15:cachedUniqueName index="6336" name="[dane].[Nr zamówienia].&amp;[PL-2014-091172]"/>
            <x15:cachedUniqueName index="6337" name="[dane].[Nr zamówienia].&amp;[PL-2014-091173]"/>
            <x15:cachedUniqueName index="6338" name="[dane].[Nr zamówienia].&amp;[PL-2014-091178]"/>
            <x15:cachedUniqueName index="6339" name="[dane].[Nr zamówienia].&amp;[PL-2014-091179]"/>
            <x15:cachedUniqueName index="6340" name="[dane].[Nr zamówienia].&amp;[PL-2014-091185]"/>
            <x15:cachedUniqueName index="6341" name="[dane].[Nr zamówienia].&amp;[PL-2014-091186]"/>
            <x15:cachedUniqueName index="6342" name="[dane].[Nr zamówienia].&amp;[PL-2014-091190]"/>
            <x15:cachedUniqueName index="6343" name="[dane].[Nr zamówienia].&amp;[PL-2014-091191]"/>
            <x15:cachedUniqueName index="6344" name="[dane].[Nr zamówienia].&amp;[PL-2014-091192]"/>
            <x15:cachedUniqueName index="6345" name="[dane].[Nr zamówienia].&amp;[PL-2014-091193]"/>
            <x15:cachedUniqueName index="6346" name="[dane].[Nr zamówienia].&amp;[PL-2014-091197]"/>
            <x15:cachedUniqueName index="6347" name="[dane].[Nr zamówienia].&amp;[PL-2014-091198]"/>
            <x15:cachedUniqueName index="6348" name="[dane].[Nr zamówienia].&amp;[PL-2014-091199]"/>
            <x15:cachedUniqueName index="6349" name="[dane].[Nr zamówienia].&amp;[PL-2014-091206]"/>
            <x15:cachedUniqueName index="6350" name="[dane].[Nr zamówienia].&amp;[PL-2014-091207]"/>
            <x15:cachedUniqueName index="6351" name="[dane].[Nr zamówienia].&amp;[PL-2014-091208]"/>
            <x15:cachedUniqueName index="6352" name="[dane].[Nr zamówienia].&amp;[PL-2014-091211]"/>
            <x15:cachedUniqueName index="6353" name="[dane].[Nr zamówienia].&amp;[PL-2014-091216]"/>
            <x15:cachedUniqueName index="6354" name="[dane].[Nr zamówienia].&amp;[PL-2014-091217]"/>
            <x15:cachedUniqueName index="6355" name="[dane].[Nr zamówienia].&amp;[PL-2014-091218]"/>
            <x15:cachedUniqueName index="6356" name="[dane].[Nr zamówienia].&amp;[PL-2014-091224]"/>
            <x15:cachedUniqueName index="6357" name="[dane].[Nr zamówienia].&amp;[PL-2014-091226]"/>
            <x15:cachedUniqueName index="6358" name="[dane].[Nr zamówienia].&amp;[PL-2014-091227]"/>
            <x15:cachedUniqueName index="6359" name="[dane].[Nr zamówienia].&amp;[PL-2014-091233]"/>
            <x15:cachedUniqueName index="6360" name="[dane].[Nr zamówienia].&amp;[PL-2014-091234]"/>
            <x15:cachedUniqueName index="6361" name="[dane].[Nr zamówienia].&amp;[PL-2014-091237]"/>
            <x15:cachedUniqueName index="6362" name="[dane].[Nr zamówienia].&amp;[PL-2014-091238]"/>
            <x15:cachedUniqueName index="6363" name="[dane].[Nr zamówienia].&amp;[PL-2014-091239]"/>
            <x15:cachedUniqueName index="6364" name="[dane].[Nr zamówienia].&amp;[PL-2014-091240]"/>
            <x15:cachedUniqueName index="6365" name="[dane].[Nr zamówienia].&amp;[PL-2014-091241]"/>
            <x15:cachedUniqueName index="6366" name="[dane].[Nr zamówienia].&amp;[PL-2014-091242]"/>
            <x15:cachedUniqueName index="6367" name="[dane].[Nr zamówienia].&amp;[PL-2014-091243]"/>
            <x15:cachedUniqueName index="6368" name="[dane].[Nr zamówienia].&amp;[PL-2014-091250]"/>
            <x15:cachedUniqueName index="6369" name="[dane].[Nr zamówienia].&amp;[PL-2014-091251]"/>
            <x15:cachedUniqueName index="6370" name="[dane].[Nr zamówienia].&amp;[PL-2014-091255]"/>
            <x15:cachedUniqueName index="6371" name="[dane].[Nr zamówienia].&amp;[PL-2014-091257]"/>
            <x15:cachedUniqueName index="6372" name="[dane].[Nr zamówienia].&amp;[PL-2014-091259]"/>
            <x15:cachedUniqueName index="6373" name="[dane].[Nr zamówienia].&amp;[PL-2014-091260]"/>
            <x15:cachedUniqueName index="6374" name="[dane].[Nr zamówienia].&amp;[PL-2014-091265]"/>
            <x15:cachedUniqueName index="6375" name="[dane].[Nr zamówienia].&amp;[PL-2014-091268]"/>
            <x15:cachedUniqueName index="6376" name="[dane].[Nr zamówienia].&amp;[PL-2014-091269]"/>
            <x15:cachedUniqueName index="6377" name="[dane].[Nr zamówienia].&amp;[PL-2014-091275]"/>
            <x15:cachedUniqueName index="6378" name="[dane].[Nr zamówienia].&amp;[PL-2014-091276]"/>
            <x15:cachedUniqueName index="6379" name="[dane].[Nr zamówienia].&amp;[PL-2014-091279]"/>
            <x15:cachedUniqueName index="6380" name="[dane].[Nr zamówienia].&amp;[PL-2014-091280]"/>
            <x15:cachedUniqueName index="6381" name="[dane].[Nr zamówienia].&amp;[PL-2014-091284]"/>
            <x15:cachedUniqueName index="6382" name="[dane].[Nr zamówienia].&amp;[PL-2014-091289]"/>
            <x15:cachedUniqueName index="6383" name="[dane].[Nr zamówienia].&amp;[PL-2014-091293]"/>
            <x15:cachedUniqueName index="6384" name="[dane].[Nr zamówienia].&amp;[PL-2014-091303]"/>
            <x15:cachedUniqueName index="6385" name="[dane].[Nr zamówienia].&amp;[PL-2014-091307]"/>
            <x15:cachedUniqueName index="6386" name="[dane].[Nr zamówienia].&amp;[PL-2014-091308]"/>
            <x15:cachedUniqueName index="6387" name="[dane].[Nr zamówienia].&amp;[PL-2014-091313]"/>
            <x15:cachedUniqueName index="6388" name="[dane].[Nr zamówienia].&amp;[PL-2014-091320]"/>
            <x15:cachedUniqueName index="6389" name="[dane].[Nr zamówienia].&amp;[PL-2014-091325]"/>
            <x15:cachedUniqueName index="6390" name="[dane].[Nr zamówienia].&amp;[PL-2014-091326]"/>
            <x15:cachedUniqueName index="6391" name="[dane].[Nr zamówienia].&amp;[PL-2014-091327]"/>
            <x15:cachedUniqueName index="6392" name="[dane].[Nr zamówienia].&amp;[PL-2014-091329]"/>
            <x15:cachedUniqueName index="6393" name="[dane].[Nr zamówienia].&amp;[PL-2014-091330]"/>
            <x15:cachedUniqueName index="6394" name="[dane].[Nr zamówienia].&amp;[PL-2014-091335]"/>
            <x15:cachedUniqueName index="6395" name="[dane].[Nr zamówienia].&amp;[PL-2014-091342]"/>
            <x15:cachedUniqueName index="6396" name="[dane].[Nr zamówienia].&amp;[PL-2014-091343]"/>
            <x15:cachedUniqueName index="6397" name="[dane].[Nr zamówienia].&amp;[PL-2014-091349]"/>
            <x15:cachedUniqueName index="6398" name="[dane].[Nr zamówienia].&amp;[PL-2014-091350]"/>
            <x15:cachedUniqueName index="6399" name="[dane].[Nr zamówienia].&amp;[PL-2014-091358]"/>
            <x15:cachedUniqueName index="6400" name="[dane].[Nr zamówienia].&amp;[PL-2014-091359]"/>
            <x15:cachedUniqueName index="6401" name="[dane].[Nr zamówienia].&amp;[PL-2014-091360]"/>
            <x15:cachedUniqueName index="6402" name="[dane].[Nr zamówienia].&amp;[PL-2014-091361]"/>
            <x15:cachedUniqueName index="6403" name="[dane].[Nr zamówienia].&amp;[PL-2014-091370]"/>
            <x15:cachedUniqueName index="6404" name="[dane].[Nr zamówienia].&amp;[PL-2014-091373]"/>
            <x15:cachedUniqueName index="6405" name="[dane].[Nr zamówienia].&amp;[PL-2014-091379]"/>
            <x15:cachedUniqueName index="6406" name="[dane].[Nr zamówienia].&amp;[PL-2014-091380]"/>
            <x15:cachedUniqueName index="6407" name="[dane].[Nr zamówienia].&amp;[PL-2014-091381]"/>
            <x15:cachedUniqueName index="6408" name="[dane].[Nr zamówienia].&amp;[PL-2014-091382]"/>
            <x15:cachedUniqueName index="6409" name="[dane].[Nr zamówienia].&amp;[PL-2014-091383]"/>
            <x15:cachedUniqueName index="6410" name="[dane].[Nr zamówienia].&amp;[PL-2014-091384]"/>
            <x15:cachedUniqueName index="6411" name="[dane].[Nr zamówienia].&amp;[PL-2014-091385]"/>
            <x15:cachedUniqueName index="6412" name="[dane].[Nr zamówienia].&amp;[PL-2014-091396]"/>
            <x15:cachedUniqueName index="6413" name="[dane].[Nr zamówienia].&amp;[PL-2014-091402]"/>
            <x15:cachedUniqueName index="6414" name="[dane].[Nr zamówienia].&amp;[PL-2014-091405]"/>
            <x15:cachedUniqueName index="6415" name="[dane].[Nr zamówienia].&amp;[PL-2014-091406]"/>
            <x15:cachedUniqueName index="6416" name="[dane].[Nr zamówienia].&amp;[PL-2014-091412]"/>
            <x15:cachedUniqueName index="6417" name="[dane].[Nr zamówienia].&amp;[PL-2014-091413]"/>
            <x15:cachedUniqueName index="6418" name="[dane].[Nr zamówienia].&amp;[PL-2014-091419]"/>
            <x15:cachedUniqueName index="6419" name="[dane].[Nr zamówienia].&amp;[PL-2014-091420]"/>
            <x15:cachedUniqueName index="6420" name="[dane].[Nr zamówienia].&amp;[PL-2014-091423]"/>
            <x15:cachedUniqueName index="6421" name="[dane].[Nr zamówienia].&amp;[PL-2014-091427]"/>
            <x15:cachedUniqueName index="6422" name="[dane].[Nr zamówienia].&amp;[PL-2014-091428]"/>
            <x15:cachedUniqueName index="6423" name="[dane].[Nr zamówienia].&amp;[PL-2014-091430]"/>
            <x15:cachedUniqueName index="6424" name="[dane].[Nr zamówienia].&amp;[PL-2014-091431]"/>
            <x15:cachedUniqueName index="6425" name="[dane].[Nr zamówienia].&amp;[PL-2014-091434]"/>
            <x15:cachedUniqueName index="6426" name="[dane].[Nr zamówienia].&amp;[PL-2014-091442]"/>
            <x15:cachedUniqueName index="6427" name="[dane].[Nr zamówienia].&amp;[PL-2014-091446]"/>
            <x15:cachedUniqueName index="6428" name="[dane].[Nr zamówienia].&amp;[PL-2014-091450]"/>
            <x15:cachedUniqueName index="6429" name="[dane].[Nr zamówienia].&amp;[PL-2014-091453]"/>
            <x15:cachedUniqueName index="6430" name="[dane].[Nr zamówienia].&amp;[PL-2014-091456]"/>
            <x15:cachedUniqueName index="6431" name="[dane].[Nr zamówienia].&amp;[PL-2014-091457]"/>
            <x15:cachedUniqueName index="6432" name="[dane].[Nr zamówienia].&amp;[PL-2014-091458]"/>
            <x15:cachedUniqueName index="6433" name="[dane].[Nr zamówienia].&amp;[PL-2014-091461]"/>
            <x15:cachedUniqueName index="6434" name="[dane].[Nr zamówienia].&amp;[PL-2014-091462]"/>
            <x15:cachedUniqueName index="6435" name="[dane].[Nr zamówienia].&amp;[PL-2014-091464]"/>
            <x15:cachedUniqueName index="6436" name="[dane].[Nr zamówienia].&amp;[PL-2014-091465]"/>
            <x15:cachedUniqueName index="6437" name="[dane].[Nr zamówienia].&amp;[PL-2014-091467]"/>
            <x15:cachedUniqueName index="6438" name="[dane].[Nr zamówienia].&amp;[PL-2014-091468]"/>
            <x15:cachedUniqueName index="6439" name="[dane].[Nr zamówienia].&amp;[PL-2014-091470]"/>
            <x15:cachedUniqueName index="6440" name="[dane].[Nr zamówienia].&amp;[PL-2014-091471]"/>
            <x15:cachedUniqueName index="6441" name="[dane].[Nr zamówienia].&amp;[PL-2014-091477]"/>
            <x15:cachedUniqueName index="6442" name="[dane].[Nr zamówienia].&amp;[PL-2014-091478]"/>
            <x15:cachedUniqueName index="6443" name="[dane].[Nr zamówienia].&amp;[PL-2014-091479]"/>
            <x15:cachedUniqueName index="6444" name="[dane].[Nr zamówienia].&amp;[PL-2014-091485]"/>
            <x15:cachedUniqueName index="6445" name="[dane].[Nr zamówienia].&amp;[PL-2014-091486]"/>
            <x15:cachedUniqueName index="6446" name="[dane].[Nr zamówienia].&amp;[PL-2014-091487]"/>
            <x15:cachedUniqueName index="6447" name="[dane].[Nr zamówienia].&amp;[PL-2014-091490]"/>
            <x15:cachedUniqueName index="6448" name="[dane].[Nr zamówienia].&amp;[PL-2014-091491]"/>
            <x15:cachedUniqueName index="6449" name="[dane].[Nr zamówienia].&amp;[PL-2014-091500]"/>
            <x15:cachedUniqueName index="6450" name="[dane].[Nr zamówienia].&amp;[PL-2014-091501]"/>
            <x15:cachedUniqueName index="6451" name="[dane].[Nr zamówienia].&amp;[PL-2014-091511]"/>
            <x15:cachedUniqueName index="6452" name="[dane].[Nr zamówienia].&amp;[PL-2014-091512]"/>
            <x15:cachedUniqueName index="6453" name="[dane].[Nr zamówienia].&amp;[PL-2014-091517]"/>
            <x15:cachedUniqueName index="6454" name="[dane].[Nr zamówienia].&amp;[PL-2014-091518]"/>
            <x15:cachedUniqueName index="6455" name="[dane].[Nr zamówienia].&amp;[PL-2014-091519]"/>
            <x15:cachedUniqueName index="6456" name="[dane].[Nr zamówienia].&amp;[PL-2014-091520]"/>
            <x15:cachedUniqueName index="6457" name="[dane].[Nr zamówienia].&amp;[PL-2014-091523]"/>
            <x15:cachedUniqueName index="6458" name="[dane].[Nr zamówienia].&amp;[PL-2014-091528]"/>
            <x15:cachedUniqueName index="6459" name="[dane].[Nr zamówienia].&amp;[PL-2014-091530]"/>
            <x15:cachedUniqueName index="6460" name="[dane].[Nr zamówienia].&amp;[PL-2014-091531]"/>
            <x15:cachedUniqueName index="6461" name="[dane].[Nr zamówienia].&amp;[PL-2014-091532]"/>
            <x15:cachedUniqueName index="6462" name="[dane].[Nr zamówienia].&amp;[PL-2014-091533]"/>
            <x15:cachedUniqueName index="6463" name="[dane].[Nr zamówienia].&amp;[PL-2014-091535]"/>
            <x15:cachedUniqueName index="6464" name="[dane].[Nr zamówienia].&amp;[PL-2014-091536]"/>
            <x15:cachedUniqueName index="6465" name="[dane].[Nr zamówienia].&amp;[PL-2014-091542]"/>
            <x15:cachedUniqueName index="6466" name="[dane].[Nr zamówienia].&amp;[PL-2014-091545]"/>
            <x15:cachedUniqueName index="6467" name="[dane].[Nr zamówienia].&amp;[PL-2014-091546]"/>
            <x15:cachedUniqueName index="6468" name="[dane].[Nr zamówienia].&amp;[PL-2014-091547]"/>
            <x15:cachedUniqueName index="6469" name="[dane].[Nr zamówienia].&amp;[PL-2014-091548]"/>
            <x15:cachedUniqueName index="6470" name="[dane].[Nr zamówienia].&amp;[PL-2014-091549]"/>
            <x15:cachedUniqueName index="6471" name="[dane].[Nr zamówienia].&amp;[PL-2014-091553]"/>
            <x15:cachedUniqueName index="6472" name="[dane].[Nr zamówienia].&amp;[PL-2014-091554]"/>
            <x15:cachedUniqueName index="6473" name="[dane].[Nr zamówienia].&amp;[PL-2014-091557]"/>
            <x15:cachedUniqueName index="6474" name="[dane].[Nr zamówienia].&amp;[PL-2014-091558]"/>
            <x15:cachedUniqueName index="6475" name="[dane].[Nr zamówienia].&amp;[PL-2014-091562]"/>
            <x15:cachedUniqueName index="6476" name="[dane].[Nr zamówienia].&amp;[PL-2014-091563]"/>
            <x15:cachedUniqueName index="6477" name="[dane].[Nr zamówienia].&amp;[PL-2014-091564]"/>
            <x15:cachedUniqueName index="6478" name="[dane].[Nr zamówienia].&amp;[PL-2014-091565]"/>
            <x15:cachedUniqueName index="6479" name="[dane].[Nr zamówienia].&amp;[PL-2014-091566]"/>
            <x15:cachedUniqueName index="6480" name="[dane].[Nr zamówienia].&amp;[PL-2014-091568]"/>
            <x15:cachedUniqueName index="6481" name="[dane].[Nr zamówienia].&amp;[PL-2014-091573]"/>
            <x15:cachedUniqueName index="6482" name="[dane].[Nr zamówienia].&amp;[PL-2014-091574]"/>
            <x15:cachedUniqueName index="6483" name="[dane].[Nr zamówienia].&amp;[PL-2014-091577]"/>
            <x15:cachedUniqueName index="6484" name="[dane].[Nr zamówienia].&amp;[PL-2014-091588]"/>
            <x15:cachedUniqueName index="6485" name="[dane].[Nr zamówienia].&amp;[PL-2014-091590]"/>
            <x15:cachedUniqueName index="6486" name="[dane].[Nr zamówienia].&amp;[PL-2014-091591]"/>
          </x15:cachedUniqueNames>
        </ext>
      </extLst>
    </cacheField>
    <cacheField name="[dane].[Kategoria produktu].[Kategoria produktu]" caption="Kategoria produktu" numFmtId="0" hierarchy="21" level="1">
      <sharedItems containsSemiMixedTypes="0" containsNonDate="0" containsString="0"/>
    </cacheField>
  </cacheFields>
  <cacheHierarchies count="37">
    <cacheHierarchy uniqueName="[dane].[Nr wiersza]" caption="Nr wiersza" attribute="1" defaultMemberUniqueName="[dane].[Nr wiersza].[All]" allUniqueName="[dane].[Nr wiersza].[All]" dimensionUniqueName="[dane]" displayFolder="" count="2" memberValueDatatype="20" unbalanced="0"/>
    <cacheHierarchy uniqueName="[dane].[Nr zamówienia]" caption="Nr zamówienia" attribute="1" defaultMemberUniqueName="[dane].[Nr zamówienia].[All]" allUniqueName="[dane].[Nr zamówienia].[All]" dimensionUniqueName="[dane]" displayFolder="" count="2" memberValueDatatype="130" unbalanced="0">
      <fieldsUsage count="2">
        <fieldUsage x="-1"/>
        <fieldUsage x="2"/>
      </fieldsUsage>
    </cacheHierarchy>
    <cacheHierarchy uniqueName="[dane].[Data zamówienia]" caption="Data zamówienia" attribute="1" time="1" defaultMemberUniqueName="[dane].[Data zamówienia].[All]" allUniqueName="[dane].[Data zamówienia].[All]" dimensionUniqueName="[dane]" displayFolder="" count="2" memberValueDatatype="7" unbalanced="0"/>
    <cacheHierarchy uniqueName="[dane].[Priorytet zamówienia]" caption="Priorytet zamówienia" attribute="1" defaultMemberUniqueName="[dane].[Priorytet zamówienia].[All]" allUniqueName="[dane].[Priorytet zamówienia].[All]" dimensionUniqueName="[dane]" displayFolder="" count="2" memberValueDatatype="130" unbalanced="0"/>
    <cacheHierarchy uniqueName="[dane].[Wielkość zamówienia]" caption="Wielkość zamówienia" attribute="1" defaultMemberUniqueName="[dane].[Wielkość zamówienia].[All]" allUniqueName="[dane].[Wielkość zamówienia].[All]" dimensionUniqueName="[dane]" displayFolder="" count="2" memberValueDatatype="20" unbalanced="0"/>
    <cacheHierarchy uniqueName="[dane].[Data wysyłki]" caption="Data wysyłki" attribute="1" time="1" defaultMemberUniqueName="[dane].[Data wysyłki].[All]" allUniqueName="[dane].[Data wysyłki].[All]" dimensionUniqueName="[dane]" displayFolder="" count="2" memberValueDatatype="7" unbalanced="0"/>
    <cacheHierarchy uniqueName="[dane].[Rodzaj transportu]" caption="Rodzaj transportu" attribute="1" defaultMemberUniqueName="[dane].[Rodzaj transportu].[All]" allUniqueName="[dane].[Rodzaj transportu].[All]" dimensionUniqueName="[dane]" displayFolder="" count="2" memberValueDatatype="130" unbalanced="0"/>
    <cacheHierarchy uniqueName="[dane].[Rodzaj opakowania]" caption="Rodzaj opakowania" attribute="1" defaultMemberUniqueName="[dane].[Rodzaj opakowania].[All]" allUniqueName="[dane].[Rodzaj opakowania].[All]" dimensionUniqueName="[dane]" displayFolder="" count="2" memberValueDatatype="130" unbalanced="0"/>
    <cacheHierarchy uniqueName="[dane].[Segment rynku]" caption="Segment rynku" attribute="1" defaultMemberUniqueName="[dane].[Segment rynku].[All]" allUniqueName="[dane].[Segment rynku].[All]" dimensionUniqueName="[dane]" displayFolder="" count="2" memberValueDatatype="130" unbalanced="0"/>
    <cacheHierarchy uniqueName="[dane].[Sprzedaż]" caption="Sprzedaż" attribute="1" defaultMemberUniqueName="[dane].[Sprzedaż].[All]" allUniqueName="[dane].[Sprzedaż].[All]" dimensionUniqueName="[dane]" displayFolder="" count="2" memberValueDatatype="5" unbalanced="0"/>
    <cacheHierarchy uniqueName="[dane].[Rabat procentowy]" caption="Rabat procentowy" attribute="1" defaultMemberUniqueName="[dane].[Rabat procentowy].[All]" allUniqueName="[dane].[Rabat procentowy].[All]" dimensionUniqueName="[dane]" displayFolder="" count="2" memberValueDatatype="5" unbalanced="0">
      <fieldsUsage count="2">
        <fieldUsage x="-1"/>
        <fieldUsage x="1"/>
      </fieldsUsage>
    </cacheHierarchy>
    <cacheHierarchy uniqueName="[dane].[Marża podstawowa]" caption="Marża podstawowa" attribute="1" defaultMemberUniqueName="[dane].[Marża podstawowa].[All]" allUniqueName="[dane].[Marża podstawowa].[All]" dimensionUniqueName="[dane]" displayFolder="" count="2" memberValueDatatype="130" unbalanced="0"/>
    <cacheHierarchy uniqueName="[dane].[Koszt dostawy]" caption="Koszt dostawy" attribute="1" defaultMemberUniqueName="[dane].[Koszt dostawy].[All]" allUniqueName="[dane].[Koszt dostawy].[All]" dimensionUniqueName="[dane]" displayFolder="" count="2" memberValueDatatype="5" unbalanced="0"/>
    <cacheHierarchy uniqueName="[dane].[Zysk]" caption="Zysk" attribute="1" defaultMemberUniqueName="[dane].[Zysk].[All]" allUniqueName="[dane].[Zysk].[All]" dimensionUniqueName="[dane]" displayFolder="" count="2" memberValueDatatype="5" unbalanced="0"/>
    <cacheHierarchy uniqueName="[dane].[Region]" caption="Region" attribute="1" defaultMemberUniqueName="[dane].[Region].[All]" allUniqueName="[dane].[Region].[All]" dimensionUniqueName="[dane]" displayFolder="" count="2" memberValueDatatype="130" unbalanced="0">
      <fieldsUsage count="2">
        <fieldUsage x="-1"/>
        <fieldUsage x="0"/>
      </fieldsUsage>
    </cacheHierarchy>
    <cacheHierarchy uniqueName="[dane].[Nr klienta]" caption="Nr klienta" attribute="1" defaultMemberUniqueName="[dane].[Nr klienta].[All]" allUniqueName="[dane].[Nr klienta].[All]" dimensionUniqueName="[dane]" displayFolder="" count="2" memberValueDatatype="130" unbalanced="0"/>
    <cacheHierarchy uniqueName="[dane].[Klient]" caption="Klient" attribute="1" defaultMemberUniqueName="[dane].[Klient].[All]" allUniqueName="[dane].[Klient].[All]" dimensionUniqueName="[dane]" displayFolder="" count="2" memberValueDatatype="130" unbalanced="0"/>
    <cacheHierarchy uniqueName="[dane].[Województwo]" caption="Województwo" attribute="1" defaultMemberUniqueName="[dane].[Województwo].[All]" allUniqueName="[dane].[Województwo].[All]" dimensionUniqueName="[dane]" displayFolder="" count="2" memberValueDatatype="130" unbalanced="0"/>
    <cacheHierarchy uniqueName="[dane].[Miasto]" caption="Miasto" attribute="1" defaultMemberUniqueName="[dane].[Miasto].[All]" allUniqueName="[dane].[Miasto].[All]" dimensionUniqueName="[dane]" displayFolder="" count="2" memberValueDatatype="130" unbalanced="0"/>
    <cacheHierarchy uniqueName="[dane].[Kod pocztowy]" caption="Kod pocztowy" attribute="1" defaultMemberUniqueName="[dane].[Kod pocztowy].[All]" allUniqueName="[dane].[Kod pocztowy].[All]" dimensionUniqueName="[dane]" displayFolder="" count="2" memberValueDatatype="130" unbalanced="0"/>
    <cacheHierarchy uniqueName="[dane].[Nazwa produktu]" caption="Nazwa produktu" attribute="1" defaultMemberUniqueName="[dane].[Nazwa produktu].[All]" allUniqueName="[dane].[Nazwa produktu].[All]" dimensionUniqueName="[dane]" displayFolder="" count="2" memberValueDatatype="130" unbalanced="0"/>
    <cacheHierarchy uniqueName="[dane].[Kategoria produktu]" caption="Kategoria produktu" attribute="1" defaultMemberUniqueName="[dane].[Kategoria produktu].[All]" allUniqueName="[dane].[Kategoria produktu].[All]" dimensionUniqueName="[dane]" displayFolder="" count="2" memberValueDatatype="130" unbalanced="0">
      <fieldsUsage count="2">
        <fieldUsage x="-1"/>
        <fieldUsage x="3"/>
      </fieldsUsage>
    </cacheHierarchy>
    <cacheHierarchy uniqueName="[dane].[Podkategoria produktu]" caption="Podkategoria produktu" attribute="1" defaultMemberUniqueName="[dane].[Podkategoria produktu].[All]" allUniqueName="[dane].[Podkategoria produktu].[All]" dimensionUniqueName="[dane]" displayFolder="" count="2" memberValueDatatype="130" unbalanced="0"/>
    <cacheHierarchy uniqueName="[dane].[Cena jednostkowa]" caption="Cena jednostkowa" attribute="1" defaultMemberUniqueName="[dane].[Cena jednostkowa].[All]" allUniqueName="[dane].[Cena jednostkowa].[All]" dimensionUniqueName="[dane]" displayFolder="" count="2" memberValueDatatype="5" unbalanced="0"/>
    <cacheHierarchy uniqueName="[dane].[Czas dostawy]" caption="Czas dostawy" attribute="1" defaultMemberUniqueName="[dane].[Czas dostawy].[All]" allUniqueName="[dane].[Czas dostawy].[All]" dimensionUniqueName="[dane]" displayFolder="" count="2" memberValueDatatype="20" unbalanced="0"/>
    <cacheHierarchy uniqueName="[Measures].[Mediana]" caption="Mediana" measure="1" displayFolder="" measureGroup="dane" count="0"/>
    <cacheHierarchy uniqueName="[Measures].[min]" caption="min" measure="1" displayFolder="" measureGroup="dane" count="0"/>
    <cacheHierarchy uniqueName="[Measures].[max]" caption="max" measure="1" displayFolder="" measureGroup="dane" count="0"/>
    <cacheHierarchy uniqueName="[Measures].[3kwartyl]" caption="3kwartyl" measure="1" displayFolder="" measureGroup="dane" count="0"/>
    <cacheHierarchy uniqueName="[Measures].[1kwartyl]" caption="1kwartyl" measure="1" displayFolder="" measureGroup="dane" count="0"/>
    <cacheHierarchy uniqueName="[Measures].[dolny]" caption="dolny" measure="1" displayFolder="" measureGroup="dane" count="0"/>
    <cacheHierarchy uniqueName="[Measures].[górny]" caption="górny" measure="1" displayFolder="" measureGroup="dane" count="0"/>
    <cacheHierarchy uniqueName="[Measures].[linia dolna]" caption="linia dolna" measure="1" displayFolder="" measureGroup="dane" count="0"/>
    <cacheHierarchy uniqueName="[Measures].[linia górna]" caption="linia górna" measure="1" displayFolder="" measureGroup="dane" count="0"/>
    <cacheHierarchy uniqueName="[Measures].[__XL_Count dane]" caption="__XL_Count dane" measure="1" displayFolder="" measureGroup="dane" count="0" hidden="1"/>
    <cacheHierarchy uniqueName="[Measures].[__No measures defined]" caption="__No measures defined" measure="1" displayFolder="" count="0" hidden="1"/>
    <cacheHierarchy uniqueName="[Measures].[Suma Wielkość zamówienia]" caption="Suma Wielkość zamówienia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</cacheHierarchies>
  <kpis count="0"/>
  <dimensions count="2">
    <dimension name="dane" uniqueName="[dane]" caption="dane"/>
    <dimension measure="1" name="Measures" uniqueName="[Measures]" caption="Measures"/>
  </dimensions>
  <measureGroups count="1">
    <measureGroup name="dane" caption="dane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rtosz Czapiewski" refreshedDate="43735.805325810186" backgroundQuery="1" createdVersion="3" refreshedVersion="6" minRefreshableVersion="3" recordCount="0" supportSubquery="1" supportAdvancedDrill="1" xr:uid="{78316AB2-8251-4126-B27F-F45D2BEEFB4F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7">
    <cacheHierarchy uniqueName="[dane].[Nr wiersza]" caption="Nr wiersza" attribute="1" defaultMemberUniqueName="[dane].[Nr wiersza].[All]" allUniqueName="[dane].[Nr wiersza].[All]" dimensionUniqueName="[dane]" displayFolder="" count="0" memberValueDatatype="20" unbalanced="0"/>
    <cacheHierarchy uniqueName="[dane].[Nr zamówienia]" caption="Nr zamówienia" attribute="1" defaultMemberUniqueName="[dane].[Nr zamówienia].[All]" allUniqueName="[dane].[Nr zamówienia].[All]" dimensionUniqueName="[dane]" displayFolder="" count="0" memberValueDatatype="130" unbalanced="0"/>
    <cacheHierarchy uniqueName="[dane].[Data zamówienia]" caption="Data zamówienia" attribute="1" time="1" defaultMemberUniqueName="[dane].[Data zamówienia].[All]" allUniqueName="[dane].[Data zamówienia].[All]" dimensionUniqueName="[dane]" displayFolder="" count="0" memberValueDatatype="7" unbalanced="0"/>
    <cacheHierarchy uniqueName="[dane].[Priorytet zamówienia]" caption="Priorytet zamówienia" attribute="1" defaultMemberUniqueName="[dane].[Priorytet zamówienia].[All]" allUniqueName="[dane].[Priorytet zamówienia].[All]" dimensionUniqueName="[dane]" displayFolder="" count="0" memberValueDatatype="130" unbalanced="0"/>
    <cacheHierarchy uniqueName="[dane].[Wielkość zamówienia]" caption="Wielkość zamówienia" attribute="1" defaultMemberUniqueName="[dane].[Wielkość zamówienia].[All]" allUniqueName="[dane].[Wielkość zamówienia].[All]" dimensionUniqueName="[dane]" displayFolder="" count="0" memberValueDatatype="20" unbalanced="0"/>
    <cacheHierarchy uniqueName="[dane].[Data wysyłki]" caption="Data wysyłki" attribute="1" time="1" defaultMemberUniqueName="[dane].[Data wysyłki].[All]" allUniqueName="[dane].[Data wysyłki].[All]" dimensionUniqueName="[dane]" displayFolder="" count="0" memberValueDatatype="7" unbalanced="0"/>
    <cacheHierarchy uniqueName="[dane].[Rodzaj transportu]" caption="Rodzaj transportu" attribute="1" defaultMemberUniqueName="[dane].[Rodzaj transportu].[All]" allUniqueName="[dane].[Rodzaj transportu].[All]" dimensionUniqueName="[dane]" displayFolder="" count="0" memberValueDatatype="130" unbalanced="0"/>
    <cacheHierarchy uniqueName="[dane].[Rodzaj opakowania]" caption="Rodzaj opakowania" attribute="1" defaultMemberUniqueName="[dane].[Rodzaj opakowania].[All]" allUniqueName="[dane].[Rodzaj opakowania].[All]" dimensionUniqueName="[dane]" displayFolder="" count="0" memberValueDatatype="130" unbalanced="0"/>
    <cacheHierarchy uniqueName="[dane].[Segment rynku]" caption="Segment rynku" attribute="1" defaultMemberUniqueName="[dane].[Segment rynku].[All]" allUniqueName="[dane].[Segment rynku].[All]" dimensionUniqueName="[dane]" displayFolder="" count="0" memberValueDatatype="130" unbalanced="0"/>
    <cacheHierarchy uniqueName="[dane].[Sprzedaż]" caption="Sprzedaż" attribute="1" defaultMemberUniqueName="[dane].[Sprzedaż].[All]" allUniqueName="[dane].[Sprzedaż].[All]" dimensionUniqueName="[dane]" displayFolder="" count="0" memberValueDatatype="5" unbalanced="0"/>
    <cacheHierarchy uniqueName="[dane].[Rabat procentowy]" caption="Rabat procentowy" attribute="1" defaultMemberUniqueName="[dane].[Rabat procentowy].[All]" allUniqueName="[dane].[Rabat procentowy].[All]" dimensionUniqueName="[dane]" displayFolder="" count="0" memberValueDatatype="5" unbalanced="0"/>
    <cacheHierarchy uniqueName="[dane].[Marża podstawowa]" caption="Marża podstawowa" attribute="1" defaultMemberUniqueName="[dane].[Marża podstawowa].[All]" allUniqueName="[dane].[Marża podstawowa].[All]" dimensionUniqueName="[dane]" displayFolder="" count="0" memberValueDatatype="130" unbalanced="0"/>
    <cacheHierarchy uniqueName="[dane].[Koszt dostawy]" caption="Koszt dostawy" attribute="1" defaultMemberUniqueName="[dane].[Koszt dostawy].[All]" allUniqueName="[dane].[Koszt dostawy].[All]" dimensionUniqueName="[dane]" displayFolder="" count="0" memberValueDatatype="5" unbalanced="0"/>
    <cacheHierarchy uniqueName="[dane].[Zysk]" caption="Zysk" attribute="1" defaultMemberUniqueName="[dane].[Zysk].[All]" allUniqueName="[dane].[Zysk].[All]" dimensionUniqueName="[dane]" displayFolder="" count="0" memberValueDatatype="5" unbalanced="0"/>
    <cacheHierarchy uniqueName="[dane].[Region]" caption="Region" attribute="1" defaultMemberUniqueName="[dane].[Region].[All]" allUniqueName="[dane].[Region].[All]" dimensionUniqueName="[dane]" displayFolder="" count="0" memberValueDatatype="130" unbalanced="0"/>
    <cacheHierarchy uniqueName="[dane].[Nr klienta]" caption="Nr klienta" attribute="1" defaultMemberUniqueName="[dane].[Nr klienta].[All]" allUniqueName="[dane].[Nr klienta].[All]" dimensionUniqueName="[dane]" displayFolder="" count="0" memberValueDatatype="130" unbalanced="0"/>
    <cacheHierarchy uniqueName="[dane].[Klient]" caption="Klient" attribute="1" defaultMemberUniqueName="[dane].[Klient].[All]" allUniqueName="[dane].[Klient].[All]" dimensionUniqueName="[dane]" displayFolder="" count="0" memberValueDatatype="130" unbalanced="0"/>
    <cacheHierarchy uniqueName="[dane].[Województwo]" caption="Województwo" attribute="1" defaultMemberUniqueName="[dane].[Województwo].[All]" allUniqueName="[dane].[Województwo].[All]" dimensionUniqueName="[dane]" displayFolder="" count="0" memberValueDatatype="130" unbalanced="0"/>
    <cacheHierarchy uniqueName="[dane].[Miasto]" caption="Miasto" attribute="1" defaultMemberUniqueName="[dane].[Miasto].[All]" allUniqueName="[dane].[Miasto].[All]" dimensionUniqueName="[dane]" displayFolder="" count="0" memberValueDatatype="130" unbalanced="0"/>
    <cacheHierarchy uniqueName="[dane].[Kod pocztowy]" caption="Kod pocztowy" attribute="1" defaultMemberUniqueName="[dane].[Kod pocztowy].[All]" allUniqueName="[dane].[Kod pocztowy].[All]" dimensionUniqueName="[dane]" displayFolder="" count="0" memberValueDatatype="130" unbalanced="0"/>
    <cacheHierarchy uniqueName="[dane].[Nazwa produktu]" caption="Nazwa produktu" attribute="1" defaultMemberUniqueName="[dane].[Nazwa produktu].[All]" allUniqueName="[dane].[Nazwa produktu].[All]" dimensionUniqueName="[dane]" displayFolder="" count="0" memberValueDatatype="130" unbalanced="0"/>
    <cacheHierarchy uniqueName="[dane].[Kategoria produktu]" caption="Kategoria produktu" attribute="1" defaultMemberUniqueName="[dane].[Kategoria produktu].[All]" allUniqueName="[dane].[Kategoria produktu].[All]" dimensionUniqueName="[dane]" displayFolder="" count="2" memberValueDatatype="130" unbalanced="0"/>
    <cacheHierarchy uniqueName="[dane].[Podkategoria produktu]" caption="Podkategoria produktu" attribute="1" defaultMemberUniqueName="[dane].[Podkategoria produktu].[All]" allUniqueName="[dane].[Podkategoria produktu].[All]" dimensionUniqueName="[dane]" displayFolder="" count="0" memberValueDatatype="130" unbalanced="0"/>
    <cacheHierarchy uniqueName="[dane].[Cena jednostkowa]" caption="Cena jednostkowa" attribute="1" defaultMemberUniqueName="[dane].[Cena jednostkowa].[All]" allUniqueName="[dane].[Cena jednostkowa].[All]" dimensionUniqueName="[dane]" displayFolder="" count="0" memberValueDatatype="5" unbalanced="0"/>
    <cacheHierarchy uniqueName="[dane].[Czas dostawy]" caption="Czas dostawy" attribute="1" defaultMemberUniqueName="[dane].[Czas dostawy].[All]" allUniqueName="[dane].[Czas dostawy].[All]" dimensionUniqueName="[dane]" displayFolder="" count="0" memberValueDatatype="20" unbalanced="0"/>
    <cacheHierarchy uniqueName="[Measures].[Mediana]" caption="Mediana" measure="1" displayFolder="" measureGroup="dane" count="0"/>
    <cacheHierarchy uniqueName="[Measures].[min]" caption="min" measure="1" displayFolder="" measureGroup="dane" count="0"/>
    <cacheHierarchy uniqueName="[Measures].[max]" caption="max" measure="1" displayFolder="" measureGroup="dane" count="0"/>
    <cacheHierarchy uniqueName="[Measures].[3kwartyl]" caption="3kwartyl" measure="1" displayFolder="" measureGroup="dane" count="0"/>
    <cacheHierarchy uniqueName="[Measures].[1kwartyl]" caption="1kwartyl" measure="1" displayFolder="" measureGroup="dane" count="0"/>
    <cacheHierarchy uniqueName="[Measures].[dolny]" caption="dolny" measure="1" displayFolder="" measureGroup="dane" count="0"/>
    <cacheHierarchy uniqueName="[Measures].[górny]" caption="górny" measure="1" displayFolder="" measureGroup="dane" count="0"/>
    <cacheHierarchy uniqueName="[Measures].[linia dolna]" caption="linia dolna" measure="1" displayFolder="" measureGroup="dane" count="0"/>
    <cacheHierarchy uniqueName="[Measures].[linia górna]" caption="linia górna" measure="1" displayFolder="" measureGroup="dane" count="0"/>
    <cacheHierarchy uniqueName="[Measures].[__XL_Count dane]" caption="__XL_Count dane" measure="1" displayFolder="" measureGroup="dane" count="0" hidden="1"/>
    <cacheHierarchy uniqueName="[Measures].[__No measures defined]" caption="__No measures defined" measure="1" displayFolder="" count="0" hidden="1"/>
    <cacheHierarchy uniqueName="[Measures].[Suma Wielkość zamówienia]" caption="Suma Wielkość zamówienia" measure="1" displayFolder="" measureGroup="dan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994058040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E83ACE-C518-4ABC-9C31-0BB453E9E9CA}" name="Tabela przestawna2" cacheId="4" applyNumberFormats="0" applyBorderFormats="0" applyFontFormats="0" applyPatternFormats="0" applyAlignmentFormats="0" applyWidthHeightFormats="1" dataCaption="Wartości" tag="181eee23-4492-45dd-9001-5de1a55b2b25" updatedVersion="6" minRefreshableVersion="3" useAutoFormatting="1" rowGrandTotals="0" colGrandTotals="0" itemPrintTitles="1" createdVersion="6" indent="0" outline="1" outlineData="1" multipleFieldFilters="0" chartFormat="5">
  <location ref="A1:F18" firstHeaderRow="0" firstDataRow="1" firstDataCol="1"/>
  <pivotFields count="6"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axis="axisRow" allDrilled="1" subtotalTop="0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</pivotFields>
  <rowFields count="1">
    <field x="5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fld="0" subtotal="count" baseField="0" baseItem="0"/>
    <dataField fld="1" subtotal="count" baseField="0" baseItem="0"/>
    <dataField fld="2" subtotal="count" baseField="0" baseItem="0"/>
    <dataField fld="3" subtotal="count" baseField="0" baseItem="0"/>
    <dataField fld="4" subtotal="count" baseField="0" baseItem="0"/>
  </dataFields>
  <chartFormats count="5"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</chartFormats>
  <pivotHierarchies count="3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B18E02-1BC9-4C70-A1E9-B0BECF97AA50}" name="Tabela przestawna1" cacheId="59" applyNumberFormats="0" applyBorderFormats="0" applyFontFormats="0" applyPatternFormats="0" applyAlignmentFormats="0" applyWidthHeightFormats="1" dataCaption="Wartości" updatedVersion="6" minRefreshableVersion="3" useAutoFormatting="1" rowGrandTotals="0" colGrandTotals="0" itemPrintTitles="1" createdVersion="6" indent="0" compact="0" compactData="0" multipleFieldFilters="0">
  <location ref="A1:C9144" firstHeaderRow="1" firstDataRow="1" firstDataCol="3"/>
  <pivotFields count="4">
    <pivotField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64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0"/>
    <field x="1"/>
  </rowFields>
  <rowItems count="9143">
    <i>
      <x/>
      <x/>
      <x/>
    </i>
    <i>
      <x v="1"/>
      <x v="1"/>
      <x v="1"/>
    </i>
    <i r="2">
      <x v="2"/>
    </i>
    <i>
      <x v="2"/>
      <x v="2"/>
      <x v="3"/>
    </i>
    <i>
      <x v="3"/>
      <x v="3"/>
      <x v="4"/>
    </i>
    <i r="2">
      <x/>
    </i>
    <i>
      <x v="4"/>
      <x/>
      <x v="5"/>
    </i>
    <i>
      <x v="5"/>
      <x/>
      <x v="6"/>
    </i>
    <i>
      <x v="6"/>
      <x v="1"/>
      <x v="5"/>
    </i>
    <i>
      <x v="7"/>
      <x/>
      <x v="3"/>
    </i>
    <i>
      <x v="8"/>
      <x/>
      <x v="7"/>
    </i>
    <i r="2">
      <x v="6"/>
    </i>
    <i>
      <x v="9"/>
      <x v="3"/>
      <x v="5"/>
    </i>
    <i>
      <x v="10"/>
      <x/>
      <x v="1"/>
    </i>
    <i>
      <x v="11"/>
      <x v="4"/>
      <x v="8"/>
    </i>
    <i>
      <x v="12"/>
      <x v="4"/>
      <x v="1"/>
    </i>
    <i r="2">
      <x v="9"/>
    </i>
    <i>
      <x v="13"/>
      <x/>
      <x v="5"/>
    </i>
    <i>
      <x v="14"/>
      <x/>
      <x v="9"/>
    </i>
    <i>
      <x v="15"/>
      <x v="3"/>
      <x v="1"/>
    </i>
    <i>
      <x v="16"/>
      <x v="3"/>
      <x v="7"/>
    </i>
    <i>
      <x v="17"/>
      <x/>
      <x v="9"/>
    </i>
    <i r="2">
      <x v="4"/>
    </i>
    <i r="2">
      <x v="6"/>
    </i>
    <i>
      <x v="18"/>
      <x v="4"/>
      <x v="9"/>
    </i>
    <i>
      <x v="19"/>
      <x/>
      <x v="3"/>
    </i>
    <i>
      <x v="20"/>
      <x/>
      <x v="1"/>
    </i>
    <i>
      <x v="21"/>
      <x v="3"/>
      <x/>
    </i>
    <i>
      <x v="22"/>
      <x v="4"/>
      <x v="6"/>
    </i>
    <i>
      <x v="23"/>
      <x/>
      <x v="4"/>
    </i>
    <i>
      <x v="24"/>
      <x v="3"/>
      <x v="1"/>
    </i>
    <i r="2">
      <x v="5"/>
    </i>
    <i>
      <x v="25"/>
      <x/>
      <x v="10"/>
    </i>
    <i>
      <x v="26"/>
      <x v="3"/>
      <x v="3"/>
    </i>
    <i>
      <x v="27"/>
      <x/>
      <x v="3"/>
    </i>
    <i>
      <x v="28"/>
      <x v="4"/>
      <x v="4"/>
    </i>
    <i>
      <x v="29"/>
      <x/>
      <x v="9"/>
    </i>
    <i r="2">
      <x v="7"/>
    </i>
    <i>
      <x v="30"/>
      <x/>
      <x v="2"/>
    </i>
    <i>
      <x v="31"/>
      <x/>
      <x v="4"/>
    </i>
    <i>
      <x v="32"/>
      <x v="1"/>
      <x v="2"/>
    </i>
    <i r="2">
      <x v="6"/>
    </i>
    <i>
      <x v="33"/>
      <x v="5"/>
      <x v="10"/>
    </i>
    <i>
      <x v="34"/>
      <x v="1"/>
      <x v="2"/>
    </i>
    <i>
      <x v="35"/>
      <x v="3"/>
      <x v="5"/>
    </i>
    <i>
      <x v="36"/>
      <x/>
      <x v="1"/>
    </i>
    <i>
      <x v="37"/>
      <x v="4"/>
      <x v="3"/>
    </i>
    <i r="2">
      <x v="7"/>
    </i>
    <i>
      <x v="38"/>
      <x v="3"/>
      <x v="2"/>
    </i>
    <i>
      <x v="39"/>
      <x/>
      <x v="3"/>
    </i>
    <i r="2">
      <x v="4"/>
    </i>
    <i>
      <x v="40"/>
      <x/>
      <x v="4"/>
    </i>
    <i>
      <x v="41"/>
      <x/>
      <x v="1"/>
    </i>
    <i r="2">
      <x/>
    </i>
    <i>
      <x v="42"/>
      <x v="4"/>
      <x v="2"/>
    </i>
    <i r="2">
      <x v="7"/>
    </i>
    <i>
      <x v="43"/>
      <x v="4"/>
      <x v="5"/>
    </i>
    <i>
      <x v="44"/>
      <x/>
      <x v="10"/>
    </i>
    <i>
      <x v="45"/>
      <x/>
      <x v="10"/>
    </i>
    <i>
      <x v="46"/>
      <x v="3"/>
      <x v="9"/>
    </i>
    <i>
      <x v="47"/>
      <x v="1"/>
      <x v="1"/>
    </i>
    <i>
      <x v="48"/>
      <x v="4"/>
      <x v="5"/>
    </i>
    <i>
      <x v="49"/>
      <x v="4"/>
      <x/>
    </i>
    <i>
      <x v="50"/>
      <x v="2"/>
      <x v="2"/>
    </i>
    <i>
      <x v="51"/>
      <x/>
      <x v="9"/>
    </i>
    <i>
      <x v="52"/>
      <x v="3"/>
      <x v="10"/>
    </i>
    <i r="2">
      <x v="1"/>
    </i>
    <i r="2">
      <x v="5"/>
    </i>
    <i>
      <x v="53"/>
      <x v="4"/>
      <x v="7"/>
    </i>
    <i>
      <x v="54"/>
      <x v="2"/>
      <x v="2"/>
    </i>
    <i>
      <x v="55"/>
      <x/>
      <x v="2"/>
    </i>
    <i r="2">
      <x v="4"/>
    </i>
    <i>
      <x v="56"/>
      <x/>
      <x v="2"/>
    </i>
    <i>
      <x v="57"/>
      <x v="3"/>
      <x v="3"/>
    </i>
    <i>
      <x v="58"/>
      <x/>
      <x v="10"/>
    </i>
    <i r="2">
      <x v="5"/>
    </i>
    <i>
      <x v="59"/>
      <x v="2"/>
      <x v="1"/>
    </i>
    <i r="2">
      <x v="2"/>
    </i>
    <i>
      <x v="60"/>
      <x v="3"/>
      <x v="9"/>
    </i>
    <i>
      <x v="61"/>
      <x v="3"/>
      <x v="5"/>
    </i>
    <i>
      <x v="62"/>
      <x/>
      <x v="8"/>
    </i>
    <i>
      <x v="63"/>
      <x/>
      <x v="1"/>
    </i>
    <i r="2">
      <x v="2"/>
    </i>
    <i>
      <x v="64"/>
      <x/>
      <x v="8"/>
    </i>
    <i>
      <x v="65"/>
      <x v="3"/>
      <x v="8"/>
    </i>
    <i>
      <x v="66"/>
      <x/>
      <x v="3"/>
    </i>
    <i r="2">
      <x v="1"/>
    </i>
    <i>
      <x v="67"/>
      <x/>
      <x v="10"/>
    </i>
    <i>
      <x v="68"/>
      <x/>
      <x v="7"/>
    </i>
    <i>
      <x v="69"/>
      <x v="5"/>
      <x v="9"/>
    </i>
    <i r="2">
      <x v="6"/>
    </i>
    <i>
      <x v="70"/>
      <x/>
      <x v="8"/>
    </i>
    <i>
      <x v="71"/>
      <x/>
      <x v="7"/>
    </i>
    <i>
      <x v="72"/>
      <x v="3"/>
      <x v="9"/>
    </i>
    <i r="2">
      <x v="5"/>
    </i>
    <i>
      <x v="73"/>
      <x/>
      <x v="2"/>
    </i>
    <i r="2">
      <x v="5"/>
    </i>
    <i>
      <x v="74"/>
      <x/>
      <x v="5"/>
    </i>
    <i>
      <x v="75"/>
      <x v="4"/>
      <x v="2"/>
    </i>
    <i>
      <x v="76"/>
      <x v="4"/>
      <x v="8"/>
    </i>
    <i r="2">
      <x v="4"/>
    </i>
    <i r="2">
      <x v="6"/>
    </i>
    <i>
      <x v="77"/>
      <x v="3"/>
      <x v="2"/>
    </i>
    <i r="2">
      <x v="5"/>
    </i>
    <i>
      <x v="78"/>
      <x v="3"/>
      <x v="3"/>
    </i>
    <i r="2">
      <x v="8"/>
    </i>
    <i>
      <x v="79"/>
      <x v="3"/>
      <x v="3"/>
    </i>
    <i>
      <x v="80"/>
      <x/>
      <x v="9"/>
    </i>
    <i>
      <x v="81"/>
      <x v="3"/>
      <x/>
    </i>
    <i>
      <x v="82"/>
      <x v="4"/>
      <x v="7"/>
    </i>
    <i>
      <x v="83"/>
      <x v="3"/>
      <x v="2"/>
    </i>
    <i r="2">
      <x v="6"/>
    </i>
    <i>
      <x v="84"/>
      <x/>
      <x v="3"/>
    </i>
    <i r="2">
      <x v="7"/>
    </i>
    <i r="2">
      <x v="6"/>
    </i>
    <i>
      <x v="85"/>
      <x v="3"/>
      <x v="10"/>
    </i>
    <i r="2">
      <x v="8"/>
    </i>
    <i r="2">
      <x v="5"/>
    </i>
    <i>
      <x v="86"/>
      <x v="3"/>
      <x v="10"/>
    </i>
    <i>
      <x v="87"/>
      <x v="4"/>
      <x v="3"/>
    </i>
    <i>
      <x v="88"/>
      <x/>
      <x v="8"/>
    </i>
    <i r="2">
      <x v="7"/>
    </i>
    <i>
      <x v="89"/>
      <x v="3"/>
      <x v="6"/>
    </i>
    <i>
      <x v="90"/>
      <x v="3"/>
      <x/>
    </i>
    <i>
      <x v="91"/>
      <x v="3"/>
      <x v="1"/>
    </i>
    <i>
      <x v="92"/>
      <x/>
      <x v="1"/>
    </i>
    <i>
      <x v="93"/>
      <x/>
      <x v="9"/>
    </i>
    <i>
      <x v="94"/>
      <x v="3"/>
      <x v="8"/>
    </i>
    <i r="2">
      <x v="5"/>
    </i>
    <i>
      <x v="95"/>
      <x v="3"/>
      <x v="1"/>
    </i>
    <i>
      <x v="96"/>
      <x/>
      <x v="9"/>
    </i>
    <i>
      <x v="97"/>
      <x v="4"/>
      <x v="6"/>
    </i>
    <i>
      <x v="98"/>
      <x v="4"/>
      <x v="8"/>
    </i>
    <i>
      <x v="99"/>
      <x/>
      <x v="4"/>
    </i>
    <i>
      <x v="100"/>
      <x/>
      <x v="2"/>
    </i>
    <i r="2">
      <x v="8"/>
    </i>
    <i>
      <x v="101"/>
      <x v="5"/>
      <x v="5"/>
    </i>
    <i>
      <x v="102"/>
      <x v="2"/>
      <x v="9"/>
    </i>
    <i r="2">
      <x v="8"/>
    </i>
    <i>
      <x v="103"/>
      <x v="3"/>
      <x v="8"/>
    </i>
    <i>
      <x v="104"/>
      <x/>
      <x v="2"/>
    </i>
    <i>
      <x v="105"/>
      <x v="3"/>
      <x v="1"/>
    </i>
    <i>
      <x v="106"/>
      <x v="3"/>
      <x v="5"/>
    </i>
    <i r="2">
      <x/>
    </i>
    <i>
      <x v="107"/>
      <x v="3"/>
      <x v="2"/>
    </i>
    <i>
      <x v="108"/>
      <x v="4"/>
      <x v="9"/>
    </i>
    <i r="2">
      <x v="8"/>
    </i>
    <i>
      <x v="109"/>
      <x v="3"/>
      <x v="3"/>
    </i>
    <i r="2">
      <x v="2"/>
    </i>
    <i>
      <x v="110"/>
      <x/>
      <x v="9"/>
    </i>
    <i>
      <x v="111"/>
      <x v="4"/>
      <x v="10"/>
    </i>
    <i r="2">
      <x v="4"/>
    </i>
    <i>
      <x v="112"/>
      <x/>
      <x v="1"/>
    </i>
    <i>
      <x v="113"/>
      <x v="2"/>
      <x/>
    </i>
    <i>
      <x v="114"/>
      <x/>
      <x v="10"/>
    </i>
    <i>
      <x v="115"/>
      <x v="3"/>
      <x v="9"/>
    </i>
    <i>
      <x v="116"/>
      <x v="3"/>
      <x v="10"/>
    </i>
    <i r="2">
      <x v="6"/>
    </i>
    <i>
      <x v="117"/>
      <x v="3"/>
      <x v="4"/>
    </i>
    <i r="2">
      <x v="5"/>
    </i>
    <i r="2">
      <x/>
    </i>
    <i r="2">
      <x v="6"/>
    </i>
    <i>
      <x v="118"/>
      <x v="3"/>
      <x v="5"/>
    </i>
    <i>
      <x v="119"/>
      <x/>
      <x v="10"/>
    </i>
    <i>
      <x v="120"/>
      <x v="2"/>
      <x v="1"/>
    </i>
    <i>
      <x v="121"/>
      <x v="5"/>
      <x v="10"/>
    </i>
    <i>
      <x v="122"/>
      <x/>
      <x v="7"/>
    </i>
    <i>
      <x v="123"/>
      <x/>
      <x v="8"/>
    </i>
    <i>
      <x v="124"/>
      <x v="3"/>
      <x v="3"/>
    </i>
    <i r="2">
      <x v="6"/>
    </i>
    <i>
      <x v="125"/>
      <x v="4"/>
      <x v="1"/>
    </i>
    <i>
      <x v="126"/>
      <x v="2"/>
      <x v="10"/>
    </i>
    <i>
      <x v="127"/>
      <x v="3"/>
      <x v="6"/>
    </i>
    <i>
      <x v="128"/>
      <x v="4"/>
      <x/>
    </i>
    <i>
      <x v="129"/>
      <x v="5"/>
      <x v="3"/>
    </i>
    <i r="2">
      <x v="2"/>
    </i>
    <i r="2">
      <x/>
    </i>
    <i>
      <x v="130"/>
      <x/>
      <x v="5"/>
    </i>
    <i>
      <x v="131"/>
      <x v="4"/>
      <x v="10"/>
    </i>
    <i>
      <x v="132"/>
      <x v="4"/>
      <x v="7"/>
    </i>
    <i>
      <x v="133"/>
      <x/>
      <x v="7"/>
    </i>
    <i>
      <x v="134"/>
      <x/>
      <x/>
    </i>
    <i r="2">
      <x v="7"/>
    </i>
    <i>
      <x v="135"/>
      <x v="4"/>
      <x v="3"/>
    </i>
    <i r="2">
      <x v="1"/>
    </i>
    <i r="2">
      <x v="9"/>
    </i>
    <i>
      <x v="136"/>
      <x/>
      <x v="1"/>
    </i>
    <i r="2">
      <x v="5"/>
    </i>
    <i>
      <x v="137"/>
      <x v="3"/>
      <x v="7"/>
    </i>
    <i>
      <x v="138"/>
      <x v="5"/>
      <x v="10"/>
    </i>
    <i r="2">
      <x v="3"/>
    </i>
    <i r="2">
      <x v="4"/>
    </i>
    <i>
      <x v="139"/>
      <x v="4"/>
      <x v="10"/>
    </i>
    <i>
      <x v="140"/>
      <x/>
      <x v="9"/>
    </i>
    <i>
      <x v="141"/>
      <x v="1"/>
      <x v="5"/>
    </i>
    <i>
      <x v="142"/>
      <x/>
      <x v="1"/>
    </i>
    <i>
      <x v="143"/>
      <x v="1"/>
      <x v="7"/>
    </i>
    <i>
      <x v="144"/>
      <x v="4"/>
      <x v="5"/>
    </i>
    <i>
      <x v="145"/>
      <x v="3"/>
      <x v="8"/>
    </i>
    <i>
      <x v="146"/>
      <x/>
      <x v="1"/>
    </i>
    <i>
      <x v="147"/>
      <x v="2"/>
      <x v="9"/>
    </i>
    <i>
      <x v="148"/>
      <x v="2"/>
      <x v="3"/>
    </i>
    <i>
      <x v="149"/>
      <x v="2"/>
      <x/>
    </i>
    <i>
      <x v="150"/>
      <x v="3"/>
      <x v="7"/>
    </i>
    <i>
      <x v="151"/>
      <x v="3"/>
      <x v="7"/>
    </i>
    <i>
      <x v="152"/>
      <x v="3"/>
      <x v="6"/>
    </i>
    <i>
      <x v="153"/>
      <x v="2"/>
      <x v="9"/>
    </i>
    <i r="2">
      <x v="5"/>
    </i>
    <i>
      <x v="154"/>
      <x v="4"/>
      <x v="7"/>
    </i>
    <i>
      <x v="155"/>
      <x v="4"/>
      <x v="8"/>
    </i>
    <i>
      <x v="156"/>
      <x v="2"/>
      <x/>
    </i>
    <i>
      <x v="157"/>
      <x v="5"/>
      <x v="9"/>
    </i>
    <i r="2">
      <x v="7"/>
    </i>
    <i>
      <x v="158"/>
      <x v="5"/>
      <x v="7"/>
    </i>
    <i>
      <x v="159"/>
      <x v="2"/>
      <x v="2"/>
    </i>
    <i>
      <x v="160"/>
      <x v="3"/>
      <x v="9"/>
    </i>
    <i r="2">
      <x v="7"/>
    </i>
    <i r="1">
      <x/>
      <x v="4"/>
    </i>
    <i r="2">
      <x v="7"/>
    </i>
    <i>
      <x v="161"/>
      <x v="5"/>
      <x v="9"/>
    </i>
    <i>
      <x v="162"/>
      <x v="4"/>
      <x/>
    </i>
    <i>
      <x v="163"/>
      <x v="5"/>
      <x v="3"/>
    </i>
    <i>
      <x v="164"/>
      <x v="4"/>
      <x v="10"/>
    </i>
    <i>
      <x v="165"/>
      <x v="4"/>
      <x/>
    </i>
    <i>
      <x v="166"/>
      <x v="3"/>
      <x v="6"/>
    </i>
    <i>
      <x v="167"/>
      <x v="2"/>
      <x v="10"/>
    </i>
    <i r="2">
      <x v="3"/>
    </i>
    <i r="2">
      <x v="1"/>
    </i>
    <i>
      <x v="168"/>
      <x v="2"/>
      <x v="5"/>
    </i>
    <i>
      <x v="169"/>
      <x v="1"/>
      <x v="1"/>
    </i>
    <i>
      <x v="170"/>
      <x v="3"/>
      <x v="1"/>
    </i>
    <i r="2">
      <x v="2"/>
    </i>
    <i r="2">
      <x v="7"/>
    </i>
    <i>
      <x v="171"/>
      <x v="5"/>
      <x v="10"/>
    </i>
    <i>
      <x v="172"/>
      <x v="5"/>
      <x v="10"/>
    </i>
    <i>
      <x v="173"/>
      <x v="3"/>
      <x v="5"/>
    </i>
    <i>
      <x v="174"/>
      <x v="5"/>
      <x/>
    </i>
    <i>
      <x v="175"/>
      <x v="2"/>
      <x v="3"/>
    </i>
    <i>
      <x v="176"/>
      <x v="4"/>
      <x/>
    </i>
    <i>
      <x v="177"/>
      <x v="4"/>
      <x v="2"/>
    </i>
    <i>
      <x v="178"/>
      <x v="1"/>
      <x v="2"/>
    </i>
    <i>
      <x v="179"/>
      <x v="2"/>
      <x v="10"/>
    </i>
    <i r="2">
      <x v="3"/>
    </i>
    <i>
      <x v="180"/>
      <x/>
      <x v="8"/>
    </i>
    <i>
      <x v="181"/>
      <x/>
      <x v="10"/>
    </i>
    <i r="2">
      <x v="1"/>
    </i>
    <i r="2">
      <x v="7"/>
    </i>
    <i r="1">
      <x v="2"/>
      <x v="8"/>
    </i>
    <i>
      <x v="182"/>
      <x v="1"/>
      <x/>
    </i>
    <i>
      <x v="183"/>
      <x v="2"/>
      <x/>
    </i>
    <i>
      <x v="184"/>
      <x v="1"/>
      <x v="3"/>
    </i>
    <i r="2">
      <x v="9"/>
    </i>
    <i>
      <x v="185"/>
      <x v="2"/>
      <x v="3"/>
    </i>
    <i>
      <x v="186"/>
      <x v="3"/>
      <x v="4"/>
    </i>
    <i r="2">
      <x v="6"/>
    </i>
    <i>
      <x v="187"/>
      <x v="2"/>
      <x v="10"/>
    </i>
    <i>
      <x v="188"/>
      <x v="3"/>
      <x v="8"/>
    </i>
    <i>
      <x v="189"/>
      <x v="5"/>
      <x v="9"/>
    </i>
    <i>
      <x v="190"/>
      <x v="3"/>
      <x v="9"/>
    </i>
    <i>
      <x v="191"/>
      <x v="5"/>
      <x v="3"/>
    </i>
    <i r="2">
      <x v="2"/>
    </i>
    <i>
      <x v="192"/>
      <x v="5"/>
      <x v="3"/>
    </i>
    <i r="2">
      <x v="4"/>
    </i>
    <i>
      <x v="193"/>
      <x v="1"/>
      <x v="5"/>
    </i>
    <i>
      <x v="194"/>
      <x v="3"/>
      <x v="2"/>
    </i>
    <i r="2">
      <x v="7"/>
    </i>
    <i>
      <x v="195"/>
      <x v="5"/>
      <x v="10"/>
    </i>
    <i r="2">
      <x v="7"/>
    </i>
    <i>
      <x v="196"/>
      <x v="1"/>
      <x/>
    </i>
    <i r="1">
      <x v="5"/>
      <x v="5"/>
    </i>
    <i>
      <x v="197"/>
      <x v="1"/>
      <x v="9"/>
    </i>
    <i>
      <x v="198"/>
      <x v="5"/>
      <x v="2"/>
    </i>
    <i>
      <x v="199"/>
      <x/>
      <x v="11"/>
    </i>
    <i>
      <x v="200"/>
      <x v="1"/>
      <x v="7"/>
    </i>
    <i>
      <x v="201"/>
      <x v="1"/>
      <x v="5"/>
    </i>
    <i>
      <x v="202"/>
      <x v="5"/>
      <x v="3"/>
    </i>
    <i r="1">
      <x v="4"/>
      <x v="9"/>
    </i>
    <i>
      <x v="203"/>
      <x v="4"/>
      <x v="1"/>
    </i>
    <i>
      <x v="204"/>
      <x v="4"/>
      <x v="2"/>
    </i>
    <i r="2">
      <x v="8"/>
    </i>
    <i>
      <x v="205"/>
      <x/>
      <x v="2"/>
    </i>
    <i r="2">
      <x/>
    </i>
    <i>
      <x v="206"/>
      <x/>
      <x v="4"/>
    </i>
    <i>
      <x v="207"/>
      <x v="2"/>
      <x v="7"/>
    </i>
    <i>
      <x v="208"/>
      <x v="3"/>
      <x v="5"/>
    </i>
    <i>
      <x v="209"/>
      <x/>
      <x v="1"/>
    </i>
    <i r="2">
      <x/>
    </i>
    <i>
      <x v="210"/>
      <x v="3"/>
      <x v="8"/>
    </i>
    <i>
      <x v="211"/>
      <x v="5"/>
      <x v="10"/>
    </i>
    <i>
      <x v="212"/>
      <x v="1"/>
      <x v="7"/>
    </i>
    <i>
      <x v="213"/>
      <x/>
      <x v="1"/>
    </i>
    <i>
      <x v="214"/>
      <x v="2"/>
      <x v="8"/>
    </i>
    <i>
      <x v="215"/>
      <x v="2"/>
      <x v="2"/>
    </i>
    <i>
      <x v="216"/>
      <x v="2"/>
      <x v="1"/>
    </i>
    <i r="2">
      <x v="4"/>
    </i>
    <i>
      <x v="217"/>
      <x v="5"/>
      <x v="10"/>
    </i>
    <i>
      <x v="218"/>
      <x v="5"/>
      <x v="2"/>
    </i>
    <i>
      <x v="219"/>
      <x/>
      <x v="4"/>
    </i>
    <i r="2">
      <x v="5"/>
    </i>
    <i>
      <x v="220"/>
      <x v="5"/>
      <x/>
    </i>
    <i>
      <x v="221"/>
      <x v="1"/>
      <x v="3"/>
    </i>
    <i r="2">
      <x v="2"/>
    </i>
    <i>
      <x v="222"/>
      <x v="4"/>
      <x v="4"/>
    </i>
    <i r="2">
      <x v="5"/>
    </i>
    <i>
      <x v="223"/>
      <x v="4"/>
      <x v="7"/>
    </i>
    <i>
      <x v="224"/>
      <x v="3"/>
      <x v="10"/>
    </i>
    <i>
      <x v="225"/>
      <x v="5"/>
      <x v="10"/>
    </i>
    <i>
      <x v="226"/>
      <x v="4"/>
      <x v="3"/>
    </i>
    <i>
      <x v="227"/>
      <x v="4"/>
      <x v="10"/>
    </i>
    <i r="2">
      <x v="9"/>
    </i>
    <i>
      <x v="228"/>
      <x v="2"/>
      <x v="5"/>
    </i>
    <i>
      <x v="229"/>
      <x v="2"/>
      <x v="3"/>
    </i>
    <i>
      <x v="230"/>
      <x v="2"/>
      <x/>
    </i>
    <i>
      <x v="231"/>
      <x v="3"/>
      <x v="7"/>
    </i>
    <i>
      <x v="232"/>
      <x/>
      <x v="1"/>
    </i>
    <i r="2">
      <x/>
    </i>
    <i>
      <x v="233"/>
      <x/>
      <x v="2"/>
    </i>
    <i>
      <x v="234"/>
      <x v="2"/>
      <x v="5"/>
    </i>
    <i r="2">
      <x v="6"/>
    </i>
    <i>
      <x v="235"/>
      <x v="4"/>
      <x v="1"/>
    </i>
    <i>
      <x v="236"/>
      <x v="4"/>
      <x v="3"/>
    </i>
    <i r="2">
      <x v="2"/>
    </i>
    <i>
      <x v="237"/>
      <x v="5"/>
      <x v="9"/>
    </i>
    <i>
      <x v="238"/>
      <x v="4"/>
      <x v="3"/>
    </i>
    <i r="2">
      <x v="9"/>
    </i>
    <i>
      <x v="239"/>
      <x v="5"/>
      <x v="2"/>
    </i>
    <i r="2">
      <x v="5"/>
    </i>
    <i>
      <x v="240"/>
      <x v="5"/>
      <x v="1"/>
    </i>
    <i r="2">
      <x v="5"/>
    </i>
    <i>
      <x v="241"/>
      <x v="3"/>
      <x v="9"/>
    </i>
    <i>
      <x v="242"/>
      <x v="1"/>
      <x v="6"/>
    </i>
    <i>
      <x v="243"/>
      <x v="5"/>
      <x v="6"/>
    </i>
    <i>
      <x v="244"/>
      <x v="2"/>
      <x v="7"/>
    </i>
    <i>
      <x v="245"/>
      <x v="2"/>
      <x v="1"/>
    </i>
    <i>
      <x v="246"/>
      <x v="5"/>
      <x v="8"/>
    </i>
    <i>
      <x v="247"/>
      <x/>
      <x/>
    </i>
    <i r="1">
      <x v="2"/>
      <x v="3"/>
    </i>
    <i>
      <x v="248"/>
      <x v="5"/>
      <x v="9"/>
    </i>
    <i r="2">
      <x v="5"/>
    </i>
    <i>
      <x v="249"/>
      <x v="2"/>
      <x v="7"/>
    </i>
    <i>
      <x v="250"/>
      <x v="5"/>
      <x v="6"/>
    </i>
    <i>
      <x v="251"/>
      <x v="2"/>
      <x v="2"/>
    </i>
    <i>
      <x v="252"/>
      <x v="3"/>
      <x v="1"/>
    </i>
    <i r="2">
      <x v="2"/>
    </i>
    <i>
      <x v="253"/>
      <x v="3"/>
      <x v="5"/>
    </i>
    <i r="2">
      <x/>
    </i>
    <i>
      <x v="254"/>
      <x v="2"/>
      <x v="10"/>
    </i>
    <i>
      <x v="255"/>
      <x v="2"/>
      <x v="9"/>
    </i>
    <i r="2">
      <x v="4"/>
    </i>
    <i r="2">
      <x v="6"/>
    </i>
    <i>
      <x v="256"/>
      <x v="2"/>
      <x v="4"/>
    </i>
    <i>
      <x v="257"/>
      <x v="5"/>
      <x v="8"/>
    </i>
    <i>
      <x v="258"/>
      <x/>
      <x v="1"/>
    </i>
    <i>
      <x v="259"/>
      <x v="4"/>
      <x v="5"/>
    </i>
    <i r="2">
      <x v="7"/>
    </i>
    <i>
      <x v="260"/>
      <x v="4"/>
      <x v="9"/>
    </i>
    <i>
      <x v="261"/>
      <x v="2"/>
      <x v="5"/>
    </i>
    <i>
      <x v="262"/>
      <x v="5"/>
      <x v="3"/>
    </i>
    <i r="2">
      <x v="1"/>
    </i>
    <i>
      <x v="263"/>
      <x v="2"/>
      <x v="2"/>
    </i>
    <i r="2">
      <x v="4"/>
    </i>
    <i>
      <x v="264"/>
      <x v="5"/>
      <x v="8"/>
    </i>
    <i>
      <x v="265"/>
      <x v="3"/>
      <x v="1"/>
    </i>
    <i r="2">
      <x v="2"/>
    </i>
    <i r="2">
      <x v="7"/>
    </i>
    <i>
      <x v="266"/>
      <x v="3"/>
      <x/>
    </i>
    <i>
      <x v="267"/>
      <x v="5"/>
      <x v="3"/>
    </i>
    <i>
      <x v="268"/>
      <x v="3"/>
      <x v="2"/>
    </i>
    <i>
      <x v="269"/>
      <x v="5"/>
      <x v="7"/>
    </i>
    <i>
      <x v="270"/>
      <x/>
      <x/>
    </i>
    <i>
      <x v="271"/>
      <x v="1"/>
      <x v="3"/>
    </i>
    <i>
      <x v="272"/>
      <x v="1"/>
      <x v="7"/>
    </i>
    <i>
      <x v="273"/>
      <x/>
      <x v="8"/>
    </i>
    <i>
      <x v="274"/>
      <x v="2"/>
      <x v="7"/>
    </i>
    <i>
      <x v="275"/>
      <x v="2"/>
      <x v="7"/>
    </i>
    <i>
      <x v="276"/>
      <x v="5"/>
      <x v="9"/>
    </i>
    <i>
      <x v="277"/>
      <x v="5"/>
      <x v="5"/>
    </i>
    <i>
      <x v="278"/>
      <x v="3"/>
      <x v="3"/>
    </i>
    <i>
      <x v="279"/>
      <x v="2"/>
      <x v="6"/>
    </i>
    <i>
      <x v="280"/>
      <x v="5"/>
      <x/>
    </i>
    <i>
      <x v="281"/>
      <x/>
      <x v="10"/>
    </i>
    <i r="2">
      <x v="5"/>
    </i>
    <i r="2">
      <x v="6"/>
    </i>
    <i>
      <x v="282"/>
      <x v="1"/>
      <x v="7"/>
    </i>
    <i r="1">
      <x/>
      <x v="5"/>
    </i>
    <i>
      <x v="283"/>
      <x v="3"/>
      <x v="6"/>
    </i>
    <i r="1">
      <x v="4"/>
      <x v="3"/>
    </i>
    <i r="2">
      <x v="1"/>
    </i>
    <i r="2">
      <x v="5"/>
    </i>
    <i>
      <x v="284"/>
      <x v="2"/>
      <x v="4"/>
    </i>
    <i>
      <x v="285"/>
      <x v="4"/>
      <x v="4"/>
    </i>
    <i>
      <x v="286"/>
      <x v="3"/>
      <x v="6"/>
    </i>
    <i>
      <x v="287"/>
      <x/>
      <x v="8"/>
    </i>
    <i r="2">
      <x v="7"/>
    </i>
    <i>
      <x v="288"/>
      <x v="3"/>
      <x v="6"/>
    </i>
    <i>
      <x v="289"/>
      <x v="5"/>
      <x v="9"/>
    </i>
    <i>
      <x v="290"/>
      <x v="3"/>
      <x v="10"/>
    </i>
    <i r="2">
      <x v="4"/>
    </i>
    <i>
      <x v="291"/>
      <x/>
      <x v="9"/>
    </i>
    <i>
      <x v="292"/>
      <x v="5"/>
      <x v="3"/>
    </i>
    <i>
      <x v="293"/>
      <x v="5"/>
      <x v="2"/>
    </i>
    <i>
      <x v="294"/>
      <x v="4"/>
      <x v="9"/>
    </i>
    <i r="2">
      <x v="4"/>
    </i>
    <i r="1">
      <x v="2"/>
      <x v="7"/>
    </i>
    <i>
      <x v="295"/>
      <x v="2"/>
      <x v="1"/>
    </i>
    <i r="2">
      <x v="9"/>
    </i>
    <i>
      <x v="296"/>
      <x v="2"/>
      <x v="3"/>
    </i>
    <i>
      <x v="297"/>
      <x v="4"/>
      <x v="5"/>
    </i>
    <i>
      <x v="298"/>
      <x v="4"/>
      <x v="2"/>
    </i>
    <i>
      <x v="299"/>
      <x v="5"/>
      <x v="8"/>
    </i>
    <i>
      <x v="300"/>
      <x v="5"/>
      <x/>
    </i>
    <i>
      <x v="301"/>
      <x v="4"/>
      <x/>
    </i>
    <i>
      <x v="302"/>
      <x v="3"/>
      <x v="7"/>
    </i>
    <i>
      <x v="303"/>
      <x v="2"/>
      <x v="9"/>
    </i>
    <i>
      <x v="304"/>
      <x v="5"/>
      <x v="8"/>
    </i>
    <i>
      <x v="305"/>
      <x v="5"/>
      <x v="1"/>
    </i>
    <i>
      <x v="306"/>
      <x v="5"/>
      <x v="3"/>
    </i>
    <i>
      <x v="307"/>
      <x v="3"/>
      <x v="3"/>
    </i>
    <i r="2">
      <x v="1"/>
    </i>
    <i>
      <x v="308"/>
      <x v="5"/>
      <x v="10"/>
    </i>
    <i>
      <x v="309"/>
      <x v="5"/>
      <x v="5"/>
    </i>
    <i>
      <x v="310"/>
      <x v="3"/>
      <x v="3"/>
    </i>
    <i r="1">
      <x v="2"/>
      <x v="3"/>
    </i>
    <i>
      <x v="311"/>
      <x v="2"/>
      <x v="3"/>
    </i>
    <i r="2">
      <x v="1"/>
    </i>
    <i>
      <x v="312"/>
      <x v="3"/>
      <x v="7"/>
    </i>
    <i>
      <x v="313"/>
      <x/>
      <x v="3"/>
    </i>
    <i r="2">
      <x v="6"/>
    </i>
    <i>
      <x v="314"/>
      <x v="4"/>
      <x v="10"/>
    </i>
    <i>
      <x v="315"/>
      <x v="2"/>
      <x/>
    </i>
    <i>
      <x v="316"/>
      <x v="3"/>
      <x v="10"/>
    </i>
    <i r="2">
      <x v="9"/>
    </i>
    <i>
      <x v="317"/>
      <x v="3"/>
      <x v="10"/>
    </i>
    <i>
      <x v="318"/>
      <x v="4"/>
      <x v="9"/>
    </i>
    <i r="2">
      <x v="7"/>
    </i>
    <i>
      <x v="319"/>
      <x v="5"/>
      <x v="5"/>
    </i>
    <i>
      <x v="320"/>
      <x v="2"/>
      <x v="5"/>
    </i>
    <i>
      <x v="321"/>
      <x v="5"/>
      <x v="4"/>
    </i>
    <i r="1">
      <x v="2"/>
      <x/>
    </i>
    <i>
      <x v="322"/>
      <x v="3"/>
      <x v="4"/>
    </i>
    <i>
      <x v="323"/>
      <x v="3"/>
      <x v="1"/>
    </i>
    <i r="1">
      <x v="1"/>
      <x v="9"/>
    </i>
    <i>
      <x v="324"/>
      <x v="1"/>
      <x v="3"/>
    </i>
    <i>
      <x v="325"/>
      <x v="3"/>
      <x v="4"/>
    </i>
    <i>
      <x v="326"/>
      <x v="1"/>
      <x v="3"/>
    </i>
    <i r="2">
      <x v="2"/>
    </i>
    <i r="2">
      <x v="8"/>
    </i>
    <i r="2">
      <x v="4"/>
    </i>
    <i>
      <x v="327"/>
      <x v="2"/>
      <x v="1"/>
    </i>
    <i>
      <x v="328"/>
      <x v="2"/>
      <x v="5"/>
    </i>
    <i>
      <x v="329"/>
      <x v="2"/>
      <x v="10"/>
    </i>
    <i>
      <x v="330"/>
      <x v="4"/>
      <x v="10"/>
    </i>
    <i r="2">
      <x v="9"/>
    </i>
    <i>
      <x v="331"/>
      <x v="5"/>
      <x v="1"/>
    </i>
    <i r="2">
      <x/>
    </i>
    <i>
      <x v="332"/>
      <x v="4"/>
      <x v="6"/>
    </i>
    <i>
      <x v="333"/>
      <x v="4"/>
      <x v="9"/>
    </i>
    <i>
      <x v="334"/>
      <x v="2"/>
      <x v="8"/>
    </i>
    <i>
      <x v="335"/>
      <x/>
      <x v="6"/>
    </i>
    <i>
      <x v="336"/>
      <x v="2"/>
      <x v="9"/>
    </i>
    <i>
      <x v="337"/>
      <x/>
      <x v="9"/>
    </i>
    <i r="2">
      <x v="5"/>
    </i>
    <i>
      <x v="338"/>
      <x v="2"/>
      <x v="2"/>
    </i>
    <i>
      <x v="339"/>
      <x v="2"/>
      <x v="4"/>
    </i>
    <i r="2">
      <x v="6"/>
    </i>
    <i>
      <x v="340"/>
      <x v="3"/>
      <x v="10"/>
    </i>
    <i>
      <x v="341"/>
      <x v="3"/>
      <x v="2"/>
    </i>
    <i r="2">
      <x/>
    </i>
    <i>
      <x v="342"/>
      <x v="1"/>
      <x v="4"/>
    </i>
    <i>
      <x v="343"/>
      <x v="4"/>
      <x v="9"/>
    </i>
    <i r="2">
      <x v="6"/>
    </i>
    <i>
      <x v="344"/>
      <x v="3"/>
      <x v="6"/>
    </i>
    <i>
      <x v="345"/>
      <x v="2"/>
      <x v="9"/>
    </i>
    <i>
      <x v="346"/>
      <x v="4"/>
      <x v="2"/>
    </i>
    <i r="2">
      <x/>
    </i>
    <i r="2">
      <x v="7"/>
    </i>
    <i r="2">
      <x v="12"/>
    </i>
    <i>
      <x v="347"/>
      <x v="2"/>
      <x v="7"/>
    </i>
    <i>
      <x v="348"/>
      <x v="3"/>
      <x v="2"/>
    </i>
    <i>
      <x v="349"/>
      <x v="4"/>
      <x v="7"/>
    </i>
    <i>
      <x v="350"/>
      <x v="2"/>
      <x v="8"/>
    </i>
    <i>
      <x v="351"/>
      <x v="4"/>
      <x v="2"/>
    </i>
    <i>
      <x v="352"/>
      <x v="1"/>
      <x v="9"/>
    </i>
    <i r="1">
      <x v="4"/>
      <x v="3"/>
    </i>
    <i>
      <x v="353"/>
      <x v="1"/>
      <x v="9"/>
    </i>
    <i>
      <x v="354"/>
      <x v="1"/>
      <x v="7"/>
    </i>
    <i>
      <x v="355"/>
      <x v="5"/>
      <x v="1"/>
    </i>
    <i r="1">
      <x v="4"/>
      <x v="8"/>
    </i>
    <i>
      <x v="356"/>
      <x v="4"/>
      <x v="5"/>
    </i>
    <i>
      <x v="357"/>
      <x v="5"/>
      <x v="3"/>
    </i>
    <i r="2">
      <x v="5"/>
    </i>
    <i>
      <x v="358"/>
      <x v="3"/>
      <x v="2"/>
    </i>
    <i r="2">
      <x v="8"/>
    </i>
    <i>
      <x v="359"/>
      <x v="1"/>
      <x v="10"/>
    </i>
    <i>
      <x v="360"/>
      <x v="2"/>
      <x v="8"/>
    </i>
    <i r="2">
      <x/>
    </i>
    <i r="2">
      <x v="7"/>
    </i>
    <i>
      <x v="361"/>
      <x v="1"/>
      <x v="3"/>
    </i>
    <i>
      <x v="362"/>
      <x v="3"/>
      <x v="7"/>
    </i>
    <i>
      <x v="363"/>
      <x v="3"/>
      <x v="1"/>
    </i>
    <i r="1">
      <x/>
      <x v="4"/>
    </i>
    <i>
      <x v="364"/>
      <x v="4"/>
      <x v="1"/>
    </i>
    <i r="2">
      <x v="4"/>
    </i>
    <i r="2">
      <x v="5"/>
    </i>
    <i>
      <x v="365"/>
      <x v="3"/>
      <x v="4"/>
    </i>
    <i>
      <x v="366"/>
      <x v="5"/>
      <x v="2"/>
    </i>
    <i r="2">
      <x v="5"/>
    </i>
    <i>
      <x v="367"/>
      <x v="3"/>
      <x v="6"/>
    </i>
    <i>
      <x v="368"/>
      <x v="5"/>
      <x v="7"/>
    </i>
    <i>
      <x v="369"/>
      <x v="3"/>
      <x v="6"/>
    </i>
    <i>
      <x v="370"/>
      <x/>
      <x v="3"/>
    </i>
    <i>
      <x v="371"/>
      <x/>
      <x v="7"/>
    </i>
    <i>
      <x v="372"/>
      <x v="3"/>
      <x v="4"/>
    </i>
    <i r="1">
      <x/>
      <x v="2"/>
    </i>
    <i>
      <x v="373"/>
      <x/>
      <x v="10"/>
    </i>
    <i r="2">
      <x v="5"/>
    </i>
    <i>
      <x v="374"/>
      <x v="5"/>
      <x v="1"/>
    </i>
    <i r="2">
      <x/>
    </i>
    <i>
      <x v="375"/>
      <x v="2"/>
      <x v="1"/>
    </i>
    <i>
      <x v="376"/>
      <x v="4"/>
      <x/>
    </i>
    <i r="1">
      <x v="2"/>
      <x v="9"/>
    </i>
    <i r="2">
      <x v="6"/>
    </i>
    <i>
      <x v="377"/>
      <x v="4"/>
      <x v="9"/>
    </i>
    <i>
      <x v="378"/>
      <x v="4"/>
      <x v="2"/>
    </i>
    <i>
      <x v="379"/>
      <x v="2"/>
      <x v="8"/>
    </i>
    <i>
      <x v="380"/>
      <x v="2"/>
      <x v="5"/>
    </i>
    <i>
      <x v="381"/>
      <x v="3"/>
      <x v="2"/>
    </i>
    <i>
      <x v="382"/>
      <x v="2"/>
      <x v="1"/>
    </i>
    <i>
      <x v="383"/>
      <x v="1"/>
      <x v="10"/>
    </i>
    <i r="2">
      <x v="8"/>
    </i>
    <i>
      <x v="384"/>
      <x v="2"/>
      <x v="10"/>
    </i>
    <i>
      <x v="385"/>
      <x v="5"/>
      <x v="1"/>
    </i>
    <i>
      <x v="386"/>
      <x v="3"/>
      <x v="3"/>
    </i>
    <i r="2">
      <x v="9"/>
    </i>
    <i>
      <x v="387"/>
      <x v="4"/>
      <x v="1"/>
    </i>
    <i>
      <x v="388"/>
      <x v="4"/>
      <x v="4"/>
    </i>
    <i>
      <x v="389"/>
      <x v="5"/>
      <x v="2"/>
    </i>
    <i>
      <x v="390"/>
      <x v="2"/>
      <x v="10"/>
    </i>
    <i r="2">
      <x v="1"/>
    </i>
    <i>
      <x v="391"/>
      <x v="4"/>
      <x v="3"/>
    </i>
    <i>
      <x v="392"/>
      <x v="1"/>
      <x v="6"/>
    </i>
    <i r="1">
      <x v="2"/>
      <x v="9"/>
    </i>
    <i r="2">
      <x v="5"/>
    </i>
    <i>
      <x v="393"/>
      <x v="1"/>
      <x v="10"/>
    </i>
    <i>
      <x v="394"/>
      <x v="4"/>
      <x v="1"/>
    </i>
    <i r="2">
      <x v="2"/>
    </i>
    <i r="2">
      <x v="8"/>
    </i>
    <i r="1">
      <x v="2"/>
      <x v="2"/>
    </i>
    <i r="2">
      <x v="8"/>
    </i>
    <i>
      <x v="395"/>
      <x v="2"/>
      <x v="5"/>
    </i>
    <i>
      <x v="396"/>
      <x v="2"/>
      <x/>
    </i>
    <i>
      <x v="397"/>
      <x v="4"/>
      <x v="5"/>
    </i>
    <i>
      <x v="398"/>
      <x v="3"/>
      <x v="2"/>
    </i>
    <i>
      <x v="399"/>
      <x v="3"/>
      <x v="9"/>
    </i>
    <i>
      <x v="400"/>
      <x v="3"/>
      <x/>
    </i>
    <i>
      <x v="401"/>
      <x v="3"/>
      <x v="3"/>
    </i>
    <i>
      <x v="402"/>
      <x v="2"/>
      <x v="9"/>
    </i>
    <i>
      <x v="403"/>
      <x v="1"/>
      <x v="7"/>
    </i>
    <i r="1">
      <x v="2"/>
      <x v="7"/>
    </i>
    <i>
      <x v="404"/>
      <x v="1"/>
      <x v="1"/>
    </i>
    <i>
      <x v="405"/>
      <x v="4"/>
      <x v="8"/>
    </i>
    <i>
      <x v="406"/>
      <x v="5"/>
      <x v="2"/>
    </i>
    <i>
      <x v="407"/>
      <x v="2"/>
      <x v="1"/>
    </i>
    <i>
      <x v="408"/>
      <x v="3"/>
      <x v="10"/>
    </i>
    <i>
      <x v="409"/>
      <x v="5"/>
      <x v="4"/>
    </i>
    <i r="1">
      <x v="4"/>
      <x v="5"/>
    </i>
    <i r="1">
      <x v="2"/>
      <x v="1"/>
    </i>
    <i r="2">
      <x v="2"/>
    </i>
    <i>
      <x v="410"/>
      <x v="5"/>
      <x v="9"/>
    </i>
    <i>
      <x v="411"/>
      <x v="2"/>
      <x v="3"/>
    </i>
    <i>
      <x v="412"/>
      <x v="3"/>
      <x v="9"/>
    </i>
    <i>
      <x v="413"/>
      <x v="3"/>
      <x v="3"/>
    </i>
    <i r="2">
      <x v="2"/>
    </i>
    <i>
      <x v="414"/>
      <x v="4"/>
      <x v="8"/>
    </i>
    <i>
      <x v="415"/>
      <x v="4"/>
      <x v="10"/>
    </i>
    <i>
      <x v="416"/>
      <x/>
      <x v="2"/>
    </i>
    <i>
      <x v="417"/>
      <x v="5"/>
      <x v="9"/>
    </i>
    <i>
      <x v="418"/>
      <x v="2"/>
      <x v="1"/>
    </i>
    <i>
      <x v="419"/>
      <x v="2"/>
      <x v="8"/>
    </i>
    <i>
      <x v="420"/>
      <x v="1"/>
      <x v="10"/>
    </i>
    <i>
      <x v="421"/>
      <x v="2"/>
      <x/>
    </i>
    <i>
      <x v="422"/>
      <x v="2"/>
      <x v="2"/>
    </i>
    <i>
      <x v="423"/>
      <x/>
      <x v="1"/>
    </i>
    <i>
      <x v="424"/>
      <x v="5"/>
      <x v="6"/>
    </i>
    <i>
      <x v="425"/>
      <x v="3"/>
      <x v="3"/>
    </i>
    <i r="1">
      <x v="5"/>
      <x v="9"/>
    </i>
    <i>
      <x v="426"/>
      <x v="3"/>
      <x v="3"/>
    </i>
    <i>
      <x v="427"/>
      <x/>
      <x v="1"/>
    </i>
    <i r="1">
      <x v="2"/>
      <x v="1"/>
    </i>
    <i>
      <x v="428"/>
      <x v="2"/>
      <x v="4"/>
    </i>
    <i>
      <x v="429"/>
      <x/>
      <x v="2"/>
    </i>
    <i>
      <x v="430"/>
      <x v="2"/>
      <x v="8"/>
    </i>
    <i r="2">
      <x/>
    </i>
    <i>
      <x v="431"/>
      <x v="2"/>
      <x v="3"/>
    </i>
    <i>
      <x v="432"/>
      <x v="2"/>
      <x v="10"/>
    </i>
    <i r="2">
      <x v="9"/>
    </i>
    <i r="2">
      <x v="7"/>
    </i>
    <i>
      <x v="433"/>
      <x/>
      <x v="5"/>
    </i>
    <i r="2">
      <x v="7"/>
    </i>
    <i r="1">
      <x v="5"/>
      <x v="5"/>
    </i>
    <i>
      <x v="434"/>
      <x v="5"/>
      <x v="8"/>
    </i>
    <i>
      <x v="435"/>
      <x v="5"/>
      <x v="4"/>
    </i>
    <i>
      <x v="436"/>
      <x/>
      <x v="2"/>
    </i>
    <i>
      <x v="437"/>
      <x v="5"/>
      <x v="3"/>
    </i>
    <i r="2">
      <x/>
    </i>
    <i>
      <x v="438"/>
      <x v="5"/>
      <x v="6"/>
    </i>
    <i>
      <x v="439"/>
      <x/>
      <x v="8"/>
    </i>
    <i>
      <x v="440"/>
      <x v="2"/>
      <x v="6"/>
    </i>
    <i>
      <x v="441"/>
      <x v="4"/>
      <x v="2"/>
    </i>
    <i>
      <x v="442"/>
      <x v="3"/>
      <x v="3"/>
    </i>
    <i r="1">
      <x v="5"/>
      <x v="5"/>
    </i>
    <i>
      <x v="443"/>
      <x/>
      <x v="1"/>
    </i>
    <i>
      <x v="444"/>
      <x v="5"/>
      <x v="1"/>
    </i>
    <i>
      <x v="445"/>
      <x v="5"/>
      <x v="2"/>
    </i>
    <i r="1">
      <x v="4"/>
      <x v="4"/>
    </i>
    <i>
      <x v="446"/>
      <x v="1"/>
      <x v="10"/>
    </i>
    <i r="2">
      <x v="5"/>
    </i>
    <i r="2">
      <x v="6"/>
    </i>
    <i>
      <x v="447"/>
      <x v="4"/>
      <x v="1"/>
    </i>
    <i>
      <x v="448"/>
      <x v="3"/>
      <x v="1"/>
    </i>
    <i>
      <x v="449"/>
      <x v="3"/>
      <x v="2"/>
    </i>
    <i>
      <x v="450"/>
      <x v="4"/>
      <x v="2"/>
    </i>
    <i>
      <x v="451"/>
      <x v="4"/>
      <x v="10"/>
    </i>
    <i>
      <x v="452"/>
      <x v="5"/>
      <x v="10"/>
    </i>
    <i r="2">
      <x v="9"/>
    </i>
    <i>
      <x v="453"/>
      <x/>
      <x v="6"/>
    </i>
    <i>
      <x v="454"/>
      <x v="3"/>
      <x v="8"/>
    </i>
    <i r="2">
      <x v="4"/>
    </i>
    <i>
      <x v="455"/>
      <x v="3"/>
      <x v="4"/>
    </i>
    <i r="2">
      <x v="7"/>
    </i>
    <i>
      <x v="456"/>
      <x v="4"/>
      <x/>
    </i>
    <i>
      <x v="457"/>
      <x v="1"/>
      <x v="8"/>
    </i>
    <i>
      <x v="458"/>
      <x/>
      <x v="1"/>
    </i>
    <i>
      <x v="459"/>
      <x v="4"/>
      <x v="3"/>
    </i>
    <i>
      <x v="460"/>
      <x/>
      <x v="5"/>
    </i>
    <i>
      <x v="461"/>
      <x v="5"/>
      <x v="9"/>
    </i>
    <i>
      <x v="462"/>
      <x v="4"/>
      <x v="1"/>
    </i>
    <i>
      <x v="463"/>
      <x v="5"/>
      <x v="2"/>
    </i>
    <i r="2">
      <x v="4"/>
    </i>
    <i>
      <x v="464"/>
      <x v="3"/>
      <x v="9"/>
    </i>
    <i r="2">
      <x/>
    </i>
    <i>
      <x v="465"/>
      <x v="3"/>
      <x v="7"/>
    </i>
    <i>
      <x v="466"/>
      <x v="4"/>
      <x v="7"/>
    </i>
    <i>
      <x v="467"/>
      <x v="2"/>
      <x v="3"/>
    </i>
    <i r="2">
      <x v="8"/>
    </i>
    <i>
      <x v="468"/>
      <x v="3"/>
      <x v="8"/>
    </i>
    <i>
      <x v="469"/>
      <x v="4"/>
      <x v="3"/>
    </i>
    <i>
      <x v="470"/>
      <x v="5"/>
      <x v="3"/>
    </i>
    <i r="2">
      <x v="2"/>
    </i>
    <i r="1">
      <x v="4"/>
      <x v="3"/>
    </i>
    <i>
      <x v="471"/>
      <x v="3"/>
      <x v="10"/>
    </i>
    <i>
      <x v="472"/>
      <x v="3"/>
      <x v="2"/>
    </i>
    <i>
      <x v="473"/>
      <x v="3"/>
      <x/>
    </i>
    <i>
      <x v="474"/>
      <x v="5"/>
      <x v="4"/>
    </i>
    <i>
      <x v="475"/>
      <x v="3"/>
      <x v="8"/>
    </i>
    <i r="1">
      <x v="2"/>
      <x v="7"/>
    </i>
    <i>
      <x v="476"/>
      <x v="3"/>
      <x v="8"/>
    </i>
    <i>
      <x v="477"/>
      <x v="4"/>
      <x v="3"/>
    </i>
    <i r="2">
      <x v="5"/>
    </i>
    <i>
      <x v="478"/>
      <x v="1"/>
      <x v="2"/>
    </i>
    <i r="2">
      <x v="4"/>
    </i>
    <i>
      <x v="479"/>
      <x v="4"/>
      <x v="10"/>
    </i>
    <i r="2">
      <x v="1"/>
    </i>
    <i>
      <x v="480"/>
      <x v="1"/>
      <x v="1"/>
    </i>
    <i>
      <x v="481"/>
      <x v="1"/>
      <x v="2"/>
    </i>
    <i>
      <x v="482"/>
      <x v="4"/>
      <x v="6"/>
    </i>
    <i>
      <x v="483"/>
      <x v="1"/>
      <x v="4"/>
    </i>
    <i r="2">
      <x/>
    </i>
    <i>
      <x v="484"/>
      <x v="3"/>
      <x v="8"/>
    </i>
    <i r="2">
      <x v="7"/>
    </i>
    <i>
      <x v="485"/>
      <x/>
      <x v="3"/>
    </i>
    <i r="1">
      <x v="2"/>
      <x v="10"/>
    </i>
    <i>
      <x v="486"/>
      <x v="2"/>
      <x v="4"/>
    </i>
    <i r="2">
      <x v="5"/>
    </i>
    <i>
      <x v="487"/>
      <x v="5"/>
      <x v="8"/>
    </i>
    <i r="1">
      <x v="4"/>
      <x v="2"/>
    </i>
    <i>
      <x v="488"/>
      <x v="1"/>
      <x/>
    </i>
    <i>
      <x v="489"/>
      <x/>
      <x v="2"/>
    </i>
    <i r="2">
      <x v="8"/>
    </i>
    <i r="2">
      <x/>
    </i>
    <i>
      <x v="490"/>
      <x/>
      <x v="8"/>
    </i>
    <i>
      <x v="491"/>
      <x v="4"/>
      <x v="3"/>
    </i>
    <i>
      <x v="492"/>
      <x v="4"/>
      <x v="10"/>
    </i>
    <i r="2">
      <x v="8"/>
    </i>
    <i r="2">
      <x v="7"/>
    </i>
    <i>
      <x v="493"/>
      <x v="5"/>
      <x v="9"/>
    </i>
    <i>
      <x v="494"/>
      <x v="3"/>
      <x v="2"/>
    </i>
    <i>
      <x v="495"/>
      <x v="2"/>
      <x v="3"/>
    </i>
    <i>
      <x v="496"/>
      <x v="3"/>
      <x v="9"/>
    </i>
    <i>
      <x v="497"/>
      <x v="5"/>
      <x v="5"/>
    </i>
    <i>
      <x v="498"/>
      <x v="5"/>
      <x v="3"/>
    </i>
    <i>
      <x v="499"/>
      <x v="2"/>
      <x v="10"/>
    </i>
    <i r="2">
      <x v="7"/>
    </i>
    <i>
      <x v="500"/>
      <x/>
      <x v="10"/>
    </i>
    <i>
      <x v="501"/>
      <x v="1"/>
      <x v="6"/>
    </i>
    <i>
      <x v="502"/>
      <x v="1"/>
      <x/>
    </i>
    <i>
      <x v="503"/>
      <x v="3"/>
      <x v="10"/>
    </i>
    <i>
      <x v="504"/>
      <x v="3"/>
      <x v="3"/>
    </i>
    <i r="2">
      <x v="6"/>
    </i>
    <i>
      <x v="505"/>
      <x v="3"/>
      <x v="6"/>
    </i>
    <i>
      <x v="506"/>
      <x v="2"/>
      <x v="10"/>
    </i>
    <i>
      <x v="507"/>
      <x v="4"/>
      <x v="1"/>
    </i>
    <i r="1">
      <x v="2"/>
      <x v="1"/>
    </i>
    <i>
      <x v="508"/>
      <x v="1"/>
      <x v="4"/>
    </i>
    <i>
      <x v="509"/>
      <x v="1"/>
      <x v="5"/>
    </i>
    <i>
      <x v="510"/>
      <x v="2"/>
      <x v="2"/>
    </i>
    <i r="2">
      <x v="8"/>
    </i>
    <i r="2">
      <x v="5"/>
    </i>
    <i>
      <x v="511"/>
      <x v="4"/>
      <x/>
    </i>
    <i>
      <x v="512"/>
      <x v="1"/>
      <x v="3"/>
    </i>
    <i r="2">
      <x v="1"/>
    </i>
    <i r="2">
      <x v="9"/>
    </i>
    <i r="2">
      <x v="7"/>
    </i>
    <i>
      <x v="513"/>
      <x v="2"/>
      <x v="4"/>
    </i>
    <i>
      <x v="514"/>
      <x v="3"/>
      <x/>
    </i>
    <i>
      <x v="515"/>
      <x v="3"/>
      <x v="9"/>
    </i>
    <i r="2">
      <x v="4"/>
    </i>
    <i>
      <x v="516"/>
      <x v="5"/>
      <x v="6"/>
    </i>
    <i r="1">
      <x v="2"/>
      <x v="8"/>
    </i>
    <i>
      <x v="517"/>
      <x v="3"/>
      <x v="9"/>
    </i>
    <i>
      <x v="518"/>
      <x v="3"/>
      <x v="7"/>
    </i>
    <i r="1">
      <x v="2"/>
      <x v="9"/>
    </i>
    <i>
      <x v="519"/>
      <x v="4"/>
      <x v="10"/>
    </i>
    <i r="1">
      <x v="2"/>
      <x v="2"/>
    </i>
    <i r="2">
      <x v="4"/>
    </i>
    <i>
      <x v="520"/>
      <x v="2"/>
      <x v="8"/>
    </i>
    <i>
      <x v="521"/>
      <x v="2"/>
      <x v="8"/>
    </i>
    <i r="2">
      <x v="4"/>
    </i>
    <i r="2">
      <x v="7"/>
    </i>
    <i>
      <x v="522"/>
      <x/>
      <x v="1"/>
    </i>
    <i>
      <x v="523"/>
      <x/>
      <x v="8"/>
    </i>
    <i>
      <x v="524"/>
      <x v="5"/>
      <x v="6"/>
    </i>
    <i>
      <x v="525"/>
      <x v="4"/>
      <x v="9"/>
    </i>
    <i r="1">
      <x v="2"/>
      <x v="3"/>
    </i>
    <i>
      <x v="526"/>
      <x v="5"/>
      <x v="3"/>
    </i>
    <i r="2">
      <x v="1"/>
    </i>
    <i r="2">
      <x v="9"/>
    </i>
    <i>
      <x v="527"/>
      <x v="4"/>
      <x v="5"/>
    </i>
    <i>
      <x v="528"/>
      <x v="3"/>
      <x v="8"/>
    </i>
    <i>
      <x v="529"/>
      <x v="4"/>
      <x v="7"/>
    </i>
    <i>
      <x v="530"/>
      <x v="3"/>
      <x v="8"/>
    </i>
    <i>
      <x v="531"/>
      <x/>
      <x v="1"/>
    </i>
    <i r="2">
      <x v="4"/>
    </i>
    <i>
      <x v="532"/>
      <x/>
      <x v="2"/>
    </i>
    <i>
      <x v="533"/>
      <x/>
      <x v="3"/>
    </i>
    <i>
      <x v="534"/>
      <x/>
      <x v="9"/>
    </i>
    <i>
      <x v="535"/>
      <x/>
      <x v="8"/>
    </i>
    <i>
      <x v="536"/>
      <x v="4"/>
      <x v="4"/>
    </i>
    <i>
      <x v="537"/>
      <x v="2"/>
      <x v="3"/>
    </i>
    <i r="2">
      <x v="2"/>
    </i>
    <i>
      <x v="538"/>
      <x v="4"/>
      <x v="2"/>
    </i>
    <i>
      <x v="539"/>
      <x v="5"/>
      <x v="5"/>
    </i>
    <i>
      <x v="540"/>
      <x v="5"/>
      <x v="6"/>
    </i>
    <i>
      <x v="541"/>
      <x v="5"/>
      <x v="7"/>
    </i>
    <i>
      <x v="542"/>
      <x v="1"/>
      <x v="8"/>
    </i>
    <i>
      <x v="543"/>
      <x v="1"/>
      <x v="5"/>
    </i>
    <i>
      <x v="544"/>
      <x v="3"/>
      <x v="1"/>
    </i>
    <i r="2">
      <x v="9"/>
    </i>
    <i>
      <x v="545"/>
      <x v="3"/>
      <x v="9"/>
    </i>
    <i r="1">
      <x v="2"/>
      <x v="8"/>
    </i>
    <i>
      <x v="546"/>
      <x v="3"/>
      <x v="7"/>
    </i>
    <i>
      <x v="547"/>
      <x v="5"/>
      <x v="5"/>
    </i>
    <i>
      <x v="548"/>
      <x v="5"/>
      <x v="3"/>
    </i>
    <i>
      <x v="549"/>
      <x v="3"/>
      <x v="9"/>
    </i>
    <i>
      <x v="550"/>
      <x v="4"/>
      <x v="8"/>
    </i>
    <i>
      <x v="551"/>
      <x v="3"/>
      <x v="4"/>
    </i>
    <i>
      <x v="552"/>
      <x/>
      <x v="1"/>
    </i>
    <i>
      <x v="553"/>
      <x/>
      <x v="3"/>
    </i>
    <i>
      <x v="554"/>
      <x v="4"/>
      <x v="7"/>
    </i>
    <i>
      <x v="555"/>
      <x v="5"/>
      <x v="2"/>
    </i>
    <i>
      <x v="556"/>
      <x v="2"/>
      <x v="9"/>
    </i>
    <i>
      <x v="557"/>
      <x v="5"/>
      <x v="1"/>
    </i>
    <i>
      <x v="558"/>
      <x v="5"/>
      <x v="4"/>
    </i>
    <i r="2">
      <x v="5"/>
    </i>
    <i r="2">
      <x v="7"/>
    </i>
    <i>
      <x v="559"/>
      <x v="5"/>
      <x v="10"/>
    </i>
    <i>
      <x v="560"/>
      <x v="2"/>
      <x v="4"/>
    </i>
    <i>
      <x v="561"/>
      <x v="4"/>
      <x v="9"/>
    </i>
    <i>
      <x v="562"/>
      <x v="2"/>
      <x v="2"/>
    </i>
    <i r="2">
      <x/>
    </i>
    <i>
      <x v="563"/>
      <x v="4"/>
      <x v="2"/>
    </i>
    <i r="2">
      <x v="7"/>
    </i>
    <i>
      <x v="564"/>
      <x v="2"/>
      <x v="4"/>
    </i>
    <i>
      <x v="565"/>
      <x v="1"/>
      <x v="4"/>
    </i>
    <i r="2">
      <x v="5"/>
    </i>
    <i>
      <x v="566"/>
      <x/>
      <x v="10"/>
    </i>
    <i>
      <x v="567"/>
      <x v="2"/>
      <x v="2"/>
    </i>
    <i>
      <x v="568"/>
      <x v="2"/>
      <x v="5"/>
    </i>
    <i>
      <x v="569"/>
      <x v="1"/>
      <x v="10"/>
    </i>
    <i r="2">
      <x v="7"/>
    </i>
    <i r="2">
      <x v="6"/>
    </i>
    <i>
      <x v="570"/>
      <x v="3"/>
      <x v="10"/>
    </i>
    <i>
      <x v="571"/>
      <x v="3"/>
      <x v="10"/>
    </i>
    <i r="2">
      <x v="1"/>
    </i>
    <i r="2">
      <x v="8"/>
    </i>
    <i>
      <x v="572"/>
      <x v="2"/>
      <x v="5"/>
    </i>
    <i>
      <x v="573"/>
      <x v="3"/>
      <x v="6"/>
    </i>
    <i r="1">
      <x v="4"/>
      <x v="4"/>
    </i>
    <i>
      <x v="574"/>
      <x v="4"/>
      <x/>
    </i>
    <i>
      <x v="575"/>
      <x v="4"/>
      <x v="6"/>
    </i>
    <i>
      <x v="576"/>
      <x/>
      <x v="8"/>
    </i>
    <i>
      <x v="577"/>
      <x v="5"/>
      <x/>
    </i>
    <i>
      <x v="578"/>
      <x v="5"/>
      <x/>
    </i>
    <i>
      <x v="579"/>
      <x v="2"/>
      <x v="3"/>
    </i>
    <i>
      <x v="580"/>
      <x v="5"/>
      <x v="5"/>
    </i>
    <i>
      <x v="581"/>
      <x v="2"/>
      <x v="1"/>
    </i>
    <i r="2">
      <x v="8"/>
    </i>
    <i>
      <x v="582"/>
      <x v="3"/>
      <x v="3"/>
    </i>
    <i r="2">
      <x v="5"/>
    </i>
    <i>
      <x v="583"/>
      <x v="3"/>
      <x v="4"/>
    </i>
    <i>
      <x v="584"/>
      <x v="3"/>
      <x v="8"/>
    </i>
    <i>
      <x v="585"/>
      <x v="2"/>
      <x v="7"/>
    </i>
    <i>
      <x v="586"/>
      <x v="3"/>
      <x v="8"/>
    </i>
    <i>
      <x v="587"/>
      <x v="2"/>
      <x v="7"/>
    </i>
    <i>
      <x v="588"/>
      <x/>
      <x v="10"/>
    </i>
    <i>
      <x v="589"/>
      <x v="5"/>
      <x v="4"/>
    </i>
    <i>
      <x v="590"/>
      <x v="1"/>
      <x v="10"/>
    </i>
    <i r="2">
      <x v="4"/>
    </i>
    <i>
      <x v="591"/>
      <x v="5"/>
      <x v="3"/>
    </i>
    <i r="2">
      <x v="5"/>
    </i>
    <i>
      <x v="592"/>
      <x/>
      <x v="5"/>
    </i>
    <i>
      <x v="593"/>
      <x/>
      <x v="5"/>
    </i>
    <i>
      <x v="594"/>
      <x/>
      <x v="4"/>
    </i>
    <i>
      <x v="595"/>
      <x v="3"/>
      <x v="9"/>
    </i>
    <i>
      <x v="596"/>
      <x v="3"/>
      <x v="5"/>
    </i>
    <i>
      <x v="597"/>
      <x v="3"/>
      <x v="3"/>
    </i>
    <i r="2">
      <x v="7"/>
    </i>
    <i r="2">
      <x v="6"/>
    </i>
    <i>
      <x v="598"/>
      <x/>
      <x v="6"/>
    </i>
    <i>
      <x v="599"/>
      <x v="2"/>
      <x v="8"/>
    </i>
    <i r="2">
      <x v="5"/>
    </i>
    <i>
      <x v="600"/>
      <x v="5"/>
      <x v="3"/>
    </i>
    <i>
      <x v="601"/>
      <x v="5"/>
      <x v="6"/>
    </i>
    <i>
      <x v="602"/>
      <x v="3"/>
      <x v="2"/>
    </i>
    <i>
      <x v="603"/>
      <x v="2"/>
      <x v="8"/>
    </i>
    <i>
      <x v="604"/>
      <x v="2"/>
      <x v="6"/>
    </i>
    <i>
      <x v="605"/>
      <x v="5"/>
      <x v="9"/>
    </i>
    <i>
      <x v="606"/>
      <x/>
      <x v="6"/>
    </i>
    <i>
      <x v="607"/>
      <x v="2"/>
      <x v="5"/>
    </i>
    <i>
      <x v="608"/>
      <x v="4"/>
      <x/>
    </i>
    <i>
      <x v="609"/>
      <x v="3"/>
      <x v="7"/>
    </i>
    <i>
      <x v="610"/>
      <x v="3"/>
      <x v="4"/>
    </i>
    <i>
      <x v="611"/>
      <x/>
      <x v="7"/>
    </i>
    <i>
      <x v="612"/>
      <x v="3"/>
      <x v="5"/>
    </i>
    <i>
      <x v="613"/>
      <x/>
      <x v="2"/>
    </i>
    <i r="2">
      <x v="6"/>
    </i>
    <i>
      <x v="614"/>
      <x v="5"/>
      <x v="8"/>
    </i>
    <i>
      <x v="615"/>
      <x v="3"/>
      <x v="4"/>
    </i>
    <i r="1">
      <x v="1"/>
      <x v="9"/>
    </i>
    <i r="2">
      <x/>
    </i>
    <i r="1">
      <x v="5"/>
      <x v="1"/>
    </i>
    <i r="1">
      <x v="2"/>
      <x v="8"/>
    </i>
    <i>
      <x v="616"/>
      <x v="2"/>
      <x v="5"/>
    </i>
    <i>
      <x v="617"/>
      <x v="3"/>
      <x v="4"/>
    </i>
    <i>
      <x v="618"/>
      <x v="1"/>
      <x v="9"/>
    </i>
    <i>
      <x v="619"/>
      <x v="1"/>
      <x v="7"/>
    </i>
    <i>
      <x v="620"/>
      <x v="4"/>
      <x v="10"/>
    </i>
    <i>
      <x v="621"/>
      <x v="4"/>
      <x v="1"/>
    </i>
    <i>
      <x v="622"/>
      <x v="4"/>
      <x v="8"/>
    </i>
    <i>
      <x v="623"/>
      <x v="4"/>
      <x v="4"/>
    </i>
    <i>
      <x v="624"/>
      <x v="4"/>
      <x v="2"/>
    </i>
    <i r="2">
      <x v="5"/>
    </i>
    <i>
      <x v="625"/>
      <x/>
      <x v="1"/>
    </i>
    <i>
      <x v="626"/>
      <x v="4"/>
      <x v="9"/>
    </i>
    <i>
      <x v="627"/>
      <x v="4"/>
      <x v="1"/>
    </i>
    <i>
      <x v="628"/>
      <x v="4"/>
      <x/>
    </i>
    <i>
      <x v="629"/>
      <x/>
      <x v="7"/>
    </i>
    <i>
      <x v="630"/>
      <x v="3"/>
      <x v="1"/>
    </i>
    <i r="2">
      <x v="2"/>
    </i>
    <i r="2">
      <x v="8"/>
    </i>
    <i>
      <x v="631"/>
      <x/>
      <x v="2"/>
    </i>
    <i>
      <x v="632"/>
      <x v="5"/>
      <x v="9"/>
    </i>
    <i>
      <x v="633"/>
      <x v="1"/>
      <x v="3"/>
    </i>
    <i>
      <x v="634"/>
      <x/>
      <x v="9"/>
    </i>
    <i r="2">
      <x v="5"/>
    </i>
    <i>
      <x v="635"/>
      <x/>
      <x v="10"/>
    </i>
    <i r="2">
      <x v="8"/>
    </i>
    <i>
      <x v="636"/>
      <x v="4"/>
      <x v="10"/>
    </i>
    <i r="2">
      <x v="9"/>
    </i>
    <i>
      <x v="637"/>
      <x v="4"/>
      <x v="5"/>
    </i>
    <i>
      <x v="638"/>
      <x v="5"/>
      <x v="3"/>
    </i>
    <i>
      <x v="639"/>
      <x v="1"/>
      <x v="5"/>
    </i>
    <i r="2">
      <x v="6"/>
    </i>
    <i>
      <x v="640"/>
      <x v="4"/>
      <x v="4"/>
    </i>
    <i>
      <x v="641"/>
      <x v="4"/>
      <x v="9"/>
    </i>
    <i>
      <x v="642"/>
      <x v="4"/>
      <x v="5"/>
    </i>
    <i>
      <x v="643"/>
      <x v="4"/>
      <x v="3"/>
    </i>
    <i r="2">
      <x v="9"/>
    </i>
    <i>
      <x v="644"/>
      <x v="4"/>
      <x v="7"/>
    </i>
    <i>
      <x v="645"/>
      <x v="3"/>
      <x v="9"/>
    </i>
    <i>
      <x v="646"/>
      <x/>
      <x v="4"/>
    </i>
    <i>
      <x v="647"/>
      <x v="1"/>
      <x v="1"/>
    </i>
    <i r="1">
      <x/>
      <x v="9"/>
    </i>
    <i r="2">
      <x v="4"/>
    </i>
    <i>
      <x v="648"/>
      <x v="2"/>
      <x v="2"/>
    </i>
    <i>
      <x v="649"/>
      <x/>
      <x v="6"/>
    </i>
    <i r="1">
      <x v="5"/>
      <x v="7"/>
    </i>
    <i>
      <x v="650"/>
      <x v="1"/>
      <x v="4"/>
    </i>
    <i>
      <x v="651"/>
      <x v="4"/>
      <x v="8"/>
    </i>
    <i>
      <x v="652"/>
      <x v="3"/>
      <x v="2"/>
    </i>
    <i r="2">
      <x v="4"/>
    </i>
    <i>
      <x v="653"/>
      <x v="5"/>
      <x v="9"/>
    </i>
    <i r="2">
      <x v="7"/>
    </i>
    <i>
      <x v="654"/>
      <x v="5"/>
      <x v="6"/>
    </i>
    <i>
      <x v="655"/>
      <x/>
      <x v="10"/>
    </i>
    <i>
      <x v="656"/>
      <x v="3"/>
      <x v="8"/>
    </i>
    <i>
      <x v="657"/>
      <x v="2"/>
      <x v="5"/>
    </i>
    <i>
      <x v="658"/>
      <x v="2"/>
      <x v="2"/>
    </i>
    <i r="2">
      <x/>
    </i>
    <i>
      <x v="659"/>
      <x v="3"/>
      <x v="10"/>
    </i>
    <i>
      <x v="660"/>
      <x v="4"/>
      <x v="2"/>
    </i>
    <i>
      <x v="661"/>
      <x v="1"/>
      <x v="10"/>
    </i>
    <i>
      <x v="662"/>
      <x v="2"/>
      <x v="4"/>
    </i>
    <i>
      <x v="663"/>
      <x v="4"/>
      <x v="6"/>
    </i>
    <i>
      <x v="664"/>
      <x v="4"/>
      <x v="8"/>
    </i>
    <i>
      <x v="665"/>
      <x v="3"/>
      <x v="10"/>
    </i>
    <i>
      <x v="666"/>
      <x v="2"/>
      <x v="4"/>
    </i>
    <i>
      <x v="667"/>
      <x v="3"/>
      <x v="8"/>
    </i>
    <i>
      <x v="668"/>
      <x v="4"/>
      <x v="9"/>
    </i>
    <i>
      <x v="669"/>
      <x v="2"/>
      <x v="2"/>
    </i>
    <i r="2">
      <x v="6"/>
    </i>
    <i>
      <x v="670"/>
      <x v="2"/>
      <x v="7"/>
    </i>
    <i>
      <x v="671"/>
      <x v="2"/>
      <x v="5"/>
    </i>
    <i>
      <x v="672"/>
      <x v="4"/>
      <x v="3"/>
    </i>
    <i r="2">
      <x v="2"/>
    </i>
    <i r="2">
      <x/>
    </i>
    <i>
      <x v="673"/>
      <x v="2"/>
      <x v="7"/>
    </i>
    <i>
      <x v="674"/>
      <x v="4"/>
      <x v="7"/>
    </i>
    <i>
      <x v="675"/>
      <x v="1"/>
      <x v="10"/>
    </i>
    <i>
      <x v="676"/>
      <x v="3"/>
      <x v="4"/>
    </i>
    <i>
      <x v="677"/>
      <x v="3"/>
      <x v="4"/>
    </i>
    <i r="2">
      <x/>
    </i>
    <i r="2">
      <x v="6"/>
    </i>
    <i>
      <x v="678"/>
      <x v="5"/>
      <x v="1"/>
    </i>
    <i>
      <x v="679"/>
      <x v="2"/>
      <x v="5"/>
    </i>
    <i>
      <x v="680"/>
      <x v="1"/>
      <x v="10"/>
    </i>
    <i r="2">
      <x v="5"/>
    </i>
    <i>
      <x v="681"/>
      <x v="1"/>
      <x v="4"/>
    </i>
    <i>
      <x v="682"/>
      <x v="3"/>
      <x v="3"/>
    </i>
    <i>
      <x v="683"/>
      <x v="3"/>
      <x v="6"/>
    </i>
    <i>
      <x v="684"/>
      <x v="5"/>
      <x v="8"/>
    </i>
    <i>
      <x v="685"/>
      <x v="1"/>
      <x v="10"/>
    </i>
    <i r="2">
      <x v="4"/>
    </i>
    <i r="2">
      <x v="7"/>
    </i>
    <i>
      <x v="686"/>
      <x v="1"/>
      <x/>
    </i>
    <i>
      <x v="687"/>
      <x v="4"/>
      <x v="1"/>
    </i>
    <i>
      <x v="688"/>
      <x/>
      <x v="10"/>
    </i>
    <i>
      <x v="689"/>
      <x/>
      <x v="10"/>
    </i>
    <i r="2">
      <x v="8"/>
    </i>
    <i>
      <x v="690"/>
      <x v="1"/>
      <x/>
    </i>
    <i>
      <x v="691"/>
      <x v="1"/>
      <x/>
    </i>
    <i>
      <x v="692"/>
      <x v="1"/>
      <x v="5"/>
    </i>
    <i r="2">
      <x/>
    </i>
    <i>
      <x v="693"/>
      <x v="3"/>
      <x v="1"/>
    </i>
    <i>
      <x v="694"/>
      <x v="5"/>
      <x v="5"/>
    </i>
    <i>
      <x v="695"/>
      <x v="5"/>
      <x v="6"/>
    </i>
    <i>
      <x v="696"/>
      <x/>
      <x v="6"/>
    </i>
    <i>
      <x v="697"/>
      <x v="3"/>
      <x v="5"/>
    </i>
    <i>
      <x v="698"/>
      <x v="3"/>
      <x v="1"/>
    </i>
    <i r="1">
      <x v="4"/>
      <x v="10"/>
    </i>
    <i>
      <x v="699"/>
      <x v="2"/>
      <x v="1"/>
    </i>
    <i r="2">
      <x v="8"/>
    </i>
    <i>
      <x v="700"/>
      <x/>
      <x v="1"/>
    </i>
    <i>
      <x v="701"/>
      <x v="4"/>
      <x v="9"/>
    </i>
    <i r="2">
      <x v="5"/>
    </i>
    <i>
      <x v="702"/>
      <x v="4"/>
      <x v="9"/>
    </i>
    <i>
      <x v="703"/>
      <x v="4"/>
      <x v="9"/>
    </i>
    <i>
      <x v="704"/>
      <x v="5"/>
      <x v="5"/>
    </i>
    <i>
      <x v="705"/>
      <x v="5"/>
      <x/>
    </i>
    <i>
      <x v="706"/>
      <x v="4"/>
      <x/>
    </i>
    <i>
      <x v="707"/>
      <x v="5"/>
      <x v="1"/>
    </i>
    <i r="2">
      <x v="7"/>
    </i>
    <i>
      <x v="708"/>
      <x v="5"/>
      <x v="10"/>
    </i>
    <i r="2">
      <x v="1"/>
    </i>
    <i>
      <x v="709"/>
      <x v="5"/>
      <x v="8"/>
    </i>
    <i>
      <x v="710"/>
      <x v="3"/>
      <x v="10"/>
    </i>
    <i>
      <x v="711"/>
      <x v="3"/>
      <x v="5"/>
    </i>
    <i>
      <x v="712"/>
      <x v="3"/>
      <x v="5"/>
    </i>
    <i>
      <x v="713"/>
      <x v="3"/>
      <x v="4"/>
    </i>
    <i>
      <x v="714"/>
      <x v="4"/>
      <x v="10"/>
    </i>
    <i>
      <x v="715"/>
      <x v="5"/>
      <x v="3"/>
    </i>
    <i>
      <x v="716"/>
      <x v="2"/>
      <x v="9"/>
    </i>
    <i>
      <x v="717"/>
      <x v="1"/>
      <x v="2"/>
    </i>
    <i r="2">
      <x v="7"/>
    </i>
    <i>
      <x v="718"/>
      <x v="2"/>
      <x v="3"/>
    </i>
    <i>
      <x v="719"/>
      <x v="2"/>
      <x v="3"/>
    </i>
    <i r="2">
      <x v="4"/>
    </i>
    <i>
      <x v="720"/>
      <x v="2"/>
      <x v="8"/>
    </i>
    <i>
      <x v="721"/>
      <x v="2"/>
      <x v="2"/>
    </i>
    <i>
      <x v="722"/>
      <x v="2"/>
      <x v="1"/>
    </i>
    <i>
      <x v="723"/>
      <x v="2"/>
      <x v="3"/>
    </i>
    <i>
      <x v="724"/>
      <x v="2"/>
      <x v="6"/>
    </i>
    <i>
      <x v="725"/>
      <x v="3"/>
      <x v="10"/>
    </i>
    <i r="1">
      <x v="5"/>
      <x v="9"/>
    </i>
    <i r="2">
      <x v="2"/>
    </i>
    <i>
      <x v="726"/>
      <x v="3"/>
      <x v="3"/>
    </i>
    <i r="2">
      <x v="1"/>
    </i>
    <i r="2">
      <x v="7"/>
    </i>
    <i>
      <x v="727"/>
      <x v="5"/>
      <x v="8"/>
    </i>
    <i>
      <x v="728"/>
      <x v="5"/>
      <x/>
    </i>
    <i r="1">
      <x v="2"/>
      <x v="5"/>
    </i>
    <i>
      <x v="729"/>
      <x v="3"/>
      <x v="6"/>
    </i>
    <i>
      <x v="730"/>
      <x v="3"/>
      <x v="1"/>
    </i>
    <i r="2">
      <x v="5"/>
    </i>
    <i r="2">
      <x/>
    </i>
    <i>
      <x v="731"/>
      <x v="3"/>
      <x v="8"/>
    </i>
    <i>
      <x v="732"/>
      <x v="3"/>
      <x v="4"/>
    </i>
    <i r="1">
      <x v="5"/>
      <x v="1"/>
    </i>
    <i r="1">
      <x v="4"/>
      <x v="8"/>
    </i>
    <i r="1">
      <x v="2"/>
      <x v="4"/>
    </i>
    <i>
      <x v="733"/>
      <x v="4"/>
      <x v="1"/>
    </i>
    <i>
      <x v="734"/>
      <x v="4"/>
      <x v="6"/>
    </i>
    <i>
      <x v="735"/>
      <x/>
      <x/>
    </i>
    <i r="2">
      <x v="6"/>
    </i>
    <i>
      <x v="736"/>
      <x v="4"/>
      <x v="9"/>
    </i>
    <i r="2">
      <x v="2"/>
    </i>
    <i r="2">
      <x v="5"/>
    </i>
    <i>
      <x v="737"/>
      <x v="4"/>
      <x v="9"/>
    </i>
    <i r="2">
      <x v="5"/>
    </i>
    <i>
      <x v="738"/>
      <x v="4"/>
      <x v="2"/>
    </i>
    <i>
      <x v="739"/>
      <x v="2"/>
      <x v="3"/>
    </i>
    <i>
      <x v="740"/>
      <x v="1"/>
      <x v="9"/>
    </i>
    <i r="2">
      <x v="5"/>
    </i>
    <i>
      <x v="741"/>
      <x v="1"/>
      <x v="9"/>
    </i>
    <i r="1">
      <x v="4"/>
      <x v="3"/>
    </i>
    <i r="2">
      <x/>
    </i>
    <i>
      <x v="742"/>
      <x v="2"/>
      <x v="4"/>
    </i>
    <i>
      <x v="743"/>
      <x v="4"/>
      <x v="5"/>
    </i>
    <i>
      <x v="744"/>
      <x v="4"/>
      <x v="3"/>
    </i>
    <i>
      <x v="745"/>
      <x v="4"/>
      <x v="8"/>
    </i>
    <i>
      <x v="746"/>
      <x v="4"/>
      <x v="7"/>
    </i>
    <i>
      <x v="747"/>
      <x v="3"/>
      <x v="7"/>
    </i>
    <i>
      <x v="748"/>
      <x v="5"/>
      <x v="1"/>
    </i>
    <i r="2">
      <x v="6"/>
    </i>
    <i>
      <x v="749"/>
      <x v="3"/>
      <x v="10"/>
    </i>
    <i r="2">
      <x v="5"/>
    </i>
    <i>
      <x v="750"/>
      <x v="3"/>
      <x v="3"/>
    </i>
    <i r="1">
      <x v="1"/>
      <x v="9"/>
    </i>
    <i r="1">
      <x v="5"/>
      <x v="4"/>
    </i>
    <i>
      <x v="751"/>
      <x/>
      <x v="4"/>
    </i>
    <i>
      <x v="752"/>
      <x v="2"/>
      <x v="2"/>
    </i>
    <i>
      <x v="753"/>
      <x/>
      <x v="10"/>
    </i>
    <i>
      <x v="754"/>
      <x v="1"/>
      <x v="2"/>
    </i>
    <i r="2">
      <x v="8"/>
    </i>
    <i>
      <x v="755"/>
      <x v="1"/>
      <x v="7"/>
    </i>
    <i>
      <x v="756"/>
      <x v="3"/>
      <x/>
    </i>
    <i r="2">
      <x v="6"/>
    </i>
    <i>
      <x v="757"/>
      <x/>
      <x v="10"/>
    </i>
    <i r="2">
      <x v="8"/>
    </i>
    <i r="1">
      <x v="2"/>
      <x/>
    </i>
    <i>
      <x v="758"/>
      <x v="3"/>
      <x v="1"/>
    </i>
    <i r="2">
      <x v="5"/>
    </i>
    <i>
      <x v="759"/>
      <x v="4"/>
      <x v="2"/>
    </i>
    <i>
      <x v="760"/>
      <x v="4"/>
      <x v="1"/>
    </i>
    <i>
      <x v="761"/>
      <x/>
      <x v="1"/>
    </i>
    <i>
      <x v="762"/>
      <x v="3"/>
      <x v="10"/>
    </i>
    <i>
      <x v="763"/>
      <x v="3"/>
      <x v="2"/>
    </i>
    <i>
      <x v="764"/>
      <x v="1"/>
      <x v="7"/>
    </i>
    <i>
      <x v="765"/>
      <x v="5"/>
      <x v="9"/>
    </i>
    <i r="2">
      <x v="5"/>
    </i>
    <i>
      <x v="766"/>
      <x v="1"/>
      <x v="3"/>
    </i>
    <i>
      <x v="767"/>
      <x v="4"/>
      <x/>
    </i>
    <i r="2">
      <x v="7"/>
    </i>
    <i>
      <x v="768"/>
      <x v="4"/>
      <x v="2"/>
    </i>
    <i r="2">
      <x v="8"/>
    </i>
    <i>
      <x v="769"/>
      <x v="5"/>
      <x v="2"/>
    </i>
    <i r="2">
      <x/>
    </i>
    <i>
      <x v="770"/>
      <x v="5"/>
      <x v="4"/>
    </i>
    <i>
      <x v="771"/>
      <x v="2"/>
      <x v="4"/>
    </i>
    <i>
      <x v="772"/>
      <x v="3"/>
      <x v="10"/>
    </i>
    <i>
      <x v="773"/>
      <x v="2"/>
      <x/>
    </i>
    <i>
      <x v="774"/>
      <x v="2"/>
      <x v="7"/>
    </i>
    <i>
      <x v="775"/>
      <x v="3"/>
      <x v="5"/>
    </i>
    <i>
      <x v="776"/>
      <x v="1"/>
      <x v="9"/>
    </i>
    <i r="2">
      <x v="6"/>
    </i>
    <i>
      <x v="777"/>
      <x/>
      <x v="3"/>
    </i>
    <i r="2">
      <x v="2"/>
    </i>
    <i>
      <x v="778"/>
      <x/>
      <x v="10"/>
    </i>
    <i r="2">
      <x v="2"/>
    </i>
    <i>
      <x v="779"/>
      <x v="1"/>
      <x v="7"/>
    </i>
    <i>
      <x v="780"/>
      <x v="2"/>
      <x v="7"/>
    </i>
    <i>
      <x v="781"/>
      <x v="5"/>
      <x v="10"/>
    </i>
    <i>
      <x v="782"/>
      <x v="3"/>
      <x v="8"/>
    </i>
    <i>
      <x v="783"/>
      <x v="2"/>
      <x v="3"/>
    </i>
    <i>
      <x v="784"/>
      <x v="2"/>
      <x v="2"/>
    </i>
    <i>
      <x v="785"/>
      <x v="3"/>
      <x v="9"/>
    </i>
    <i>
      <x v="786"/>
      <x v="5"/>
      <x v="7"/>
    </i>
    <i r="1">
      <x v="4"/>
      <x v="3"/>
    </i>
    <i r="2">
      <x v="8"/>
    </i>
    <i>
      <x v="787"/>
      <x v="1"/>
      <x v="9"/>
    </i>
    <i>
      <x v="788"/>
      <x v="1"/>
      <x v="3"/>
    </i>
    <i>
      <x v="789"/>
      <x v="4"/>
      <x v="8"/>
    </i>
    <i>
      <x v="790"/>
      <x v="3"/>
      <x v="5"/>
    </i>
    <i>
      <x v="791"/>
      <x/>
      <x v="1"/>
    </i>
    <i>
      <x v="792"/>
      <x v="2"/>
      <x v="3"/>
    </i>
    <i>
      <x v="793"/>
      <x v="2"/>
      <x v="10"/>
    </i>
    <i>
      <x v="794"/>
      <x v="2"/>
      <x v="8"/>
    </i>
    <i>
      <x v="795"/>
      <x v="3"/>
      <x v="10"/>
    </i>
    <i>
      <x v="796"/>
      <x v="2"/>
      <x v="9"/>
    </i>
    <i r="2">
      <x v="7"/>
    </i>
    <i>
      <x v="797"/>
      <x v="3"/>
      <x v="8"/>
    </i>
    <i>
      <x v="798"/>
      <x v="2"/>
      <x v="1"/>
    </i>
    <i>
      <x v="799"/>
      <x v="1"/>
      <x v="5"/>
    </i>
    <i>
      <x v="800"/>
      <x v="2"/>
      <x v="1"/>
    </i>
    <i r="2">
      <x v="2"/>
    </i>
    <i>
      <x v="801"/>
      <x/>
      <x/>
    </i>
    <i r="1">
      <x v="2"/>
      <x v="6"/>
    </i>
    <i>
      <x v="802"/>
      <x/>
      <x v="10"/>
    </i>
    <i r="2">
      <x/>
    </i>
    <i>
      <x v="803"/>
      <x v="2"/>
      <x v="1"/>
    </i>
    <i>
      <x v="804"/>
      <x v="2"/>
      <x v="7"/>
    </i>
    <i>
      <x v="805"/>
      <x v="2"/>
      <x v="4"/>
    </i>
    <i>
      <x v="806"/>
      <x v="2"/>
      <x/>
    </i>
    <i>
      <x v="807"/>
      <x v="3"/>
      <x v="2"/>
    </i>
    <i>
      <x v="808"/>
      <x v="3"/>
      <x v="2"/>
    </i>
    <i r="1">
      <x v="2"/>
      <x v="3"/>
    </i>
    <i r="2">
      <x v="1"/>
    </i>
    <i>
      <x v="809"/>
      <x/>
      <x v="3"/>
    </i>
    <i>
      <x v="810"/>
      <x v="4"/>
      <x v="4"/>
    </i>
    <i r="2">
      <x/>
    </i>
    <i>
      <x v="811"/>
      <x/>
      <x v="1"/>
    </i>
    <i r="2">
      <x v="2"/>
    </i>
    <i>
      <x v="812"/>
      <x v="4"/>
      <x v="3"/>
    </i>
    <i>
      <x v="813"/>
      <x v="4"/>
      <x v="1"/>
    </i>
    <i>
      <x v="814"/>
      <x/>
      <x v="10"/>
    </i>
    <i>
      <x v="815"/>
      <x v="3"/>
      <x v="4"/>
    </i>
    <i r="2">
      <x v="5"/>
    </i>
    <i>
      <x v="816"/>
      <x v="1"/>
      <x v="5"/>
    </i>
    <i>
      <x v="817"/>
      <x v="4"/>
      <x v="6"/>
    </i>
    <i>
      <x v="818"/>
      <x v="5"/>
      <x v="1"/>
    </i>
    <i r="2">
      <x v="9"/>
    </i>
    <i>
      <x v="819"/>
      <x v="3"/>
      <x v="10"/>
    </i>
    <i r="2">
      <x v="7"/>
    </i>
    <i>
      <x v="820"/>
      <x v="5"/>
      <x v="8"/>
    </i>
    <i>
      <x v="821"/>
      <x v="5"/>
      <x v="3"/>
    </i>
    <i r="2">
      <x v="4"/>
    </i>
    <i>
      <x v="822"/>
      <x v="3"/>
      <x v="7"/>
    </i>
    <i>
      <x v="823"/>
      <x v="3"/>
      <x v="9"/>
    </i>
    <i>
      <x v="824"/>
      <x v="2"/>
      <x v="5"/>
    </i>
    <i>
      <x v="825"/>
      <x v="4"/>
      <x v="1"/>
    </i>
    <i>
      <x v="826"/>
      <x v="2"/>
      <x v="9"/>
    </i>
    <i r="2">
      <x v="8"/>
    </i>
    <i>
      <x v="827"/>
      <x/>
      <x v="8"/>
    </i>
    <i r="2">
      <x v="6"/>
    </i>
    <i>
      <x v="828"/>
      <x v="2"/>
      <x/>
    </i>
    <i>
      <x v="829"/>
      <x v="5"/>
      <x v="5"/>
    </i>
    <i>
      <x v="830"/>
      <x v="5"/>
      <x v="8"/>
    </i>
    <i>
      <x v="831"/>
      <x v="2"/>
      <x v="5"/>
    </i>
    <i r="2">
      <x v="6"/>
    </i>
    <i>
      <x v="832"/>
      <x v="4"/>
      <x v="1"/>
    </i>
    <i>
      <x v="833"/>
      <x v="5"/>
      <x v="8"/>
    </i>
    <i>
      <x v="834"/>
      <x v="5"/>
      <x v="9"/>
    </i>
    <i>
      <x v="835"/>
      <x/>
      <x/>
    </i>
    <i>
      <x v="836"/>
      <x/>
      <x v="8"/>
    </i>
    <i>
      <x v="837"/>
      <x v="2"/>
      <x v="4"/>
    </i>
    <i r="2">
      <x v="7"/>
    </i>
    <i>
      <x v="838"/>
      <x/>
      <x v="4"/>
    </i>
    <i>
      <x v="839"/>
      <x v="2"/>
      <x v="3"/>
    </i>
    <i>
      <x v="840"/>
      <x v="5"/>
      <x v="8"/>
    </i>
    <i>
      <x v="841"/>
      <x v="5"/>
      <x v="2"/>
    </i>
    <i>
      <x v="842"/>
      <x v="5"/>
      <x v="7"/>
    </i>
    <i>
      <x v="843"/>
      <x v="4"/>
      <x v="2"/>
    </i>
    <i r="2">
      <x v="7"/>
    </i>
    <i>
      <x v="844"/>
      <x v="4"/>
      <x v="3"/>
    </i>
    <i r="2">
      <x v="9"/>
    </i>
    <i>
      <x v="845"/>
      <x/>
      <x v="2"/>
    </i>
    <i>
      <x v="846"/>
      <x/>
      <x v="1"/>
    </i>
    <i r="2">
      <x v="7"/>
    </i>
    <i>
      <x v="847"/>
      <x v="2"/>
      <x v="4"/>
    </i>
    <i>
      <x v="848"/>
      <x v="2"/>
      <x v="1"/>
    </i>
    <i r="2">
      <x v="9"/>
    </i>
    <i r="2">
      <x v="8"/>
    </i>
    <i>
      <x v="849"/>
      <x v="3"/>
      <x v="3"/>
    </i>
    <i r="1">
      <x/>
      <x v="6"/>
    </i>
    <i>
      <x v="850"/>
      <x v="3"/>
      <x v="10"/>
    </i>
    <i r="2">
      <x v="8"/>
    </i>
    <i r="2">
      <x v="7"/>
    </i>
    <i>
      <x v="851"/>
      <x v="1"/>
      <x v="8"/>
    </i>
    <i>
      <x v="852"/>
      <x v="1"/>
      <x v="5"/>
    </i>
    <i>
      <x v="853"/>
      <x v="1"/>
      <x v="7"/>
    </i>
    <i>
      <x v="854"/>
      <x/>
      <x v="3"/>
    </i>
    <i>
      <x v="855"/>
      <x/>
      <x v="5"/>
    </i>
    <i>
      <x v="856"/>
      <x v="1"/>
      <x v="9"/>
    </i>
    <i r="2">
      <x v="6"/>
    </i>
    <i>
      <x v="857"/>
      <x v="2"/>
      <x v="3"/>
    </i>
    <i r="2">
      <x v="2"/>
    </i>
    <i>
      <x v="858"/>
      <x v="2"/>
      <x v="1"/>
    </i>
    <i r="2">
      <x v="8"/>
    </i>
    <i>
      <x v="859"/>
      <x v="2"/>
      <x/>
    </i>
    <i>
      <x v="860"/>
      <x/>
      <x v="1"/>
    </i>
    <i r="2">
      <x v="4"/>
    </i>
    <i>
      <x v="861"/>
      <x/>
      <x v="7"/>
    </i>
    <i>
      <x v="862"/>
      <x v="3"/>
      <x v="7"/>
    </i>
    <i>
      <x v="863"/>
      <x v="2"/>
      <x v="10"/>
    </i>
    <i>
      <x v="864"/>
      <x v="3"/>
      <x v="9"/>
    </i>
    <i r="2">
      <x v="5"/>
    </i>
    <i r="2">
      <x v="7"/>
    </i>
    <i>
      <x v="865"/>
      <x/>
      <x v="3"/>
    </i>
    <i r="1">
      <x v="5"/>
      <x v="2"/>
    </i>
    <i>
      <x v="866"/>
      <x v="2"/>
      <x v="9"/>
    </i>
    <i r="2">
      <x v="6"/>
    </i>
    <i>
      <x v="867"/>
      <x v="2"/>
      <x v="9"/>
    </i>
    <i r="2">
      <x v="6"/>
    </i>
    <i>
      <x v="868"/>
      <x v="3"/>
      <x v="10"/>
    </i>
    <i r="2">
      <x/>
    </i>
    <i>
      <x v="869"/>
      <x v="1"/>
      <x v="6"/>
    </i>
    <i>
      <x v="870"/>
      <x v="1"/>
      <x/>
    </i>
    <i>
      <x v="871"/>
      <x v="1"/>
      <x v="10"/>
    </i>
    <i r="2">
      <x/>
    </i>
    <i>
      <x v="872"/>
      <x v="5"/>
      <x/>
    </i>
    <i>
      <x v="873"/>
      <x v="5"/>
      <x v="3"/>
    </i>
    <i>
      <x v="874"/>
      <x/>
      <x v="9"/>
    </i>
    <i r="2">
      <x v="2"/>
    </i>
    <i>
      <x v="875"/>
      <x v="5"/>
      <x v="7"/>
    </i>
    <i>
      <x v="876"/>
      <x v="5"/>
      <x v="4"/>
    </i>
    <i>
      <x v="877"/>
      <x v="2"/>
      <x/>
    </i>
    <i>
      <x v="878"/>
      <x v="5"/>
      <x v="3"/>
    </i>
    <i>
      <x v="879"/>
      <x v="5"/>
      <x v="1"/>
    </i>
    <i r="2">
      <x v="5"/>
    </i>
    <i r="1">
      <x v="4"/>
      <x v="1"/>
    </i>
    <i>
      <x v="880"/>
      <x v="5"/>
      <x v="4"/>
    </i>
    <i>
      <x v="881"/>
      <x v="4"/>
      <x v="10"/>
    </i>
    <i r="2">
      <x v="5"/>
    </i>
    <i>
      <x v="882"/>
      <x v="2"/>
      <x v="3"/>
    </i>
    <i>
      <x v="883"/>
      <x v="3"/>
      <x v="2"/>
    </i>
    <i r="1">
      <x v="5"/>
      <x v="7"/>
    </i>
    <i>
      <x v="884"/>
      <x v="3"/>
      <x v="10"/>
    </i>
    <i>
      <x v="885"/>
      <x v="3"/>
      <x v="3"/>
    </i>
    <i>
      <x v="886"/>
      <x v="2"/>
      <x v="6"/>
    </i>
    <i>
      <x v="887"/>
      <x v="2"/>
      <x/>
    </i>
    <i r="2">
      <x v="6"/>
    </i>
    <i>
      <x v="888"/>
      <x v="3"/>
      <x v="3"/>
    </i>
    <i r="2">
      <x v="9"/>
    </i>
    <i>
      <x v="889"/>
      <x v="4"/>
      <x v="9"/>
    </i>
    <i r="2">
      <x v="2"/>
    </i>
    <i>
      <x v="890"/>
      <x/>
      <x v="7"/>
    </i>
    <i>
      <x v="891"/>
      <x v="3"/>
      <x v="6"/>
    </i>
    <i>
      <x v="892"/>
      <x/>
      <x v="8"/>
    </i>
    <i>
      <x v="893"/>
      <x v="1"/>
      <x v="3"/>
    </i>
    <i r="1">
      <x v="5"/>
      <x v="1"/>
    </i>
    <i>
      <x v="894"/>
      <x/>
      <x v="4"/>
    </i>
    <i>
      <x v="895"/>
      <x/>
      <x v="8"/>
    </i>
    <i>
      <x v="896"/>
      <x/>
      <x v="10"/>
    </i>
    <i>
      <x v="897"/>
      <x/>
      <x v="4"/>
    </i>
    <i>
      <x v="898"/>
      <x/>
      <x v="6"/>
    </i>
    <i>
      <x v="899"/>
      <x v="5"/>
      <x v="8"/>
    </i>
    <i>
      <x v="900"/>
      <x v="3"/>
      <x v="3"/>
    </i>
    <i r="2">
      <x v="1"/>
    </i>
    <i r="2">
      <x v="6"/>
    </i>
    <i>
      <x v="901"/>
      <x v="5"/>
      <x v="10"/>
    </i>
    <i>
      <x v="902"/>
      <x v="1"/>
      <x v="4"/>
    </i>
    <i>
      <x v="903"/>
      <x v="3"/>
      <x v="10"/>
    </i>
    <i r="2">
      <x v="9"/>
    </i>
    <i>
      <x v="904"/>
      <x v="1"/>
      <x v="8"/>
    </i>
    <i r="2">
      <x v="5"/>
    </i>
    <i>
      <x v="905"/>
      <x v="1"/>
      <x v="1"/>
    </i>
    <i>
      <x v="906"/>
      <x v="5"/>
      <x v="1"/>
    </i>
    <i r="2">
      <x v="8"/>
    </i>
    <i>
      <x v="907"/>
      <x v="5"/>
      <x v="4"/>
    </i>
    <i>
      <x v="908"/>
      <x v="2"/>
      <x v="1"/>
    </i>
    <i r="2">
      <x v="6"/>
    </i>
    <i>
      <x v="909"/>
      <x v="2"/>
      <x v="2"/>
    </i>
    <i r="2">
      <x v="7"/>
    </i>
    <i>
      <x v="910"/>
      <x/>
      <x v="10"/>
    </i>
    <i>
      <x v="911"/>
      <x v="4"/>
      <x v="6"/>
    </i>
    <i>
      <x v="912"/>
      <x v="5"/>
      <x v="9"/>
    </i>
    <i>
      <x v="913"/>
      <x v="1"/>
      <x v="8"/>
    </i>
    <i>
      <x v="914"/>
      <x v="3"/>
      <x v="9"/>
    </i>
    <i>
      <x v="915"/>
      <x v="1"/>
      <x v="5"/>
    </i>
    <i>
      <x v="916"/>
      <x v="1"/>
      <x v="1"/>
    </i>
    <i>
      <x v="917"/>
      <x v="2"/>
      <x v="8"/>
    </i>
    <i>
      <x v="918"/>
      <x v="2"/>
      <x v="3"/>
    </i>
    <i>
      <x v="919"/>
      <x v="5"/>
      <x/>
    </i>
    <i>
      <x v="920"/>
      <x v="4"/>
      <x/>
    </i>
    <i>
      <x v="921"/>
      <x v="2"/>
      <x v="8"/>
    </i>
    <i>
      <x v="922"/>
      <x v="3"/>
      <x v="9"/>
    </i>
    <i r="1">
      <x v="2"/>
      <x/>
    </i>
    <i r="2">
      <x v="6"/>
    </i>
    <i>
      <x v="923"/>
      <x v="2"/>
      <x v="7"/>
    </i>
    <i>
      <x v="924"/>
      <x v="3"/>
      <x v="7"/>
    </i>
    <i>
      <x v="925"/>
      <x v="3"/>
      <x v="10"/>
    </i>
    <i r="2">
      <x v="1"/>
    </i>
    <i r="2">
      <x v="8"/>
    </i>
    <i>
      <x v="926"/>
      <x v="3"/>
      <x v="8"/>
    </i>
    <i>
      <x v="927"/>
      <x/>
      <x v="2"/>
    </i>
    <i>
      <x v="928"/>
      <x v="4"/>
      <x v="3"/>
    </i>
    <i>
      <x v="929"/>
      <x/>
      <x/>
    </i>
    <i>
      <x v="930"/>
      <x v="5"/>
      <x v="3"/>
    </i>
    <i>
      <x v="931"/>
      <x v="2"/>
      <x v="1"/>
    </i>
    <i r="2">
      <x/>
    </i>
    <i>
      <x v="932"/>
      <x/>
      <x v="9"/>
    </i>
    <i>
      <x v="933"/>
      <x v="2"/>
      <x v="1"/>
    </i>
    <i r="2">
      <x v="5"/>
    </i>
    <i>
      <x v="934"/>
      <x/>
      <x v="6"/>
    </i>
    <i>
      <x v="935"/>
      <x v="1"/>
      <x v="3"/>
    </i>
    <i>
      <x v="936"/>
      <x v="1"/>
      <x v="2"/>
    </i>
    <i r="2">
      <x/>
    </i>
    <i>
      <x v="937"/>
      <x v="3"/>
      <x v="7"/>
    </i>
    <i>
      <x v="938"/>
      <x v="2"/>
      <x v="7"/>
    </i>
    <i>
      <x v="939"/>
      <x v="3"/>
      <x v="3"/>
    </i>
    <i>
      <x v="940"/>
      <x v="2"/>
      <x v="7"/>
    </i>
    <i>
      <x v="941"/>
      <x v="3"/>
      <x v="3"/>
    </i>
    <i>
      <x v="942"/>
      <x v="3"/>
      <x v="6"/>
    </i>
    <i>
      <x v="943"/>
      <x v="4"/>
      <x v="2"/>
    </i>
    <i r="2">
      <x/>
    </i>
    <i>
      <x v="944"/>
      <x v="3"/>
      <x v="4"/>
    </i>
    <i>
      <x v="945"/>
      <x/>
      <x v="4"/>
    </i>
    <i>
      <x v="946"/>
      <x v="2"/>
      <x/>
    </i>
    <i>
      <x v="947"/>
      <x v="3"/>
      <x v="3"/>
    </i>
    <i r="2">
      <x/>
    </i>
    <i r="2">
      <x v="7"/>
    </i>
    <i>
      <x v="948"/>
      <x v="4"/>
      <x v="9"/>
    </i>
    <i>
      <x v="949"/>
      <x v="4"/>
      <x v="9"/>
    </i>
    <i>
      <x v="950"/>
      <x v="4"/>
      <x v="3"/>
    </i>
    <i r="2">
      <x v="7"/>
    </i>
    <i>
      <x v="951"/>
      <x/>
      <x v="5"/>
    </i>
    <i>
      <x v="952"/>
      <x v="3"/>
      <x v="3"/>
    </i>
    <i r="2">
      <x v="9"/>
    </i>
    <i>
      <x v="953"/>
      <x v="3"/>
      <x v="3"/>
    </i>
    <i r="2">
      <x v="9"/>
    </i>
    <i>
      <x v="954"/>
      <x v="4"/>
      <x v="3"/>
    </i>
    <i r="2">
      <x v="1"/>
    </i>
    <i>
      <x v="955"/>
      <x v="4"/>
      <x/>
    </i>
    <i r="2">
      <x v="7"/>
    </i>
    <i>
      <x v="956"/>
      <x v="1"/>
      <x v="4"/>
    </i>
    <i>
      <x v="957"/>
      <x v="1"/>
      <x v="8"/>
    </i>
    <i r="2">
      <x/>
    </i>
    <i>
      <x v="958"/>
      <x v="1"/>
      <x v="4"/>
    </i>
    <i>
      <x v="959"/>
      <x v="4"/>
      <x v="4"/>
    </i>
    <i>
      <x v="960"/>
      <x v="1"/>
      <x v="3"/>
    </i>
    <i>
      <x v="961"/>
      <x v="4"/>
      <x v="5"/>
    </i>
    <i>
      <x v="962"/>
      <x v="2"/>
      <x v="5"/>
    </i>
    <i r="2">
      <x/>
    </i>
    <i>
      <x v="963"/>
      <x v="5"/>
      <x v="10"/>
    </i>
    <i r="2">
      <x v="2"/>
    </i>
    <i>
      <x v="964"/>
      <x v="2"/>
      <x v="2"/>
    </i>
    <i>
      <x v="965"/>
      <x v="3"/>
      <x v="4"/>
    </i>
    <i>
      <x v="966"/>
      <x v="2"/>
      <x v="2"/>
    </i>
    <i>
      <x v="967"/>
      <x v="2"/>
      <x v="9"/>
    </i>
    <i>
      <x v="968"/>
      <x v="5"/>
      <x v="8"/>
    </i>
    <i r="2">
      <x v="7"/>
    </i>
    <i>
      <x v="969"/>
      <x v="1"/>
      <x v="6"/>
    </i>
    <i>
      <x v="970"/>
      <x v="3"/>
      <x v="6"/>
    </i>
    <i>
      <x v="971"/>
      <x v="2"/>
      <x v="3"/>
    </i>
    <i r="2">
      <x v="7"/>
    </i>
    <i>
      <x v="972"/>
      <x v="5"/>
      <x/>
    </i>
    <i>
      <x v="973"/>
      <x/>
      <x/>
    </i>
    <i>
      <x v="974"/>
      <x v="5"/>
      <x v="2"/>
    </i>
    <i>
      <x v="975"/>
      <x v="3"/>
      <x v="4"/>
    </i>
    <i r="1">
      <x v="2"/>
      <x v="4"/>
    </i>
    <i>
      <x v="976"/>
      <x v="4"/>
      <x v="3"/>
    </i>
    <i r="1">
      <x v="2"/>
      <x v="4"/>
    </i>
    <i>
      <x v="977"/>
      <x v="5"/>
      <x v="8"/>
    </i>
    <i>
      <x v="978"/>
      <x/>
      <x v="1"/>
    </i>
    <i>
      <x v="979"/>
      <x v="1"/>
      <x v="2"/>
    </i>
    <i r="2">
      <x v="8"/>
    </i>
    <i>
      <x v="980"/>
      <x v="3"/>
      <x v="10"/>
    </i>
    <i r="2">
      <x v="6"/>
    </i>
    <i>
      <x v="981"/>
      <x v="3"/>
      <x/>
    </i>
    <i r="2">
      <x v="7"/>
    </i>
    <i>
      <x v="982"/>
      <x v="1"/>
      <x v="10"/>
    </i>
    <i>
      <x v="983"/>
      <x v="2"/>
      <x v="10"/>
    </i>
    <i>
      <x v="984"/>
      <x v="2"/>
      <x v="4"/>
    </i>
    <i r="2">
      <x/>
    </i>
    <i>
      <x v="985"/>
      <x v="2"/>
      <x v="10"/>
    </i>
    <i>
      <x v="986"/>
      <x v="3"/>
      <x v="9"/>
    </i>
    <i r="2">
      <x v="4"/>
    </i>
    <i r="2">
      <x v="7"/>
    </i>
    <i>
      <x v="987"/>
      <x v="2"/>
      <x v="4"/>
    </i>
    <i>
      <x v="988"/>
      <x v="5"/>
      <x v="5"/>
    </i>
    <i r="2">
      <x v="6"/>
    </i>
    <i>
      <x v="989"/>
      <x v="3"/>
      <x v="10"/>
    </i>
    <i r="2">
      <x v="6"/>
    </i>
    <i>
      <x v="990"/>
      <x v="3"/>
      <x/>
    </i>
    <i>
      <x v="991"/>
      <x v="2"/>
      <x v="7"/>
    </i>
    <i>
      <x v="992"/>
      <x/>
      <x v="7"/>
    </i>
    <i>
      <x v="993"/>
      <x v="4"/>
      <x v="7"/>
    </i>
    <i>
      <x v="994"/>
      <x v="4"/>
      <x v="2"/>
    </i>
    <i>
      <x v="995"/>
      <x v="1"/>
      <x v="3"/>
    </i>
    <i r="1">
      <x v="2"/>
      <x v="10"/>
    </i>
    <i>
      <x v="996"/>
      <x v="4"/>
      <x v="8"/>
    </i>
    <i r="2">
      <x v="4"/>
    </i>
    <i r="1">
      <x v="2"/>
      <x v="6"/>
    </i>
    <i>
      <x v="997"/>
      <x v="4"/>
      <x v="6"/>
    </i>
    <i>
      <x v="998"/>
      <x v="2"/>
      <x/>
    </i>
    <i>
      <x v="999"/>
      <x v="1"/>
      <x v="9"/>
    </i>
    <i>
      <x v="1000"/>
      <x v="1"/>
      <x v="10"/>
    </i>
    <i>
      <x v="1001"/>
      <x v="1"/>
      <x v="9"/>
    </i>
    <i>
      <x v="1002"/>
      <x v="3"/>
      <x v="10"/>
    </i>
    <i>
      <x v="1003"/>
      <x/>
      <x v="10"/>
    </i>
    <i r="2">
      <x v="5"/>
    </i>
    <i>
      <x v="1004"/>
      <x v="3"/>
      <x v="8"/>
    </i>
    <i>
      <x v="1005"/>
      <x v="3"/>
      <x v="9"/>
    </i>
    <i r="2">
      <x v="7"/>
    </i>
    <i>
      <x v="1006"/>
      <x v="4"/>
      <x v="10"/>
    </i>
    <i>
      <x v="1007"/>
      <x v="4"/>
      <x v="3"/>
    </i>
    <i r="2">
      <x v="8"/>
    </i>
    <i>
      <x v="1008"/>
      <x v="2"/>
      <x v="10"/>
    </i>
    <i r="2">
      <x v="6"/>
    </i>
    <i>
      <x v="1009"/>
      <x v="4"/>
      <x/>
    </i>
    <i>
      <x v="1010"/>
      <x v="3"/>
      <x v="3"/>
    </i>
    <i r="2">
      <x v="9"/>
    </i>
    <i>
      <x v="1011"/>
      <x v="5"/>
      <x v="1"/>
    </i>
    <i r="2">
      <x v="2"/>
    </i>
    <i>
      <x v="1012"/>
      <x v="4"/>
      <x v="7"/>
    </i>
    <i>
      <x v="1013"/>
      <x v="4"/>
      <x v="9"/>
    </i>
    <i>
      <x v="1014"/>
      <x/>
      <x v="5"/>
    </i>
    <i>
      <x v="1015"/>
      <x/>
      <x v="1"/>
    </i>
    <i>
      <x v="1016"/>
      <x v="3"/>
      <x/>
    </i>
    <i>
      <x v="1017"/>
      <x/>
      <x v="9"/>
    </i>
    <i>
      <x v="1018"/>
      <x v="2"/>
      <x v="4"/>
    </i>
    <i>
      <x v="1019"/>
      <x v="3"/>
      <x v="7"/>
    </i>
    <i>
      <x v="1020"/>
      <x v="3"/>
      <x v="4"/>
    </i>
    <i r="2">
      <x v="6"/>
    </i>
    <i>
      <x v="1021"/>
      <x/>
      <x v="1"/>
    </i>
    <i r="2">
      <x v="8"/>
    </i>
    <i>
      <x v="1022"/>
      <x v="3"/>
      <x v="10"/>
    </i>
    <i>
      <x v="1023"/>
      <x v="5"/>
      <x v="1"/>
    </i>
    <i r="2">
      <x v="8"/>
    </i>
    <i r="2">
      <x v="6"/>
    </i>
    <i>
      <x v="1024"/>
      <x v="2"/>
      <x v="2"/>
    </i>
    <i>
      <x v="1025"/>
      <x v="2"/>
      <x v="4"/>
    </i>
    <i>
      <x v="1026"/>
      <x v="2"/>
      <x v="4"/>
    </i>
    <i>
      <x v="1027"/>
      <x/>
      <x v="5"/>
    </i>
    <i>
      <x v="1028"/>
      <x v="3"/>
      <x v="8"/>
    </i>
    <i r="2">
      <x v="4"/>
    </i>
    <i>
      <x v="1029"/>
      <x v="3"/>
      <x v="6"/>
    </i>
    <i>
      <x v="1030"/>
      <x/>
      <x v="8"/>
    </i>
    <i>
      <x v="1031"/>
      <x v="2"/>
      <x v="2"/>
    </i>
    <i r="2">
      <x v="7"/>
    </i>
    <i>
      <x v="1032"/>
      <x v="2"/>
      <x v="3"/>
    </i>
    <i>
      <x v="1033"/>
      <x v="3"/>
      <x v="10"/>
    </i>
    <i>
      <x v="1034"/>
      <x v="2"/>
      <x v="6"/>
    </i>
    <i>
      <x v="1035"/>
      <x v="1"/>
      <x v="6"/>
    </i>
    <i r="1">
      <x v="2"/>
      <x v="5"/>
    </i>
    <i>
      <x v="1036"/>
      <x v="5"/>
      <x v="7"/>
    </i>
    <i>
      <x v="1037"/>
      <x v="5"/>
      <x v="10"/>
    </i>
    <i r="2">
      <x v="4"/>
    </i>
    <i>
      <x v="1038"/>
      <x v="3"/>
      <x v="8"/>
    </i>
    <i>
      <x v="1039"/>
      <x v="4"/>
      <x v="5"/>
    </i>
    <i>
      <x v="1040"/>
      <x v="3"/>
      <x v="10"/>
    </i>
    <i>
      <x v="1041"/>
      <x v="5"/>
      <x v="4"/>
    </i>
    <i>
      <x v="1042"/>
      <x v="5"/>
      <x v="1"/>
    </i>
    <i>
      <x v="1043"/>
      <x v="2"/>
      <x v="9"/>
    </i>
    <i>
      <x v="1044"/>
      <x v="1"/>
      <x v="1"/>
    </i>
    <i>
      <x v="1045"/>
      <x v="1"/>
      <x v="9"/>
    </i>
    <i>
      <x v="1046"/>
      <x v="1"/>
      <x v="9"/>
    </i>
    <i r="2">
      <x v="4"/>
    </i>
    <i r="2">
      <x/>
    </i>
    <i>
      <x v="1047"/>
      <x v="3"/>
      <x v="8"/>
    </i>
    <i>
      <x v="1048"/>
      <x/>
      <x v="7"/>
    </i>
    <i>
      <x v="1049"/>
      <x v="5"/>
      <x v="9"/>
    </i>
    <i r="2">
      <x v="4"/>
    </i>
    <i>
      <x v="1050"/>
      <x v="2"/>
      <x/>
    </i>
    <i r="2">
      <x v="7"/>
    </i>
    <i>
      <x v="1051"/>
      <x v="4"/>
      <x v="9"/>
    </i>
    <i>
      <x v="1052"/>
      <x v="1"/>
      <x v="8"/>
    </i>
    <i r="1">
      <x/>
      <x v="1"/>
    </i>
    <i r="2">
      <x v="2"/>
    </i>
    <i>
      <x v="1053"/>
      <x v="4"/>
      <x/>
    </i>
    <i>
      <x v="1054"/>
      <x v="1"/>
      <x v="5"/>
    </i>
    <i>
      <x v="1055"/>
      <x v="1"/>
      <x v="10"/>
    </i>
    <i>
      <x v="1056"/>
      <x v="2"/>
      <x v="3"/>
    </i>
    <i>
      <x v="1057"/>
      <x v="4"/>
      <x v="8"/>
    </i>
    <i>
      <x v="1058"/>
      <x v="5"/>
      <x v="10"/>
    </i>
    <i r="2">
      <x v="3"/>
    </i>
    <i r="2">
      <x v="6"/>
    </i>
    <i>
      <x v="1059"/>
      <x v="4"/>
      <x v="3"/>
    </i>
    <i r="2">
      <x v="9"/>
    </i>
    <i r="2">
      <x v="8"/>
    </i>
    <i>
      <x v="1060"/>
      <x v="4"/>
      <x v="6"/>
    </i>
    <i>
      <x v="1061"/>
      <x v="2"/>
      <x v="1"/>
    </i>
    <i>
      <x v="1062"/>
      <x v="3"/>
      <x v="9"/>
    </i>
    <i>
      <x v="1063"/>
      <x/>
      <x/>
    </i>
    <i>
      <x v="1064"/>
      <x v="1"/>
      <x v="3"/>
    </i>
    <i r="2">
      <x v="4"/>
    </i>
    <i>
      <x v="1065"/>
      <x v="1"/>
      <x v="4"/>
    </i>
    <i>
      <x v="1066"/>
      <x v="2"/>
      <x v="2"/>
    </i>
    <i r="2">
      <x v="7"/>
    </i>
    <i r="2">
      <x v="6"/>
    </i>
    <i>
      <x v="1067"/>
      <x v="4"/>
      <x v="2"/>
    </i>
    <i r="2">
      <x v="8"/>
    </i>
    <i>
      <x v="1068"/>
      <x v="4"/>
      <x v="3"/>
    </i>
    <i>
      <x v="1069"/>
      <x v="1"/>
      <x v="10"/>
    </i>
    <i>
      <x v="1070"/>
      <x v="3"/>
      <x v="10"/>
    </i>
    <i r="1">
      <x v="2"/>
      <x v="5"/>
    </i>
    <i>
      <x v="1071"/>
      <x v="2"/>
      <x v="3"/>
    </i>
    <i>
      <x v="1072"/>
      <x v="3"/>
      <x v="4"/>
    </i>
    <i>
      <x v="1073"/>
      <x v="2"/>
      <x v="1"/>
    </i>
    <i>
      <x v="1074"/>
      <x v="3"/>
      <x v="7"/>
    </i>
    <i>
      <x v="1075"/>
      <x v="5"/>
      <x v="1"/>
    </i>
    <i>
      <x v="1076"/>
      <x v="1"/>
      <x v="4"/>
    </i>
    <i>
      <x v="1077"/>
      <x v="1"/>
      <x v="2"/>
    </i>
    <i r="2">
      <x v="5"/>
    </i>
    <i>
      <x v="1078"/>
      <x v="1"/>
      <x v="3"/>
    </i>
    <i r="2">
      <x v="9"/>
    </i>
    <i>
      <x v="1079"/>
      <x v="1"/>
      <x v="4"/>
    </i>
    <i>
      <x v="1080"/>
      <x v="4"/>
      <x v="7"/>
    </i>
    <i>
      <x v="1081"/>
      <x v="3"/>
      <x v="7"/>
    </i>
    <i r="1">
      <x/>
      <x v="1"/>
    </i>
    <i>
      <x v="1082"/>
      <x v="2"/>
      <x v="9"/>
    </i>
    <i>
      <x v="1083"/>
      <x v="3"/>
      <x v="6"/>
    </i>
    <i>
      <x v="1084"/>
      <x v="3"/>
      <x v="4"/>
    </i>
    <i>
      <x v="1085"/>
      <x v="3"/>
      <x v="3"/>
    </i>
    <i>
      <x v="1086"/>
      <x v="1"/>
      <x v="3"/>
    </i>
    <i>
      <x v="1087"/>
      <x/>
      <x v="8"/>
    </i>
    <i r="1">
      <x v="4"/>
      <x v="1"/>
    </i>
    <i>
      <x v="1088"/>
      <x/>
      <x v="7"/>
    </i>
    <i>
      <x v="1089"/>
      <x v="3"/>
      <x v="5"/>
    </i>
    <i>
      <x v="1090"/>
      <x v="3"/>
      <x v="7"/>
    </i>
    <i>
      <x v="1091"/>
      <x v="5"/>
      <x v="7"/>
    </i>
    <i>
      <x v="1092"/>
      <x v="2"/>
      <x v="2"/>
    </i>
    <i>
      <x v="1093"/>
      <x v="3"/>
      <x v="3"/>
    </i>
    <i r="2">
      <x v="1"/>
    </i>
    <i r="1">
      <x v="2"/>
      <x v="5"/>
    </i>
    <i>
      <x v="1094"/>
      <x/>
      <x/>
    </i>
    <i>
      <x v="1095"/>
      <x v="1"/>
      <x v="10"/>
    </i>
    <i r="2">
      <x v="3"/>
    </i>
    <i r="2">
      <x v="1"/>
    </i>
    <i r="2">
      <x v="6"/>
    </i>
    <i>
      <x v="1096"/>
      <x v="3"/>
      <x v="6"/>
    </i>
    <i>
      <x v="1097"/>
      <x v="3"/>
      <x v="3"/>
    </i>
    <i>
      <x v="1098"/>
      <x v="3"/>
      <x v="10"/>
    </i>
    <i>
      <x v="1099"/>
      <x v="3"/>
      <x v="3"/>
    </i>
    <i r="2">
      <x v="9"/>
    </i>
    <i>
      <x v="1100"/>
      <x v="2"/>
      <x v="9"/>
    </i>
    <i>
      <x v="1101"/>
      <x v="2"/>
      <x v="6"/>
    </i>
    <i>
      <x v="1102"/>
      <x v="3"/>
      <x v="9"/>
    </i>
    <i>
      <x v="1103"/>
      <x v="3"/>
      <x v="4"/>
    </i>
    <i r="2">
      <x v="5"/>
    </i>
    <i>
      <x v="1104"/>
      <x v="4"/>
      <x v="6"/>
    </i>
    <i r="1">
      <x v="2"/>
      <x v="7"/>
    </i>
    <i>
      <x v="1105"/>
      <x v="3"/>
      <x v="1"/>
    </i>
    <i>
      <x v="1106"/>
      <x v="5"/>
      <x v="2"/>
    </i>
    <i r="1">
      <x v="2"/>
      <x v="1"/>
    </i>
    <i r="2">
      <x v="4"/>
    </i>
    <i>
      <x v="1107"/>
      <x v="5"/>
      <x v="7"/>
    </i>
    <i>
      <x v="1108"/>
      <x v="3"/>
      <x v="3"/>
    </i>
    <i>
      <x v="1109"/>
      <x/>
      <x v="8"/>
    </i>
    <i>
      <x v="1110"/>
      <x/>
      <x v="8"/>
    </i>
    <i r="2">
      <x v="5"/>
    </i>
    <i>
      <x v="1111"/>
      <x v="5"/>
      <x v="4"/>
    </i>
    <i r="2">
      <x/>
    </i>
    <i r="2">
      <x v="7"/>
    </i>
    <i>
      <x v="1112"/>
      <x v="3"/>
      <x/>
    </i>
    <i>
      <x v="1113"/>
      <x v="3"/>
      <x/>
    </i>
    <i>
      <x v="1114"/>
      <x v="4"/>
      <x v="5"/>
    </i>
    <i>
      <x v="1115"/>
      <x v="4"/>
      <x v="3"/>
    </i>
    <i>
      <x v="1116"/>
      <x v="5"/>
      <x v="8"/>
    </i>
    <i>
      <x v="1117"/>
      <x/>
      <x v="10"/>
    </i>
    <i>
      <x v="1118"/>
      <x v="2"/>
      <x v="1"/>
    </i>
    <i>
      <x v="1119"/>
      <x/>
      <x v="5"/>
    </i>
    <i r="1">
      <x v="2"/>
      <x v="7"/>
    </i>
    <i>
      <x v="1120"/>
      <x v="1"/>
      <x v="4"/>
    </i>
    <i>
      <x v="1121"/>
      <x v="5"/>
      <x v="3"/>
    </i>
    <i r="2">
      <x v="4"/>
    </i>
    <i>
      <x v="1122"/>
      <x v="1"/>
      <x v="4"/>
    </i>
    <i>
      <x v="1123"/>
      <x v="5"/>
      <x v="2"/>
    </i>
    <i r="2">
      <x v="8"/>
    </i>
    <i>
      <x v="1124"/>
      <x v="3"/>
      <x v="8"/>
    </i>
    <i r="1">
      <x v="2"/>
      <x v="6"/>
    </i>
    <i>
      <x v="1125"/>
      <x v="2"/>
      <x v="4"/>
    </i>
    <i>
      <x v="1126"/>
      <x/>
      <x v="8"/>
    </i>
    <i r="1">
      <x v="5"/>
      <x v="4"/>
    </i>
    <i r="1">
      <x v="2"/>
      <x v="5"/>
    </i>
    <i>
      <x v="1127"/>
      <x v="3"/>
      <x v="1"/>
    </i>
    <i>
      <x v="1128"/>
      <x v="5"/>
      <x v="8"/>
    </i>
    <i>
      <x v="1129"/>
      <x v="2"/>
      <x v="4"/>
    </i>
    <i r="2">
      <x v="6"/>
    </i>
    <i>
      <x v="1130"/>
      <x v="2"/>
      <x v="3"/>
    </i>
    <i r="2">
      <x v="1"/>
    </i>
    <i>
      <x v="1131"/>
      <x v="1"/>
      <x v="4"/>
    </i>
    <i>
      <x v="1132"/>
      <x v="3"/>
      <x v="6"/>
    </i>
    <i>
      <x v="1133"/>
      <x v="3"/>
      <x v="9"/>
    </i>
    <i r="2">
      <x v="8"/>
    </i>
    <i r="2">
      <x v="6"/>
    </i>
    <i>
      <x v="1134"/>
      <x v="3"/>
      <x v="7"/>
    </i>
    <i>
      <x v="1135"/>
      <x v="5"/>
      <x v="4"/>
    </i>
    <i>
      <x v="1136"/>
      <x/>
      <x v="1"/>
    </i>
    <i r="2">
      <x v="6"/>
    </i>
    <i>
      <x v="1137"/>
      <x v="5"/>
      <x/>
    </i>
    <i r="2">
      <x v="6"/>
    </i>
    <i>
      <x v="1138"/>
      <x/>
      <x v="9"/>
    </i>
    <i>
      <x v="1139"/>
      <x/>
      <x v="7"/>
    </i>
    <i r="1">
      <x v="4"/>
      <x v="5"/>
    </i>
    <i>
      <x v="1140"/>
      <x v="3"/>
      <x v="10"/>
    </i>
    <i r="2">
      <x v="7"/>
    </i>
    <i>
      <x v="1141"/>
      <x v="4"/>
      <x v="4"/>
    </i>
    <i>
      <x v="1142"/>
      <x v="5"/>
      <x/>
    </i>
    <i>
      <x v="1143"/>
      <x v="3"/>
      <x v="9"/>
    </i>
    <i>
      <x v="1144"/>
      <x/>
      <x/>
    </i>
    <i>
      <x v="1145"/>
      <x v="5"/>
      <x v="1"/>
    </i>
    <i>
      <x v="1146"/>
      <x v="4"/>
      <x v="1"/>
    </i>
    <i>
      <x v="1147"/>
      <x/>
      <x v="5"/>
    </i>
    <i>
      <x v="1148"/>
      <x v="5"/>
      <x v="3"/>
    </i>
    <i r="1">
      <x v="4"/>
      <x v="2"/>
    </i>
    <i>
      <x v="1149"/>
      <x v="5"/>
      <x v="8"/>
    </i>
    <i>
      <x v="1150"/>
      <x/>
      <x v="9"/>
    </i>
    <i r="2">
      <x/>
    </i>
    <i>
      <x v="1151"/>
      <x v="3"/>
      <x v="4"/>
    </i>
    <i>
      <x v="1152"/>
      <x/>
      <x v="9"/>
    </i>
    <i>
      <x v="1153"/>
      <x/>
      <x v="10"/>
    </i>
    <i r="2">
      <x v="3"/>
    </i>
    <i>
      <x v="1154"/>
      <x/>
      <x v="5"/>
    </i>
    <i r="2">
      <x/>
    </i>
    <i>
      <x v="1155"/>
      <x v="3"/>
      <x v="8"/>
    </i>
    <i>
      <x v="1156"/>
      <x v="3"/>
      <x v="8"/>
    </i>
    <i r="1">
      <x v="5"/>
      <x v="3"/>
    </i>
    <i>
      <x v="1157"/>
      <x v="5"/>
      <x v="10"/>
    </i>
    <i>
      <x v="1158"/>
      <x v="5"/>
      <x v="3"/>
    </i>
    <i r="2">
      <x/>
    </i>
    <i>
      <x v="1159"/>
      <x v="5"/>
      <x v="8"/>
    </i>
    <i>
      <x v="1160"/>
      <x v="5"/>
      <x v="3"/>
    </i>
    <i r="2">
      <x v="7"/>
    </i>
    <i>
      <x v="1161"/>
      <x/>
      <x v="10"/>
    </i>
    <i r="2">
      <x/>
    </i>
    <i r="2">
      <x v="6"/>
    </i>
    <i>
      <x v="1162"/>
      <x/>
      <x v="10"/>
    </i>
    <i>
      <x v="1163"/>
      <x v="2"/>
      <x v="4"/>
    </i>
    <i>
      <x v="1164"/>
      <x v="3"/>
      <x v="2"/>
    </i>
    <i>
      <x v="1165"/>
      <x v="3"/>
      <x/>
    </i>
    <i>
      <x v="1166"/>
      <x v="5"/>
      <x v="3"/>
    </i>
    <i>
      <x v="1167"/>
      <x v="3"/>
      <x v="3"/>
    </i>
    <i r="1">
      <x v="4"/>
      <x v="7"/>
    </i>
    <i>
      <x v="1168"/>
      <x/>
      <x v="9"/>
    </i>
    <i>
      <x v="1169"/>
      <x v="4"/>
      <x v="7"/>
    </i>
    <i>
      <x v="1170"/>
      <x v="4"/>
      <x v="6"/>
    </i>
    <i>
      <x v="1171"/>
      <x v="3"/>
      <x v="6"/>
    </i>
    <i>
      <x v="1172"/>
      <x v="2"/>
      <x v="6"/>
    </i>
    <i>
      <x v="1173"/>
      <x v="3"/>
      <x v="2"/>
    </i>
    <i>
      <x v="1174"/>
      <x v="2"/>
      <x v="4"/>
    </i>
    <i>
      <x v="1175"/>
      <x v="2"/>
      <x v="9"/>
    </i>
    <i>
      <x v="1176"/>
      <x v="2"/>
      <x v="2"/>
    </i>
    <i>
      <x v="1177"/>
      <x v="2"/>
      <x v="6"/>
    </i>
    <i>
      <x v="1178"/>
      <x/>
      <x v="9"/>
    </i>
    <i r="2">
      <x v="8"/>
    </i>
    <i>
      <x v="1179"/>
      <x v="3"/>
      <x v="8"/>
    </i>
    <i>
      <x v="1180"/>
      <x v="4"/>
      <x v="5"/>
    </i>
    <i>
      <x v="1181"/>
      <x v="3"/>
      <x v="9"/>
    </i>
    <i r="1">
      <x v="4"/>
      <x v="5"/>
    </i>
    <i>
      <x v="1182"/>
      <x v="5"/>
      <x v="3"/>
    </i>
    <i>
      <x v="1183"/>
      <x v="4"/>
      <x v="1"/>
    </i>
    <i r="1">
      <x v="2"/>
      <x/>
    </i>
    <i>
      <x v="1184"/>
      <x v="3"/>
      <x v="9"/>
    </i>
    <i>
      <x v="1185"/>
      <x v="4"/>
      <x v="9"/>
    </i>
    <i r="2">
      <x v="8"/>
    </i>
    <i r="2">
      <x/>
    </i>
    <i>
      <x v="1186"/>
      <x v="3"/>
      <x v="9"/>
    </i>
    <i>
      <x v="1187"/>
      <x v="4"/>
      <x v="9"/>
    </i>
    <i>
      <x v="1188"/>
      <x v="3"/>
      <x v="3"/>
    </i>
    <i r="2">
      <x v="4"/>
    </i>
    <i>
      <x v="1189"/>
      <x v="2"/>
      <x v="8"/>
    </i>
    <i>
      <x v="1190"/>
      <x v="4"/>
      <x v="8"/>
    </i>
    <i>
      <x v="1191"/>
      <x v="4"/>
      <x v="9"/>
    </i>
    <i>
      <x v="1192"/>
      <x v="3"/>
      <x v="3"/>
    </i>
    <i r="2">
      <x v="4"/>
    </i>
    <i r="2">
      <x v="6"/>
    </i>
    <i>
      <x v="1193"/>
      <x v="3"/>
      <x v="3"/>
    </i>
    <i>
      <x v="1194"/>
      <x v="3"/>
      <x/>
    </i>
    <i r="2">
      <x v="6"/>
    </i>
    <i>
      <x v="1195"/>
      <x v="3"/>
      <x v="4"/>
    </i>
    <i>
      <x v="1196"/>
      <x v="5"/>
      <x v="2"/>
    </i>
    <i>
      <x v="1197"/>
      <x v="1"/>
      <x v="3"/>
    </i>
    <i r="2">
      <x/>
    </i>
    <i r="2">
      <x v="7"/>
    </i>
    <i>
      <x v="1198"/>
      <x v="1"/>
      <x v="1"/>
    </i>
    <i r="1">
      <x v="4"/>
      <x v="7"/>
    </i>
    <i>
      <x v="1199"/>
      <x/>
      <x v="10"/>
    </i>
    <i>
      <x v="1200"/>
      <x v="5"/>
      <x v="10"/>
    </i>
    <i r="2">
      <x v="2"/>
    </i>
    <i>
      <x v="1201"/>
      <x v="2"/>
      <x v="9"/>
    </i>
    <i>
      <x v="1202"/>
      <x v="4"/>
      <x v="6"/>
    </i>
    <i>
      <x v="1203"/>
      <x v="4"/>
      <x v="4"/>
    </i>
    <i>
      <x v="1204"/>
      <x/>
      <x v="4"/>
    </i>
    <i>
      <x v="1205"/>
      <x/>
      <x v="1"/>
    </i>
    <i r="2">
      <x v="9"/>
    </i>
    <i>
      <x v="1206"/>
      <x v="1"/>
      <x v="1"/>
    </i>
    <i r="2">
      <x v="9"/>
    </i>
    <i>
      <x v="1207"/>
      <x v="4"/>
      <x v="10"/>
    </i>
    <i r="2">
      <x v="3"/>
    </i>
    <i>
      <x v="1208"/>
      <x/>
      <x v="2"/>
    </i>
    <i>
      <x v="1209"/>
      <x/>
      <x v="7"/>
    </i>
    <i>
      <x v="1210"/>
      <x v="4"/>
      <x v="9"/>
    </i>
    <i>
      <x v="1211"/>
      <x v="4"/>
      <x/>
    </i>
    <i r="2">
      <x v="7"/>
    </i>
    <i>
      <x v="1212"/>
      <x v="5"/>
      <x v="2"/>
    </i>
    <i>
      <x v="1213"/>
      <x v="3"/>
      <x v="4"/>
    </i>
    <i>
      <x v="1214"/>
      <x v="2"/>
      <x/>
    </i>
    <i>
      <x v="1215"/>
      <x v="2"/>
      <x v="9"/>
    </i>
    <i>
      <x v="1216"/>
      <x v="2"/>
      <x v="10"/>
    </i>
    <i r="2">
      <x/>
    </i>
    <i>
      <x v="1217"/>
      <x v="5"/>
      <x v="5"/>
    </i>
    <i>
      <x v="1218"/>
      <x v="3"/>
      <x v="3"/>
    </i>
    <i r="2">
      <x v="2"/>
    </i>
    <i>
      <x v="1219"/>
      <x/>
      <x v="10"/>
    </i>
    <i>
      <x v="1220"/>
      <x/>
      <x v="4"/>
    </i>
    <i>
      <x v="1221"/>
      <x v="4"/>
      <x v="3"/>
    </i>
    <i r="2">
      <x v="8"/>
    </i>
    <i>
      <x v="1222"/>
      <x v="4"/>
      <x v="9"/>
    </i>
    <i r="2">
      <x v="4"/>
    </i>
    <i>
      <x v="1223"/>
      <x v="3"/>
      <x v="7"/>
    </i>
    <i>
      <x v="1224"/>
      <x/>
      <x v="7"/>
    </i>
    <i>
      <x v="1225"/>
      <x v="2"/>
      <x v="1"/>
    </i>
    <i>
      <x v="1226"/>
      <x v="5"/>
      <x v="10"/>
    </i>
    <i r="2">
      <x v="8"/>
    </i>
    <i r="2">
      <x v="6"/>
    </i>
    <i>
      <x v="1227"/>
      <x v="5"/>
      <x v="4"/>
    </i>
    <i r="2">
      <x/>
    </i>
    <i>
      <x v="1228"/>
      <x v="2"/>
      <x v="1"/>
    </i>
    <i>
      <x v="1229"/>
      <x v="3"/>
      <x v="1"/>
    </i>
    <i>
      <x v="1230"/>
      <x v="2"/>
      <x v="6"/>
    </i>
    <i>
      <x v="1231"/>
      <x v="1"/>
      <x v="4"/>
    </i>
    <i>
      <x v="1232"/>
      <x/>
      <x v="6"/>
    </i>
    <i>
      <x v="1233"/>
      <x v="2"/>
      <x v="8"/>
    </i>
    <i>
      <x v="1234"/>
      <x v="2"/>
      <x v="8"/>
    </i>
    <i>
      <x v="1235"/>
      <x v="1"/>
      <x v="1"/>
    </i>
    <i>
      <x v="1236"/>
      <x v="3"/>
      <x v="2"/>
    </i>
    <i>
      <x v="1237"/>
      <x v="5"/>
      <x v="4"/>
    </i>
    <i>
      <x v="1238"/>
      <x v="4"/>
      <x v="4"/>
    </i>
    <i>
      <x v="1239"/>
      <x v="4"/>
      <x v="8"/>
    </i>
    <i>
      <x v="1240"/>
      <x v="5"/>
      <x v="8"/>
    </i>
    <i>
      <x v="1241"/>
      <x v="2"/>
      <x v="10"/>
    </i>
    <i>
      <x v="1242"/>
      <x v="2"/>
      <x v="5"/>
    </i>
    <i>
      <x v="1243"/>
      <x v="3"/>
      <x v="5"/>
    </i>
    <i>
      <x v="1244"/>
      <x v="1"/>
      <x v="1"/>
    </i>
    <i r="1">
      <x v="4"/>
      <x/>
    </i>
    <i>
      <x v="1245"/>
      <x v="4"/>
      <x v="10"/>
    </i>
    <i>
      <x v="1246"/>
      <x v="2"/>
      <x v="9"/>
    </i>
    <i r="2">
      <x/>
    </i>
    <i>
      <x v="1247"/>
      <x v="2"/>
      <x v="7"/>
    </i>
    <i>
      <x v="1248"/>
      <x v="5"/>
      <x v="9"/>
    </i>
    <i>
      <x v="1249"/>
      <x v="5"/>
      <x v="8"/>
    </i>
    <i r="2">
      <x/>
    </i>
    <i r="2">
      <x v="7"/>
    </i>
    <i>
      <x v="1250"/>
      <x v="4"/>
      <x v="8"/>
    </i>
    <i r="2">
      <x/>
    </i>
    <i>
      <x v="1251"/>
      <x v="4"/>
      <x v="10"/>
    </i>
    <i>
      <x v="1252"/>
      <x v="5"/>
      <x v="9"/>
    </i>
    <i r="2">
      <x v="2"/>
    </i>
    <i>
      <x v="1253"/>
      <x v="5"/>
      <x v="3"/>
    </i>
    <i>
      <x v="1254"/>
      <x v="3"/>
      <x v="2"/>
    </i>
    <i>
      <x v="1255"/>
      <x v="4"/>
      <x v="10"/>
    </i>
    <i r="2">
      <x v="2"/>
    </i>
    <i>
      <x v="1256"/>
      <x v="4"/>
      <x v="9"/>
    </i>
    <i>
      <x v="1257"/>
      <x v="5"/>
      <x v="8"/>
    </i>
    <i>
      <x v="1258"/>
      <x v="4"/>
      <x v="5"/>
    </i>
    <i r="1">
      <x v="2"/>
      <x v="7"/>
    </i>
    <i r="2">
      <x v="6"/>
    </i>
    <i>
      <x v="1259"/>
      <x v="5"/>
      <x v="8"/>
    </i>
    <i>
      <x v="1260"/>
      <x v="3"/>
      <x v="10"/>
    </i>
    <i>
      <x v="1261"/>
      <x v="5"/>
      <x v="7"/>
    </i>
    <i>
      <x v="1262"/>
      <x v="2"/>
      <x v="4"/>
    </i>
    <i>
      <x v="1263"/>
      <x/>
      <x v="8"/>
    </i>
    <i r="1">
      <x v="2"/>
      <x v="9"/>
    </i>
    <i>
      <x v="1264"/>
      <x v="2"/>
      <x v="3"/>
    </i>
    <i>
      <x v="1265"/>
      <x v="2"/>
      <x v="5"/>
    </i>
    <i>
      <x v="1266"/>
      <x v="2"/>
      <x v="4"/>
    </i>
    <i>
      <x v="1267"/>
      <x v="4"/>
      <x v="6"/>
    </i>
    <i>
      <x v="1268"/>
      <x v="4"/>
      <x v="2"/>
    </i>
    <i>
      <x v="1269"/>
      <x v="4"/>
      <x v="9"/>
    </i>
    <i>
      <x v="1270"/>
      <x v="3"/>
      <x v="10"/>
    </i>
    <i>
      <x v="1271"/>
      <x v="3"/>
      <x v="2"/>
    </i>
    <i r="1">
      <x v="5"/>
      <x v="2"/>
    </i>
    <i r="2">
      <x v="5"/>
    </i>
    <i>
      <x v="1272"/>
      <x v="5"/>
      <x v="4"/>
    </i>
    <i r="2">
      <x v="6"/>
    </i>
    <i>
      <x v="1273"/>
      <x v="5"/>
      <x v="10"/>
    </i>
    <i r="2">
      <x v="8"/>
    </i>
    <i>
      <x v="1274"/>
      <x v="4"/>
      <x v="9"/>
    </i>
    <i r="2">
      <x v="5"/>
    </i>
    <i>
      <x v="1275"/>
      <x/>
      <x v="2"/>
    </i>
    <i>
      <x v="1276"/>
      <x v="5"/>
      <x v="5"/>
    </i>
    <i>
      <x v="1277"/>
      <x v="4"/>
      <x v="7"/>
    </i>
    <i>
      <x v="1278"/>
      <x/>
      <x v="3"/>
    </i>
    <i>
      <x v="1279"/>
      <x/>
      <x v="1"/>
    </i>
    <i>
      <x v="1280"/>
      <x/>
      <x/>
    </i>
    <i r="1">
      <x v="4"/>
      <x v="8"/>
    </i>
    <i>
      <x v="1281"/>
      <x/>
      <x v="8"/>
    </i>
    <i>
      <x v="1282"/>
      <x v="3"/>
      <x v="7"/>
    </i>
    <i r="2">
      <x v="6"/>
    </i>
    <i>
      <x v="1283"/>
      <x v="4"/>
      <x v="10"/>
    </i>
    <i r="2">
      <x v="2"/>
    </i>
    <i>
      <x v="1284"/>
      <x v="4"/>
      <x v="4"/>
    </i>
    <i r="2">
      <x v="7"/>
    </i>
    <i>
      <x v="1285"/>
      <x v="2"/>
      <x v="7"/>
    </i>
    <i>
      <x v="1286"/>
      <x v="2"/>
      <x v="4"/>
    </i>
    <i>
      <x v="1287"/>
      <x v="3"/>
      <x v="2"/>
    </i>
    <i r="2">
      <x v="6"/>
    </i>
    <i>
      <x v="1288"/>
      <x v="5"/>
      <x v="6"/>
    </i>
    <i r="1">
      <x v="4"/>
      <x v="10"/>
    </i>
    <i>
      <x v="1289"/>
      <x v="3"/>
      <x v="10"/>
    </i>
    <i>
      <x v="1290"/>
      <x v="3"/>
      <x v="5"/>
    </i>
    <i>
      <x v="1291"/>
      <x v="5"/>
      <x v="9"/>
    </i>
    <i r="2">
      <x v="2"/>
    </i>
    <i>
      <x v="1292"/>
      <x/>
      <x v="5"/>
    </i>
    <i>
      <x v="1293"/>
      <x v="1"/>
      <x v="10"/>
    </i>
    <i r="2">
      <x v="4"/>
    </i>
    <i r="2">
      <x/>
    </i>
    <i>
      <x v="1294"/>
      <x v="3"/>
      <x v="1"/>
    </i>
    <i r="2">
      <x v="2"/>
    </i>
    <i r="2">
      <x v="8"/>
    </i>
    <i>
      <x v="1295"/>
      <x v="3"/>
      <x v="1"/>
    </i>
    <i r="1">
      <x v="1"/>
      <x v="5"/>
    </i>
    <i>
      <x v="1296"/>
      <x v="1"/>
      <x v="10"/>
    </i>
    <i r="2">
      <x v="5"/>
    </i>
    <i>
      <x v="1297"/>
      <x v="3"/>
      <x v="6"/>
    </i>
    <i>
      <x v="1298"/>
      <x v="4"/>
      <x v="10"/>
    </i>
    <i r="2">
      <x v="7"/>
    </i>
    <i>
      <x v="1299"/>
      <x v="5"/>
      <x v="9"/>
    </i>
    <i>
      <x v="1300"/>
      <x v="4"/>
      <x v="3"/>
    </i>
    <i>
      <x v="1301"/>
      <x v="5"/>
      <x v="2"/>
    </i>
    <i r="2">
      <x v="4"/>
    </i>
    <i>
      <x v="1302"/>
      <x v="4"/>
      <x v="9"/>
    </i>
    <i>
      <x v="1303"/>
      <x v="4"/>
      <x v="8"/>
    </i>
    <i>
      <x v="1304"/>
      <x v="3"/>
      <x v="3"/>
    </i>
    <i>
      <x v="1305"/>
      <x/>
      <x v="6"/>
    </i>
    <i>
      <x v="1306"/>
      <x/>
      <x v="4"/>
    </i>
    <i>
      <x v="1307"/>
      <x v="5"/>
      <x v="6"/>
    </i>
    <i>
      <x v="1308"/>
      <x v="3"/>
      <x v="10"/>
    </i>
    <i>
      <x v="1309"/>
      <x v="5"/>
      <x v="4"/>
    </i>
    <i>
      <x v="1310"/>
      <x v="4"/>
      <x v="10"/>
    </i>
    <i r="2">
      <x v="6"/>
    </i>
    <i>
      <x v="1311"/>
      <x v="4"/>
      <x v="3"/>
    </i>
    <i>
      <x v="1312"/>
      <x v="2"/>
      <x v="9"/>
    </i>
    <i r="2">
      <x v="8"/>
    </i>
    <i>
      <x v="1313"/>
      <x v="2"/>
      <x v="1"/>
    </i>
    <i r="2">
      <x v="5"/>
    </i>
    <i>
      <x v="1314"/>
      <x v="5"/>
      <x v="8"/>
    </i>
    <i>
      <x v="1315"/>
      <x v="3"/>
      <x v="7"/>
    </i>
    <i>
      <x v="1316"/>
      <x v="3"/>
      <x v="2"/>
    </i>
    <i r="2">
      <x v="4"/>
    </i>
    <i>
      <x v="1317"/>
      <x/>
      <x v="5"/>
    </i>
    <i>
      <x v="1318"/>
      <x/>
      <x v="8"/>
    </i>
    <i>
      <x v="1319"/>
      <x/>
      <x v="1"/>
    </i>
    <i>
      <x v="1320"/>
      <x v="5"/>
      <x v="1"/>
    </i>
    <i>
      <x v="1321"/>
      <x v="5"/>
      <x v="1"/>
    </i>
    <i>
      <x v="1322"/>
      <x v="3"/>
      <x v="4"/>
    </i>
    <i>
      <x v="1323"/>
      <x v="5"/>
      <x v="3"/>
    </i>
    <i r="2">
      <x v="6"/>
    </i>
    <i>
      <x v="1324"/>
      <x v="3"/>
      <x/>
    </i>
    <i r="2">
      <x v="7"/>
    </i>
    <i>
      <x v="1325"/>
      <x v="3"/>
      <x v="8"/>
    </i>
    <i>
      <x v="1326"/>
      <x v="3"/>
      <x v="9"/>
    </i>
    <i r="2">
      <x v="5"/>
    </i>
    <i>
      <x v="1327"/>
      <x v="1"/>
      <x/>
    </i>
    <i>
      <x v="1328"/>
      <x/>
      <x v="4"/>
    </i>
    <i>
      <x v="1329"/>
      <x/>
      <x v="9"/>
    </i>
    <i>
      <x v="1330"/>
      <x v="2"/>
      <x v="1"/>
    </i>
    <i r="2">
      <x v="9"/>
    </i>
    <i>
      <x v="1331"/>
      <x v="4"/>
      <x v="2"/>
    </i>
    <i r="2">
      <x v="6"/>
    </i>
    <i>
      <x v="1332"/>
      <x v="2"/>
      <x v="10"/>
    </i>
    <i>
      <x v="1333"/>
      <x v="4"/>
      <x v="1"/>
    </i>
    <i>
      <x v="1334"/>
      <x v="5"/>
      <x v="1"/>
    </i>
    <i>
      <x v="1335"/>
      <x v="3"/>
      <x v="4"/>
    </i>
    <i r="1">
      <x v="4"/>
      <x v="6"/>
    </i>
    <i>
      <x v="1336"/>
      <x v="5"/>
      <x v="8"/>
    </i>
    <i r="1">
      <x v="4"/>
      <x v="8"/>
    </i>
    <i>
      <x v="1337"/>
      <x v="1"/>
      <x v="4"/>
    </i>
    <i r="1">
      <x/>
      <x v="1"/>
    </i>
    <i>
      <x v="1338"/>
      <x v="1"/>
      <x v="2"/>
    </i>
    <i>
      <x v="1339"/>
      <x v="1"/>
      <x v="7"/>
    </i>
    <i>
      <x v="1340"/>
      <x v="1"/>
      <x v="9"/>
    </i>
    <i>
      <x v="1341"/>
      <x v="1"/>
      <x/>
    </i>
    <i>
      <x v="1342"/>
      <x v="2"/>
      <x v="2"/>
    </i>
    <i>
      <x v="1343"/>
      <x v="3"/>
      <x v="10"/>
    </i>
    <i>
      <x v="1344"/>
      <x/>
      <x v="10"/>
    </i>
    <i r="1">
      <x v="4"/>
      <x v="8"/>
    </i>
    <i>
      <x v="1345"/>
      <x v="4"/>
      <x v="4"/>
    </i>
    <i>
      <x v="1346"/>
      <x v="4"/>
      <x v="6"/>
    </i>
    <i>
      <x v="1347"/>
      <x v="4"/>
      <x v="8"/>
    </i>
    <i>
      <x v="1348"/>
      <x v="2"/>
      <x v="1"/>
    </i>
    <i>
      <x v="1349"/>
      <x v="3"/>
      <x v="10"/>
    </i>
    <i>
      <x v="1350"/>
      <x v="1"/>
      <x v="10"/>
    </i>
    <i>
      <x v="1351"/>
      <x/>
      <x v="6"/>
    </i>
    <i>
      <x v="1352"/>
      <x v="2"/>
      <x v="3"/>
    </i>
    <i>
      <x v="1353"/>
      <x v="2"/>
      <x v="10"/>
    </i>
    <i>
      <x v="1354"/>
      <x v="2"/>
      <x v="6"/>
    </i>
    <i>
      <x v="1355"/>
      <x v="2"/>
      <x v="2"/>
    </i>
    <i>
      <x v="1356"/>
      <x v="2"/>
      <x v="1"/>
    </i>
    <i r="2">
      <x v="2"/>
    </i>
    <i r="2">
      <x v="8"/>
    </i>
    <i>
      <x v="1357"/>
      <x v="4"/>
      <x v="2"/>
    </i>
    <i r="2">
      <x v="6"/>
    </i>
    <i>
      <x v="1358"/>
      <x v="1"/>
      <x v="10"/>
    </i>
    <i>
      <x v="1359"/>
      <x v="4"/>
      <x/>
    </i>
    <i>
      <x v="1360"/>
      <x v="4"/>
      <x v="3"/>
    </i>
    <i r="2">
      <x v="2"/>
    </i>
    <i r="2">
      <x v="5"/>
    </i>
    <i>
      <x v="1361"/>
      <x v="5"/>
      <x v="3"/>
    </i>
    <i>
      <x v="1362"/>
      <x v="3"/>
      <x v="3"/>
    </i>
    <i>
      <x v="1363"/>
      <x v="1"/>
      <x v="6"/>
    </i>
    <i>
      <x v="1364"/>
      <x v="3"/>
      <x v="9"/>
    </i>
    <i>
      <x v="1365"/>
      <x v="3"/>
      <x v="4"/>
    </i>
    <i>
      <x v="1366"/>
      <x v="3"/>
      <x v="1"/>
    </i>
    <i r="2">
      <x v="5"/>
    </i>
    <i>
      <x v="1367"/>
      <x v="3"/>
      <x v="2"/>
    </i>
    <i r="2">
      <x/>
    </i>
    <i>
      <x v="1368"/>
      <x v="3"/>
      <x v="4"/>
    </i>
    <i>
      <x v="1369"/>
      <x/>
      <x/>
    </i>
    <i>
      <x v="1370"/>
      <x v="4"/>
      <x/>
    </i>
    <i>
      <x v="1371"/>
      <x v="3"/>
      <x v="3"/>
    </i>
    <i r="2">
      <x v="2"/>
    </i>
    <i>
      <x v="1372"/>
      <x v="3"/>
      <x v="10"/>
    </i>
    <i>
      <x v="1373"/>
      <x v="3"/>
      <x v="9"/>
    </i>
    <i>
      <x v="1374"/>
      <x/>
      <x v="8"/>
    </i>
    <i r="2">
      <x v="6"/>
    </i>
    <i>
      <x v="1375"/>
      <x/>
      <x/>
    </i>
    <i r="2">
      <x v="7"/>
    </i>
    <i>
      <x v="1376"/>
      <x/>
      <x v="5"/>
    </i>
    <i r="2">
      <x/>
    </i>
    <i r="2">
      <x v="6"/>
    </i>
    <i>
      <x v="1377"/>
      <x v="2"/>
      <x v="2"/>
    </i>
    <i>
      <x v="1378"/>
      <x v="5"/>
      <x v="1"/>
    </i>
    <i r="2">
      <x v="2"/>
    </i>
    <i>
      <x v="1379"/>
      <x/>
      <x v="3"/>
    </i>
    <i>
      <x v="1380"/>
      <x v="1"/>
      <x v="4"/>
    </i>
    <i>
      <x v="1381"/>
      <x v="3"/>
      <x v="3"/>
    </i>
    <i r="2">
      <x v="1"/>
    </i>
    <i r="2">
      <x v="8"/>
    </i>
    <i r="2">
      <x v="6"/>
    </i>
    <i>
      <x v="1382"/>
      <x v="3"/>
      <x v="3"/>
    </i>
    <i r="2">
      <x v="9"/>
    </i>
    <i>
      <x v="1383"/>
      <x v="5"/>
      <x v="3"/>
    </i>
    <i>
      <x v="1384"/>
      <x v="4"/>
      <x v="1"/>
    </i>
    <i>
      <x v="1385"/>
      <x/>
      <x v="2"/>
    </i>
    <i r="2">
      <x/>
    </i>
    <i>
      <x v="1386"/>
      <x v="4"/>
      <x v="3"/>
    </i>
    <i r="2">
      <x v="6"/>
    </i>
    <i>
      <x v="1387"/>
      <x v="3"/>
      <x v="3"/>
    </i>
    <i>
      <x v="1388"/>
      <x v="3"/>
      <x v="8"/>
    </i>
    <i>
      <x v="1389"/>
      <x/>
      <x v="10"/>
    </i>
    <i>
      <x v="1390"/>
      <x v="3"/>
      <x v="1"/>
    </i>
    <i>
      <x v="1391"/>
      <x v="1"/>
      <x v="2"/>
    </i>
    <i>
      <x v="1392"/>
      <x/>
      <x v="9"/>
    </i>
    <i r="2">
      <x v="4"/>
    </i>
    <i>
      <x v="1393"/>
      <x v="4"/>
      <x v="9"/>
    </i>
    <i>
      <x v="1394"/>
      <x v="4"/>
      <x v="4"/>
    </i>
    <i>
      <x v="1395"/>
      <x v="3"/>
      <x v="4"/>
    </i>
    <i>
      <x v="1396"/>
      <x/>
      <x v="5"/>
    </i>
    <i>
      <x v="1397"/>
      <x v="2"/>
      <x v="7"/>
    </i>
    <i>
      <x v="1398"/>
      <x/>
      <x v="2"/>
    </i>
    <i r="2">
      <x v="7"/>
    </i>
    <i>
      <x v="1399"/>
      <x v="3"/>
      <x v="1"/>
    </i>
    <i>
      <x v="1400"/>
      <x v="1"/>
      <x/>
    </i>
    <i>
      <x v="1401"/>
      <x v="3"/>
      <x v="5"/>
    </i>
    <i>
      <x v="1402"/>
      <x/>
      <x v="9"/>
    </i>
    <i r="2">
      <x/>
    </i>
    <i>
      <x v="1403"/>
      <x v="5"/>
      <x v="7"/>
    </i>
    <i r="2">
      <x v="6"/>
    </i>
    <i>
      <x v="1404"/>
      <x v="2"/>
      <x v="5"/>
    </i>
    <i r="2">
      <x v="7"/>
    </i>
    <i>
      <x v="1405"/>
      <x v="4"/>
      <x v="3"/>
    </i>
    <i r="2">
      <x v="4"/>
    </i>
    <i r="2">
      <x v="6"/>
    </i>
    <i>
      <x v="1406"/>
      <x/>
      <x v="1"/>
    </i>
    <i>
      <x v="1407"/>
      <x v="4"/>
      <x v="2"/>
    </i>
    <i>
      <x v="1408"/>
      <x v="4"/>
      <x v="3"/>
    </i>
    <i r="2">
      <x v="7"/>
    </i>
    <i>
      <x v="1409"/>
      <x v="4"/>
      <x v="3"/>
    </i>
    <i>
      <x v="1410"/>
      <x/>
      <x v="10"/>
    </i>
    <i>
      <x v="1411"/>
      <x v="4"/>
      <x v="3"/>
    </i>
    <i>
      <x v="1412"/>
      <x/>
      <x v="10"/>
    </i>
    <i r="2">
      <x v="1"/>
    </i>
    <i>
      <x v="1413"/>
      <x/>
      <x v="9"/>
    </i>
    <i r="2">
      <x v="6"/>
    </i>
    <i>
      <x v="1414"/>
      <x/>
      <x v="10"/>
    </i>
    <i r="2">
      <x v="2"/>
    </i>
    <i>
      <x v="1415"/>
      <x v="4"/>
      <x v="5"/>
    </i>
    <i r="2">
      <x/>
    </i>
    <i r="2">
      <x v="7"/>
    </i>
    <i>
      <x v="1416"/>
      <x v="4"/>
      <x v="3"/>
    </i>
    <i>
      <x v="1417"/>
      <x v="3"/>
      <x v="9"/>
    </i>
    <i r="2">
      <x/>
    </i>
    <i>
      <x v="1418"/>
      <x v="4"/>
      <x v="9"/>
    </i>
    <i r="2">
      <x v="6"/>
    </i>
    <i>
      <x v="1419"/>
      <x v="4"/>
      <x v="1"/>
    </i>
    <i>
      <x v="1420"/>
      <x/>
      <x v="8"/>
    </i>
    <i>
      <x v="1421"/>
      <x/>
      <x v="10"/>
    </i>
    <i>
      <x v="1422"/>
      <x v="4"/>
      <x v="9"/>
    </i>
    <i>
      <x v="1423"/>
      <x v="5"/>
      <x v="10"/>
    </i>
    <i r="2">
      <x v="9"/>
    </i>
    <i>
      <x v="1424"/>
      <x v="4"/>
      <x v="8"/>
    </i>
    <i>
      <x v="1425"/>
      <x v="3"/>
      <x v="7"/>
    </i>
    <i>
      <x v="1426"/>
      <x/>
      <x v="7"/>
    </i>
    <i>
      <x v="1427"/>
      <x v="4"/>
      <x v="4"/>
    </i>
    <i>
      <x v="1428"/>
      <x/>
      <x v="8"/>
    </i>
    <i>
      <x v="1429"/>
      <x v="3"/>
      <x v="3"/>
    </i>
    <i>
      <x v="1430"/>
      <x v="5"/>
      <x v="8"/>
    </i>
    <i>
      <x v="1431"/>
      <x v="3"/>
      <x v="8"/>
    </i>
    <i>
      <x v="1432"/>
      <x v="4"/>
      <x v="9"/>
    </i>
    <i r="2">
      <x v="2"/>
    </i>
    <i>
      <x v="1433"/>
      <x v="3"/>
      <x v="8"/>
    </i>
    <i r="2">
      <x v="6"/>
    </i>
    <i>
      <x v="1434"/>
      <x v="2"/>
      <x/>
    </i>
    <i>
      <x v="1435"/>
      <x/>
      <x v="3"/>
    </i>
    <i>
      <x v="1436"/>
      <x/>
      <x v="1"/>
    </i>
    <i>
      <x v="1437"/>
      <x v="3"/>
      <x v="8"/>
    </i>
    <i r="2">
      <x v="4"/>
    </i>
    <i>
      <x v="1438"/>
      <x/>
      <x v="10"/>
    </i>
    <i>
      <x v="1439"/>
      <x v="5"/>
      <x v="9"/>
    </i>
    <i>
      <x v="1440"/>
      <x v="1"/>
      <x v="9"/>
    </i>
    <i>
      <x v="1441"/>
      <x v="4"/>
      <x v="6"/>
    </i>
    <i>
      <x v="1442"/>
      <x/>
      <x v="3"/>
    </i>
    <i>
      <x v="1443"/>
      <x v="3"/>
      <x v="7"/>
    </i>
    <i>
      <x v="1444"/>
      <x v="3"/>
      <x v="4"/>
    </i>
    <i>
      <x v="1445"/>
      <x v="4"/>
      <x v="6"/>
    </i>
    <i>
      <x v="1446"/>
      <x v="3"/>
      <x v="6"/>
    </i>
    <i>
      <x v="1447"/>
      <x v="2"/>
      <x v="4"/>
    </i>
    <i>
      <x v="1448"/>
      <x v="4"/>
      <x v="9"/>
    </i>
    <i r="2">
      <x v="2"/>
    </i>
    <i r="2">
      <x v="7"/>
    </i>
    <i>
      <x v="1449"/>
      <x v="3"/>
      <x v="4"/>
    </i>
    <i>
      <x v="1450"/>
      <x/>
      <x v="4"/>
    </i>
    <i r="2">
      <x v="7"/>
    </i>
    <i>
      <x v="1451"/>
      <x v="3"/>
      <x/>
    </i>
    <i>
      <x v="1452"/>
      <x v="5"/>
      <x v="1"/>
    </i>
    <i r="2">
      <x v="5"/>
    </i>
    <i r="2">
      <x v="6"/>
    </i>
    <i>
      <x v="1453"/>
      <x/>
      <x v="8"/>
    </i>
    <i>
      <x v="1454"/>
      <x/>
      <x v="4"/>
    </i>
    <i r="2">
      <x/>
    </i>
    <i>
      <x v="1455"/>
      <x v="3"/>
      <x v="10"/>
    </i>
    <i>
      <x v="1456"/>
      <x/>
      <x v="2"/>
    </i>
    <i>
      <x v="1457"/>
      <x v="4"/>
      <x v="5"/>
    </i>
    <i r="2">
      <x v="7"/>
    </i>
    <i>
      <x v="1458"/>
      <x v="3"/>
      <x v="4"/>
    </i>
    <i>
      <x v="1459"/>
      <x v="4"/>
      <x/>
    </i>
    <i>
      <x v="1460"/>
      <x v="4"/>
      <x v="9"/>
    </i>
    <i>
      <x v="1461"/>
      <x v="2"/>
      <x v="10"/>
    </i>
    <i r="2">
      <x v="2"/>
    </i>
    <i>
      <x v="1462"/>
      <x v="3"/>
      <x v="3"/>
    </i>
    <i r="2">
      <x v="9"/>
    </i>
    <i>
      <x v="1463"/>
      <x v="5"/>
      <x v="2"/>
    </i>
    <i>
      <x v="1464"/>
      <x v="3"/>
      <x v="5"/>
    </i>
    <i r="2">
      <x/>
    </i>
    <i r="2">
      <x v="6"/>
    </i>
    <i>
      <x v="1465"/>
      <x/>
      <x v="9"/>
    </i>
    <i r="2">
      <x v="5"/>
    </i>
    <i r="2">
      <x v="6"/>
    </i>
    <i>
      <x v="1466"/>
      <x/>
      <x v="7"/>
    </i>
    <i>
      <x v="1467"/>
      <x v="4"/>
      <x v="2"/>
    </i>
    <i r="2">
      <x/>
    </i>
    <i>
      <x v="1468"/>
      <x v="1"/>
      <x v="9"/>
    </i>
    <i>
      <x v="1469"/>
      <x v="3"/>
      <x v="7"/>
    </i>
    <i>
      <x v="1470"/>
      <x v="3"/>
      <x v="3"/>
    </i>
    <i r="2">
      <x/>
    </i>
    <i>
      <x v="1471"/>
      <x v="3"/>
      <x v="3"/>
    </i>
    <i>
      <x v="1472"/>
      <x/>
      <x v="9"/>
    </i>
    <i>
      <x v="1473"/>
      <x/>
      <x v="5"/>
    </i>
    <i>
      <x v="1474"/>
      <x v="3"/>
      <x v="9"/>
    </i>
    <i r="2">
      <x v="8"/>
    </i>
    <i r="2">
      <x v="4"/>
    </i>
    <i>
      <x v="1475"/>
      <x/>
      <x v="7"/>
    </i>
    <i>
      <x v="1476"/>
      <x/>
      <x v="1"/>
    </i>
    <i>
      <x v="1477"/>
      <x/>
      <x v="1"/>
    </i>
    <i r="2">
      <x v="4"/>
    </i>
    <i r="2">
      <x v="5"/>
    </i>
    <i>
      <x v="1478"/>
      <x/>
      <x v="6"/>
    </i>
    <i>
      <x v="1479"/>
      <x v="4"/>
      <x v="10"/>
    </i>
    <i r="2">
      <x v="1"/>
    </i>
    <i>
      <x v="1480"/>
      <x v="3"/>
      <x v="10"/>
    </i>
    <i r="2">
      <x v="2"/>
    </i>
    <i r="2">
      <x/>
    </i>
    <i r="2">
      <x v="7"/>
    </i>
    <i>
      <x v="1481"/>
      <x/>
      <x v="3"/>
    </i>
    <i>
      <x v="1482"/>
      <x/>
      <x v="9"/>
    </i>
    <i>
      <x v="1483"/>
      <x/>
      <x v="3"/>
    </i>
    <i r="2">
      <x v="1"/>
    </i>
    <i>
      <x v="1484"/>
      <x v="3"/>
      <x v="2"/>
    </i>
    <i>
      <x v="1485"/>
      <x v="1"/>
      <x/>
    </i>
    <i>
      <x v="1486"/>
      <x v="3"/>
      <x v="9"/>
    </i>
    <i>
      <x v="1487"/>
      <x v="4"/>
      <x v="10"/>
    </i>
    <i r="2">
      <x v="5"/>
    </i>
    <i>
      <x v="1488"/>
      <x v="1"/>
      <x v="1"/>
    </i>
    <i r="2">
      <x v="2"/>
    </i>
    <i r="2">
      <x v="5"/>
    </i>
    <i r="2">
      <x/>
    </i>
    <i>
      <x v="1489"/>
      <x v="2"/>
      <x v="10"/>
    </i>
    <i>
      <x v="1490"/>
      <x/>
      <x v="1"/>
    </i>
    <i>
      <x v="1491"/>
      <x/>
      <x v="5"/>
    </i>
    <i>
      <x v="1492"/>
      <x/>
      <x/>
    </i>
    <i>
      <x v="1493"/>
      <x/>
      <x v="9"/>
    </i>
    <i r="2">
      <x v="8"/>
    </i>
    <i>
      <x v="1494"/>
      <x/>
      <x v="3"/>
    </i>
    <i>
      <x v="1495"/>
      <x v="1"/>
      <x v="1"/>
    </i>
    <i>
      <x v="1496"/>
      <x v="4"/>
      <x v="1"/>
    </i>
    <i r="2">
      <x/>
    </i>
    <i>
      <x v="1497"/>
      <x/>
      <x v="4"/>
    </i>
    <i>
      <x v="1498"/>
      <x v="4"/>
      <x v="5"/>
    </i>
    <i r="2">
      <x v="7"/>
    </i>
    <i>
      <x v="1499"/>
      <x/>
      <x v="5"/>
    </i>
    <i r="2">
      <x v="6"/>
    </i>
    <i>
      <x v="1500"/>
      <x v="3"/>
      <x v="9"/>
    </i>
    <i r="2">
      <x v="2"/>
    </i>
    <i r="2">
      <x v="7"/>
    </i>
    <i r="2">
      <x v="6"/>
    </i>
    <i>
      <x v="1501"/>
      <x/>
      <x v="10"/>
    </i>
    <i>
      <x v="1502"/>
      <x v="4"/>
      <x v="2"/>
    </i>
    <i>
      <x v="1503"/>
      <x/>
      <x v="9"/>
    </i>
    <i>
      <x v="1504"/>
      <x v="3"/>
      <x v="3"/>
    </i>
    <i>
      <x v="1505"/>
      <x v="3"/>
      <x v="10"/>
    </i>
    <i r="2">
      <x v="9"/>
    </i>
    <i>
      <x v="1506"/>
      <x/>
      <x v="8"/>
    </i>
    <i>
      <x v="1507"/>
      <x v="3"/>
      <x v="9"/>
    </i>
    <i>
      <x v="1508"/>
      <x v="3"/>
      <x v="9"/>
    </i>
    <i>
      <x v="1509"/>
      <x v="4"/>
      <x v="7"/>
    </i>
    <i>
      <x v="1510"/>
      <x v="3"/>
      <x v="7"/>
    </i>
    <i>
      <x v="1511"/>
      <x/>
      <x v="1"/>
    </i>
    <i r="2">
      <x v="6"/>
    </i>
    <i>
      <x v="1512"/>
      <x v="3"/>
      <x v="4"/>
    </i>
    <i>
      <x v="1513"/>
      <x/>
      <x v="3"/>
    </i>
    <i r="2">
      <x v="8"/>
    </i>
    <i>
      <x v="1514"/>
      <x v="1"/>
      <x v="6"/>
    </i>
    <i>
      <x v="1515"/>
      <x v="1"/>
      <x v="4"/>
    </i>
    <i>
      <x v="1516"/>
      <x v="3"/>
      <x v="9"/>
    </i>
    <i>
      <x v="1517"/>
      <x/>
      <x v="5"/>
    </i>
    <i>
      <x v="1518"/>
      <x v="3"/>
      <x v="3"/>
    </i>
    <i>
      <x v="1519"/>
      <x v="3"/>
      <x v="5"/>
    </i>
    <i>
      <x v="1520"/>
      <x v="3"/>
      <x v="10"/>
    </i>
    <i>
      <x v="1521"/>
      <x v="3"/>
      <x/>
    </i>
    <i>
      <x v="1522"/>
      <x/>
      <x/>
    </i>
    <i>
      <x v="1523"/>
      <x v="3"/>
      <x/>
    </i>
    <i>
      <x v="1524"/>
      <x v="3"/>
      <x v="2"/>
    </i>
    <i>
      <x v="1525"/>
      <x v="3"/>
      <x v="3"/>
    </i>
    <i r="2">
      <x v="1"/>
    </i>
    <i r="2">
      <x/>
    </i>
    <i>
      <x v="1526"/>
      <x v="5"/>
      <x v="9"/>
    </i>
    <i>
      <x v="1527"/>
      <x v="1"/>
      <x v="8"/>
    </i>
    <i>
      <x v="1528"/>
      <x/>
      <x v="9"/>
    </i>
    <i>
      <x v="1529"/>
      <x/>
      <x v="1"/>
    </i>
    <i r="2">
      <x v="6"/>
    </i>
    <i>
      <x v="1530"/>
      <x v="3"/>
      <x v="9"/>
    </i>
    <i>
      <x v="1531"/>
      <x v="4"/>
      <x v="2"/>
    </i>
    <i>
      <x v="1532"/>
      <x v="1"/>
      <x v="3"/>
    </i>
    <i>
      <x v="1533"/>
      <x v="3"/>
      <x v="8"/>
    </i>
    <i>
      <x v="1534"/>
      <x/>
      <x v="7"/>
    </i>
    <i>
      <x v="1535"/>
      <x v="1"/>
      <x v="7"/>
    </i>
    <i>
      <x v="1536"/>
      <x v="1"/>
      <x v="7"/>
    </i>
    <i>
      <x v="1537"/>
      <x v="1"/>
      <x v="2"/>
    </i>
    <i>
      <x v="1538"/>
      <x v="3"/>
      <x v="9"/>
    </i>
    <i r="1">
      <x v="4"/>
      <x v="9"/>
    </i>
    <i>
      <x v="1539"/>
      <x v="5"/>
      <x v="1"/>
    </i>
    <i r="2">
      <x v="2"/>
    </i>
    <i>
      <x v="1540"/>
      <x v="5"/>
      <x v="7"/>
    </i>
    <i>
      <x v="1541"/>
      <x v="1"/>
      <x v="2"/>
    </i>
    <i>
      <x v="1542"/>
      <x v="3"/>
      <x/>
    </i>
    <i>
      <x v="1543"/>
      <x v="2"/>
      <x/>
    </i>
    <i>
      <x v="1544"/>
      <x v="3"/>
      <x v="10"/>
    </i>
    <i r="2">
      <x v="9"/>
    </i>
    <i>
      <x v="1545"/>
      <x v="4"/>
      <x v="3"/>
    </i>
    <i r="2">
      <x/>
    </i>
    <i>
      <x v="1546"/>
      <x v="4"/>
      <x v="10"/>
    </i>
    <i r="2">
      <x v="3"/>
    </i>
    <i>
      <x v="1547"/>
      <x v="2"/>
      <x v="2"/>
    </i>
    <i>
      <x v="1548"/>
      <x v="2"/>
      <x v="2"/>
    </i>
    <i r="2">
      <x v="8"/>
    </i>
    <i>
      <x v="1549"/>
      <x v="2"/>
      <x v="3"/>
    </i>
    <i r="2">
      <x v="8"/>
    </i>
    <i>
      <x v="1550"/>
      <x/>
      <x v="3"/>
    </i>
    <i>
      <x v="1551"/>
      <x v="3"/>
      <x v="9"/>
    </i>
    <i r="2">
      <x v="8"/>
    </i>
    <i>
      <x v="1552"/>
      <x v="3"/>
      <x v="10"/>
    </i>
    <i r="2">
      <x v="3"/>
    </i>
    <i r="2">
      <x/>
    </i>
    <i>
      <x v="1553"/>
      <x v="3"/>
      <x v="8"/>
    </i>
    <i>
      <x v="1554"/>
      <x v="3"/>
      <x v="5"/>
    </i>
    <i r="1">
      <x v="4"/>
      <x v="7"/>
    </i>
    <i>
      <x v="1555"/>
      <x v="3"/>
      <x v="6"/>
    </i>
    <i>
      <x v="1556"/>
      <x v="1"/>
      <x v="9"/>
    </i>
    <i>
      <x v="1557"/>
      <x v="3"/>
      <x v="10"/>
    </i>
    <i r="1">
      <x v="5"/>
      <x v="8"/>
    </i>
    <i>
      <x v="1558"/>
      <x v="2"/>
      <x v="4"/>
    </i>
    <i>
      <x v="1559"/>
      <x v="2"/>
      <x v="4"/>
    </i>
    <i r="2">
      <x/>
    </i>
    <i>
      <x v="1560"/>
      <x/>
      <x v="5"/>
    </i>
    <i>
      <x v="1561"/>
      <x/>
      <x v="4"/>
    </i>
    <i r="2">
      <x v="5"/>
    </i>
    <i>
      <x v="1562"/>
      <x v="3"/>
      <x v="10"/>
    </i>
    <i>
      <x v="1563"/>
      <x/>
      <x v="9"/>
    </i>
    <i r="1">
      <x v="4"/>
      <x v="8"/>
    </i>
    <i>
      <x v="1564"/>
      <x v="4"/>
      <x v="3"/>
    </i>
    <i r="2">
      <x v="4"/>
    </i>
    <i>
      <x v="1565"/>
      <x v="1"/>
      <x v="7"/>
    </i>
    <i>
      <x v="1566"/>
      <x v="4"/>
      <x/>
    </i>
    <i>
      <x v="1567"/>
      <x v="1"/>
      <x v="4"/>
    </i>
    <i>
      <x v="1568"/>
      <x v="1"/>
      <x/>
    </i>
    <i>
      <x v="1569"/>
      <x/>
      <x v="1"/>
    </i>
    <i>
      <x v="1570"/>
      <x v="1"/>
      <x/>
    </i>
    <i>
      <x v="1571"/>
      <x v="1"/>
      <x v="9"/>
    </i>
    <i>
      <x v="1572"/>
      <x/>
      <x v="7"/>
    </i>
    <i>
      <x v="1573"/>
      <x v="1"/>
      <x v="1"/>
    </i>
    <i r="2">
      <x v="2"/>
    </i>
    <i r="2">
      <x v="4"/>
    </i>
    <i r="1">
      <x v="2"/>
      <x v="5"/>
    </i>
    <i>
      <x v="1574"/>
      <x v="2"/>
      <x v="9"/>
    </i>
    <i>
      <x v="1575"/>
      <x v="2"/>
      <x v="8"/>
    </i>
    <i r="2">
      <x v="6"/>
    </i>
    <i>
      <x v="1576"/>
      <x v="1"/>
      <x v="4"/>
    </i>
    <i>
      <x v="1577"/>
      <x v="3"/>
      <x v="6"/>
    </i>
    <i>
      <x v="1578"/>
      <x/>
      <x v="9"/>
    </i>
    <i r="2">
      <x/>
    </i>
    <i r="2">
      <x v="6"/>
    </i>
    <i>
      <x v="1579"/>
      <x v="3"/>
      <x v="9"/>
    </i>
    <i>
      <x v="1580"/>
      <x v="5"/>
      <x v="7"/>
    </i>
    <i>
      <x v="1581"/>
      <x v="5"/>
      <x v="3"/>
    </i>
    <i>
      <x v="1582"/>
      <x v="5"/>
      <x v="10"/>
    </i>
    <i>
      <x v="1583"/>
      <x v="3"/>
      <x v="5"/>
    </i>
    <i>
      <x v="1584"/>
      <x/>
      <x v="9"/>
    </i>
    <i>
      <x v="1585"/>
      <x v="2"/>
      <x v="9"/>
    </i>
    <i r="2">
      <x v="4"/>
    </i>
    <i>
      <x v="1586"/>
      <x v="1"/>
      <x v="9"/>
    </i>
    <i>
      <x v="1587"/>
      <x v="1"/>
      <x v="1"/>
    </i>
    <i r="2">
      <x v="5"/>
    </i>
    <i>
      <x v="1588"/>
      <x v="1"/>
      <x v="13"/>
    </i>
    <i>
      <x v="1589"/>
      <x v="3"/>
      <x v="3"/>
    </i>
    <i r="2">
      <x v="1"/>
    </i>
    <i>
      <x v="1590"/>
      <x v="1"/>
      <x v="10"/>
    </i>
    <i>
      <x v="1591"/>
      <x v="1"/>
      <x v="1"/>
    </i>
    <i>
      <x v="1592"/>
      <x v="5"/>
      <x/>
    </i>
    <i>
      <x v="1593"/>
      <x v="5"/>
      <x v="4"/>
    </i>
    <i>
      <x v="1594"/>
      <x/>
      <x v="1"/>
    </i>
    <i r="2">
      <x v="2"/>
    </i>
    <i>
      <x v="1595"/>
      <x v="2"/>
      <x v="8"/>
    </i>
    <i r="2">
      <x/>
    </i>
    <i r="2">
      <x v="6"/>
    </i>
    <i>
      <x v="1596"/>
      <x v="2"/>
      <x v="8"/>
    </i>
    <i>
      <x v="1597"/>
      <x v="3"/>
      <x v="10"/>
    </i>
    <i r="2">
      <x v="1"/>
    </i>
    <i r="1">
      <x v="2"/>
      <x v="10"/>
    </i>
    <i>
      <x v="1598"/>
      <x v="3"/>
      <x v="7"/>
    </i>
    <i r="1">
      <x v="5"/>
      <x v="10"/>
    </i>
    <i r="2">
      <x v="4"/>
    </i>
    <i r="2">
      <x/>
    </i>
    <i>
      <x v="1599"/>
      <x v="5"/>
      <x v="8"/>
    </i>
    <i>
      <x v="1600"/>
      <x v="3"/>
      <x v="7"/>
    </i>
    <i>
      <x v="1601"/>
      <x/>
      <x v="2"/>
    </i>
    <i>
      <x v="1602"/>
      <x v="5"/>
      <x v="4"/>
    </i>
    <i>
      <x v="1603"/>
      <x v="1"/>
      <x v="8"/>
    </i>
    <i r="1">
      <x v="5"/>
      <x v="6"/>
    </i>
    <i>
      <x v="1604"/>
      <x v="4"/>
      <x v="10"/>
    </i>
    <i r="1">
      <x v="2"/>
      <x v="5"/>
    </i>
    <i>
      <x v="1605"/>
      <x v="2"/>
      <x v="2"/>
    </i>
    <i>
      <x v="1606"/>
      <x v="2"/>
      <x v="7"/>
    </i>
    <i>
      <x v="1607"/>
      <x/>
      <x v="4"/>
    </i>
    <i>
      <x v="1608"/>
      <x/>
      <x v="5"/>
    </i>
    <i>
      <x v="1609"/>
      <x/>
      <x/>
    </i>
    <i r="1">
      <x v="2"/>
      <x v="10"/>
    </i>
    <i r="2">
      <x v="1"/>
    </i>
    <i>
      <x v="1610"/>
      <x/>
      <x v="6"/>
    </i>
    <i>
      <x v="1611"/>
      <x/>
      <x v="2"/>
    </i>
    <i r="1">
      <x v="5"/>
      <x v="7"/>
    </i>
    <i r="2">
      <x v="6"/>
    </i>
    <i>
      <x v="1612"/>
      <x v="4"/>
      <x v="7"/>
    </i>
    <i>
      <x v="1613"/>
      <x v="5"/>
      <x v="6"/>
    </i>
    <i>
      <x v="1614"/>
      <x v="3"/>
      <x v="5"/>
    </i>
    <i r="2">
      <x/>
    </i>
    <i>
      <x v="1615"/>
      <x v="1"/>
      <x v="5"/>
    </i>
    <i r="1">
      <x v="4"/>
      <x v="10"/>
    </i>
    <i>
      <x v="1616"/>
      <x v="1"/>
      <x v="1"/>
    </i>
    <i>
      <x v="1617"/>
      <x v="1"/>
      <x v="1"/>
    </i>
    <i>
      <x v="1618"/>
      <x v="5"/>
      <x v="3"/>
    </i>
    <i>
      <x v="1619"/>
      <x v="2"/>
      <x v="3"/>
    </i>
    <i r="2">
      <x v="1"/>
    </i>
    <i r="2">
      <x v="8"/>
    </i>
    <i r="2">
      <x v="6"/>
    </i>
    <i>
      <x v="1620"/>
      <x v="2"/>
      <x v="1"/>
    </i>
    <i r="2">
      <x v="5"/>
    </i>
    <i>
      <x v="1621"/>
      <x v="4"/>
      <x v="9"/>
    </i>
    <i r="2">
      <x v="5"/>
    </i>
    <i r="2">
      <x v="6"/>
    </i>
    <i>
      <x v="1622"/>
      <x v="3"/>
      <x v="3"/>
    </i>
    <i r="2">
      <x v="8"/>
    </i>
    <i>
      <x v="1623"/>
      <x/>
      <x v="2"/>
    </i>
    <i>
      <x v="1624"/>
      <x v="2"/>
      <x v="6"/>
    </i>
    <i>
      <x v="1625"/>
      <x v="2"/>
      <x v="7"/>
    </i>
    <i>
      <x v="1626"/>
      <x v="3"/>
      <x v="10"/>
    </i>
    <i r="2">
      <x v="9"/>
    </i>
    <i>
      <x v="1627"/>
      <x v="3"/>
      <x v="2"/>
    </i>
    <i>
      <x v="1628"/>
      <x v="1"/>
      <x v="3"/>
    </i>
    <i>
      <x v="1629"/>
      <x v="4"/>
      <x v="8"/>
    </i>
    <i>
      <x v="1630"/>
      <x v="2"/>
      <x v="2"/>
    </i>
    <i>
      <x v="1631"/>
      <x v="2"/>
      <x v="3"/>
    </i>
    <i r="2">
      <x v="9"/>
    </i>
    <i r="2">
      <x v="5"/>
    </i>
    <i>
      <x v="1632"/>
      <x v="4"/>
      <x v="2"/>
    </i>
    <i r="2">
      <x v="5"/>
    </i>
    <i>
      <x v="1633"/>
      <x v="3"/>
      <x v="2"/>
    </i>
    <i r="2">
      <x v="4"/>
    </i>
    <i>
      <x v="1634"/>
      <x v="5"/>
      <x v="3"/>
    </i>
    <i r="2">
      <x v="7"/>
    </i>
    <i>
      <x v="1635"/>
      <x v="5"/>
      <x v="7"/>
    </i>
    <i>
      <x v="1636"/>
      <x v="2"/>
      <x v="5"/>
    </i>
    <i>
      <x v="1637"/>
      <x v="4"/>
      <x v="9"/>
    </i>
    <i r="2">
      <x/>
    </i>
    <i>
      <x v="1638"/>
      <x v="5"/>
      <x v="5"/>
    </i>
    <i>
      <x v="1639"/>
      <x v="4"/>
      <x v="6"/>
    </i>
    <i>
      <x v="1640"/>
      <x v="5"/>
      <x v="10"/>
    </i>
    <i>
      <x v="1641"/>
      <x v="3"/>
      <x v="2"/>
    </i>
    <i r="2">
      <x v="7"/>
    </i>
    <i>
      <x v="1642"/>
      <x v="3"/>
      <x/>
    </i>
    <i r="1">
      <x v="5"/>
      <x v="7"/>
    </i>
    <i>
      <x v="1643"/>
      <x v="1"/>
      <x v="5"/>
    </i>
    <i>
      <x v="1644"/>
      <x v="5"/>
      <x v="10"/>
    </i>
    <i>
      <x v="1645"/>
      <x v="1"/>
      <x v="4"/>
    </i>
    <i r="1">
      <x v="5"/>
      <x v="1"/>
    </i>
    <i>
      <x v="1646"/>
      <x/>
      <x v="2"/>
    </i>
    <i>
      <x v="1647"/>
      <x v="2"/>
      <x v="1"/>
    </i>
    <i>
      <x v="1648"/>
      <x v="4"/>
      <x/>
    </i>
    <i r="2">
      <x v="7"/>
    </i>
    <i>
      <x v="1649"/>
      <x v="4"/>
      <x v="4"/>
    </i>
    <i>
      <x v="1650"/>
      <x v="4"/>
      <x v="3"/>
    </i>
    <i r="2">
      <x/>
    </i>
    <i>
      <x v="1651"/>
      <x v="2"/>
      <x v="8"/>
    </i>
    <i>
      <x v="1652"/>
      <x v="3"/>
      <x v="2"/>
    </i>
    <i>
      <x v="1653"/>
      <x v="3"/>
      <x v="2"/>
    </i>
    <i>
      <x v="1654"/>
      <x v="5"/>
      <x v="1"/>
    </i>
    <i r="2">
      <x v="5"/>
    </i>
    <i>
      <x v="1655"/>
      <x v="5"/>
      <x v="9"/>
    </i>
    <i r="2">
      <x/>
    </i>
    <i>
      <x v="1656"/>
      <x/>
      <x v="1"/>
    </i>
    <i r="2">
      <x v="4"/>
    </i>
    <i>
      <x v="1657"/>
      <x/>
      <x v="8"/>
    </i>
    <i r="2">
      <x v="6"/>
    </i>
    <i>
      <x v="1658"/>
      <x v="2"/>
      <x v="7"/>
    </i>
    <i>
      <x v="1659"/>
      <x v="2"/>
      <x v="2"/>
    </i>
    <i r="2">
      <x v="7"/>
    </i>
    <i>
      <x v="1660"/>
      <x v="3"/>
      <x/>
    </i>
    <i r="1">
      <x/>
      <x v="8"/>
    </i>
    <i>
      <x v="1661"/>
      <x/>
      <x v="2"/>
    </i>
    <i>
      <x v="1662"/>
      <x v="4"/>
      <x v="2"/>
    </i>
    <i r="2">
      <x v="7"/>
    </i>
    <i>
      <x v="1663"/>
      <x v="3"/>
      <x/>
    </i>
    <i>
      <x v="1664"/>
      <x v="3"/>
      <x v="10"/>
    </i>
    <i>
      <x v="1665"/>
      <x v="4"/>
      <x v="8"/>
    </i>
    <i>
      <x v="1666"/>
      <x v="2"/>
      <x v="3"/>
    </i>
    <i>
      <x v="1667"/>
      <x v="2"/>
      <x v="8"/>
    </i>
    <i r="2">
      <x v="6"/>
    </i>
    <i>
      <x v="1668"/>
      <x v="2"/>
      <x v="5"/>
    </i>
    <i r="2">
      <x v="7"/>
    </i>
    <i>
      <x v="1669"/>
      <x v="5"/>
      <x v="7"/>
    </i>
    <i>
      <x v="1670"/>
      <x v="2"/>
      <x v="2"/>
    </i>
    <i r="2">
      <x v="4"/>
    </i>
    <i>
      <x v="1671"/>
      <x v="4"/>
      <x v="3"/>
    </i>
    <i r="2">
      <x v="1"/>
    </i>
    <i>
      <x v="1672"/>
      <x v="4"/>
      <x v="2"/>
    </i>
    <i>
      <x v="1673"/>
      <x v="4"/>
      <x v="3"/>
    </i>
    <i>
      <x v="1674"/>
      <x v="2"/>
      <x v="7"/>
    </i>
    <i>
      <x v="1675"/>
      <x v="2"/>
      <x v="2"/>
    </i>
    <i>
      <x v="1676"/>
      <x v="5"/>
      <x v="10"/>
    </i>
    <i>
      <x v="1677"/>
      <x v="5"/>
      <x v="3"/>
    </i>
    <i>
      <x v="1678"/>
      <x v="1"/>
      <x v="9"/>
    </i>
    <i>
      <x v="1679"/>
      <x v="4"/>
      <x v="7"/>
    </i>
    <i>
      <x v="1680"/>
      <x v="5"/>
      <x v="3"/>
    </i>
    <i r="2">
      <x v="1"/>
    </i>
    <i>
      <x v="1681"/>
      <x v="4"/>
      <x v="7"/>
    </i>
    <i>
      <x v="1682"/>
      <x v="4"/>
      <x v="2"/>
    </i>
    <i>
      <x v="1683"/>
      <x v="3"/>
      <x v="1"/>
    </i>
    <i>
      <x v="1684"/>
      <x v="3"/>
      <x v="10"/>
    </i>
    <i r="2">
      <x v="2"/>
    </i>
    <i>
      <x v="1685"/>
      <x v="3"/>
      <x v="4"/>
    </i>
    <i>
      <x v="1686"/>
      <x v="1"/>
      <x v="5"/>
    </i>
    <i>
      <x v="1687"/>
      <x v="5"/>
      <x v="3"/>
    </i>
    <i r="2">
      <x v="2"/>
    </i>
    <i r="2">
      <x/>
    </i>
    <i>
      <x v="1688"/>
      <x v="2"/>
      <x v="3"/>
    </i>
    <i r="2">
      <x v="1"/>
    </i>
    <i r="2">
      <x v="7"/>
    </i>
    <i>
      <x v="1689"/>
      <x/>
      <x v="10"/>
    </i>
    <i r="2">
      <x v="9"/>
    </i>
    <i>
      <x v="1690"/>
      <x v="1"/>
      <x v="2"/>
    </i>
    <i r="2">
      <x/>
    </i>
    <i>
      <x v="1691"/>
      <x v="1"/>
      <x v="7"/>
    </i>
    <i>
      <x v="1692"/>
      <x v="3"/>
      <x v="6"/>
    </i>
    <i>
      <x v="1693"/>
      <x v="3"/>
      <x v="10"/>
    </i>
    <i>
      <x v="1694"/>
      <x v="4"/>
      <x v="1"/>
    </i>
    <i>
      <x v="1695"/>
      <x v="5"/>
      <x/>
    </i>
    <i r="2">
      <x v="6"/>
    </i>
    <i>
      <x v="1696"/>
      <x v="2"/>
      <x v="3"/>
    </i>
    <i>
      <x v="1697"/>
      <x v="2"/>
      <x v="3"/>
    </i>
    <i>
      <x v="1698"/>
      <x v="1"/>
      <x v="4"/>
    </i>
    <i>
      <x v="1699"/>
      <x/>
      <x v="8"/>
    </i>
    <i>
      <x v="1700"/>
      <x v="3"/>
      <x v="6"/>
    </i>
    <i r="1">
      <x/>
      <x v="10"/>
    </i>
    <i>
      <x v="1701"/>
      <x/>
      <x v="3"/>
    </i>
    <i r="2">
      <x v="2"/>
    </i>
    <i>
      <x v="1702"/>
      <x v="1"/>
      <x v="3"/>
    </i>
    <i>
      <x v="1703"/>
      <x v="3"/>
      <x v="4"/>
    </i>
    <i>
      <x v="1704"/>
      <x v="2"/>
      <x v="10"/>
    </i>
    <i r="2">
      <x v="3"/>
    </i>
    <i r="2">
      <x v="2"/>
    </i>
    <i r="2">
      <x v="8"/>
    </i>
    <i r="2">
      <x/>
    </i>
    <i>
      <x v="1705"/>
      <x v="3"/>
      <x v="9"/>
    </i>
    <i>
      <x v="1706"/>
      <x v="3"/>
      <x/>
    </i>
    <i>
      <x v="1707"/>
      <x v="3"/>
      <x v="3"/>
    </i>
    <i r="2">
      <x v="2"/>
    </i>
    <i>
      <x v="1708"/>
      <x v="3"/>
      <x/>
    </i>
    <i>
      <x v="1709"/>
      <x v="3"/>
      <x v="1"/>
    </i>
    <i r="2">
      <x v="2"/>
    </i>
    <i>
      <x v="1710"/>
      <x v="3"/>
      <x v="1"/>
    </i>
    <i>
      <x v="1711"/>
      <x/>
      <x v="4"/>
    </i>
    <i r="2">
      <x/>
    </i>
    <i>
      <x v="1712"/>
      <x v="5"/>
      <x v="7"/>
    </i>
    <i>
      <x v="1713"/>
      <x/>
      <x v="5"/>
    </i>
    <i>
      <x v="1714"/>
      <x v="4"/>
      <x/>
    </i>
    <i>
      <x v="1715"/>
      <x v="5"/>
      <x v="4"/>
    </i>
    <i>
      <x v="1716"/>
      <x v="5"/>
      <x v="8"/>
    </i>
    <i>
      <x v="1717"/>
      <x v="5"/>
      <x v="10"/>
    </i>
    <i r="2">
      <x v="1"/>
    </i>
    <i>
      <x v="1718"/>
      <x v="4"/>
      <x v="8"/>
    </i>
    <i>
      <x v="1719"/>
      <x v="2"/>
      <x v="2"/>
    </i>
    <i>
      <x v="1720"/>
      <x v="3"/>
      <x v="1"/>
    </i>
    <i>
      <x v="1721"/>
      <x v="5"/>
      <x v="5"/>
    </i>
    <i r="2">
      <x v="7"/>
    </i>
    <i>
      <x v="1722"/>
      <x v="5"/>
      <x v="3"/>
    </i>
    <i>
      <x v="1723"/>
      <x v="5"/>
      <x v="9"/>
    </i>
    <i r="1">
      <x v="2"/>
      <x v="10"/>
    </i>
    <i>
      <x v="1724"/>
      <x v="4"/>
      <x v="10"/>
    </i>
    <i>
      <x v="1725"/>
      <x v="5"/>
      <x v="9"/>
    </i>
    <i r="2">
      <x v="2"/>
    </i>
    <i>
      <x v="1726"/>
      <x v="3"/>
      <x v="2"/>
    </i>
    <i r="2">
      <x/>
    </i>
    <i>
      <x v="1727"/>
      <x v="4"/>
      <x v="9"/>
    </i>
    <i>
      <x v="1728"/>
      <x v="3"/>
      <x v="8"/>
    </i>
    <i>
      <x v="1729"/>
      <x v="3"/>
      <x v="9"/>
    </i>
    <i>
      <x v="1730"/>
      <x v="2"/>
      <x v="5"/>
    </i>
    <i>
      <x v="1731"/>
      <x v="2"/>
      <x v="4"/>
    </i>
    <i>
      <x v="1732"/>
      <x v="2"/>
      <x/>
    </i>
    <i>
      <x v="1733"/>
      <x v="3"/>
      <x v="8"/>
    </i>
    <i r="1">
      <x v="5"/>
      <x v="1"/>
    </i>
    <i>
      <x v="1734"/>
      <x v="3"/>
      <x v="3"/>
    </i>
    <i r="2">
      <x/>
    </i>
    <i r="2">
      <x v="6"/>
    </i>
    <i>
      <x v="1735"/>
      <x v="5"/>
      <x v="8"/>
    </i>
    <i>
      <x v="1736"/>
      <x v="2"/>
      <x v="4"/>
    </i>
    <i>
      <x v="1737"/>
      <x v="3"/>
      <x v="7"/>
    </i>
    <i>
      <x v="1738"/>
      <x v="1"/>
      <x v="3"/>
    </i>
    <i>
      <x v="1739"/>
      <x v="1"/>
      <x v="9"/>
    </i>
    <i>
      <x v="1740"/>
      <x/>
      <x v="2"/>
    </i>
    <i r="1">
      <x v="5"/>
      <x/>
    </i>
    <i>
      <x v="1741"/>
      <x/>
      <x v="7"/>
    </i>
    <i>
      <x v="1742"/>
      <x v="3"/>
      <x v="6"/>
    </i>
    <i r="1">
      <x v="4"/>
      <x v="2"/>
    </i>
    <i>
      <x v="1743"/>
      <x v="1"/>
      <x v="3"/>
    </i>
    <i>
      <x v="1744"/>
      <x v="2"/>
      <x v="9"/>
    </i>
    <i>
      <x v="1745"/>
      <x/>
      <x/>
    </i>
    <i>
      <x v="1746"/>
      <x v="4"/>
      <x v="3"/>
    </i>
    <i r="2">
      <x v="5"/>
    </i>
    <i>
      <x v="1747"/>
      <x v="2"/>
      <x v="1"/>
    </i>
    <i>
      <x v="1748"/>
      <x v="2"/>
      <x v="5"/>
    </i>
    <i>
      <x v="1749"/>
      <x v="2"/>
      <x v="3"/>
    </i>
    <i r="2">
      <x v="5"/>
    </i>
    <i r="2">
      <x v="7"/>
    </i>
    <i>
      <x v="1750"/>
      <x v="3"/>
      <x/>
    </i>
    <i r="1">
      <x v="5"/>
      <x v="6"/>
    </i>
    <i>
      <x v="1751"/>
      <x v="4"/>
      <x v="5"/>
    </i>
    <i>
      <x v="1752"/>
      <x v="3"/>
      <x v="5"/>
    </i>
    <i>
      <x v="1753"/>
      <x v="1"/>
      <x v="8"/>
    </i>
    <i>
      <x v="1754"/>
      <x v="1"/>
      <x v="10"/>
    </i>
    <i>
      <x v="1755"/>
      <x v="2"/>
      <x v="4"/>
    </i>
    <i r="2">
      <x v="7"/>
    </i>
    <i>
      <x v="1756"/>
      <x v="3"/>
      <x v="9"/>
    </i>
    <i r="1">
      <x/>
      <x v="1"/>
    </i>
    <i r="2">
      <x v="2"/>
    </i>
    <i>
      <x v="1757"/>
      <x v="3"/>
      <x v="3"/>
    </i>
    <i>
      <x v="1758"/>
      <x v="3"/>
      <x v="7"/>
    </i>
    <i>
      <x v="1759"/>
      <x/>
      <x v="8"/>
    </i>
    <i>
      <x v="1760"/>
      <x v="2"/>
      <x v="5"/>
    </i>
    <i r="2">
      <x v="6"/>
    </i>
    <i>
      <x v="1761"/>
      <x v="2"/>
      <x v="2"/>
    </i>
    <i>
      <x v="1762"/>
      <x/>
      <x v="6"/>
    </i>
    <i>
      <x v="1763"/>
      <x v="2"/>
      <x v="8"/>
    </i>
    <i>
      <x v="1764"/>
      <x v="1"/>
      <x v="9"/>
    </i>
    <i>
      <x v="1765"/>
      <x v="1"/>
      <x v="9"/>
    </i>
    <i>
      <x v="1766"/>
      <x v="2"/>
      <x v="1"/>
    </i>
    <i r="2">
      <x/>
    </i>
    <i>
      <x v="1767"/>
      <x v="3"/>
      <x v="9"/>
    </i>
    <i r="2">
      <x v="5"/>
    </i>
    <i>
      <x v="1768"/>
      <x v="1"/>
      <x v="3"/>
    </i>
    <i r="2">
      <x v="5"/>
    </i>
    <i r="2">
      <x v="7"/>
    </i>
    <i>
      <x v="1769"/>
      <x v="3"/>
      <x v="8"/>
    </i>
    <i>
      <x v="1770"/>
      <x v="4"/>
      <x v="6"/>
    </i>
    <i>
      <x v="1771"/>
      <x v="4"/>
      <x/>
    </i>
    <i>
      <x v="1772"/>
      <x v="4"/>
      <x v="3"/>
    </i>
    <i r="2">
      <x v="5"/>
    </i>
    <i>
      <x v="1773"/>
      <x v="5"/>
      <x v="8"/>
    </i>
    <i r="1">
      <x v="4"/>
      <x v="9"/>
    </i>
    <i r="2">
      <x v="6"/>
    </i>
    <i>
      <x v="1774"/>
      <x/>
      <x v="4"/>
    </i>
    <i>
      <x v="1775"/>
      <x v="1"/>
      <x v="9"/>
    </i>
    <i>
      <x v="1776"/>
      <x/>
      <x v="10"/>
    </i>
    <i r="2">
      <x v="7"/>
    </i>
    <i>
      <x v="1777"/>
      <x v="2"/>
      <x/>
    </i>
    <i>
      <x v="1778"/>
      <x/>
      <x v="9"/>
    </i>
    <i>
      <x v="1779"/>
      <x/>
      <x v="7"/>
    </i>
    <i>
      <x v="1780"/>
      <x/>
      <x v="4"/>
    </i>
    <i>
      <x v="1781"/>
      <x v="3"/>
      <x v="8"/>
    </i>
    <i r="2">
      <x v="5"/>
    </i>
    <i>
      <x v="1782"/>
      <x v="3"/>
      <x v="1"/>
    </i>
    <i>
      <x v="1783"/>
      <x/>
      <x v="5"/>
    </i>
    <i>
      <x v="1784"/>
      <x v="3"/>
      <x/>
    </i>
    <i>
      <x v="1785"/>
      <x v="2"/>
      <x/>
    </i>
    <i>
      <x v="1786"/>
      <x/>
      <x v="8"/>
    </i>
    <i>
      <x v="1787"/>
      <x v="4"/>
      <x v="10"/>
    </i>
    <i r="2">
      <x v="4"/>
    </i>
    <i>
      <x v="1788"/>
      <x v="3"/>
      <x v="4"/>
    </i>
    <i>
      <x v="1789"/>
      <x v="1"/>
      <x v="3"/>
    </i>
    <i>
      <x v="1790"/>
      <x v="3"/>
      <x v="8"/>
    </i>
    <i r="2">
      <x v="4"/>
    </i>
    <i>
      <x v="1791"/>
      <x v="3"/>
      <x v="9"/>
    </i>
    <i>
      <x v="1792"/>
      <x v="3"/>
      <x v="9"/>
    </i>
    <i>
      <x v="1793"/>
      <x v="3"/>
      <x v="6"/>
    </i>
    <i>
      <x v="1794"/>
      <x v="3"/>
      <x v="10"/>
    </i>
    <i r="2">
      <x v="7"/>
    </i>
    <i r="1">
      <x v="5"/>
      <x v="10"/>
    </i>
    <i r="2">
      <x v="9"/>
    </i>
    <i r="2">
      <x v="5"/>
    </i>
    <i>
      <x v="1795"/>
      <x v="3"/>
      <x v="8"/>
    </i>
    <i r="1">
      <x v="5"/>
      <x v="5"/>
    </i>
    <i>
      <x v="1796"/>
      <x v="2"/>
      <x v="4"/>
    </i>
    <i>
      <x v="1797"/>
      <x v="2"/>
      <x v="2"/>
    </i>
    <i r="2">
      <x v="7"/>
    </i>
    <i>
      <x v="1798"/>
      <x v="2"/>
      <x/>
    </i>
    <i>
      <x v="1799"/>
      <x v="2"/>
      <x v="10"/>
    </i>
    <i r="2">
      <x v="1"/>
    </i>
    <i>
      <x v="1800"/>
      <x v="2"/>
      <x v="4"/>
    </i>
    <i>
      <x v="1801"/>
      <x v="5"/>
      <x v="5"/>
    </i>
    <i>
      <x v="1802"/>
      <x v="3"/>
      <x v="9"/>
    </i>
    <i r="2">
      <x v="2"/>
    </i>
    <i>
      <x v="1803"/>
      <x v="5"/>
      <x v="8"/>
    </i>
    <i r="2">
      <x v="5"/>
    </i>
    <i>
      <x v="1804"/>
      <x v="3"/>
      <x v="10"/>
    </i>
    <i r="2">
      <x v="9"/>
    </i>
    <i r="2">
      <x v="4"/>
    </i>
    <i r="1">
      <x/>
      <x v="1"/>
    </i>
    <i r="2">
      <x v="6"/>
    </i>
    <i>
      <x v="1805"/>
      <x v="4"/>
      <x/>
    </i>
    <i>
      <x v="1806"/>
      <x/>
      <x v="2"/>
    </i>
    <i r="2">
      <x v="6"/>
    </i>
    <i>
      <x v="1807"/>
      <x v="4"/>
      <x v="2"/>
    </i>
    <i>
      <x v="1808"/>
      <x v="1"/>
      <x v="4"/>
    </i>
    <i r="1">
      <x v="5"/>
      <x v="1"/>
    </i>
    <i r="2">
      <x v="4"/>
    </i>
    <i>
      <x v="1809"/>
      <x v="4"/>
      <x v="4"/>
    </i>
    <i>
      <x v="1810"/>
      <x v="3"/>
      <x v="4"/>
    </i>
    <i>
      <x v="1811"/>
      <x v="3"/>
      <x v="5"/>
    </i>
    <i>
      <x v="1812"/>
      <x v="3"/>
      <x v="6"/>
    </i>
    <i>
      <x v="1813"/>
      <x v="3"/>
      <x v="10"/>
    </i>
    <i r="2">
      <x/>
    </i>
    <i>
      <x v="1814"/>
      <x v="2"/>
      <x/>
    </i>
    <i>
      <x v="1815"/>
      <x v="1"/>
      <x v="10"/>
    </i>
    <i r="1">
      <x/>
      <x/>
    </i>
    <i>
      <x v="1816"/>
      <x v="3"/>
      <x v="10"/>
    </i>
    <i r="2">
      <x v="7"/>
    </i>
    <i>
      <x v="1817"/>
      <x v="3"/>
      <x v="5"/>
    </i>
    <i r="1">
      <x/>
      <x v="2"/>
    </i>
    <i>
      <x v="1818"/>
      <x v="3"/>
      <x v="7"/>
    </i>
    <i r="1">
      <x v="1"/>
      <x v="8"/>
    </i>
    <i r="1">
      <x v="5"/>
      <x v="7"/>
    </i>
    <i>
      <x v="1819"/>
      <x v="3"/>
      <x v="9"/>
    </i>
    <i>
      <x v="1820"/>
      <x v="3"/>
      <x v="6"/>
    </i>
    <i>
      <x v="1821"/>
      <x v="2"/>
      <x v="3"/>
    </i>
    <i>
      <x v="1822"/>
      <x v="5"/>
      <x v="10"/>
    </i>
    <i r="2">
      <x v="4"/>
    </i>
    <i r="2">
      <x/>
    </i>
    <i>
      <x v="1823"/>
      <x v="3"/>
      <x v="10"/>
    </i>
    <i r="2">
      <x v="5"/>
    </i>
    <i>
      <x v="1824"/>
      <x v="1"/>
      <x v="4"/>
    </i>
    <i>
      <x v="1825"/>
      <x v="3"/>
      <x v="10"/>
    </i>
    <i r="2">
      <x v="5"/>
    </i>
    <i>
      <x v="1826"/>
      <x v="1"/>
      <x v="1"/>
    </i>
    <i r="2">
      <x v="9"/>
    </i>
    <i>
      <x v="1827"/>
      <x v="3"/>
      <x v="10"/>
    </i>
    <i r="2">
      <x v="1"/>
    </i>
    <i r="2">
      <x v="6"/>
    </i>
    <i>
      <x v="1828"/>
      <x v="4"/>
      <x v="1"/>
    </i>
    <i>
      <x v="1829"/>
      <x v="5"/>
      <x v="7"/>
    </i>
    <i>
      <x v="1830"/>
      <x v="5"/>
      <x v="9"/>
    </i>
    <i>
      <x v="1831"/>
      <x v="1"/>
      <x v="10"/>
    </i>
    <i>
      <x v="1832"/>
      <x v="1"/>
      <x v="3"/>
    </i>
    <i>
      <x v="1833"/>
      <x v="1"/>
      <x v="1"/>
    </i>
    <i r="1">
      <x v="5"/>
      <x v="10"/>
    </i>
    <i>
      <x v="1834"/>
      <x v="5"/>
      <x v="8"/>
    </i>
    <i>
      <x v="1835"/>
      <x v="3"/>
      <x v="3"/>
    </i>
    <i>
      <x v="1836"/>
      <x v="3"/>
      <x v="10"/>
    </i>
    <i r="2">
      <x/>
    </i>
    <i>
      <x v="1837"/>
      <x v="3"/>
      <x v="3"/>
    </i>
    <i>
      <x v="1838"/>
      <x v="2"/>
      <x v="3"/>
    </i>
    <i r="2">
      <x v="2"/>
    </i>
    <i r="2">
      <x v="5"/>
    </i>
    <i>
      <x v="1839"/>
      <x v="2"/>
      <x v="4"/>
    </i>
    <i r="2">
      <x/>
    </i>
    <i>
      <x v="1840"/>
      <x/>
      <x v="3"/>
    </i>
    <i r="2">
      <x v="2"/>
    </i>
    <i>
      <x v="1841"/>
      <x v="5"/>
      <x v="2"/>
    </i>
    <i r="1">
      <x v="2"/>
      <x v="5"/>
    </i>
    <i>
      <x v="1842"/>
      <x v="5"/>
      <x v="3"/>
    </i>
    <i r="2">
      <x v="1"/>
    </i>
    <i r="2">
      <x v="4"/>
    </i>
    <i>
      <x v="1843"/>
      <x v="3"/>
      <x v="6"/>
    </i>
    <i r="1">
      <x v="2"/>
      <x v="2"/>
    </i>
    <i>
      <x v="1844"/>
      <x v="3"/>
      <x v="1"/>
    </i>
    <i>
      <x v="1845"/>
      <x v="5"/>
      <x v="5"/>
    </i>
    <i>
      <x v="1846"/>
      <x v="3"/>
      <x v="10"/>
    </i>
    <i r="1">
      <x v="5"/>
      <x v="5"/>
    </i>
    <i r="1">
      <x v="2"/>
      <x v="4"/>
    </i>
    <i>
      <x v="1847"/>
      <x v="2"/>
      <x v="2"/>
    </i>
    <i r="2">
      <x v="6"/>
    </i>
    <i>
      <x v="1848"/>
      <x v="2"/>
      <x v="9"/>
    </i>
    <i>
      <x v="1849"/>
      <x v="2"/>
      <x/>
    </i>
    <i>
      <x v="1850"/>
      <x v="2"/>
      <x v="3"/>
    </i>
    <i r="2">
      <x v="6"/>
    </i>
    <i>
      <x v="1851"/>
      <x/>
      <x v="8"/>
    </i>
    <i>
      <x v="1852"/>
      <x v="2"/>
      <x v="9"/>
    </i>
    <i r="2">
      <x v="2"/>
    </i>
    <i>
      <x v="1853"/>
      <x v="2"/>
      <x v="10"/>
    </i>
    <i>
      <x v="1854"/>
      <x v="2"/>
      <x v="8"/>
    </i>
    <i>
      <x v="1855"/>
      <x v="2"/>
      <x v="3"/>
    </i>
    <i>
      <x v="1856"/>
      <x v="2"/>
      <x v="5"/>
    </i>
    <i r="2">
      <x v="6"/>
    </i>
    <i>
      <x v="1857"/>
      <x v="2"/>
      <x v="10"/>
    </i>
    <i>
      <x v="1858"/>
      <x/>
      <x v="4"/>
    </i>
    <i>
      <x v="1859"/>
      <x v="2"/>
      <x v="3"/>
    </i>
    <i>
      <x v="1860"/>
      <x v="5"/>
      <x v="1"/>
    </i>
    <i>
      <x v="1861"/>
      <x v="5"/>
      <x v="10"/>
    </i>
    <i>
      <x v="1862"/>
      <x v="5"/>
      <x v="1"/>
    </i>
    <i r="2">
      <x v="2"/>
    </i>
    <i>
      <x v="1863"/>
      <x v="5"/>
      <x v="9"/>
    </i>
    <i r="2">
      <x v="6"/>
    </i>
    <i>
      <x v="1864"/>
      <x v="3"/>
      <x v="8"/>
    </i>
    <i r="1">
      <x v="5"/>
      <x v="3"/>
    </i>
    <i r="2">
      <x v="4"/>
    </i>
    <i r="2">
      <x/>
    </i>
    <i>
      <x v="1865"/>
      <x v="3"/>
      <x v="9"/>
    </i>
    <i r="2">
      <x v="6"/>
    </i>
    <i>
      <x v="1866"/>
      <x/>
      <x v="8"/>
    </i>
    <i>
      <x v="1867"/>
      <x/>
      <x v="6"/>
    </i>
    <i>
      <x v="1868"/>
      <x v="5"/>
      <x v="10"/>
    </i>
    <i r="2">
      <x v="3"/>
    </i>
    <i r="2">
      <x v="4"/>
    </i>
    <i>
      <x v="1869"/>
      <x v="1"/>
      <x v="5"/>
    </i>
    <i>
      <x v="1870"/>
      <x v="1"/>
      <x v="6"/>
    </i>
    <i>
      <x v="1871"/>
      <x v="5"/>
      <x v="3"/>
    </i>
    <i>
      <x v="1872"/>
      <x v="2"/>
      <x v="7"/>
    </i>
    <i>
      <x v="1873"/>
      <x v="1"/>
      <x v="6"/>
    </i>
    <i>
      <x v="1874"/>
      <x v="1"/>
      <x v="6"/>
    </i>
    <i>
      <x v="1875"/>
      <x v="4"/>
      <x v="4"/>
    </i>
    <i>
      <x v="1876"/>
      <x v="3"/>
      <x v="3"/>
    </i>
    <i r="2">
      <x v="6"/>
    </i>
    <i>
      <x v="1877"/>
      <x v="2"/>
      <x v="10"/>
    </i>
    <i>
      <x v="1878"/>
      <x v="5"/>
      <x v="10"/>
    </i>
    <i r="2">
      <x v="7"/>
    </i>
    <i r="2">
      <x v="6"/>
    </i>
    <i>
      <x v="1879"/>
      <x v="2"/>
      <x v="9"/>
    </i>
    <i>
      <x v="1880"/>
      <x v="4"/>
      <x v="9"/>
    </i>
    <i>
      <x v="1881"/>
      <x/>
      <x v="4"/>
    </i>
    <i r="1">
      <x v="4"/>
      <x v="9"/>
    </i>
    <i r="2">
      <x/>
    </i>
    <i>
      <x v="1882"/>
      <x v="4"/>
      <x v="6"/>
    </i>
    <i>
      <x v="1883"/>
      <x v="5"/>
      <x v="9"/>
    </i>
    <i>
      <x v="1884"/>
      <x/>
      <x v="5"/>
    </i>
    <i>
      <x v="1885"/>
      <x v="2"/>
      <x/>
    </i>
    <i>
      <x v="1886"/>
      <x v="3"/>
      <x/>
    </i>
    <i>
      <x v="1887"/>
      <x v="2"/>
      <x v="7"/>
    </i>
    <i r="2">
      <x v="6"/>
    </i>
    <i>
      <x v="1888"/>
      <x v="1"/>
      <x v="10"/>
    </i>
    <i r="1">
      <x v="2"/>
      <x v="7"/>
    </i>
    <i>
      <x v="1889"/>
      <x v="4"/>
      <x v="2"/>
    </i>
    <i>
      <x v="1890"/>
      <x v="5"/>
      <x v="3"/>
    </i>
    <i>
      <x v="1891"/>
      <x v="3"/>
      <x v="1"/>
    </i>
    <i>
      <x v="1892"/>
      <x v="5"/>
      <x/>
    </i>
    <i>
      <x v="1893"/>
      <x v="4"/>
      <x v="9"/>
    </i>
    <i>
      <x v="1894"/>
      <x v="3"/>
      <x v="5"/>
    </i>
    <i>
      <x v="1895"/>
      <x v="3"/>
      <x v="10"/>
    </i>
    <i r="2">
      <x v="1"/>
    </i>
    <i r="2">
      <x/>
    </i>
    <i>
      <x v="1896"/>
      <x v="5"/>
      <x/>
    </i>
    <i>
      <x v="1897"/>
      <x v="5"/>
      <x v="4"/>
    </i>
    <i>
      <x v="1898"/>
      <x v="5"/>
      <x v="1"/>
    </i>
    <i>
      <x v="1899"/>
      <x v="5"/>
      <x v="9"/>
    </i>
    <i>
      <x v="1900"/>
      <x v="3"/>
      <x v="8"/>
    </i>
    <i>
      <x v="1901"/>
      <x v="1"/>
      <x v="7"/>
    </i>
    <i r="1">
      <x v="2"/>
      <x v="1"/>
    </i>
    <i>
      <x v="1902"/>
      <x v="5"/>
      <x v="3"/>
    </i>
    <i>
      <x v="1903"/>
      <x v="2"/>
      <x v="9"/>
    </i>
    <i>
      <x v="1904"/>
      <x v="2"/>
      <x v="8"/>
    </i>
    <i>
      <x v="1905"/>
      <x v="2"/>
      <x v="8"/>
    </i>
    <i r="2">
      <x/>
    </i>
    <i>
      <x v="1906"/>
      <x v="2"/>
      <x v="9"/>
    </i>
    <i>
      <x v="1907"/>
      <x v="3"/>
      <x v="8"/>
    </i>
    <i r="2">
      <x v="5"/>
    </i>
    <i>
      <x v="1908"/>
      <x v="2"/>
      <x v="8"/>
    </i>
    <i>
      <x v="1909"/>
      <x v="5"/>
      <x v="6"/>
    </i>
    <i>
      <x v="1910"/>
      <x/>
      <x v="1"/>
    </i>
    <i r="2">
      <x v="9"/>
    </i>
    <i r="2">
      <x v="2"/>
    </i>
    <i>
      <x v="1911"/>
      <x v="2"/>
      <x v="3"/>
    </i>
    <i>
      <x v="1912"/>
      <x v="5"/>
      <x v="6"/>
    </i>
    <i>
      <x v="1913"/>
      <x v="5"/>
      <x v="1"/>
    </i>
    <i r="2">
      <x v="8"/>
    </i>
    <i>
      <x v="1914"/>
      <x v="3"/>
      <x v="7"/>
    </i>
    <i r="1">
      <x v="5"/>
      <x v="5"/>
    </i>
    <i r="1">
      <x v="2"/>
      <x/>
    </i>
    <i>
      <x v="1915"/>
      <x v="3"/>
      <x v="6"/>
    </i>
    <i>
      <x v="1916"/>
      <x v="1"/>
      <x v="9"/>
    </i>
    <i>
      <x v="1917"/>
      <x v="1"/>
      <x v="8"/>
    </i>
    <i>
      <x v="1918"/>
      <x v="4"/>
      <x v="3"/>
    </i>
    <i r="2">
      <x v="4"/>
    </i>
    <i>
      <x v="1919"/>
      <x v="2"/>
      <x v="8"/>
    </i>
    <i>
      <x v="1920"/>
      <x/>
      <x v="3"/>
    </i>
    <i>
      <x v="1921"/>
      <x v="2"/>
      <x v="2"/>
    </i>
    <i>
      <x v="1922"/>
      <x v="5"/>
      <x v="3"/>
    </i>
    <i>
      <x v="1923"/>
      <x v="5"/>
      <x v="2"/>
    </i>
    <i r="2">
      <x v="4"/>
    </i>
    <i>
      <x v="1924"/>
      <x v="5"/>
      <x v="1"/>
    </i>
    <i>
      <x v="1925"/>
      <x v="5"/>
      <x v="7"/>
    </i>
    <i r="1">
      <x v="4"/>
      <x v="6"/>
    </i>
    <i>
      <x v="1926"/>
      <x v="5"/>
      <x v="5"/>
    </i>
    <i>
      <x v="1927"/>
      <x v="2"/>
      <x v="1"/>
    </i>
    <i r="2">
      <x v="4"/>
    </i>
    <i>
      <x v="1928"/>
      <x v="5"/>
      <x v="8"/>
    </i>
    <i>
      <x v="1929"/>
      <x/>
      <x v="5"/>
    </i>
    <i r="2">
      <x v="7"/>
    </i>
    <i>
      <x v="1930"/>
      <x v="5"/>
      <x v="2"/>
    </i>
    <i>
      <x v="1931"/>
      <x v="5"/>
      <x v="8"/>
    </i>
    <i>
      <x v="1932"/>
      <x v="5"/>
      <x v="10"/>
    </i>
    <i r="2">
      <x v="9"/>
    </i>
    <i>
      <x v="1933"/>
      <x/>
      <x v="8"/>
    </i>
    <i r="2">
      <x v="5"/>
    </i>
    <i>
      <x v="1934"/>
      <x v="2"/>
      <x v="3"/>
    </i>
    <i>
      <x v="1935"/>
      <x/>
      <x v="3"/>
    </i>
    <i r="2">
      <x v="9"/>
    </i>
    <i>
      <x v="1936"/>
      <x v="5"/>
      <x/>
    </i>
    <i>
      <x v="1937"/>
      <x v="2"/>
      <x v="3"/>
    </i>
    <i>
      <x v="1938"/>
      <x v="2"/>
      <x v="3"/>
    </i>
    <i>
      <x v="1939"/>
      <x v="1"/>
      <x v="10"/>
    </i>
    <i r="2">
      <x v="2"/>
    </i>
    <i>
      <x v="1940"/>
      <x v="4"/>
      <x v="3"/>
    </i>
    <i>
      <x v="1941"/>
      <x v="2"/>
      <x v="7"/>
    </i>
    <i>
      <x v="1942"/>
      <x v="1"/>
      <x v="3"/>
    </i>
    <i r="2">
      <x v="6"/>
    </i>
    <i r="1">
      <x v="2"/>
      <x v="3"/>
    </i>
    <i>
      <x v="1943"/>
      <x v="4"/>
      <x v="8"/>
    </i>
    <i>
      <x v="1944"/>
      <x v="5"/>
      <x v="6"/>
    </i>
    <i>
      <x v="1945"/>
      <x v="2"/>
      <x v="6"/>
    </i>
    <i>
      <x v="1946"/>
      <x v="5"/>
      <x v="6"/>
    </i>
    <i>
      <x v="1947"/>
      <x v="2"/>
      <x v="1"/>
    </i>
    <i>
      <x v="1948"/>
      <x/>
      <x v="10"/>
    </i>
    <i>
      <x v="1949"/>
      <x v="5"/>
      <x v="6"/>
    </i>
    <i>
      <x v="1950"/>
      <x v="3"/>
      <x v="4"/>
    </i>
    <i>
      <x v="1951"/>
      <x v="3"/>
      <x v="9"/>
    </i>
    <i r="2">
      <x v="2"/>
    </i>
    <i r="2">
      <x v="8"/>
    </i>
    <i>
      <x v="1952"/>
      <x/>
      <x v="1"/>
    </i>
    <i>
      <x v="1953"/>
      <x/>
      <x v="8"/>
    </i>
    <i>
      <x v="1954"/>
      <x v="4"/>
      <x v="9"/>
    </i>
    <i r="2">
      <x v="6"/>
    </i>
    <i>
      <x v="1955"/>
      <x v="4"/>
      <x v="1"/>
    </i>
    <i>
      <x v="1956"/>
      <x v="2"/>
      <x v="1"/>
    </i>
    <i>
      <x v="1957"/>
      <x v="3"/>
      <x v="7"/>
    </i>
    <i>
      <x v="1958"/>
      <x v="1"/>
      <x v="7"/>
    </i>
    <i>
      <x v="1959"/>
      <x v="5"/>
      <x v="4"/>
    </i>
    <i r="2">
      <x v="5"/>
    </i>
    <i>
      <x v="1960"/>
      <x v="1"/>
      <x v="2"/>
    </i>
    <i r="1">
      <x v="2"/>
      <x v="3"/>
    </i>
    <i>
      <x v="1961"/>
      <x v="3"/>
      <x v="6"/>
    </i>
    <i>
      <x v="1962"/>
      <x v="4"/>
      <x v="9"/>
    </i>
    <i>
      <x v="1963"/>
      <x v="3"/>
      <x/>
    </i>
    <i>
      <x v="1964"/>
      <x v="3"/>
      <x v="1"/>
    </i>
    <i>
      <x v="1965"/>
      <x v="4"/>
      <x v="9"/>
    </i>
    <i r="2">
      <x v="2"/>
    </i>
    <i>
      <x v="1966"/>
      <x v="3"/>
      <x v="5"/>
    </i>
    <i>
      <x v="1967"/>
      <x v="3"/>
      <x v="9"/>
    </i>
    <i>
      <x v="1968"/>
      <x v="3"/>
      <x v="3"/>
    </i>
    <i>
      <x v="1969"/>
      <x v="1"/>
      <x v="4"/>
    </i>
    <i>
      <x v="1970"/>
      <x v="5"/>
      <x/>
    </i>
    <i>
      <x v="1971"/>
      <x v="2"/>
      <x v="10"/>
    </i>
    <i r="2">
      <x v="8"/>
    </i>
    <i>
      <x v="1972"/>
      <x/>
      <x v="3"/>
    </i>
    <i r="2">
      <x v="4"/>
    </i>
    <i>
      <x v="1973"/>
      <x v="3"/>
      <x v="3"/>
    </i>
    <i r="2">
      <x v="4"/>
    </i>
    <i>
      <x v="1974"/>
      <x v="4"/>
      <x/>
    </i>
    <i>
      <x v="1975"/>
      <x v="4"/>
      <x v="9"/>
    </i>
    <i>
      <x v="1976"/>
      <x v="2"/>
      <x v="10"/>
    </i>
    <i>
      <x v="1977"/>
      <x v="2"/>
      <x v="9"/>
    </i>
    <i>
      <x v="1978"/>
      <x v="1"/>
      <x v="2"/>
    </i>
    <i r="1">
      <x v="2"/>
      <x/>
    </i>
    <i>
      <x v="1979"/>
      <x v="1"/>
      <x v="10"/>
    </i>
    <i r="2">
      <x v="2"/>
    </i>
    <i>
      <x v="1980"/>
      <x v="1"/>
      <x v="9"/>
    </i>
    <i r="1">
      <x v="4"/>
      <x v="2"/>
    </i>
    <i>
      <x v="1981"/>
      <x v="3"/>
      <x/>
    </i>
    <i r="1">
      <x v="4"/>
      <x v="2"/>
    </i>
    <i>
      <x v="1982"/>
      <x v="3"/>
      <x v="2"/>
    </i>
    <i>
      <x v="1983"/>
      <x v="3"/>
      <x v="2"/>
    </i>
    <i r="1">
      <x v="5"/>
      <x v="4"/>
    </i>
    <i>
      <x v="1984"/>
      <x v="3"/>
      <x/>
    </i>
    <i>
      <x v="1985"/>
      <x v="4"/>
      <x v="3"/>
    </i>
    <i>
      <x v="1986"/>
      <x v="2"/>
      <x v="3"/>
    </i>
    <i r="2">
      <x v="9"/>
    </i>
    <i>
      <x v="1987"/>
      <x v="2"/>
      <x v="9"/>
    </i>
    <i>
      <x v="1988"/>
      <x v="2"/>
      <x v="3"/>
    </i>
    <i>
      <x v="1989"/>
      <x v="4"/>
      <x v="4"/>
    </i>
    <i>
      <x v="1990"/>
      <x v="4"/>
      <x v="3"/>
    </i>
    <i r="2">
      <x v="2"/>
    </i>
    <i>
      <x v="1991"/>
      <x v="4"/>
      <x v="10"/>
    </i>
    <i>
      <x v="1992"/>
      <x v="3"/>
      <x v="10"/>
    </i>
    <i r="2">
      <x v="3"/>
    </i>
    <i r="2">
      <x/>
    </i>
    <i>
      <x v="1993"/>
      <x v="5"/>
      <x v="3"/>
    </i>
    <i>
      <x v="1994"/>
      <x v="5"/>
      <x v="9"/>
    </i>
    <i r="2">
      <x v="6"/>
    </i>
    <i>
      <x v="1995"/>
      <x v="3"/>
      <x v="9"/>
    </i>
    <i>
      <x v="1996"/>
      <x v="4"/>
      <x v="5"/>
    </i>
    <i>
      <x v="1997"/>
      <x v="4"/>
      <x v="3"/>
    </i>
    <i>
      <x v="1998"/>
      <x v="1"/>
      <x v="3"/>
    </i>
    <i r="1">
      <x/>
      <x v="7"/>
    </i>
    <i>
      <x v="1999"/>
      <x v="3"/>
      <x v="1"/>
    </i>
    <i r="2">
      <x v="2"/>
    </i>
    <i>
      <x v="2000"/>
      <x/>
      <x v="2"/>
    </i>
    <i r="2">
      <x v="7"/>
    </i>
    <i>
      <x v="2001"/>
      <x/>
      <x v="9"/>
    </i>
    <i r="2">
      <x v="4"/>
    </i>
    <i>
      <x v="2002"/>
      <x/>
      <x/>
    </i>
    <i>
      <x v="2003"/>
      <x v="1"/>
      <x v="9"/>
    </i>
    <i>
      <x v="2004"/>
      <x/>
      <x v="2"/>
    </i>
    <i r="2">
      <x v="8"/>
    </i>
    <i>
      <x v="2005"/>
      <x/>
      <x v="7"/>
    </i>
    <i>
      <x v="2006"/>
      <x v="2"/>
      <x/>
    </i>
    <i>
      <x v="2007"/>
      <x v="5"/>
      <x v="3"/>
    </i>
    <i r="2">
      <x v="8"/>
    </i>
    <i>
      <x v="2008"/>
      <x v="3"/>
      <x v="10"/>
    </i>
    <i r="2">
      <x v="3"/>
    </i>
    <i r="2">
      <x v="5"/>
    </i>
    <i>
      <x v="2009"/>
      <x v="5"/>
      <x v="10"/>
    </i>
    <i>
      <x v="2010"/>
      <x v="3"/>
      <x v="2"/>
    </i>
    <i r="2">
      <x v="8"/>
    </i>
    <i r="2">
      <x v="4"/>
    </i>
    <i>
      <x v="2011"/>
      <x v="5"/>
      <x v="10"/>
    </i>
    <i r="2">
      <x v="4"/>
    </i>
    <i>
      <x v="2012"/>
      <x v="5"/>
      <x v="7"/>
    </i>
    <i r="1">
      <x v="4"/>
      <x v="9"/>
    </i>
    <i>
      <x v="2013"/>
      <x v="3"/>
      <x/>
    </i>
    <i>
      <x v="2014"/>
      <x v="3"/>
      <x v="1"/>
    </i>
    <i>
      <x v="2015"/>
      <x v="5"/>
      <x v="1"/>
    </i>
    <i>
      <x v="2016"/>
      <x v="2"/>
      <x v="8"/>
    </i>
    <i r="2">
      <x v="6"/>
    </i>
    <i>
      <x v="2017"/>
      <x/>
      <x v="9"/>
    </i>
    <i r="1">
      <x v="2"/>
      <x v="9"/>
    </i>
    <i>
      <x v="2018"/>
      <x v="5"/>
      <x v="9"/>
    </i>
    <i>
      <x v="2019"/>
      <x v="2"/>
      <x v="10"/>
    </i>
    <i>
      <x v="2020"/>
      <x/>
      <x v="3"/>
    </i>
    <i>
      <x v="2021"/>
      <x v="2"/>
      <x/>
    </i>
    <i>
      <x v="2022"/>
      <x v="2"/>
      <x v="8"/>
    </i>
    <i>
      <x v="2023"/>
      <x v="4"/>
      <x v="5"/>
    </i>
    <i r="2">
      <x/>
    </i>
    <i r="2">
      <x v="6"/>
    </i>
    <i>
      <x v="2024"/>
      <x v="1"/>
      <x v="6"/>
    </i>
    <i>
      <x v="2025"/>
      <x v="1"/>
      <x v="2"/>
    </i>
    <i>
      <x v="2026"/>
      <x v="1"/>
      <x v="7"/>
    </i>
    <i r="2">
      <x v="6"/>
    </i>
    <i>
      <x v="2027"/>
      <x v="4"/>
      <x/>
    </i>
    <i>
      <x v="2028"/>
      <x v="4"/>
      <x v="8"/>
    </i>
    <i>
      <x v="2029"/>
      <x v="4"/>
      <x v="1"/>
    </i>
    <i r="1">
      <x v="2"/>
      <x v="4"/>
    </i>
    <i>
      <x v="2030"/>
      <x v="2"/>
      <x v="9"/>
    </i>
    <i>
      <x v="2031"/>
      <x v="2"/>
      <x v="2"/>
    </i>
    <i r="2">
      <x v="7"/>
    </i>
    <i>
      <x v="2032"/>
      <x v="2"/>
      <x v="5"/>
    </i>
    <i r="2">
      <x v="7"/>
    </i>
    <i>
      <x v="2033"/>
      <x v="5"/>
      <x v="8"/>
    </i>
    <i r="1">
      <x v="2"/>
      <x v="7"/>
    </i>
    <i>
      <x v="2034"/>
      <x v="1"/>
      <x v="10"/>
    </i>
    <i r="1">
      <x/>
      <x v="9"/>
    </i>
    <i>
      <x v="2035"/>
      <x v="4"/>
      <x v="6"/>
    </i>
    <i>
      <x v="2036"/>
      <x v="5"/>
      <x/>
    </i>
    <i r="1">
      <x v="2"/>
      <x v="2"/>
    </i>
    <i>
      <x v="2037"/>
      <x v="3"/>
      <x v="1"/>
    </i>
    <i>
      <x v="2038"/>
      <x v="3"/>
      <x v="10"/>
    </i>
    <i>
      <x v="2039"/>
      <x v="3"/>
      <x v="8"/>
    </i>
    <i>
      <x v="2040"/>
      <x v="2"/>
      <x v="10"/>
    </i>
    <i>
      <x v="2041"/>
      <x/>
      <x v="7"/>
    </i>
    <i>
      <x v="2042"/>
      <x v="5"/>
      <x v="3"/>
    </i>
    <i>
      <x v="2043"/>
      <x v="5"/>
      <x v="3"/>
    </i>
    <i r="2">
      <x v="6"/>
    </i>
    <i>
      <x v="2044"/>
      <x v="5"/>
      <x v="5"/>
    </i>
    <i r="2">
      <x/>
    </i>
    <i r="2">
      <x v="7"/>
    </i>
    <i>
      <x v="2045"/>
      <x/>
      <x v="10"/>
    </i>
    <i>
      <x v="2046"/>
      <x/>
      <x v="3"/>
    </i>
    <i>
      <x v="2047"/>
      <x v="2"/>
      <x v="3"/>
    </i>
    <i>
      <x v="2048"/>
      <x v="2"/>
      <x v="2"/>
    </i>
    <i r="2">
      <x v="5"/>
    </i>
    <i>
      <x v="2049"/>
      <x v="2"/>
      <x v="1"/>
    </i>
    <i r="2">
      <x/>
    </i>
    <i>
      <x v="2050"/>
      <x/>
      <x v="2"/>
    </i>
    <i r="2">
      <x v="8"/>
    </i>
    <i>
      <x v="2051"/>
      <x v="4"/>
      <x v="1"/>
    </i>
    <i r="1">
      <x v="2"/>
      <x v="7"/>
    </i>
    <i>
      <x v="2052"/>
      <x v="5"/>
      <x v="9"/>
    </i>
    <i>
      <x v="2053"/>
      <x v="2"/>
      <x v="7"/>
    </i>
    <i>
      <x v="2054"/>
      <x v="5"/>
      <x/>
    </i>
    <i>
      <x v="2055"/>
      <x v="5"/>
      <x v="9"/>
    </i>
    <i r="2">
      <x v="7"/>
    </i>
    <i>
      <x v="2056"/>
      <x v="5"/>
      <x v="3"/>
    </i>
    <i r="2">
      <x v="4"/>
    </i>
    <i>
      <x v="2057"/>
      <x v="3"/>
      <x v="8"/>
    </i>
    <i>
      <x v="2058"/>
      <x v="5"/>
      <x v="9"/>
    </i>
    <i>
      <x v="2059"/>
      <x v="2"/>
      <x v="8"/>
    </i>
    <i>
      <x v="2060"/>
      <x v="2"/>
      <x v="10"/>
    </i>
    <i>
      <x v="2061"/>
      <x v="3"/>
      <x v="10"/>
    </i>
    <i r="2">
      <x v="8"/>
    </i>
    <i r="1">
      <x v="4"/>
      <x v="1"/>
    </i>
    <i r="2">
      <x v="4"/>
    </i>
    <i>
      <x v="2062"/>
      <x v="4"/>
      <x v="8"/>
    </i>
    <i>
      <x v="2063"/>
      <x v="3"/>
      <x v="2"/>
    </i>
    <i>
      <x v="2064"/>
      <x v="4"/>
      <x/>
    </i>
    <i>
      <x v="2065"/>
      <x v="2"/>
      <x v="3"/>
    </i>
    <i r="2">
      <x v="2"/>
    </i>
    <i r="2">
      <x v="6"/>
    </i>
    <i>
      <x v="2066"/>
      <x v="5"/>
      <x v="10"/>
    </i>
    <i>
      <x v="2067"/>
      <x v="2"/>
      <x v="8"/>
    </i>
    <i>
      <x v="2068"/>
      <x v="1"/>
      <x v="4"/>
    </i>
    <i>
      <x v="2069"/>
      <x v="3"/>
      <x v="1"/>
    </i>
    <i>
      <x v="2070"/>
      <x v="3"/>
      <x v="10"/>
    </i>
    <i r="2">
      <x v="2"/>
    </i>
    <i r="2">
      <x/>
    </i>
    <i>
      <x v="2071"/>
      <x v="3"/>
      <x v="9"/>
    </i>
    <i>
      <x v="2072"/>
      <x v="3"/>
      <x v="2"/>
    </i>
    <i r="2">
      <x v="5"/>
    </i>
    <i>
      <x v="2073"/>
      <x v="1"/>
      <x v="4"/>
    </i>
    <i>
      <x v="2074"/>
      <x/>
      <x v="9"/>
    </i>
    <i r="1">
      <x v="4"/>
      <x v="4"/>
    </i>
    <i>
      <x v="2075"/>
      <x/>
      <x v="9"/>
    </i>
    <i r="2">
      <x/>
    </i>
    <i>
      <x v="2076"/>
      <x v="4"/>
      <x v="5"/>
    </i>
    <i>
      <x v="2077"/>
      <x/>
      <x v="10"/>
    </i>
    <i>
      <x v="2078"/>
      <x v="1"/>
      <x/>
    </i>
    <i>
      <x v="2079"/>
      <x v="5"/>
      <x v="9"/>
    </i>
    <i>
      <x v="2080"/>
      <x v="5"/>
      <x/>
    </i>
    <i>
      <x v="2081"/>
      <x v="3"/>
      <x v="5"/>
    </i>
    <i>
      <x v="2082"/>
      <x v="5"/>
      <x v="8"/>
    </i>
    <i>
      <x v="2083"/>
      <x v="2"/>
      <x v="4"/>
    </i>
    <i>
      <x v="2084"/>
      <x v="2"/>
      <x v="2"/>
    </i>
    <i>
      <x v="2085"/>
      <x v="2"/>
      <x v="7"/>
    </i>
    <i>
      <x v="2086"/>
      <x v="1"/>
      <x v="8"/>
    </i>
    <i>
      <x v="2087"/>
      <x v="4"/>
      <x/>
    </i>
    <i>
      <x v="2088"/>
      <x v="3"/>
      <x v="1"/>
    </i>
    <i r="2">
      <x v="9"/>
    </i>
    <i>
      <x v="2089"/>
      <x v="4"/>
      <x v="10"/>
    </i>
    <i r="2">
      <x v="3"/>
    </i>
    <i r="2">
      <x v="2"/>
    </i>
    <i r="2">
      <x v="4"/>
    </i>
    <i>
      <x v="2090"/>
      <x v="3"/>
      <x v="10"/>
    </i>
    <i r="1">
      <x v="4"/>
      <x v="7"/>
    </i>
    <i>
      <x v="2091"/>
      <x v="4"/>
      <x v="3"/>
    </i>
    <i r="2">
      <x v="7"/>
    </i>
    <i>
      <x v="2092"/>
      <x v="3"/>
      <x v="3"/>
    </i>
    <i r="2">
      <x v="1"/>
    </i>
    <i r="1">
      <x v="5"/>
      <x v="1"/>
    </i>
    <i>
      <x v="2093"/>
      <x/>
      <x v="6"/>
    </i>
    <i r="1">
      <x v="2"/>
      <x v="5"/>
    </i>
    <i>
      <x v="2094"/>
      <x v="3"/>
      <x v="7"/>
    </i>
    <i r="1">
      <x v="4"/>
      <x v="2"/>
    </i>
    <i>
      <x v="2095"/>
      <x v="5"/>
      <x v="6"/>
    </i>
    <i r="1">
      <x v="2"/>
      <x v="6"/>
    </i>
    <i>
      <x v="2096"/>
      <x/>
      <x v="5"/>
    </i>
    <i>
      <x v="2097"/>
      <x v="1"/>
      <x v="8"/>
    </i>
    <i>
      <x v="2098"/>
      <x v="3"/>
      <x v="8"/>
    </i>
    <i>
      <x v="2099"/>
      <x v="1"/>
      <x v="1"/>
    </i>
    <i>
      <x v="2100"/>
      <x v="3"/>
      <x v="7"/>
    </i>
    <i r="2">
      <x v="6"/>
    </i>
    <i>
      <x v="2101"/>
      <x v="3"/>
      <x v="10"/>
    </i>
    <i r="2">
      <x v="9"/>
    </i>
    <i r="1">
      <x v="2"/>
      <x v="10"/>
    </i>
    <i>
      <x v="2102"/>
      <x v="2"/>
      <x v="9"/>
    </i>
    <i>
      <x v="2103"/>
      <x v="2"/>
      <x v="9"/>
    </i>
    <i>
      <x v="2104"/>
      <x v="2"/>
      <x v="1"/>
    </i>
    <i>
      <x v="2105"/>
      <x v="2"/>
      <x/>
    </i>
    <i r="2">
      <x v="6"/>
    </i>
    <i>
      <x v="2106"/>
      <x v="4"/>
      <x v="1"/>
    </i>
    <i>
      <x v="2107"/>
      <x v="4"/>
      <x v="1"/>
    </i>
    <i r="2">
      <x v="8"/>
    </i>
    <i>
      <x v="2108"/>
      <x v="3"/>
      <x/>
    </i>
    <i>
      <x v="2109"/>
      <x v="4"/>
      <x v="1"/>
    </i>
    <i>
      <x v="2110"/>
      <x v="3"/>
      <x v="9"/>
    </i>
    <i r="2">
      <x v="8"/>
    </i>
    <i r="2">
      <x v="4"/>
    </i>
    <i>
      <x v="2111"/>
      <x v="5"/>
      <x v="9"/>
    </i>
    <i>
      <x v="2112"/>
      <x v="1"/>
      <x v="1"/>
    </i>
    <i r="2">
      <x v="5"/>
    </i>
    <i>
      <x v="2113"/>
      <x v="4"/>
      <x v="3"/>
    </i>
    <i>
      <x v="2114"/>
      <x/>
      <x/>
    </i>
    <i>
      <x v="2115"/>
      <x v="4"/>
      <x v="9"/>
    </i>
    <i>
      <x v="2116"/>
      <x v="3"/>
      <x v="2"/>
    </i>
    <i>
      <x v="2117"/>
      <x/>
      <x v="3"/>
    </i>
    <i r="2">
      <x v="8"/>
    </i>
    <i>
      <x v="2118"/>
      <x v="3"/>
      <x v="9"/>
    </i>
    <i r="1">
      <x v="4"/>
      <x v="3"/>
    </i>
    <i r="2">
      <x/>
    </i>
    <i>
      <x v="2119"/>
      <x v="2"/>
      <x v="8"/>
    </i>
    <i>
      <x v="2120"/>
      <x v="3"/>
      <x v="6"/>
    </i>
    <i>
      <x v="2121"/>
      <x v="2"/>
      <x v="3"/>
    </i>
    <i>
      <x v="2122"/>
      <x v="4"/>
      <x v="2"/>
    </i>
    <i r="2">
      <x v="7"/>
    </i>
    <i>
      <x v="2123"/>
      <x v="3"/>
      <x/>
    </i>
    <i>
      <x v="2124"/>
      <x v="3"/>
      <x/>
    </i>
    <i>
      <x v="2125"/>
      <x v="3"/>
      <x v="2"/>
    </i>
    <i r="2">
      <x v="7"/>
    </i>
    <i>
      <x v="2126"/>
      <x v="3"/>
      <x v="1"/>
    </i>
    <i>
      <x v="2127"/>
      <x v="2"/>
      <x v="7"/>
    </i>
    <i>
      <x v="2128"/>
      <x v="1"/>
      <x v="4"/>
    </i>
    <i>
      <x v="2129"/>
      <x/>
      <x v="1"/>
    </i>
    <i>
      <x v="2130"/>
      <x v="2"/>
      <x v="7"/>
    </i>
    <i>
      <x v="2131"/>
      <x v="1"/>
      <x v="8"/>
    </i>
    <i>
      <x v="2132"/>
      <x v="4"/>
      <x v="8"/>
    </i>
    <i r="2">
      <x v="4"/>
    </i>
    <i>
      <x v="2133"/>
      <x v="4"/>
      <x/>
    </i>
    <i>
      <x v="2134"/>
      <x v="4"/>
      <x v="3"/>
    </i>
    <i r="2">
      <x v="2"/>
    </i>
    <i>
      <x v="2135"/>
      <x v="4"/>
      <x/>
    </i>
    <i>
      <x v="2136"/>
      <x v="4"/>
      <x v="3"/>
    </i>
    <i r="2">
      <x/>
    </i>
    <i>
      <x v="2137"/>
      <x v="5"/>
      <x v="9"/>
    </i>
    <i>
      <x v="2138"/>
      <x v="1"/>
      <x v="5"/>
    </i>
    <i>
      <x v="2139"/>
      <x v="4"/>
      <x v="10"/>
    </i>
    <i r="2">
      <x v="9"/>
    </i>
    <i r="2">
      <x/>
    </i>
    <i>
      <x v="2140"/>
      <x v="1"/>
      <x v="2"/>
    </i>
    <i>
      <x v="2141"/>
      <x v="5"/>
      <x/>
    </i>
    <i>
      <x v="2142"/>
      <x/>
      <x v="9"/>
    </i>
    <i r="1">
      <x v="5"/>
      <x v="8"/>
    </i>
    <i r="1">
      <x v="4"/>
      <x v="4"/>
    </i>
    <i>
      <x v="2143"/>
      <x/>
      <x v="5"/>
    </i>
    <i>
      <x v="2144"/>
      <x v="4"/>
      <x v="1"/>
    </i>
    <i>
      <x v="2145"/>
      <x v="2"/>
      <x v="7"/>
    </i>
    <i>
      <x v="2146"/>
      <x v="2"/>
      <x v="2"/>
    </i>
    <i>
      <x v="2147"/>
      <x v="4"/>
      <x v="1"/>
    </i>
    <i>
      <x v="2148"/>
      <x v="1"/>
      <x v="2"/>
    </i>
    <i>
      <x v="2149"/>
      <x v="1"/>
      <x v="1"/>
    </i>
    <i r="2">
      <x v="2"/>
    </i>
    <i r="2">
      <x v="8"/>
    </i>
    <i r="2">
      <x v="5"/>
    </i>
    <i>
      <x v="2150"/>
      <x v="4"/>
      <x v="7"/>
    </i>
    <i>
      <x v="2151"/>
      <x v="4"/>
      <x v="7"/>
    </i>
    <i>
      <x v="2152"/>
      <x v="2"/>
      <x v="2"/>
    </i>
    <i r="2">
      <x/>
    </i>
    <i>
      <x v="2153"/>
      <x v="4"/>
      <x/>
    </i>
    <i r="2">
      <x v="7"/>
    </i>
    <i>
      <x v="2154"/>
      <x v="3"/>
      <x v="9"/>
    </i>
    <i>
      <x v="2155"/>
      <x v="3"/>
      <x v="10"/>
    </i>
    <i>
      <x v="2156"/>
      <x v="5"/>
      <x v="5"/>
    </i>
    <i>
      <x v="2157"/>
      <x v="4"/>
      <x v="3"/>
    </i>
    <i r="2">
      <x v="1"/>
    </i>
    <i>
      <x v="2158"/>
      <x v="4"/>
      <x v="9"/>
    </i>
    <i r="2">
      <x/>
    </i>
    <i>
      <x v="2159"/>
      <x v="3"/>
      <x v="3"/>
    </i>
    <i>
      <x v="2160"/>
      <x v="5"/>
      <x v="1"/>
    </i>
    <i>
      <x v="2161"/>
      <x v="4"/>
      <x v="3"/>
    </i>
    <i r="2">
      <x v="5"/>
    </i>
    <i>
      <x v="2162"/>
      <x v="4"/>
      <x v="5"/>
    </i>
    <i>
      <x v="2163"/>
      <x v="4"/>
      <x/>
    </i>
    <i>
      <x v="2164"/>
      <x v="2"/>
      <x v="2"/>
    </i>
    <i>
      <x v="2165"/>
      <x v="2"/>
      <x v="3"/>
    </i>
    <i r="2">
      <x v="8"/>
    </i>
    <i>
      <x v="2166"/>
      <x v="3"/>
      <x v="9"/>
    </i>
    <i>
      <x v="2167"/>
      <x v="3"/>
      <x/>
    </i>
    <i>
      <x v="2168"/>
      <x/>
      <x v="1"/>
    </i>
    <i r="2">
      <x v="9"/>
    </i>
    <i r="1">
      <x v="5"/>
      <x v="6"/>
    </i>
    <i>
      <x v="2169"/>
      <x v="3"/>
      <x v="10"/>
    </i>
    <i r="2">
      <x v="5"/>
    </i>
    <i>
      <x v="2170"/>
      <x v="3"/>
      <x v="10"/>
    </i>
    <i r="2">
      <x v="9"/>
    </i>
    <i>
      <x v="2171"/>
      <x/>
      <x v="10"/>
    </i>
    <i>
      <x v="2172"/>
      <x v="4"/>
      <x v="1"/>
    </i>
    <i r="2">
      <x v="7"/>
    </i>
    <i r="1">
      <x v="2"/>
      <x v="1"/>
    </i>
    <i>
      <x v="2173"/>
      <x v="4"/>
      <x v="9"/>
    </i>
    <i>
      <x v="2174"/>
      <x v="5"/>
      <x v="10"/>
    </i>
    <i r="2">
      <x v="3"/>
    </i>
    <i r="2">
      <x v="9"/>
    </i>
    <i>
      <x v="2175"/>
      <x v="5"/>
      <x v="7"/>
    </i>
    <i>
      <x v="2176"/>
      <x v="2"/>
      <x v="9"/>
    </i>
    <i>
      <x v="2177"/>
      <x v="2"/>
      <x v="9"/>
    </i>
    <i>
      <x v="2178"/>
      <x v="3"/>
      <x v="3"/>
    </i>
    <i>
      <x v="2179"/>
      <x v="2"/>
      <x v="2"/>
    </i>
    <i>
      <x v="2180"/>
      <x v="2"/>
      <x v="10"/>
    </i>
    <i>
      <x v="2181"/>
      <x v="4"/>
      <x v="7"/>
    </i>
    <i>
      <x v="2182"/>
      <x v="4"/>
      <x v="5"/>
    </i>
    <i>
      <x v="2183"/>
      <x/>
      <x v="3"/>
    </i>
    <i>
      <x v="2184"/>
      <x v="4"/>
      <x v="7"/>
    </i>
    <i>
      <x v="2185"/>
      <x v="4"/>
      <x v="3"/>
    </i>
    <i r="2">
      <x v="4"/>
    </i>
    <i>
      <x v="2186"/>
      <x v="4"/>
      <x v="8"/>
    </i>
    <i r="2">
      <x v="5"/>
    </i>
    <i>
      <x v="2187"/>
      <x v="4"/>
      <x v="4"/>
    </i>
    <i r="1">
      <x v="2"/>
      <x v="4"/>
    </i>
    <i>
      <x v="2188"/>
      <x v="2"/>
      <x v="8"/>
    </i>
    <i>
      <x v="2189"/>
      <x/>
      <x v="10"/>
    </i>
    <i>
      <x v="2190"/>
      <x v="2"/>
      <x v="5"/>
    </i>
    <i>
      <x v="2191"/>
      <x v="1"/>
      <x v="8"/>
    </i>
    <i>
      <x v="2192"/>
      <x v="3"/>
      <x v="4"/>
    </i>
    <i>
      <x v="2193"/>
      <x v="3"/>
      <x v="3"/>
    </i>
    <i>
      <x v="2194"/>
      <x v="2"/>
      <x v="7"/>
    </i>
    <i>
      <x v="2195"/>
      <x v="3"/>
      <x v="8"/>
    </i>
    <i r="1">
      <x/>
      <x v="6"/>
    </i>
    <i r="1">
      <x v="4"/>
      <x v="2"/>
    </i>
    <i>
      <x v="2196"/>
      <x/>
      <x v="6"/>
    </i>
    <i>
      <x v="2197"/>
      <x v="1"/>
      <x v="8"/>
    </i>
    <i>
      <x v="2198"/>
      <x v="5"/>
      <x v="7"/>
    </i>
    <i>
      <x v="2199"/>
      <x v="2"/>
      <x/>
    </i>
    <i r="2">
      <x v="7"/>
    </i>
    <i>
      <x v="2200"/>
      <x v="2"/>
      <x v="10"/>
    </i>
    <i r="2">
      <x v="2"/>
    </i>
    <i>
      <x v="2201"/>
      <x v="3"/>
      <x v="9"/>
    </i>
    <i r="2">
      <x v="8"/>
    </i>
    <i>
      <x v="2202"/>
      <x/>
      <x v="10"/>
    </i>
    <i r="2">
      <x v="6"/>
    </i>
    <i>
      <x v="2203"/>
      <x v="2"/>
      <x v="1"/>
    </i>
    <i r="2">
      <x v="6"/>
    </i>
    <i>
      <x v="2204"/>
      <x v="1"/>
      <x/>
    </i>
    <i>
      <x v="2205"/>
      <x v="5"/>
      <x v="9"/>
    </i>
    <i r="2">
      <x v="5"/>
    </i>
    <i>
      <x v="2206"/>
      <x v="5"/>
      <x v="4"/>
    </i>
    <i>
      <x v="2207"/>
      <x v="2"/>
      <x v="6"/>
    </i>
    <i>
      <x v="2208"/>
      <x v="2"/>
      <x/>
    </i>
    <i>
      <x v="2209"/>
      <x v="3"/>
      <x v="1"/>
    </i>
    <i r="2">
      <x v="4"/>
    </i>
    <i>
      <x v="2210"/>
      <x v="4"/>
      <x v="9"/>
    </i>
    <i>
      <x v="2211"/>
      <x v="2"/>
      <x v="10"/>
    </i>
    <i>
      <x v="2212"/>
      <x v="3"/>
      <x v="9"/>
    </i>
    <i>
      <x v="2213"/>
      <x v="1"/>
      <x v="6"/>
    </i>
    <i r="1">
      <x/>
      <x v="10"/>
    </i>
    <i r="1">
      <x v="5"/>
      <x v="1"/>
    </i>
    <i r="1">
      <x v="2"/>
      <x v="6"/>
    </i>
    <i>
      <x v="2214"/>
      <x/>
      <x v="10"/>
    </i>
    <i r="2">
      <x v="5"/>
    </i>
    <i>
      <x v="2215"/>
      <x v="2"/>
      <x v="6"/>
    </i>
    <i>
      <x v="2216"/>
      <x v="1"/>
      <x v="9"/>
    </i>
    <i>
      <x v="2217"/>
      <x v="2"/>
      <x v="1"/>
    </i>
    <i r="2">
      <x v="9"/>
    </i>
    <i r="2">
      <x v="2"/>
    </i>
    <i>
      <x v="2218"/>
      <x v="2"/>
      <x v="3"/>
    </i>
    <i>
      <x v="2219"/>
      <x v="5"/>
      <x v="10"/>
    </i>
    <i r="2">
      <x v="5"/>
    </i>
    <i>
      <x v="2220"/>
      <x v="5"/>
      <x v="6"/>
    </i>
    <i>
      <x v="2221"/>
      <x v="5"/>
      <x v="6"/>
    </i>
    <i>
      <x v="2222"/>
      <x v="5"/>
      <x v="3"/>
    </i>
    <i>
      <x v="2223"/>
      <x v="1"/>
      <x v="8"/>
    </i>
    <i>
      <x v="2224"/>
      <x v="1"/>
      <x v="10"/>
    </i>
    <i>
      <x v="2225"/>
      <x v="1"/>
      <x v="6"/>
    </i>
    <i>
      <x v="2226"/>
      <x v="1"/>
      <x v="9"/>
    </i>
    <i>
      <x v="2227"/>
      <x v="1"/>
      <x v="5"/>
    </i>
    <i>
      <x v="2228"/>
      <x v="2"/>
      <x v="8"/>
    </i>
    <i r="2">
      <x/>
    </i>
    <i>
      <x v="2229"/>
      <x v="3"/>
      <x v="2"/>
    </i>
    <i>
      <x v="2230"/>
      <x v="2"/>
      <x v="4"/>
    </i>
    <i>
      <x v="2231"/>
      <x v="4"/>
      <x v="4"/>
    </i>
    <i>
      <x v="2232"/>
      <x v="1"/>
      <x v="8"/>
    </i>
    <i r="2">
      <x v="5"/>
    </i>
    <i>
      <x v="2233"/>
      <x v="1"/>
      <x v="4"/>
    </i>
    <i>
      <x v="2234"/>
      <x v="1"/>
      <x v="10"/>
    </i>
    <i>
      <x v="2235"/>
      <x v="1"/>
      <x v="6"/>
    </i>
    <i>
      <x v="2236"/>
      <x v="1"/>
      <x v="9"/>
    </i>
    <i r="2">
      <x v="5"/>
    </i>
    <i>
      <x v="2237"/>
      <x v="1"/>
      <x v="10"/>
    </i>
    <i r="2">
      <x v="4"/>
    </i>
    <i>
      <x v="2238"/>
      <x v="1"/>
      <x v="4"/>
    </i>
    <i>
      <x v="2239"/>
      <x v="2"/>
      <x v="10"/>
    </i>
    <i r="2">
      <x v="1"/>
    </i>
    <i>
      <x v="2240"/>
      <x v="3"/>
      <x/>
    </i>
    <i>
      <x v="2241"/>
      <x/>
      <x v="1"/>
    </i>
    <i>
      <x v="2242"/>
      <x v="3"/>
      <x v="3"/>
    </i>
    <i r="2">
      <x v="1"/>
    </i>
    <i>
      <x v="2243"/>
      <x v="5"/>
      <x v="10"/>
    </i>
    <i r="2">
      <x v="9"/>
    </i>
    <i>
      <x v="2244"/>
      <x v="3"/>
      <x v="4"/>
    </i>
    <i>
      <x v="2245"/>
      <x v="3"/>
      <x v="9"/>
    </i>
    <i>
      <x v="2246"/>
      <x v="5"/>
      <x v="5"/>
    </i>
    <i r="2">
      <x v="6"/>
    </i>
    <i r="1">
      <x v="2"/>
      <x/>
    </i>
    <i>
      <x v="2247"/>
      <x/>
      <x v="2"/>
    </i>
    <i>
      <x v="2248"/>
      <x v="2"/>
      <x v="3"/>
    </i>
    <i>
      <x v="2249"/>
      <x v="2"/>
      <x/>
    </i>
    <i>
      <x v="2250"/>
      <x v="5"/>
      <x v="9"/>
    </i>
    <i r="1">
      <x v="2"/>
      <x/>
    </i>
    <i>
      <x v="2251"/>
      <x v="3"/>
      <x v="8"/>
    </i>
    <i r="2">
      <x v="7"/>
    </i>
    <i>
      <x v="2252"/>
      <x v="2"/>
      <x v="8"/>
    </i>
    <i r="2">
      <x/>
    </i>
    <i r="2">
      <x v="7"/>
    </i>
    <i>
      <x v="2253"/>
      <x v="3"/>
      <x v="9"/>
    </i>
    <i>
      <x v="2254"/>
      <x v="3"/>
      <x v="10"/>
    </i>
    <i>
      <x v="2255"/>
      <x v="4"/>
      <x v="2"/>
    </i>
    <i r="2">
      <x v="4"/>
    </i>
    <i>
      <x v="2256"/>
      <x/>
      <x v="10"/>
    </i>
    <i r="2">
      <x v="3"/>
    </i>
    <i>
      <x v="2257"/>
      <x v="3"/>
      <x v="2"/>
    </i>
    <i r="1">
      <x v="4"/>
      <x v="6"/>
    </i>
    <i>
      <x v="2258"/>
      <x v="4"/>
      <x v="8"/>
    </i>
    <i>
      <x v="2259"/>
      <x v="4"/>
      <x v="9"/>
    </i>
    <i>
      <x v="2260"/>
      <x v="3"/>
      <x v="2"/>
    </i>
    <i r="2">
      <x/>
    </i>
    <i>
      <x v="2261"/>
      <x v="2"/>
      <x v="7"/>
    </i>
    <i>
      <x v="2262"/>
      <x v="3"/>
      <x v="9"/>
    </i>
    <i>
      <x v="2263"/>
      <x v="3"/>
      <x v="2"/>
    </i>
    <i>
      <x v="2264"/>
      <x v="3"/>
      <x v="1"/>
    </i>
    <i r="2">
      <x v="2"/>
    </i>
    <i r="1">
      <x v="2"/>
      <x v="2"/>
    </i>
    <i>
      <x v="2265"/>
      <x v="5"/>
      <x v="10"/>
    </i>
    <i r="2">
      <x v="9"/>
    </i>
    <i r="2">
      <x v="8"/>
    </i>
    <i r="2">
      <x v="7"/>
    </i>
    <i>
      <x v="2266"/>
      <x v="1"/>
      <x v="7"/>
    </i>
    <i>
      <x v="2267"/>
      <x v="3"/>
      <x v="2"/>
    </i>
    <i>
      <x v="2268"/>
      <x v="4"/>
      <x v="9"/>
    </i>
    <i r="2">
      <x v="6"/>
    </i>
    <i>
      <x v="2269"/>
      <x v="4"/>
      <x v="9"/>
    </i>
    <i>
      <x v="2270"/>
      <x v="5"/>
      <x v="7"/>
    </i>
    <i r="2">
      <x v="6"/>
    </i>
    <i>
      <x v="2271"/>
      <x v="4"/>
      <x v="1"/>
    </i>
    <i>
      <x v="2272"/>
      <x v="1"/>
      <x v="2"/>
    </i>
    <i r="2">
      <x v="6"/>
    </i>
    <i>
      <x v="2273"/>
      <x/>
      <x v="5"/>
    </i>
    <i>
      <x v="2274"/>
      <x v="2"/>
      <x v="1"/>
    </i>
    <i r="2">
      <x v="2"/>
    </i>
    <i r="2">
      <x v="4"/>
    </i>
    <i r="2">
      <x v="7"/>
    </i>
    <i>
      <x v="2275"/>
      <x v="2"/>
      <x/>
    </i>
    <i>
      <x v="2276"/>
      <x v="2"/>
      <x v="1"/>
    </i>
    <i r="2">
      <x v="8"/>
    </i>
    <i>
      <x v="2277"/>
      <x v="5"/>
      <x v="10"/>
    </i>
    <i r="2">
      <x v="2"/>
    </i>
    <i>
      <x v="2278"/>
      <x v="5"/>
      <x/>
    </i>
    <i>
      <x v="2279"/>
      <x v="2"/>
      <x v="8"/>
    </i>
    <i>
      <x v="2280"/>
      <x v="4"/>
      <x v="1"/>
    </i>
    <i>
      <x v="2281"/>
      <x v="5"/>
      <x v="8"/>
    </i>
    <i r="2">
      <x v="6"/>
    </i>
    <i>
      <x v="2282"/>
      <x v="5"/>
      <x v="10"/>
    </i>
    <i r="2">
      <x/>
    </i>
    <i>
      <x v="2283"/>
      <x v="5"/>
      <x v="8"/>
    </i>
    <i>
      <x v="2284"/>
      <x v="3"/>
      <x v="5"/>
    </i>
    <i>
      <x v="2285"/>
      <x v="4"/>
      <x v="2"/>
    </i>
    <i r="2">
      <x v="4"/>
    </i>
    <i>
      <x v="2286"/>
      <x/>
      <x v="6"/>
    </i>
    <i>
      <x v="2287"/>
      <x v="3"/>
      <x v="8"/>
    </i>
    <i>
      <x v="2288"/>
      <x v="3"/>
      <x v="4"/>
    </i>
    <i>
      <x v="2289"/>
      <x v="3"/>
      <x v="9"/>
    </i>
    <i>
      <x v="2290"/>
      <x v="1"/>
      <x v="5"/>
    </i>
    <i>
      <x v="2291"/>
      <x v="2"/>
      <x/>
    </i>
    <i>
      <x v="2292"/>
      <x/>
      <x v="4"/>
    </i>
    <i r="2">
      <x/>
    </i>
    <i r="2">
      <x v="7"/>
    </i>
    <i>
      <x v="2293"/>
      <x v="1"/>
      <x v="8"/>
    </i>
    <i>
      <x v="2294"/>
      <x v="5"/>
      <x v="1"/>
    </i>
    <i>
      <x v="2295"/>
      <x v="4"/>
      <x v="10"/>
    </i>
    <i>
      <x v="2296"/>
      <x v="5"/>
      <x v="4"/>
    </i>
    <i>
      <x v="2297"/>
      <x v="5"/>
      <x v="2"/>
    </i>
    <i>
      <x v="2298"/>
      <x v="2"/>
      <x/>
    </i>
    <i>
      <x v="2299"/>
      <x/>
      <x v="4"/>
    </i>
    <i>
      <x v="2300"/>
      <x v="2"/>
      <x v="4"/>
    </i>
    <i r="2">
      <x/>
    </i>
    <i>
      <x v="2301"/>
      <x v="2"/>
      <x v="3"/>
    </i>
    <i>
      <x v="2302"/>
      <x/>
      <x v="5"/>
    </i>
    <i>
      <x v="2303"/>
      <x/>
      <x v="1"/>
    </i>
    <i r="2">
      <x v="2"/>
    </i>
    <i>
      <x v="2304"/>
      <x v="5"/>
      <x v="2"/>
    </i>
    <i>
      <x v="2305"/>
      <x v="5"/>
      <x v="8"/>
    </i>
    <i>
      <x v="2306"/>
      <x v="1"/>
      <x v="3"/>
    </i>
    <i>
      <x v="2307"/>
      <x v="1"/>
      <x v="8"/>
    </i>
    <i>
      <x v="2308"/>
      <x v="2"/>
      <x v="5"/>
    </i>
    <i>
      <x v="2309"/>
      <x v="3"/>
      <x v="4"/>
    </i>
    <i r="1">
      <x v="2"/>
      <x v="5"/>
    </i>
    <i>
      <x v="2310"/>
      <x v="3"/>
      <x v="6"/>
    </i>
    <i>
      <x v="2311"/>
      <x v="4"/>
      <x v="1"/>
    </i>
    <i r="1">
      <x v="2"/>
      <x v="3"/>
    </i>
    <i r="2">
      <x v="7"/>
    </i>
    <i>
      <x v="2312"/>
      <x v="5"/>
      <x/>
    </i>
    <i>
      <x v="2313"/>
      <x v="5"/>
      <x v="4"/>
    </i>
    <i>
      <x v="2314"/>
      <x/>
      <x v="7"/>
    </i>
    <i>
      <x v="2315"/>
      <x/>
      <x v="3"/>
    </i>
    <i>
      <x v="2316"/>
      <x/>
      <x v="3"/>
    </i>
    <i r="2">
      <x v="4"/>
    </i>
    <i>
      <x v="2317"/>
      <x v="1"/>
      <x v="10"/>
    </i>
    <i>
      <x v="2318"/>
      <x v="1"/>
      <x v="3"/>
    </i>
    <i>
      <x v="2319"/>
      <x v="2"/>
      <x v="1"/>
    </i>
    <i r="2">
      <x v="4"/>
    </i>
    <i>
      <x v="2320"/>
      <x/>
      <x v="8"/>
    </i>
    <i>
      <x v="2321"/>
      <x/>
      <x v="9"/>
    </i>
    <i>
      <x v="2322"/>
      <x v="5"/>
      <x v="1"/>
    </i>
    <i r="1">
      <x v="2"/>
      <x v="1"/>
    </i>
    <i r="2">
      <x v="9"/>
    </i>
    <i>
      <x v="2323"/>
      <x v="5"/>
      <x v="6"/>
    </i>
    <i>
      <x v="2324"/>
      <x v="5"/>
      <x v="1"/>
    </i>
    <i r="2">
      <x v="9"/>
    </i>
    <i>
      <x v="2325"/>
      <x v="3"/>
      <x v="9"/>
    </i>
    <i>
      <x v="2326"/>
      <x v="3"/>
      <x v="8"/>
    </i>
    <i r="2">
      <x v="4"/>
    </i>
    <i>
      <x v="2327"/>
      <x v="2"/>
      <x/>
    </i>
    <i>
      <x v="2328"/>
      <x v="4"/>
      <x v="8"/>
    </i>
    <i>
      <x v="2329"/>
      <x v="4"/>
      <x v="1"/>
    </i>
    <i r="2">
      <x v="4"/>
    </i>
    <i>
      <x v="2330"/>
      <x v="1"/>
      <x/>
    </i>
    <i r="1">
      <x v="4"/>
      <x v="2"/>
    </i>
    <i>
      <x v="2331"/>
      <x v="1"/>
      <x v="7"/>
    </i>
    <i>
      <x v="2332"/>
      <x v="2"/>
      <x v="8"/>
    </i>
    <i>
      <x v="2333"/>
      <x v="2"/>
      <x v="10"/>
    </i>
    <i>
      <x v="2334"/>
      <x/>
      <x v="6"/>
    </i>
    <i>
      <x v="2335"/>
      <x v="3"/>
      <x v="8"/>
    </i>
    <i>
      <x v="2336"/>
      <x v="5"/>
      <x v="8"/>
    </i>
    <i>
      <x v="2337"/>
      <x v="3"/>
      <x v="8"/>
    </i>
    <i r="2">
      <x v="7"/>
    </i>
    <i r="2">
      <x v="6"/>
    </i>
    <i>
      <x v="2338"/>
      <x v="5"/>
      <x v="6"/>
    </i>
    <i>
      <x v="2339"/>
      <x v="4"/>
      <x v="8"/>
    </i>
    <i r="2">
      <x/>
    </i>
    <i>
      <x v="2340"/>
      <x v="3"/>
      <x v="2"/>
    </i>
    <i>
      <x v="2341"/>
      <x v="3"/>
      <x v="9"/>
    </i>
    <i>
      <x v="2342"/>
      <x v="3"/>
      <x v="10"/>
    </i>
    <i r="2">
      <x/>
    </i>
    <i r="2">
      <x v="6"/>
    </i>
    <i>
      <x v="2343"/>
      <x v="2"/>
      <x/>
    </i>
    <i>
      <x v="2344"/>
      <x v="2"/>
      <x v="10"/>
    </i>
    <i>
      <x v="2345"/>
      <x/>
      <x v="5"/>
    </i>
    <i>
      <x v="2346"/>
      <x v="3"/>
      <x v="10"/>
    </i>
    <i>
      <x v="2347"/>
      <x v="3"/>
      <x v="2"/>
    </i>
    <i>
      <x v="2348"/>
      <x/>
      <x v="7"/>
    </i>
    <i>
      <x v="2349"/>
      <x v="4"/>
      <x v="10"/>
    </i>
    <i>
      <x v="2350"/>
      <x v="4"/>
      <x v="8"/>
    </i>
    <i>
      <x v="2351"/>
      <x v="4"/>
      <x/>
    </i>
    <i>
      <x v="2352"/>
      <x v="1"/>
      <x v="3"/>
    </i>
    <i>
      <x v="2353"/>
      <x v="1"/>
      <x v="7"/>
    </i>
    <i>
      <x v="2354"/>
      <x v="1"/>
      <x v="1"/>
    </i>
    <i r="2">
      <x v="4"/>
    </i>
    <i r="2">
      <x v="5"/>
    </i>
    <i>
      <x v="2355"/>
      <x v="5"/>
      <x v="8"/>
    </i>
    <i>
      <x v="2356"/>
      <x v="1"/>
      <x v="8"/>
    </i>
    <i>
      <x v="2357"/>
      <x/>
      <x v="7"/>
    </i>
    <i r="2">
      <x v="6"/>
    </i>
    <i>
      <x v="2358"/>
      <x v="5"/>
      <x v="6"/>
    </i>
    <i>
      <x v="2359"/>
      <x/>
      <x v="3"/>
    </i>
    <i>
      <x v="2360"/>
      <x v="3"/>
      <x v="2"/>
    </i>
    <i>
      <x v="2361"/>
      <x v="3"/>
      <x v="1"/>
    </i>
    <i r="2">
      <x v="2"/>
    </i>
    <i>
      <x v="2362"/>
      <x v="3"/>
      <x v="7"/>
    </i>
    <i>
      <x v="2363"/>
      <x v="4"/>
      <x v="3"/>
    </i>
    <i>
      <x v="2364"/>
      <x v="4"/>
      <x v="10"/>
    </i>
    <i>
      <x v="2365"/>
      <x/>
      <x v="4"/>
    </i>
    <i>
      <x v="2366"/>
      <x/>
      <x/>
    </i>
    <i r="1">
      <x v="5"/>
      <x v="3"/>
    </i>
    <i>
      <x v="2367"/>
      <x/>
      <x v="3"/>
    </i>
    <i>
      <x v="2368"/>
      <x v="2"/>
      <x v="8"/>
    </i>
    <i>
      <x v="2369"/>
      <x v="2"/>
      <x v="9"/>
    </i>
    <i>
      <x v="2370"/>
      <x v="2"/>
      <x v="4"/>
    </i>
    <i>
      <x v="2371"/>
      <x v="5"/>
      <x v="7"/>
    </i>
    <i>
      <x v="2372"/>
      <x v="5"/>
      <x v="9"/>
    </i>
    <i>
      <x v="2373"/>
      <x v="2"/>
      <x v="10"/>
    </i>
    <i r="2">
      <x v="4"/>
    </i>
    <i r="2">
      <x v="7"/>
    </i>
    <i>
      <x v="2374"/>
      <x v="2"/>
      <x v="4"/>
    </i>
    <i>
      <x v="2375"/>
      <x v="5"/>
      <x v="10"/>
    </i>
    <i r="2">
      <x v="5"/>
    </i>
    <i>
      <x v="2376"/>
      <x/>
      <x v="10"/>
    </i>
    <i r="2">
      <x v="6"/>
    </i>
    <i>
      <x v="2377"/>
      <x/>
      <x v="10"/>
    </i>
    <i>
      <x v="2378"/>
      <x v="1"/>
      <x v="6"/>
    </i>
    <i r="1">
      <x v="5"/>
      <x v="1"/>
    </i>
    <i>
      <x v="2379"/>
      <x v="2"/>
      <x v="4"/>
    </i>
    <i>
      <x v="2380"/>
      <x v="2"/>
      <x v="2"/>
    </i>
    <i>
      <x v="2381"/>
      <x v="2"/>
      <x v="10"/>
    </i>
    <i>
      <x v="2382"/>
      <x v="3"/>
      <x v="3"/>
    </i>
    <i>
      <x v="2383"/>
      <x v="4"/>
      <x v="9"/>
    </i>
    <i r="2">
      <x v="4"/>
    </i>
    <i>
      <x v="2384"/>
      <x v="1"/>
      <x v="10"/>
    </i>
    <i>
      <x v="2385"/>
      <x v="4"/>
      <x v="3"/>
    </i>
    <i r="2">
      <x v="9"/>
    </i>
    <i r="2">
      <x/>
    </i>
    <i>
      <x v="2386"/>
      <x/>
      <x/>
    </i>
    <i>
      <x v="2387"/>
      <x v="2"/>
      <x v="5"/>
    </i>
    <i>
      <x v="2388"/>
      <x v="3"/>
      <x v="8"/>
    </i>
    <i>
      <x v="2389"/>
      <x/>
      <x v="5"/>
    </i>
    <i>
      <x v="2390"/>
      <x/>
      <x v="3"/>
    </i>
    <i>
      <x v="2391"/>
      <x v="1"/>
      <x v="10"/>
    </i>
    <i r="2">
      <x v="3"/>
    </i>
    <i>
      <x v="2392"/>
      <x v="1"/>
      <x v="3"/>
    </i>
    <i r="2">
      <x/>
    </i>
    <i>
      <x v="2393"/>
      <x v="3"/>
      <x v="2"/>
    </i>
    <i r="2">
      <x v="4"/>
    </i>
    <i>
      <x v="2394"/>
      <x v="3"/>
      <x v="4"/>
    </i>
    <i>
      <x v="2395"/>
      <x v="3"/>
      <x v="9"/>
    </i>
    <i>
      <x v="2396"/>
      <x v="4"/>
      <x v="5"/>
    </i>
    <i>
      <x v="2397"/>
      <x v="4"/>
      <x v="3"/>
    </i>
    <i>
      <x v="2398"/>
      <x v="4"/>
      <x v="3"/>
    </i>
    <i r="2">
      <x v="6"/>
    </i>
    <i>
      <x v="2399"/>
      <x v="4"/>
      <x v="1"/>
    </i>
    <i>
      <x v="2400"/>
      <x v="5"/>
      <x v="7"/>
    </i>
    <i r="1">
      <x v="4"/>
      <x v="5"/>
    </i>
    <i>
      <x v="2401"/>
      <x v="4"/>
      <x v="9"/>
    </i>
    <i r="2">
      <x/>
    </i>
    <i>
      <x v="2402"/>
      <x v="3"/>
      <x v="4"/>
    </i>
    <i>
      <x v="2403"/>
      <x/>
      <x v="2"/>
    </i>
    <i>
      <x v="2404"/>
      <x v="2"/>
      <x v="9"/>
    </i>
    <i>
      <x v="2405"/>
      <x v="2"/>
      <x v="5"/>
    </i>
    <i>
      <x v="2406"/>
      <x v="5"/>
      <x v="8"/>
    </i>
    <i>
      <x v="2407"/>
      <x v="3"/>
      <x v="3"/>
    </i>
    <i>
      <x v="2408"/>
      <x v="2"/>
      <x v="10"/>
    </i>
    <i>
      <x v="2409"/>
      <x v="2"/>
      <x v="10"/>
    </i>
    <i r="2">
      <x v="2"/>
    </i>
    <i>
      <x v="2410"/>
      <x/>
      <x v="7"/>
    </i>
    <i>
      <x v="2411"/>
      <x v="3"/>
      <x v="1"/>
    </i>
    <i>
      <x v="2412"/>
      <x v="3"/>
      <x v="4"/>
    </i>
    <i>
      <x v="2413"/>
      <x v="1"/>
      <x v="3"/>
    </i>
    <i r="2">
      <x v="4"/>
    </i>
    <i>
      <x v="2414"/>
      <x v="5"/>
      <x v="7"/>
    </i>
    <i>
      <x v="2415"/>
      <x v="5"/>
      <x v="9"/>
    </i>
    <i>
      <x v="2416"/>
      <x v="5"/>
      <x/>
    </i>
    <i>
      <x v="2417"/>
      <x v="5"/>
      <x v="3"/>
    </i>
    <i r="2">
      <x v="4"/>
    </i>
    <i r="2">
      <x v="5"/>
    </i>
    <i>
      <x v="2418"/>
      <x v="2"/>
      <x v="2"/>
    </i>
    <i r="2">
      <x v="6"/>
    </i>
    <i>
      <x v="2419"/>
      <x v="5"/>
      <x v="4"/>
    </i>
    <i r="2">
      <x v="5"/>
    </i>
    <i>
      <x v="2420"/>
      <x v="5"/>
      <x v="3"/>
    </i>
    <i>
      <x v="2421"/>
      <x v="5"/>
      <x/>
    </i>
    <i>
      <x v="2422"/>
      <x/>
      <x v="1"/>
    </i>
    <i>
      <x v="2423"/>
      <x v="1"/>
      <x v="3"/>
    </i>
    <i>
      <x v="2424"/>
      <x v="2"/>
      <x v="1"/>
    </i>
    <i>
      <x v="2425"/>
      <x v="3"/>
      <x v="5"/>
    </i>
    <i>
      <x v="2426"/>
      <x v="3"/>
      <x v="8"/>
    </i>
    <i>
      <x v="2427"/>
      <x v="5"/>
      <x v="6"/>
    </i>
    <i>
      <x v="2428"/>
      <x v="5"/>
      <x v="3"/>
    </i>
    <i r="2">
      <x v="5"/>
    </i>
    <i>
      <x v="2429"/>
      <x v="5"/>
      <x v="4"/>
    </i>
    <i>
      <x v="2430"/>
      <x v="1"/>
      <x v="3"/>
    </i>
    <i r="2">
      <x v="2"/>
    </i>
    <i>
      <x v="2431"/>
      <x/>
      <x v="5"/>
    </i>
    <i>
      <x v="2432"/>
      <x/>
      <x v="9"/>
    </i>
    <i>
      <x v="2433"/>
      <x v="2"/>
      <x v="9"/>
    </i>
    <i>
      <x v="2434"/>
      <x v="3"/>
      <x v="1"/>
    </i>
    <i r="2">
      <x v="8"/>
    </i>
    <i r="1">
      <x/>
      <x v="10"/>
    </i>
    <i r="1">
      <x v="4"/>
      <x v="4"/>
    </i>
    <i>
      <x v="2435"/>
      <x v="3"/>
      <x v="8"/>
    </i>
    <i>
      <x v="2436"/>
      <x v="5"/>
      <x v="9"/>
    </i>
    <i>
      <x v="2437"/>
      <x/>
      <x v="7"/>
    </i>
    <i>
      <x v="2438"/>
      <x/>
      <x/>
    </i>
    <i>
      <x v="2439"/>
      <x v="3"/>
      <x v="10"/>
    </i>
    <i r="2">
      <x/>
    </i>
    <i r="2">
      <x v="7"/>
    </i>
    <i r="1">
      <x/>
      <x v="8"/>
    </i>
    <i>
      <x v="2440"/>
      <x v="2"/>
      <x v="7"/>
    </i>
    <i>
      <x v="2441"/>
      <x v="2"/>
      <x v="8"/>
    </i>
    <i>
      <x v="2442"/>
      <x v="2"/>
      <x v="1"/>
    </i>
    <i>
      <x v="2443"/>
      <x v="3"/>
      <x v="7"/>
    </i>
    <i>
      <x v="2444"/>
      <x v="2"/>
      <x/>
    </i>
    <i>
      <x v="2445"/>
      <x v="3"/>
      <x v="6"/>
    </i>
    <i>
      <x v="2446"/>
      <x v="2"/>
      <x v="1"/>
    </i>
    <i>
      <x v="2447"/>
      <x v="3"/>
      <x v="4"/>
    </i>
    <i>
      <x v="2448"/>
      <x v="4"/>
      <x/>
    </i>
    <i r="1">
      <x v="2"/>
      <x/>
    </i>
    <i>
      <x v="2449"/>
      <x v="3"/>
      <x v="5"/>
    </i>
    <i r="1">
      <x v="5"/>
      <x v="10"/>
    </i>
    <i r="2">
      <x v="1"/>
    </i>
    <i>
      <x v="2450"/>
      <x v="3"/>
      <x v="1"/>
    </i>
    <i r="1">
      <x v="5"/>
      <x v="5"/>
    </i>
    <i>
      <x v="2451"/>
      <x v="1"/>
      <x v="7"/>
    </i>
    <i>
      <x v="2452"/>
      <x v="2"/>
      <x v="2"/>
    </i>
    <i>
      <x v="2453"/>
      <x v="4"/>
      <x v="6"/>
    </i>
    <i>
      <x v="2454"/>
      <x v="1"/>
      <x/>
    </i>
    <i>
      <x v="2455"/>
      <x v="4"/>
      <x v="10"/>
    </i>
    <i r="2">
      <x v="7"/>
    </i>
    <i>
      <x v="2456"/>
      <x v="1"/>
      <x v="1"/>
    </i>
    <i r="2">
      <x v="7"/>
    </i>
    <i>
      <x v="2457"/>
      <x v="3"/>
      <x v="2"/>
    </i>
    <i>
      <x v="2458"/>
      <x v="3"/>
      <x/>
    </i>
    <i>
      <x v="2459"/>
      <x v="4"/>
      <x v="6"/>
    </i>
    <i>
      <x v="2460"/>
      <x v="2"/>
      <x v="4"/>
    </i>
    <i>
      <x v="2461"/>
      <x v="2"/>
      <x v="10"/>
    </i>
    <i>
      <x v="2462"/>
      <x v="3"/>
      <x v="10"/>
    </i>
    <i>
      <x v="2463"/>
      <x v="4"/>
      <x v="4"/>
    </i>
    <i>
      <x v="2464"/>
      <x v="2"/>
      <x v="8"/>
    </i>
    <i>
      <x v="2465"/>
      <x v="3"/>
      <x v="3"/>
    </i>
    <i>
      <x v="2466"/>
      <x v="3"/>
      <x v="1"/>
    </i>
    <i>
      <x v="2467"/>
      <x v="4"/>
      <x v="7"/>
    </i>
    <i>
      <x v="2468"/>
      <x v="5"/>
      <x v="9"/>
    </i>
    <i>
      <x v="2469"/>
      <x v="5"/>
      <x v="3"/>
    </i>
    <i r="2">
      <x v="1"/>
    </i>
    <i r="2">
      <x v="5"/>
    </i>
    <i>
      <x v="2470"/>
      <x v="5"/>
      <x v="9"/>
    </i>
    <i>
      <x v="2471"/>
      <x v="4"/>
      <x v="10"/>
    </i>
    <i r="2">
      <x v="6"/>
    </i>
    <i>
      <x v="2472"/>
      <x v="5"/>
      <x v="4"/>
    </i>
    <i r="2">
      <x v="7"/>
    </i>
    <i>
      <x v="2473"/>
      <x v="2"/>
      <x v="9"/>
    </i>
    <i r="2">
      <x v="6"/>
    </i>
    <i>
      <x v="2474"/>
      <x/>
      <x v="10"/>
    </i>
    <i r="2">
      <x/>
    </i>
    <i>
      <x v="2475"/>
      <x v="3"/>
      <x v="4"/>
    </i>
    <i r="2">
      <x/>
    </i>
    <i>
      <x v="2476"/>
      <x/>
      <x v="10"/>
    </i>
    <i r="2">
      <x v="5"/>
    </i>
    <i>
      <x v="2477"/>
      <x/>
      <x v="8"/>
    </i>
    <i>
      <x v="2478"/>
      <x v="5"/>
      <x v="3"/>
    </i>
    <i>
      <x v="2479"/>
      <x v="3"/>
      <x v="4"/>
    </i>
    <i>
      <x v="2480"/>
      <x v="3"/>
      <x v="3"/>
    </i>
    <i r="2">
      <x v="1"/>
    </i>
    <i r="1">
      <x v="2"/>
      <x v="5"/>
    </i>
    <i>
      <x v="2481"/>
      <x v="3"/>
      <x/>
    </i>
    <i>
      <x v="2482"/>
      <x v="3"/>
      <x v="10"/>
    </i>
    <i r="2">
      <x v="5"/>
    </i>
    <i r="2">
      <x v="7"/>
    </i>
    <i>
      <x v="2483"/>
      <x v="3"/>
      <x v="9"/>
    </i>
    <i>
      <x v="2484"/>
      <x/>
      <x/>
    </i>
    <i r="1">
      <x v="5"/>
      <x v="5"/>
    </i>
    <i>
      <x v="2485"/>
      <x v="3"/>
      <x v="9"/>
    </i>
    <i>
      <x v="2486"/>
      <x v="3"/>
      <x v="3"/>
    </i>
    <i>
      <x v="2487"/>
      <x v="2"/>
      <x v="8"/>
    </i>
    <i>
      <x v="2488"/>
      <x v="1"/>
      <x/>
    </i>
    <i r="1">
      <x v="2"/>
      <x v="8"/>
    </i>
    <i r="2">
      <x/>
    </i>
    <i>
      <x v="2489"/>
      <x v="2"/>
      <x/>
    </i>
    <i>
      <x v="2490"/>
      <x v="1"/>
      <x v="6"/>
    </i>
    <i r="1">
      <x v="4"/>
      <x v="6"/>
    </i>
    <i>
      <x v="2491"/>
      <x/>
      <x v="8"/>
    </i>
    <i r="2">
      <x v="4"/>
    </i>
    <i r="2">
      <x v="6"/>
    </i>
    <i r="1">
      <x v="5"/>
      <x v="9"/>
    </i>
    <i>
      <x v="2492"/>
      <x v="1"/>
      <x v="8"/>
    </i>
    <i>
      <x v="2493"/>
      <x v="3"/>
      <x v="3"/>
    </i>
    <i>
      <x v="2494"/>
      <x/>
      <x v="3"/>
    </i>
    <i r="2">
      <x v="6"/>
    </i>
    <i>
      <x v="2495"/>
      <x v="2"/>
      <x v="8"/>
    </i>
    <i>
      <x v="2496"/>
      <x/>
      <x v="1"/>
    </i>
    <i>
      <x v="2497"/>
      <x v="2"/>
      <x v="6"/>
    </i>
    <i>
      <x v="2498"/>
      <x v="1"/>
      <x/>
    </i>
    <i>
      <x v="2499"/>
      <x v="1"/>
      <x v="3"/>
    </i>
    <i r="2">
      <x v="5"/>
    </i>
    <i>
      <x v="2500"/>
      <x v="3"/>
      <x/>
    </i>
    <i>
      <x v="2501"/>
      <x v="3"/>
      <x v="8"/>
    </i>
    <i>
      <x v="2502"/>
      <x/>
      <x v="6"/>
    </i>
    <i>
      <x v="2503"/>
      <x v="5"/>
      <x/>
    </i>
    <i>
      <x v="2504"/>
      <x v="5"/>
      <x v="2"/>
    </i>
    <i r="2">
      <x v="4"/>
    </i>
    <i r="2">
      <x/>
    </i>
    <i r="2">
      <x v="7"/>
    </i>
    <i>
      <x v="2505"/>
      <x v="2"/>
      <x v="9"/>
    </i>
    <i>
      <x v="2506"/>
      <x/>
      <x v="2"/>
    </i>
    <i>
      <x v="2507"/>
      <x/>
      <x v="5"/>
    </i>
    <i r="2">
      <x v="6"/>
    </i>
    <i>
      <x v="2508"/>
      <x v="1"/>
      <x v="2"/>
    </i>
    <i>
      <x v="2509"/>
      <x v="1"/>
      <x v="8"/>
    </i>
    <i r="2">
      <x v="4"/>
    </i>
    <i>
      <x v="2510"/>
      <x v="1"/>
      <x/>
    </i>
    <i>
      <x v="2511"/>
      <x v="1"/>
      <x v="8"/>
    </i>
    <i>
      <x v="2512"/>
      <x v="2"/>
      <x v="6"/>
    </i>
    <i>
      <x v="2513"/>
      <x v="3"/>
      <x/>
    </i>
    <i r="2">
      <x v="6"/>
    </i>
    <i>
      <x v="2514"/>
      <x v="3"/>
      <x v="2"/>
    </i>
    <i>
      <x v="2515"/>
      <x v="3"/>
      <x v="3"/>
    </i>
    <i r="2">
      <x/>
    </i>
    <i>
      <x v="2516"/>
      <x v="5"/>
      <x v="7"/>
    </i>
    <i>
      <x v="2517"/>
      <x v="1"/>
      <x v="7"/>
    </i>
    <i>
      <x v="2518"/>
      <x v="3"/>
      <x v="10"/>
    </i>
    <i r="2">
      <x v="1"/>
    </i>
    <i r="1">
      <x v="5"/>
      <x v="2"/>
    </i>
    <i r="2">
      <x v="7"/>
    </i>
    <i>
      <x v="2519"/>
      <x v="1"/>
      <x v="3"/>
    </i>
    <i>
      <x v="2520"/>
      <x v="3"/>
      <x v="10"/>
    </i>
    <i>
      <x v="2521"/>
      <x v="5"/>
      <x v="10"/>
    </i>
    <i>
      <x v="2522"/>
      <x v="3"/>
      <x v="2"/>
    </i>
    <i r="2">
      <x v="4"/>
    </i>
    <i>
      <x v="2523"/>
      <x v="3"/>
      <x v="10"/>
    </i>
    <i r="2">
      <x v="2"/>
    </i>
    <i>
      <x v="2524"/>
      <x v="1"/>
      <x/>
    </i>
    <i r="1">
      <x v="4"/>
      <x v="5"/>
    </i>
    <i>
      <x v="2525"/>
      <x/>
      <x v="3"/>
    </i>
    <i>
      <x v="2526"/>
      <x v="3"/>
      <x v="4"/>
    </i>
    <i>
      <x v="2527"/>
      <x v="1"/>
      <x v="3"/>
    </i>
    <i>
      <x v="2528"/>
      <x/>
      <x v="6"/>
    </i>
    <i>
      <x v="2529"/>
      <x v="1"/>
      <x v="1"/>
    </i>
    <i r="2">
      <x v="2"/>
    </i>
    <i>
      <x v="2530"/>
      <x v="1"/>
      <x v="1"/>
    </i>
    <i>
      <x v="2531"/>
      <x v="5"/>
      <x v="10"/>
    </i>
    <i r="1">
      <x v="4"/>
      <x v="4"/>
    </i>
    <i>
      <x v="2532"/>
      <x v="4"/>
      <x v="2"/>
    </i>
    <i>
      <x v="2533"/>
      <x v="4"/>
      <x v="7"/>
    </i>
    <i>
      <x v="2534"/>
      <x v="5"/>
      <x v="3"/>
    </i>
    <i>
      <x v="2535"/>
      <x v="4"/>
      <x v="8"/>
    </i>
    <i r="2">
      <x v="5"/>
    </i>
    <i>
      <x v="2536"/>
      <x v="5"/>
      <x v="5"/>
    </i>
    <i>
      <x v="2537"/>
      <x v="2"/>
      <x v="8"/>
    </i>
    <i r="2">
      <x/>
    </i>
    <i>
      <x v="2538"/>
      <x v="2"/>
      <x v="10"/>
    </i>
    <i>
      <x v="2539"/>
      <x v="2"/>
      <x v="10"/>
    </i>
    <i>
      <x v="2540"/>
      <x v="2"/>
      <x v="6"/>
    </i>
    <i>
      <x v="2541"/>
      <x v="4"/>
      <x v="10"/>
    </i>
    <i r="2">
      <x v="3"/>
    </i>
    <i r="2">
      <x v="2"/>
    </i>
    <i>
      <x v="2542"/>
      <x/>
      <x v="2"/>
    </i>
    <i r="1">
      <x v="2"/>
      <x v="5"/>
    </i>
    <i r="2">
      <x v="6"/>
    </i>
    <i>
      <x v="2543"/>
      <x v="3"/>
      <x v="5"/>
    </i>
    <i>
      <x v="2544"/>
      <x v="4"/>
      <x v="2"/>
    </i>
    <i r="2">
      <x v="7"/>
    </i>
    <i>
      <x v="2545"/>
      <x v="4"/>
      <x/>
    </i>
    <i r="2">
      <x v="6"/>
    </i>
    <i>
      <x v="2546"/>
      <x/>
      <x v="10"/>
    </i>
    <i>
      <x v="2547"/>
      <x v="1"/>
      <x v="1"/>
    </i>
    <i>
      <x v="2548"/>
      <x v="3"/>
      <x v="1"/>
    </i>
    <i>
      <x v="2549"/>
      <x v="3"/>
      <x v="8"/>
    </i>
    <i>
      <x v="2550"/>
      <x v="2"/>
      <x v="3"/>
    </i>
    <i r="2">
      <x v="7"/>
    </i>
    <i>
      <x v="2551"/>
      <x v="3"/>
      <x v="5"/>
    </i>
    <i r="2">
      <x v="7"/>
    </i>
    <i>
      <x v="2552"/>
      <x v="3"/>
      <x v="10"/>
    </i>
    <i r="2">
      <x v="2"/>
    </i>
    <i>
      <x v="2553"/>
      <x v="2"/>
      <x v="5"/>
    </i>
    <i>
      <x v="2554"/>
      <x v="2"/>
      <x v="7"/>
    </i>
    <i>
      <x v="2555"/>
      <x v="2"/>
      <x v="7"/>
    </i>
    <i>
      <x v="2556"/>
      <x v="2"/>
      <x v="1"/>
    </i>
    <i>
      <x v="2557"/>
      <x v="5"/>
      <x v="1"/>
    </i>
    <i>
      <x v="2558"/>
      <x/>
      <x v="10"/>
    </i>
    <i>
      <x v="2559"/>
      <x v="2"/>
      <x v="9"/>
    </i>
    <i r="2">
      <x v="8"/>
    </i>
    <i r="2">
      <x v="4"/>
    </i>
    <i>
      <x v="2560"/>
      <x v="3"/>
      <x v="8"/>
    </i>
    <i r="2">
      <x v="4"/>
    </i>
    <i>
      <x v="2561"/>
      <x v="2"/>
      <x v="9"/>
    </i>
    <i r="2">
      <x v="4"/>
    </i>
    <i>
      <x v="2562"/>
      <x v="2"/>
      <x/>
    </i>
    <i>
      <x v="2563"/>
      <x v="3"/>
      <x v="9"/>
    </i>
    <i r="2">
      <x v="2"/>
    </i>
    <i r="1">
      <x v="2"/>
      <x/>
    </i>
    <i>
      <x v="2564"/>
      <x v="3"/>
      <x v="8"/>
    </i>
    <i r="1">
      <x v="2"/>
      <x v="3"/>
    </i>
    <i r="2">
      <x v="4"/>
    </i>
    <i r="2">
      <x v="5"/>
    </i>
    <i>
      <x v="2565"/>
      <x v="3"/>
      <x v="2"/>
    </i>
    <i r="2">
      <x/>
    </i>
    <i>
      <x v="2566"/>
      <x/>
      <x v="2"/>
    </i>
    <i r="1">
      <x v="5"/>
      <x v="3"/>
    </i>
    <i r="1">
      <x v="2"/>
      <x v="9"/>
    </i>
    <i>
      <x v="2567"/>
      <x/>
      <x v="9"/>
    </i>
    <i r="1">
      <x v="5"/>
      <x v="8"/>
    </i>
    <i>
      <x v="2568"/>
      <x v="4"/>
      <x v="1"/>
    </i>
    <i r="2">
      <x v="5"/>
    </i>
    <i r="2">
      <x v="6"/>
    </i>
    <i>
      <x v="2569"/>
      <x v="4"/>
      <x v="7"/>
    </i>
    <i>
      <x v="2570"/>
      <x v="3"/>
      <x v="9"/>
    </i>
    <i>
      <x v="2571"/>
      <x v="5"/>
      <x v="9"/>
    </i>
    <i r="2">
      <x v="7"/>
    </i>
    <i>
      <x v="2572"/>
      <x v="3"/>
      <x v="5"/>
    </i>
    <i>
      <x v="2573"/>
      <x v="4"/>
      <x v="9"/>
    </i>
    <i>
      <x v="2574"/>
      <x v="4"/>
      <x v="1"/>
    </i>
    <i>
      <x v="2575"/>
      <x v="5"/>
      <x v="4"/>
    </i>
    <i r="1">
      <x v="4"/>
      <x v="3"/>
    </i>
    <i r="2">
      <x v="2"/>
    </i>
    <i>
      <x v="2576"/>
      <x v="2"/>
      <x v="3"/>
    </i>
    <i r="2">
      <x v="9"/>
    </i>
    <i>
      <x v="2577"/>
      <x v="4"/>
      <x v="7"/>
    </i>
    <i>
      <x v="2578"/>
      <x v="5"/>
      <x v="1"/>
    </i>
    <i>
      <x v="2579"/>
      <x v="1"/>
      <x v="6"/>
    </i>
    <i>
      <x v="2580"/>
      <x v="4"/>
      <x v="7"/>
    </i>
    <i>
      <x v="2581"/>
      <x v="1"/>
      <x v="1"/>
    </i>
    <i>
      <x v="2582"/>
      <x v="2"/>
      <x v="2"/>
    </i>
    <i r="2">
      <x v="5"/>
    </i>
    <i>
      <x v="2583"/>
      <x v="5"/>
      <x v="7"/>
    </i>
    <i>
      <x v="2584"/>
      <x v="3"/>
      <x v="6"/>
    </i>
    <i>
      <x v="2585"/>
      <x v="2"/>
      <x v="4"/>
    </i>
    <i>
      <x v="2586"/>
      <x v="5"/>
      <x v="3"/>
    </i>
    <i>
      <x v="2587"/>
      <x/>
      <x v="3"/>
    </i>
    <i r="2">
      <x v="4"/>
    </i>
    <i>
      <x v="2588"/>
      <x v="2"/>
      <x v="9"/>
    </i>
    <i r="2">
      <x v="7"/>
    </i>
    <i>
      <x v="2589"/>
      <x v="2"/>
      <x v="6"/>
    </i>
    <i>
      <x v="2590"/>
      <x v="5"/>
      <x v="1"/>
    </i>
    <i r="2">
      <x v="7"/>
    </i>
    <i r="2">
      <x v="6"/>
    </i>
    <i>
      <x v="2591"/>
      <x v="3"/>
      <x v="9"/>
    </i>
    <i r="2">
      <x v="6"/>
    </i>
    <i>
      <x v="2592"/>
      <x v="5"/>
      <x v="4"/>
    </i>
    <i>
      <x v="2593"/>
      <x/>
      <x v="9"/>
    </i>
    <i>
      <x v="2594"/>
      <x/>
      <x v="4"/>
    </i>
    <i r="2">
      <x v="6"/>
    </i>
    <i>
      <x v="2595"/>
      <x/>
      <x v="6"/>
    </i>
    <i>
      <x v="2596"/>
      <x v="3"/>
      <x v="4"/>
    </i>
    <i r="2">
      <x v="7"/>
    </i>
    <i r="1">
      <x v="5"/>
      <x v="9"/>
    </i>
    <i>
      <x v="2597"/>
      <x v="4"/>
      <x v="2"/>
    </i>
    <i>
      <x v="2598"/>
      <x v="5"/>
      <x v="2"/>
    </i>
    <i r="2">
      <x v="8"/>
    </i>
    <i>
      <x v="2599"/>
      <x/>
      <x v="10"/>
    </i>
    <i r="1">
      <x v="5"/>
      <x/>
    </i>
    <i>
      <x v="2600"/>
      <x/>
      <x v="8"/>
    </i>
    <i r="2">
      <x v="5"/>
    </i>
    <i>
      <x v="2601"/>
      <x v="5"/>
      <x v="5"/>
    </i>
    <i>
      <x v="2602"/>
      <x v="1"/>
      <x v="3"/>
    </i>
    <i r="2">
      <x/>
    </i>
    <i>
      <x v="2603"/>
      <x/>
      <x v="3"/>
    </i>
    <i r="1">
      <x v="5"/>
      <x v="3"/>
    </i>
    <i r="2">
      <x/>
    </i>
    <i>
      <x v="2604"/>
      <x v="4"/>
      <x/>
    </i>
    <i>
      <x v="2605"/>
      <x v="5"/>
      <x v="4"/>
    </i>
    <i>
      <x v="2606"/>
      <x v="3"/>
      <x v="1"/>
    </i>
    <i r="2">
      <x v="2"/>
    </i>
    <i r="2">
      <x/>
    </i>
    <i r="1">
      <x/>
      <x v="2"/>
    </i>
    <i r="2">
      <x v="5"/>
    </i>
    <i>
      <x v="2607"/>
      <x/>
      <x v="5"/>
    </i>
    <i>
      <x v="2608"/>
      <x/>
      <x v="1"/>
    </i>
    <i>
      <x v="2609"/>
      <x v="3"/>
      <x v="10"/>
    </i>
    <i r="1">
      <x/>
      <x v="2"/>
    </i>
    <i>
      <x v="2610"/>
      <x/>
      <x/>
    </i>
    <i>
      <x v="2611"/>
      <x/>
      <x v="7"/>
    </i>
    <i>
      <x v="2612"/>
      <x v="3"/>
      <x v="1"/>
    </i>
    <i>
      <x v="2613"/>
      <x v="3"/>
      <x v="1"/>
    </i>
    <i>
      <x v="2614"/>
      <x v="3"/>
      <x v="2"/>
    </i>
    <i>
      <x v="2615"/>
      <x v="3"/>
      <x v="9"/>
    </i>
    <i r="2">
      <x v="4"/>
    </i>
    <i r="2">
      <x v="7"/>
    </i>
    <i>
      <x v="2616"/>
      <x v="2"/>
      <x v="3"/>
    </i>
    <i>
      <x v="2617"/>
      <x v="3"/>
      <x v="5"/>
    </i>
    <i>
      <x v="2618"/>
      <x v="5"/>
      <x v="3"/>
    </i>
    <i>
      <x v="2619"/>
      <x v="2"/>
      <x v="10"/>
    </i>
    <i>
      <x v="2620"/>
      <x v="2"/>
      <x v="9"/>
    </i>
    <i r="2">
      <x v="4"/>
    </i>
    <i>
      <x v="2621"/>
      <x v="4"/>
      <x v="3"/>
    </i>
    <i>
      <x v="2622"/>
      <x/>
      <x v="10"/>
    </i>
    <i>
      <x v="2623"/>
      <x v="4"/>
      <x v="8"/>
    </i>
    <i r="2">
      <x v="4"/>
    </i>
    <i r="2">
      <x/>
    </i>
    <i>
      <x v="2624"/>
      <x/>
      <x v="7"/>
    </i>
    <i>
      <x v="2625"/>
      <x v="2"/>
      <x v="10"/>
    </i>
    <i>
      <x v="2626"/>
      <x v="2"/>
      <x v="10"/>
    </i>
    <i>
      <x v="2627"/>
      <x v="2"/>
      <x v="8"/>
    </i>
    <i>
      <x v="2628"/>
      <x v="2"/>
      <x/>
    </i>
    <i r="2">
      <x v="7"/>
    </i>
    <i>
      <x v="2629"/>
      <x v="2"/>
      <x v="1"/>
    </i>
    <i>
      <x v="2630"/>
      <x v="1"/>
      <x v="5"/>
    </i>
    <i r="2">
      <x v="7"/>
    </i>
    <i r="1">
      <x v="2"/>
      <x v="6"/>
    </i>
    <i>
      <x v="2631"/>
      <x v="1"/>
      <x v="8"/>
    </i>
    <i>
      <x v="2632"/>
      <x v="1"/>
      <x v="1"/>
    </i>
    <i r="2">
      <x v="4"/>
    </i>
    <i r="2">
      <x/>
    </i>
    <i>
      <x v="2633"/>
      <x v="2"/>
      <x v="4"/>
    </i>
    <i>
      <x v="2634"/>
      <x v="5"/>
      <x v="9"/>
    </i>
    <i r="2">
      <x/>
    </i>
    <i r="2">
      <x v="7"/>
    </i>
    <i>
      <x v="2635"/>
      <x v="2"/>
      <x v="9"/>
    </i>
    <i>
      <x v="2636"/>
      <x v="3"/>
      <x v="6"/>
    </i>
    <i r="1">
      <x v="5"/>
      <x v="2"/>
    </i>
    <i>
      <x v="2637"/>
      <x v="4"/>
      <x v="10"/>
    </i>
    <i>
      <x v="2638"/>
      <x v="2"/>
      <x v="6"/>
    </i>
    <i>
      <x v="2639"/>
      <x v="4"/>
      <x v="8"/>
    </i>
    <i r="2">
      <x/>
    </i>
    <i>
      <x v="2640"/>
      <x v="4"/>
      <x v="7"/>
    </i>
    <i>
      <x v="2641"/>
      <x v="2"/>
      <x v="6"/>
    </i>
    <i>
      <x v="2642"/>
      <x v="5"/>
      <x v="7"/>
    </i>
    <i>
      <x v="2643"/>
      <x v="2"/>
      <x v="8"/>
    </i>
    <i>
      <x v="2644"/>
      <x v="5"/>
      <x v="5"/>
    </i>
    <i r="1">
      <x v="2"/>
      <x v="6"/>
    </i>
    <i>
      <x v="2645"/>
      <x/>
      <x v="3"/>
    </i>
    <i r="1">
      <x v="2"/>
      <x v="5"/>
    </i>
    <i>
      <x v="2646"/>
      <x v="4"/>
      <x v="2"/>
    </i>
    <i>
      <x v="2647"/>
      <x v="3"/>
      <x v="4"/>
    </i>
    <i r="2">
      <x v="5"/>
    </i>
    <i r="2">
      <x v="6"/>
    </i>
    <i>
      <x v="2648"/>
      <x v="4"/>
      <x v="1"/>
    </i>
    <i>
      <x v="2649"/>
      <x v="2"/>
      <x v="2"/>
    </i>
    <i r="2">
      <x v="4"/>
    </i>
    <i>
      <x v="2650"/>
      <x v="4"/>
      <x v="10"/>
    </i>
    <i>
      <x v="2651"/>
      <x v="3"/>
      <x v="4"/>
    </i>
    <i>
      <x v="2652"/>
      <x v="2"/>
      <x v="8"/>
    </i>
    <i r="2">
      <x v="6"/>
    </i>
    <i>
      <x v="2653"/>
      <x v="2"/>
      <x v="10"/>
    </i>
    <i r="2">
      <x/>
    </i>
    <i>
      <x v="2654"/>
      <x v="3"/>
      <x v="10"/>
    </i>
    <i r="2">
      <x v="8"/>
    </i>
    <i>
      <x v="2655"/>
      <x v="3"/>
      <x v="9"/>
    </i>
    <i r="2">
      <x v="7"/>
    </i>
    <i>
      <x v="2656"/>
      <x v="3"/>
      <x v="3"/>
    </i>
    <i>
      <x v="2657"/>
      <x v="3"/>
      <x v="9"/>
    </i>
    <i>
      <x v="2658"/>
      <x v="2"/>
      <x v="3"/>
    </i>
    <i r="2">
      <x v="4"/>
    </i>
    <i r="2">
      <x v="6"/>
    </i>
    <i>
      <x v="2659"/>
      <x v="3"/>
      <x v="7"/>
    </i>
    <i r="1">
      <x v="2"/>
      <x v="3"/>
    </i>
    <i>
      <x v="2660"/>
      <x v="5"/>
      <x v="5"/>
    </i>
    <i r="2">
      <x v="7"/>
    </i>
    <i>
      <x v="2661"/>
      <x v="3"/>
      <x v="9"/>
    </i>
    <i r="2">
      <x v="6"/>
    </i>
    <i r="1">
      <x v="5"/>
      <x v="9"/>
    </i>
    <i>
      <x v="2662"/>
      <x v="1"/>
      <x/>
    </i>
    <i>
      <x v="2663"/>
      <x v="2"/>
      <x v="3"/>
    </i>
    <i>
      <x v="2664"/>
      <x v="3"/>
      <x v="3"/>
    </i>
    <i>
      <x v="2665"/>
      <x v="3"/>
      <x v="7"/>
    </i>
    <i>
      <x v="2666"/>
      <x v="3"/>
      <x v="4"/>
    </i>
    <i>
      <x v="2667"/>
      <x v="3"/>
      <x v="6"/>
    </i>
    <i r="1">
      <x v="2"/>
      <x v="10"/>
    </i>
    <i>
      <x v="2668"/>
      <x/>
      <x v="6"/>
    </i>
    <i>
      <x v="2669"/>
      <x v="2"/>
      <x v="3"/>
    </i>
    <i r="2">
      <x/>
    </i>
    <i>
      <x v="2670"/>
      <x/>
      <x v="3"/>
    </i>
    <i r="2">
      <x v="2"/>
    </i>
    <i r="2">
      <x/>
    </i>
    <i>
      <x v="2671"/>
      <x/>
      <x v="10"/>
    </i>
    <i>
      <x v="2672"/>
      <x/>
      <x v="5"/>
    </i>
    <i>
      <x v="2673"/>
      <x/>
      <x v="7"/>
    </i>
    <i>
      <x v="2674"/>
      <x v="4"/>
      <x v="9"/>
    </i>
    <i r="1">
      <x v="2"/>
      <x v="3"/>
    </i>
    <i>
      <x v="2675"/>
      <x v="4"/>
      <x v="3"/>
    </i>
    <i>
      <x v="2676"/>
      <x/>
      <x v="1"/>
    </i>
    <i>
      <x v="2677"/>
      <x v="3"/>
      <x v="4"/>
    </i>
    <i r="1">
      <x/>
      <x v="2"/>
    </i>
    <i>
      <x v="2678"/>
      <x v="3"/>
      <x v="5"/>
    </i>
    <i r="2">
      <x v="7"/>
    </i>
    <i r="1">
      <x v="4"/>
      <x v="3"/>
    </i>
    <i>
      <x v="2679"/>
      <x v="3"/>
      <x v="3"/>
    </i>
    <i>
      <x v="2680"/>
      <x v="3"/>
      <x v="3"/>
    </i>
    <i>
      <x v="2681"/>
      <x v="5"/>
      <x v="3"/>
    </i>
    <i r="2">
      <x v="9"/>
    </i>
    <i>
      <x v="2682"/>
      <x v="4"/>
      <x v="4"/>
    </i>
    <i>
      <x v="2683"/>
      <x v="5"/>
      <x v="10"/>
    </i>
    <i r="2">
      <x/>
    </i>
    <i>
      <x v="2684"/>
      <x v="3"/>
      <x/>
    </i>
    <i>
      <x v="2685"/>
      <x/>
      <x v="2"/>
    </i>
    <i>
      <x v="2686"/>
      <x v="5"/>
      <x v="9"/>
    </i>
    <i r="2">
      <x/>
    </i>
    <i>
      <x v="2687"/>
      <x v="2"/>
      <x v="7"/>
    </i>
    <i>
      <x v="2688"/>
      <x/>
      <x v="10"/>
    </i>
    <i r="1">
      <x v="2"/>
      <x v="10"/>
    </i>
    <i>
      <x v="2689"/>
      <x v="2"/>
      <x v="10"/>
    </i>
    <i>
      <x v="2690"/>
      <x v="1"/>
      <x v="3"/>
    </i>
    <i r="2">
      <x v="8"/>
    </i>
    <i>
      <x v="2691"/>
      <x v="1"/>
      <x v="8"/>
    </i>
    <i>
      <x v="2692"/>
      <x v="5"/>
      <x v="2"/>
    </i>
    <i r="2">
      <x v="4"/>
    </i>
    <i>
      <x v="2693"/>
      <x v="5"/>
      <x v="9"/>
    </i>
    <i r="2">
      <x v="2"/>
    </i>
    <i>
      <x v="2694"/>
      <x v="5"/>
      <x v="10"/>
    </i>
    <i>
      <x v="2695"/>
      <x v="4"/>
      <x/>
    </i>
    <i r="2">
      <x v="6"/>
    </i>
    <i>
      <x v="2696"/>
      <x v="3"/>
      <x v="10"/>
    </i>
    <i r="2">
      <x v="1"/>
    </i>
    <i r="2">
      <x v="4"/>
    </i>
    <i>
      <x v="2697"/>
      <x v="3"/>
      <x v="2"/>
    </i>
    <i>
      <x v="2698"/>
      <x v="5"/>
      <x v="3"/>
    </i>
    <i>
      <x v="2699"/>
      <x v="2"/>
      <x v="7"/>
    </i>
    <i>
      <x v="2700"/>
      <x v="2"/>
      <x/>
    </i>
    <i>
      <x v="2701"/>
      <x/>
      <x v="9"/>
    </i>
    <i>
      <x v="2702"/>
      <x v="4"/>
      <x v="6"/>
    </i>
    <i>
      <x v="2703"/>
      <x v="3"/>
      <x v="6"/>
    </i>
    <i>
      <x v="2704"/>
      <x v="3"/>
      <x v="8"/>
    </i>
    <i>
      <x v="2705"/>
      <x v="4"/>
      <x v="6"/>
    </i>
    <i>
      <x v="2706"/>
      <x v="4"/>
      <x v="3"/>
    </i>
    <i r="2">
      <x v="1"/>
    </i>
    <i r="2">
      <x v="7"/>
    </i>
    <i>
      <x v="2707"/>
      <x v="1"/>
      <x v="7"/>
    </i>
    <i>
      <x v="2708"/>
      <x v="4"/>
      <x v="8"/>
    </i>
    <i>
      <x v="2709"/>
      <x v="1"/>
      <x v="10"/>
    </i>
    <i>
      <x v="2710"/>
      <x v="2"/>
      <x v="2"/>
    </i>
    <i>
      <x v="2711"/>
      <x/>
      <x v="6"/>
    </i>
    <i r="1">
      <x v="5"/>
      <x/>
    </i>
    <i>
      <x v="2712"/>
      <x v="5"/>
      <x v="6"/>
    </i>
    <i>
      <x v="2713"/>
      <x v="4"/>
      <x v="2"/>
    </i>
    <i>
      <x v="2714"/>
      <x v="4"/>
      <x v="9"/>
    </i>
    <i>
      <x v="2715"/>
      <x v="1"/>
      <x v="3"/>
    </i>
    <i>
      <x v="2716"/>
      <x v="1"/>
      <x v="2"/>
    </i>
    <i>
      <x v="2717"/>
      <x v="3"/>
      <x v="1"/>
    </i>
    <i r="2">
      <x/>
    </i>
    <i>
      <x v="2718"/>
      <x v="5"/>
      <x v="3"/>
    </i>
    <i>
      <x v="2719"/>
      <x v="3"/>
      <x v="2"/>
    </i>
    <i>
      <x v="2720"/>
      <x v="3"/>
      <x v="4"/>
    </i>
    <i>
      <x v="2721"/>
      <x v="5"/>
      <x v="5"/>
    </i>
    <i>
      <x v="2722"/>
      <x v="4"/>
      <x v="10"/>
    </i>
    <i>
      <x v="2723"/>
      <x v="4"/>
      <x v="6"/>
    </i>
    <i>
      <x v="2724"/>
      <x v="1"/>
      <x v="3"/>
    </i>
    <i r="2">
      <x v="4"/>
    </i>
    <i>
      <x v="2725"/>
      <x v="4"/>
      <x v="8"/>
    </i>
    <i r="2">
      <x/>
    </i>
    <i>
      <x v="2726"/>
      <x v="4"/>
      <x v="1"/>
    </i>
    <i r="2">
      <x v="5"/>
    </i>
    <i>
      <x v="2727"/>
      <x v="4"/>
      <x v="4"/>
    </i>
    <i>
      <x v="2728"/>
      <x/>
      <x v="8"/>
    </i>
    <i>
      <x v="2729"/>
      <x v="5"/>
      <x v="2"/>
    </i>
    <i r="2">
      <x v="4"/>
    </i>
    <i r="2">
      <x v="5"/>
    </i>
    <i>
      <x v="2730"/>
      <x v="3"/>
      <x v="10"/>
    </i>
    <i r="2">
      <x v="4"/>
    </i>
    <i>
      <x v="2731"/>
      <x v="1"/>
      <x v="10"/>
    </i>
    <i>
      <x v="2732"/>
      <x v="4"/>
      <x/>
    </i>
    <i>
      <x v="2733"/>
      <x v="3"/>
      <x v="10"/>
    </i>
    <i>
      <x v="2734"/>
      <x v="3"/>
      <x v="1"/>
    </i>
    <i r="2">
      <x v="6"/>
    </i>
    <i>
      <x v="2735"/>
      <x v="1"/>
      <x v="5"/>
    </i>
    <i>
      <x v="2736"/>
      <x/>
      <x v="8"/>
    </i>
    <i>
      <x v="2737"/>
      <x/>
      <x v="4"/>
    </i>
    <i>
      <x v="2738"/>
      <x v="3"/>
      <x v="3"/>
    </i>
    <i r="1">
      <x/>
      <x v="10"/>
    </i>
    <i r="2">
      <x v="2"/>
    </i>
    <i r="2">
      <x v="7"/>
    </i>
    <i>
      <x v="2739"/>
      <x/>
      <x v="4"/>
    </i>
    <i r="2">
      <x/>
    </i>
    <i>
      <x v="2740"/>
      <x/>
      <x v="5"/>
    </i>
    <i>
      <x v="2741"/>
      <x v="3"/>
      <x v="10"/>
    </i>
    <i>
      <x v="2742"/>
      <x v="2"/>
      <x v="8"/>
    </i>
    <i r="2">
      <x v="6"/>
    </i>
    <i>
      <x v="2743"/>
      <x v="4"/>
      <x/>
    </i>
    <i>
      <x v="2744"/>
      <x v="3"/>
      <x v="10"/>
    </i>
    <i r="1">
      <x v="4"/>
      <x v="6"/>
    </i>
    <i>
      <x v="2745"/>
      <x v="1"/>
      <x v="10"/>
    </i>
    <i>
      <x v="2746"/>
      <x v="2"/>
      <x v="3"/>
    </i>
    <i>
      <x v="2747"/>
      <x v="3"/>
      <x v="8"/>
    </i>
    <i>
      <x v="2748"/>
      <x v="5"/>
      <x v="7"/>
    </i>
    <i>
      <x v="2749"/>
      <x/>
      <x v="6"/>
    </i>
    <i r="1">
      <x v="2"/>
      <x v="10"/>
    </i>
    <i>
      <x v="2750"/>
      <x v="2"/>
      <x v="5"/>
    </i>
    <i>
      <x v="2751"/>
      <x v="3"/>
      <x v="7"/>
    </i>
    <i>
      <x v="2752"/>
      <x v="4"/>
      <x/>
    </i>
    <i>
      <x v="2753"/>
      <x v="4"/>
      <x v="2"/>
    </i>
    <i r="2">
      <x v="6"/>
    </i>
    <i>
      <x v="2754"/>
      <x/>
      <x v="3"/>
    </i>
    <i>
      <x v="2755"/>
      <x v="5"/>
      <x v="4"/>
    </i>
    <i r="2">
      <x v="7"/>
    </i>
    <i>
      <x v="2756"/>
      <x v="1"/>
      <x v="3"/>
    </i>
    <i>
      <x v="2757"/>
      <x v="1"/>
      <x v="9"/>
    </i>
    <i>
      <x v="2758"/>
      <x v="1"/>
      <x/>
    </i>
    <i r="2">
      <x v="7"/>
    </i>
    <i>
      <x v="2759"/>
      <x v="4"/>
      <x v="8"/>
    </i>
    <i>
      <x v="2760"/>
      <x/>
      <x v="8"/>
    </i>
    <i r="1">
      <x v="5"/>
      <x v="3"/>
    </i>
    <i r="2">
      <x/>
    </i>
    <i>
      <x v="2761"/>
      <x/>
      <x v="2"/>
    </i>
    <i>
      <x v="2762"/>
      <x/>
      <x v="3"/>
    </i>
    <i>
      <x v="2763"/>
      <x v="3"/>
      <x v="9"/>
    </i>
    <i>
      <x v="2764"/>
      <x v="3"/>
      <x v="6"/>
    </i>
    <i>
      <x v="2765"/>
      <x v="4"/>
      <x v="3"/>
    </i>
    <i r="2">
      <x v="2"/>
    </i>
    <i r="2">
      <x v="8"/>
    </i>
    <i r="2">
      <x v="7"/>
    </i>
    <i>
      <x v="2766"/>
      <x v="4"/>
      <x v="3"/>
    </i>
    <i>
      <x v="2767"/>
      <x v="5"/>
      <x v="5"/>
    </i>
    <i>
      <x v="2768"/>
      <x v="2"/>
      <x v="9"/>
    </i>
    <i>
      <x v="2769"/>
      <x v="5"/>
      <x v="5"/>
    </i>
    <i>
      <x v="2770"/>
      <x v="5"/>
      <x/>
    </i>
    <i>
      <x v="2771"/>
      <x v="5"/>
      <x v="10"/>
    </i>
    <i r="2">
      <x v="4"/>
    </i>
    <i>
      <x v="2772"/>
      <x v="3"/>
      <x v="2"/>
    </i>
    <i>
      <x v="2773"/>
      <x v="5"/>
      <x v="3"/>
    </i>
    <i>
      <x v="2774"/>
      <x v="5"/>
      <x v="9"/>
    </i>
    <i>
      <x v="2775"/>
      <x v="2"/>
      <x v="8"/>
    </i>
    <i>
      <x v="2776"/>
      <x v="2"/>
      <x v="3"/>
    </i>
    <i>
      <x v="2777"/>
      <x v="3"/>
      <x v="8"/>
    </i>
    <i>
      <x v="2778"/>
      <x v="5"/>
      <x v="3"/>
    </i>
    <i>
      <x v="2779"/>
      <x v="5"/>
      <x v="10"/>
    </i>
    <i>
      <x v="2780"/>
      <x v="5"/>
      <x v="8"/>
    </i>
    <i>
      <x v="2781"/>
      <x v="3"/>
      <x/>
    </i>
    <i>
      <x v="2782"/>
      <x v="3"/>
      <x v="5"/>
    </i>
    <i>
      <x v="2783"/>
      <x v="5"/>
      <x v="3"/>
    </i>
    <i>
      <x v="2784"/>
      <x v="3"/>
      <x v="4"/>
    </i>
    <i r="2">
      <x/>
    </i>
    <i>
      <x v="2785"/>
      <x v="3"/>
      <x v="1"/>
    </i>
    <i>
      <x v="2786"/>
      <x v="3"/>
      <x v="9"/>
    </i>
    <i>
      <x v="2787"/>
      <x/>
      <x v="9"/>
    </i>
    <i>
      <x v="2788"/>
      <x v="1"/>
      <x v="4"/>
    </i>
    <i>
      <x v="2789"/>
      <x v="5"/>
      <x v="2"/>
    </i>
    <i r="2">
      <x v="6"/>
    </i>
    <i>
      <x v="2790"/>
      <x v="4"/>
      <x/>
    </i>
    <i>
      <x v="2791"/>
      <x v="1"/>
      <x v="5"/>
    </i>
    <i r="2">
      <x/>
    </i>
    <i>
      <x v="2792"/>
      <x v="2"/>
      <x v="3"/>
    </i>
    <i>
      <x v="2793"/>
      <x v="2"/>
      <x v="1"/>
    </i>
    <i r="2">
      <x v="2"/>
    </i>
    <i>
      <x v="2794"/>
      <x v="1"/>
      <x v="1"/>
    </i>
    <i r="2">
      <x/>
    </i>
    <i>
      <x v="2795"/>
      <x v="2"/>
      <x v="2"/>
    </i>
    <i>
      <x v="2796"/>
      <x/>
      <x v="4"/>
    </i>
    <i r="1">
      <x v="2"/>
      <x v="6"/>
    </i>
    <i>
      <x v="2797"/>
      <x v="3"/>
      <x v="8"/>
    </i>
    <i>
      <x v="2798"/>
      <x/>
      <x v="5"/>
    </i>
    <i>
      <x v="2799"/>
      <x/>
      <x v="6"/>
    </i>
    <i>
      <x v="2800"/>
      <x/>
      <x v="4"/>
    </i>
    <i>
      <x v="2801"/>
      <x v="3"/>
      <x v="2"/>
    </i>
    <i>
      <x v="2802"/>
      <x v="3"/>
      <x v="10"/>
    </i>
    <i r="2">
      <x v="7"/>
    </i>
    <i>
      <x v="2803"/>
      <x v="5"/>
      <x v="10"/>
    </i>
    <i>
      <x v="2804"/>
      <x v="2"/>
      <x v="1"/>
    </i>
    <i>
      <x v="2805"/>
      <x v="3"/>
      <x/>
    </i>
    <i>
      <x v="2806"/>
      <x v="1"/>
      <x v="2"/>
    </i>
    <i>
      <x v="2807"/>
      <x v="5"/>
      <x v="10"/>
    </i>
    <i>
      <x v="2808"/>
      <x v="5"/>
      <x v="3"/>
    </i>
    <i>
      <x v="2809"/>
      <x v="2"/>
      <x v="9"/>
    </i>
    <i r="2">
      <x v="5"/>
    </i>
    <i>
      <x v="2810"/>
      <x v="3"/>
      <x v="9"/>
    </i>
    <i>
      <x v="2811"/>
      <x v="3"/>
      <x v="9"/>
    </i>
    <i r="1">
      <x v="2"/>
      <x v="8"/>
    </i>
    <i>
      <x v="2812"/>
      <x v="1"/>
      <x v="1"/>
    </i>
    <i r="1">
      <x v="2"/>
      <x v="8"/>
    </i>
    <i r="2">
      <x v="7"/>
    </i>
    <i>
      <x v="2813"/>
      <x v="4"/>
      <x v="3"/>
    </i>
    <i>
      <x v="2814"/>
      <x v="5"/>
      <x v="3"/>
    </i>
    <i>
      <x v="2815"/>
      <x v="3"/>
      <x v="3"/>
    </i>
    <i r="2">
      <x/>
    </i>
    <i>
      <x v="2816"/>
      <x/>
      <x v="6"/>
    </i>
    <i>
      <x v="2817"/>
      <x v="3"/>
      <x v="8"/>
    </i>
    <i>
      <x v="2818"/>
      <x v="5"/>
      <x v="9"/>
    </i>
    <i r="2">
      <x v="7"/>
    </i>
    <i>
      <x v="2819"/>
      <x/>
      <x v="1"/>
    </i>
    <i r="2">
      <x v="7"/>
    </i>
    <i>
      <x v="2820"/>
      <x v="3"/>
      <x v="7"/>
    </i>
    <i>
      <x v="2821"/>
      <x v="2"/>
      <x v="9"/>
    </i>
    <i r="2">
      <x v="7"/>
    </i>
    <i>
      <x v="2822"/>
      <x v="2"/>
      <x v="1"/>
    </i>
    <i>
      <x v="2823"/>
      <x/>
      <x v="8"/>
    </i>
    <i>
      <x v="2824"/>
      <x/>
      <x v="3"/>
    </i>
    <i>
      <x v="2825"/>
      <x v="3"/>
      <x v="7"/>
    </i>
    <i>
      <x v="2826"/>
      <x v="3"/>
      <x v="8"/>
    </i>
    <i>
      <x v="2827"/>
      <x v="4"/>
      <x v="8"/>
    </i>
    <i>
      <x v="2828"/>
      <x v="3"/>
      <x v="3"/>
    </i>
    <i r="2">
      <x v="5"/>
    </i>
    <i r="2">
      <x v="7"/>
    </i>
    <i>
      <x v="2829"/>
      <x v="4"/>
      <x v="3"/>
    </i>
    <i>
      <x v="2830"/>
      <x/>
      <x v="9"/>
    </i>
    <i>
      <x v="2831"/>
      <x v="1"/>
      <x v="4"/>
    </i>
    <i r="2">
      <x v="5"/>
    </i>
    <i>
      <x v="2832"/>
      <x v="5"/>
      <x/>
    </i>
    <i>
      <x v="2833"/>
      <x/>
      <x v="3"/>
    </i>
    <i>
      <x v="2834"/>
      <x v="3"/>
      <x v="2"/>
    </i>
    <i>
      <x v="2835"/>
      <x v="3"/>
      <x v="9"/>
    </i>
    <i r="2">
      <x v="7"/>
    </i>
    <i>
      <x v="2836"/>
      <x/>
      <x/>
    </i>
    <i>
      <x v="2837"/>
      <x v="1"/>
      <x v="3"/>
    </i>
    <i>
      <x v="2838"/>
      <x/>
      <x v="4"/>
    </i>
    <i>
      <x v="2839"/>
      <x v="4"/>
      <x v="5"/>
    </i>
    <i r="2">
      <x v="6"/>
    </i>
    <i>
      <x v="2840"/>
      <x/>
      <x v="4"/>
    </i>
    <i>
      <x v="2841"/>
      <x/>
      <x v="1"/>
    </i>
    <i r="2">
      <x v="7"/>
    </i>
    <i>
      <x v="2842"/>
      <x v="3"/>
      <x v="10"/>
    </i>
    <i>
      <x v="2843"/>
      <x v="3"/>
      <x v="2"/>
    </i>
    <i r="2">
      <x v="6"/>
    </i>
    <i>
      <x v="2844"/>
      <x v="5"/>
      <x v="5"/>
    </i>
    <i>
      <x v="2845"/>
      <x v="1"/>
      <x v="1"/>
    </i>
    <i>
      <x v="2846"/>
      <x v="4"/>
      <x v="2"/>
    </i>
    <i>
      <x v="2847"/>
      <x/>
      <x v="8"/>
    </i>
    <i>
      <x v="2848"/>
      <x v="3"/>
      <x v="7"/>
    </i>
    <i>
      <x v="2849"/>
      <x/>
      <x v="9"/>
    </i>
    <i r="2">
      <x v="8"/>
    </i>
    <i>
      <x v="2850"/>
      <x/>
      <x v="4"/>
    </i>
    <i>
      <x v="2851"/>
      <x v="1"/>
      <x v="2"/>
    </i>
    <i r="2">
      <x v="8"/>
    </i>
    <i>
      <x v="2852"/>
      <x v="5"/>
      <x v="8"/>
    </i>
    <i>
      <x v="2853"/>
      <x v="1"/>
      <x v="5"/>
    </i>
    <i>
      <x v="2854"/>
      <x/>
      <x v="1"/>
    </i>
    <i r="2">
      <x v="8"/>
    </i>
    <i>
      <x v="2855"/>
      <x v="3"/>
      <x v="4"/>
    </i>
    <i>
      <x v="2856"/>
      <x/>
      <x/>
    </i>
    <i r="2">
      <x v="7"/>
    </i>
    <i>
      <x v="2857"/>
      <x/>
      <x v="5"/>
    </i>
    <i>
      <x v="2858"/>
      <x/>
      <x v="8"/>
    </i>
    <i>
      <x v="2859"/>
      <x v="2"/>
      <x v="3"/>
    </i>
    <i>
      <x v="2860"/>
      <x v="3"/>
      <x v="3"/>
    </i>
    <i r="2">
      <x v="2"/>
    </i>
    <i r="2">
      <x v="7"/>
    </i>
    <i>
      <x v="2861"/>
      <x v="5"/>
      <x v="10"/>
    </i>
    <i>
      <x v="2862"/>
      <x v="2"/>
      <x v="3"/>
    </i>
    <i r="2">
      <x v="1"/>
    </i>
    <i>
      <x v="2863"/>
      <x/>
      <x v="7"/>
    </i>
    <i>
      <x v="2864"/>
      <x v="3"/>
      <x v="8"/>
    </i>
    <i>
      <x v="2865"/>
      <x v="3"/>
      <x v="3"/>
    </i>
    <i r="2">
      <x v="5"/>
    </i>
    <i>
      <x v="2866"/>
      <x/>
      <x v="6"/>
    </i>
    <i>
      <x v="2867"/>
      <x/>
      <x v="10"/>
    </i>
    <i>
      <x v="2868"/>
      <x/>
      <x v="2"/>
    </i>
    <i r="2">
      <x/>
    </i>
    <i>
      <x v="2869"/>
      <x v="5"/>
      <x v="9"/>
    </i>
    <i>
      <x v="2870"/>
      <x/>
      <x v="7"/>
    </i>
    <i>
      <x v="2871"/>
      <x v="3"/>
      <x v="6"/>
    </i>
    <i>
      <x v="2872"/>
      <x/>
      <x v="2"/>
    </i>
    <i>
      <x v="2873"/>
      <x/>
      <x v="7"/>
    </i>
    <i>
      <x v="2874"/>
      <x v="1"/>
      <x v="10"/>
    </i>
    <i>
      <x v="2875"/>
      <x/>
      <x/>
    </i>
    <i>
      <x v="2876"/>
      <x v="3"/>
      <x v="3"/>
    </i>
    <i>
      <x v="2877"/>
      <x v="3"/>
      <x v="5"/>
    </i>
    <i>
      <x v="2878"/>
      <x v="3"/>
      <x v="4"/>
    </i>
    <i>
      <x v="2879"/>
      <x/>
      <x v="3"/>
    </i>
    <i r="2">
      <x v="1"/>
    </i>
    <i r="2">
      <x v="7"/>
    </i>
    <i>
      <x v="2880"/>
      <x/>
      <x v="2"/>
    </i>
    <i>
      <x v="2881"/>
      <x v="4"/>
      <x v="10"/>
    </i>
    <i>
      <x v="2882"/>
      <x/>
      <x v="1"/>
    </i>
    <i r="2">
      <x v="9"/>
    </i>
    <i>
      <x v="2883"/>
      <x/>
      <x v="8"/>
    </i>
    <i>
      <x v="2884"/>
      <x v="4"/>
      <x v="10"/>
    </i>
    <i r="2">
      <x v="9"/>
    </i>
    <i>
      <x v="2885"/>
      <x v="2"/>
      <x v="9"/>
    </i>
    <i>
      <x v="2886"/>
      <x v="2"/>
      <x v="8"/>
    </i>
    <i>
      <x v="2887"/>
      <x v="3"/>
      <x v="1"/>
    </i>
    <i>
      <x v="2888"/>
      <x v="1"/>
      <x v="1"/>
    </i>
    <i>
      <x v="2889"/>
      <x v="2"/>
      <x/>
    </i>
    <i r="2">
      <x v="6"/>
    </i>
    <i>
      <x v="2890"/>
      <x v="3"/>
      <x/>
    </i>
    <i r="2">
      <x v="7"/>
    </i>
    <i>
      <x v="2891"/>
      <x/>
      <x v="7"/>
    </i>
    <i>
      <x v="2892"/>
      <x/>
      <x v="10"/>
    </i>
    <i r="2">
      <x v="2"/>
    </i>
    <i r="2">
      <x v="6"/>
    </i>
    <i>
      <x v="2893"/>
      <x/>
      <x v="5"/>
    </i>
    <i>
      <x v="2894"/>
      <x v="3"/>
      <x v="5"/>
    </i>
    <i r="2">
      <x/>
    </i>
    <i>
      <x v="2895"/>
      <x v="3"/>
      <x v="7"/>
    </i>
    <i>
      <x v="2896"/>
      <x/>
      <x v="4"/>
    </i>
    <i r="2">
      <x v="7"/>
    </i>
    <i>
      <x v="2897"/>
      <x/>
      <x v="3"/>
    </i>
    <i>
      <x v="2898"/>
      <x/>
      <x v="2"/>
    </i>
    <i r="2">
      <x v="4"/>
    </i>
    <i>
      <x v="2899"/>
      <x v="3"/>
      <x v="1"/>
    </i>
    <i>
      <x v="2900"/>
      <x v="4"/>
      <x v="10"/>
    </i>
    <i r="2">
      <x v="4"/>
    </i>
    <i>
      <x v="2901"/>
      <x v="3"/>
      <x v="8"/>
    </i>
    <i r="2">
      <x v="6"/>
    </i>
    <i>
      <x v="2902"/>
      <x v="4"/>
      <x v="9"/>
    </i>
    <i>
      <x v="2903"/>
      <x v="4"/>
      <x v="10"/>
    </i>
    <i r="2">
      <x v="6"/>
    </i>
    <i>
      <x v="2904"/>
      <x v="3"/>
      <x v="4"/>
    </i>
    <i>
      <x v="2905"/>
      <x/>
      <x v="9"/>
    </i>
    <i r="2">
      <x v="4"/>
    </i>
    <i>
      <x v="2906"/>
      <x v="3"/>
      <x v="9"/>
    </i>
    <i>
      <x v="2907"/>
      <x/>
      <x v="7"/>
    </i>
    <i>
      <x v="2908"/>
      <x v="4"/>
      <x v="5"/>
    </i>
    <i>
      <x v="2909"/>
      <x v="1"/>
      <x v="7"/>
    </i>
    <i>
      <x v="2910"/>
      <x v="4"/>
      <x v="6"/>
    </i>
    <i>
      <x v="2911"/>
      <x v="4"/>
      <x v="8"/>
    </i>
    <i>
      <x v="2912"/>
      <x v="2"/>
      <x v="4"/>
    </i>
    <i r="2">
      <x v="5"/>
    </i>
    <i>
      <x v="2913"/>
      <x v="3"/>
      <x v="1"/>
    </i>
    <i r="2">
      <x v="6"/>
    </i>
    <i>
      <x v="2914"/>
      <x v="2"/>
      <x v="10"/>
    </i>
    <i>
      <x v="2915"/>
      <x v="3"/>
      <x v="10"/>
    </i>
    <i>
      <x v="2916"/>
      <x v="4"/>
      <x v="6"/>
    </i>
    <i>
      <x v="2917"/>
      <x v="4"/>
      <x v="2"/>
    </i>
    <i>
      <x v="2918"/>
      <x v="3"/>
      <x v="3"/>
    </i>
    <i>
      <x v="2919"/>
      <x v="3"/>
      <x v="1"/>
    </i>
    <i r="2">
      <x v="6"/>
    </i>
    <i>
      <x v="2920"/>
      <x/>
      <x v="5"/>
    </i>
    <i>
      <x v="2921"/>
      <x/>
      <x v="5"/>
    </i>
    <i r="2">
      <x v="7"/>
    </i>
    <i>
      <x v="2922"/>
      <x/>
      <x v="3"/>
    </i>
    <i r="2">
      <x/>
    </i>
    <i>
      <x v="2923"/>
      <x v="5"/>
      <x v="4"/>
    </i>
    <i r="2">
      <x v="5"/>
    </i>
    <i r="2">
      <x v="6"/>
    </i>
    <i>
      <x v="2924"/>
      <x v="4"/>
      <x v="6"/>
    </i>
    <i>
      <x v="2925"/>
      <x/>
      <x v="1"/>
    </i>
    <i r="2">
      <x v="9"/>
    </i>
    <i r="2">
      <x v="6"/>
    </i>
    <i>
      <x v="2926"/>
      <x/>
      <x v="10"/>
    </i>
    <i r="2">
      <x v="5"/>
    </i>
    <i r="2">
      <x/>
    </i>
    <i>
      <x v="2927"/>
      <x/>
      <x v="7"/>
    </i>
    <i>
      <x v="2928"/>
      <x/>
      <x/>
    </i>
    <i>
      <x v="2929"/>
      <x v="3"/>
      <x v="1"/>
    </i>
    <i>
      <x v="2930"/>
      <x v="3"/>
      <x v="10"/>
    </i>
    <i>
      <x v="2931"/>
      <x/>
      <x v="3"/>
    </i>
    <i>
      <x v="2932"/>
      <x/>
      <x v="10"/>
    </i>
    <i>
      <x v="2933"/>
      <x v="1"/>
      <x v="5"/>
    </i>
    <i>
      <x v="2934"/>
      <x/>
      <x v="6"/>
    </i>
    <i>
      <x v="2935"/>
      <x/>
      <x v="8"/>
    </i>
    <i>
      <x v="2936"/>
      <x/>
      <x v="10"/>
    </i>
    <i r="2">
      <x/>
    </i>
    <i>
      <x v="2937"/>
      <x/>
      <x v="9"/>
    </i>
    <i>
      <x v="2938"/>
      <x/>
      <x v="3"/>
    </i>
    <i r="2">
      <x v="5"/>
    </i>
    <i>
      <x v="2939"/>
      <x v="3"/>
      <x v="10"/>
    </i>
    <i r="2">
      <x v="9"/>
    </i>
    <i>
      <x v="2940"/>
      <x v="3"/>
      <x v="6"/>
    </i>
    <i>
      <x v="2941"/>
      <x/>
      <x v="7"/>
    </i>
    <i>
      <x v="2942"/>
      <x v="4"/>
      <x v="2"/>
    </i>
    <i>
      <x v="2943"/>
      <x v="3"/>
      <x v="2"/>
    </i>
    <i>
      <x v="2944"/>
      <x/>
      <x v="8"/>
    </i>
    <i>
      <x v="2945"/>
      <x v="3"/>
      <x/>
    </i>
    <i>
      <x v="2946"/>
      <x v="3"/>
      <x v="1"/>
    </i>
    <i>
      <x v="2947"/>
      <x v="3"/>
      <x v="8"/>
    </i>
    <i>
      <x v="2948"/>
      <x v="4"/>
      <x v="5"/>
    </i>
    <i>
      <x v="2949"/>
      <x/>
      <x v="9"/>
    </i>
    <i r="2">
      <x v="7"/>
    </i>
    <i>
      <x v="2950"/>
      <x/>
      <x v="5"/>
    </i>
    <i>
      <x v="2951"/>
      <x v="3"/>
      <x v="5"/>
    </i>
    <i>
      <x v="2952"/>
      <x v="4"/>
      <x v="8"/>
    </i>
    <i>
      <x v="2953"/>
      <x v="2"/>
      <x v="10"/>
    </i>
    <i>
      <x v="2954"/>
      <x v="3"/>
      <x v="10"/>
    </i>
    <i r="2">
      <x v="6"/>
    </i>
    <i>
      <x v="2955"/>
      <x v="4"/>
      <x v="3"/>
    </i>
    <i r="2">
      <x v="9"/>
    </i>
    <i>
      <x v="2956"/>
      <x v="1"/>
      <x v="3"/>
    </i>
    <i r="2">
      <x v="8"/>
    </i>
    <i r="2">
      <x v="6"/>
    </i>
    <i>
      <x v="2957"/>
      <x v="3"/>
      <x v="4"/>
    </i>
    <i>
      <x v="2958"/>
      <x/>
      <x v="1"/>
    </i>
    <i>
      <x v="2959"/>
      <x v="3"/>
      <x v="9"/>
    </i>
    <i>
      <x v="2960"/>
      <x v="3"/>
      <x v="8"/>
    </i>
    <i>
      <x v="2961"/>
      <x/>
      <x/>
    </i>
    <i>
      <x v="2962"/>
      <x v="4"/>
      <x v="3"/>
    </i>
    <i>
      <x v="2963"/>
      <x/>
      <x/>
    </i>
    <i>
      <x v="2964"/>
      <x/>
      <x v="8"/>
    </i>
    <i>
      <x v="2965"/>
      <x v="5"/>
      <x v="7"/>
    </i>
    <i>
      <x v="2966"/>
      <x/>
      <x v="3"/>
    </i>
    <i>
      <x v="2967"/>
      <x v="3"/>
      <x v="10"/>
    </i>
    <i r="2">
      <x v="4"/>
    </i>
    <i>
      <x v="2968"/>
      <x/>
      <x v="10"/>
    </i>
    <i r="2">
      <x v="5"/>
    </i>
    <i>
      <x v="2969"/>
      <x/>
      <x v="3"/>
    </i>
    <i>
      <x v="2970"/>
      <x v="3"/>
      <x v="4"/>
    </i>
    <i>
      <x v="2971"/>
      <x/>
      <x/>
    </i>
    <i>
      <x v="2972"/>
      <x v="3"/>
      <x/>
    </i>
    <i>
      <x v="2973"/>
      <x/>
      <x v="9"/>
    </i>
    <i r="2">
      <x v="8"/>
    </i>
    <i>
      <x v="2974"/>
      <x v="2"/>
      <x v="4"/>
    </i>
    <i>
      <x v="2975"/>
      <x v="5"/>
      <x v="5"/>
    </i>
    <i>
      <x v="2976"/>
      <x/>
      <x v="10"/>
    </i>
    <i r="2">
      <x v="7"/>
    </i>
    <i>
      <x v="2977"/>
      <x v="3"/>
      <x v="3"/>
    </i>
    <i>
      <x v="2978"/>
      <x v="3"/>
      <x v="5"/>
    </i>
    <i>
      <x v="2979"/>
      <x/>
      <x v="2"/>
    </i>
    <i>
      <x v="2980"/>
      <x v="2"/>
      <x v="1"/>
    </i>
    <i>
      <x v="2981"/>
      <x v="3"/>
      <x v="10"/>
    </i>
    <i r="2">
      <x v="3"/>
    </i>
    <i r="2">
      <x v="7"/>
    </i>
    <i>
      <x v="2982"/>
      <x v="1"/>
      <x v="4"/>
    </i>
    <i>
      <x v="2983"/>
      <x v="3"/>
      <x v="3"/>
    </i>
    <i r="2">
      <x v="7"/>
    </i>
    <i>
      <x v="2984"/>
      <x v="4"/>
      <x v="1"/>
    </i>
    <i>
      <x v="2985"/>
      <x/>
      <x v="1"/>
    </i>
    <i r="2">
      <x v="7"/>
    </i>
    <i>
      <x v="2986"/>
      <x/>
      <x v="3"/>
    </i>
    <i>
      <x v="2987"/>
      <x v="3"/>
      <x v="10"/>
    </i>
    <i r="2">
      <x v="4"/>
    </i>
    <i>
      <x v="2988"/>
      <x v="1"/>
      <x v="1"/>
    </i>
    <i r="2">
      <x v="9"/>
    </i>
    <i r="2">
      <x v="2"/>
    </i>
    <i r="2">
      <x v="8"/>
    </i>
    <i>
      <x v="2989"/>
      <x v="1"/>
      <x v="1"/>
    </i>
    <i r="2">
      <x v="2"/>
    </i>
    <i r="2">
      <x v="8"/>
    </i>
    <i>
      <x v="2990"/>
      <x v="4"/>
      <x v="10"/>
    </i>
    <i r="2">
      <x v="5"/>
    </i>
    <i>
      <x v="2991"/>
      <x/>
      <x v="2"/>
    </i>
    <i r="1">
      <x v="5"/>
      <x v="2"/>
    </i>
    <i r="2">
      <x v="5"/>
    </i>
    <i r="2">
      <x v="7"/>
    </i>
    <i>
      <x v="2992"/>
      <x v="5"/>
      <x v="7"/>
    </i>
    <i>
      <x v="2993"/>
      <x v="3"/>
      <x v="8"/>
    </i>
    <i>
      <x v="2994"/>
      <x v="3"/>
      <x v="8"/>
    </i>
    <i>
      <x v="2995"/>
      <x/>
      <x v="3"/>
    </i>
    <i r="2">
      <x v="9"/>
    </i>
    <i>
      <x v="2996"/>
      <x/>
      <x v="6"/>
    </i>
    <i>
      <x v="2997"/>
      <x/>
      <x v="1"/>
    </i>
    <i>
      <x v="2998"/>
      <x/>
      <x v="8"/>
    </i>
    <i>
      <x v="2999"/>
      <x v="2"/>
      <x/>
    </i>
    <i>
      <x v="3000"/>
      <x v="4"/>
      <x v="2"/>
    </i>
    <i r="2">
      <x v="6"/>
    </i>
    <i>
      <x v="3001"/>
      <x v="5"/>
      <x v="2"/>
    </i>
    <i>
      <x v="3002"/>
      <x v="4"/>
      <x v="8"/>
    </i>
    <i r="2">
      <x v="7"/>
    </i>
    <i>
      <x v="3003"/>
      <x/>
      <x/>
    </i>
    <i r="2">
      <x v="7"/>
    </i>
    <i>
      <x v="3004"/>
      <x v="4"/>
      <x v="10"/>
    </i>
    <i>
      <x v="3005"/>
      <x v="4"/>
      <x v="10"/>
    </i>
    <i r="2">
      <x v="6"/>
    </i>
    <i>
      <x v="3006"/>
      <x/>
      <x v="7"/>
    </i>
    <i>
      <x v="3007"/>
      <x v="4"/>
      <x v="3"/>
    </i>
    <i r="2">
      <x v="4"/>
    </i>
    <i r="2">
      <x v="7"/>
    </i>
    <i>
      <x v="3008"/>
      <x v="3"/>
      <x v="1"/>
    </i>
    <i>
      <x v="3009"/>
      <x v="3"/>
      <x v="3"/>
    </i>
    <i>
      <x v="3010"/>
      <x/>
      <x v="6"/>
    </i>
    <i>
      <x v="3011"/>
      <x v="3"/>
      <x v="6"/>
    </i>
    <i>
      <x v="3012"/>
      <x v="2"/>
      <x v="4"/>
    </i>
    <i>
      <x v="3013"/>
      <x v="2"/>
      <x v="10"/>
    </i>
    <i>
      <x v="3014"/>
      <x v="2"/>
      <x v="5"/>
    </i>
    <i>
      <x v="3015"/>
      <x v="5"/>
      <x v="2"/>
    </i>
    <i>
      <x v="3016"/>
      <x v="5"/>
      <x v="7"/>
    </i>
    <i>
      <x v="3017"/>
      <x v="5"/>
      <x v="6"/>
    </i>
    <i>
      <x v="3018"/>
      <x v="4"/>
      <x v="3"/>
    </i>
    <i>
      <x v="3019"/>
      <x v="4"/>
      <x v="9"/>
    </i>
    <i>
      <x v="3020"/>
      <x v="4"/>
      <x v="4"/>
    </i>
    <i>
      <x v="3021"/>
      <x v="1"/>
      <x v="3"/>
    </i>
    <i>
      <x v="3022"/>
      <x/>
      <x v="7"/>
    </i>
    <i>
      <x v="3023"/>
      <x v="1"/>
      <x v="1"/>
    </i>
    <i>
      <x v="3024"/>
      <x v="2"/>
      <x v="2"/>
    </i>
    <i r="2">
      <x v="4"/>
    </i>
    <i>
      <x v="3025"/>
      <x v="3"/>
      <x v="4"/>
    </i>
    <i>
      <x v="3026"/>
      <x v="2"/>
      <x v="10"/>
    </i>
    <i>
      <x v="3027"/>
      <x v="2"/>
      <x v="1"/>
    </i>
    <i r="2">
      <x v="6"/>
    </i>
    <i>
      <x v="3028"/>
      <x v="3"/>
      <x/>
    </i>
    <i>
      <x v="3029"/>
      <x v="4"/>
      <x v="3"/>
    </i>
    <i r="2">
      <x/>
    </i>
    <i r="2">
      <x v="6"/>
    </i>
    <i>
      <x v="3030"/>
      <x/>
      <x v="7"/>
    </i>
    <i>
      <x v="3031"/>
      <x v="3"/>
      <x v="10"/>
    </i>
    <i r="2">
      <x v="4"/>
    </i>
    <i>
      <x v="3032"/>
      <x v="5"/>
      <x v="2"/>
    </i>
    <i>
      <x v="3033"/>
      <x v="2"/>
      <x v="3"/>
    </i>
    <i>
      <x v="3034"/>
      <x v="2"/>
      <x v="2"/>
    </i>
    <i>
      <x v="3035"/>
      <x v="1"/>
      <x v="8"/>
    </i>
    <i r="2">
      <x v="4"/>
    </i>
    <i>
      <x v="3036"/>
      <x v="5"/>
      <x v="2"/>
    </i>
    <i>
      <x v="3037"/>
      <x v="1"/>
      <x v="14"/>
    </i>
    <i>
      <x v="3038"/>
      <x v="5"/>
      <x v="5"/>
    </i>
    <i>
      <x v="3039"/>
      <x v="5"/>
      <x v="9"/>
    </i>
    <i>
      <x v="3040"/>
      <x v="5"/>
      <x v="10"/>
    </i>
    <i r="2">
      <x v="9"/>
    </i>
    <i>
      <x v="3041"/>
      <x v="3"/>
      <x v="10"/>
    </i>
    <i r="1">
      <x v="5"/>
      <x v="8"/>
    </i>
    <i>
      <x v="3042"/>
      <x v="1"/>
      <x v="10"/>
    </i>
    <i r="2">
      <x/>
    </i>
    <i>
      <x v="3043"/>
      <x v="3"/>
      <x v="9"/>
    </i>
    <i>
      <x v="3044"/>
      <x v="5"/>
      <x v="1"/>
    </i>
    <i r="2">
      <x/>
    </i>
    <i>
      <x v="3045"/>
      <x v="5"/>
      <x v="10"/>
    </i>
    <i r="2">
      <x v="3"/>
    </i>
    <i r="2">
      <x v="8"/>
    </i>
    <i r="2">
      <x/>
    </i>
    <i>
      <x v="3046"/>
      <x v="4"/>
      <x v="8"/>
    </i>
    <i>
      <x v="3047"/>
      <x/>
      <x v="5"/>
    </i>
    <i r="2">
      <x/>
    </i>
    <i>
      <x v="3048"/>
      <x v="2"/>
      <x v="3"/>
    </i>
    <i>
      <x v="3049"/>
      <x v="2"/>
      <x v="4"/>
    </i>
    <i r="2">
      <x v="5"/>
    </i>
    <i>
      <x v="3050"/>
      <x v="3"/>
      <x v="1"/>
    </i>
    <i r="2">
      <x/>
    </i>
    <i r="2">
      <x v="6"/>
    </i>
    <i>
      <x v="3051"/>
      <x v="1"/>
      <x v="6"/>
    </i>
    <i r="1">
      <x v="5"/>
      <x v="10"/>
    </i>
    <i>
      <x v="3052"/>
      <x v="3"/>
      <x v="10"/>
    </i>
    <i>
      <x v="3053"/>
      <x v="2"/>
      <x v="6"/>
    </i>
    <i>
      <x v="3054"/>
      <x v="2"/>
      <x v="3"/>
    </i>
    <i>
      <x v="3055"/>
      <x v="2"/>
      <x v="6"/>
    </i>
    <i>
      <x v="3056"/>
      <x/>
      <x v="10"/>
    </i>
    <i r="2">
      <x v="3"/>
    </i>
    <i>
      <x v="3057"/>
      <x/>
      <x v="6"/>
    </i>
    <i>
      <x v="3058"/>
      <x v="4"/>
      <x/>
    </i>
    <i>
      <x v="3059"/>
      <x/>
      <x v="1"/>
    </i>
    <i r="2">
      <x v="9"/>
    </i>
    <i>
      <x v="3060"/>
      <x v="2"/>
      <x v="8"/>
    </i>
    <i r="2">
      <x v="4"/>
    </i>
    <i>
      <x v="3061"/>
      <x v="3"/>
      <x v="8"/>
    </i>
    <i>
      <x v="3062"/>
      <x v="4"/>
      <x v="7"/>
    </i>
    <i>
      <x v="3063"/>
      <x/>
      <x v="9"/>
    </i>
    <i r="1">
      <x v="5"/>
      <x v="8"/>
    </i>
    <i>
      <x v="3064"/>
      <x v="4"/>
      <x v="1"/>
    </i>
    <i>
      <x v="3065"/>
      <x/>
      <x v="2"/>
    </i>
    <i>
      <x v="3066"/>
      <x v="2"/>
      <x v="4"/>
    </i>
    <i>
      <x v="3067"/>
      <x v="4"/>
      <x v="8"/>
    </i>
    <i>
      <x v="3068"/>
      <x v="2"/>
      <x v="4"/>
    </i>
    <i>
      <x v="3069"/>
      <x v="4"/>
      <x v="5"/>
    </i>
    <i>
      <x v="3070"/>
      <x/>
      <x v="8"/>
    </i>
    <i>
      <x v="3071"/>
      <x v="2"/>
      <x v="1"/>
    </i>
    <i r="2">
      <x v="7"/>
    </i>
    <i>
      <x v="3072"/>
      <x v="5"/>
      <x v="8"/>
    </i>
    <i>
      <x v="3073"/>
      <x v="5"/>
      <x v="9"/>
    </i>
    <i>
      <x v="3074"/>
      <x v="4"/>
      <x v="8"/>
    </i>
    <i>
      <x v="3075"/>
      <x v="3"/>
      <x v="6"/>
    </i>
    <i>
      <x v="3076"/>
      <x v="3"/>
      <x v="10"/>
    </i>
    <i>
      <x v="3077"/>
      <x v="1"/>
      <x v="3"/>
    </i>
    <i>
      <x v="3078"/>
      <x/>
      <x v="1"/>
    </i>
    <i r="1">
      <x v="2"/>
      <x v="7"/>
    </i>
    <i>
      <x v="3079"/>
      <x/>
      <x v="3"/>
    </i>
    <i r="1">
      <x v="5"/>
      <x v="10"/>
    </i>
    <i r="2">
      <x v="4"/>
    </i>
    <i>
      <x v="3080"/>
      <x v="3"/>
      <x v="1"/>
    </i>
    <i>
      <x v="3081"/>
      <x v="3"/>
      <x v="9"/>
    </i>
    <i r="2">
      <x v="7"/>
    </i>
    <i>
      <x v="3082"/>
      <x v="2"/>
      <x v="1"/>
    </i>
    <i>
      <x v="3083"/>
      <x v="4"/>
      <x v="8"/>
    </i>
    <i>
      <x v="3084"/>
      <x v="5"/>
      <x v="7"/>
    </i>
    <i>
      <x v="3085"/>
      <x v="5"/>
      <x v="2"/>
    </i>
    <i>
      <x v="3086"/>
      <x v="5"/>
      <x/>
    </i>
    <i>
      <x v="3087"/>
      <x v="2"/>
      <x v="8"/>
    </i>
    <i r="2">
      <x/>
    </i>
    <i>
      <x v="3088"/>
      <x v="2"/>
      <x v="3"/>
    </i>
    <i r="2">
      <x v="4"/>
    </i>
    <i>
      <x v="3089"/>
      <x v="3"/>
      <x v="10"/>
    </i>
    <i>
      <x v="3090"/>
      <x v="2"/>
      <x/>
    </i>
    <i>
      <x v="3091"/>
      <x v="2"/>
      <x v="9"/>
    </i>
    <i>
      <x v="3092"/>
      <x v="5"/>
      <x v="5"/>
    </i>
    <i>
      <x v="3093"/>
      <x/>
      <x v="3"/>
    </i>
    <i>
      <x v="3094"/>
      <x v="3"/>
      <x v="6"/>
    </i>
    <i>
      <x v="3095"/>
      <x v="1"/>
      <x v="4"/>
    </i>
    <i>
      <x v="3096"/>
      <x v="1"/>
      <x v="1"/>
    </i>
    <i>
      <x v="3097"/>
      <x v="2"/>
      <x v="10"/>
    </i>
    <i>
      <x v="3098"/>
      <x v="5"/>
      <x v="9"/>
    </i>
    <i r="2">
      <x v="7"/>
    </i>
    <i>
      <x v="3099"/>
      <x v="2"/>
      <x v="2"/>
    </i>
    <i>
      <x v="3100"/>
      <x v="2"/>
      <x v="9"/>
    </i>
    <i r="2">
      <x v="8"/>
    </i>
    <i>
      <x v="3101"/>
      <x v="3"/>
      <x v="3"/>
    </i>
    <i r="2">
      <x v="8"/>
    </i>
    <i r="2">
      <x v="7"/>
    </i>
    <i r="2">
      <x v="6"/>
    </i>
    <i>
      <x v="3102"/>
      <x v="2"/>
      <x v="5"/>
    </i>
    <i>
      <x v="3103"/>
      <x v="4"/>
      <x v="2"/>
    </i>
    <i r="2">
      <x v="6"/>
    </i>
    <i r="1">
      <x v="2"/>
      <x v="2"/>
    </i>
    <i>
      <x v="3104"/>
      <x v="4"/>
      <x v="3"/>
    </i>
    <i>
      <x v="3105"/>
      <x v="5"/>
      <x v="5"/>
    </i>
    <i>
      <x v="3106"/>
      <x v="3"/>
      <x v="1"/>
    </i>
    <i>
      <x v="3107"/>
      <x v="2"/>
      <x v="2"/>
    </i>
    <i>
      <x v="3108"/>
      <x v="5"/>
      <x/>
    </i>
    <i>
      <x v="3109"/>
      <x v="5"/>
      <x v="10"/>
    </i>
    <i>
      <x v="3110"/>
      <x v="4"/>
      <x v="4"/>
    </i>
    <i r="2">
      <x v="6"/>
    </i>
    <i>
      <x v="3111"/>
      <x v="3"/>
      <x v="9"/>
    </i>
    <i>
      <x v="3112"/>
      <x v="3"/>
      <x v="4"/>
    </i>
    <i r="1">
      <x v="2"/>
      <x v="4"/>
    </i>
    <i>
      <x v="3113"/>
      <x v="3"/>
      <x v="1"/>
    </i>
    <i>
      <x v="3114"/>
      <x v="3"/>
      <x v="10"/>
    </i>
    <i>
      <x v="3115"/>
      <x v="1"/>
      <x v="9"/>
    </i>
    <i r="2">
      <x v="4"/>
    </i>
    <i>
      <x v="3116"/>
      <x v="1"/>
      <x v="4"/>
    </i>
    <i>
      <x v="3117"/>
      <x v="3"/>
      <x v="4"/>
    </i>
    <i r="1">
      <x v="1"/>
      <x v="1"/>
    </i>
    <i>
      <x v="3118"/>
      <x v="5"/>
      <x v="8"/>
    </i>
    <i>
      <x v="3119"/>
      <x v="3"/>
      <x v="3"/>
    </i>
    <i>
      <x v="3120"/>
      <x v="1"/>
      <x v="7"/>
    </i>
    <i>
      <x v="3121"/>
      <x v="1"/>
      <x v="9"/>
    </i>
    <i>
      <x v="3122"/>
      <x v="5"/>
      <x v="1"/>
    </i>
    <i r="2">
      <x v="2"/>
    </i>
    <i>
      <x v="3123"/>
      <x/>
      <x v="7"/>
    </i>
    <i>
      <x v="3124"/>
      <x/>
      <x v="10"/>
    </i>
    <i>
      <x v="3125"/>
      <x v="4"/>
      <x v="6"/>
    </i>
    <i>
      <x v="3126"/>
      <x v="4"/>
      <x v="8"/>
    </i>
    <i>
      <x v="3127"/>
      <x v="2"/>
      <x/>
    </i>
    <i>
      <x v="3128"/>
      <x v="2"/>
      <x v="4"/>
    </i>
    <i>
      <x v="3129"/>
      <x v="1"/>
      <x v="2"/>
    </i>
    <i>
      <x v="3130"/>
      <x v="2"/>
      <x v="3"/>
    </i>
    <i r="2">
      <x v="7"/>
    </i>
    <i>
      <x v="3131"/>
      <x/>
      <x v="3"/>
    </i>
    <i r="2">
      <x v="7"/>
    </i>
    <i>
      <x v="3132"/>
      <x v="5"/>
      <x v="8"/>
    </i>
    <i>
      <x v="3133"/>
      <x/>
      <x v="8"/>
    </i>
    <i r="2">
      <x v="7"/>
    </i>
    <i>
      <x v="3134"/>
      <x v="5"/>
      <x v="9"/>
    </i>
    <i>
      <x v="3135"/>
      <x/>
      <x v="9"/>
    </i>
    <i>
      <x v="3136"/>
      <x v="3"/>
      <x v="6"/>
    </i>
    <i r="1">
      <x/>
      <x v="6"/>
    </i>
    <i>
      <x v="3137"/>
      <x/>
      <x/>
    </i>
    <i r="1">
      <x v="5"/>
      <x v="6"/>
    </i>
    <i>
      <x v="3138"/>
      <x v="3"/>
      <x v="3"/>
    </i>
    <i r="2">
      <x v="6"/>
    </i>
    <i>
      <x v="3139"/>
      <x/>
      <x/>
    </i>
    <i r="2">
      <x v="7"/>
    </i>
    <i>
      <x v="3140"/>
      <x v="3"/>
      <x v="9"/>
    </i>
    <i>
      <x v="3141"/>
      <x v="2"/>
      <x v="1"/>
    </i>
    <i>
      <x v="3142"/>
      <x v="3"/>
      <x v="9"/>
    </i>
    <i>
      <x v="3143"/>
      <x/>
      <x v="4"/>
    </i>
    <i>
      <x v="3144"/>
      <x/>
      <x v="8"/>
    </i>
    <i r="2">
      <x v="4"/>
    </i>
    <i>
      <x v="3145"/>
      <x v="3"/>
      <x v="2"/>
    </i>
    <i r="2">
      <x/>
    </i>
    <i>
      <x v="3146"/>
      <x v="3"/>
      <x v="5"/>
    </i>
    <i r="1">
      <x/>
      <x v="3"/>
    </i>
    <i>
      <x v="3147"/>
      <x v="3"/>
      <x v="6"/>
    </i>
    <i r="1">
      <x v="2"/>
      <x v="8"/>
    </i>
    <i r="2">
      <x v="5"/>
    </i>
    <i r="2">
      <x v="7"/>
    </i>
    <i>
      <x v="3148"/>
      <x v="5"/>
      <x v="8"/>
    </i>
    <i>
      <x v="3149"/>
      <x v="3"/>
      <x v="10"/>
    </i>
    <i>
      <x v="3150"/>
      <x v="1"/>
      <x v="3"/>
    </i>
    <i>
      <x v="3151"/>
      <x v="2"/>
      <x v="4"/>
    </i>
    <i>
      <x v="3152"/>
      <x v="5"/>
      <x v="5"/>
    </i>
    <i r="2">
      <x/>
    </i>
    <i>
      <x v="3153"/>
      <x v="2"/>
      <x v="7"/>
    </i>
    <i>
      <x v="3154"/>
      <x v="2"/>
      <x v="7"/>
    </i>
    <i>
      <x v="3155"/>
      <x v="3"/>
      <x v="3"/>
    </i>
    <i r="2">
      <x v="6"/>
    </i>
    <i>
      <x v="3156"/>
      <x v="3"/>
      <x v="8"/>
    </i>
    <i>
      <x v="3157"/>
      <x v="2"/>
      <x v="7"/>
    </i>
    <i r="2">
      <x v="6"/>
    </i>
    <i>
      <x v="3158"/>
      <x v="3"/>
      <x v="4"/>
    </i>
    <i>
      <x v="3159"/>
      <x v="2"/>
      <x v="10"/>
    </i>
    <i r="2">
      <x v="1"/>
    </i>
    <i>
      <x v="3160"/>
      <x v="3"/>
      <x v="9"/>
    </i>
    <i r="2">
      <x v="4"/>
    </i>
    <i r="2">
      <x v="5"/>
    </i>
    <i>
      <x v="3161"/>
      <x/>
      <x v="5"/>
    </i>
    <i>
      <x v="3162"/>
      <x/>
      <x v="1"/>
    </i>
    <i r="2">
      <x v="4"/>
    </i>
    <i>
      <x v="3163"/>
      <x v="3"/>
      <x v="10"/>
    </i>
    <i r="2">
      <x v="4"/>
    </i>
    <i>
      <x v="3164"/>
      <x v="4"/>
      <x v="1"/>
    </i>
    <i>
      <x v="3165"/>
      <x v="5"/>
      <x v="2"/>
    </i>
    <i r="2">
      <x v="4"/>
    </i>
    <i>
      <x v="3166"/>
      <x v="3"/>
      <x/>
    </i>
    <i r="2">
      <x v="7"/>
    </i>
    <i>
      <x v="3167"/>
      <x v="4"/>
      <x v="4"/>
    </i>
    <i>
      <x v="3168"/>
      <x v="5"/>
      <x v="10"/>
    </i>
    <i>
      <x v="3169"/>
      <x v="5"/>
      <x v="5"/>
    </i>
    <i>
      <x v="3170"/>
      <x v="2"/>
      <x v="10"/>
    </i>
    <i>
      <x v="3171"/>
      <x v="5"/>
      <x v="1"/>
    </i>
    <i>
      <x v="3172"/>
      <x v="3"/>
      <x v="3"/>
    </i>
    <i r="1">
      <x/>
      <x v="9"/>
    </i>
    <i>
      <x v="3173"/>
      <x v="4"/>
      <x v="4"/>
    </i>
    <i>
      <x v="3174"/>
      <x v="3"/>
      <x v="9"/>
    </i>
    <i r="2">
      <x v="5"/>
    </i>
    <i>
      <x v="3175"/>
      <x v="4"/>
      <x v="5"/>
    </i>
    <i>
      <x v="3176"/>
      <x v="3"/>
      <x v="8"/>
    </i>
    <i>
      <x v="3177"/>
      <x v="3"/>
      <x v="7"/>
    </i>
    <i r="1">
      <x v="1"/>
      <x v="2"/>
    </i>
    <i r="2">
      <x v="5"/>
    </i>
    <i>
      <x v="3178"/>
      <x v="1"/>
      <x v="3"/>
    </i>
    <i>
      <x v="3179"/>
      <x v="3"/>
      <x v="4"/>
    </i>
    <i r="1">
      <x v="1"/>
      <x v="3"/>
    </i>
    <i>
      <x v="3180"/>
      <x/>
      <x v="7"/>
    </i>
    <i>
      <x v="3181"/>
      <x/>
      <x v="8"/>
    </i>
    <i>
      <x v="3182"/>
      <x v="4"/>
      <x/>
    </i>
    <i>
      <x v="3183"/>
      <x v="2"/>
      <x v="8"/>
    </i>
    <i r="2">
      <x v="6"/>
    </i>
    <i>
      <x v="3184"/>
      <x v="2"/>
      <x v="6"/>
    </i>
    <i>
      <x v="3185"/>
      <x v="1"/>
      <x v="1"/>
    </i>
    <i r="2">
      <x v="9"/>
    </i>
    <i>
      <x v="3186"/>
      <x v="2"/>
      <x v="9"/>
    </i>
    <i r="2">
      <x v="6"/>
    </i>
    <i>
      <x v="3187"/>
      <x v="2"/>
      <x v="5"/>
    </i>
    <i>
      <x v="3188"/>
      <x v="3"/>
      <x v="2"/>
    </i>
    <i>
      <x v="3189"/>
      <x v="5"/>
      <x v="10"/>
    </i>
    <i r="2">
      <x v="9"/>
    </i>
    <i>
      <x v="3190"/>
      <x v="1"/>
      <x v="5"/>
    </i>
    <i>
      <x v="3191"/>
      <x v="5"/>
      <x v="9"/>
    </i>
    <i>
      <x v="3192"/>
      <x v="1"/>
      <x v="8"/>
    </i>
    <i>
      <x v="3193"/>
      <x v="5"/>
      <x v="5"/>
    </i>
    <i>
      <x v="3194"/>
      <x v="1"/>
      <x v="3"/>
    </i>
    <i>
      <x v="3195"/>
      <x v="4"/>
      <x v="9"/>
    </i>
    <i>
      <x v="3196"/>
      <x v="3"/>
      <x v="2"/>
    </i>
    <i>
      <x v="3197"/>
      <x v="3"/>
      <x v="4"/>
    </i>
    <i>
      <x v="3198"/>
      <x v="2"/>
      <x v="1"/>
    </i>
    <i r="2">
      <x v="2"/>
    </i>
    <i r="2">
      <x v="5"/>
    </i>
    <i>
      <x v="3199"/>
      <x v="1"/>
      <x v="1"/>
    </i>
    <i>
      <x v="3200"/>
      <x v="1"/>
      <x v="1"/>
    </i>
    <i>
      <x v="3201"/>
      <x v="5"/>
      <x v="2"/>
    </i>
    <i>
      <x v="3202"/>
      <x/>
      <x v="2"/>
    </i>
    <i r="2">
      <x v="8"/>
    </i>
    <i>
      <x v="3203"/>
      <x v="1"/>
      <x v="2"/>
    </i>
    <i>
      <x v="3204"/>
      <x v="5"/>
      <x v="7"/>
    </i>
    <i>
      <x v="3205"/>
      <x v="2"/>
      <x v="1"/>
    </i>
    <i>
      <x v="3206"/>
      <x/>
      <x v="2"/>
    </i>
    <i r="2">
      <x v="7"/>
    </i>
    <i>
      <x v="3207"/>
      <x/>
      <x v="6"/>
    </i>
    <i r="1">
      <x v="2"/>
      <x v="5"/>
    </i>
    <i>
      <x v="3208"/>
      <x v="4"/>
      <x/>
    </i>
    <i>
      <x v="3209"/>
      <x v="3"/>
      <x v="3"/>
    </i>
    <i r="2">
      <x v="8"/>
    </i>
    <i r="1">
      <x/>
      <x v="1"/>
    </i>
    <i>
      <x v="3210"/>
      <x/>
      <x v="5"/>
    </i>
    <i>
      <x v="3211"/>
      <x v="3"/>
      <x v="9"/>
    </i>
    <i>
      <x v="3212"/>
      <x v="5"/>
      <x v="2"/>
    </i>
    <i r="2">
      <x/>
    </i>
    <i>
      <x v="3213"/>
      <x v="3"/>
      <x v="8"/>
    </i>
    <i>
      <x v="3214"/>
      <x/>
      <x/>
    </i>
    <i>
      <x v="3215"/>
      <x/>
      <x v="7"/>
    </i>
    <i>
      <x v="3216"/>
      <x/>
      <x/>
    </i>
    <i>
      <x v="3217"/>
      <x/>
      <x v="3"/>
    </i>
    <i r="2">
      <x v="1"/>
    </i>
    <i r="2">
      <x v="7"/>
    </i>
    <i>
      <x v="3218"/>
      <x v="2"/>
      <x v="9"/>
    </i>
    <i r="2">
      <x v="8"/>
    </i>
    <i>
      <x v="3219"/>
      <x v="2"/>
      <x v="1"/>
    </i>
    <i r="2">
      <x v="5"/>
    </i>
    <i>
      <x v="3220"/>
      <x v="4"/>
      <x v="1"/>
    </i>
    <i>
      <x v="3221"/>
      <x v="4"/>
      <x v="2"/>
    </i>
    <i>
      <x v="3222"/>
      <x v="2"/>
      <x v="7"/>
    </i>
    <i>
      <x v="3223"/>
      <x v="2"/>
      <x v="2"/>
    </i>
    <i r="2">
      <x v="7"/>
    </i>
    <i r="2">
      <x v="6"/>
    </i>
    <i>
      <x v="3224"/>
      <x v="3"/>
      <x v="8"/>
    </i>
    <i r="2">
      <x/>
    </i>
    <i>
      <x v="3225"/>
      <x v="1"/>
      <x v="7"/>
    </i>
    <i>
      <x v="3226"/>
      <x v="1"/>
      <x v="2"/>
    </i>
    <i>
      <x v="3227"/>
      <x v="2"/>
      <x v="7"/>
    </i>
    <i>
      <x v="3228"/>
      <x v="1"/>
      <x v="9"/>
    </i>
    <i r="2">
      <x v="2"/>
    </i>
    <i>
      <x v="3229"/>
      <x v="5"/>
      <x v="3"/>
    </i>
    <i r="2">
      <x v="6"/>
    </i>
    <i>
      <x v="3230"/>
      <x v="3"/>
      <x/>
    </i>
    <i>
      <x v="3231"/>
      <x v="1"/>
      <x v="4"/>
    </i>
    <i r="2">
      <x/>
    </i>
    <i r="1">
      <x v="5"/>
      <x v="8"/>
    </i>
    <i r="2">
      <x/>
    </i>
    <i>
      <x v="3232"/>
      <x v="5"/>
      <x v="2"/>
    </i>
    <i r="2">
      <x/>
    </i>
    <i>
      <x v="3233"/>
      <x v="1"/>
      <x v="3"/>
    </i>
    <i r="2">
      <x v="5"/>
    </i>
    <i>
      <x v="3234"/>
      <x v="2"/>
      <x v="3"/>
    </i>
    <i>
      <x v="3235"/>
      <x v="2"/>
      <x v="8"/>
    </i>
    <i r="2">
      <x v="6"/>
    </i>
    <i>
      <x v="3236"/>
      <x v="2"/>
      <x v="4"/>
    </i>
    <i r="2">
      <x/>
    </i>
    <i>
      <x v="3237"/>
      <x v="2"/>
      <x v="1"/>
    </i>
    <i>
      <x v="3238"/>
      <x v="2"/>
      <x v="4"/>
    </i>
    <i>
      <x v="3239"/>
      <x v="2"/>
      <x v="10"/>
    </i>
    <i r="2">
      <x v="9"/>
    </i>
    <i>
      <x v="3240"/>
      <x v="5"/>
      <x v="7"/>
    </i>
    <i>
      <x v="3241"/>
      <x v="3"/>
      <x v="2"/>
    </i>
    <i>
      <x v="3242"/>
      <x v="3"/>
      <x v="5"/>
    </i>
    <i>
      <x v="3243"/>
      <x v="2"/>
      <x/>
    </i>
    <i>
      <x v="3244"/>
      <x v="2"/>
      <x v="6"/>
    </i>
    <i>
      <x v="3245"/>
      <x/>
      <x v="5"/>
    </i>
    <i>
      <x v="3246"/>
      <x v="2"/>
      <x v="3"/>
    </i>
    <i>
      <x v="3247"/>
      <x v="4"/>
      <x v="10"/>
    </i>
    <i>
      <x v="3248"/>
      <x v="2"/>
      <x v="6"/>
    </i>
    <i>
      <x v="3249"/>
      <x v="3"/>
      <x v="10"/>
    </i>
    <i r="2">
      <x/>
    </i>
    <i>
      <x v="3250"/>
      <x v="5"/>
      <x v="10"/>
    </i>
    <i r="2">
      <x/>
    </i>
    <i>
      <x v="3251"/>
      <x v="3"/>
      <x v="8"/>
    </i>
    <i r="1">
      <x v="2"/>
      <x/>
    </i>
    <i>
      <x v="3252"/>
      <x v="1"/>
      <x v="10"/>
    </i>
    <i r="2">
      <x v="6"/>
    </i>
    <i>
      <x v="3253"/>
      <x v="3"/>
      <x v="6"/>
    </i>
    <i>
      <x v="3254"/>
      <x v="3"/>
      <x v="6"/>
    </i>
    <i>
      <x v="3255"/>
      <x v="3"/>
      <x v="3"/>
    </i>
    <i>
      <x v="3256"/>
      <x v="5"/>
      <x v="9"/>
    </i>
    <i r="2">
      <x v="7"/>
    </i>
    <i>
      <x v="3257"/>
      <x v="5"/>
      <x v="2"/>
    </i>
    <i r="2">
      <x/>
    </i>
    <i>
      <x v="3258"/>
      <x v="1"/>
      <x v="4"/>
    </i>
    <i>
      <x v="3259"/>
      <x v="2"/>
      <x v="10"/>
    </i>
    <i>
      <x v="3260"/>
      <x v="4"/>
      <x v="8"/>
    </i>
    <i r="2">
      <x v="6"/>
    </i>
    <i>
      <x v="3261"/>
      <x v="3"/>
      <x v="2"/>
    </i>
    <i>
      <x v="3262"/>
      <x v="2"/>
      <x v="3"/>
    </i>
    <i r="2">
      <x v="4"/>
    </i>
    <i>
      <x v="3263"/>
      <x/>
      <x v="3"/>
    </i>
    <i>
      <x v="3264"/>
      <x/>
      <x v="9"/>
    </i>
    <i>
      <x v="3265"/>
      <x/>
      <x/>
    </i>
    <i>
      <x v="3266"/>
      <x v="2"/>
      <x v="4"/>
    </i>
    <i>
      <x v="3267"/>
      <x/>
      <x v="8"/>
    </i>
    <i>
      <x v="3268"/>
      <x v="2"/>
      <x v="4"/>
    </i>
    <i r="2">
      <x v="5"/>
    </i>
    <i r="2">
      <x v="6"/>
    </i>
    <i>
      <x v="3269"/>
      <x/>
      <x v="8"/>
    </i>
    <i>
      <x v="3270"/>
      <x v="4"/>
      <x v="5"/>
    </i>
    <i>
      <x v="3271"/>
      <x v="5"/>
      <x v="10"/>
    </i>
    <i r="2">
      <x v="5"/>
    </i>
    <i>
      <x v="3272"/>
      <x v="3"/>
      <x v="8"/>
    </i>
    <i r="2">
      <x/>
    </i>
    <i>
      <x v="3273"/>
      <x v="3"/>
      <x/>
    </i>
    <i r="1">
      <x v="2"/>
      <x v="7"/>
    </i>
    <i>
      <x v="3274"/>
      <x/>
      <x v="8"/>
    </i>
    <i r="2">
      <x v="7"/>
    </i>
    <i>
      <x v="3275"/>
      <x v="2"/>
      <x v="3"/>
    </i>
    <i r="2">
      <x v="9"/>
    </i>
    <i>
      <x v="3276"/>
      <x v="2"/>
      <x v="9"/>
    </i>
    <i>
      <x v="3277"/>
      <x/>
      <x/>
    </i>
    <i>
      <x v="3278"/>
      <x v="2"/>
      <x v="10"/>
    </i>
    <i>
      <x v="3279"/>
      <x v="2"/>
      <x v="9"/>
    </i>
    <i>
      <x v="3280"/>
      <x v="5"/>
      <x v="5"/>
    </i>
    <i r="2">
      <x/>
    </i>
    <i r="2">
      <x v="6"/>
    </i>
    <i>
      <x v="3281"/>
      <x v="5"/>
      <x v="8"/>
    </i>
    <i r="2">
      <x/>
    </i>
    <i>
      <x v="3282"/>
      <x v="2"/>
      <x v="3"/>
    </i>
    <i r="2">
      <x v="6"/>
    </i>
    <i>
      <x v="3283"/>
      <x v="3"/>
      <x v="7"/>
    </i>
    <i>
      <x v="3284"/>
      <x v="3"/>
      <x v="10"/>
    </i>
    <i>
      <x v="3285"/>
      <x/>
      <x v="10"/>
    </i>
    <i>
      <x v="3286"/>
      <x v="5"/>
      <x v="4"/>
    </i>
    <i>
      <x v="3287"/>
      <x v="3"/>
      <x v="9"/>
    </i>
    <i r="2">
      <x v="8"/>
    </i>
    <i>
      <x v="3288"/>
      <x v="3"/>
      <x v="7"/>
    </i>
    <i>
      <x v="3289"/>
      <x/>
      <x v="2"/>
    </i>
    <i r="1">
      <x v="5"/>
      <x v="1"/>
    </i>
    <i r="2">
      <x/>
    </i>
    <i r="2">
      <x v="6"/>
    </i>
    <i>
      <x v="3290"/>
      <x v="5"/>
      <x v="1"/>
    </i>
    <i>
      <x v="3291"/>
      <x v="5"/>
      <x v="9"/>
    </i>
    <i>
      <x v="3292"/>
      <x v="2"/>
      <x v="4"/>
    </i>
    <i>
      <x v="3293"/>
      <x v="1"/>
      <x v="6"/>
    </i>
    <i>
      <x v="3294"/>
      <x v="1"/>
      <x v="3"/>
    </i>
    <i r="2">
      <x v="9"/>
    </i>
    <i r="2">
      <x v="5"/>
    </i>
    <i r="1">
      <x v="2"/>
      <x v="2"/>
    </i>
    <i>
      <x v="3295"/>
      <x v="5"/>
      <x v="3"/>
    </i>
    <i r="2">
      <x v="2"/>
    </i>
    <i>
      <x v="3296"/>
      <x v="2"/>
      <x v="8"/>
    </i>
    <i>
      <x v="3297"/>
      <x v="1"/>
      <x v="10"/>
    </i>
    <i>
      <x v="3298"/>
      <x v="1"/>
      <x v="1"/>
    </i>
    <i>
      <x v="3299"/>
      <x v="4"/>
      <x v="1"/>
    </i>
    <i>
      <x v="3300"/>
      <x v="4"/>
      <x v="4"/>
    </i>
    <i r="2">
      <x v="5"/>
    </i>
    <i>
      <x v="3301"/>
      <x v="2"/>
      <x v="8"/>
    </i>
    <i>
      <x v="3302"/>
      <x v="3"/>
      <x v="7"/>
    </i>
    <i r="1">
      <x v="5"/>
      <x v="10"/>
    </i>
    <i>
      <x v="3303"/>
      <x v="3"/>
      <x v="2"/>
    </i>
    <i>
      <x v="3304"/>
      <x v="2"/>
      <x v="4"/>
    </i>
    <i>
      <x v="3305"/>
      <x v="5"/>
      <x v="4"/>
    </i>
    <i>
      <x v="3306"/>
      <x v="5"/>
      <x v="4"/>
    </i>
    <i r="2">
      <x/>
    </i>
    <i>
      <x v="3307"/>
      <x v="5"/>
      <x v="1"/>
    </i>
    <i>
      <x v="3308"/>
      <x v="1"/>
      <x v="1"/>
    </i>
    <i r="2">
      <x v="8"/>
    </i>
    <i r="2">
      <x/>
    </i>
    <i>
      <x v="3309"/>
      <x v="5"/>
      <x v="10"/>
    </i>
    <i r="2">
      <x v="6"/>
    </i>
    <i>
      <x v="3310"/>
      <x v="5"/>
      <x v="4"/>
    </i>
    <i>
      <x v="3311"/>
      <x v="3"/>
      <x v="7"/>
    </i>
    <i>
      <x v="3312"/>
      <x v="1"/>
      <x v="9"/>
    </i>
    <i>
      <x v="3313"/>
      <x v="1"/>
      <x/>
    </i>
    <i>
      <x v="3314"/>
      <x v="1"/>
      <x v="3"/>
    </i>
    <i r="2">
      <x v="7"/>
    </i>
    <i>
      <x v="3315"/>
      <x v="4"/>
      <x/>
    </i>
    <i>
      <x v="3316"/>
      <x v="3"/>
      <x v="9"/>
    </i>
    <i>
      <x v="3317"/>
      <x v="2"/>
      <x v="3"/>
    </i>
    <i>
      <x v="3318"/>
      <x v="2"/>
      <x/>
    </i>
    <i>
      <x v="3319"/>
      <x v="5"/>
      <x v="1"/>
    </i>
    <i>
      <x v="3320"/>
      <x v="5"/>
      <x v="10"/>
    </i>
    <i>
      <x v="3321"/>
      <x v="4"/>
      <x/>
    </i>
    <i>
      <x v="3322"/>
      <x v="3"/>
      <x v="3"/>
    </i>
    <i r="2">
      <x v="5"/>
    </i>
    <i>
      <x v="3323"/>
      <x v="1"/>
      <x/>
    </i>
    <i r="1">
      <x/>
      <x v="2"/>
    </i>
    <i>
      <x v="3324"/>
      <x v="4"/>
      <x v="2"/>
    </i>
    <i>
      <x v="3325"/>
      <x v="3"/>
      <x/>
    </i>
    <i r="1">
      <x v="1"/>
      <x v="2"/>
    </i>
    <i r="2">
      <x v="8"/>
    </i>
    <i>
      <x v="3326"/>
      <x/>
      <x v="2"/>
    </i>
    <i r="1">
      <x v="2"/>
      <x v="1"/>
    </i>
    <i>
      <x v="3327"/>
      <x v="1"/>
      <x v="4"/>
    </i>
    <i r="2">
      <x/>
    </i>
    <i r="2">
      <x v="6"/>
    </i>
    <i>
      <x v="3328"/>
      <x v="1"/>
      <x/>
    </i>
    <i r="2">
      <x v="7"/>
    </i>
    <i r="1">
      <x v="2"/>
      <x v="9"/>
    </i>
    <i>
      <x v="3329"/>
      <x v="1"/>
      <x v="8"/>
    </i>
    <i>
      <x v="3330"/>
      <x/>
      <x v="9"/>
    </i>
    <i r="2">
      <x/>
    </i>
    <i>
      <x v="3331"/>
      <x v="2"/>
      <x v="9"/>
    </i>
    <i>
      <x v="3332"/>
      <x v="2"/>
      <x v="8"/>
    </i>
    <i>
      <x v="3333"/>
      <x v="5"/>
      <x v="3"/>
    </i>
    <i r="2">
      <x/>
    </i>
    <i>
      <x v="3334"/>
      <x v="5"/>
      <x v="6"/>
    </i>
    <i>
      <x v="3335"/>
      <x v="5"/>
      <x v="5"/>
    </i>
    <i>
      <x v="3336"/>
      <x v="5"/>
      <x v="10"/>
    </i>
    <i>
      <x v="3337"/>
      <x v="5"/>
      <x v="5"/>
    </i>
    <i>
      <x v="3338"/>
      <x v="5"/>
      <x v="3"/>
    </i>
    <i r="2">
      <x v="7"/>
    </i>
    <i>
      <x v="3339"/>
      <x v="5"/>
      <x v="10"/>
    </i>
    <i>
      <x v="3340"/>
      <x v="3"/>
      <x v="7"/>
    </i>
    <i>
      <x v="3341"/>
      <x v="5"/>
      <x v="9"/>
    </i>
    <i r="1">
      <x v="4"/>
      <x v="6"/>
    </i>
    <i>
      <x v="3342"/>
      <x v="5"/>
      <x v="7"/>
    </i>
    <i>
      <x v="3343"/>
      <x v="2"/>
      <x v="6"/>
    </i>
    <i>
      <x v="3344"/>
      <x v="4"/>
      <x v="5"/>
    </i>
    <i r="2">
      <x v="7"/>
    </i>
    <i>
      <x v="3345"/>
      <x v="5"/>
      <x v="3"/>
    </i>
    <i>
      <x v="3346"/>
      <x v="5"/>
      <x v="6"/>
    </i>
    <i r="1">
      <x v="2"/>
      <x v="3"/>
    </i>
    <i>
      <x v="3347"/>
      <x v="3"/>
      <x v="10"/>
    </i>
    <i>
      <x v="3348"/>
      <x v="3"/>
      <x v="4"/>
    </i>
    <i>
      <x v="3349"/>
      <x v="4"/>
      <x/>
    </i>
    <i>
      <x v="3350"/>
      <x/>
      <x v="10"/>
    </i>
    <i r="2">
      <x v="9"/>
    </i>
    <i>
      <x v="3351"/>
      <x v="3"/>
      <x v="8"/>
    </i>
    <i>
      <x v="3352"/>
      <x v="5"/>
      <x v="9"/>
    </i>
    <i r="2">
      <x v="4"/>
    </i>
    <i>
      <x v="3353"/>
      <x v="5"/>
      <x v="1"/>
    </i>
    <i>
      <x v="3354"/>
      <x v="3"/>
      <x v="3"/>
    </i>
    <i>
      <x v="3355"/>
      <x/>
      <x v="9"/>
    </i>
    <i>
      <x v="3356"/>
      <x v="3"/>
      <x v="4"/>
    </i>
    <i r="2">
      <x v="7"/>
    </i>
    <i>
      <x v="3357"/>
      <x v="4"/>
      <x v="1"/>
    </i>
    <i>
      <x v="3358"/>
      <x v="4"/>
      <x v="10"/>
    </i>
    <i r="2">
      <x v="3"/>
    </i>
    <i r="2">
      <x v="7"/>
    </i>
    <i>
      <x v="3359"/>
      <x v="3"/>
      <x/>
    </i>
    <i>
      <x v="3360"/>
      <x v="3"/>
      <x v="8"/>
    </i>
    <i r="1">
      <x v="2"/>
      <x v="10"/>
    </i>
    <i>
      <x v="3361"/>
      <x v="3"/>
      <x v="3"/>
    </i>
    <i>
      <x v="3362"/>
      <x v="1"/>
      <x v="6"/>
    </i>
    <i>
      <x v="3363"/>
      <x v="4"/>
      <x v="4"/>
    </i>
    <i r="2">
      <x/>
    </i>
    <i>
      <x v="3364"/>
      <x v="1"/>
      <x v="2"/>
    </i>
    <i>
      <x v="3365"/>
      <x v="5"/>
      <x v="8"/>
    </i>
    <i>
      <x v="3366"/>
      <x v="2"/>
      <x v="4"/>
    </i>
    <i>
      <x v="3367"/>
      <x/>
      <x v="4"/>
    </i>
    <i r="1">
      <x v="5"/>
      <x v="4"/>
    </i>
    <i>
      <x v="3368"/>
      <x v="3"/>
      <x v="8"/>
    </i>
    <i>
      <x v="3369"/>
      <x/>
      <x v="10"/>
    </i>
    <i r="2">
      <x v="5"/>
    </i>
    <i r="2">
      <x/>
    </i>
    <i>
      <x v="3370"/>
      <x/>
      <x/>
    </i>
    <i>
      <x v="3371"/>
      <x v="4"/>
      <x v="3"/>
    </i>
    <i>
      <x v="3372"/>
      <x v="3"/>
      <x v="6"/>
    </i>
    <i r="1">
      <x v="2"/>
      <x v="3"/>
    </i>
    <i>
      <x v="3373"/>
      <x/>
      <x/>
    </i>
    <i r="1">
      <x v="5"/>
      <x v="6"/>
    </i>
    <i>
      <x v="3374"/>
      <x v="2"/>
      <x/>
    </i>
    <i>
      <x v="3375"/>
      <x v="3"/>
      <x v="6"/>
    </i>
    <i r="1">
      <x v="5"/>
      <x v="5"/>
    </i>
    <i>
      <x v="3376"/>
      <x v="5"/>
      <x v="9"/>
    </i>
    <i r="2">
      <x/>
    </i>
    <i>
      <x v="3377"/>
      <x v="5"/>
      <x v="1"/>
    </i>
    <i>
      <x v="3378"/>
      <x v="3"/>
      <x v="9"/>
    </i>
    <i>
      <x v="3379"/>
      <x v="3"/>
      <x v="3"/>
    </i>
    <i r="1">
      <x/>
      <x v="7"/>
    </i>
    <i>
      <x v="3380"/>
      <x v="3"/>
      <x/>
    </i>
    <i>
      <x v="3381"/>
      <x/>
      <x v="5"/>
    </i>
    <i>
      <x v="3382"/>
      <x/>
      <x v="1"/>
    </i>
    <i r="2">
      <x v="8"/>
    </i>
    <i>
      <x v="3383"/>
      <x v="5"/>
      <x/>
    </i>
    <i>
      <x v="3384"/>
      <x/>
      <x v="4"/>
    </i>
    <i r="2">
      <x v="6"/>
    </i>
    <i>
      <x v="3385"/>
      <x v="2"/>
      <x v="5"/>
    </i>
    <i>
      <x v="3386"/>
      <x/>
      <x v="10"/>
    </i>
    <i r="2">
      <x v="4"/>
    </i>
    <i>
      <x v="3387"/>
      <x/>
      <x v="4"/>
    </i>
    <i>
      <x v="3388"/>
      <x v="2"/>
      <x v="3"/>
    </i>
    <i r="2">
      <x/>
    </i>
    <i>
      <x v="3389"/>
      <x v="2"/>
      <x v="9"/>
    </i>
    <i>
      <x v="3390"/>
      <x v="2"/>
      <x v="1"/>
    </i>
    <i r="2">
      <x/>
    </i>
    <i>
      <x v="3391"/>
      <x v="1"/>
      <x v="4"/>
    </i>
    <i>
      <x v="3392"/>
      <x v="3"/>
      <x v="3"/>
    </i>
    <i>
      <x v="3393"/>
      <x v="5"/>
      <x v="6"/>
    </i>
    <i>
      <x v="3394"/>
      <x v="5"/>
      <x v="1"/>
    </i>
    <i r="2">
      <x v="5"/>
    </i>
    <i>
      <x v="3395"/>
      <x v="3"/>
      <x/>
    </i>
    <i r="1">
      <x v="2"/>
      <x v="5"/>
    </i>
    <i>
      <x v="3396"/>
      <x v="5"/>
      <x v="5"/>
    </i>
    <i>
      <x v="3397"/>
      <x v="5"/>
      <x v="3"/>
    </i>
    <i r="2">
      <x v="9"/>
    </i>
    <i>
      <x v="3398"/>
      <x v="1"/>
      <x v="8"/>
    </i>
    <i>
      <x v="3399"/>
      <x v="2"/>
      <x v="6"/>
    </i>
    <i>
      <x v="3400"/>
      <x v="2"/>
      <x v="9"/>
    </i>
    <i r="2">
      <x v="7"/>
    </i>
    <i>
      <x v="3401"/>
      <x v="4"/>
      <x/>
    </i>
    <i>
      <x v="3402"/>
      <x v="4"/>
      <x v="1"/>
    </i>
    <i>
      <x v="3403"/>
      <x v="1"/>
      <x v="3"/>
    </i>
    <i r="2">
      <x/>
    </i>
    <i>
      <x v="3404"/>
      <x v="5"/>
      <x v="2"/>
    </i>
    <i r="2">
      <x v="7"/>
    </i>
    <i r="1">
      <x v="4"/>
      <x v="3"/>
    </i>
    <i>
      <x v="3405"/>
      <x v="3"/>
      <x v="1"/>
    </i>
    <i>
      <x v="3406"/>
      <x v="3"/>
      <x v="1"/>
    </i>
    <i>
      <x v="3407"/>
      <x v="3"/>
      <x v="9"/>
    </i>
    <i>
      <x v="3408"/>
      <x/>
      <x v="2"/>
    </i>
    <i>
      <x v="3409"/>
      <x/>
      <x v="8"/>
    </i>
    <i>
      <x v="3410"/>
      <x/>
      <x v="7"/>
    </i>
    <i>
      <x v="3411"/>
      <x/>
      <x v="7"/>
    </i>
    <i>
      <x v="3412"/>
      <x v="4"/>
      <x v="5"/>
    </i>
    <i>
      <x v="3413"/>
      <x v="5"/>
      <x v="9"/>
    </i>
    <i>
      <x v="3414"/>
      <x v="3"/>
      <x v="5"/>
    </i>
    <i>
      <x v="3415"/>
      <x v="5"/>
      <x v="6"/>
    </i>
    <i>
      <x v="3416"/>
      <x v="2"/>
      <x v="1"/>
    </i>
    <i r="2">
      <x v="8"/>
    </i>
    <i>
      <x v="3417"/>
      <x v="4"/>
      <x v="2"/>
    </i>
    <i r="2">
      <x v="7"/>
    </i>
    <i>
      <x v="3418"/>
      <x/>
      <x v="4"/>
    </i>
    <i r="2">
      <x v="6"/>
    </i>
    <i>
      <x v="3419"/>
      <x v="3"/>
      <x v="1"/>
    </i>
    <i r="2">
      <x v="7"/>
    </i>
    <i>
      <x v="3420"/>
      <x v="3"/>
      <x v="3"/>
    </i>
    <i r="2">
      <x v="6"/>
    </i>
    <i>
      <x v="3421"/>
      <x v="1"/>
      <x v="7"/>
    </i>
    <i r="2">
      <x v="6"/>
    </i>
    <i r="1">
      <x v="4"/>
      <x v="5"/>
    </i>
    <i>
      <x v="3422"/>
      <x/>
      <x v="3"/>
    </i>
    <i r="1">
      <x v="5"/>
      <x v="4"/>
    </i>
    <i>
      <x v="3423"/>
      <x/>
      <x v="10"/>
    </i>
    <i r="2">
      <x v="4"/>
    </i>
    <i>
      <x v="3424"/>
      <x/>
      <x/>
    </i>
    <i r="1">
      <x v="4"/>
      <x v="1"/>
    </i>
    <i r="2">
      <x v="2"/>
    </i>
    <i>
      <x v="3425"/>
      <x v="1"/>
      <x v="6"/>
    </i>
    <i>
      <x v="3426"/>
      <x v="1"/>
      <x v="2"/>
    </i>
    <i>
      <x v="3427"/>
      <x/>
      <x v="1"/>
    </i>
    <i>
      <x v="3428"/>
      <x v="2"/>
      <x v="9"/>
    </i>
    <i>
      <x v="3429"/>
      <x v="2"/>
      <x v="1"/>
    </i>
    <i>
      <x v="3430"/>
      <x/>
      <x v="5"/>
    </i>
    <i>
      <x v="3431"/>
      <x v="2"/>
      <x v="10"/>
    </i>
    <i>
      <x v="3432"/>
      <x v="2"/>
      <x v="8"/>
    </i>
    <i>
      <x v="3433"/>
      <x v="2"/>
      <x v="1"/>
    </i>
    <i>
      <x v="3434"/>
      <x v="2"/>
      <x v="2"/>
    </i>
    <i>
      <x v="3435"/>
      <x v="2"/>
      <x v="1"/>
    </i>
    <i>
      <x v="3436"/>
      <x v="4"/>
      <x v="1"/>
    </i>
    <i r="2">
      <x v="6"/>
    </i>
    <i>
      <x v="3437"/>
      <x v="5"/>
      <x v="5"/>
    </i>
    <i>
      <x v="3438"/>
      <x v="3"/>
      <x v="8"/>
    </i>
    <i>
      <x v="3439"/>
      <x v="5"/>
      <x v="9"/>
    </i>
    <i r="2">
      <x v="7"/>
    </i>
    <i>
      <x v="3440"/>
      <x v="1"/>
      <x v="1"/>
    </i>
    <i>
      <x v="3441"/>
      <x v="2"/>
      <x v="3"/>
    </i>
    <i r="2">
      <x v="5"/>
    </i>
    <i r="2">
      <x/>
    </i>
    <i>
      <x v="3442"/>
      <x v="2"/>
      <x/>
    </i>
    <i>
      <x v="3443"/>
      <x v="2"/>
      <x v="9"/>
    </i>
    <i>
      <x v="3444"/>
      <x v="4"/>
      <x v="1"/>
    </i>
    <i>
      <x v="3445"/>
      <x v="4"/>
      <x v="10"/>
    </i>
    <i r="2">
      <x/>
    </i>
    <i>
      <x v="3446"/>
      <x v="4"/>
      <x v="10"/>
    </i>
    <i>
      <x v="3447"/>
      <x v="5"/>
      <x v="9"/>
    </i>
    <i r="2">
      <x v="5"/>
    </i>
    <i>
      <x v="3448"/>
      <x v="2"/>
      <x v="3"/>
    </i>
    <i r="2">
      <x v="8"/>
    </i>
    <i>
      <x v="3449"/>
      <x v="5"/>
      <x v="1"/>
    </i>
    <i r="2">
      <x v="9"/>
    </i>
    <i r="2">
      <x/>
    </i>
    <i>
      <x v="3450"/>
      <x/>
      <x v="10"/>
    </i>
    <i r="1">
      <x v="5"/>
      <x v="9"/>
    </i>
    <i>
      <x v="3451"/>
      <x v="2"/>
      <x v="4"/>
    </i>
    <i>
      <x v="3452"/>
      <x/>
      <x v="7"/>
    </i>
    <i r="1">
      <x v="5"/>
      <x v="5"/>
    </i>
    <i r="1">
      <x v="2"/>
      <x v="3"/>
    </i>
    <i>
      <x v="3453"/>
      <x v="1"/>
      <x v="2"/>
    </i>
    <i>
      <x v="3454"/>
      <x v="1"/>
      <x v="8"/>
    </i>
    <i>
      <x v="3455"/>
      <x v="5"/>
      <x v="3"/>
    </i>
    <i>
      <x v="3456"/>
      <x/>
      <x v="10"/>
    </i>
    <i r="1">
      <x v="5"/>
      <x v="8"/>
    </i>
    <i>
      <x v="3457"/>
      <x/>
      <x v="10"/>
    </i>
    <i>
      <x v="3458"/>
      <x/>
      <x v="1"/>
    </i>
    <i>
      <x v="3459"/>
      <x/>
      <x v="1"/>
    </i>
    <i r="2">
      <x v="9"/>
    </i>
    <i r="2">
      <x v="6"/>
    </i>
    <i>
      <x v="3460"/>
      <x/>
      <x v="2"/>
    </i>
    <i>
      <x v="3461"/>
      <x v="3"/>
      <x v="5"/>
    </i>
    <i r="1">
      <x v="2"/>
      <x v="7"/>
    </i>
    <i>
      <x v="3462"/>
      <x/>
      <x v="1"/>
    </i>
    <i r="2">
      <x v="7"/>
    </i>
    <i>
      <x v="3463"/>
      <x v="3"/>
      <x v="3"/>
    </i>
    <i r="2">
      <x/>
    </i>
    <i>
      <x v="3464"/>
      <x v="2"/>
      <x v="5"/>
    </i>
    <i>
      <x v="3465"/>
      <x v="2"/>
      <x v="3"/>
    </i>
    <i r="2">
      <x v="7"/>
    </i>
    <i>
      <x v="3466"/>
      <x v="5"/>
      <x v="5"/>
    </i>
    <i r="1">
      <x v="2"/>
      <x v="9"/>
    </i>
    <i>
      <x v="3467"/>
      <x v="5"/>
      <x v="3"/>
    </i>
    <i>
      <x v="3468"/>
      <x v="5"/>
      <x v="3"/>
    </i>
    <i>
      <x v="3469"/>
      <x v="5"/>
      <x v="3"/>
    </i>
    <i>
      <x v="3470"/>
      <x v="5"/>
      <x v="5"/>
    </i>
    <i>
      <x v="3471"/>
      <x/>
      <x v="3"/>
    </i>
    <i>
      <x v="3472"/>
      <x v="2"/>
      <x v="5"/>
    </i>
    <i>
      <x v="3473"/>
      <x v="2"/>
      <x v="2"/>
    </i>
    <i r="2">
      <x v="8"/>
    </i>
    <i>
      <x v="3474"/>
      <x v="2"/>
      <x v="5"/>
    </i>
    <i>
      <x v="3475"/>
      <x v="3"/>
      <x/>
    </i>
    <i>
      <x v="3476"/>
      <x v="3"/>
      <x v="3"/>
    </i>
    <i r="2">
      <x v="8"/>
    </i>
    <i r="1">
      <x v="4"/>
      <x v="9"/>
    </i>
    <i>
      <x v="3477"/>
      <x v="3"/>
      <x v="2"/>
    </i>
    <i>
      <x v="3478"/>
      <x/>
      <x v="3"/>
    </i>
    <i>
      <x v="3479"/>
      <x v="4"/>
      <x v="8"/>
    </i>
    <i r="2">
      <x v="5"/>
    </i>
    <i r="2">
      <x/>
    </i>
    <i>
      <x v="3480"/>
      <x v="5"/>
      <x v="5"/>
    </i>
    <i r="2">
      <x/>
    </i>
    <i>
      <x v="3481"/>
      <x v="5"/>
      <x v="10"/>
    </i>
    <i r="2">
      <x v="9"/>
    </i>
    <i>
      <x v="3482"/>
      <x v="2"/>
      <x v="3"/>
    </i>
    <i r="2">
      <x v="8"/>
    </i>
    <i>
      <x v="3483"/>
      <x v="2"/>
      <x v="8"/>
    </i>
    <i>
      <x v="3484"/>
      <x v="2"/>
      <x v="7"/>
    </i>
    <i>
      <x v="3485"/>
      <x v="1"/>
      <x v="1"/>
    </i>
    <i r="2">
      <x/>
    </i>
    <i>
      <x v="3486"/>
      <x v="3"/>
      <x v="2"/>
    </i>
    <i>
      <x v="3487"/>
      <x/>
      <x v="4"/>
    </i>
    <i>
      <x v="3488"/>
      <x v="4"/>
      <x v="5"/>
    </i>
    <i r="2">
      <x/>
    </i>
    <i r="2">
      <x v="6"/>
    </i>
    <i>
      <x v="3489"/>
      <x v="4"/>
      <x v="1"/>
    </i>
    <i r="2">
      <x v="6"/>
    </i>
    <i>
      <x v="3490"/>
      <x v="4"/>
      <x v="6"/>
    </i>
    <i>
      <x v="3491"/>
      <x v="4"/>
      <x v="4"/>
    </i>
    <i r="2">
      <x/>
    </i>
    <i>
      <x v="3492"/>
      <x v="4"/>
      <x v="9"/>
    </i>
    <i>
      <x v="3493"/>
      <x/>
      <x v="7"/>
    </i>
    <i>
      <x v="3494"/>
      <x/>
      <x v="9"/>
    </i>
    <i r="2">
      <x v="8"/>
    </i>
    <i>
      <x v="3495"/>
      <x v="4"/>
      <x v="1"/>
    </i>
    <i r="2">
      <x v="7"/>
    </i>
    <i>
      <x v="3496"/>
      <x/>
      <x v="5"/>
    </i>
    <i>
      <x v="3497"/>
      <x/>
      <x v="5"/>
    </i>
    <i r="2">
      <x v="6"/>
    </i>
    <i>
      <x v="3498"/>
      <x/>
      <x v="4"/>
    </i>
    <i>
      <x v="3499"/>
      <x/>
      <x v="3"/>
    </i>
    <i>
      <x v="3500"/>
      <x v="1"/>
      <x v="5"/>
    </i>
    <i r="1">
      <x v="4"/>
      <x v="1"/>
    </i>
    <i>
      <x v="3501"/>
      <x v="5"/>
      <x v="8"/>
    </i>
    <i>
      <x v="3502"/>
      <x v="5"/>
      <x v="9"/>
    </i>
    <i r="2">
      <x v="8"/>
    </i>
    <i r="1">
      <x v="2"/>
      <x v="9"/>
    </i>
    <i>
      <x v="3503"/>
      <x v="5"/>
      <x v="6"/>
    </i>
    <i>
      <x v="3504"/>
      <x v="5"/>
      <x v="10"/>
    </i>
    <i>
      <x v="3505"/>
      <x v="3"/>
      <x v="10"/>
    </i>
    <i>
      <x v="3506"/>
      <x v="2"/>
      <x v="9"/>
    </i>
    <i r="2">
      <x v="7"/>
    </i>
    <i>
      <x v="3507"/>
      <x v="2"/>
      <x v="10"/>
    </i>
    <i r="2">
      <x v="8"/>
    </i>
    <i>
      <x v="3508"/>
      <x/>
      <x v="5"/>
    </i>
    <i>
      <x v="3509"/>
      <x/>
      <x v="4"/>
    </i>
    <i>
      <x v="3510"/>
      <x v="5"/>
      <x v="9"/>
    </i>
    <i r="2">
      <x v="2"/>
    </i>
    <i>
      <x v="3511"/>
      <x v="1"/>
      <x v="8"/>
    </i>
    <i r="2">
      <x v="6"/>
    </i>
    <i>
      <x v="3512"/>
      <x v="4"/>
      <x v="7"/>
    </i>
    <i>
      <x v="3513"/>
      <x v="4"/>
      <x v="3"/>
    </i>
    <i>
      <x v="3514"/>
      <x v="5"/>
      <x v="9"/>
    </i>
    <i r="2">
      <x v="2"/>
    </i>
    <i>
      <x v="3515"/>
      <x/>
      <x v="10"/>
    </i>
    <i r="2">
      <x v="7"/>
    </i>
    <i>
      <x v="3516"/>
      <x/>
      <x v="7"/>
    </i>
    <i>
      <x v="3517"/>
      <x v="3"/>
      <x v="5"/>
    </i>
    <i>
      <x v="3518"/>
      <x v="1"/>
      <x v="10"/>
    </i>
    <i r="2">
      <x v="1"/>
    </i>
    <i>
      <x v="3519"/>
      <x v="3"/>
      <x/>
    </i>
    <i>
      <x v="3520"/>
      <x v="5"/>
      <x v="6"/>
    </i>
    <i>
      <x v="3521"/>
      <x v="4"/>
      <x v="10"/>
    </i>
    <i r="2">
      <x v="5"/>
    </i>
    <i>
      <x v="3522"/>
      <x v="1"/>
      <x v="3"/>
    </i>
    <i r="2">
      <x v="7"/>
    </i>
    <i>
      <x v="3523"/>
      <x/>
      <x v="5"/>
    </i>
    <i>
      <x v="3524"/>
      <x v="3"/>
      <x v="9"/>
    </i>
    <i>
      <x v="3525"/>
      <x/>
      <x v="9"/>
    </i>
    <i r="2">
      <x v="4"/>
    </i>
    <i>
      <x v="3526"/>
      <x v="3"/>
      <x v="8"/>
    </i>
    <i>
      <x v="3527"/>
      <x v="3"/>
      <x/>
    </i>
    <i>
      <x v="3528"/>
      <x v="2"/>
      <x v="10"/>
    </i>
    <i>
      <x v="3529"/>
      <x v="2"/>
      <x v="3"/>
    </i>
    <i r="2">
      <x v="5"/>
    </i>
    <i>
      <x v="3530"/>
      <x v="4"/>
      <x v="1"/>
    </i>
    <i r="2">
      <x v="4"/>
    </i>
    <i>
      <x v="3531"/>
      <x v="5"/>
      <x v="3"/>
    </i>
    <i r="2">
      <x/>
    </i>
    <i r="2">
      <x v="7"/>
    </i>
    <i>
      <x v="3532"/>
      <x v="4"/>
      <x v="2"/>
    </i>
    <i r="2">
      <x v="8"/>
    </i>
    <i>
      <x v="3533"/>
      <x v="5"/>
      <x v="8"/>
    </i>
    <i>
      <x v="3534"/>
      <x/>
      <x v="1"/>
    </i>
    <i>
      <x v="3535"/>
      <x/>
      <x v="1"/>
    </i>
    <i r="2">
      <x v="5"/>
    </i>
    <i r="1">
      <x v="4"/>
      <x v="1"/>
    </i>
    <i>
      <x v="3536"/>
      <x v="3"/>
      <x v="3"/>
    </i>
    <i r="2">
      <x v="9"/>
    </i>
    <i r="2">
      <x/>
    </i>
    <i r="2">
      <x v="6"/>
    </i>
    <i>
      <x v="3537"/>
      <x v="3"/>
      <x v="6"/>
    </i>
    <i>
      <x v="3538"/>
      <x v="2"/>
      <x v="5"/>
    </i>
    <i r="2">
      <x v="6"/>
    </i>
    <i>
      <x v="3539"/>
      <x v="3"/>
      <x/>
    </i>
    <i>
      <x v="3540"/>
      <x v="4"/>
      <x v="10"/>
    </i>
    <i>
      <x v="3541"/>
      <x v="2"/>
      <x v="8"/>
    </i>
    <i>
      <x v="3542"/>
      <x v="4"/>
      <x v="7"/>
    </i>
    <i>
      <x v="3543"/>
      <x v="4"/>
      <x v="10"/>
    </i>
    <i>
      <x v="3544"/>
      <x v="5"/>
      <x v="10"/>
    </i>
    <i r="2">
      <x v="9"/>
    </i>
    <i r="1">
      <x v="4"/>
      <x/>
    </i>
    <i>
      <x v="3545"/>
      <x v="5"/>
      <x/>
    </i>
    <i>
      <x v="3546"/>
      <x v="4"/>
      <x v="4"/>
    </i>
    <i>
      <x v="3547"/>
      <x v="5"/>
      <x v="1"/>
    </i>
    <i r="1">
      <x v="2"/>
      <x v="5"/>
    </i>
    <i r="2">
      <x v="6"/>
    </i>
    <i>
      <x v="3548"/>
      <x v="4"/>
      <x v="1"/>
    </i>
    <i>
      <x v="3549"/>
      <x v="2"/>
      <x/>
    </i>
    <i>
      <x v="3550"/>
      <x v="3"/>
      <x v="4"/>
    </i>
    <i>
      <x v="3551"/>
      <x/>
      <x v="8"/>
    </i>
    <i>
      <x v="3552"/>
      <x/>
      <x v="10"/>
    </i>
    <i>
      <x v="3553"/>
      <x/>
      <x v="9"/>
    </i>
    <i>
      <x v="3554"/>
      <x v="5"/>
      <x v="3"/>
    </i>
    <i>
      <x v="3555"/>
      <x/>
      <x v="1"/>
    </i>
    <i r="2">
      <x/>
    </i>
    <i>
      <x v="3556"/>
      <x v="1"/>
      <x v="1"/>
    </i>
    <i>
      <x v="3557"/>
      <x/>
      <x v="1"/>
    </i>
    <i r="2">
      <x/>
    </i>
    <i>
      <x v="3558"/>
      <x/>
      <x v="7"/>
    </i>
    <i r="1">
      <x v="5"/>
      <x v="1"/>
    </i>
    <i r="2">
      <x v="7"/>
    </i>
    <i>
      <x v="3559"/>
      <x/>
      <x v="10"/>
    </i>
    <i r="2">
      <x v="9"/>
    </i>
    <i>
      <x v="3560"/>
      <x v="1"/>
      <x v="8"/>
    </i>
    <i>
      <x v="3561"/>
      <x v="1"/>
      <x v="8"/>
    </i>
    <i>
      <x v="3562"/>
      <x v="3"/>
      <x v="1"/>
    </i>
    <i>
      <x v="3563"/>
      <x v="2"/>
      <x v="1"/>
    </i>
    <i>
      <x v="3564"/>
      <x v="4"/>
      <x/>
    </i>
    <i>
      <x v="3565"/>
      <x v="4"/>
      <x v="3"/>
    </i>
    <i>
      <x v="3566"/>
      <x v="1"/>
      <x v="10"/>
    </i>
    <i r="2">
      <x v="9"/>
    </i>
    <i r="2">
      <x v="6"/>
    </i>
    <i>
      <x v="3567"/>
      <x v="1"/>
      <x v="2"/>
    </i>
    <i>
      <x v="3568"/>
      <x v="1"/>
      <x v="7"/>
    </i>
    <i r="1">
      <x/>
      <x v="7"/>
    </i>
    <i>
      <x v="3569"/>
      <x v="2"/>
      <x v="10"/>
    </i>
    <i r="2">
      <x v="4"/>
    </i>
    <i>
      <x v="3570"/>
      <x v="5"/>
      <x v="7"/>
    </i>
    <i>
      <x v="3571"/>
      <x v="3"/>
      <x v="10"/>
    </i>
    <i r="1">
      <x v="5"/>
      <x v="2"/>
    </i>
    <i r="2">
      <x v="7"/>
    </i>
    <i>
      <x v="3572"/>
      <x v="5"/>
      <x v="5"/>
    </i>
    <i>
      <x v="3573"/>
      <x v="4"/>
      <x v="2"/>
    </i>
    <i r="2">
      <x v="6"/>
    </i>
    <i>
      <x v="3574"/>
      <x v="4"/>
      <x v="5"/>
    </i>
    <i r="2">
      <x v="7"/>
    </i>
    <i>
      <x v="3575"/>
      <x v="5"/>
      <x v="6"/>
    </i>
    <i r="1">
      <x v="4"/>
      <x v="10"/>
    </i>
    <i>
      <x v="3576"/>
      <x/>
      <x v="5"/>
    </i>
    <i r="2">
      <x/>
    </i>
    <i>
      <x v="3577"/>
      <x v="2"/>
      <x v="4"/>
    </i>
    <i>
      <x v="3578"/>
      <x v="3"/>
      <x v="2"/>
    </i>
    <i>
      <x v="3579"/>
      <x v="3"/>
      <x v="9"/>
    </i>
    <i>
      <x v="3580"/>
      <x v="3"/>
      <x v="2"/>
    </i>
    <i>
      <x v="3581"/>
      <x v="3"/>
      <x v="5"/>
    </i>
    <i>
      <x v="3582"/>
      <x/>
      <x v="1"/>
    </i>
    <i>
      <x v="3583"/>
      <x v="2"/>
      <x v="2"/>
    </i>
    <i>
      <x v="3584"/>
      <x v="2"/>
      <x v="3"/>
    </i>
    <i>
      <x v="3585"/>
      <x v="2"/>
      <x v="3"/>
    </i>
    <i r="2">
      <x v="1"/>
    </i>
    <i>
      <x v="3586"/>
      <x v="3"/>
      <x/>
    </i>
    <i r="2">
      <x v="6"/>
    </i>
    <i>
      <x v="3587"/>
      <x v="2"/>
      <x v="8"/>
    </i>
    <i>
      <x v="3588"/>
      <x v="3"/>
      <x v="7"/>
    </i>
    <i>
      <x v="3589"/>
      <x/>
      <x v="1"/>
    </i>
    <i>
      <x v="3590"/>
      <x v="2"/>
      <x v="9"/>
    </i>
    <i r="2">
      <x v="4"/>
    </i>
    <i>
      <x v="3591"/>
      <x v="2"/>
      <x v="3"/>
    </i>
    <i>
      <x v="3592"/>
      <x v="3"/>
      <x/>
    </i>
    <i>
      <x v="3593"/>
      <x v="3"/>
      <x v="2"/>
    </i>
    <i>
      <x v="3594"/>
      <x v="4"/>
      <x v="6"/>
    </i>
    <i>
      <x v="3595"/>
      <x v="4"/>
      <x v="2"/>
    </i>
    <i>
      <x v="3596"/>
      <x v="2"/>
      <x v="10"/>
    </i>
    <i>
      <x v="3597"/>
      <x v="1"/>
      <x v="2"/>
    </i>
    <i>
      <x v="3598"/>
      <x v="1"/>
      <x v="4"/>
    </i>
    <i r="2">
      <x v="7"/>
    </i>
    <i>
      <x v="3599"/>
      <x v="4"/>
      <x v="1"/>
    </i>
    <i>
      <x v="3600"/>
      <x v="4"/>
      <x v="3"/>
    </i>
    <i r="2">
      <x v="8"/>
    </i>
    <i>
      <x v="3601"/>
      <x v="3"/>
      <x v="6"/>
    </i>
    <i r="1">
      <x v="5"/>
      <x v="2"/>
    </i>
    <i>
      <x v="3602"/>
      <x v="1"/>
      <x v="9"/>
    </i>
    <i r="2">
      <x/>
    </i>
    <i>
      <x v="3603"/>
      <x v="4"/>
      <x v="4"/>
    </i>
    <i>
      <x v="3604"/>
      <x v="5"/>
      <x v="9"/>
    </i>
    <i>
      <x v="3605"/>
      <x v="5"/>
      <x v="3"/>
    </i>
    <i>
      <x v="3606"/>
      <x v="4"/>
      <x v="8"/>
    </i>
    <i>
      <x v="3607"/>
      <x/>
      <x v="1"/>
    </i>
    <i r="2">
      <x v="8"/>
    </i>
    <i>
      <x v="3608"/>
      <x v="3"/>
      <x v="10"/>
    </i>
    <i r="2">
      <x v="6"/>
    </i>
    <i>
      <x v="3609"/>
      <x v="1"/>
      <x v="7"/>
    </i>
    <i r="1">
      <x v="2"/>
      <x v="4"/>
    </i>
    <i>
      <x v="3610"/>
      <x v="5"/>
      <x v="6"/>
    </i>
    <i>
      <x v="3611"/>
      <x v="3"/>
      <x v="1"/>
    </i>
    <i r="1">
      <x/>
      <x v="1"/>
    </i>
    <i>
      <x v="3612"/>
      <x v="3"/>
      <x v="8"/>
    </i>
    <i>
      <x v="3613"/>
      <x v="1"/>
      <x v="3"/>
    </i>
    <i>
      <x v="3614"/>
      <x v="3"/>
      <x v="7"/>
    </i>
    <i>
      <x v="3615"/>
      <x v="3"/>
      <x v="5"/>
    </i>
    <i>
      <x v="3616"/>
      <x v="3"/>
      <x v="1"/>
    </i>
    <i>
      <x v="3617"/>
      <x v="5"/>
      <x v="10"/>
    </i>
    <i r="2">
      <x v="3"/>
    </i>
    <i>
      <x v="3618"/>
      <x v="5"/>
      <x v="3"/>
    </i>
    <i>
      <x v="3619"/>
      <x v="1"/>
      <x v="9"/>
    </i>
    <i r="2">
      <x v="8"/>
    </i>
    <i>
      <x v="3620"/>
      <x v="2"/>
      <x v="3"/>
    </i>
    <i>
      <x v="3621"/>
      <x v="1"/>
      <x v="8"/>
    </i>
    <i>
      <x v="3622"/>
      <x v="5"/>
      <x v="9"/>
    </i>
    <i r="2">
      <x v="8"/>
    </i>
    <i>
      <x v="3623"/>
      <x v="2"/>
      <x v="10"/>
    </i>
    <i r="2">
      <x v="8"/>
    </i>
    <i>
      <x v="3624"/>
      <x v="1"/>
      <x v="2"/>
    </i>
    <i>
      <x v="3625"/>
      <x/>
      <x v="6"/>
    </i>
    <i>
      <x v="3626"/>
      <x v="1"/>
      <x v="1"/>
    </i>
    <i r="2">
      <x v="4"/>
    </i>
    <i>
      <x v="3627"/>
      <x/>
      <x v="9"/>
    </i>
    <i>
      <x v="3628"/>
      <x v="3"/>
      <x v="4"/>
    </i>
    <i>
      <x v="3629"/>
      <x/>
      <x v="9"/>
    </i>
    <i r="1">
      <x v="2"/>
      <x v="1"/>
    </i>
    <i>
      <x v="3630"/>
      <x v="1"/>
      <x v="7"/>
    </i>
    <i r="1">
      <x v="2"/>
      <x v="9"/>
    </i>
    <i>
      <x v="3631"/>
      <x/>
      <x v="9"/>
    </i>
    <i r="2">
      <x v="2"/>
    </i>
    <i r="2">
      <x v="6"/>
    </i>
    <i>
      <x v="3632"/>
      <x/>
      <x v="2"/>
    </i>
    <i r="1">
      <x v="5"/>
      <x v="7"/>
    </i>
    <i>
      <x v="3633"/>
      <x v="2"/>
      <x v="9"/>
    </i>
    <i>
      <x v="3634"/>
      <x v="3"/>
      <x v="3"/>
    </i>
    <i>
      <x v="3635"/>
      <x v="2"/>
      <x v="4"/>
    </i>
    <i r="2">
      <x v="6"/>
    </i>
    <i>
      <x v="3636"/>
      <x v="5"/>
      <x v="7"/>
    </i>
    <i r="1">
      <x v="2"/>
      <x v="6"/>
    </i>
    <i>
      <x v="3637"/>
      <x v="1"/>
      <x v="2"/>
    </i>
    <i>
      <x v="3638"/>
      <x v="1"/>
      <x/>
    </i>
    <i>
      <x v="3639"/>
      <x v="1"/>
      <x v="2"/>
    </i>
    <i>
      <x v="3640"/>
      <x v="1"/>
      <x v="6"/>
    </i>
    <i>
      <x v="3641"/>
      <x v="1"/>
      <x/>
    </i>
    <i>
      <x v="3642"/>
      <x v="5"/>
      <x v="5"/>
    </i>
    <i>
      <x v="3643"/>
      <x v="3"/>
      <x v="4"/>
    </i>
    <i>
      <x v="3644"/>
      <x/>
      <x v="4"/>
    </i>
    <i>
      <x v="3645"/>
      <x v="2"/>
      <x v="6"/>
    </i>
    <i>
      <x v="3646"/>
      <x/>
      <x v="9"/>
    </i>
    <i r="2">
      <x v="6"/>
    </i>
    <i>
      <x v="3647"/>
      <x v="3"/>
      <x v="6"/>
    </i>
    <i>
      <x v="3648"/>
      <x v="2"/>
      <x v="3"/>
    </i>
    <i r="2">
      <x v="5"/>
    </i>
    <i>
      <x v="3649"/>
      <x v="3"/>
      <x v="10"/>
    </i>
    <i>
      <x v="3650"/>
      <x v="3"/>
      <x v="4"/>
    </i>
    <i r="1">
      <x v="1"/>
      <x v="5"/>
    </i>
    <i>
      <x v="3651"/>
      <x v="3"/>
      <x v="2"/>
    </i>
    <i r="2">
      <x v="6"/>
    </i>
    <i>
      <x v="3652"/>
      <x v="1"/>
      <x v="10"/>
    </i>
    <i r="2">
      <x v="6"/>
    </i>
    <i>
      <x v="3653"/>
      <x v="3"/>
      <x/>
    </i>
    <i>
      <x v="3654"/>
      <x v="2"/>
      <x v="1"/>
    </i>
    <i r="2">
      <x v="9"/>
    </i>
    <i>
      <x v="3655"/>
      <x v="3"/>
      <x v="5"/>
    </i>
    <i>
      <x v="3656"/>
      <x v="3"/>
      <x v="3"/>
    </i>
    <i>
      <x v="3657"/>
      <x v="5"/>
      <x v="3"/>
    </i>
    <i r="2">
      <x v="2"/>
    </i>
    <i r="2">
      <x v="8"/>
    </i>
    <i>
      <x v="3658"/>
      <x v="2"/>
      <x v="10"/>
    </i>
    <i>
      <x v="3659"/>
      <x v="2"/>
      <x/>
    </i>
    <i>
      <x v="3660"/>
      <x v="2"/>
      <x v="10"/>
    </i>
    <i r="2">
      <x v="1"/>
    </i>
    <i r="2">
      <x v="5"/>
    </i>
    <i r="2">
      <x v="7"/>
    </i>
    <i>
      <x v="3661"/>
      <x v="2"/>
      <x v="6"/>
    </i>
    <i>
      <x v="3662"/>
      <x v="2"/>
      <x v="2"/>
    </i>
    <i>
      <x v="3663"/>
      <x v="5"/>
      <x/>
    </i>
    <i>
      <x v="3664"/>
      <x v="2"/>
      <x v="10"/>
    </i>
    <i>
      <x v="3665"/>
      <x v="2"/>
      <x v="10"/>
    </i>
    <i>
      <x v="3666"/>
      <x v="2"/>
      <x v="10"/>
    </i>
    <i r="2">
      <x v="3"/>
    </i>
    <i r="2">
      <x v="6"/>
    </i>
    <i>
      <x v="3667"/>
      <x v="1"/>
      <x v="5"/>
    </i>
    <i>
      <x v="3668"/>
      <x/>
      <x v="4"/>
    </i>
    <i r="2">
      <x v="7"/>
    </i>
    <i>
      <x v="3669"/>
      <x v="1"/>
      <x v="10"/>
    </i>
    <i>
      <x v="3670"/>
      <x v="1"/>
      <x v="2"/>
    </i>
    <i r="2">
      <x v="4"/>
    </i>
    <i>
      <x v="3671"/>
      <x v="1"/>
      <x v="2"/>
    </i>
    <i>
      <x v="3672"/>
      <x v="2"/>
      <x v="6"/>
    </i>
    <i>
      <x v="3673"/>
      <x v="3"/>
      <x v="5"/>
    </i>
    <i>
      <x v="3674"/>
      <x v="4"/>
      <x v="10"/>
    </i>
    <i r="2">
      <x v="4"/>
    </i>
    <i>
      <x v="3675"/>
      <x v="4"/>
      <x v="10"/>
    </i>
    <i>
      <x v="3676"/>
      <x v="3"/>
      <x v="7"/>
    </i>
    <i>
      <x v="3677"/>
      <x v="5"/>
      <x v="1"/>
    </i>
    <i r="2">
      <x v="9"/>
    </i>
    <i>
      <x v="3678"/>
      <x v="5"/>
      <x v="5"/>
    </i>
    <i>
      <x v="3679"/>
      <x v="5"/>
      <x v="2"/>
    </i>
    <i r="2">
      <x v="6"/>
    </i>
    <i>
      <x v="3680"/>
      <x v="5"/>
      <x v="9"/>
    </i>
    <i>
      <x v="3681"/>
      <x v="2"/>
      <x v="8"/>
    </i>
    <i r="2">
      <x v="6"/>
    </i>
    <i>
      <x v="3682"/>
      <x v="2"/>
      <x v="2"/>
    </i>
    <i r="2">
      <x v="6"/>
    </i>
    <i>
      <x v="3683"/>
      <x v="5"/>
      <x v="4"/>
    </i>
    <i>
      <x v="3684"/>
      <x v="5"/>
      <x v="10"/>
    </i>
    <i>
      <x v="3685"/>
      <x v="2"/>
      <x v="3"/>
    </i>
    <i>
      <x v="3686"/>
      <x v="3"/>
      <x v="8"/>
    </i>
    <i r="1">
      <x v="2"/>
      <x v="7"/>
    </i>
    <i>
      <x v="3687"/>
      <x v="3"/>
      <x v="4"/>
    </i>
    <i>
      <x v="3688"/>
      <x v="3"/>
      <x v="10"/>
    </i>
    <i>
      <x v="3689"/>
      <x v="2"/>
      <x v="10"/>
    </i>
    <i>
      <x v="3690"/>
      <x v="2"/>
      <x v="10"/>
    </i>
    <i>
      <x v="3691"/>
      <x v="2"/>
      <x v="10"/>
    </i>
    <i>
      <x v="3692"/>
      <x v="4"/>
      <x v="10"/>
    </i>
    <i>
      <x v="3693"/>
      <x v="2"/>
      <x/>
    </i>
    <i>
      <x v="3694"/>
      <x v="4"/>
      <x v="5"/>
    </i>
    <i r="2">
      <x/>
    </i>
    <i>
      <x v="3695"/>
      <x v="5"/>
      <x v="8"/>
    </i>
    <i r="1">
      <x v="2"/>
      <x v="1"/>
    </i>
    <i>
      <x v="3696"/>
      <x v="2"/>
      <x v="1"/>
    </i>
    <i r="2">
      <x v="7"/>
    </i>
    <i r="2">
      <x v="6"/>
    </i>
    <i>
      <x v="3697"/>
      <x/>
      <x v="5"/>
    </i>
    <i>
      <x v="3698"/>
      <x v="2"/>
      <x v="3"/>
    </i>
    <i>
      <x v="3699"/>
      <x v="2"/>
      <x v="9"/>
    </i>
    <i>
      <x v="3700"/>
      <x v="2"/>
      <x v="3"/>
    </i>
    <i>
      <x v="3701"/>
      <x v="2"/>
      <x/>
    </i>
    <i>
      <x v="3702"/>
      <x v="5"/>
      <x v="10"/>
    </i>
    <i r="2">
      <x v="8"/>
    </i>
    <i>
      <x v="3703"/>
      <x v="5"/>
      <x v="10"/>
    </i>
    <i r="1">
      <x v="2"/>
      <x/>
    </i>
    <i>
      <x v="3704"/>
      <x v="3"/>
      <x v="3"/>
    </i>
    <i r="1">
      <x v="2"/>
      <x v="1"/>
    </i>
    <i>
      <x v="3705"/>
      <x/>
      <x v="7"/>
    </i>
    <i r="1">
      <x v="2"/>
      <x/>
    </i>
    <i>
      <x v="3706"/>
      <x v="3"/>
      <x v="2"/>
    </i>
    <i>
      <x v="3707"/>
      <x v="1"/>
      <x v="7"/>
    </i>
    <i>
      <x v="3708"/>
      <x v="2"/>
      <x v="7"/>
    </i>
    <i>
      <x v="3709"/>
      <x v="3"/>
      <x v="5"/>
    </i>
    <i r="2">
      <x/>
    </i>
    <i>
      <x v="3710"/>
      <x/>
      <x/>
    </i>
    <i>
      <x v="3711"/>
      <x v="1"/>
      <x v="9"/>
    </i>
    <i>
      <x v="3712"/>
      <x v="1"/>
      <x v="10"/>
    </i>
    <i>
      <x v="3713"/>
      <x v="3"/>
      <x v="2"/>
    </i>
    <i>
      <x v="3714"/>
      <x v="2"/>
      <x v="4"/>
    </i>
    <i r="2">
      <x v="6"/>
    </i>
    <i>
      <x v="3715"/>
      <x v="5"/>
      <x v="4"/>
    </i>
    <i r="1">
      <x v="2"/>
      <x v="6"/>
    </i>
    <i>
      <x v="3716"/>
      <x v="3"/>
      <x v="3"/>
    </i>
    <i>
      <x v="3717"/>
      <x/>
      <x v="5"/>
    </i>
    <i>
      <x v="3718"/>
      <x/>
      <x v="4"/>
    </i>
    <i>
      <x v="3719"/>
      <x/>
      <x v="6"/>
    </i>
    <i>
      <x v="3720"/>
      <x v="3"/>
      <x v="1"/>
    </i>
    <i>
      <x v="3721"/>
      <x/>
      <x v="1"/>
    </i>
    <i r="2">
      <x v="6"/>
    </i>
    <i>
      <x v="3722"/>
      <x v="2"/>
      <x v="2"/>
    </i>
    <i>
      <x v="3723"/>
      <x v="3"/>
      <x v="5"/>
    </i>
    <i r="1">
      <x v="2"/>
      <x v="4"/>
    </i>
    <i>
      <x v="3724"/>
      <x v="2"/>
      <x v="8"/>
    </i>
    <i>
      <x v="3725"/>
      <x v="1"/>
      <x v="8"/>
    </i>
    <i>
      <x v="3726"/>
      <x v="4"/>
      <x v="9"/>
    </i>
    <i>
      <x v="3727"/>
      <x v="1"/>
      <x v="6"/>
    </i>
    <i r="1">
      <x v="4"/>
      <x v="8"/>
    </i>
    <i>
      <x v="3728"/>
      <x v="2"/>
      <x v="1"/>
    </i>
    <i>
      <x v="3729"/>
      <x v="1"/>
      <x v="3"/>
    </i>
    <i r="2">
      <x v="2"/>
    </i>
    <i>
      <x v="3730"/>
      <x v="2"/>
      <x v="2"/>
    </i>
    <i r="2">
      <x v="8"/>
    </i>
    <i r="2">
      <x v="5"/>
    </i>
    <i>
      <x v="3731"/>
      <x/>
      <x v="8"/>
    </i>
    <i>
      <x v="3732"/>
      <x v="4"/>
      <x v="3"/>
    </i>
    <i>
      <x v="3733"/>
      <x v="5"/>
      <x v="3"/>
    </i>
    <i>
      <x v="3734"/>
      <x v="5"/>
      <x v="3"/>
    </i>
    <i r="2">
      <x v="5"/>
    </i>
    <i>
      <x v="3735"/>
      <x v="1"/>
      <x/>
    </i>
    <i>
      <x v="3736"/>
      <x v="4"/>
      <x v="3"/>
    </i>
    <i>
      <x v="3737"/>
      <x v="1"/>
      <x v="3"/>
    </i>
    <i>
      <x v="3738"/>
      <x v="5"/>
      <x v="6"/>
    </i>
    <i>
      <x v="3739"/>
      <x v="2"/>
      <x v="3"/>
    </i>
    <i r="2">
      <x v="2"/>
    </i>
    <i r="2">
      <x v="7"/>
    </i>
    <i>
      <x v="3740"/>
      <x v="2"/>
      <x v="8"/>
    </i>
    <i>
      <x v="3741"/>
      <x v="5"/>
      <x v="6"/>
    </i>
    <i>
      <x v="3742"/>
      <x/>
      <x v="3"/>
    </i>
    <i r="2">
      <x v="9"/>
    </i>
    <i r="2">
      <x v="4"/>
    </i>
    <i>
      <x v="3743"/>
      <x/>
      <x v="9"/>
    </i>
    <i r="2">
      <x v="6"/>
    </i>
    <i r="1">
      <x v="4"/>
      <x v="8"/>
    </i>
    <i>
      <x v="3744"/>
      <x/>
      <x v="8"/>
    </i>
    <i>
      <x v="3745"/>
      <x v="3"/>
      <x v="1"/>
    </i>
    <i r="1">
      <x/>
      <x v="4"/>
    </i>
    <i r="2">
      <x v="6"/>
    </i>
    <i r="1">
      <x v="2"/>
      <x v="6"/>
    </i>
    <i>
      <x v="3746"/>
      <x v="2"/>
      <x v="4"/>
    </i>
    <i>
      <x v="3747"/>
      <x v="4"/>
      <x v="7"/>
    </i>
    <i>
      <x v="3748"/>
      <x v="2"/>
      <x v="8"/>
    </i>
    <i>
      <x v="3749"/>
      <x v="2"/>
      <x v="3"/>
    </i>
    <i r="2">
      <x v="9"/>
    </i>
    <i>
      <x v="3750"/>
      <x v="3"/>
      <x v="10"/>
    </i>
    <i r="2">
      <x v="3"/>
    </i>
    <i r="2">
      <x v="9"/>
    </i>
    <i r="2">
      <x v="2"/>
    </i>
    <i>
      <x v="3751"/>
      <x v="3"/>
      <x v="6"/>
    </i>
    <i>
      <x v="3752"/>
      <x v="3"/>
      <x v="10"/>
    </i>
    <i>
      <x v="3753"/>
      <x v="1"/>
      <x v="7"/>
    </i>
    <i r="1">
      <x v="2"/>
      <x v="2"/>
    </i>
    <i>
      <x v="3754"/>
      <x v="1"/>
      <x v="3"/>
    </i>
    <i>
      <x v="3755"/>
      <x v="3"/>
      <x v="1"/>
    </i>
    <i>
      <x v="3756"/>
      <x/>
      <x v="4"/>
    </i>
    <i r="1">
      <x v="4"/>
      <x v="2"/>
    </i>
    <i r="1">
      <x v="2"/>
      <x v="6"/>
    </i>
    <i>
      <x v="3757"/>
      <x v="2"/>
      <x v="9"/>
    </i>
    <i>
      <x v="3758"/>
      <x/>
      <x v="9"/>
    </i>
    <i r="1">
      <x v="5"/>
      <x v="7"/>
    </i>
    <i>
      <x v="3759"/>
      <x v="1"/>
      <x v="1"/>
    </i>
    <i>
      <x v="3760"/>
      <x/>
      <x v="1"/>
    </i>
    <i r="2">
      <x v="9"/>
    </i>
    <i>
      <x v="3761"/>
      <x/>
      <x v="2"/>
    </i>
    <i>
      <x v="3762"/>
      <x/>
      <x v="5"/>
    </i>
    <i>
      <x v="3763"/>
      <x v="4"/>
      <x v="1"/>
    </i>
    <i>
      <x v="3764"/>
      <x v="5"/>
      <x v="5"/>
    </i>
    <i>
      <x v="3765"/>
      <x/>
      <x v="3"/>
    </i>
    <i>
      <x v="3766"/>
      <x v="5"/>
      <x v="6"/>
    </i>
    <i>
      <x v="3767"/>
      <x v="3"/>
      <x v="6"/>
    </i>
    <i>
      <x v="3768"/>
      <x v="3"/>
      <x v="5"/>
    </i>
    <i>
      <x v="3769"/>
      <x v="3"/>
      <x v="9"/>
    </i>
    <i r="2">
      <x v="6"/>
    </i>
    <i>
      <x v="3770"/>
      <x v="3"/>
      <x v="10"/>
    </i>
    <i>
      <x v="3771"/>
      <x v="4"/>
      <x v="3"/>
    </i>
    <i r="2">
      <x v="2"/>
    </i>
    <i>
      <x v="3772"/>
      <x v="3"/>
      <x v="8"/>
    </i>
    <i>
      <x v="3773"/>
      <x v="1"/>
      <x v="5"/>
    </i>
    <i>
      <x v="3774"/>
      <x v="5"/>
      <x v="6"/>
    </i>
    <i>
      <x v="3775"/>
      <x v="3"/>
      <x/>
    </i>
    <i>
      <x v="3776"/>
      <x v="1"/>
      <x v="9"/>
    </i>
    <i r="2">
      <x v="7"/>
    </i>
    <i r="1">
      <x/>
      <x v="5"/>
    </i>
    <i>
      <x v="3777"/>
      <x/>
      <x v="6"/>
    </i>
    <i>
      <x v="3778"/>
      <x v="2"/>
      <x v="5"/>
    </i>
    <i r="2">
      <x v="7"/>
    </i>
    <i>
      <x v="3779"/>
      <x v="2"/>
      <x v="6"/>
    </i>
    <i>
      <x v="3780"/>
      <x v="2"/>
      <x v="3"/>
    </i>
    <i>
      <x v="3781"/>
      <x v="1"/>
      <x v="10"/>
    </i>
    <i>
      <x v="3782"/>
      <x/>
      <x v="3"/>
    </i>
    <i r="2">
      <x v="5"/>
    </i>
    <i>
      <x v="3783"/>
      <x v="5"/>
      <x/>
    </i>
    <i>
      <x v="3784"/>
      <x v="2"/>
      <x v="7"/>
    </i>
    <i>
      <x v="3785"/>
      <x v="1"/>
      <x v="10"/>
    </i>
    <i r="2">
      <x v="3"/>
    </i>
    <i r="2">
      <x v="7"/>
    </i>
    <i>
      <x v="3786"/>
      <x v="3"/>
      <x v="8"/>
    </i>
    <i>
      <x v="3787"/>
      <x v="3"/>
      <x v="2"/>
    </i>
    <i>
      <x v="3788"/>
      <x v="5"/>
      <x v="9"/>
    </i>
    <i r="2">
      <x v="4"/>
    </i>
    <i>
      <x v="3789"/>
      <x v="1"/>
      <x v="9"/>
    </i>
    <i r="1">
      <x v="5"/>
      <x v="1"/>
    </i>
    <i r="2">
      <x v="9"/>
    </i>
    <i r="2">
      <x v="6"/>
    </i>
    <i>
      <x v="3790"/>
      <x v="5"/>
      <x v="10"/>
    </i>
    <i r="2">
      <x v="1"/>
    </i>
    <i>
      <x v="3791"/>
      <x/>
      <x v="2"/>
    </i>
    <i>
      <x v="3792"/>
      <x/>
      <x v="7"/>
    </i>
    <i>
      <x v="3793"/>
      <x/>
      <x v="10"/>
    </i>
    <i r="2">
      <x v="9"/>
    </i>
    <i>
      <x v="3794"/>
      <x v="3"/>
      <x v="2"/>
    </i>
    <i>
      <x v="3795"/>
      <x v="3"/>
      <x v="5"/>
    </i>
    <i>
      <x v="3796"/>
      <x v="4"/>
      <x/>
    </i>
    <i>
      <x v="3797"/>
      <x v="4"/>
      <x v="5"/>
    </i>
    <i>
      <x v="3798"/>
      <x v="4"/>
      <x v="2"/>
    </i>
    <i r="2">
      <x v="8"/>
    </i>
    <i r="2">
      <x/>
    </i>
    <i>
      <x v="3799"/>
      <x v="4"/>
      <x v="9"/>
    </i>
    <i>
      <x v="3800"/>
      <x v="4"/>
      <x v="10"/>
    </i>
    <i r="2">
      <x v="4"/>
    </i>
    <i>
      <x v="3801"/>
      <x v="2"/>
      <x v="10"/>
    </i>
    <i>
      <x v="3802"/>
      <x v="1"/>
      <x v="10"/>
    </i>
    <i>
      <x v="3803"/>
      <x v="1"/>
      <x v="7"/>
    </i>
    <i>
      <x v="3804"/>
      <x v="2"/>
      <x v="9"/>
    </i>
    <i>
      <x v="3805"/>
      <x v="5"/>
      <x v="6"/>
    </i>
    <i>
      <x v="3806"/>
      <x/>
      <x v="2"/>
    </i>
    <i>
      <x v="3807"/>
      <x v="3"/>
      <x v="2"/>
    </i>
    <i r="2">
      <x/>
    </i>
    <i>
      <x v="3808"/>
      <x/>
      <x v="2"/>
    </i>
    <i r="2">
      <x v="4"/>
    </i>
    <i>
      <x v="3809"/>
      <x v="2"/>
      <x v="10"/>
    </i>
    <i>
      <x v="3810"/>
      <x v="5"/>
      <x/>
    </i>
    <i>
      <x v="3811"/>
      <x v="5"/>
      <x v="5"/>
    </i>
    <i>
      <x v="3812"/>
      <x v="3"/>
      <x v="4"/>
    </i>
    <i>
      <x v="3813"/>
      <x v="4"/>
      <x v="9"/>
    </i>
    <i>
      <x v="3814"/>
      <x v="2"/>
      <x v="8"/>
    </i>
    <i>
      <x v="3815"/>
      <x v="5"/>
      <x v="6"/>
    </i>
    <i>
      <x v="3816"/>
      <x v="2"/>
      <x v="10"/>
    </i>
    <i r="2">
      <x/>
    </i>
    <i>
      <x v="3817"/>
      <x v="4"/>
      <x v="6"/>
    </i>
    <i>
      <x v="3818"/>
      <x v="1"/>
      <x v="1"/>
    </i>
    <i>
      <x v="3819"/>
      <x v="2"/>
      <x v="1"/>
    </i>
    <i r="2">
      <x v="2"/>
    </i>
    <i r="2">
      <x v="5"/>
    </i>
    <i>
      <x v="3820"/>
      <x v="4"/>
      <x v="5"/>
    </i>
    <i r="1">
      <x v="2"/>
      <x v="5"/>
    </i>
    <i>
      <x v="3821"/>
      <x v="4"/>
      <x v="8"/>
    </i>
    <i>
      <x v="3822"/>
      <x v="3"/>
      <x v="2"/>
    </i>
    <i r="1">
      <x v="2"/>
      <x v="4"/>
    </i>
    <i>
      <x v="3823"/>
      <x v="5"/>
      <x v="3"/>
    </i>
    <i r="2">
      <x v="5"/>
    </i>
    <i r="2">
      <x/>
    </i>
    <i r="1">
      <x v="4"/>
      <x/>
    </i>
    <i r="2">
      <x v="6"/>
    </i>
    <i>
      <x v="3824"/>
      <x v="5"/>
      <x v="1"/>
    </i>
    <i>
      <x v="3825"/>
      <x v="1"/>
      <x/>
    </i>
    <i r="1">
      <x v="2"/>
      <x v="9"/>
    </i>
    <i>
      <x v="3826"/>
      <x v="3"/>
      <x v="1"/>
    </i>
    <i>
      <x v="3827"/>
      <x/>
      <x v="9"/>
    </i>
    <i>
      <x v="3828"/>
      <x v="2"/>
      <x v="3"/>
    </i>
    <i r="2">
      <x v="8"/>
    </i>
    <i r="2">
      <x v="6"/>
    </i>
    <i>
      <x v="3829"/>
      <x v="2"/>
      <x v="7"/>
    </i>
    <i>
      <x v="3830"/>
      <x v="4"/>
      <x v="9"/>
    </i>
    <i>
      <x v="3831"/>
      <x v="4"/>
      <x v="6"/>
    </i>
    <i>
      <x v="3832"/>
      <x v="4"/>
      <x v="10"/>
    </i>
    <i r="2">
      <x v="2"/>
    </i>
    <i>
      <x v="3833"/>
      <x v="4"/>
      <x v="8"/>
    </i>
    <i r="2">
      <x v="5"/>
    </i>
    <i>
      <x v="3834"/>
      <x v="2"/>
      <x v="6"/>
    </i>
    <i>
      <x v="3835"/>
      <x v="3"/>
      <x v="1"/>
    </i>
    <i>
      <x v="3836"/>
      <x v="2"/>
      <x v="6"/>
    </i>
    <i>
      <x v="3837"/>
      <x v="2"/>
      <x v="2"/>
    </i>
    <i r="2">
      <x v="7"/>
    </i>
    <i>
      <x v="3838"/>
      <x v="3"/>
      <x/>
    </i>
    <i>
      <x v="3839"/>
      <x/>
      <x v="1"/>
    </i>
    <i>
      <x v="3840"/>
      <x v="3"/>
      <x v="1"/>
    </i>
    <i>
      <x v="3841"/>
      <x v="3"/>
      <x v="2"/>
    </i>
    <i r="2">
      <x/>
    </i>
    <i>
      <x v="3842"/>
      <x v="2"/>
      <x v="9"/>
    </i>
    <i>
      <x v="3843"/>
      <x v="1"/>
      <x v="4"/>
    </i>
    <i>
      <x v="3844"/>
      <x v="5"/>
      <x v="2"/>
    </i>
    <i>
      <x v="3845"/>
      <x v="5"/>
      <x v="4"/>
    </i>
    <i>
      <x v="3846"/>
      <x/>
      <x v="10"/>
    </i>
    <i r="2">
      <x v="5"/>
    </i>
    <i r="2">
      <x/>
    </i>
    <i>
      <x v="3847"/>
      <x v="3"/>
      <x v="5"/>
    </i>
    <i>
      <x v="3848"/>
      <x v="2"/>
      <x v="4"/>
    </i>
    <i r="2">
      <x v="7"/>
    </i>
    <i>
      <x v="3849"/>
      <x v="3"/>
      <x v="1"/>
    </i>
    <i r="2">
      <x v="5"/>
    </i>
    <i>
      <x v="3850"/>
      <x/>
      <x v="6"/>
    </i>
    <i r="1">
      <x v="5"/>
      <x v="8"/>
    </i>
    <i>
      <x v="3851"/>
      <x/>
      <x v="4"/>
    </i>
    <i>
      <x v="3852"/>
      <x/>
      <x v="7"/>
    </i>
    <i r="1">
      <x v="5"/>
      <x v="10"/>
    </i>
    <i r="2">
      <x v="5"/>
    </i>
    <i>
      <x v="3853"/>
      <x v="5"/>
      <x/>
    </i>
    <i>
      <x v="3854"/>
      <x v="4"/>
      <x v="1"/>
    </i>
    <i r="2">
      <x v="2"/>
    </i>
    <i r="2">
      <x/>
    </i>
    <i>
      <x v="3855"/>
      <x v="5"/>
      <x v="5"/>
    </i>
    <i r="2">
      <x v="7"/>
    </i>
    <i>
      <x v="3856"/>
      <x v="3"/>
      <x v="8"/>
    </i>
    <i r="1">
      <x/>
      <x v="10"/>
    </i>
    <i>
      <x v="3857"/>
      <x v="2"/>
      <x/>
    </i>
    <i>
      <x v="3858"/>
      <x/>
      <x v="2"/>
    </i>
    <i r="2">
      <x/>
    </i>
    <i>
      <x v="3859"/>
      <x/>
      <x v="10"/>
    </i>
    <i>
      <x v="3860"/>
      <x v="2"/>
      <x v="2"/>
    </i>
    <i>
      <x v="3861"/>
      <x v="5"/>
      <x v="10"/>
    </i>
    <i r="1">
      <x v="2"/>
      <x v="10"/>
    </i>
    <i>
      <x v="3862"/>
      <x v="2"/>
      <x v="2"/>
    </i>
    <i r="2">
      <x v="4"/>
    </i>
    <i>
      <x v="3863"/>
      <x v="2"/>
      <x v="7"/>
    </i>
    <i>
      <x v="3864"/>
      <x v="2"/>
      <x v="1"/>
    </i>
    <i>
      <x v="3865"/>
      <x v="2"/>
      <x v="6"/>
    </i>
    <i>
      <x v="3866"/>
      <x v="2"/>
      <x v="7"/>
    </i>
    <i>
      <x v="3867"/>
      <x v="2"/>
      <x v="7"/>
    </i>
    <i>
      <x v="3868"/>
      <x/>
      <x v="10"/>
    </i>
    <i>
      <x v="3869"/>
      <x v="4"/>
      <x v="10"/>
    </i>
    <i>
      <x v="3870"/>
      <x/>
      <x v="7"/>
    </i>
    <i r="1">
      <x v="5"/>
      <x v="2"/>
    </i>
    <i>
      <x v="3871"/>
      <x v="3"/>
      <x v="7"/>
    </i>
    <i>
      <x v="3872"/>
      <x v="3"/>
      <x v="5"/>
    </i>
    <i>
      <x v="3873"/>
      <x v="3"/>
      <x v="9"/>
    </i>
    <i r="2">
      <x v="6"/>
    </i>
    <i r="1">
      <x/>
      <x v="9"/>
    </i>
    <i>
      <x v="3874"/>
      <x/>
      <x v="4"/>
    </i>
    <i r="2">
      <x v="5"/>
    </i>
    <i>
      <x v="3875"/>
      <x/>
      <x/>
    </i>
    <i>
      <x v="3876"/>
      <x v="4"/>
      <x v="3"/>
    </i>
    <i>
      <x v="3877"/>
      <x v="5"/>
      <x v="7"/>
    </i>
    <i>
      <x v="3878"/>
      <x v="5"/>
      <x v="7"/>
    </i>
    <i>
      <x v="3879"/>
      <x v="5"/>
      <x v="9"/>
    </i>
    <i>
      <x v="3880"/>
      <x/>
      <x v="6"/>
    </i>
    <i r="1">
      <x v="4"/>
      <x v="8"/>
    </i>
    <i>
      <x v="3881"/>
      <x v="2"/>
      <x v="1"/>
    </i>
    <i>
      <x v="3882"/>
      <x v="1"/>
      <x v="9"/>
    </i>
    <i>
      <x v="3883"/>
      <x v="1"/>
      <x v="8"/>
    </i>
    <i r="2">
      <x/>
    </i>
    <i>
      <x v="3884"/>
      <x v="4"/>
      <x v="2"/>
    </i>
    <i>
      <x v="3885"/>
      <x v="2"/>
      <x v="2"/>
    </i>
    <i>
      <x v="3886"/>
      <x v="4"/>
      <x v="7"/>
    </i>
    <i>
      <x v="3887"/>
      <x v="1"/>
      <x v="9"/>
    </i>
    <i r="2">
      <x v="8"/>
    </i>
    <i>
      <x v="3888"/>
      <x v="1"/>
      <x v="1"/>
    </i>
    <i>
      <x v="3889"/>
      <x v="3"/>
      <x/>
    </i>
    <i>
      <x v="3890"/>
      <x/>
      <x v="8"/>
    </i>
    <i r="2">
      <x v="7"/>
    </i>
    <i>
      <x v="3891"/>
      <x v="3"/>
      <x v="5"/>
    </i>
    <i r="1">
      <x/>
      <x v="5"/>
    </i>
    <i>
      <x v="3892"/>
      <x v="1"/>
      <x v="9"/>
    </i>
    <i r="2">
      <x v="2"/>
    </i>
    <i>
      <x v="3893"/>
      <x v="1"/>
      <x v="1"/>
    </i>
    <i r="2">
      <x v="9"/>
    </i>
    <i r="2">
      <x v="2"/>
    </i>
    <i r="2">
      <x v="4"/>
    </i>
    <i>
      <x v="3894"/>
      <x v="2"/>
      <x/>
    </i>
    <i r="2">
      <x v="6"/>
    </i>
    <i>
      <x v="3895"/>
      <x v="2"/>
      <x v="5"/>
    </i>
    <i>
      <x v="3896"/>
      <x v="3"/>
      <x v="2"/>
    </i>
    <i>
      <x v="3897"/>
      <x v="3"/>
      <x v="6"/>
    </i>
    <i>
      <x v="3898"/>
      <x v="4"/>
      <x v="7"/>
    </i>
    <i>
      <x v="3899"/>
      <x v="2"/>
      <x v="9"/>
    </i>
    <i>
      <x v="3900"/>
      <x v="4"/>
      <x v="2"/>
    </i>
    <i>
      <x v="3901"/>
      <x v="2"/>
      <x v="6"/>
    </i>
    <i>
      <x v="3902"/>
      <x v="4"/>
      <x v="6"/>
    </i>
    <i>
      <x v="3903"/>
      <x v="4"/>
      <x v="9"/>
    </i>
    <i r="2">
      <x v="2"/>
    </i>
    <i>
      <x v="3904"/>
      <x v="4"/>
      <x v="3"/>
    </i>
    <i>
      <x v="3905"/>
      <x v="4"/>
      <x v="10"/>
    </i>
    <i>
      <x v="3906"/>
      <x v="5"/>
      <x v="8"/>
    </i>
    <i r="1">
      <x v="4"/>
      <x v="10"/>
    </i>
    <i>
      <x v="3907"/>
      <x v="5"/>
      <x v="3"/>
    </i>
    <i>
      <x v="3908"/>
      <x v="2"/>
      <x v="10"/>
    </i>
    <i r="2">
      <x v="6"/>
    </i>
    <i>
      <x v="3909"/>
      <x v="2"/>
      <x v="8"/>
    </i>
    <i>
      <x v="3910"/>
      <x/>
      <x/>
    </i>
    <i>
      <x v="3911"/>
      <x v="3"/>
      <x/>
    </i>
    <i>
      <x v="3912"/>
      <x v="2"/>
      <x v="9"/>
    </i>
    <i r="2">
      <x v="8"/>
    </i>
    <i>
      <x v="3913"/>
      <x/>
      <x v="6"/>
    </i>
    <i>
      <x v="3914"/>
      <x v="3"/>
      <x v="5"/>
    </i>
    <i>
      <x v="3915"/>
      <x/>
      <x v="4"/>
    </i>
    <i>
      <x v="3916"/>
      <x v="3"/>
      <x v="4"/>
    </i>
    <i r="2">
      <x v="5"/>
    </i>
    <i>
      <x v="3917"/>
      <x v="2"/>
      <x v="2"/>
    </i>
    <i>
      <x v="3918"/>
      <x v="2"/>
      <x/>
    </i>
    <i>
      <x v="3919"/>
      <x/>
      <x/>
    </i>
    <i>
      <x v="3920"/>
      <x v="5"/>
      <x v="9"/>
    </i>
    <i r="2">
      <x v="2"/>
    </i>
    <i r="2">
      <x v="8"/>
    </i>
    <i>
      <x v="3921"/>
      <x v="3"/>
      <x v="4"/>
    </i>
    <i>
      <x v="3922"/>
      <x v="3"/>
      <x v="5"/>
    </i>
    <i r="2">
      <x v="7"/>
    </i>
    <i>
      <x v="3923"/>
      <x v="4"/>
      <x v="2"/>
    </i>
    <i r="2">
      <x v="4"/>
    </i>
    <i>
      <x v="3924"/>
      <x/>
      <x/>
    </i>
    <i>
      <x v="3925"/>
      <x v="4"/>
      <x v="1"/>
    </i>
    <i>
      <x v="3926"/>
      <x v="2"/>
      <x v="4"/>
    </i>
    <i>
      <x v="3927"/>
      <x v="2"/>
      <x v="3"/>
    </i>
    <i>
      <x v="3928"/>
      <x v="2"/>
      <x v="1"/>
    </i>
    <i>
      <x v="3929"/>
      <x v="1"/>
      <x v="7"/>
    </i>
    <i r="1">
      <x v="2"/>
      <x/>
    </i>
    <i r="2">
      <x v="6"/>
    </i>
    <i>
      <x v="3930"/>
      <x v="4"/>
      <x/>
    </i>
    <i r="1">
      <x v="2"/>
      <x v="2"/>
    </i>
    <i>
      <x v="3931"/>
      <x v="3"/>
      <x v="1"/>
    </i>
    <i>
      <x v="3932"/>
      <x v="5"/>
      <x v="8"/>
    </i>
    <i r="2">
      <x v="4"/>
    </i>
    <i>
      <x v="3933"/>
      <x v="1"/>
      <x v="8"/>
    </i>
    <i>
      <x v="3934"/>
      <x v="3"/>
      <x v="5"/>
    </i>
    <i r="2">
      <x/>
    </i>
    <i>
      <x v="3935"/>
      <x v="2"/>
      <x v="10"/>
    </i>
    <i r="2">
      <x v="4"/>
    </i>
    <i>
      <x v="3936"/>
      <x/>
      <x v="3"/>
    </i>
    <i>
      <x v="3937"/>
      <x v="2"/>
      <x v="1"/>
    </i>
    <i r="2">
      <x v="2"/>
    </i>
    <i>
      <x v="3938"/>
      <x/>
      <x v="6"/>
    </i>
    <i>
      <x v="3939"/>
      <x v="2"/>
      <x v="3"/>
    </i>
    <i>
      <x v="3940"/>
      <x v="2"/>
      <x v="4"/>
    </i>
    <i r="2">
      <x/>
    </i>
    <i>
      <x v="3941"/>
      <x v="5"/>
      <x v="2"/>
    </i>
    <i r="1">
      <x v="4"/>
      <x v="5"/>
    </i>
    <i>
      <x v="3942"/>
      <x v="2"/>
      <x v="10"/>
    </i>
    <i>
      <x v="3943"/>
      <x v="3"/>
      <x v="3"/>
    </i>
    <i r="2">
      <x v="8"/>
    </i>
    <i r="1">
      <x v="1"/>
      <x v="10"/>
    </i>
    <i>
      <x v="3944"/>
      <x v="4"/>
      <x v="2"/>
    </i>
    <i>
      <x v="3945"/>
      <x v="3"/>
      <x v="4"/>
    </i>
    <i>
      <x v="3946"/>
      <x v="3"/>
      <x v="1"/>
    </i>
    <i>
      <x v="3947"/>
      <x v="3"/>
      <x v="2"/>
    </i>
    <i>
      <x v="3948"/>
      <x/>
      <x/>
    </i>
    <i>
      <x v="3949"/>
      <x v="3"/>
      <x v="10"/>
    </i>
    <i>
      <x v="3950"/>
      <x v="3"/>
      <x v="9"/>
    </i>
    <i r="2">
      <x v="7"/>
    </i>
    <i>
      <x v="3951"/>
      <x/>
      <x v="9"/>
    </i>
    <i>
      <x v="3952"/>
      <x v="5"/>
      <x v="8"/>
    </i>
    <i>
      <x v="3953"/>
      <x v="3"/>
      <x v="9"/>
    </i>
    <i>
      <x v="3954"/>
      <x v="5"/>
      <x v="5"/>
    </i>
    <i>
      <x v="3955"/>
      <x v="5"/>
      <x v="7"/>
    </i>
    <i>
      <x v="3956"/>
      <x v="2"/>
      <x v="8"/>
    </i>
    <i>
      <x v="3957"/>
      <x/>
      <x v="3"/>
    </i>
    <i r="1">
      <x v="2"/>
      <x v="1"/>
    </i>
    <i>
      <x v="3958"/>
      <x/>
      <x v="10"/>
    </i>
    <i r="2">
      <x v="7"/>
    </i>
    <i>
      <x v="3959"/>
      <x v="1"/>
      <x v="3"/>
    </i>
    <i r="2">
      <x v="1"/>
    </i>
    <i r="2">
      <x v="9"/>
    </i>
    <i r="2">
      <x v="5"/>
    </i>
    <i>
      <x v="3960"/>
      <x v="2"/>
      <x v="6"/>
    </i>
    <i>
      <x v="3961"/>
      <x v="3"/>
      <x v="10"/>
    </i>
    <i>
      <x v="3962"/>
      <x v="1"/>
      <x v="7"/>
    </i>
    <i>
      <x v="3963"/>
      <x v="3"/>
      <x v="7"/>
    </i>
    <i r="1">
      <x v="1"/>
      <x v="7"/>
    </i>
    <i>
      <x v="3964"/>
      <x v="5"/>
      <x v="9"/>
    </i>
    <i r="2">
      <x v="2"/>
    </i>
    <i>
      <x v="3965"/>
      <x v="4"/>
      <x v="10"/>
    </i>
    <i r="2">
      <x v="4"/>
    </i>
    <i>
      <x v="3966"/>
      <x v="2"/>
      <x v="5"/>
    </i>
    <i>
      <x v="3967"/>
      <x v="2"/>
      <x v="2"/>
    </i>
    <i>
      <x v="3968"/>
      <x v="3"/>
      <x v="2"/>
    </i>
    <i>
      <x v="3969"/>
      <x/>
      <x v="9"/>
    </i>
    <i>
      <x v="3970"/>
      <x/>
      <x v="5"/>
    </i>
    <i>
      <x v="3971"/>
      <x v="1"/>
      <x v="1"/>
    </i>
    <i r="2">
      <x v="8"/>
    </i>
    <i>
      <x v="3972"/>
      <x v="4"/>
      <x v="10"/>
    </i>
    <i r="2">
      <x v="7"/>
    </i>
    <i>
      <x v="3973"/>
      <x v="4"/>
      <x v="3"/>
    </i>
    <i>
      <x v="3974"/>
      <x/>
      <x v="10"/>
    </i>
    <i r="1">
      <x v="4"/>
      <x v="1"/>
    </i>
    <i>
      <x v="3975"/>
      <x v="2"/>
      <x v="8"/>
    </i>
    <i r="2">
      <x v="7"/>
    </i>
    <i>
      <x v="3976"/>
      <x v="3"/>
      <x v="2"/>
    </i>
    <i>
      <x v="3977"/>
      <x v="2"/>
      <x/>
    </i>
    <i>
      <x v="3978"/>
      <x v="4"/>
      <x v="8"/>
    </i>
    <i>
      <x v="3979"/>
      <x v="5"/>
      <x v="6"/>
    </i>
    <i r="1">
      <x v="2"/>
      <x/>
    </i>
    <i>
      <x v="3980"/>
      <x/>
      <x v="3"/>
    </i>
    <i r="2">
      <x v="5"/>
    </i>
    <i r="2">
      <x v="6"/>
    </i>
    <i>
      <x v="3981"/>
      <x v="2"/>
      <x v="10"/>
    </i>
    <i>
      <x v="3982"/>
      <x v="3"/>
      <x v="9"/>
    </i>
    <i r="2">
      <x v="7"/>
    </i>
    <i>
      <x v="3983"/>
      <x v="3"/>
      <x v="6"/>
    </i>
    <i>
      <x v="3984"/>
      <x v="3"/>
      <x v="4"/>
    </i>
    <i r="1">
      <x v="1"/>
      <x v="5"/>
    </i>
    <i>
      <x v="3985"/>
      <x v="1"/>
      <x v="3"/>
    </i>
    <i r="2">
      <x v="4"/>
    </i>
    <i>
      <x v="3986"/>
      <x v="3"/>
      <x v="10"/>
    </i>
    <i>
      <x v="3987"/>
      <x v="2"/>
      <x v="9"/>
    </i>
    <i>
      <x v="3988"/>
      <x v="4"/>
      <x v="8"/>
    </i>
    <i>
      <x v="3989"/>
      <x v="4"/>
      <x/>
    </i>
    <i>
      <x v="3990"/>
      <x v="2"/>
      <x v="3"/>
    </i>
    <i r="2">
      <x v="6"/>
    </i>
    <i>
      <x v="3991"/>
      <x v="2"/>
      <x v="3"/>
    </i>
    <i>
      <x v="3992"/>
      <x v="2"/>
      <x v="8"/>
    </i>
    <i>
      <x v="3993"/>
      <x v="4"/>
      <x v="8"/>
    </i>
    <i>
      <x v="3994"/>
      <x/>
      <x v="2"/>
    </i>
    <i r="2">
      <x v="4"/>
    </i>
    <i>
      <x v="3995"/>
      <x/>
      <x v="2"/>
    </i>
    <i>
      <x v="3996"/>
      <x v="2"/>
      <x v="3"/>
    </i>
    <i r="2">
      <x v="2"/>
    </i>
    <i>
      <x v="3997"/>
      <x v="2"/>
      <x/>
    </i>
    <i>
      <x v="3998"/>
      <x v="3"/>
      <x v="9"/>
    </i>
    <i>
      <x v="3999"/>
      <x/>
      <x v="6"/>
    </i>
    <i>
      <x v="4000"/>
      <x v="3"/>
      <x v="5"/>
    </i>
    <i>
      <x v="4001"/>
      <x v="3"/>
      <x v="4"/>
    </i>
    <i>
      <x v="4002"/>
      <x v="2"/>
      <x v="7"/>
    </i>
    <i>
      <x v="4003"/>
      <x v="3"/>
      <x v="10"/>
    </i>
    <i r="2">
      <x v="5"/>
    </i>
    <i>
      <x v="4004"/>
      <x v="3"/>
      <x v="1"/>
    </i>
    <i>
      <x v="4005"/>
      <x v="3"/>
      <x v="5"/>
    </i>
    <i>
      <x v="4006"/>
      <x v="5"/>
      <x v="9"/>
    </i>
    <i>
      <x v="4007"/>
      <x v="1"/>
      <x v="10"/>
    </i>
    <i>
      <x v="4008"/>
      <x v="3"/>
      <x v="8"/>
    </i>
    <i>
      <x v="4009"/>
      <x v="3"/>
      <x v="8"/>
    </i>
    <i r="2">
      <x v="7"/>
    </i>
    <i r="1">
      <x v="2"/>
      <x v="2"/>
    </i>
    <i>
      <x v="4010"/>
      <x v="2"/>
      <x v="8"/>
    </i>
    <i r="2">
      <x v="5"/>
    </i>
    <i>
      <x v="4011"/>
      <x v="2"/>
      <x v="6"/>
    </i>
    <i>
      <x v="4012"/>
      <x v="3"/>
      <x v="4"/>
    </i>
    <i>
      <x v="4013"/>
      <x/>
      <x v="7"/>
    </i>
    <i r="2">
      <x v="6"/>
    </i>
    <i>
      <x v="4014"/>
      <x v="2"/>
      <x v="1"/>
    </i>
    <i>
      <x v="4015"/>
      <x v="3"/>
      <x v="2"/>
    </i>
    <i r="2">
      <x v="6"/>
    </i>
    <i>
      <x v="4016"/>
      <x v="3"/>
      <x v="3"/>
    </i>
    <i>
      <x v="4017"/>
      <x v="3"/>
      <x v="1"/>
    </i>
    <i>
      <x v="4018"/>
      <x v="1"/>
      <x v="10"/>
    </i>
    <i>
      <x v="4019"/>
      <x v="1"/>
      <x v="2"/>
    </i>
    <i>
      <x v="4020"/>
      <x v="3"/>
      <x v="6"/>
    </i>
    <i r="1">
      <x/>
      <x v="5"/>
    </i>
    <i r="1">
      <x v="2"/>
      <x v="3"/>
    </i>
    <i r="2">
      <x v="4"/>
    </i>
    <i>
      <x v="4021"/>
      <x v="5"/>
      <x v="2"/>
    </i>
    <i r="1">
      <x v="4"/>
      <x v="9"/>
    </i>
    <i>
      <x v="4022"/>
      <x v="5"/>
      <x v="10"/>
    </i>
    <i r="2">
      <x v="6"/>
    </i>
    <i>
      <x v="4023"/>
      <x v="5"/>
      <x v="5"/>
    </i>
    <i>
      <x v="4024"/>
      <x v="5"/>
      <x v="7"/>
    </i>
    <i>
      <x v="4025"/>
      <x/>
      <x v="10"/>
    </i>
    <i>
      <x v="4026"/>
      <x/>
      <x v="5"/>
    </i>
    <i r="2">
      <x v="7"/>
    </i>
    <i>
      <x v="4027"/>
      <x v="4"/>
      <x v="4"/>
    </i>
    <i>
      <x v="4028"/>
      <x v="4"/>
      <x v="5"/>
    </i>
    <i>
      <x v="4029"/>
      <x v="4"/>
      <x v="6"/>
    </i>
    <i r="1">
      <x v="2"/>
      <x v="4"/>
    </i>
    <i r="2">
      <x v="5"/>
    </i>
    <i>
      <x v="4030"/>
      <x v="3"/>
      <x v="5"/>
    </i>
    <i>
      <x v="4031"/>
      <x v="4"/>
      <x v="3"/>
    </i>
    <i>
      <x v="4032"/>
      <x v="4"/>
      <x v="7"/>
    </i>
    <i>
      <x v="4033"/>
      <x v="4"/>
      <x v="8"/>
    </i>
    <i r="2">
      <x v="6"/>
    </i>
    <i>
      <x v="4034"/>
      <x/>
      <x v="6"/>
    </i>
    <i>
      <x v="4035"/>
      <x v="4"/>
      <x v="10"/>
    </i>
    <i>
      <x v="4036"/>
      <x/>
      <x v="10"/>
    </i>
    <i>
      <x v="4037"/>
      <x v="4"/>
      <x v="10"/>
    </i>
    <i>
      <x v="4038"/>
      <x v="5"/>
      <x/>
    </i>
    <i>
      <x v="4039"/>
      <x v="5"/>
      <x v="7"/>
    </i>
    <i>
      <x v="4040"/>
      <x v="2"/>
      <x v="9"/>
    </i>
    <i r="2">
      <x/>
    </i>
    <i>
      <x v="4041"/>
      <x v="2"/>
      <x v="4"/>
    </i>
    <i r="2">
      <x v="6"/>
    </i>
    <i>
      <x v="4042"/>
      <x v="1"/>
      <x v="5"/>
    </i>
    <i r="2">
      <x v="7"/>
    </i>
    <i>
      <x v="4043"/>
      <x v="5"/>
      <x v="9"/>
    </i>
    <i>
      <x v="4044"/>
      <x v="1"/>
      <x v="7"/>
    </i>
    <i r="1">
      <x v="5"/>
      <x v="8"/>
    </i>
    <i>
      <x v="4045"/>
      <x v="2"/>
      <x v="3"/>
    </i>
    <i r="2">
      <x v="5"/>
    </i>
    <i>
      <x v="4046"/>
      <x v="5"/>
      <x v="2"/>
    </i>
    <i r="2">
      <x v="8"/>
    </i>
    <i>
      <x v="4047"/>
      <x v="2"/>
      <x v="10"/>
    </i>
    <i r="2">
      <x v="1"/>
    </i>
    <i>
      <x v="4048"/>
      <x v="2"/>
      <x v="4"/>
    </i>
    <i r="2">
      <x/>
    </i>
    <i>
      <x v="4049"/>
      <x v="2"/>
      <x v="10"/>
    </i>
    <i>
      <x v="4050"/>
      <x v="1"/>
      <x v="6"/>
    </i>
    <i>
      <x v="4051"/>
      <x v="1"/>
      <x v="1"/>
    </i>
    <i r="2">
      <x v="5"/>
    </i>
    <i r="1">
      <x v="2"/>
      <x v="6"/>
    </i>
    <i>
      <x v="4052"/>
      <x v="1"/>
      <x v="4"/>
    </i>
    <i r="2">
      <x v="5"/>
    </i>
    <i r="2">
      <x v="7"/>
    </i>
    <i>
      <x v="4053"/>
      <x v="2"/>
      <x v="4"/>
    </i>
    <i>
      <x v="4054"/>
      <x v="2"/>
      <x v="8"/>
    </i>
    <i>
      <x v="4055"/>
      <x v="3"/>
      <x v="7"/>
    </i>
    <i>
      <x v="4056"/>
      <x/>
      <x v="7"/>
    </i>
    <i>
      <x v="4057"/>
      <x v="2"/>
      <x v="3"/>
    </i>
    <i>
      <x v="4058"/>
      <x v="3"/>
      <x v="2"/>
    </i>
    <i r="2">
      <x/>
    </i>
    <i>
      <x v="4059"/>
      <x v="3"/>
      <x v="3"/>
    </i>
    <i r="2">
      <x v="5"/>
    </i>
    <i>
      <x v="4060"/>
      <x v="3"/>
      <x v="7"/>
    </i>
    <i>
      <x v="4061"/>
      <x v="3"/>
      <x v="2"/>
    </i>
    <i r="2">
      <x/>
    </i>
    <i>
      <x v="4062"/>
      <x/>
      <x v="5"/>
    </i>
    <i>
      <x v="4063"/>
      <x v="3"/>
      <x v="2"/>
    </i>
    <i>
      <x v="4064"/>
      <x v="5"/>
      <x v="8"/>
    </i>
    <i>
      <x v="4065"/>
      <x v="5"/>
      <x v="9"/>
    </i>
    <i r="2">
      <x v="4"/>
    </i>
    <i>
      <x v="4066"/>
      <x/>
      <x v="5"/>
    </i>
    <i r="2">
      <x v="6"/>
    </i>
    <i>
      <x v="4067"/>
      <x v="5"/>
      <x v="9"/>
    </i>
    <i>
      <x v="4068"/>
      <x v="3"/>
      <x v="4"/>
    </i>
    <i r="1">
      <x v="5"/>
      <x v="3"/>
    </i>
    <i>
      <x v="4069"/>
      <x v="5"/>
      <x v="3"/>
    </i>
    <i r="1">
      <x v="4"/>
      <x v="2"/>
    </i>
    <i r="2">
      <x v="8"/>
    </i>
    <i r="2">
      <x v="5"/>
    </i>
    <i>
      <x v="4070"/>
      <x v="4"/>
      <x v="10"/>
    </i>
    <i r="2">
      <x v="4"/>
    </i>
    <i>
      <x v="4071"/>
      <x v="4"/>
      <x v="5"/>
    </i>
    <i>
      <x v="4072"/>
      <x/>
      <x v="7"/>
    </i>
    <i>
      <x v="4073"/>
      <x v="1"/>
      <x v="2"/>
    </i>
    <i r="2">
      <x/>
    </i>
    <i>
      <x v="4074"/>
      <x v="3"/>
      <x v="3"/>
    </i>
    <i r="1">
      <x v="5"/>
      <x v="9"/>
    </i>
    <i r="1">
      <x v="2"/>
      <x v="1"/>
    </i>
    <i>
      <x v="4075"/>
      <x v="5"/>
      <x/>
    </i>
    <i>
      <x v="4076"/>
      <x/>
      <x v="3"/>
    </i>
    <i r="2">
      <x v="8"/>
    </i>
    <i r="2">
      <x v="6"/>
    </i>
    <i>
      <x v="4077"/>
      <x v="3"/>
      <x v="7"/>
    </i>
    <i>
      <x v="4078"/>
      <x v="5"/>
      <x v="2"/>
    </i>
    <i>
      <x v="4079"/>
      <x v="5"/>
      <x v="8"/>
    </i>
    <i r="2">
      <x/>
    </i>
    <i>
      <x v="4080"/>
      <x/>
      <x v="9"/>
    </i>
    <i>
      <x v="4081"/>
      <x/>
      <x v="2"/>
    </i>
    <i>
      <x v="4082"/>
      <x v="3"/>
      <x v="6"/>
    </i>
    <i r="1">
      <x v="5"/>
      <x v="8"/>
    </i>
    <i r="2">
      <x v="6"/>
    </i>
    <i>
      <x v="4083"/>
      <x v="5"/>
      <x/>
    </i>
    <i>
      <x v="4084"/>
      <x/>
      <x v="10"/>
    </i>
    <i>
      <x v="4085"/>
      <x v="5"/>
      <x v="1"/>
    </i>
    <i>
      <x v="4086"/>
      <x v="2"/>
      <x v="10"/>
    </i>
    <i r="2">
      <x v="4"/>
    </i>
    <i>
      <x v="4087"/>
      <x v="4"/>
      <x v="3"/>
    </i>
    <i>
      <x v="4088"/>
      <x v="3"/>
      <x v="7"/>
    </i>
    <i>
      <x v="4089"/>
      <x v="3"/>
      <x v="9"/>
    </i>
    <i>
      <x v="4090"/>
      <x v="1"/>
      <x v="10"/>
    </i>
    <i r="2">
      <x v="9"/>
    </i>
    <i r="1">
      <x v="5"/>
      <x v="7"/>
    </i>
    <i>
      <x v="4091"/>
      <x v="5"/>
      <x v="3"/>
    </i>
    <i r="2">
      <x v="1"/>
    </i>
    <i>
      <x v="4092"/>
      <x v="5"/>
      <x/>
    </i>
    <i>
      <x v="4093"/>
      <x v="1"/>
      <x v="10"/>
    </i>
    <i>
      <x v="4094"/>
      <x v="5"/>
      <x v="3"/>
    </i>
    <i>
      <x v="4095"/>
      <x v="5"/>
      <x v="8"/>
    </i>
    <i>
      <x v="4096"/>
      <x v="4"/>
      <x v="9"/>
    </i>
    <i r="2">
      <x v="6"/>
    </i>
    <i>
      <x v="4097"/>
      <x v="1"/>
      <x v="5"/>
    </i>
    <i r="2">
      <x v="7"/>
    </i>
    <i>
      <x v="4098"/>
      <x v="5"/>
      <x v="10"/>
    </i>
    <i r="2">
      <x v="6"/>
    </i>
    <i>
      <x v="4099"/>
      <x v="5"/>
      <x v="9"/>
    </i>
    <i>
      <x v="4100"/>
      <x v="4"/>
      <x/>
    </i>
    <i r="2">
      <x v="6"/>
    </i>
    <i>
      <x v="4101"/>
      <x v="3"/>
      <x v="10"/>
    </i>
    <i r="2">
      <x v="9"/>
    </i>
    <i>
      <x v="4102"/>
      <x v="4"/>
      <x v="9"/>
    </i>
    <i>
      <x v="4103"/>
      <x v="5"/>
      <x v="4"/>
    </i>
    <i r="2">
      <x/>
    </i>
    <i>
      <x v="4104"/>
      <x v="4"/>
      <x/>
    </i>
    <i>
      <x v="4105"/>
      <x v="5"/>
      <x v="8"/>
    </i>
    <i r="1">
      <x v="4"/>
      <x v="1"/>
    </i>
    <i r="2">
      <x v="8"/>
    </i>
    <i>
      <x v="4106"/>
      <x v="4"/>
      <x v="8"/>
    </i>
    <i>
      <x v="4107"/>
      <x v="2"/>
      <x v="1"/>
    </i>
    <i>
      <x v="4108"/>
      <x v="2"/>
      <x v="7"/>
    </i>
    <i>
      <x v="4109"/>
      <x v="3"/>
      <x v="7"/>
    </i>
    <i r="1">
      <x v="4"/>
      <x v="8"/>
    </i>
    <i>
      <x v="4110"/>
      <x v="3"/>
      <x/>
    </i>
    <i>
      <x v="4111"/>
      <x v="2"/>
      <x v="6"/>
    </i>
    <i>
      <x v="4112"/>
      <x v="4"/>
      <x v="3"/>
    </i>
    <i r="2">
      <x v="5"/>
    </i>
    <i>
      <x v="4113"/>
      <x v="2"/>
      <x v="9"/>
    </i>
    <i>
      <x v="4114"/>
      <x v="3"/>
      <x v="6"/>
    </i>
    <i>
      <x v="4115"/>
      <x v="4"/>
      <x v="8"/>
    </i>
    <i>
      <x v="4116"/>
      <x v="2"/>
      <x/>
    </i>
    <i>
      <x v="4117"/>
      <x v="2"/>
      <x v="3"/>
    </i>
    <i>
      <x v="4118"/>
      <x v="3"/>
      <x v="6"/>
    </i>
    <i r="1">
      <x v="2"/>
      <x v="3"/>
    </i>
    <i>
      <x v="4119"/>
      <x v="4"/>
      <x v="9"/>
    </i>
    <i>
      <x v="4120"/>
      <x v="5"/>
      <x v="5"/>
    </i>
    <i>
      <x v="4121"/>
      <x v="1"/>
      <x v="9"/>
    </i>
    <i r="2">
      <x/>
    </i>
    <i r="1">
      <x v="2"/>
      <x v="3"/>
    </i>
    <i>
      <x v="4122"/>
      <x v="4"/>
      <x v="9"/>
    </i>
    <i r="2">
      <x v="5"/>
    </i>
    <i>
      <x v="4123"/>
      <x v="3"/>
      <x v="3"/>
    </i>
    <i>
      <x v="4124"/>
      <x/>
      <x v="9"/>
    </i>
    <i r="1">
      <x v="4"/>
      <x v="8"/>
    </i>
    <i>
      <x v="4125"/>
      <x v="3"/>
      <x v="7"/>
    </i>
    <i r="1">
      <x/>
      <x/>
    </i>
    <i>
      <x v="4126"/>
      <x v="3"/>
      <x v="4"/>
    </i>
    <i>
      <x v="4127"/>
      <x/>
      <x v="7"/>
    </i>
    <i>
      <x v="4128"/>
      <x v="4"/>
      <x v="10"/>
    </i>
    <i>
      <x v="4129"/>
      <x/>
      <x v="3"/>
    </i>
    <i r="2">
      <x v="7"/>
    </i>
    <i r="1">
      <x v="5"/>
      <x v="4"/>
    </i>
    <i r="2">
      <x v="7"/>
    </i>
    <i>
      <x v="4130"/>
      <x/>
      <x v="1"/>
    </i>
    <i>
      <x v="4131"/>
      <x v="5"/>
      <x v="3"/>
    </i>
    <i r="2">
      <x/>
    </i>
    <i>
      <x v="4132"/>
      <x v="4"/>
      <x v="3"/>
    </i>
    <i r="2">
      <x v="2"/>
    </i>
    <i r="2">
      <x v="7"/>
    </i>
    <i>
      <x v="4133"/>
      <x v="3"/>
      <x v="2"/>
    </i>
    <i>
      <x v="4134"/>
      <x v="2"/>
      <x v="1"/>
    </i>
    <i r="2">
      <x v="8"/>
    </i>
    <i>
      <x v="4135"/>
      <x v="5"/>
      <x v="2"/>
    </i>
    <i r="1">
      <x v="2"/>
      <x v="5"/>
    </i>
    <i>
      <x v="4136"/>
      <x v="5"/>
      <x v="4"/>
    </i>
    <i>
      <x v="4137"/>
      <x v="5"/>
      <x v="1"/>
    </i>
    <i>
      <x v="4138"/>
      <x v="2"/>
      <x v="1"/>
    </i>
    <i>
      <x v="4139"/>
      <x v="4"/>
      <x v="3"/>
    </i>
    <i>
      <x v="4140"/>
      <x/>
      <x v="8"/>
    </i>
    <i>
      <x v="4141"/>
      <x v="4"/>
      <x v="7"/>
    </i>
    <i>
      <x v="4142"/>
      <x v="5"/>
      <x v="5"/>
    </i>
    <i r="2">
      <x/>
    </i>
    <i>
      <x v="4143"/>
      <x v="5"/>
      <x v="3"/>
    </i>
    <i r="1">
      <x v="4"/>
      <x v="9"/>
    </i>
    <i r="2">
      <x v="7"/>
    </i>
    <i>
      <x v="4144"/>
      <x v="3"/>
      <x v="9"/>
    </i>
    <i>
      <x v="4145"/>
      <x v="5"/>
      <x v="7"/>
    </i>
    <i>
      <x v="4146"/>
      <x v="5"/>
      <x v="3"/>
    </i>
    <i>
      <x v="4147"/>
      <x/>
      <x v="3"/>
    </i>
    <i r="2">
      <x v="1"/>
    </i>
    <i>
      <x v="4148"/>
      <x v="2"/>
      <x/>
    </i>
    <i r="2">
      <x v="6"/>
    </i>
    <i>
      <x v="4149"/>
      <x v="3"/>
      <x v="10"/>
    </i>
    <i>
      <x v="4150"/>
      <x v="3"/>
      <x v="10"/>
    </i>
    <i>
      <x v="4151"/>
      <x v="2"/>
      <x v="10"/>
    </i>
    <i r="2">
      <x/>
    </i>
    <i>
      <x v="4152"/>
      <x/>
      <x v="9"/>
    </i>
    <i>
      <x v="4153"/>
      <x v="3"/>
      <x v="3"/>
    </i>
    <i r="2">
      <x v="4"/>
    </i>
    <i r="1">
      <x v="1"/>
      <x v="8"/>
    </i>
    <i>
      <x v="4154"/>
      <x v="4"/>
      <x/>
    </i>
    <i r="1">
      <x v="2"/>
      <x v="8"/>
    </i>
    <i>
      <x v="4155"/>
      <x v="2"/>
      <x v="8"/>
    </i>
    <i r="2">
      <x v="7"/>
    </i>
    <i>
      <x v="4156"/>
      <x v="4"/>
      <x v="7"/>
    </i>
    <i>
      <x v="4157"/>
      <x v="2"/>
      <x/>
    </i>
    <i r="2">
      <x v="6"/>
    </i>
    <i>
      <x v="4158"/>
      <x v="2"/>
      <x v="8"/>
    </i>
    <i>
      <x v="4159"/>
      <x v="5"/>
      <x v="3"/>
    </i>
    <i>
      <x v="4160"/>
      <x v="4"/>
      <x v="3"/>
    </i>
    <i r="2">
      <x v="5"/>
    </i>
    <i>
      <x v="4161"/>
      <x v="4"/>
      <x v="6"/>
    </i>
    <i>
      <x v="4162"/>
      <x v="5"/>
      <x v="3"/>
    </i>
    <i>
      <x v="4163"/>
      <x v="2"/>
      <x v="8"/>
    </i>
    <i>
      <x v="4164"/>
      <x/>
      <x v="2"/>
    </i>
    <i>
      <x v="4165"/>
      <x v="5"/>
      <x v="8"/>
    </i>
    <i>
      <x v="4166"/>
      <x v="1"/>
      <x v="4"/>
    </i>
    <i>
      <x v="4167"/>
      <x v="1"/>
      <x v="1"/>
    </i>
    <i r="1">
      <x v="4"/>
      <x v="3"/>
    </i>
    <i r="2">
      <x/>
    </i>
    <i>
      <x v="4168"/>
      <x v="3"/>
      <x v="1"/>
    </i>
    <i r="1">
      <x v="4"/>
      <x v="4"/>
    </i>
    <i>
      <x v="4169"/>
      <x v="4"/>
      <x v="10"/>
    </i>
    <i r="2">
      <x v="6"/>
    </i>
    <i>
      <x v="4170"/>
      <x v="4"/>
      <x v="1"/>
    </i>
    <i r="2">
      <x v="7"/>
    </i>
    <i>
      <x v="4171"/>
      <x/>
      <x v="3"/>
    </i>
    <i r="2">
      <x v="8"/>
    </i>
    <i>
      <x v="4172"/>
      <x v="2"/>
      <x v="10"/>
    </i>
    <i>
      <x v="4173"/>
      <x v="5"/>
      <x v="4"/>
    </i>
    <i>
      <x v="4174"/>
      <x v="4"/>
      <x v="10"/>
    </i>
    <i r="2">
      <x v="2"/>
    </i>
    <i r="2">
      <x v="7"/>
    </i>
    <i r="2">
      <x v="6"/>
    </i>
    <i>
      <x v="4175"/>
      <x/>
      <x v="5"/>
    </i>
    <i>
      <x v="4176"/>
      <x/>
      <x v="7"/>
    </i>
    <i>
      <x v="4177"/>
      <x v="3"/>
      <x v="10"/>
    </i>
    <i>
      <x v="4178"/>
      <x v="3"/>
      <x v="7"/>
    </i>
    <i r="2">
      <x v="6"/>
    </i>
    <i>
      <x v="4179"/>
      <x v="5"/>
      <x v="2"/>
    </i>
    <i>
      <x v="4180"/>
      <x v="1"/>
      <x v="3"/>
    </i>
    <i r="1">
      <x v="5"/>
      <x v="4"/>
    </i>
    <i>
      <x v="4181"/>
      <x v="2"/>
      <x v="5"/>
    </i>
    <i>
      <x v="4182"/>
      <x v="3"/>
      <x v="9"/>
    </i>
    <i>
      <x v="4183"/>
      <x v="4"/>
      <x v="2"/>
    </i>
    <i>
      <x v="4184"/>
      <x v="4"/>
      <x v="8"/>
    </i>
    <i>
      <x v="4185"/>
      <x v="3"/>
      <x v="10"/>
    </i>
    <i r="2">
      <x/>
    </i>
    <i>
      <x v="4186"/>
      <x v="5"/>
      <x v="7"/>
    </i>
    <i>
      <x v="4187"/>
      <x v="3"/>
      <x v="5"/>
    </i>
    <i>
      <x v="4188"/>
      <x v="5"/>
      <x/>
    </i>
    <i>
      <x v="4189"/>
      <x v="3"/>
      <x v="3"/>
    </i>
    <i>
      <x v="4190"/>
      <x v="3"/>
      <x v="2"/>
    </i>
    <i r="2">
      <x/>
    </i>
    <i>
      <x v="4191"/>
      <x v="4"/>
      <x v="3"/>
    </i>
    <i r="2">
      <x v="5"/>
    </i>
    <i>
      <x v="4192"/>
      <x v="5"/>
      <x v="4"/>
    </i>
    <i>
      <x v="4193"/>
      <x v="5"/>
      <x v="8"/>
    </i>
    <i>
      <x v="4194"/>
      <x v="4"/>
      <x v="7"/>
    </i>
    <i>
      <x v="4195"/>
      <x v="1"/>
      <x v="3"/>
    </i>
    <i r="2">
      <x v="5"/>
    </i>
    <i>
      <x v="4196"/>
      <x v="4"/>
      <x v="2"/>
    </i>
    <i r="2">
      <x v="4"/>
    </i>
    <i>
      <x v="4197"/>
      <x v="4"/>
      <x v="1"/>
    </i>
    <i>
      <x v="4198"/>
      <x v="4"/>
      <x v="2"/>
    </i>
    <i r="2">
      <x/>
    </i>
    <i>
      <x v="4199"/>
      <x v="3"/>
      <x v="6"/>
    </i>
    <i>
      <x v="4200"/>
      <x v="3"/>
      <x v="8"/>
    </i>
    <i>
      <x v="4201"/>
      <x v="3"/>
      <x/>
    </i>
    <i>
      <x v="4202"/>
      <x v="4"/>
      <x v="6"/>
    </i>
    <i>
      <x v="4203"/>
      <x/>
      <x v="4"/>
    </i>
    <i>
      <x v="4204"/>
      <x v="3"/>
      <x v="6"/>
    </i>
    <i r="1">
      <x v="1"/>
      <x v="6"/>
    </i>
    <i>
      <x v="4205"/>
      <x/>
      <x v="3"/>
    </i>
    <i r="2">
      <x v="2"/>
    </i>
    <i>
      <x v="4206"/>
      <x/>
      <x v="1"/>
    </i>
    <i>
      <x v="4207"/>
      <x v="1"/>
      <x v="1"/>
    </i>
    <i>
      <x v="4208"/>
      <x v="2"/>
      <x v="7"/>
    </i>
    <i r="2">
      <x v="6"/>
    </i>
    <i>
      <x v="4209"/>
      <x v="2"/>
      <x v="5"/>
    </i>
    <i>
      <x v="4210"/>
      <x v="2"/>
      <x v="8"/>
    </i>
    <i r="2">
      <x v="4"/>
    </i>
    <i>
      <x v="4211"/>
      <x v="2"/>
      <x v="9"/>
    </i>
    <i r="2">
      <x v="8"/>
    </i>
    <i>
      <x v="4212"/>
      <x/>
      <x v="2"/>
    </i>
    <i>
      <x v="4213"/>
      <x v="5"/>
      <x v="10"/>
    </i>
    <i r="2">
      <x/>
    </i>
    <i>
      <x v="4214"/>
      <x v="4"/>
      <x/>
    </i>
    <i>
      <x v="4215"/>
      <x/>
      <x v="2"/>
    </i>
    <i r="2">
      <x v="8"/>
    </i>
    <i>
      <x v="4216"/>
      <x v="2"/>
      <x v="10"/>
    </i>
    <i>
      <x v="4217"/>
      <x v="2"/>
      <x v="8"/>
    </i>
    <i>
      <x v="4218"/>
      <x v="2"/>
      <x/>
    </i>
    <i r="2">
      <x v="7"/>
    </i>
    <i>
      <x v="4219"/>
      <x v="2"/>
      <x v="8"/>
    </i>
    <i>
      <x v="4220"/>
      <x v="4"/>
      <x v="3"/>
    </i>
    <i r="2">
      <x v="1"/>
    </i>
    <i r="2">
      <x v="5"/>
    </i>
    <i>
      <x v="4221"/>
      <x v="3"/>
      <x v="1"/>
    </i>
    <i r="2">
      <x v="2"/>
    </i>
    <i r="2">
      <x/>
    </i>
    <i>
      <x v="4222"/>
      <x v="3"/>
      <x v="1"/>
    </i>
    <i r="2">
      <x v="9"/>
    </i>
    <i r="1">
      <x/>
      <x v="10"/>
    </i>
    <i r="1">
      <x v="5"/>
      <x v="6"/>
    </i>
    <i>
      <x v="4223"/>
      <x v="5"/>
      <x v="6"/>
    </i>
    <i>
      <x v="4224"/>
      <x v="5"/>
      <x/>
    </i>
    <i>
      <x v="4225"/>
      <x v="5"/>
      <x/>
    </i>
    <i>
      <x v="4226"/>
      <x v="4"/>
      <x v="9"/>
    </i>
    <i>
      <x v="4227"/>
      <x v="4"/>
      <x v="5"/>
    </i>
    <i>
      <x v="4228"/>
      <x v="2"/>
      <x v="8"/>
    </i>
    <i>
      <x v="4229"/>
      <x v="2"/>
      <x v="7"/>
    </i>
    <i>
      <x v="4230"/>
      <x v="5"/>
      <x v="3"/>
    </i>
    <i r="2">
      <x v="2"/>
    </i>
    <i>
      <x v="4231"/>
      <x v="1"/>
      <x v="3"/>
    </i>
    <i r="2">
      <x v="1"/>
    </i>
    <i>
      <x v="4232"/>
      <x v="1"/>
      <x v="6"/>
    </i>
    <i>
      <x v="4233"/>
      <x v="4"/>
      <x v="7"/>
    </i>
    <i>
      <x v="4234"/>
      <x v="5"/>
      <x v="10"/>
    </i>
    <i r="2">
      <x v="1"/>
    </i>
    <i>
      <x v="4235"/>
      <x v="3"/>
      <x v="6"/>
    </i>
    <i>
      <x v="4236"/>
      <x v="5"/>
      <x v="4"/>
    </i>
    <i>
      <x v="4237"/>
      <x v="5"/>
      <x v="3"/>
    </i>
    <i>
      <x v="4238"/>
      <x v="4"/>
      <x v="7"/>
    </i>
    <i>
      <x v="4239"/>
      <x v="3"/>
      <x v="10"/>
    </i>
    <i>
      <x v="4240"/>
      <x v="3"/>
      <x v="10"/>
    </i>
    <i r="2">
      <x v="2"/>
    </i>
    <i r="2">
      <x v="6"/>
    </i>
    <i>
      <x v="4241"/>
      <x v="3"/>
      <x v="3"/>
    </i>
    <i>
      <x v="4242"/>
      <x v="5"/>
      <x v="7"/>
    </i>
    <i>
      <x v="4243"/>
      <x v="5"/>
      <x v="8"/>
    </i>
    <i r="2">
      <x/>
    </i>
    <i>
      <x v="4244"/>
      <x/>
      <x/>
    </i>
    <i>
      <x v="4245"/>
      <x v="5"/>
      <x/>
    </i>
    <i>
      <x v="4246"/>
      <x v="3"/>
      <x v="3"/>
    </i>
    <i r="1">
      <x v="2"/>
      <x v="7"/>
    </i>
    <i>
      <x v="4247"/>
      <x v="4"/>
      <x v="10"/>
    </i>
    <i r="2">
      <x v="2"/>
    </i>
    <i r="2">
      <x v="6"/>
    </i>
    <i>
      <x v="4248"/>
      <x v="2"/>
      <x/>
    </i>
    <i>
      <x v="4249"/>
      <x v="3"/>
      <x v="4"/>
    </i>
    <i>
      <x v="4250"/>
      <x/>
      <x v="5"/>
    </i>
    <i>
      <x v="4251"/>
      <x v="5"/>
      <x v="1"/>
    </i>
    <i>
      <x v="4252"/>
      <x v="2"/>
      <x/>
    </i>
    <i>
      <x v="4253"/>
      <x v="2"/>
      <x v="2"/>
    </i>
    <i r="2">
      <x v="7"/>
    </i>
    <i>
      <x v="4254"/>
      <x v="3"/>
      <x v="6"/>
    </i>
    <i>
      <x v="4255"/>
      <x v="3"/>
      <x v="3"/>
    </i>
    <i>
      <x v="4256"/>
      <x v="3"/>
      <x v="3"/>
    </i>
    <i>
      <x v="4257"/>
      <x v="3"/>
      <x v="8"/>
    </i>
    <i>
      <x v="4258"/>
      <x v="1"/>
      <x v="1"/>
    </i>
    <i r="2">
      <x v="2"/>
    </i>
    <i r="2">
      <x v="7"/>
    </i>
    <i r="2">
      <x v="6"/>
    </i>
    <i>
      <x v="4259"/>
      <x v="3"/>
      <x v="5"/>
    </i>
    <i>
      <x v="4260"/>
      <x/>
      <x v="4"/>
    </i>
    <i r="1">
      <x v="2"/>
      <x/>
    </i>
    <i>
      <x v="4261"/>
      <x v="2"/>
      <x v="10"/>
    </i>
    <i r="2">
      <x v="5"/>
    </i>
    <i>
      <x v="4262"/>
      <x v="3"/>
      <x v="9"/>
    </i>
    <i r="2">
      <x v="5"/>
    </i>
    <i>
      <x v="4263"/>
      <x v="3"/>
      <x/>
    </i>
    <i r="2">
      <x v="6"/>
    </i>
    <i r="1">
      <x/>
      <x/>
    </i>
    <i>
      <x v="4264"/>
      <x v="4"/>
      <x v="9"/>
    </i>
    <i>
      <x v="4265"/>
      <x v="1"/>
      <x v="8"/>
    </i>
    <i r="2">
      <x v="6"/>
    </i>
    <i>
      <x v="4266"/>
      <x v="5"/>
      <x v="9"/>
    </i>
    <i r="2">
      <x v="5"/>
    </i>
    <i>
      <x v="4267"/>
      <x v="1"/>
      <x v="5"/>
    </i>
    <i r="1">
      <x/>
      <x v="3"/>
    </i>
    <i r="2">
      <x v="7"/>
    </i>
    <i>
      <x v="4268"/>
      <x v="1"/>
      <x v="2"/>
    </i>
    <i r="1">
      <x v="5"/>
      <x v="9"/>
    </i>
    <i r="2">
      <x v="2"/>
    </i>
    <i r="2">
      <x v="8"/>
    </i>
    <i>
      <x v="4269"/>
      <x v="2"/>
      <x v="3"/>
    </i>
    <i r="2">
      <x v="4"/>
    </i>
    <i>
      <x v="4270"/>
      <x v="2"/>
      <x v="10"/>
    </i>
    <i>
      <x v="4271"/>
      <x v="4"/>
      <x v="7"/>
    </i>
    <i>
      <x v="4272"/>
      <x/>
      <x v="10"/>
    </i>
    <i r="2">
      <x v="9"/>
    </i>
    <i>
      <x v="4273"/>
      <x v="4"/>
      <x v="9"/>
    </i>
    <i>
      <x v="4274"/>
      <x/>
      <x v="9"/>
    </i>
    <i>
      <x v="4275"/>
      <x v="4"/>
      <x v="2"/>
    </i>
    <i>
      <x v="4276"/>
      <x v="5"/>
      <x v="3"/>
    </i>
    <i>
      <x v="4277"/>
      <x v="3"/>
      <x v="3"/>
    </i>
    <i r="2">
      <x v="9"/>
    </i>
    <i>
      <x v="4278"/>
      <x v="3"/>
      <x v="8"/>
    </i>
    <i>
      <x v="4279"/>
      <x/>
      <x v="9"/>
    </i>
    <i r="2">
      <x v="8"/>
    </i>
    <i>
      <x v="4280"/>
      <x/>
      <x v="5"/>
    </i>
    <i>
      <x v="4281"/>
      <x v="1"/>
      <x v="2"/>
    </i>
    <i>
      <x v="4282"/>
      <x v="2"/>
      <x/>
    </i>
    <i>
      <x v="4283"/>
      <x v="3"/>
      <x v="1"/>
    </i>
    <i>
      <x v="4284"/>
      <x v="2"/>
      <x v="10"/>
    </i>
    <i r="2">
      <x v="3"/>
    </i>
    <i r="2">
      <x v="1"/>
    </i>
    <i>
      <x v="4285"/>
      <x v="2"/>
      <x v="1"/>
    </i>
    <i>
      <x v="4286"/>
      <x/>
      <x v="10"/>
    </i>
    <i>
      <x v="4287"/>
      <x v="5"/>
      <x v="4"/>
    </i>
    <i r="2">
      <x v="5"/>
    </i>
    <i>
      <x v="4288"/>
      <x v="3"/>
      <x v="2"/>
    </i>
    <i>
      <x v="4289"/>
      <x v="5"/>
      <x v="3"/>
    </i>
    <i>
      <x v="4290"/>
      <x v="5"/>
      <x v="10"/>
    </i>
    <i>
      <x v="4291"/>
      <x v="4"/>
      <x v="3"/>
    </i>
    <i r="2">
      <x v="9"/>
    </i>
    <i>
      <x v="4292"/>
      <x v="3"/>
      <x/>
    </i>
    <i>
      <x v="4293"/>
      <x v="4"/>
      <x v="2"/>
    </i>
    <i>
      <x v="4294"/>
      <x v="4"/>
      <x v="3"/>
    </i>
    <i r="2">
      <x v="7"/>
    </i>
    <i>
      <x v="4295"/>
      <x v="2"/>
      <x v="4"/>
    </i>
    <i r="2">
      <x v="7"/>
    </i>
    <i>
      <x v="4296"/>
      <x v="2"/>
      <x v="7"/>
    </i>
    <i>
      <x v="4297"/>
      <x/>
      <x v="7"/>
    </i>
    <i>
      <x v="4298"/>
      <x v="3"/>
      <x v="1"/>
    </i>
    <i r="2">
      <x v="4"/>
    </i>
    <i r="2">
      <x/>
    </i>
    <i>
      <x v="4299"/>
      <x v="3"/>
      <x v="1"/>
    </i>
    <i>
      <x v="4300"/>
      <x v="1"/>
      <x v="6"/>
    </i>
    <i>
      <x v="4301"/>
      <x v="2"/>
      <x v="6"/>
    </i>
    <i>
      <x v="4302"/>
      <x v="2"/>
      <x v="10"/>
    </i>
    <i r="2">
      <x/>
    </i>
    <i>
      <x v="4303"/>
      <x v="1"/>
      <x v="10"/>
    </i>
    <i r="2">
      <x v="4"/>
    </i>
    <i>
      <x v="4304"/>
      <x v="5"/>
      <x v="4"/>
    </i>
    <i>
      <x v="4305"/>
      <x v="1"/>
      <x v="3"/>
    </i>
    <i r="2">
      <x v="4"/>
    </i>
    <i>
      <x v="4306"/>
      <x/>
      <x v="3"/>
    </i>
    <i>
      <x v="4307"/>
      <x v="3"/>
      <x/>
    </i>
    <i r="2">
      <x v="6"/>
    </i>
    <i>
      <x v="4308"/>
      <x v="1"/>
      <x v="4"/>
    </i>
    <i>
      <x v="4309"/>
      <x/>
      <x v="3"/>
    </i>
    <i r="2">
      <x v="6"/>
    </i>
    <i>
      <x v="4310"/>
      <x v="4"/>
      <x v="5"/>
    </i>
    <i>
      <x v="4311"/>
      <x/>
      <x v="5"/>
    </i>
    <i>
      <x v="4312"/>
      <x v="1"/>
      <x v="9"/>
    </i>
    <i>
      <x v="4313"/>
      <x v="3"/>
      <x v="5"/>
    </i>
    <i>
      <x v="4314"/>
      <x v="3"/>
      <x v="8"/>
    </i>
    <i r="2">
      <x/>
    </i>
    <i r="2">
      <x v="6"/>
    </i>
    <i>
      <x v="4315"/>
      <x v="4"/>
      <x v="10"/>
    </i>
    <i r="2">
      <x v="1"/>
    </i>
    <i r="2">
      <x/>
    </i>
    <i r="2">
      <x v="6"/>
    </i>
    <i>
      <x v="4316"/>
      <x v="3"/>
      <x v="4"/>
    </i>
    <i>
      <x v="4317"/>
      <x v="3"/>
      <x v="6"/>
    </i>
    <i>
      <x v="4318"/>
      <x v="4"/>
      <x v="10"/>
    </i>
    <i>
      <x v="4319"/>
      <x v="3"/>
      <x v="5"/>
    </i>
    <i>
      <x v="4320"/>
      <x/>
      <x v="4"/>
    </i>
    <i>
      <x v="4321"/>
      <x v="3"/>
      <x v="10"/>
    </i>
    <i>
      <x v="4322"/>
      <x/>
      <x v="8"/>
    </i>
    <i>
      <x v="4323"/>
      <x v="3"/>
      <x v="1"/>
    </i>
    <i>
      <x v="4324"/>
      <x v="2"/>
      <x v="1"/>
    </i>
    <i>
      <x v="4325"/>
      <x/>
      <x v="2"/>
    </i>
    <i>
      <x v="4326"/>
      <x v="3"/>
      <x v="1"/>
    </i>
    <i r="2">
      <x v="2"/>
    </i>
    <i>
      <x v="4327"/>
      <x v="2"/>
      <x v="4"/>
    </i>
    <i>
      <x v="4328"/>
      <x/>
      <x v="10"/>
    </i>
    <i>
      <x v="4329"/>
      <x/>
      <x v="4"/>
    </i>
    <i>
      <x v="4330"/>
      <x v="5"/>
      <x v="9"/>
    </i>
    <i r="2">
      <x v="8"/>
    </i>
    <i r="2">
      <x/>
    </i>
    <i>
      <x v="4331"/>
      <x/>
      <x/>
    </i>
    <i>
      <x v="4332"/>
      <x v="3"/>
      <x v="5"/>
    </i>
    <i>
      <x v="4333"/>
      <x/>
      <x v="1"/>
    </i>
    <i r="2">
      <x v="4"/>
    </i>
    <i r="2">
      <x v="6"/>
    </i>
    <i>
      <x v="4334"/>
      <x/>
      <x v="9"/>
    </i>
    <i>
      <x v="4335"/>
      <x v="3"/>
      <x v="3"/>
    </i>
    <i>
      <x v="4336"/>
      <x/>
      <x v="9"/>
    </i>
    <i r="2">
      <x v="8"/>
    </i>
    <i>
      <x v="4337"/>
      <x v="3"/>
      <x v="4"/>
    </i>
    <i>
      <x v="4338"/>
      <x v="4"/>
      <x v="10"/>
    </i>
    <i>
      <x v="4339"/>
      <x/>
      <x v="6"/>
    </i>
    <i>
      <x v="4340"/>
      <x/>
      <x/>
    </i>
    <i>
      <x v="4341"/>
      <x/>
      <x/>
    </i>
    <i>
      <x v="4342"/>
      <x v="4"/>
      <x v="8"/>
    </i>
    <i>
      <x v="4343"/>
      <x/>
      <x v="6"/>
    </i>
    <i>
      <x v="4344"/>
      <x v="3"/>
      <x v="7"/>
    </i>
    <i>
      <x v="4345"/>
      <x/>
      <x v="4"/>
    </i>
    <i>
      <x v="4346"/>
      <x v="4"/>
      <x v="6"/>
    </i>
    <i>
      <x v="4347"/>
      <x v="1"/>
      <x v="10"/>
    </i>
    <i r="2">
      <x v="1"/>
    </i>
    <i r="2">
      <x v="8"/>
    </i>
    <i>
      <x v="4348"/>
      <x v="5"/>
      <x v="9"/>
    </i>
    <i>
      <x v="4349"/>
      <x/>
      <x v="4"/>
    </i>
    <i>
      <x v="4350"/>
      <x/>
      <x v="10"/>
    </i>
    <i r="2">
      <x v="5"/>
    </i>
    <i>
      <x v="4351"/>
      <x v="3"/>
      <x v="10"/>
    </i>
    <i>
      <x v="4352"/>
      <x v="1"/>
      <x v="6"/>
    </i>
    <i>
      <x v="4353"/>
      <x/>
      <x v="10"/>
    </i>
    <i r="2">
      <x v="1"/>
    </i>
    <i r="2">
      <x/>
    </i>
    <i>
      <x v="4354"/>
      <x v="3"/>
      <x v="8"/>
    </i>
    <i r="2">
      <x v="6"/>
    </i>
    <i>
      <x v="4355"/>
      <x v="2"/>
      <x v="5"/>
    </i>
    <i>
      <x v="4356"/>
      <x v="4"/>
      <x v="4"/>
    </i>
    <i>
      <x v="4357"/>
      <x v="2"/>
      <x v="7"/>
    </i>
    <i>
      <x v="4358"/>
      <x/>
      <x v="2"/>
    </i>
    <i>
      <x v="4359"/>
      <x v="1"/>
      <x v="7"/>
    </i>
    <i>
      <x v="4360"/>
      <x/>
      <x v="8"/>
    </i>
    <i>
      <x v="4361"/>
      <x v="2"/>
      <x v="10"/>
    </i>
    <i r="2">
      <x v="3"/>
    </i>
    <i r="2">
      <x v="2"/>
    </i>
    <i>
      <x v="4362"/>
      <x v="3"/>
      <x v="4"/>
    </i>
    <i>
      <x v="4363"/>
      <x v="2"/>
      <x v="9"/>
    </i>
    <i>
      <x v="4364"/>
      <x v="3"/>
      <x/>
    </i>
    <i>
      <x v="4365"/>
      <x v="3"/>
      <x v="2"/>
    </i>
    <i>
      <x v="4366"/>
      <x/>
      <x v="5"/>
    </i>
    <i>
      <x v="4367"/>
      <x v="1"/>
      <x v="4"/>
    </i>
    <i r="2">
      <x v="7"/>
    </i>
    <i>
      <x v="4368"/>
      <x/>
      <x v="7"/>
    </i>
    <i>
      <x v="4369"/>
      <x v="4"/>
      <x v="2"/>
    </i>
    <i>
      <x v="4370"/>
      <x/>
      <x v="6"/>
    </i>
    <i>
      <x v="4371"/>
      <x v="4"/>
      <x v="1"/>
    </i>
    <i r="2">
      <x v="4"/>
    </i>
    <i>
      <x v="4372"/>
      <x/>
      <x v="9"/>
    </i>
    <i>
      <x v="4373"/>
      <x/>
      <x v="8"/>
    </i>
    <i>
      <x v="4374"/>
      <x v="1"/>
      <x v="4"/>
    </i>
    <i>
      <x v="4375"/>
      <x v="1"/>
      <x v="10"/>
    </i>
    <i>
      <x v="4376"/>
      <x/>
      <x v="7"/>
    </i>
    <i>
      <x v="4377"/>
      <x v="3"/>
      <x v="3"/>
    </i>
    <i r="2">
      <x v="1"/>
    </i>
    <i>
      <x v="4378"/>
      <x/>
      <x v="3"/>
    </i>
    <i>
      <x v="4379"/>
      <x v="5"/>
      <x/>
    </i>
    <i>
      <x v="4380"/>
      <x v="4"/>
      <x v="4"/>
    </i>
    <i>
      <x v="4381"/>
      <x v="4"/>
      <x v="8"/>
    </i>
    <i>
      <x v="4382"/>
      <x v="4"/>
      <x v="4"/>
    </i>
    <i>
      <x v="4383"/>
      <x/>
      <x v="8"/>
    </i>
    <i>
      <x v="4384"/>
      <x v="3"/>
      <x v="8"/>
    </i>
    <i>
      <x v="4385"/>
      <x v="3"/>
      <x v="4"/>
    </i>
    <i r="2">
      <x v="7"/>
    </i>
    <i>
      <x v="4386"/>
      <x v="2"/>
      <x v="1"/>
    </i>
    <i r="2">
      <x v="7"/>
    </i>
    <i>
      <x v="4387"/>
      <x v="3"/>
      <x/>
    </i>
    <i r="2">
      <x v="6"/>
    </i>
    <i>
      <x v="4388"/>
      <x v="4"/>
      <x v="9"/>
    </i>
    <i>
      <x v="4389"/>
      <x/>
      <x v="2"/>
    </i>
    <i>
      <x v="4390"/>
      <x/>
      <x v="1"/>
    </i>
    <i>
      <x v="4391"/>
      <x/>
      <x v="10"/>
    </i>
    <i>
      <x v="4392"/>
      <x v="3"/>
      <x v="8"/>
    </i>
    <i>
      <x v="4393"/>
      <x v="2"/>
      <x v="1"/>
    </i>
    <i r="2">
      <x v="8"/>
    </i>
    <i>
      <x v="4394"/>
      <x v="4"/>
      <x v="5"/>
    </i>
    <i>
      <x v="4395"/>
      <x v="3"/>
      <x v="10"/>
    </i>
    <i>
      <x v="4396"/>
      <x v="2"/>
      <x v="7"/>
    </i>
    <i>
      <x v="4397"/>
      <x v="3"/>
      <x v="8"/>
    </i>
    <i r="2">
      <x/>
    </i>
    <i>
      <x v="4398"/>
      <x/>
      <x v="7"/>
    </i>
    <i>
      <x v="4399"/>
      <x/>
      <x v="10"/>
    </i>
    <i>
      <x v="4400"/>
      <x v="3"/>
      <x v="4"/>
    </i>
    <i>
      <x v="4401"/>
      <x/>
      <x v="6"/>
    </i>
    <i>
      <x v="4402"/>
      <x v="3"/>
      <x v="5"/>
    </i>
    <i r="2">
      <x v="7"/>
    </i>
    <i>
      <x v="4403"/>
      <x/>
      <x v="7"/>
    </i>
    <i>
      <x v="4404"/>
      <x v="1"/>
      <x v="3"/>
    </i>
    <i r="2">
      <x v="8"/>
    </i>
    <i r="2">
      <x v="6"/>
    </i>
    <i>
      <x v="4405"/>
      <x/>
      <x v="2"/>
    </i>
    <i r="2">
      <x/>
    </i>
    <i>
      <x v="4406"/>
      <x/>
      <x v="5"/>
    </i>
    <i r="2">
      <x v="6"/>
    </i>
    <i>
      <x v="4407"/>
      <x v="2"/>
      <x v="1"/>
    </i>
    <i r="2">
      <x v="9"/>
    </i>
    <i r="2">
      <x v="8"/>
    </i>
    <i>
      <x v="4408"/>
      <x v="3"/>
      <x v="7"/>
    </i>
    <i>
      <x v="4409"/>
      <x v="3"/>
      <x v="8"/>
    </i>
    <i>
      <x v="4410"/>
      <x v="3"/>
      <x v="2"/>
    </i>
    <i>
      <x v="4411"/>
      <x v="1"/>
      <x v="10"/>
    </i>
    <i>
      <x v="4412"/>
      <x v="3"/>
      <x v="1"/>
    </i>
    <i r="2">
      <x v="4"/>
    </i>
    <i>
      <x v="4413"/>
      <x v="2"/>
      <x v="8"/>
    </i>
    <i>
      <x v="4414"/>
      <x v="3"/>
      <x v="1"/>
    </i>
    <i>
      <x v="4415"/>
      <x/>
      <x v="6"/>
    </i>
    <i>
      <x v="4416"/>
      <x v="4"/>
      <x v="2"/>
    </i>
    <i r="2">
      <x v="8"/>
    </i>
    <i>
      <x v="4417"/>
      <x/>
      <x/>
    </i>
    <i>
      <x v="4418"/>
      <x v="2"/>
      <x v="1"/>
    </i>
    <i>
      <x v="4419"/>
      <x v="4"/>
      <x v="10"/>
    </i>
    <i>
      <x v="4420"/>
      <x/>
      <x v="9"/>
    </i>
    <i>
      <x v="4421"/>
      <x v="2"/>
      <x v="9"/>
    </i>
    <i>
      <x v="4422"/>
      <x v="2"/>
      <x v="1"/>
    </i>
    <i>
      <x v="4423"/>
      <x v="3"/>
      <x v="1"/>
    </i>
    <i r="2">
      <x v="4"/>
    </i>
    <i>
      <x v="4424"/>
      <x v="3"/>
      <x v="6"/>
    </i>
    <i>
      <x v="4425"/>
      <x v="4"/>
      <x/>
    </i>
    <i>
      <x v="4426"/>
      <x v="4"/>
      <x v="7"/>
    </i>
    <i>
      <x v="4427"/>
      <x/>
      <x v="10"/>
    </i>
    <i r="2">
      <x v="6"/>
    </i>
    <i>
      <x v="4428"/>
      <x/>
      <x v="1"/>
    </i>
    <i>
      <x v="4429"/>
      <x v="2"/>
      <x/>
    </i>
    <i>
      <x v="4430"/>
      <x/>
      <x v="5"/>
    </i>
    <i>
      <x v="4431"/>
      <x/>
      <x v="2"/>
    </i>
    <i r="2">
      <x v="5"/>
    </i>
    <i>
      <x v="4432"/>
      <x/>
      <x v="10"/>
    </i>
    <i>
      <x v="4433"/>
      <x v="3"/>
      <x v="1"/>
    </i>
    <i r="2">
      <x v="5"/>
    </i>
    <i>
      <x v="4434"/>
      <x v="4"/>
      <x v="3"/>
    </i>
    <i>
      <x v="4435"/>
      <x/>
      <x v="1"/>
    </i>
    <i r="2">
      <x v="8"/>
    </i>
    <i r="2">
      <x v="6"/>
    </i>
    <i>
      <x v="4436"/>
      <x v="2"/>
      <x/>
    </i>
    <i>
      <x v="4437"/>
      <x v="4"/>
      <x v="2"/>
    </i>
    <i>
      <x v="4438"/>
      <x/>
      <x v="8"/>
    </i>
    <i>
      <x v="4439"/>
      <x/>
      <x v="9"/>
    </i>
    <i>
      <x v="4440"/>
      <x/>
      <x v="2"/>
    </i>
    <i>
      <x v="4441"/>
      <x v="3"/>
      <x v="3"/>
    </i>
    <i r="2">
      <x v="2"/>
    </i>
    <i>
      <x v="4442"/>
      <x v="3"/>
      <x v="6"/>
    </i>
    <i>
      <x v="4443"/>
      <x v="5"/>
      <x v="10"/>
    </i>
    <i r="2">
      <x v="6"/>
    </i>
    <i>
      <x v="4444"/>
      <x v="3"/>
      <x v="9"/>
    </i>
    <i>
      <x v="4445"/>
      <x v="4"/>
      <x v="1"/>
    </i>
    <i>
      <x v="4446"/>
      <x v="4"/>
      <x v="10"/>
    </i>
    <i>
      <x v="4447"/>
      <x v="3"/>
      <x/>
    </i>
    <i>
      <x v="4448"/>
      <x v="1"/>
      <x v="6"/>
    </i>
    <i>
      <x v="4449"/>
      <x v="3"/>
      <x v="10"/>
    </i>
    <i>
      <x v="4450"/>
      <x/>
      <x v="2"/>
    </i>
    <i>
      <x v="4451"/>
      <x/>
      <x v="8"/>
    </i>
    <i>
      <x v="4452"/>
      <x v="4"/>
      <x v="2"/>
    </i>
    <i>
      <x v="4453"/>
      <x v="3"/>
      <x v="3"/>
    </i>
    <i>
      <x v="4454"/>
      <x v="4"/>
      <x v="6"/>
    </i>
    <i>
      <x v="4455"/>
      <x v="3"/>
      <x v="6"/>
    </i>
    <i>
      <x v="4456"/>
      <x v="3"/>
      <x v="2"/>
    </i>
    <i>
      <x v="4457"/>
      <x/>
      <x v="3"/>
    </i>
    <i r="2">
      <x v="1"/>
    </i>
    <i>
      <x v="4458"/>
      <x v="3"/>
      <x v="3"/>
    </i>
    <i>
      <x v="4459"/>
      <x v="3"/>
      <x v="6"/>
    </i>
    <i>
      <x v="4460"/>
      <x v="4"/>
      <x v="1"/>
    </i>
    <i r="2">
      <x v="9"/>
    </i>
    <i>
      <x v="4461"/>
      <x/>
      <x v="9"/>
    </i>
    <i>
      <x v="4462"/>
      <x/>
      <x v="10"/>
    </i>
    <i r="2">
      <x v="4"/>
    </i>
    <i>
      <x v="4463"/>
      <x/>
      <x v="3"/>
    </i>
    <i r="2">
      <x v="9"/>
    </i>
    <i r="2">
      <x v="8"/>
    </i>
    <i>
      <x v="4464"/>
      <x v="4"/>
      <x v="6"/>
    </i>
    <i>
      <x v="4465"/>
      <x v="4"/>
      <x v="2"/>
    </i>
    <i>
      <x v="4466"/>
      <x/>
      <x v="9"/>
    </i>
    <i>
      <x v="4467"/>
      <x v="2"/>
      <x v="3"/>
    </i>
    <i r="2">
      <x v="2"/>
    </i>
    <i r="2">
      <x v="4"/>
    </i>
    <i>
      <x v="4468"/>
      <x v="3"/>
      <x v="10"/>
    </i>
    <i>
      <x v="4469"/>
      <x/>
      <x v="4"/>
    </i>
    <i>
      <x v="4470"/>
      <x v="2"/>
      <x v="9"/>
    </i>
    <i>
      <x v="4471"/>
      <x v="5"/>
      <x v="10"/>
    </i>
    <i r="2">
      <x v="2"/>
    </i>
    <i r="2">
      <x v="8"/>
    </i>
    <i r="2">
      <x/>
    </i>
    <i>
      <x v="4472"/>
      <x v="3"/>
      <x v="9"/>
    </i>
    <i r="2">
      <x v="8"/>
    </i>
    <i>
      <x v="4473"/>
      <x v="3"/>
      <x v="3"/>
    </i>
    <i>
      <x v="4474"/>
      <x v="1"/>
      <x v="3"/>
    </i>
    <i>
      <x v="4475"/>
      <x/>
      <x v="10"/>
    </i>
    <i r="2">
      <x v="5"/>
    </i>
    <i>
      <x v="4476"/>
      <x/>
      <x v="8"/>
    </i>
    <i>
      <x v="4477"/>
      <x/>
      <x v="3"/>
    </i>
    <i>
      <x v="4478"/>
      <x v="5"/>
      <x v="10"/>
    </i>
    <i>
      <x v="4479"/>
      <x v="3"/>
      <x v="1"/>
    </i>
    <i r="2">
      <x/>
    </i>
    <i>
      <x v="4480"/>
      <x v="3"/>
      <x v="9"/>
    </i>
    <i>
      <x v="4481"/>
      <x v="2"/>
      <x v="2"/>
    </i>
    <i>
      <x v="4482"/>
      <x/>
      <x v="8"/>
    </i>
    <i>
      <x v="4483"/>
      <x v="1"/>
      <x v="2"/>
    </i>
    <i>
      <x v="4484"/>
      <x v="3"/>
      <x v="6"/>
    </i>
    <i>
      <x v="4485"/>
      <x v="3"/>
      <x v="4"/>
    </i>
    <i>
      <x v="4486"/>
      <x v="4"/>
      <x v="5"/>
    </i>
    <i>
      <x v="4487"/>
      <x/>
      <x v="8"/>
    </i>
    <i r="2">
      <x v="4"/>
    </i>
    <i>
      <x v="4488"/>
      <x v="3"/>
      <x v="1"/>
    </i>
    <i>
      <x v="4489"/>
      <x/>
      <x v="2"/>
    </i>
    <i>
      <x v="4490"/>
      <x v="4"/>
      <x v="5"/>
    </i>
    <i>
      <x v="4491"/>
      <x/>
      <x/>
    </i>
    <i>
      <x v="4492"/>
      <x v="2"/>
      <x v="8"/>
    </i>
    <i r="2">
      <x v="4"/>
    </i>
    <i r="2">
      <x v="6"/>
    </i>
    <i>
      <x v="4493"/>
      <x/>
      <x v="4"/>
    </i>
    <i>
      <x v="4494"/>
      <x v="3"/>
      <x v="5"/>
    </i>
    <i r="2">
      <x v="6"/>
    </i>
    <i>
      <x v="4495"/>
      <x v="2"/>
      <x v="10"/>
    </i>
    <i>
      <x v="4496"/>
      <x v="5"/>
      <x v="10"/>
    </i>
    <i>
      <x v="4497"/>
      <x v="3"/>
      <x v="7"/>
    </i>
    <i>
      <x v="4498"/>
      <x v="3"/>
      <x/>
    </i>
    <i>
      <x v="4499"/>
      <x v="1"/>
      <x v="10"/>
    </i>
    <i r="2">
      <x v="4"/>
    </i>
    <i>
      <x v="4500"/>
      <x/>
      <x v="7"/>
    </i>
    <i>
      <x v="4501"/>
      <x v="1"/>
      <x v="2"/>
    </i>
    <i>
      <x v="4502"/>
      <x/>
      <x v="7"/>
    </i>
    <i>
      <x v="4503"/>
      <x v="4"/>
      <x v="3"/>
    </i>
    <i r="2">
      <x v="2"/>
    </i>
    <i r="2">
      <x/>
    </i>
    <i>
      <x v="4504"/>
      <x v="4"/>
      <x v="10"/>
    </i>
    <i>
      <x v="4505"/>
      <x/>
      <x v="2"/>
    </i>
    <i>
      <x v="4506"/>
      <x v="1"/>
      <x v="6"/>
    </i>
    <i>
      <x v="4507"/>
      <x v="3"/>
      <x v="10"/>
    </i>
    <i r="2">
      <x v="1"/>
    </i>
    <i>
      <x v="4508"/>
      <x v="1"/>
      <x v="2"/>
    </i>
    <i>
      <x v="4509"/>
      <x/>
      <x v="7"/>
    </i>
    <i>
      <x v="4510"/>
      <x/>
      <x v="9"/>
    </i>
    <i>
      <x v="4511"/>
      <x v="4"/>
      <x v="2"/>
    </i>
    <i r="2">
      <x v="6"/>
    </i>
    <i>
      <x v="4512"/>
      <x/>
      <x v="10"/>
    </i>
    <i>
      <x v="4513"/>
      <x v="1"/>
      <x v="6"/>
    </i>
    <i>
      <x v="4514"/>
      <x/>
      <x v="8"/>
    </i>
    <i r="2">
      <x v="5"/>
    </i>
    <i>
      <x v="4515"/>
      <x v="1"/>
      <x v="10"/>
    </i>
    <i>
      <x v="4516"/>
      <x/>
      <x v="9"/>
    </i>
    <i>
      <x v="4517"/>
      <x v="3"/>
      <x v="2"/>
    </i>
    <i>
      <x v="4518"/>
      <x v="3"/>
      <x/>
    </i>
    <i>
      <x v="4519"/>
      <x/>
      <x v="3"/>
    </i>
    <i r="2">
      <x v="1"/>
    </i>
    <i>
      <x v="4520"/>
      <x/>
      <x v="9"/>
    </i>
    <i r="2">
      <x v="4"/>
    </i>
    <i>
      <x v="4521"/>
      <x v="3"/>
      <x v="9"/>
    </i>
    <i>
      <x v="4522"/>
      <x/>
      <x v="1"/>
    </i>
    <i>
      <x v="4523"/>
      <x v="4"/>
      <x v="4"/>
    </i>
    <i>
      <x v="4524"/>
      <x/>
      <x/>
    </i>
    <i>
      <x v="4525"/>
      <x v="3"/>
      <x v="9"/>
    </i>
    <i>
      <x v="4526"/>
      <x/>
      <x v="8"/>
    </i>
    <i>
      <x v="4527"/>
      <x/>
      <x v="3"/>
    </i>
    <i>
      <x v="4528"/>
      <x v="5"/>
      <x v="9"/>
    </i>
    <i>
      <x v="4529"/>
      <x v="1"/>
      <x v="2"/>
    </i>
    <i r="2">
      <x v="4"/>
    </i>
    <i>
      <x v="4530"/>
      <x/>
      <x v="9"/>
    </i>
    <i>
      <x v="4531"/>
      <x/>
      <x v="5"/>
    </i>
    <i r="2">
      <x/>
    </i>
    <i r="2">
      <x v="7"/>
    </i>
    <i>
      <x v="4532"/>
      <x v="4"/>
      <x v="5"/>
    </i>
    <i>
      <x v="4533"/>
      <x/>
      <x v="3"/>
    </i>
    <i r="2">
      <x v="7"/>
    </i>
    <i>
      <x v="4534"/>
      <x v="3"/>
      <x v="9"/>
    </i>
    <i>
      <x v="4535"/>
      <x v="3"/>
      <x v="8"/>
    </i>
    <i r="2">
      <x v="6"/>
    </i>
    <i>
      <x v="4536"/>
      <x v="1"/>
      <x v="2"/>
    </i>
    <i>
      <x v="4537"/>
      <x v="1"/>
      <x v="7"/>
    </i>
    <i>
      <x v="4538"/>
      <x v="3"/>
      <x v="3"/>
    </i>
    <i>
      <x v="4539"/>
      <x v="2"/>
      <x v="3"/>
    </i>
    <i>
      <x v="4540"/>
      <x v="4"/>
      <x v="8"/>
    </i>
    <i r="2">
      <x v="5"/>
    </i>
    <i>
      <x v="4541"/>
      <x v="3"/>
      <x v="8"/>
    </i>
    <i>
      <x v="4542"/>
      <x v="3"/>
      <x v="3"/>
    </i>
    <i>
      <x v="4543"/>
      <x v="3"/>
      <x v="8"/>
    </i>
    <i>
      <x v="4544"/>
      <x v="3"/>
      <x v="5"/>
    </i>
    <i r="1">
      <x v="1"/>
      <x v="10"/>
    </i>
    <i>
      <x v="4545"/>
      <x/>
      <x v="8"/>
    </i>
    <i r="2">
      <x/>
    </i>
    <i>
      <x v="4546"/>
      <x v="2"/>
      <x v="1"/>
    </i>
    <i>
      <x v="4547"/>
      <x v="4"/>
      <x v="7"/>
    </i>
    <i>
      <x v="4548"/>
      <x v="4"/>
      <x v="4"/>
    </i>
    <i>
      <x v="4549"/>
      <x v="5"/>
      <x v="8"/>
    </i>
    <i>
      <x v="4550"/>
      <x v="2"/>
      <x v="2"/>
    </i>
    <i>
      <x v="4551"/>
      <x v="5"/>
      <x v="4"/>
    </i>
    <i>
      <x v="4552"/>
      <x v="2"/>
      <x v="3"/>
    </i>
    <i>
      <x v="4553"/>
      <x v="5"/>
      <x v="1"/>
    </i>
    <i r="2">
      <x v="7"/>
    </i>
    <i r="1">
      <x v="2"/>
      <x v="8"/>
    </i>
    <i>
      <x v="4554"/>
      <x v="5"/>
      <x v="9"/>
    </i>
    <i r="2">
      <x v="2"/>
    </i>
    <i r="2">
      <x v="6"/>
    </i>
    <i>
      <x v="4555"/>
      <x v="5"/>
      <x v="8"/>
    </i>
    <i>
      <x v="4556"/>
      <x v="3"/>
      <x v="3"/>
    </i>
    <i>
      <x v="4557"/>
      <x v="3"/>
      <x v="9"/>
    </i>
    <i>
      <x v="4558"/>
      <x/>
      <x v="9"/>
    </i>
    <i>
      <x v="4559"/>
      <x/>
      <x v="10"/>
    </i>
    <i>
      <x v="4560"/>
      <x v="4"/>
      <x v="3"/>
    </i>
    <i r="2">
      <x v="8"/>
    </i>
    <i>
      <x v="4561"/>
      <x v="4"/>
      <x v="8"/>
    </i>
    <i>
      <x v="4562"/>
      <x v="3"/>
      <x v="8"/>
    </i>
    <i>
      <x v="4563"/>
      <x/>
      <x v="10"/>
    </i>
    <i>
      <x v="4564"/>
      <x/>
      <x v="3"/>
    </i>
    <i>
      <x v="4565"/>
      <x v="3"/>
      <x v="9"/>
    </i>
    <i r="1">
      <x/>
      <x/>
    </i>
    <i>
      <x v="4566"/>
      <x v="2"/>
      <x v="4"/>
    </i>
    <i>
      <x v="4567"/>
      <x v="2"/>
      <x v="2"/>
    </i>
    <i r="2">
      <x v="8"/>
    </i>
    <i r="2">
      <x v="4"/>
    </i>
    <i>
      <x v="4568"/>
      <x v="1"/>
      <x v="7"/>
    </i>
    <i>
      <x v="4569"/>
      <x v="3"/>
      <x v="4"/>
    </i>
    <i r="2">
      <x/>
    </i>
    <i>
      <x v="4570"/>
      <x v="3"/>
      <x v="1"/>
    </i>
    <i r="2">
      <x v="8"/>
    </i>
    <i>
      <x v="4571"/>
      <x v="5"/>
      <x v="7"/>
    </i>
    <i>
      <x v="4572"/>
      <x v="5"/>
      <x v="1"/>
    </i>
    <i>
      <x v="4573"/>
      <x v="3"/>
      <x/>
    </i>
    <i>
      <x v="4574"/>
      <x v="5"/>
      <x/>
    </i>
    <i>
      <x v="4575"/>
      <x v="3"/>
      <x v="9"/>
    </i>
    <i>
      <x v="4576"/>
      <x v="5"/>
      <x/>
    </i>
    <i>
      <x v="4577"/>
      <x v="5"/>
      <x v="4"/>
    </i>
    <i>
      <x v="4578"/>
      <x v="4"/>
      <x v="2"/>
    </i>
    <i>
      <x v="4579"/>
      <x v="1"/>
      <x v="8"/>
    </i>
    <i>
      <x v="4580"/>
      <x v="2"/>
      <x v="3"/>
    </i>
    <i>
      <x v="4581"/>
      <x v="4"/>
      <x v="6"/>
    </i>
    <i>
      <x v="4582"/>
      <x v="1"/>
      <x v="9"/>
    </i>
    <i r="2">
      <x v="2"/>
    </i>
    <i>
      <x v="4583"/>
      <x v="4"/>
      <x v="6"/>
    </i>
    <i>
      <x v="4584"/>
      <x v="2"/>
      <x v="7"/>
    </i>
    <i>
      <x v="4585"/>
      <x v="2"/>
      <x v="2"/>
    </i>
    <i>
      <x v="4586"/>
      <x v="2"/>
      <x v="10"/>
    </i>
    <i>
      <x v="4587"/>
      <x v="1"/>
      <x v="2"/>
    </i>
    <i>
      <x v="4588"/>
      <x v="2"/>
      <x v="3"/>
    </i>
    <i>
      <x v="4589"/>
      <x v="2"/>
      <x/>
    </i>
    <i>
      <x v="4590"/>
      <x v="1"/>
      <x v="2"/>
    </i>
    <i>
      <x v="4591"/>
      <x v="2"/>
      <x v="9"/>
    </i>
    <i>
      <x v="4592"/>
      <x v="2"/>
      <x v="1"/>
    </i>
    <i>
      <x v="4593"/>
      <x v="1"/>
      <x v="4"/>
    </i>
    <i r="2">
      <x v="5"/>
    </i>
    <i r="1">
      <x v="2"/>
      <x v="8"/>
    </i>
    <i>
      <x v="4594"/>
      <x v="2"/>
      <x/>
    </i>
    <i>
      <x v="4595"/>
      <x v="2"/>
      <x v="7"/>
    </i>
    <i>
      <x v="4596"/>
      <x v="1"/>
      <x v="6"/>
    </i>
    <i r="1">
      <x v="2"/>
      <x/>
    </i>
    <i>
      <x v="4597"/>
      <x v="3"/>
      <x/>
    </i>
    <i r="1">
      <x v="2"/>
      <x v="5"/>
    </i>
    <i>
      <x v="4598"/>
      <x/>
      <x v="2"/>
    </i>
    <i r="2">
      <x v="6"/>
    </i>
    <i>
      <x v="4599"/>
      <x v="3"/>
      <x v="10"/>
    </i>
    <i r="1">
      <x v="2"/>
      <x v="4"/>
    </i>
    <i>
      <x v="4600"/>
      <x v="3"/>
      <x v="5"/>
    </i>
    <i>
      <x v="4601"/>
      <x/>
      <x v="10"/>
    </i>
    <i>
      <x v="4602"/>
      <x v="5"/>
      <x v="7"/>
    </i>
    <i>
      <x v="4603"/>
      <x/>
      <x v="4"/>
    </i>
    <i>
      <x v="4604"/>
      <x v="4"/>
      <x v="8"/>
    </i>
    <i r="2">
      <x v="7"/>
    </i>
    <i>
      <x v="4605"/>
      <x v="3"/>
      <x v="5"/>
    </i>
    <i>
      <x v="4606"/>
      <x v="4"/>
      <x v="10"/>
    </i>
    <i>
      <x v="4607"/>
      <x v="4"/>
      <x/>
    </i>
    <i>
      <x v="4608"/>
      <x v="3"/>
      <x v="2"/>
    </i>
    <i r="2">
      <x v="7"/>
    </i>
    <i r="1">
      <x v="1"/>
      <x v="8"/>
    </i>
    <i>
      <x v="4609"/>
      <x v="3"/>
      <x v="1"/>
    </i>
    <i>
      <x v="4610"/>
      <x v="2"/>
      <x v="9"/>
    </i>
    <i>
      <x v="4611"/>
      <x v="2"/>
      <x v="4"/>
    </i>
    <i>
      <x v="4612"/>
      <x v="2"/>
      <x v="9"/>
    </i>
    <i>
      <x v="4613"/>
      <x v="2"/>
      <x v="7"/>
    </i>
    <i>
      <x v="4614"/>
      <x v="2"/>
      <x v="2"/>
    </i>
    <i r="2">
      <x v="4"/>
    </i>
    <i r="2">
      <x v="5"/>
    </i>
    <i>
      <x v="4615"/>
      <x v="5"/>
      <x v="8"/>
    </i>
    <i>
      <x v="4616"/>
      <x v="3"/>
      <x v="8"/>
    </i>
    <i r="2">
      <x v="7"/>
    </i>
    <i>
      <x v="4617"/>
      <x v="5"/>
      <x v="9"/>
    </i>
    <i r="1">
      <x v="2"/>
      <x v="5"/>
    </i>
    <i>
      <x v="4618"/>
      <x v="1"/>
      <x v="2"/>
    </i>
    <i r="2">
      <x v="6"/>
    </i>
    <i>
      <x v="4619"/>
      <x v="1"/>
      <x v="8"/>
    </i>
    <i>
      <x v="4620"/>
      <x v="5"/>
      <x v="6"/>
    </i>
    <i>
      <x v="4621"/>
      <x v="1"/>
      <x v="1"/>
    </i>
    <i>
      <x v="4622"/>
      <x v="5"/>
      <x v="3"/>
    </i>
    <i r="2">
      <x v="2"/>
    </i>
    <i>
      <x v="4623"/>
      <x v="5"/>
      <x v="3"/>
    </i>
    <i r="2">
      <x v="2"/>
    </i>
    <i r="2">
      <x v="5"/>
    </i>
    <i>
      <x v="4624"/>
      <x v="3"/>
      <x v="4"/>
    </i>
    <i>
      <x v="4625"/>
      <x v="5"/>
      <x v="2"/>
    </i>
    <i r="2">
      <x v="8"/>
    </i>
    <i>
      <x v="4626"/>
      <x v="4"/>
      <x v="2"/>
    </i>
    <i>
      <x v="4627"/>
      <x v="3"/>
      <x v="3"/>
    </i>
    <i r="2">
      <x v="1"/>
    </i>
    <i>
      <x v="4628"/>
      <x v="3"/>
      <x v="2"/>
    </i>
    <i r="2">
      <x v="4"/>
    </i>
    <i>
      <x v="4629"/>
      <x/>
      <x v="2"/>
    </i>
    <i>
      <x v="4630"/>
      <x v="2"/>
      <x v="4"/>
    </i>
    <i>
      <x v="4631"/>
      <x v="2"/>
      <x v="6"/>
    </i>
    <i>
      <x v="4632"/>
      <x v="2"/>
      <x v="10"/>
    </i>
    <i r="2">
      <x v="6"/>
    </i>
    <i>
      <x v="4633"/>
      <x v="3"/>
      <x/>
    </i>
    <i>
      <x v="4634"/>
      <x v="5"/>
      <x v="4"/>
    </i>
    <i>
      <x v="4635"/>
      <x v="5"/>
      <x v="8"/>
    </i>
    <i r="2">
      <x/>
    </i>
    <i>
      <x v="4636"/>
      <x v="5"/>
      <x v="3"/>
    </i>
    <i>
      <x v="4637"/>
      <x v="5"/>
      <x v="7"/>
    </i>
    <i>
      <x v="4638"/>
      <x v="2"/>
      <x v="7"/>
    </i>
    <i>
      <x v="4639"/>
      <x v="2"/>
      <x v="9"/>
    </i>
    <i>
      <x v="4640"/>
      <x v="2"/>
      <x v="5"/>
    </i>
    <i>
      <x v="4641"/>
      <x v="4"/>
      <x v="3"/>
    </i>
    <i>
      <x v="4642"/>
      <x v="4"/>
      <x v="4"/>
    </i>
    <i>
      <x v="4643"/>
      <x v="4"/>
      <x v="3"/>
    </i>
    <i r="2">
      <x v="5"/>
    </i>
    <i>
      <x v="4644"/>
      <x v="2"/>
      <x/>
    </i>
    <i>
      <x v="4645"/>
      <x v="3"/>
      <x v="10"/>
    </i>
    <i r="2">
      <x v="6"/>
    </i>
    <i>
      <x v="4646"/>
      <x v="2"/>
      <x v="8"/>
    </i>
    <i>
      <x v="4647"/>
      <x v="3"/>
      <x/>
    </i>
    <i r="1">
      <x/>
      <x v="6"/>
    </i>
    <i>
      <x v="4648"/>
      <x/>
      <x v="5"/>
    </i>
    <i r="2">
      <x v="7"/>
    </i>
    <i>
      <x v="4649"/>
      <x/>
      <x/>
    </i>
    <i r="1">
      <x v="5"/>
      <x v="9"/>
    </i>
    <i>
      <x v="4650"/>
      <x/>
      <x v="4"/>
    </i>
    <i r="2">
      <x v="7"/>
    </i>
    <i>
      <x v="4651"/>
      <x/>
      <x v="10"/>
    </i>
    <i>
      <x v="4652"/>
      <x v="4"/>
      <x v="6"/>
    </i>
    <i>
      <x v="4653"/>
      <x/>
      <x/>
    </i>
    <i>
      <x v="4654"/>
      <x v="2"/>
      <x v="1"/>
    </i>
    <i>
      <x v="4655"/>
      <x v="3"/>
      <x v="2"/>
    </i>
    <i>
      <x v="4656"/>
      <x v="5"/>
      <x v="8"/>
    </i>
    <i>
      <x v="4657"/>
      <x v="4"/>
      <x v="3"/>
    </i>
    <i>
      <x v="4658"/>
      <x/>
      <x v="2"/>
    </i>
    <i>
      <x v="4659"/>
      <x v="3"/>
      <x v="2"/>
    </i>
    <i>
      <x v="4660"/>
      <x v="5"/>
      <x v="4"/>
    </i>
    <i>
      <x v="4661"/>
      <x v="4"/>
      <x/>
    </i>
    <i>
      <x v="4662"/>
      <x v="2"/>
      <x v="5"/>
    </i>
    <i>
      <x v="4663"/>
      <x v="4"/>
      <x v="5"/>
    </i>
    <i r="2">
      <x v="6"/>
    </i>
    <i>
      <x v="4664"/>
      <x/>
      <x v="1"/>
    </i>
    <i>
      <x v="4665"/>
      <x/>
      <x/>
    </i>
    <i>
      <x v="4666"/>
      <x/>
      <x v="9"/>
    </i>
    <i>
      <x v="4667"/>
      <x/>
      <x v="7"/>
    </i>
    <i>
      <x v="4668"/>
      <x v="2"/>
      <x v="4"/>
    </i>
    <i>
      <x v="4669"/>
      <x v="2"/>
      <x v="10"/>
    </i>
    <i r="2">
      <x v="5"/>
    </i>
    <i>
      <x v="4670"/>
      <x v="3"/>
      <x v="6"/>
    </i>
    <i>
      <x v="4671"/>
      <x v="5"/>
      <x v="2"/>
    </i>
    <i>
      <x v="4672"/>
      <x v="3"/>
      <x v="4"/>
    </i>
    <i>
      <x v="4673"/>
      <x/>
      <x v="8"/>
    </i>
    <i>
      <x v="4674"/>
      <x v="3"/>
      <x v="1"/>
    </i>
    <i r="1">
      <x v="4"/>
      <x v="9"/>
    </i>
    <i>
      <x v="4675"/>
      <x v="5"/>
      <x v="8"/>
    </i>
    <i r="2">
      <x v="6"/>
    </i>
    <i>
      <x v="4676"/>
      <x v="5"/>
      <x v="4"/>
    </i>
    <i>
      <x v="4677"/>
      <x v="3"/>
      <x v="9"/>
    </i>
    <i>
      <x v="4678"/>
      <x v="4"/>
      <x v="1"/>
    </i>
    <i>
      <x v="4679"/>
      <x/>
      <x v="1"/>
    </i>
    <i r="2">
      <x/>
    </i>
    <i>
      <x v="4680"/>
      <x/>
      <x v="6"/>
    </i>
    <i>
      <x v="4681"/>
      <x v="3"/>
      <x v="7"/>
    </i>
    <i>
      <x v="4682"/>
      <x v="3"/>
      <x v="10"/>
    </i>
    <i r="2">
      <x v="1"/>
    </i>
    <i>
      <x v="4683"/>
      <x v="4"/>
      <x v="4"/>
    </i>
    <i r="2">
      <x v="6"/>
    </i>
    <i>
      <x v="4684"/>
      <x v="3"/>
      <x v="1"/>
    </i>
    <i>
      <x v="4685"/>
      <x v="2"/>
      <x v="1"/>
    </i>
    <i>
      <x v="4686"/>
      <x v="2"/>
      <x v="8"/>
    </i>
    <i>
      <x v="4687"/>
      <x v="2"/>
      <x v="7"/>
    </i>
    <i>
      <x v="4688"/>
      <x v="4"/>
      <x v="6"/>
    </i>
    <i>
      <x v="4689"/>
      <x v="3"/>
      <x v="6"/>
    </i>
    <i>
      <x v="4690"/>
      <x v="5"/>
      <x v="1"/>
    </i>
    <i>
      <x v="4691"/>
      <x v="3"/>
      <x v="2"/>
    </i>
    <i>
      <x v="4692"/>
      <x v="1"/>
      <x v="3"/>
    </i>
    <i>
      <x v="4693"/>
      <x v="1"/>
      <x v="3"/>
    </i>
    <i>
      <x v="4694"/>
      <x v="2"/>
      <x v="2"/>
    </i>
    <i>
      <x v="4695"/>
      <x v="2"/>
      <x v="2"/>
    </i>
    <i>
      <x v="4696"/>
      <x/>
      <x v="5"/>
    </i>
    <i>
      <x v="4697"/>
      <x v="4"/>
      <x v="4"/>
    </i>
    <i r="2">
      <x v="7"/>
    </i>
    <i>
      <x v="4698"/>
      <x/>
      <x v="3"/>
    </i>
    <i>
      <x v="4699"/>
      <x v="5"/>
      <x v="9"/>
    </i>
    <i r="2">
      <x v="2"/>
    </i>
    <i>
      <x v="4700"/>
      <x v="5"/>
      <x v="2"/>
    </i>
    <i>
      <x v="4701"/>
      <x v="3"/>
      <x v="7"/>
    </i>
    <i>
      <x v="4702"/>
      <x v="4"/>
      <x v="5"/>
    </i>
    <i>
      <x v="4703"/>
      <x v="5"/>
      <x v="10"/>
    </i>
    <i r="2">
      <x v="6"/>
    </i>
    <i>
      <x v="4704"/>
      <x v="2"/>
      <x v="2"/>
    </i>
    <i>
      <x v="4705"/>
      <x v="2"/>
      <x v="3"/>
    </i>
    <i r="2">
      <x v="6"/>
    </i>
    <i>
      <x v="4706"/>
      <x v="5"/>
      <x v="4"/>
    </i>
    <i>
      <x v="4707"/>
      <x v="3"/>
      <x/>
    </i>
    <i>
      <x v="4708"/>
      <x/>
      <x v="10"/>
    </i>
    <i r="2">
      <x v="1"/>
    </i>
    <i r="2">
      <x v="8"/>
    </i>
    <i>
      <x v="4709"/>
      <x v="3"/>
      <x v="8"/>
    </i>
    <i>
      <x v="4710"/>
      <x v="3"/>
      <x v="8"/>
    </i>
    <i>
      <x v="4711"/>
      <x v="3"/>
      <x v="9"/>
    </i>
    <i r="2">
      <x v="8"/>
    </i>
    <i>
      <x v="4712"/>
      <x v="4"/>
      <x v="6"/>
    </i>
    <i>
      <x v="4713"/>
      <x v="2"/>
      <x v="6"/>
    </i>
    <i>
      <x v="4714"/>
      <x v="4"/>
      <x v="2"/>
    </i>
    <i>
      <x v="4715"/>
      <x v="2"/>
      <x v="9"/>
    </i>
    <i>
      <x v="4716"/>
      <x v="2"/>
      <x v="3"/>
    </i>
    <i r="2">
      <x v="9"/>
    </i>
    <i r="2">
      <x v="8"/>
    </i>
    <i>
      <x v="4717"/>
      <x v="3"/>
      <x v="3"/>
    </i>
    <i r="2">
      <x v="6"/>
    </i>
    <i>
      <x v="4718"/>
      <x v="2"/>
      <x v="3"/>
    </i>
    <i r="2">
      <x v="2"/>
    </i>
    <i r="2">
      <x v="4"/>
    </i>
    <i>
      <x v="4719"/>
      <x v="2"/>
      <x v="4"/>
    </i>
    <i>
      <x v="4720"/>
      <x v="5"/>
      <x v="5"/>
    </i>
    <i r="2">
      <x v="7"/>
    </i>
    <i r="1">
      <x v="2"/>
      <x v="2"/>
    </i>
    <i>
      <x v="4721"/>
      <x v="2"/>
      <x v="7"/>
    </i>
    <i>
      <x v="4722"/>
      <x v="3"/>
      <x v="10"/>
    </i>
    <i r="2">
      <x v="5"/>
    </i>
    <i>
      <x v="4723"/>
      <x v="3"/>
      <x v="9"/>
    </i>
    <i r="1">
      <x v="2"/>
      <x v="1"/>
    </i>
    <i>
      <x v="4724"/>
      <x v="2"/>
      <x v="10"/>
    </i>
    <i>
      <x v="4725"/>
      <x v="4"/>
      <x v="5"/>
    </i>
    <i r="2">
      <x v="7"/>
    </i>
    <i>
      <x v="4726"/>
      <x v="4"/>
      <x v="8"/>
    </i>
    <i>
      <x v="4727"/>
      <x v="4"/>
      <x v="9"/>
    </i>
    <i>
      <x v="4728"/>
      <x v="5"/>
      <x v="2"/>
    </i>
    <i r="1">
      <x v="4"/>
      <x v="3"/>
    </i>
    <i>
      <x v="4729"/>
      <x v="3"/>
      <x v="3"/>
    </i>
    <i r="1">
      <x v="5"/>
      <x v="1"/>
    </i>
    <i>
      <x v="4730"/>
      <x v="3"/>
      <x v="7"/>
    </i>
    <i>
      <x v="4731"/>
      <x v="2"/>
      <x v="3"/>
    </i>
    <i>
      <x v="4732"/>
      <x v="2"/>
      <x v="2"/>
    </i>
    <i>
      <x v="4733"/>
      <x v="5"/>
      <x v="3"/>
    </i>
    <i r="2">
      <x v="8"/>
    </i>
    <i>
      <x v="4734"/>
      <x v="5"/>
      <x v="3"/>
    </i>
    <i r="1">
      <x v="2"/>
      <x v="5"/>
    </i>
    <i>
      <x v="4735"/>
      <x v="4"/>
      <x v="1"/>
    </i>
    <i r="2">
      <x v="5"/>
    </i>
    <i>
      <x v="4736"/>
      <x v="5"/>
      <x v="9"/>
    </i>
    <i r="2">
      <x v="6"/>
    </i>
    <i>
      <x v="4737"/>
      <x v="5"/>
      <x v="2"/>
    </i>
    <i r="2">
      <x v="7"/>
    </i>
    <i>
      <x v="4738"/>
      <x v="3"/>
      <x v="5"/>
    </i>
    <i>
      <x v="4739"/>
      <x v="3"/>
      <x/>
    </i>
    <i>
      <x v="4740"/>
      <x v="3"/>
      <x/>
    </i>
    <i>
      <x v="4741"/>
      <x v="1"/>
      <x v="10"/>
    </i>
    <i r="2">
      <x v="7"/>
    </i>
    <i>
      <x v="4742"/>
      <x v="1"/>
      <x v="5"/>
    </i>
    <i>
      <x v="4743"/>
      <x v="2"/>
      <x v="9"/>
    </i>
    <i>
      <x v="4744"/>
      <x v="3"/>
      <x v="4"/>
    </i>
    <i>
      <x v="4745"/>
      <x v="3"/>
      <x v="5"/>
    </i>
    <i r="2">
      <x v="6"/>
    </i>
    <i>
      <x v="4746"/>
      <x v="3"/>
      <x v="6"/>
    </i>
    <i>
      <x v="4747"/>
      <x v="1"/>
      <x v="8"/>
    </i>
    <i>
      <x v="4748"/>
      <x v="5"/>
      <x v="5"/>
    </i>
    <i r="2">
      <x v="7"/>
    </i>
    <i r="2">
      <x v="6"/>
    </i>
    <i>
      <x v="4749"/>
      <x v="1"/>
      <x v="2"/>
    </i>
    <i r="1">
      <x v="5"/>
      <x/>
    </i>
    <i>
      <x v="4750"/>
      <x v="2"/>
      <x v="10"/>
    </i>
    <i r="2">
      <x v="1"/>
    </i>
    <i>
      <x v="4751"/>
      <x v="2"/>
      <x v="1"/>
    </i>
    <i>
      <x v="4752"/>
      <x v="2"/>
      <x v="3"/>
    </i>
    <i r="2">
      <x v="4"/>
    </i>
    <i>
      <x v="4753"/>
      <x v="5"/>
      <x v="7"/>
    </i>
    <i>
      <x v="4754"/>
      <x v="5"/>
      <x v="1"/>
    </i>
    <i>
      <x v="4755"/>
      <x v="5"/>
      <x v="8"/>
    </i>
    <i>
      <x v="4756"/>
      <x/>
      <x v="10"/>
    </i>
    <i r="2">
      <x v="1"/>
    </i>
    <i>
      <x v="4757"/>
      <x v="5"/>
      <x v="1"/>
    </i>
    <i>
      <x v="4758"/>
      <x/>
      <x v="3"/>
    </i>
    <i r="2">
      <x v="1"/>
    </i>
    <i>
      <x v="4759"/>
      <x v="3"/>
      <x v="2"/>
    </i>
    <i r="1">
      <x v="2"/>
      <x v="2"/>
    </i>
    <i>
      <x v="4760"/>
      <x v="5"/>
      <x v="3"/>
    </i>
    <i r="2">
      <x v="7"/>
    </i>
    <i r="1">
      <x v="2"/>
      <x v="6"/>
    </i>
    <i>
      <x v="4761"/>
      <x v="5"/>
      <x v="2"/>
    </i>
    <i>
      <x v="4762"/>
      <x v="2"/>
      <x v="9"/>
    </i>
    <i>
      <x v="4763"/>
      <x v="3"/>
      <x v="10"/>
    </i>
    <i r="2">
      <x v="2"/>
    </i>
    <i r="2">
      <x/>
    </i>
    <i>
      <x v="4764"/>
      <x v="1"/>
      <x v="10"/>
    </i>
    <i>
      <x v="4765"/>
      <x v="3"/>
      <x v="5"/>
    </i>
    <i>
      <x v="4766"/>
      <x v="3"/>
      <x v="3"/>
    </i>
    <i r="2">
      <x v="1"/>
    </i>
    <i r="2">
      <x/>
    </i>
    <i>
      <x v="4767"/>
      <x v="2"/>
      <x v="7"/>
    </i>
    <i>
      <x v="4768"/>
      <x v="3"/>
      <x v="4"/>
    </i>
    <i>
      <x v="4769"/>
      <x v="3"/>
      <x v="7"/>
    </i>
    <i>
      <x v="4770"/>
      <x v="3"/>
      <x v="1"/>
    </i>
    <i>
      <x v="4771"/>
      <x v="5"/>
      <x v="5"/>
    </i>
    <i r="1">
      <x v="2"/>
      <x v="1"/>
    </i>
    <i>
      <x v="4772"/>
      <x v="5"/>
      <x v="4"/>
    </i>
    <i>
      <x v="4773"/>
      <x v="5"/>
      <x v="2"/>
    </i>
    <i>
      <x v="4774"/>
      <x v="3"/>
      <x v="3"/>
    </i>
    <i>
      <x v="4775"/>
      <x v="4"/>
      <x v="5"/>
    </i>
    <i>
      <x v="4776"/>
      <x v="3"/>
      <x v="3"/>
    </i>
    <i r="2">
      <x v="2"/>
    </i>
    <i r="2">
      <x v="6"/>
    </i>
    <i>
      <x v="4777"/>
      <x v="4"/>
      <x/>
    </i>
    <i>
      <x v="4778"/>
      <x v="1"/>
      <x v="10"/>
    </i>
    <i r="2">
      <x v="2"/>
    </i>
    <i>
      <x v="4779"/>
      <x v="1"/>
      <x v="2"/>
    </i>
    <i>
      <x v="4780"/>
      <x v="3"/>
      <x v="9"/>
    </i>
    <i>
      <x v="4781"/>
      <x v="3"/>
      <x v="2"/>
    </i>
    <i>
      <x v="4782"/>
      <x v="2"/>
      <x v="1"/>
    </i>
    <i>
      <x v="4783"/>
      <x v="2"/>
      <x v="3"/>
    </i>
    <i>
      <x v="4784"/>
      <x/>
      <x v="2"/>
    </i>
    <i>
      <x v="4785"/>
      <x v="3"/>
      <x/>
    </i>
    <i r="2">
      <x v="6"/>
    </i>
    <i>
      <x v="4786"/>
      <x v="5"/>
      <x v="4"/>
    </i>
    <i>
      <x v="4787"/>
      <x v="2"/>
      <x v="2"/>
    </i>
    <i>
      <x v="4788"/>
      <x v="3"/>
      <x v="5"/>
    </i>
    <i>
      <x v="4789"/>
      <x/>
      <x v="1"/>
    </i>
    <i r="2">
      <x/>
    </i>
    <i>
      <x v="4790"/>
      <x v="5"/>
      <x v="8"/>
    </i>
    <i>
      <x v="4791"/>
      <x v="3"/>
      <x v="10"/>
    </i>
    <i>
      <x v="4792"/>
      <x v="3"/>
      <x/>
    </i>
    <i>
      <x v="4793"/>
      <x v="3"/>
      <x/>
    </i>
    <i>
      <x v="4794"/>
      <x v="3"/>
      <x v="4"/>
    </i>
    <i r="1">
      <x v="5"/>
      <x v="8"/>
    </i>
    <i r="1">
      <x v="2"/>
      <x v="3"/>
    </i>
    <i>
      <x v="4795"/>
      <x v="2"/>
      <x v="7"/>
    </i>
    <i>
      <x v="4796"/>
      <x/>
      <x v="5"/>
    </i>
    <i>
      <x v="4797"/>
      <x/>
      <x v="1"/>
    </i>
    <i r="1">
      <x v="2"/>
      <x v="1"/>
    </i>
    <i>
      <x v="4798"/>
      <x v="2"/>
      <x v="4"/>
    </i>
    <i>
      <x v="4799"/>
      <x v="2"/>
      <x/>
    </i>
    <i>
      <x v="4800"/>
      <x/>
      <x v="5"/>
    </i>
    <i>
      <x v="4801"/>
      <x v="4"/>
      <x v="8"/>
    </i>
    <i>
      <x v="4802"/>
      <x v="3"/>
      <x v="5"/>
    </i>
    <i>
      <x v="4803"/>
      <x v="4"/>
      <x v="7"/>
    </i>
    <i>
      <x v="4804"/>
      <x v="4"/>
      <x v="8"/>
    </i>
    <i>
      <x v="4805"/>
      <x v="5"/>
      <x v="10"/>
    </i>
    <i>
      <x v="4806"/>
      <x v="2"/>
      <x v="2"/>
    </i>
    <i>
      <x v="4807"/>
      <x v="3"/>
      <x v="9"/>
    </i>
    <i>
      <x v="4808"/>
      <x v="2"/>
      <x/>
    </i>
    <i>
      <x v="4809"/>
      <x v="2"/>
      <x v="3"/>
    </i>
    <i>
      <x v="4810"/>
      <x v="2"/>
      <x/>
    </i>
    <i>
      <x v="4811"/>
      <x v="3"/>
      <x/>
    </i>
    <i>
      <x v="4812"/>
      <x v="3"/>
      <x v="1"/>
    </i>
    <i>
      <x v="4813"/>
      <x v="4"/>
      <x v="4"/>
    </i>
    <i>
      <x v="4814"/>
      <x v="5"/>
      <x v="3"/>
    </i>
    <i r="1">
      <x v="4"/>
      <x v="7"/>
    </i>
    <i>
      <x v="4815"/>
      <x v="4"/>
      <x v="9"/>
    </i>
    <i r="2">
      <x v="5"/>
    </i>
    <i>
      <x v="4816"/>
      <x v="4"/>
      <x v="1"/>
    </i>
    <i>
      <x v="4817"/>
      <x v="2"/>
      <x v="10"/>
    </i>
    <i>
      <x v="4818"/>
      <x v="2"/>
      <x v="1"/>
    </i>
    <i>
      <x v="4819"/>
      <x v="3"/>
      <x v="2"/>
    </i>
    <i>
      <x v="4820"/>
      <x v="3"/>
      <x/>
    </i>
    <i>
      <x v="4821"/>
      <x v="3"/>
      <x v="3"/>
    </i>
    <i r="1">
      <x v="4"/>
      <x v="10"/>
    </i>
    <i>
      <x v="4822"/>
      <x v="3"/>
      <x v="2"/>
    </i>
    <i>
      <x v="4823"/>
      <x v="3"/>
      <x v="7"/>
    </i>
    <i>
      <x v="4824"/>
      <x v="4"/>
      <x/>
    </i>
    <i>
      <x v="4825"/>
      <x/>
      <x v="3"/>
    </i>
    <i r="2">
      <x v="9"/>
    </i>
    <i>
      <x v="4826"/>
      <x v="3"/>
      <x v="9"/>
    </i>
    <i r="2">
      <x v="4"/>
    </i>
    <i>
      <x v="4827"/>
      <x v="3"/>
      <x v="6"/>
    </i>
    <i r="1">
      <x v="1"/>
      <x v="9"/>
    </i>
    <i r="2">
      <x v="4"/>
    </i>
    <i>
      <x v="4828"/>
      <x v="3"/>
      <x v="3"/>
    </i>
    <i>
      <x v="4829"/>
      <x/>
      <x v="4"/>
    </i>
    <i>
      <x v="4830"/>
      <x v="2"/>
      <x v="6"/>
    </i>
    <i>
      <x v="4831"/>
      <x v="4"/>
      <x v="2"/>
    </i>
    <i>
      <x v="4832"/>
      <x v="2"/>
      <x v="3"/>
    </i>
    <i>
      <x v="4833"/>
      <x v="2"/>
      <x v="9"/>
    </i>
    <i>
      <x v="4834"/>
      <x v="2"/>
      <x v="6"/>
    </i>
    <i>
      <x v="4835"/>
      <x v="3"/>
      <x v="9"/>
    </i>
    <i>
      <x v="4836"/>
      <x v="2"/>
      <x v="2"/>
    </i>
    <i>
      <x v="4837"/>
      <x v="3"/>
      <x v="5"/>
    </i>
    <i>
      <x v="4838"/>
      <x v="2"/>
      <x v="2"/>
    </i>
    <i>
      <x v="4839"/>
      <x v="5"/>
      <x v="7"/>
    </i>
    <i>
      <x v="4840"/>
      <x v="5"/>
      <x v="8"/>
    </i>
    <i>
      <x v="4841"/>
      <x v="4"/>
      <x v="8"/>
    </i>
    <i>
      <x v="4842"/>
      <x v="5"/>
      <x v="10"/>
    </i>
    <i r="2">
      <x v="4"/>
    </i>
    <i>
      <x v="4843"/>
      <x v="4"/>
      <x/>
    </i>
    <i>
      <x v="4844"/>
      <x v="5"/>
      <x v="4"/>
    </i>
    <i r="2">
      <x v="6"/>
    </i>
    <i>
      <x v="4845"/>
      <x v="4"/>
      <x v="2"/>
    </i>
    <i>
      <x v="4846"/>
      <x v="5"/>
      <x v="3"/>
    </i>
    <i>
      <x v="4847"/>
      <x v="4"/>
      <x v="6"/>
    </i>
    <i>
      <x v="4848"/>
      <x v="5"/>
      <x/>
    </i>
    <i>
      <x v="4849"/>
      <x v="3"/>
      <x v="8"/>
    </i>
    <i r="1">
      <x/>
      <x v="6"/>
    </i>
    <i r="1">
      <x v="5"/>
      <x v="5"/>
    </i>
    <i r="2">
      <x v="7"/>
    </i>
    <i>
      <x v="4850"/>
      <x v="2"/>
      <x v="2"/>
    </i>
    <i>
      <x v="4851"/>
      <x/>
      <x v="8"/>
    </i>
    <i>
      <x v="4852"/>
      <x v="1"/>
      <x v="8"/>
    </i>
    <i r="2">
      <x/>
    </i>
    <i r="2">
      <x v="6"/>
    </i>
    <i>
      <x v="4853"/>
      <x/>
      <x v="9"/>
    </i>
    <i>
      <x v="4854"/>
      <x v="3"/>
      <x v="6"/>
    </i>
    <i>
      <x v="4855"/>
      <x v="3"/>
      <x v="5"/>
    </i>
    <i>
      <x v="4856"/>
      <x v="2"/>
      <x v="8"/>
    </i>
    <i>
      <x v="4857"/>
      <x v="1"/>
      <x v="7"/>
    </i>
    <i r="1">
      <x v="2"/>
      <x v="8"/>
    </i>
    <i>
      <x v="4858"/>
      <x v="3"/>
      <x v="6"/>
    </i>
    <i>
      <x v="4859"/>
      <x/>
      <x v="3"/>
    </i>
    <i r="2">
      <x v="2"/>
    </i>
    <i>
      <x v="4860"/>
      <x v="2"/>
      <x v="10"/>
    </i>
    <i r="2">
      <x v="3"/>
    </i>
    <i>
      <x v="4861"/>
      <x v="1"/>
      <x v="3"/>
    </i>
    <i r="2">
      <x v="1"/>
    </i>
    <i r="2">
      <x v="7"/>
    </i>
    <i>
      <x v="4862"/>
      <x v="5"/>
      <x v="10"/>
    </i>
    <i>
      <x v="4863"/>
      <x v="5"/>
      <x v="1"/>
    </i>
    <i>
      <x v="4864"/>
      <x v="1"/>
      <x v="2"/>
    </i>
    <i r="2">
      <x v="6"/>
    </i>
    <i>
      <x v="4865"/>
      <x v="3"/>
      <x/>
    </i>
    <i r="1">
      <x v="1"/>
      <x v="10"/>
    </i>
    <i r="2">
      <x v="2"/>
    </i>
    <i>
      <x v="4866"/>
      <x v="1"/>
      <x v="10"/>
    </i>
    <i r="2">
      <x v="2"/>
    </i>
    <i r="2">
      <x v="8"/>
    </i>
    <i r="2">
      <x/>
    </i>
    <i>
      <x v="4867"/>
      <x v="3"/>
      <x v="5"/>
    </i>
    <i>
      <x v="4868"/>
      <x v="3"/>
      <x v="9"/>
    </i>
    <i>
      <x v="4869"/>
      <x v="4"/>
      <x v="2"/>
    </i>
    <i r="2">
      <x v="15"/>
    </i>
    <i>
      <x v="4870"/>
      <x v="4"/>
      <x v="1"/>
    </i>
    <i>
      <x v="4871"/>
      <x v="3"/>
      <x v="10"/>
    </i>
    <i r="2">
      <x v="4"/>
    </i>
    <i>
      <x v="4872"/>
      <x v="4"/>
      <x v="7"/>
    </i>
    <i>
      <x v="4873"/>
      <x v="3"/>
      <x v="8"/>
    </i>
    <i>
      <x v="4874"/>
      <x/>
      <x v="3"/>
    </i>
    <i r="2">
      <x v="1"/>
    </i>
    <i>
      <x v="4875"/>
      <x v="2"/>
      <x v="7"/>
    </i>
    <i>
      <x v="4876"/>
      <x v="2"/>
      <x v="2"/>
    </i>
    <i>
      <x v="4877"/>
      <x v="2"/>
      <x v="1"/>
    </i>
    <i>
      <x v="4878"/>
      <x v="4"/>
      <x v="10"/>
    </i>
    <i>
      <x v="4879"/>
      <x v="4"/>
      <x v="1"/>
    </i>
    <i>
      <x v="4880"/>
      <x v="5"/>
      <x v="7"/>
    </i>
    <i>
      <x v="4881"/>
      <x v="4"/>
      <x v="1"/>
    </i>
    <i>
      <x v="4882"/>
      <x v="4"/>
      <x v="4"/>
    </i>
    <i>
      <x v="4883"/>
      <x v="5"/>
      <x v="1"/>
    </i>
    <i>
      <x v="4884"/>
      <x/>
      <x v="10"/>
    </i>
    <i>
      <x v="4885"/>
      <x v="4"/>
      <x v="8"/>
    </i>
    <i>
      <x v="4886"/>
      <x/>
      <x v="3"/>
    </i>
    <i r="1">
      <x v="5"/>
      <x v="8"/>
    </i>
    <i r="2">
      <x v="7"/>
    </i>
    <i>
      <x v="4887"/>
      <x v="1"/>
      <x v="10"/>
    </i>
    <i>
      <x v="4888"/>
      <x v="1"/>
      <x v="5"/>
    </i>
    <i>
      <x v="4889"/>
      <x v="3"/>
      <x/>
    </i>
    <i>
      <x v="4890"/>
      <x v="2"/>
      <x v="3"/>
    </i>
    <i>
      <x v="4891"/>
      <x/>
      <x v="10"/>
    </i>
    <i r="2">
      <x v="9"/>
    </i>
    <i r="1">
      <x v="5"/>
      <x v="6"/>
    </i>
    <i>
      <x v="4892"/>
      <x v="4"/>
      <x v="5"/>
    </i>
    <i>
      <x v="4893"/>
      <x v="5"/>
      <x v="8"/>
    </i>
    <i>
      <x v="4894"/>
      <x/>
      <x v="10"/>
    </i>
    <i r="1">
      <x v="4"/>
      <x v="8"/>
    </i>
    <i>
      <x v="4895"/>
      <x/>
      <x v="5"/>
    </i>
    <i>
      <x v="4896"/>
      <x v="4"/>
      <x v="10"/>
    </i>
    <i>
      <x v="4897"/>
      <x/>
      <x/>
    </i>
    <i>
      <x v="4898"/>
      <x v="5"/>
      <x v="6"/>
    </i>
    <i>
      <x v="4899"/>
      <x/>
      <x v="3"/>
    </i>
    <i>
      <x v="4900"/>
      <x v="5"/>
      <x v="9"/>
    </i>
    <i r="2">
      <x/>
    </i>
    <i r="1">
      <x v="2"/>
      <x v="4"/>
    </i>
    <i>
      <x v="4901"/>
      <x v="3"/>
      <x v="2"/>
    </i>
    <i r="1">
      <x/>
      <x v="6"/>
    </i>
    <i>
      <x v="4902"/>
      <x v="3"/>
      <x v="2"/>
    </i>
    <i r="1">
      <x v="5"/>
      <x v="2"/>
    </i>
    <i r="2">
      <x/>
    </i>
    <i>
      <x v="4903"/>
      <x/>
      <x v="1"/>
    </i>
    <i r="2">
      <x v="8"/>
    </i>
    <i r="2">
      <x v="6"/>
    </i>
    <i>
      <x v="4904"/>
      <x/>
      <x/>
    </i>
    <i>
      <x v="4905"/>
      <x/>
      <x v="10"/>
    </i>
    <i>
      <x v="4906"/>
      <x v="2"/>
      <x v="5"/>
    </i>
    <i>
      <x v="4907"/>
      <x/>
      <x v="2"/>
    </i>
    <i r="2">
      <x v="7"/>
    </i>
    <i>
      <x v="4908"/>
      <x v="2"/>
      <x v="6"/>
    </i>
    <i>
      <x v="4909"/>
      <x v="2"/>
      <x v="10"/>
    </i>
    <i r="2">
      <x v="3"/>
    </i>
    <i>
      <x v="4910"/>
      <x v="2"/>
      <x v="2"/>
    </i>
    <i r="2">
      <x v="4"/>
    </i>
    <i>
      <x v="4911"/>
      <x v="2"/>
      <x/>
    </i>
    <i>
      <x v="4912"/>
      <x v="2"/>
      <x v="10"/>
    </i>
    <i r="2">
      <x v="3"/>
    </i>
    <i>
      <x v="4913"/>
      <x v="3"/>
      <x v="8"/>
    </i>
    <i r="2">
      <x v="7"/>
    </i>
    <i>
      <x v="4914"/>
      <x v="3"/>
      <x v="8"/>
    </i>
    <i>
      <x v="4915"/>
      <x v="2"/>
      <x v="1"/>
    </i>
    <i>
      <x v="4916"/>
      <x v="2"/>
      <x v="8"/>
    </i>
    <i>
      <x v="4917"/>
      <x v="2"/>
      <x v="10"/>
    </i>
    <i r="2">
      <x v="8"/>
    </i>
    <i>
      <x v="4918"/>
      <x v="3"/>
      <x v="4"/>
    </i>
    <i r="1">
      <x v="1"/>
      <x v="3"/>
    </i>
    <i>
      <x v="4919"/>
      <x v="1"/>
      <x v="6"/>
    </i>
    <i>
      <x v="4920"/>
      <x v="3"/>
      <x v="6"/>
    </i>
    <i>
      <x v="4921"/>
      <x v="5"/>
      <x v="1"/>
    </i>
    <i>
      <x v="4922"/>
      <x v="3"/>
      <x v="5"/>
    </i>
    <i>
      <x v="4923"/>
      <x v="5"/>
      <x v="2"/>
    </i>
    <i r="2">
      <x v="4"/>
    </i>
    <i r="2">
      <x v="6"/>
    </i>
    <i>
      <x v="4924"/>
      <x v="2"/>
      <x v="1"/>
    </i>
    <i>
      <x v="4925"/>
      <x v="2"/>
      <x v="9"/>
    </i>
    <i>
      <x v="4926"/>
      <x v="2"/>
      <x v="3"/>
    </i>
    <i>
      <x v="4927"/>
      <x v="2"/>
      <x v="4"/>
    </i>
    <i>
      <x v="4928"/>
      <x v="2"/>
      <x v="3"/>
    </i>
    <i r="2">
      <x v="4"/>
    </i>
    <i>
      <x v="4929"/>
      <x v="3"/>
      <x/>
    </i>
    <i>
      <x v="4930"/>
      <x v="5"/>
      <x v="9"/>
    </i>
    <i r="2">
      <x v="7"/>
    </i>
    <i>
      <x v="4931"/>
      <x v="5"/>
      <x v="1"/>
    </i>
    <i>
      <x v="4932"/>
      <x v="3"/>
      <x v="1"/>
    </i>
    <i>
      <x v="4933"/>
      <x/>
      <x/>
    </i>
    <i>
      <x v="4934"/>
      <x v="4"/>
      <x v="7"/>
    </i>
    <i>
      <x v="4935"/>
      <x v="4"/>
      <x/>
    </i>
    <i r="2">
      <x v="6"/>
    </i>
    <i>
      <x v="4936"/>
      <x v="4"/>
      <x v="5"/>
    </i>
    <i r="2">
      <x v="6"/>
    </i>
    <i>
      <x v="4937"/>
      <x v="4"/>
      <x v="1"/>
    </i>
    <i>
      <x v="4938"/>
      <x v="3"/>
      <x v="2"/>
    </i>
    <i r="1">
      <x v="4"/>
      <x v="7"/>
    </i>
    <i r="2">
      <x v="6"/>
    </i>
    <i>
      <x v="4939"/>
      <x v="4"/>
      <x v="3"/>
    </i>
    <i r="2">
      <x v="9"/>
    </i>
    <i r="2">
      <x v="5"/>
    </i>
    <i>
      <x v="4940"/>
      <x v="3"/>
      <x v="1"/>
    </i>
    <i r="2">
      <x v="9"/>
    </i>
    <i r="2">
      <x v="2"/>
    </i>
    <i>
      <x v="4941"/>
      <x v="3"/>
      <x v="6"/>
    </i>
    <i>
      <x v="4942"/>
      <x v="3"/>
      <x v="3"/>
    </i>
    <i>
      <x v="4943"/>
      <x v="1"/>
      <x v="6"/>
    </i>
    <i>
      <x v="4944"/>
      <x v="1"/>
      <x v="3"/>
    </i>
    <i r="2">
      <x v="6"/>
    </i>
    <i>
      <x v="4945"/>
      <x/>
      <x v="3"/>
    </i>
    <i>
      <x v="4946"/>
      <x v="1"/>
      <x v="2"/>
    </i>
    <i>
      <x v="4947"/>
      <x v="2"/>
      <x v="4"/>
    </i>
    <i r="2">
      <x v="7"/>
    </i>
    <i>
      <x v="4948"/>
      <x v="3"/>
      <x v="5"/>
    </i>
    <i r="1">
      <x v="5"/>
      <x/>
    </i>
    <i>
      <x v="4949"/>
      <x v="3"/>
      <x v="1"/>
    </i>
    <i>
      <x v="4950"/>
      <x v="5"/>
      <x v="8"/>
    </i>
    <i>
      <x v="4951"/>
      <x v="2"/>
      <x v="3"/>
    </i>
    <i>
      <x v="4952"/>
      <x v="2"/>
      <x v="9"/>
    </i>
    <i r="2">
      <x v="8"/>
    </i>
    <i>
      <x v="4953"/>
      <x v="3"/>
      <x v="2"/>
    </i>
    <i>
      <x v="4954"/>
      <x v="5"/>
      <x v="2"/>
    </i>
    <i>
      <x v="4955"/>
      <x v="1"/>
      <x v="8"/>
    </i>
    <i r="2">
      <x v="4"/>
    </i>
    <i>
      <x v="4956"/>
      <x v="3"/>
      <x v="6"/>
    </i>
    <i>
      <x v="4957"/>
      <x v="1"/>
      <x v="10"/>
    </i>
    <i>
      <x v="4958"/>
      <x v="1"/>
      <x v="5"/>
    </i>
    <i>
      <x v="4959"/>
      <x v="3"/>
      <x v="2"/>
    </i>
    <i>
      <x v="4960"/>
      <x v="4"/>
      <x v="7"/>
    </i>
    <i>
      <x v="4961"/>
      <x v="4"/>
      <x/>
    </i>
    <i>
      <x v="4962"/>
      <x/>
      <x v="2"/>
    </i>
    <i>
      <x v="4963"/>
      <x v="2"/>
      <x v="10"/>
    </i>
    <i>
      <x v="4964"/>
      <x v="5"/>
      <x v="10"/>
    </i>
    <i r="2">
      <x v="5"/>
    </i>
    <i>
      <x v="4965"/>
      <x/>
      <x v="4"/>
    </i>
    <i>
      <x v="4966"/>
      <x v="2"/>
      <x v="9"/>
    </i>
    <i r="2">
      <x v="8"/>
    </i>
    <i>
      <x v="4967"/>
      <x/>
      <x v="5"/>
    </i>
    <i>
      <x v="4968"/>
      <x v="2"/>
      <x v="1"/>
    </i>
    <i>
      <x v="4969"/>
      <x v="5"/>
      <x v="9"/>
    </i>
    <i>
      <x v="4970"/>
      <x v="1"/>
      <x v="2"/>
    </i>
    <i>
      <x v="4971"/>
      <x v="5"/>
      <x v="6"/>
    </i>
    <i>
      <x v="4972"/>
      <x v="5"/>
      <x v="8"/>
    </i>
    <i r="2">
      <x v="5"/>
    </i>
    <i>
      <x v="4973"/>
      <x v="2"/>
      <x v="6"/>
    </i>
    <i>
      <x v="4974"/>
      <x v="2"/>
      <x v="7"/>
    </i>
    <i>
      <x v="4975"/>
      <x/>
      <x v="2"/>
    </i>
    <i>
      <x v="4976"/>
      <x/>
      <x v="6"/>
    </i>
    <i r="1">
      <x v="5"/>
      <x v="3"/>
    </i>
    <i r="2">
      <x v="5"/>
    </i>
    <i>
      <x v="4977"/>
      <x/>
      <x v="1"/>
    </i>
    <i>
      <x v="4978"/>
      <x v="5"/>
      <x v="8"/>
    </i>
    <i>
      <x v="4979"/>
      <x v="4"/>
      <x v="9"/>
    </i>
    <i>
      <x v="4980"/>
      <x v="4"/>
      <x v="7"/>
    </i>
    <i>
      <x v="4981"/>
      <x v="3"/>
      <x v="8"/>
    </i>
    <i>
      <x v="4982"/>
      <x v="3"/>
      <x v="7"/>
    </i>
    <i>
      <x v="4983"/>
      <x v="3"/>
      <x v="2"/>
    </i>
    <i>
      <x v="4984"/>
      <x v="5"/>
      <x v="5"/>
    </i>
    <i>
      <x v="4985"/>
      <x/>
      <x v="10"/>
    </i>
    <i r="2">
      <x v="5"/>
    </i>
    <i>
      <x v="4986"/>
      <x v="2"/>
      <x v="5"/>
    </i>
    <i>
      <x v="4987"/>
      <x v="2"/>
      <x v="1"/>
    </i>
    <i r="2">
      <x v="7"/>
    </i>
    <i>
      <x v="4988"/>
      <x v="2"/>
      <x v="9"/>
    </i>
    <i>
      <x v="4989"/>
      <x v="2"/>
      <x v="3"/>
    </i>
    <i>
      <x v="4990"/>
      <x v="2"/>
      <x v="10"/>
    </i>
    <i>
      <x v="4991"/>
      <x v="2"/>
      <x v="9"/>
    </i>
    <i>
      <x v="4992"/>
      <x/>
      <x/>
    </i>
    <i>
      <x v="4993"/>
      <x v="5"/>
      <x v="2"/>
    </i>
    <i>
      <x v="4994"/>
      <x v="2"/>
      <x v="3"/>
    </i>
    <i>
      <x v="4995"/>
      <x v="2"/>
      <x v="8"/>
    </i>
    <i>
      <x v="4996"/>
      <x v="2"/>
      <x v="9"/>
    </i>
    <i>
      <x v="4997"/>
      <x v="2"/>
      <x v="7"/>
    </i>
    <i>
      <x v="4998"/>
      <x v="2"/>
      <x v="10"/>
    </i>
    <i>
      <x v="4999"/>
      <x v="5"/>
      <x/>
    </i>
    <i>
      <x v="5000"/>
      <x v="2"/>
      <x v="7"/>
    </i>
    <i>
      <x v="5001"/>
      <x v="2"/>
      <x v="3"/>
    </i>
    <i r="2">
      <x v="7"/>
    </i>
    <i>
      <x v="5002"/>
      <x v="3"/>
      <x/>
    </i>
    <i>
      <x v="5003"/>
      <x v="5"/>
      <x v="6"/>
    </i>
    <i>
      <x v="5004"/>
      <x v="5"/>
      <x v="2"/>
    </i>
    <i r="2">
      <x v="6"/>
    </i>
    <i>
      <x v="5005"/>
      <x/>
      <x v="8"/>
    </i>
    <i r="2">
      <x/>
    </i>
    <i>
      <x v="5006"/>
      <x/>
      <x v="3"/>
    </i>
    <i r="2">
      <x v="1"/>
    </i>
    <i>
      <x v="5007"/>
      <x/>
      <x v="9"/>
    </i>
    <i r="2">
      <x v="4"/>
    </i>
    <i>
      <x v="5008"/>
      <x v="5"/>
      <x v="5"/>
    </i>
    <i>
      <x v="5009"/>
      <x v="1"/>
      <x v="10"/>
    </i>
    <i>
      <x v="5010"/>
      <x v="1"/>
      <x v="10"/>
    </i>
    <i>
      <x v="5011"/>
      <x v="5"/>
      <x v="10"/>
    </i>
    <i r="2">
      <x v="3"/>
    </i>
    <i r="2">
      <x v="1"/>
    </i>
    <i>
      <x v="5012"/>
      <x v="1"/>
      <x v="10"/>
    </i>
    <i>
      <x v="5013"/>
      <x v="5"/>
      <x v="9"/>
    </i>
    <i>
      <x v="5014"/>
      <x v="3"/>
      <x v="7"/>
    </i>
    <i>
      <x v="5015"/>
      <x v="4"/>
      <x v="6"/>
    </i>
    <i>
      <x v="5016"/>
      <x v="4"/>
      <x v="6"/>
    </i>
    <i>
      <x v="5017"/>
      <x v="5"/>
      <x v="5"/>
    </i>
    <i>
      <x v="5018"/>
      <x v="2"/>
      <x v="7"/>
    </i>
    <i>
      <x v="5019"/>
      <x v="5"/>
      <x/>
    </i>
    <i r="2">
      <x v="7"/>
    </i>
    <i>
      <x v="5020"/>
      <x v="3"/>
      <x v="4"/>
    </i>
    <i r="1">
      <x v="1"/>
      <x v="7"/>
    </i>
    <i r="1">
      <x v="5"/>
      <x v="8"/>
    </i>
    <i>
      <x v="5021"/>
      <x v="3"/>
      <x v="1"/>
    </i>
    <i>
      <x v="5022"/>
      <x v="3"/>
      <x v="4"/>
    </i>
    <i r="2">
      <x v="5"/>
    </i>
    <i>
      <x v="5023"/>
      <x v="3"/>
      <x v="5"/>
    </i>
    <i>
      <x v="5024"/>
      <x v="2"/>
      <x v="8"/>
    </i>
    <i>
      <x v="5025"/>
      <x v="2"/>
      <x v="6"/>
    </i>
    <i>
      <x v="5026"/>
      <x v="5"/>
      <x v="7"/>
    </i>
    <i>
      <x v="5027"/>
      <x v="5"/>
      <x v="7"/>
    </i>
    <i>
      <x v="5028"/>
      <x v="5"/>
      <x v="2"/>
    </i>
    <i>
      <x v="5029"/>
      <x/>
      <x v="1"/>
    </i>
    <i>
      <x v="5030"/>
      <x v="1"/>
      <x v="2"/>
    </i>
    <i>
      <x v="5031"/>
      <x v="2"/>
      <x v="7"/>
    </i>
    <i>
      <x v="5032"/>
      <x/>
      <x v="8"/>
    </i>
    <i>
      <x v="5033"/>
      <x/>
      <x v="1"/>
    </i>
    <i r="2">
      <x v="2"/>
    </i>
    <i>
      <x v="5034"/>
      <x v="5"/>
      <x v="10"/>
    </i>
    <i>
      <x v="5035"/>
      <x v="4"/>
      <x v="1"/>
    </i>
    <i r="2">
      <x v="4"/>
    </i>
    <i>
      <x v="5036"/>
      <x v="3"/>
      <x v="9"/>
    </i>
    <i>
      <x v="5037"/>
      <x v="4"/>
      <x v="1"/>
    </i>
    <i r="2">
      <x v="4"/>
    </i>
    <i>
      <x v="5038"/>
      <x v="4"/>
      <x v="4"/>
    </i>
    <i>
      <x v="5039"/>
      <x v="3"/>
      <x v="8"/>
    </i>
    <i r="2">
      <x/>
    </i>
    <i r="2">
      <x v="6"/>
    </i>
    <i>
      <x v="5040"/>
      <x v="4"/>
      <x/>
    </i>
    <i>
      <x v="5041"/>
      <x v="5"/>
      <x v="3"/>
    </i>
    <i>
      <x v="5042"/>
      <x v="5"/>
      <x v="10"/>
    </i>
    <i>
      <x v="5043"/>
      <x v="2"/>
      <x v="10"/>
    </i>
    <i>
      <x v="5044"/>
      <x v="1"/>
      <x v="10"/>
    </i>
    <i>
      <x v="5045"/>
      <x v="2"/>
      <x/>
    </i>
    <i>
      <x v="5046"/>
      <x/>
      <x v="2"/>
    </i>
    <i>
      <x v="5047"/>
      <x v="1"/>
      <x v="1"/>
    </i>
    <i r="2">
      <x v="7"/>
    </i>
    <i>
      <x v="5048"/>
      <x v="3"/>
      <x v="1"/>
    </i>
    <i r="2">
      <x v="5"/>
    </i>
    <i r="2">
      <x/>
    </i>
    <i r="1">
      <x v="1"/>
      <x v="3"/>
    </i>
    <i>
      <x v="5049"/>
      <x v="4"/>
      <x v="1"/>
    </i>
    <i>
      <x v="5050"/>
      <x v="4"/>
      <x v="4"/>
    </i>
    <i>
      <x v="5051"/>
      <x v="3"/>
      <x v="8"/>
    </i>
    <i>
      <x v="5052"/>
      <x v="3"/>
      <x v="7"/>
    </i>
    <i>
      <x v="5053"/>
      <x v="2"/>
      <x v="10"/>
    </i>
    <i>
      <x v="5054"/>
      <x v="3"/>
      <x v="9"/>
    </i>
    <i r="1">
      <x v="2"/>
      <x v="6"/>
    </i>
    <i>
      <x v="5055"/>
      <x v="2"/>
      <x v="5"/>
    </i>
    <i>
      <x v="5056"/>
      <x v="4"/>
      <x v="2"/>
    </i>
    <i>
      <x v="5057"/>
      <x v="5"/>
      <x v="8"/>
    </i>
    <i>
      <x v="5058"/>
      <x v="2"/>
      <x/>
    </i>
    <i>
      <x v="5059"/>
      <x v="3"/>
      <x v="2"/>
    </i>
    <i r="1">
      <x v="4"/>
      <x v="1"/>
    </i>
    <i r="1">
      <x v="2"/>
      <x v="3"/>
    </i>
    <i>
      <x v="5060"/>
      <x v="5"/>
      <x v="3"/>
    </i>
    <i r="2">
      <x v="9"/>
    </i>
    <i>
      <x v="5061"/>
      <x v="5"/>
      <x v="2"/>
    </i>
    <i>
      <x v="5062"/>
      <x v="3"/>
      <x/>
    </i>
    <i r="1">
      <x v="5"/>
      <x v="1"/>
    </i>
    <i>
      <x v="5063"/>
      <x v="4"/>
      <x v="6"/>
    </i>
    <i>
      <x v="5064"/>
      <x v="3"/>
      <x/>
    </i>
    <i r="2">
      <x v="6"/>
    </i>
    <i>
      <x v="5065"/>
      <x v="3"/>
      <x v="7"/>
    </i>
    <i>
      <x v="5066"/>
      <x v="3"/>
      <x v="9"/>
    </i>
    <i>
      <x v="5067"/>
      <x v="3"/>
      <x v="1"/>
    </i>
    <i>
      <x v="5068"/>
      <x v="5"/>
      <x v="7"/>
    </i>
    <i>
      <x v="5069"/>
      <x v="3"/>
      <x v="4"/>
    </i>
    <i>
      <x v="5070"/>
      <x v="3"/>
      <x v="7"/>
    </i>
    <i r="1">
      <x/>
      <x v="5"/>
    </i>
    <i r="1">
      <x v="2"/>
      <x v="9"/>
    </i>
    <i>
      <x v="5071"/>
      <x v="4"/>
      <x v="5"/>
    </i>
    <i>
      <x v="5072"/>
      <x v="3"/>
      <x v="7"/>
    </i>
    <i>
      <x v="5073"/>
      <x v="2"/>
      <x v="4"/>
    </i>
    <i>
      <x v="5074"/>
      <x v="2"/>
      <x v="3"/>
    </i>
    <i r="2">
      <x v="7"/>
    </i>
    <i>
      <x v="5075"/>
      <x v="4"/>
      <x v="6"/>
    </i>
    <i>
      <x v="5076"/>
      <x v="5"/>
      <x v="9"/>
    </i>
    <i r="2">
      <x v="8"/>
    </i>
    <i>
      <x v="5077"/>
      <x v="5"/>
      <x v="3"/>
    </i>
    <i>
      <x v="5078"/>
      <x v="1"/>
      <x v="7"/>
    </i>
    <i>
      <x v="5079"/>
      <x v="5"/>
      <x v="4"/>
    </i>
    <i r="2">
      <x v="5"/>
    </i>
    <i>
      <x v="5080"/>
      <x v="2"/>
      <x v="6"/>
    </i>
    <i>
      <x v="5081"/>
      <x v="2"/>
      <x v="1"/>
    </i>
    <i r="2">
      <x/>
    </i>
    <i>
      <x v="5082"/>
      <x v="4"/>
      <x v="9"/>
    </i>
    <i r="1">
      <x v="2"/>
      <x v="2"/>
    </i>
    <i>
      <x v="5083"/>
      <x v="1"/>
      <x v="7"/>
    </i>
    <i r="1">
      <x v="2"/>
      <x v="5"/>
    </i>
    <i>
      <x v="5084"/>
      <x v="2"/>
      <x v="10"/>
    </i>
    <i>
      <x v="5085"/>
      <x v="2"/>
      <x v="1"/>
    </i>
    <i r="2">
      <x v="7"/>
    </i>
    <i>
      <x v="5086"/>
      <x v="2"/>
      <x v="1"/>
    </i>
    <i r="2">
      <x v="4"/>
    </i>
    <i>
      <x v="5087"/>
      <x v="2"/>
      <x v="2"/>
    </i>
    <i r="2">
      <x v="6"/>
    </i>
    <i>
      <x v="5088"/>
      <x/>
      <x/>
    </i>
    <i>
      <x v="5089"/>
      <x v="4"/>
      <x v="8"/>
    </i>
    <i>
      <x v="5090"/>
      <x v="2"/>
      <x v="10"/>
    </i>
    <i>
      <x v="5091"/>
      <x v="1"/>
      <x v="1"/>
    </i>
    <i>
      <x v="5092"/>
      <x v="2"/>
      <x v="2"/>
    </i>
    <i>
      <x v="5093"/>
      <x v="2"/>
      <x v="3"/>
    </i>
    <i>
      <x v="5094"/>
      <x v="2"/>
      <x v="10"/>
    </i>
    <i>
      <x v="5095"/>
      <x v="5"/>
      <x/>
    </i>
    <i r="1">
      <x v="2"/>
      <x v="2"/>
    </i>
    <i>
      <x v="5096"/>
      <x/>
      <x v="5"/>
    </i>
    <i r="1">
      <x v="5"/>
      <x v="4"/>
    </i>
    <i>
      <x v="5097"/>
      <x v="3"/>
      <x v="10"/>
    </i>
    <i r="1">
      <x/>
      <x v="8"/>
    </i>
    <i>
      <x v="5098"/>
      <x v="2"/>
      <x v="9"/>
    </i>
    <i r="2">
      <x v="7"/>
    </i>
    <i>
      <x v="5099"/>
      <x v="1"/>
      <x v="8"/>
    </i>
    <i>
      <x v="5100"/>
      <x v="1"/>
      <x v="8"/>
    </i>
    <i>
      <x v="5101"/>
      <x v="5"/>
      <x v="5"/>
    </i>
    <i>
      <x v="5102"/>
      <x v="1"/>
      <x v="4"/>
    </i>
    <i r="1">
      <x v="4"/>
      <x v="1"/>
    </i>
    <i r="1">
      <x v="2"/>
      <x v="4"/>
    </i>
    <i>
      <x v="5103"/>
      <x v="1"/>
      <x v="10"/>
    </i>
    <i>
      <x v="5104"/>
      <x/>
      <x v="2"/>
    </i>
    <i r="2">
      <x/>
    </i>
    <i r="1">
      <x v="2"/>
      <x v="10"/>
    </i>
    <i>
      <x v="5105"/>
      <x/>
      <x v="7"/>
    </i>
    <i>
      <x v="5106"/>
      <x v="5"/>
      <x v="9"/>
    </i>
    <i>
      <x v="5107"/>
      <x v="5"/>
      <x v="5"/>
    </i>
    <i>
      <x v="5108"/>
      <x v="4"/>
      <x v="1"/>
    </i>
    <i>
      <x v="5109"/>
      <x v="5"/>
      <x v="2"/>
    </i>
    <i>
      <x v="5110"/>
      <x v="5"/>
      <x v="9"/>
    </i>
    <i>
      <x v="5111"/>
      <x v="5"/>
      <x v="7"/>
    </i>
    <i>
      <x v="5112"/>
      <x v="5"/>
      <x/>
    </i>
    <i>
      <x v="5113"/>
      <x v="2"/>
      <x v="9"/>
    </i>
    <i>
      <x v="5114"/>
      <x v="5"/>
      <x v="10"/>
    </i>
    <i r="2">
      <x v="7"/>
    </i>
    <i>
      <x v="5115"/>
      <x v="2"/>
      <x v="5"/>
    </i>
    <i>
      <x v="5116"/>
      <x v="3"/>
      <x v="4"/>
    </i>
    <i>
      <x v="5117"/>
      <x v="3"/>
      <x v="10"/>
    </i>
    <i r="2">
      <x v="1"/>
    </i>
    <i r="2">
      <x/>
    </i>
    <i r="2">
      <x v="6"/>
    </i>
    <i>
      <x v="5118"/>
      <x v="5"/>
      <x v="3"/>
    </i>
    <i r="2">
      <x v="4"/>
    </i>
    <i>
      <x v="5119"/>
      <x v="5"/>
      <x v="4"/>
    </i>
    <i>
      <x v="5120"/>
      <x v="5"/>
      <x/>
    </i>
    <i>
      <x v="5121"/>
      <x/>
      <x v="3"/>
    </i>
    <i>
      <x v="5122"/>
      <x/>
      <x v="4"/>
    </i>
    <i>
      <x v="5123"/>
      <x/>
      <x v="5"/>
    </i>
    <i>
      <x v="5124"/>
      <x v="5"/>
      <x v="10"/>
    </i>
    <i r="2">
      <x v="4"/>
    </i>
    <i>
      <x v="5125"/>
      <x v="1"/>
      <x v="7"/>
    </i>
    <i r="1">
      <x v="5"/>
      <x/>
    </i>
    <i>
      <x v="5126"/>
      <x v="3"/>
      <x v="1"/>
    </i>
    <i r="2">
      <x v="5"/>
    </i>
    <i>
      <x v="5127"/>
      <x v="3"/>
      <x v="8"/>
    </i>
    <i>
      <x v="5128"/>
      <x v="4"/>
      <x v="2"/>
    </i>
    <i>
      <x v="5129"/>
      <x v="3"/>
      <x v="8"/>
    </i>
    <i>
      <x v="5130"/>
      <x v="4"/>
      <x/>
    </i>
    <i>
      <x v="5131"/>
      <x v="1"/>
      <x v="3"/>
    </i>
    <i r="2">
      <x v="8"/>
    </i>
    <i>
      <x v="5132"/>
      <x v="2"/>
      <x v="2"/>
    </i>
    <i>
      <x v="5133"/>
      <x v="2"/>
      <x v="2"/>
    </i>
    <i>
      <x v="5134"/>
      <x v="2"/>
      <x v="6"/>
    </i>
    <i>
      <x v="5135"/>
      <x v="2"/>
      <x v="10"/>
    </i>
    <i r="2">
      <x v="4"/>
    </i>
    <i>
      <x v="5136"/>
      <x v="2"/>
      <x v="2"/>
    </i>
    <i>
      <x v="5137"/>
      <x v="2"/>
      <x v="10"/>
    </i>
    <i>
      <x v="5138"/>
      <x v="4"/>
      <x v="3"/>
    </i>
    <i>
      <x v="5139"/>
      <x v="1"/>
      <x v="9"/>
    </i>
    <i r="2">
      <x v="6"/>
    </i>
    <i>
      <x v="5140"/>
      <x v="5"/>
      <x v="5"/>
    </i>
    <i>
      <x v="5141"/>
      <x v="5"/>
      <x v="8"/>
    </i>
    <i>
      <x v="5142"/>
      <x v="2"/>
      <x v="10"/>
    </i>
    <i>
      <x v="5143"/>
      <x v="5"/>
      <x v="1"/>
    </i>
    <i>
      <x v="5144"/>
      <x v="5"/>
      <x v="1"/>
    </i>
    <i>
      <x v="5145"/>
      <x v="2"/>
      <x v="3"/>
    </i>
    <i>
      <x v="5146"/>
      <x v="3"/>
      <x v="4"/>
    </i>
    <i>
      <x v="5147"/>
      <x v="2"/>
      <x v="8"/>
    </i>
    <i>
      <x v="5148"/>
      <x/>
      <x v="10"/>
    </i>
    <i r="2">
      <x v="5"/>
    </i>
    <i>
      <x v="5149"/>
      <x v="2"/>
      <x v="10"/>
    </i>
    <i r="2">
      <x v="8"/>
    </i>
    <i>
      <x v="5150"/>
      <x v="2"/>
      <x v="8"/>
    </i>
    <i>
      <x v="5151"/>
      <x v="5"/>
      <x v="10"/>
    </i>
    <i>
      <x v="5152"/>
      <x v="2"/>
      <x v="1"/>
    </i>
    <i>
      <x v="5153"/>
      <x v="3"/>
      <x v="2"/>
    </i>
    <i r="2">
      <x v="8"/>
    </i>
    <i>
      <x v="5154"/>
      <x v="4"/>
      <x v="1"/>
    </i>
    <i r="2">
      <x v="4"/>
    </i>
    <i>
      <x v="5155"/>
      <x v="3"/>
      <x v="1"/>
    </i>
    <i>
      <x v="5156"/>
      <x v="3"/>
      <x v="7"/>
    </i>
    <i>
      <x v="5157"/>
      <x/>
      <x v="5"/>
    </i>
    <i>
      <x v="5158"/>
      <x v="5"/>
      <x/>
    </i>
    <i>
      <x v="5159"/>
      <x v="1"/>
      <x v="5"/>
    </i>
    <i>
      <x v="5160"/>
      <x/>
      <x v="8"/>
    </i>
    <i r="2">
      <x v="4"/>
    </i>
    <i>
      <x v="5161"/>
      <x v="5"/>
      <x v="10"/>
    </i>
    <i>
      <x v="5162"/>
      <x/>
      <x v="3"/>
    </i>
    <i>
      <x v="5163"/>
      <x v="2"/>
      <x v="6"/>
    </i>
    <i>
      <x v="5164"/>
      <x v="5"/>
      <x v="4"/>
    </i>
    <i r="2">
      <x v="7"/>
    </i>
    <i>
      <x v="5165"/>
      <x v="2"/>
      <x v="6"/>
    </i>
    <i>
      <x v="5166"/>
      <x/>
      <x v="9"/>
    </i>
    <i r="1">
      <x v="2"/>
      <x v="3"/>
    </i>
    <i>
      <x v="5167"/>
      <x v="3"/>
      <x/>
    </i>
    <i r="1">
      <x v="4"/>
      <x v="7"/>
    </i>
    <i>
      <x v="5168"/>
      <x v="2"/>
      <x v="3"/>
    </i>
    <i>
      <x v="5169"/>
      <x v="2"/>
      <x v="7"/>
    </i>
    <i>
      <x v="5170"/>
      <x v="2"/>
      <x v="3"/>
    </i>
    <i r="2">
      <x v="4"/>
    </i>
    <i>
      <x v="5171"/>
      <x v="4"/>
      <x v="5"/>
    </i>
    <i>
      <x v="5172"/>
      <x v="4"/>
      <x v="6"/>
    </i>
    <i>
      <x v="5173"/>
      <x v="2"/>
      <x v="5"/>
    </i>
    <i>
      <x v="5174"/>
      <x v="1"/>
      <x v="4"/>
    </i>
    <i>
      <x v="5175"/>
      <x v="5"/>
      <x v="3"/>
    </i>
    <i r="2">
      <x v="2"/>
    </i>
    <i>
      <x v="5176"/>
      <x v="5"/>
      <x v="2"/>
    </i>
    <i>
      <x v="5177"/>
      <x v="1"/>
      <x/>
    </i>
    <i>
      <x v="5178"/>
      <x v="5"/>
      <x v="4"/>
    </i>
    <i>
      <x v="5179"/>
      <x v="3"/>
      <x v="10"/>
    </i>
    <i>
      <x v="5180"/>
      <x v="3"/>
      <x v="6"/>
    </i>
    <i>
      <x v="5181"/>
      <x v="3"/>
      <x v="4"/>
    </i>
    <i>
      <x v="5182"/>
      <x v="3"/>
      <x v="5"/>
    </i>
    <i r="2">
      <x v="7"/>
    </i>
    <i>
      <x v="5183"/>
      <x v="3"/>
      <x v="10"/>
    </i>
    <i>
      <x v="5184"/>
      <x v="2"/>
      <x v="10"/>
    </i>
    <i r="2">
      <x v="6"/>
    </i>
    <i>
      <x v="5185"/>
      <x v="4"/>
      <x v="7"/>
    </i>
    <i>
      <x v="5186"/>
      <x v="4"/>
      <x v="6"/>
    </i>
    <i>
      <x v="5187"/>
      <x v="3"/>
      <x v="1"/>
    </i>
    <i r="2">
      <x v="2"/>
    </i>
    <i r="2">
      <x/>
    </i>
    <i>
      <x v="5188"/>
      <x v="2"/>
      <x v="8"/>
    </i>
    <i>
      <x v="5189"/>
      <x v="4"/>
      <x v="9"/>
    </i>
    <i>
      <x v="5190"/>
      <x v="4"/>
      <x v="10"/>
    </i>
    <i>
      <x v="5191"/>
      <x v="4"/>
      <x v="6"/>
    </i>
    <i>
      <x v="5192"/>
      <x v="2"/>
      <x v="2"/>
    </i>
    <i>
      <x v="5193"/>
      <x v="3"/>
      <x/>
    </i>
    <i>
      <x v="5194"/>
      <x v="3"/>
      <x v="10"/>
    </i>
    <i>
      <x v="5195"/>
      <x v="3"/>
      <x v="9"/>
    </i>
    <i>
      <x v="5196"/>
      <x v="4"/>
      <x v="4"/>
    </i>
    <i>
      <x v="5197"/>
      <x v="3"/>
      <x v="2"/>
    </i>
    <i>
      <x v="5198"/>
      <x v="3"/>
      <x/>
    </i>
    <i>
      <x v="5199"/>
      <x/>
      <x v="9"/>
    </i>
    <i>
      <x v="5200"/>
      <x v="1"/>
      <x v="2"/>
    </i>
    <i>
      <x v="5201"/>
      <x v="5"/>
      <x v="10"/>
    </i>
    <i r="2">
      <x v="5"/>
    </i>
    <i>
      <x v="5202"/>
      <x/>
      <x v="5"/>
    </i>
    <i>
      <x v="5203"/>
      <x v="5"/>
      <x v="7"/>
    </i>
    <i>
      <x v="5204"/>
      <x v="5"/>
      <x v="2"/>
    </i>
    <i>
      <x v="5205"/>
      <x v="5"/>
      <x v="4"/>
    </i>
    <i>
      <x v="5206"/>
      <x/>
      <x/>
    </i>
    <i>
      <x v="5207"/>
      <x/>
      <x v="10"/>
    </i>
    <i r="2">
      <x v="4"/>
    </i>
    <i>
      <x v="5208"/>
      <x/>
      <x v="3"/>
    </i>
    <i r="2">
      <x v="5"/>
    </i>
    <i r="2">
      <x v="7"/>
    </i>
    <i>
      <x v="5209"/>
      <x v="3"/>
      <x v="4"/>
    </i>
    <i r="1">
      <x v="5"/>
      <x/>
    </i>
    <i>
      <x v="5210"/>
      <x v="3"/>
      <x v="1"/>
    </i>
    <i r="1">
      <x v="5"/>
      <x v="9"/>
    </i>
    <i r="2">
      <x v="5"/>
    </i>
    <i>
      <x v="5211"/>
      <x v="5"/>
      <x v="10"/>
    </i>
    <i>
      <x v="5212"/>
      <x v="3"/>
      <x v="8"/>
    </i>
    <i>
      <x v="5213"/>
      <x v="4"/>
      <x v="1"/>
    </i>
    <i>
      <x v="5214"/>
      <x v="4"/>
      <x/>
    </i>
    <i r="2">
      <x v="7"/>
    </i>
    <i>
      <x v="5215"/>
      <x v="4"/>
      <x v="10"/>
    </i>
    <i>
      <x v="5216"/>
      <x v="5"/>
      <x v="7"/>
    </i>
    <i r="1">
      <x v="4"/>
      <x v="8"/>
    </i>
    <i>
      <x v="5217"/>
      <x v="5"/>
      <x/>
    </i>
    <i>
      <x v="5218"/>
      <x/>
      <x v="2"/>
    </i>
    <i>
      <x v="5219"/>
      <x v="5"/>
      <x v="5"/>
    </i>
    <i>
      <x v="5220"/>
      <x/>
      <x v="10"/>
    </i>
    <i r="2">
      <x v="9"/>
    </i>
    <i>
      <x v="5221"/>
      <x v="4"/>
      <x v="9"/>
    </i>
    <i>
      <x v="5222"/>
      <x v="4"/>
      <x v="10"/>
    </i>
    <i>
      <x v="5223"/>
      <x v="1"/>
      <x v="4"/>
    </i>
    <i>
      <x v="5224"/>
      <x v="1"/>
      <x v="10"/>
    </i>
    <i>
      <x v="5225"/>
      <x v="2"/>
      <x v="7"/>
    </i>
    <i>
      <x v="5226"/>
      <x v="2"/>
      <x v="6"/>
    </i>
    <i>
      <x v="5227"/>
      <x v="5"/>
      <x v="5"/>
    </i>
    <i r="1">
      <x v="4"/>
      <x v="1"/>
    </i>
    <i>
      <x v="5228"/>
      <x v="2"/>
      <x v="10"/>
    </i>
    <i r="2">
      <x v="2"/>
    </i>
    <i r="2">
      <x v="7"/>
    </i>
    <i>
      <x v="5229"/>
      <x v="2"/>
      <x v="8"/>
    </i>
    <i>
      <x v="5230"/>
      <x v="5"/>
      <x v="2"/>
    </i>
    <i>
      <x v="5231"/>
      <x v="1"/>
      <x/>
    </i>
    <i>
      <x v="5232"/>
      <x v="1"/>
      <x v="7"/>
    </i>
    <i>
      <x v="5233"/>
      <x v="2"/>
      <x v="6"/>
    </i>
    <i>
      <x v="5234"/>
      <x v="2"/>
      <x v="7"/>
    </i>
    <i>
      <x v="5235"/>
      <x/>
      <x v="10"/>
    </i>
    <i>
      <x v="5236"/>
      <x v="4"/>
      <x v="2"/>
    </i>
    <i>
      <x v="5237"/>
      <x v="4"/>
      <x v="2"/>
    </i>
    <i r="2">
      <x v="5"/>
    </i>
    <i>
      <x v="5238"/>
      <x v="5"/>
      <x v="1"/>
    </i>
    <i>
      <x v="5239"/>
      <x v="5"/>
      <x v="9"/>
    </i>
    <i>
      <x v="5240"/>
      <x/>
      <x v="10"/>
    </i>
    <i>
      <x v="5241"/>
      <x v="2"/>
      <x v="6"/>
    </i>
    <i>
      <x v="5242"/>
      <x v="2"/>
      <x v="9"/>
    </i>
    <i r="2">
      <x/>
    </i>
    <i>
      <x v="5243"/>
      <x v="5"/>
      <x v="5"/>
    </i>
    <i>
      <x v="5244"/>
      <x v="5"/>
      <x v="3"/>
    </i>
    <i>
      <x v="5245"/>
      <x v="2"/>
      <x v="4"/>
    </i>
    <i>
      <x v="5246"/>
      <x/>
      <x v="8"/>
    </i>
    <i r="2">
      <x v="5"/>
    </i>
    <i>
      <x v="5247"/>
      <x v="5"/>
      <x v="4"/>
    </i>
    <i>
      <x v="5248"/>
      <x v="5"/>
      <x v="1"/>
    </i>
    <i>
      <x v="5249"/>
      <x v="3"/>
      <x v="1"/>
    </i>
    <i r="2">
      <x v="6"/>
    </i>
    <i>
      <x v="5250"/>
      <x v="2"/>
      <x v="6"/>
    </i>
    <i>
      <x v="5251"/>
      <x v="2"/>
      <x v="9"/>
    </i>
    <i r="2">
      <x v="4"/>
    </i>
    <i>
      <x v="5252"/>
      <x v="2"/>
      <x v="5"/>
    </i>
    <i>
      <x v="5253"/>
      <x v="3"/>
      <x v="10"/>
    </i>
    <i r="2">
      <x v="5"/>
    </i>
    <i>
      <x v="5254"/>
      <x v="3"/>
      <x v="6"/>
    </i>
    <i>
      <x v="5255"/>
      <x/>
      <x v="4"/>
    </i>
    <i>
      <x v="5256"/>
      <x/>
      <x v="2"/>
    </i>
    <i r="2">
      <x v="6"/>
    </i>
    <i>
      <x v="5257"/>
      <x v="5"/>
      <x v="3"/>
    </i>
    <i r="2">
      <x v="4"/>
    </i>
    <i>
      <x v="5258"/>
      <x v="1"/>
      <x v="9"/>
    </i>
    <i r="2">
      <x v="8"/>
    </i>
    <i>
      <x v="5259"/>
      <x v="1"/>
      <x v="5"/>
    </i>
    <i r="1">
      <x v="5"/>
      <x v="7"/>
    </i>
    <i r="1">
      <x v="4"/>
      <x/>
    </i>
    <i>
      <x v="5260"/>
      <x v="2"/>
      <x v="1"/>
    </i>
    <i>
      <x v="5261"/>
      <x v="3"/>
      <x v="5"/>
    </i>
    <i r="1">
      <x v="4"/>
      <x v="5"/>
    </i>
    <i>
      <x v="5262"/>
      <x/>
      <x v="2"/>
    </i>
    <i>
      <x v="5263"/>
      <x v="2"/>
      <x v="2"/>
    </i>
    <i>
      <x v="5264"/>
      <x v="5"/>
      <x v="10"/>
    </i>
    <i r="2">
      <x v="3"/>
    </i>
    <i>
      <x v="5265"/>
      <x v="5"/>
      <x v="5"/>
    </i>
    <i>
      <x v="5266"/>
      <x v="1"/>
      <x v="10"/>
    </i>
    <i r="2">
      <x v="3"/>
    </i>
    <i r="1">
      <x v="5"/>
      <x v="8"/>
    </i>
    <i>
      <x v="5267"/>
      <x v="3"/>
      <x v="10"/>
    </i>
    <i r="2">
      <x v="3"/>
    </i>
    <i r="2">
      <x v="6"/>
    </i>
    <i>
      <x v="5268"/>
      <x/>
      <x v="10"/>
    </i>
    <i r="2">
      <x v="6"/>
    </i>
    <i r="1">
      <x v="2"/>
      <x v="6"/>
    </i>
    <i>
      <x v="5269"/>
      <x v="2"/>
      <x v="3"/>
    </i>
    <i>
      <x v="5270"/>
      <x v="2"/>
      <x v="2"/>
    </i>
    <i>
      <x v="5271"/>
      <x v="3"/>
      <x v="4"/>
    </i>
    <i r="2">
      <x v="5"/>
    </i>
    <i>
      <x v="5272"/>
      <x v="3"/>
      <x v="1"/>
    </i>
    <i>
      <x v="5273"/>
      <x v="3"/>
      <x v="4"/>
    </i>
    <i>
      <x v="5274"/>
      <x v="4"/>
      <x v="10"/>
    </i>
    <i>
      <x v="5275"/>
      <x/>
      <x/>
    </i>
    <i>
      <x v="5276"/>
      <x v="3"/>
      <x v="9"/>
    </i>
    <i r="2">
      <x v="6"/>
    </i>
    <i>
      <x v="5277"/>
      <x v="3"/>
      <x v="4"/>
    </i>
    <i>
      <x v="5278"/>
      <x v="4"/>
      <x v="7"/>
    </i>
    <i>
      <x v="5279"/>
      <x v="4"/>
      <x v="8"/>
    </i>
    <i>
      <x v="5280"/>
      <x v="5"/>
      <x v="5"/>
    </i>
    <i>
      <x v="5281"/>
      <x v="4"/>
      <x v="5"/>
    </i>
    <i>
      <x v="5282"/>
      <x v="2"/>
      <x v="4"/>
    </i>
    <i>
      <x v="5283"/>
      <x v="3"/>
      <x/>
    </i>
    <i r="1">
      <x v="1"/>
      <x v="4"/>
    </i>
    <i>
      <x v="5284"/>
      <x v="2"/>
      <x v="1"/>
    </i>
    <i>
      <x v="5285"/>
      <x v="3"/>
      <x v="8"/>
    </i>
    <i>
      <x v="5286"/>
      <x v="3"/>
      <x v="8"/>
    </i>
    <i>
      <x v="5287"/>
      <x v="3"/>
      <x v="3"/>
    </i>
    <i>
      <x v="5288"/>
      <x v="3"/>
      <x v="6"/>
    </i>
    <i>
      <x v="5289"/>
      <x v="3"/>
      <x v="3"/>
    </i>
    <i r="2">
      <x v="2"/>
    </i>
    <i>
      <x v="5290"/>
      <x v="3"/>
      <x v="6"/>
    </i>
    <i>
      <x v="5291"/>
      <x v="1"/>
      <x v="6"/>
    </i>
    <i>
      <x v="5292"/>
      <x v="4"/>
      <x v="9"/>
    </i>
    <i>
      <x v="5293"/>
      <x v="4"/>
      <x v="10"/>
    </i>
    <i>
      <x v="5294"/>
      <x v="4"/>
      <x v="4"/>
    </i>
    <i>
      <x v="5295"/>
      <x v="4"/>
      <x v="7"/>
    </i>
    <i>
      <x v="5296"/>
      <x v="1"/>
      <x v="6"/>
    </i>
    <i>
      <x v="5297"/>
      <x v="3"/>
      <x v="8"/>
    </i>
    <i>
      <x v="5298"/>
      <x v="3"/>
      <x/>
    </i>
    <i r="1">
      <x v="4"/>
      <x v="10"/>
    </i>
    <i>
      <x v="5299"/>
      <x v="4"/>
      <x v="8"/>
    </i>
    <i>
      <x v="5300"/>
      <x v="1"/>
      <x v="10"/>
    </i>
    <i r="2">
      <x v="3"/>
    </i>
    <i r="2">
      <x v="1"/>
    </i>
    <i r="2">
      <x v="7"/>
    </i>
    <i>
      <x v="5301"/>
      <x/>
      <x/>
    </i>
    <i>
      <x v="5302"/>
      <x/>
      <x v="9"/>
    </i>
    <i r="2">
      <x v="8"/>
    </i>
    <i r="2">
      <x v="5"/>
    </i>
    <i>
      <x v="5303"/>
      <x v="2"/>
      <x v="2"/>
    </i>
    <i>
      <x v="5304"/>
      <x v="5"/>
      <x v="9"/>
    </i>
    <i>
      <x v="5305"/>
      <x v="5"/>
      <x v="10"/>
    </i>
    <i r="2">
      <x v="1"/>
    </i>
    <i>
      <x v="5306"/>
      <x v="2"/>
      <x v="10"/>
    </i>
    <i>
      <x v="5307"/>
      <x/>
      <x v="3"/>
    </i>
    <i>
      <x v="5308"/>
      <x/>
      <x v="3"/>
    </i>
    <i>
      <x v="5309"/>
      <x/>
      <x v="10"/>
    </i>
    <i r="2">
      <x/>
    </i>
    <i>
      <x v="5310"/>
      <x v="2"/>
      <x v="6"/>
    </i>
    <i>
      <x v="5311"/>
      <x v="2"/>
      <x v="3"/>
    </i>
    <i r="2">
      <x v="8"/>
    </i>
    <i>
      <x v="5312"/>
      <x v="3"/>
      <x v="10"/>
    </i>
    <i>
      <x v="5313"/>
      <x/>
      <x v="6"/>
    </i>
    <i>
      <x v="5314"/>
      <x/>
      <x v="5"/>
    </i>
    <i r="1">
      <x v="4"/>
      <x v="2"/>
    </i>
    <i>
      <x v="5315"/>
      <x v="4"/>
      <x v="9"/>
    </i>
    <i>
      <x v="5316"/>
      <x v="3"/>
      <x v="3"/>
    </i>
    <i r="2">
      <x v="1"/>
    </i>
    <i>
      <x v="5317"/>
      <x/>
      <x v="8"/>
    </i>
    <i r="2">
      <x v="6"/>
    </i>
    <i>
      <x v="5318"/>
      <x/>
      <x v="10"/>
    </i>
    <i>
      <x v="5319"/>
      <x v="5"/>
      <x/>
    </i>
    <i>
      <x v="5320"/>
      <x v="4"/>
      <x/>
    </i>
    <i>
      <x v="5321"/>
      <x v="2"/>
      <x v="1"/>
    </i>
    <i r="2">
      <x v="4"/>
    </i>
    <i>
      <x v="5322"/>
      <x v="4"/>
      <x/>
    </i>
    <i>
      <x v="5323"/>
      <x v="5"/>
      <x v="4"/>
    </i>
    <i r="2">
      <x v="5"/>
    </i>
    <i>
      <x v="5324"/>
      <x v="2"/>
      <x v="6"/>
    </i>
    <i>
      <x v="5325"/>
      <x v="1"/>
      <x v="2"/>
    </i>
    <i>
      <x v="5326"/>
      <x v="4"/>
      <x v="4"/>
    </i>
    <i>
      <x v="5327"/>
      <x v="3"/>
      <x v="4"/>
    </i>
    <i r="2">
      <x v="7"/>
    </i>
    <i>
      <x v="5328"/>
      <x v="3"/>
      <x v="4"/>
    </i>
    <i>
      <x v="5329"/>
      <x v="4"/>
      <x/>
    </i>
    <i r="2">
      <x v="7"/>
    </i>
    <i>
      <x v="5330"/>
      <x v="4"/>
      <x v="9"/>
    </i>
    <i>
      <x v="5331"/>
      <x v="3"/>
      <x v="1"/>
    </i>
    <i>
      <x v="5332"/>
      <x v="3"/>
      <x v="4"/>
    </i>
    <i>
      <x v="5333"/>
      <x v="3"/>
      <x v="1"/>
    </i>
    <i r="2">
      <x v="2"/>
    </i>
    <i>
      <x v="5334"/>
      <x/>
      <x/>
    </i>
    <i>
      <x v="5335"/>
      <x v="5"/>
      <x v="4"/>
    </i>
    <i r="1">
      <x v="2"/>
      <x v="9"/>
    </i>
    <i>
      <x v="5336"/>
      <x/>
      <x v="1"/>
    </i>
    <i>
      <x v="5337"/>
      <x v="4"/>
      <x v="1"/>
    </i>
    <i r="1">
      <x v="2"/>
      <x/>
    </i>
    <i>
      <x v="5338"/>
      <x v="1"/>
      <x v="5"/>
    </i>
    <i r="2">
      <x v="6"/>
    </i>
    <i>
      <x v="5339"/>
      <x v="3"/>
      <x v="6"/>
    </i>
    <i r="1">
      <x/>
      <x v="8"/>
    </i>
    <i>
      <x v="5340"/>
      <x v="1"/>
      <x v="2"/>
    </i>
    <i>
      <x v="5341"/>
      <x v="4"/>
      <x v="3"/>
    </i>
    <i r="2">
      <x v="5"/>
    </i>
    <i r="1">
      <x v="2"/>
      <x v="10"/>
    </i>
    <i>
      <x v="5342"/>
      <x v="3"/>
      <x v="6"/>
    </i>
    <i>
      <x v="5343"/>
      <x v="3"/>
      <x/>
    </i>
    <i>
      <x v="5344"/>
      <x v="2"/>
      <x v="3"/>
    </i>
    <i>
      <x v="5345"/>
      <x v="2"/>
      <x v="10"/>
    </i>
    <i r="2">
      <x v="6"/>
    </i>
    <i>
      <x v="5346"/>
      <x v="2"/>
      <x v="10"/>
    </i>
    <i>
      <x v="5347"/>
      <x v="2"/>
      <x v="10"/>
    </i>
    <i>
      <x v="5348"/>
      <x v="2"/>
      <x v="8"/>
    </i>
    <i>
      <x v="5349"/>
      <x v="2"/>
      <x v="3"/>
    </i>
    <i r="2">
      <x v="7"/>
    </i>
    <i r="2">
      <x v="6"/>
    </i>
    <i>
      <x v="5350"/>
      <x v="2"/>
      <x v="6"/>
    </i>
    <i>
      <x v="5351"/>
      <x v="5"/>
      <x v="9"/>
    </i>
    <i r="2">
      <x v="4"/>
    </i>
    <i>
      <x v="5352"/>
      <x v="1"/>
      <x v="9"/>
    </i>
    <i r="2">
      <x v="6"/>
    </i>
    <i>
      <x v="5353"/>
      <x v="3"/>
      <x v="9"/>
    </i>
    <i r="2">
      <x/>
    </i>
    <i>
      <x v="5354"/>
      <x/>
      <x v="8"/>
    </i>
    <i>
      <x v="5355"/>
      <x v="4"/>
      <x v="8"/>
    </i>
    <i>
      <x v="5356"/>
      <x v="3"/>
      <x v="9"/>
    </i>
    <i>
      <x v="5357"/>
      <x v="4"/>
      <x v="3"/>
    </i>
    <i>
      <x v="5358"/>
      <x v="4"/>
      <x v="3"/>
    </i>
    <i r="2">
      <x v="5"/>
    </i>
    <i r="1">
      <x v="2"/>
      <x v="7"/>
    </i>
    <i>
      <x v="5359"/>
      <x v="3"/>
      <x v="4"/>
    </i>
    <i r="2">
      <x v="6"/>
    </i>
    <i>
      <x v="5360"/>
      <x v="3"/>
      <x v="9"/>
    </i>
    <i>
      <x v="5361"/>
      <x v="3"/>
      <x v="4"/>
    </i>
    <i>
      <x v="5362"/>
      <x v="2"/>
      <x v="9"/>
    </i>
    <i>
      <x v="5363"/>
      <x/>
      <x v="2"/>
    </i>
    <i r="2">
      <x v="8"/>
    </i>
    <i>
      <x v="5364"/>
      <x v="4"/>
      <x v="4"/>
    </i>
    <i r="2">
      <x v="6"/>
    </i>
    <i>
      <x v="5365"/>
      <x v="2"/>
      <x v="9"/>
    </i>
    <i>
      <x v="5366"/>
      <x v="2"/>
      <x v="9"/>
    </i>
    <i>
      <x v="5367"/>
      <x v="4"/>
      <x v="9"/>
    </i>
    <i r="2">
      <x v="8"/>
    </i>
    <i r="2">
      <x v="7"/>
    </i>
    <i>
      <x v="5368"/>
      <x v="2"/>
      <x v="3"/>
    </i>
    <i>
      <x v="5369"/>
      <x v="4"/>
      <x v="1"/>
    </i>
    <i>
      <x v="5370"/>
      <x v="2"/>
      <x v="4"/>
    </i>
    <i>
      <x v="5371"/>
      <x v="4"/>
      <x v="10"/>
    </i>
    <i r="2">
      <x v="2"/>
    </i>
    <i>
      <x v="5372"/>
      <x v="3"/>
      <x v="9"/>
    </i>
    <i r="1">
      <x v="4"/>
      <x v="4"/>
    </i>
    <i>
      <x v="5373"/>
      <x v="3"/>
      <x v="4"/>
    </i>
    <i>
      <x v="5374"/>
      <x v="2"/>
      <x v="2"/>
    </i>
    <i>
      <x v="5375"/>
      <x v="2"/>
      <x v="10"/>
    </i>
    <i>
      <x v="5376"/>
      <x v="2"/>
      <x v="10"/>
    </i>
    <i>
      <x v="5377"/>
      <x v="4"/>
      <x/>
    </i>
    <i>
      <x v="5378"/>
      <x v="4"/>
      <x v="9"/>
    </i>
    <i>
      <x v="5379"/>
      <x v="3"/>
      <x v="10"/>
    </i>
    <i>
      <x v="5380"/>
      <x v="4"/>
      <x v="7"/>
    </i>
    <i>
      <x v="5381"/>
      <x v="3"/>
      <x v="6"/>
    </i>
    <i>
      <x v="5382"/>
      <x v="4"/>
      <x v="8"/>
    </i>
    <i>
      <x v="5383"/>
      <x v="4"/>
      <x v="5"/>
    </i>
    <i>
      <x v="5384"/>
      <x v="5"/>
      <x v="4"/>
    </i>
    <i>
      <x v="5385"/>
      <x v="4"/>
      <x v="3"/>
    </i>
    <i r="2">
      <x v="8"/>
    </i>
    <i r="2">
      <x v="5"/>
    </i>
    <i>
      <x v="5386"/>
      <x v="2"/>
      <x v="9"/>
    </i>
    <i>
      <x v="5387"/>
      <x v="1"/>
      <x v="9"/>
    </i>
    <i>
      <x v="5388"/>
      <x v="2"/>
      <x/>
    </i>
    <i r="2">
      <x v="6"/>
    </i>
    <i>
      <x v="5389"/>
      <x v="3"/>
      <x v="1"/>
    </i>
    <i>
      <x v="5390"/>
      <x v="1"/>
      <x v="5"/>
    </i>
    <i>
      <x v="5391"/>
      <x v="5"/>
      <x/>
    </i>
    <i>
      <x v="5392"/>
      <x v="4"/>
      <x v="3"/>
    </i>
    <i>
      <x v="5393"/>
      <x v="3"/>
      <x v="3"/>
    </i>
    <i>
      <x v="5394"/>
      <x v="2"/>
      <x v="5"/>
    </i>
    <i>
      <x v="5395"/>
      <x/>
      <x v="5"/>
    </i>
    <i>
      <x v="5396"/>
      <x/>
      <x v="9"/>
    </i>
    <i r="2">
      <x v="2"/>
    </i>
    <i>
      <x v="5397"/>
      <x v="5"/>
      <x v="9"/>
    </i>
    <i>
      <x v="5398"/>
      <x/>
      <x v="7"/>
    </i>
    <i>
      <x v="5399"/>
      <x v="4"/>
      <x v="7"/>
    </i>
    <i r="1">
      <x v="2"/>
      <x v="6"/>
    </i>
    <i>
      <x v="5400"/>
      <x v="3"/>
      <x v="7"/>
    </i>
    <i>
      <x v="5401"/>
      <x v="5"/>
      <x v="5"/>
    </i>
    <i>
      <x v="5402"/>
      <x/>
      <x v="10"/>
    </i>
    <i>
      <x v="5403"/>
      <x v="4"/>
      <x v="10"/>
    </i>
    <i r="2">
      <x v="7"/>
    </i>
    <i>
      <x v="5404"/>
      <x v="3"/>
      <x v="7"/>
    </i>
    <i>
      <x v="5405"/>
      <x v="1"/>
      <x v="1"/>
    </i>
    <i>
      <x v="5406"/>
      <x v="4"/>
      <x v="10"/>
    </i>
    <i>
      <x v="5407"/>
      <x v="4"/>
      <x v="10"/>
    </i>
    <i>
      <x v="5408"/>
      <x v="1"/>
      <x v="4"/>
    </i>
    <i>
      <x v="5409"/>
      <x v="1"/>
      <x v="3"/>
    </i>
    <i r="1">
      <x v="4"/>
      <x v="1"/>
    </i>
    <i>
      <x v="5410"/>
      <x v="4"/>
      <x v="8"/>
    </i>
    <i>
      <x v="5411"/>
      <x/>
      <x v="3"/>
    </i>
    <i r="2">
      <x v="7"/>
    </i>
    <i>
      <x v="5412"/>
      <x v="5"/>
      <x v="1"/>
    </i>
    <i r="2">
      <x v="7"/>
    </i>
    <i>
      <x v="5413"/>
      <x v="4"/>
      <x v="10"/>
    </i>
    <i r="2">
      <x v="5"/>
    </i>
    <i>
      <x v="5414"/>
      <x v="2"/>
      <x v="1"/>
    </i>
    <i>
      <x v="5415"/>
      <x v="2"/>
      <x v="9"/>
    </i>
    <i r="2">
      <x v="8"/>
    </i>
    <i>
      <x v="5416"/>
      <x v="1"/>
      <x v="6"/>
    </i>
    <i r="1">
      <x v="4"/>
      <x v="8"/>
    </i>
    <i>
      <x v="5417"/>
      <x v="2"/>
      <x/>
    </i>
    <i>
      <x v="5418"/>
      <x v="5"/>
      <x v="10"/>
    </i>
    <i>
      <x v="5419"/>
      <x v="5"/>
      <x v="4"/>
    </i>
    <i>
      <x v="5420"/>
      <x v="5"/>
      <x v="3"/>
    </i>
    <i r="2">
      <x v="9"/>
    </i>
    <i>
      <x v="5421"/>
      <x v="5"/>
      <x v="8"/>
    </i>
    <i r="2">
      <x v="4"/>
    </i>
    <i>
      <x v="5422"/>
      <x v="3"/>
      <x v="9"/>
    </i>
    <i>
      <x v="5423"/>
      <x v="4"/>
      <x v="8"/>
    </i>
    <i r="2">
      <x v="5"/>
    </i>
    <i>
      <x v="5424"/>
      <x v="4"/>
      <x v="9"/>
    </i>
    <i>
      <x v="5425"/>
      <x v="2"/>
      <x v="4"/>
    </i>
    <i>
      <x v="5426"/>
      <x v="5"/>
      <x v="7"/>
    </i>
    <i>
      <x v="5427"/>
      <x v="2"/>
      <x v="9"/>
    </i>
    <i r="2">
      <x v="5"/>
    </i>
    <i>
      <x v="5428"/>
      <x v="3"/>
      <x/>
    </i>
    <i>
      <x v="5429"/>
      <x v="3"/>
      <x v="6"/>
    </i>
    <i>
      <x v="5430"/>
      <x v="4"/>
      <x v="4"/>
    </i>
    <i>
      <x v="5431"/>
      <x v="2"/>
      <x v="10"/>
    </i>
    <i r="2">
      <x v="3"/>
    </i>
    <i r="2">
      <x v="9"/>
    </i>
    <i>
      <x v="5432"/>
      <x v="2"/>
      <x v="9"/>
    </i>
    <i>
      <x v="5433"/>
      <x v="5"/>
      <x v="1"/>
    </i>
    <i r="2">
      <x v="4"/>
    </i>
    <i>
      <x v="5434"/>
      <x v="4"/>
      <x v="3"/>
    </i>
    <i r="1">
      <x v="2"/>
      <x v="6"/>
    </i>
    <i>
      <x v="5435"/>
      <x v="5"/>
      <x v="1"/>
    </i>
    <i>
      <x v="5436"/>
      <x v="5"/>
      <x/>
    </i>
    <i>
      <x v="5437"/>
      <x/>
      <x v="4"/>
    </i>
    <i>
      <x v="5438"/>
      <x v="1"/>
      <x v="6"/>
    </i>
    <i>
      <x v="5439"/>
      <x v="1"/>
      <x v="4"/>
    </i>
    <i>
      <x v="5440"/>
      <x v="1"/>
      <x v="1"/>
    </i>
    <i>
      <x v="5441"/>
      <x v="3"/>
      <x v="3"/>
    </i>
    <i>
      <x v="5442"/>
      <x v="2"/>
      <x v="10"/>
    </i>
    <i>
      <x v="5443"/>
      <x v="2"/>
      <x/>
    </i>
    <i>
      <x v="5444"/>
      <x v="2"/>
      <x v="8"/>
    </i>
    <i r="2">
      <x v="5"/>
    </i>
    <i>
      <x v="5445"/>
      <x v="2"/>
      <x v="1"/>
    </i>
    <i r="2">
      <x v="5"/>
    </i>
    <i>
      <x v="5446"/>
      <x v="2"/>
      <x v="5"/>
    </i>
    <i r="2">
      <x/>
    </i>
    <i>
      <x v="5447"/>
      <x v="5"/>
      <x v="10"/>
    </i>
    <i>
      <x v="5448"/>
      <x v="3"/>
      <x v="2"/>
    </i>
    <i>
      <x v="5449"/>
      <x v="5"/>
      <x v="9"/>
    </i>
    <i>
      <x v="5450"/>
      <x v="5"/>
      <x v="2"/>
    </i>
    <i r="2">
      <x v="7"/>
    </i>
    <i r="1">
      <x v="2"/>
      <x v="2"/>
    </i>
    <i>
      <x v="5451"/>
      <x v="5"/>
      <x v="3"/>
    </i>
    <i>
      <x v="5452"/>
      <x v="2"/>
      <x v="9"/>
    </i>
    <i>
      <x v="5453"/>
      <x v="3"/>
      <x v="8"/>
    </i>
    <i>
      <x v="5454"/>
      <x v="3"/>
      <x/>
    </i>
    <i>
      <x v="5455"/>
      <x v="5"/>
      <x v="1"/>
    </i>
    <i r="1">
      <x v="4"/>
      <x v="7"/>
    </i>
    <i>
      <x v="5456"/>
      <x v="3"/>
      <x v="6"/>
    </i>
    <i>
      <x v="5457"/>
      <x v="3"/>
      <x v="10"/>
    </i>
    <i r="1">
      <x v="5"/>
      <x v="8"/>
    </i>
    <i r="2">
      <x v="4"/>
    </i>
    <i>
      <x v="5458"/>
      <x v="4"/>
      <x v="3"/>
    </i>
    <i>
      <x v="5459"/>
      <x v="4"/>
      <x v="5"/>
    </i>
    <i>
      <x v="5460"/>
      <x v="4"/>
      <x v="9"/>
    </i>
    <i>
      <x v="5461"/>
      <x/>
      <x v="9"/>
    </i>
    <i>
      <x v="5462"/>
      <x/>
      <x v="3"/>
    </i>
    <i>
      <x v="5463"/>
      <x v="1"/>
      <x v="6"/>
    </i>
    <i>
      <x v="5464"/>
      <x v="2"/>
      <x v="2"/>
    </i>
    <i r="2">
      <x v="5"/>
    </i>
    <i>
      <x v="5465"/>
      <x v="2"/>
      <x v="5"/>
    </i>
    <i>
      <x v="5466"/>
      <x v="2"/>
      <x v="6"/>
    </i>
    <i>
      <x v="5467"/>
      <x v="4"/>
      <x v="1"/>
    </i>
    <i>
      <x v="5468"/>
      <x v="4"/>
      <x v="6"/>
    </i>
    <i>
      <x v="5469"/>
      <x v="4"/>
      <x v="1"/>
    </i>
    <i r="2">
      <x v="6"/>
    </i>
    <i>
      <x v="5470"/>
      <x v="2"/>
      <x v="2"/>
    </i>
    <i>
      <x v="5471"/>
      <x v="3"/>
      <x v="5"/>
    </i>
    <i>
      <x v="5472"/>
      <x v="5"/>
      <x v="6"/>
    </i>
    <i>
      <x v="5473"/>
      <x v="4"/>
      <x/>
    </i>
    <i r="2">
      <x v="7"/>
    </i>
    <i>
      <x v="5474"/>
      <x v="4"/>
      <x v="4"/>
    </i>
    <i>
      <x v="5475"/>
      <x v="5"/>
      <x v="10"/>
    </i>
    <i>
      <x v="5476"/>
      <x v="3"/>
      <x v="6"/>
    </i>
    <i>
      <x v="5477"/>
      <x v="3"/>
      <x v="2"/>
    </i>
    <i>
      <x v="5478"/>
      <x v="3"/>
      <x v="2"/>
    </i>
    <i>
      <x v="5479"/>
      <x v="4"/>
      <x v="6"/>
    </i>
    <i>
      <x v="5480"/>
      <x/>
      <x v="3"/>
    </i>
    <i r="2">
      <x v="7"/>
    </i>
    <i>
      <x v="5481"/>
      <x v="4"/>
      <x v="10"/>
    </i>
    <i r="1">
      <x v="2"/>
      <x v="6"/>
    </i>
    <i>
      <x v="5482"/>
      <x v="1"/>
      <x v="9"/>
    </i>
    <i>
      <x v="5483"/>
      <x/>
      <x v="2"/>
    </i>
    <i>
      <x v="5484"/>
      <x/>
      <x v="8"/>
    </i>
    <i>
      <x v="5485"/>
      <x/>
      <x v="3"/>
    </i>
    <i r="2">
      <x v="1"/>
    </i>
    <i>
      <x v="5486"/>
      <x v="3"/>
      <x v="1"/>
    </i>
    <i>
      <x v="5487"/>
      <x v="3"/>
      <x v="8"/>
    </i>
    <i>
      <x v="5488"/>
      <x v="5"/>
      <x v="7"/>
    </i>
    <i>
      <x v="5489"/>
      <x v="5"/>
      <x v="3"/>
    </i>
    <i>
      <x v="5490"/>
      <x/>
      <x v="9"/>
    </i>
    <i>
      <x v="5491"/>
      <x/>
      <x v="9"/>
    </i>
    <i r="2">
      <x v="8"/>
    </i>
    <i r="1">
      <x v="4"/>
      <x v="1"/>
    </i>
    <i>
      <x v="5492"/>
      <x v="5"/>
      <x v="7"/>
    </i>
    <i>
      <x v="5493"/>
      <x v="2"/>
      <x v="5"/>
    </i>
    <i>
      <x v="5494"/>
      <x v="1"/>
      <x v="8"/>
    </i>
    <i>
      <x v="5495"/>
      <x v="2"/>
      <x v="3"/>
    </i>
    <i r="2">
      <x v="8"/>
    </i>
    <i r="2">
      <x v="5"/>
    </i>
    <i>
      <x v="5496"/>
      <x v="5"/>
      <x v="5"/>
    </i>
    <i>
      <x v="5497"/>
      <x v="5"/>
      <x v="10"/>
    </i>
    <i>
      <x v="5498"/>
      <x v="2"/>
      <x v="5"/>
    </i>
    <i>
      <x v="5499"/>
      <x v="1"/>
      <x v="8"/>
    </i>
    <i r="2">
      <x v="7"/>
    </i>
    <i>
      <x v="5500"/>
      <x v="2"/>
      <x v="2"/>
    </i>
    <i>
      <x v="5501"/>
      <x/>
      <x v="8"/>
    </i>
    <i r="2">
      <x v="7"/>
    </i>
    <i>
      <x v="5502"/>
      <x/>
      <x v="8"/>
    </i>
    <i r="2">
      <x v="7"/>
    </i>
    <i>
      <x v="5503"/>
      <x v="5"/>
      <x/>
    </i>
    <i r="2">
      <x v="7"/>
    </i>
    <i>
      <x v="5504"/>
      <x v="5"/>
      <x v="5"/>
    </i>
    <i r="1">
      <x v="4"/>
      <x v="8"/>
    </i>
    <i r="2">
      <x v="4"/>
    </i>
    <i>
      <x v="5505"/>
      <x v="3"/>
      <x v="1"/>
    </i>
    <i>
      <x v="5506"/>
      <x v="3"/>
      <x v="5"/>
    </i>
    <i>
      <x v="5507"/>
      <x v="2"/>
      <x v="6"/>
    </i>
    <i>
      <x v="5508"/>
      <x v="2"/>
      <x v="1"/>
    </i>
    <i>
      <x v="5509"/>
      <x v="3"/>
      <x v="5"/>
    </i>
    <i>
      <x v="5510"/>
      <x/>
      <x v="8"/>
    </i>
    <i>
      <x v="5511"/>
      <x/>
      <x v="2"/>
    </i>
    <i>
      <x v="5512"/>
      <x/>
      <x v="10"/>
    </i>
    <i r="2">
      <x/>
    </i>
    <i>
      <x v="5513"/>
      <x v="1"/>
      <x v="1"/>
    </i>
    <i>
      <x v="5514"/>
      <x v="1"/>
      <x v="1"/>
    </i>
    <i>
      <x v="5515"/>
      <x v="2"/>
      <x v="5"/>
    </i>
    <i r="2">
      <x/>
    </i>
    <i>
      <x v="5516"/>
      <x v="2"/>
      <x v="2"/>
    </i>
    <i>
      <x v="5517"/>
      <x v="1"/>
      <x v="10"/>
    </i>
    <i>
      <x v="5518"/>
      <x v="2"/>
      <x v="3"/>
    </i>
    <i>
      <x v="5519"/>
      <x v="5"/>
      <x v="1"/>
    </i>
    <i>
      <x v="5520"/>
      <x v="2"/>
      <x v="6"/>
    </i>
    <i>
      <x v="5521"/>
      <x v="1"/>
      <x v="7"/>
    </i>
    <i>
      <x v="5522"/>
      <x v="1"/>
      <x v="6"/>
    </i>
    <i>
      <x v="5523"/>
      <x v="1"/>
      <x v="5"/>
    </i>
    <i>
      <x v="5524"/>
      <x v="2"/>
      <x v="10"/>
    </i>
    <i>
      <x v="5525"/>
      <x v="2"/>
      <x v="3"/>
    </i>
    <i r="2">
      <x v="5"/>
    </i>
    <i r="2">
      <x v="7"/>
    </i>
    <i>
      <x v="5526"/>
      <x v="2"/>
      <x v="8"/>
    </i>
    <i>
      <x v="5527"/>
      <x v="3"/>
      <x v="6"/>
    </i>
    <i>
      <x v="5528"/>
      <x/>
      <x v="8"/>
    </i>
    <i r="1">
      <x v="4"/>
      <x/>
    </i>
    <i>
      <x v="5529"/>
      <x v="1"/>
      <x v="3"/>
    </i>
    <i r="2">
      <x v="2"/>
    </i>
    <i r="2">
      <x/>
    </i>
    <i>
      <x v="5530"/>
      <x v="1"/>
      <x v="1"/>
    </i>
    <i>
      <x v="5531"/>
      <x v="1"/>
      <x v="3"/>
    </i>
    <i>
      <x v="5532"/>
      <x v="1"/>
      <x v="1"/>
    </i>
    <i r="2">
      <x/>
    </i>
    <i>
      <x v="5533"/>
      <x v="4"/>
      <x v="2"/>
    </i>
    <i>
      <x v="5534"/>
      <x v="4"/>
      <x/>
    </i>
    <i r="2">
      <x v="7"/>
    </i>
    <i>
      <x v="5535"/>
      <x v="3"/>
      <x v="7"/>
    </i>
    <i>
      <x v="5536"/>
      <x v="5"/>
      <x v="1"/>
    </i>
    <i>
      <x v="5537"/>
      <x/>
      <x v="9"/>
    </i>
    <i>
      <x v="5538"/>
      <x/>
      <x v="8"/>
    </i>
    <i>
      <x v="5539"/>
      <x v="2"/>
      <x v="3"/>
    </i>
    <i>
      <x v="5540"/>
      <x v="2"/>
      <x v="4"/>
    </i>
    <i>
      <x v="5541"/>
      <x v="3"/>
      <x/>
    </i>
    <i>
      <x v="5542"/>
      <x v="5"/>
      <x v="2"/>
    </i>
    <i>
      <x v="5543"/>
      <x v="2"/>
      <x v="6"/>
    </i>
    <i>
      <x v="5544"/>
      <x v="3"/>
      <x v="1"/>
    </i>
    <i r="2">
      <x v="5"/>
    </i>
    <i>
      <x v="5545"/>
      <x v="1"/>
      <x v="3"/>
    </i>
    <i>
      <x v="5546"/>
      <x v="2"/>
      <x v="10"/>
    </i>
    <i>
      <x v="5547"/>
      <x v="2"/>
      <x v="6"/>
    </i>
    <i>
      <x v="5548"/>
      <x v="2"/>
      <x v="9"/>
    </i>
    <i>
      <x v="5549"/>
      <x v="2"/>
      <x v="8"/>
    </i>
    <i>
      <x v="5550"/>
      <x v="2"/>
      <x v="3"/>
    </i>
    <i>
      <x v="5551"/>
      <x v="2"/>
      <x v="1"/>
    </i>
    <i>
      <x v="5552"/>
      <x v="2"/>
      <x v="1"/>
    </i>
    <i>
      <x v="5553"/>
      <x v="2"/>
      <x v="3"/>
    </i>
    <i>
      <x v="5554"/>
      <x v="2"/>
      <x v="6"/>
    </i>
    <i>
      <x v="5555"/>
      <x v="2"/>
      <x v="6"/>
    </i>
    <i>
      <x v="5556"/>
      <x v="3"/>
      <x v="3"/>
    </i>
    <i>
      <x v="5557"/>
      <x v="2"/>
      <x v="10"/>
    </i>
    <i>
      <x v="5558"/>
      <x v="3"/>
      <x v="1"/>
    </i>
    <i r="2">
      <x v="5"/>
    </i>
    <i r="2">
      <x v="6"/>
    </i>
    <i>
      <x v="5559"/>
      <x v="4"/>
      <x v="3"/>
    </i>
    <i>
      <x v="5560"/>
      <x v="3"/>
      <x v="3"/>
    </i>
    <i>
      <x v="5561"/>
      <x/>
      <x v="3"/>
    </i>
    <i>
      <x v="5562"/>
      <x/>
      <x v="7"/>
    </i>
    <i>
      <x v="5563"/>
      <x v="2"/>
      <x v="3"/>
    </i>
    <i>
      <x v="5564"/>
      <x v="2"/>
      <x v="8"/>
    </i>
    <i>
      <x v="5565"/>
      <x v="2"/>
      <x v="7"/>
    </i>
    <i>
      <x v="5566"/>
      <x v="3"/>
      <x v="1"/>
    </i>
    <i r="1">
      <x v="4"/>
      <x/>
    </i>
    <i>
      <x v="5567"/>
      <x v="3"/>
      <x v="10"/>
    </i>
    <i>
      <x v="5568"/>
      <x v="3"/>
      <x v="7"/>
    </i>
    <i>
      <x v="5569"/>
      <x v="2"/>
      <x v="7"/>
    </i>
    <i>
      <x v="5570"/>
      <x v="3"/>
      <x v="10"/>
    </i>
    <i r="1">
      <x v="2"/>
      <x v="9"/>
    </i>
    <i>
      <x v="5571"/>
      <x v="2"/>
      <x v="10"/>
    </i>
    <i>
      <x v="5572"/>
      <x/>
      <x v="8"/>
    </i>
    <i>
      <x v="5573"/>
      <x/>
      <x v="2"/>
    </i>
    <i>
      <x v="5574"/>
      <x/>
      <x/>
    </i>
    <i>
      <x v="5575"/>
      <x/>
      <x v="1"/>
    </i>
    <i>
      <x v="5576"/>
      <x v="4"/>
      <x v="7"/>
    </i>
    <i>
      <x v="5577"/>
      <x v="4"/>
      <x v="3"/>
    </i>
    <i r="2">
      <x v="9"/>
    </i>
    <i r="2">
      <x v="5"/>
    </i>
    <i>
      <x v="5578"/>
      <x v="4"/>
      <x v="7"/>
    </i>
    <i>
      <x v="5579"/>
      <x v="2"/>
      <x v="5"/>
    </i>
    <i>
      <x v="5580"/>
      <x v="2"/>
      <x v="1"/>
    </i>
    <i r="2">
      <x v="9"/>
    </i>
    <i>
      <x v="5581"/>
      <x v="3"/>
      <x v="9"/>
    </i>
    <i>
      <x v="5582"/>
      <x v="3"/>
      <x v="9"/>
    </i>
    <i>
      <x v="5583"/>
      <x v="5"/>
      <x v="5"/>
    </i>
    <i>
      <x v="5584"/>
      <x v="5"/>
      <x v="9"/>
    </i>
    <i r="2">
      <x v="7"/>
    </i>
    <i>
      <x v="5585"/>
      <x v="3"/>
      <x v="10"/>
    </i>
    <i>
      <x v="5586"/>
      <x v="3"/>
      <x v="10"/>
    </i>
    <i r="2">
      <x v="5"/>
    </i>
    <i>
      <x v="5587"/>
      <x v="3"/>
      <x v="10"/>
    </i>
    <i r="2">
      <x/>
    </i>
    <i>
      <x v="5588"/>
      <x v="5"/>
      <x v="10"/>
    </i>
    <i>
      <x v="5589"/>
      <x v="4"/>
      <x v="2"/>
    </i>
    <i r="2">
      <x v="7"/>
    </i>
    <i>
      <x v="5590"/>
      <x v="2"/>
      <x v="3"/>
    </i>
    <i>
      <x v="5591"/>
      <x v="5"/>
      <x v="5"/>
    </i>
    <i>
      <x v="5592"/>
      <x v="2"/>
      <x v="6"/>
    </i>
    <i>
      <x v="5593"/>
      <x v="4"/>
      <x v="4"/>
    </i>
    <i>
      <x v="5594"/>
      <x v="3"/>
      <x v="6"/>
    </i>
    <i>
      <x v="5595"/>
      <x v="2"/>
      <x v="2"/>
    </i>
    <i>
      <x v="5596"/>
      <x v="2"/>
      <x v="1"/>
    </i>
    <i>
      <x v="5597"/>
      <x v="3"/>
      <x v="3"/>
    </i>
    <i r="1">
      <x v="2"/>
      <x v="1"/>
    </i>
    <i>
      <x v="5598"/>
      <x v="3"/>
      <x v="10"/>
    </i>
    <i r="2">
      <x v="9"/>
    </i>
    <i r="2">
      <x v="6"/>
    </i>
    <i>
      <x v="5599"/>
      <x v="2"/>
      <x v="1"/>
    </i>
    <i>
      <x v="5600"/>
      <x v="2"/>
      <x v="1"/>
    </i>
    <i r="2">
      <x v="7"/>
    </i>
    <i>
      <x v="5601"/>
      <x v="2"/>
      <x v="9"/>
    </i>
    <i>
      <x v="5602"/>
      <x v="5"/>
      <x/>
    </i>
    <i r="2">
      <x v="6"/>
    </i>
    <i>
      <x v="5603"/>
      <x v="4"/>
      <x v="10"/>
    </i>
    <i r="2">
      <x v="3"/>
    </i>
    <i r="2">
      <x v="4"/>
    </i>
    <i>
      <x v="5604"/>
      <x/>
      <x/>
    </i>
    <i>
      <x v="5605"/>
      <x v="1"/>
      <x/>
    </i>
    <i>
      <x v="5606"/>
      <x v="2"/>
      <x v="1"/>
    </i>
    <i>
      <x v="5607"/>
      <x v="1"/>
      <x v="9"/>
    </i>
    <i r="2">
      <x v="7"/>
    </i>
    <i>
      <x v="5608"/>
      <x v="2"/>
      <x v="8"/>
    </i>
    <i>
      <x v="5609"/>
      <x/>
      <x v="8"/>
    </i>
    <i>
      <x v="5610"/>
      <x v="2"/>
      <x v="1"/>
    </i>
    <i>
      <x v="5611"/>
      <x v="2"/>
      <x v="4"/>
    </i>
    <i>
      <x v="5612"/>
      <x v="2"/>
      <x v="7"/>
    </i>
    <i>
      <x v="5613"/>
      <x/>
      <x v="6"/>
    </i>
    <i>
      <x v="5614"/>
      <x/>
      <x v="7"/>
    </i>
    <i>
      <x v="5615"/>
      <x v="2"/>
      <x v="1"/>
    </i>
    <i r="2">
      <x v="9"/>
    </i>
    <i r="2">
      <x/>
    </i>
    <i>
      <x v="5616"/>
      <x v="2"/>
      <x v="9"/>
    </i>
    <i>
      <x v="5617"/>
      <x v="2"/>
      <x v="9"/>
    </i>
    <i r="2">
      <x v="8"/>
    </i>
    <i>
      <x v="5618"/>
      <x v="2"/>
      <x v="5"/>
    </i>
    <i>
      <x v="5619"/>
      <x v="2"/>
      <x v="3"/>
    </i>
    <i r="2">
      <x v="7"/>
    </i>
    <i>
      <x v="5620"/>
      <x v="2"/>
      <x v="10"/>
    </i>
    <i r="2">
      <x v="2"/>
    </i>
    <i>
      <x v="5621"/>
      <x v="2"/>
      <x v="8"/>
    </i>
    <i>
      <x v="5622"/>
      <x v="2"/>
      <x v="10"/>
    </i>
    <i r="2">
      <x v="3"/>
    </i>
    <i r="2">
      <x v="7"/>
    </i>
    <i>
      <x v="5623"/>
      <x v="2"/>
      <x v="5"/>
    </i>
    <i>
      <x v="5624"/>
      <x v="5"/>
      <x v="6"/>
    </i>
    <i>
      <x v="5625"/>
      <x v="2"/>
      <x v="9"/>
    </i>
    <i r="2">
      <x/>
    </i>
    <i>
      <x v="5626"/>
      <x v="4"/>
      <x v="1"/>
    </i>
    <i>
      <x v="5627"/>
      <x/>
      <x v="3"/>
    </i>
    <i>
      <x v="5628"/>
      <x v="2"/>
      <x v="1"/>
    </i>
    <i>
      <x v="5629"/>
      <x v="3"/>
      <x v="7"/>
    </i>
    <i>
      <x v="5630"/>
      <x v="3"/>
      <x v="5"/>
    </i>
    <i>
      <x v="5631"/>
      <x v="3"/>
      <x v="3"/>
    </i>
    <i>
      <x v="5632"/>
      <x v="2"/>
      <x v="10"/>
    </i>
    <i>
      <x v="5633"/>
      <x v="3"/>
      <x v="2"/>
    </i>
    <i r="2">
      <x/>
    </i>
    <i>
      <x v="5634"/>
      <x v="1"/>
      <x v="9"/>
    </i>
    <i>
      <x v="5635"/>
      <x v="1"/>
      <x v="2"/>
    </i>
    <i>
      <x v="5636"/>
      <x/>
      <x v="7"/>
    </i>
    <i>
      <x v="5637"/>
      <x/>
      <x v="10"/>
    </i>
    <i>
      <x v="5638"/>
      <x v="3"/>
      <x v="1"/>
    </i>
    <i r="2">
      <x v="6"/>
    </i>
    <i>
      <x v="5639"/>
      <x v="5"/>
      <x v="9"/>
    </i>
    <i r="2">
      <x v="8"/>
    </i>
    <i r="2">
      <x/>
    </i>
    <i>
      <x v="5640"/>
      <x v="1"/>
      <x v="10"/>
    </i>
    <i>
      <x v="5641"/>
      <x v="2"/>
      <x v="1"/>
    </i>
    <i r="2">
      <x v="9"/>
    </i>
    <i>
      <x v="5642"/>
      <x/>
      <x v="1"/>
    </i>
    <i>
      <x v="5643"/>
      <x v="5"/>
      <x v="1"/>
    </i>
    <i>
      <x v="5644"/>
      <x v="4"/>
      <x v="5"/>
    </i>
    <i>
      <x v="5645"/>
      <x v="2"/>
      <x v="2"/>
    </i>
    <i>
      <x v="5646"/>
      <x v="3"/>
      <x v="8"/>
    </i>
    <i>
      <x v="5647"/>
      <x v="3"/>
      <x v="6"/>
    </i>
    <i>
      <x v="5648"/>
      <x v="3"/>
      <x v="5"/>
    </i>
    <i r="1">
      <x v="2"/>
      <x v="10"/>
    </i>
    <i>
      <x v="5649"/>
      <x v="3"/>
      <x v="1"/>
    </i>
    <i>
      <x v="5650"/>
      <x/>
      <x v="4"/>
    </i>
    <i r="2">
      <x v="7"/>
    </i>
    <i>
      <x v="5651"/>
      <x v="3"/>
      <x v="1"/>
    </i>
    <i r="2">
      <x v="8"/>
    </i>
    <i>
      <x v="5652"/>
      <x v="2"/>
      <x/>
    </i>
    <i>
      <x v="5653"/>
      <x v="2"/>
      <x v="3"/>
    </i>
    <i>
      <x v="5654"/>
      <x v="5"/>
      <x v="5"/>
    </i>
    <i>
      <x v="5655"/>
      <x v="5"/>
      <x v="6"/>
    </i>
    <i>
      <x v="5656"/>
      <x v="5"/>
      <x v="8"/>
    </i>
    <i>
      <x v="5657"/>
      <x v="1"/>
      <x v="6"/>
    </i>
    <i r="1">
      <x/>
      <x v="2"/>
    </i>
    <i r="1">
      <x v="2"/>
      <x/>
    </i>
    <i>
      <x v="5658"/>
      <x v="3"/>
      <x/>
    </i>
    <i>
      <x v="5659"/>
      <x v="2"/>
      <x v="4"/>
    </i>
    <i>
      <x v="5660"/>
      <x v="1"/>
      <x v="8"/>
    </i>
    <i>
      <x v="5661"/>
      <x v="5"/>
      <x v="8"/>
    </i>
    <i>
      <x v="5662"/>
      <x v="1"/>
      <x v="7"/>
    </i>
    <i>
      <x v="5663"/>
      <x v="1"/>
      <x v="6"/>
    </i>
    <i>
      <x v="5664"/>
      <x v="2"/>
      <x v="10"/>
    </i>
    <i>
      <x v="5665"/>
      <x v="3"/>
      <x v="2"/>
    </i>
    <i>
      <x v="5666"/>
      <x v="4"/>
      <x/>
    </i>
    <i r="1">
      <x v="2"/>
      <x v="10"/>
    </i>
    <i>
      <x v="5667"/>
      <x v="1"/>
      <x/>
    </i>
    <i>
      <x v="5668"/>
      <x v="2"/>
      <x v="8"/>
    </i>
    <i>
      <x v="5669"/>
      <x v="3"/>
      <x v="4"/>
    </i>
    <i>
      <x v="5670"/>
      <x v="2"/>
      <x v="10"/>
    </i>
    <i>
      <x v="5671"/>
      <x v="5"/>
      <x v="4"/>
    </i>
    <i>
      <x v="5672"/>
      <x/>
      <x v="8"/>
    </i>
    <i>
      <x v="5673"/>
      <x v="1"/>
      <x v="7"/>
    </i>
    <i r="1">
      <x v="2"/>
      <x v="2"/>
    </i>
    <i>
      <x v="5674"/>
      <x v="5"/>
      <x v="10"/>
    </i>
    <i r="2">
      <x v="4"/>
    </i>
    <i>
      <x v="5675"/>
      <x v="5"/>
      <x v="3"/>
    </i>
    <i r="2">
      <x v="7"/>
    </i>
    <i>
      <x v="5676"/>
      <x v="5"/>
      <x v="9"/>
    </i>
    <i>
      <x v="5677"/>
      <x/>
      <x v="3"/>
    </i>
    <i r="2">
      <x v="9"/>
    </i>
    <i>
      <x v="5678"/>
      <x v="1"/>
      <x v="9"/>
    </i>
    <i>
      <x v="5679"/>
      <x v="4"/>
      <x v="3"/>
    </i>
    <i>
      <x v="5680"/>
      <x v="4"/>
      <x v="7"/>
    </i>
    <i>
      <x v="5681"/>
      <x v="5"/>
      <x v="9"/>
    </i>
    <i>
      <x v="5682"/>
      <x v="4"/>
      <x v="2"/>
    </i>
    <i>
      <x v="5683"/>
      <x v="1"/>
      <x v="2"/>
    </i>
    <i>
      <x v="5684"/>
      <x/>
      <x v="7"/>
    </i>
    <i>
      <x v="5685"/>
      <x v="3"/>
      <x v="1"/>
    </i>
    <i>
      <x v="5686"/>
      <x v="5"/>
      <x v="5"/>
    </i>
    <i>
      <x v="5687"/>
      <x v="4"/>
      <x v="1"/>
    </i>
    <i>
      <x v="5688"/>
      <x v="4"/>
      <x/>
    </i>
    <i>
      <x v="5689"/>
      <x v="3"/>
      <x v="2"/>
    </i>
    <i r="1">
      <x v="4"/>
      <x/>
    </i>
    <i>
      <x v="5690"/>
      <x v="4"/>
      <x v="6"/>
    </i>
    <i>
      <x v="5691"/>
      <x v="3"/>
      <x v="7"/>
    </i>
    <i>
      <x v="5692"/>
      <x v="3"/>
      <x v="6"/>
    </i>
    <i>
      <x v="5693"/>
      <x v="3"/>
      <x v="7"/>
    </i>
    <i>
      <x v="5694"/>
      <x v="5"/>
      <x v="4"/>
    </i>
    <i r="2">
      <x v="7"/>
    </i>
    <i>
      <x v="5695"/>
      <x v="2"/>
      <x v="2"/>
    </i>
    <i>
      <x v="5696"/>
      <x v="5"/>
      <x v="10"/>
    </i>
    <i r="2">
      <x v="1"/>
    </i>
    <i>
      <x v="5697"/>
      <x v="3"/>
      <x v="1"/>
    </i>
    <i>
      <x v="5698"/>
      <x v="5"/>
      <x v="1"/>
    </i>
    <i>
      <x v="5699"/>
      <x v="2"/>
      <x v="10"/>
    </i>
    <i>
      <x v="5700"/>
      <x v="4"/>
      <x v="7"/>
    </i>
    <i>
      <x v="5701"/>
      <x v="3"/>
      <x v="1"/>
    </i>
    <i r="2">
      <x v="5"/>
    </i>
    <i r="2">
      <x v="6"/>
    </i>
    <i>
      <x v="5702"/>
      <x v="3"/>
      <x v="6"/>
    </i>
    <i>
      <x v="5703"/>
      <x/>
      <x v="7"/>
    </i>
    <i>
      <x v="5704"/>
      <x/>
      <x v="5"/>
    </i>
    <i>
      <x v="5705"/>
      <x/>
      <x/>
    </i>
    <i>
      <x v="5706"/>
      <x v="1"/>
      <x v="2"/>
    </i>
    <i>
      <x v="5707"/>
      <x v="1"/>
      <x v="5"/>
    </i>
    <i>
      <x v="5708"/>
      <x/>
      <x v="1"/>
    </i>
    <i r="2">
      <x v="4"/>
    </i>
    <i r="2">
      <x v="7"/>
    </i>
    <i>
      <x v="5709"/>
      <x/>
      <x v="2"/>
    </i>
    <i>
      <x v="5710"/>
      <x/>
      <x v="6"/>
    </i>
    <i r="1">
      <x v="5"/>
      <x v="2"/>
    </i>
    <i r="2">
      <x v="6"/>
    </i>
    <i>
      <x v="5711"/>
      <x v="5"/>
      <x v="4"/>
    </i>
    <i r="1">
      <x v="4"/>
      <x v="4"/>
    </i>
    <i>
      <x v="5712"/>
      <x v="5"/>
      <x v="10"/>
    </i>
    <i>
      <x v="5713"/>
      <x v="5"/>
      <x v="6"/>
    </i>
    <i>
      <x v="5714"/>
      <x v="3"/>
      <x v="9"/>
    </i>
    <i>
      <x v="5715"/>
      <x v="5"/>
      <x v="9"/>
    </i>
    <i>
      <x v="5716"/>
      <x v="5"/>
      <x v="3"/>
    </i>
    <i>
      <x v="5717"/>
      <x v="3"/>
      <x v="10"/>
    </i>
    <i>
      <x v="5718"/>
      <x v="1"/>
      <x v="7"/>
    </i>
    <i>
      <x v="5719"/>
      <x v="3"/>
      <x v="5"/>
    </i>
    <i>
      <x v="5720"/>
      <x v="3"/>
      <x v="6"/>
    </i>
    <i>
      <x v="5721"/>
      <x v="4"/>
      <x/>
    </i>
    <i>
      <x v="5722"/>
      <x v="4"/>
      <x v="1"/>
    </i>
    <i r="2">
      <x v="7"/>
    </i>
    <i>
      <x v="5723"/>
      <x/>
      <x v="6"/>
    </i>
    <i>
      <x v="5724"/>
      <x v="1"/>
      <x v="9"/>
    </i>
    <i>
      <x v="5725"/>
      <x v="5"/>
      <x v="1"/>
    </i>
    <i>
      <x v="5726"/>
      <x v="5"/>
      <x v="9"/>
    </i>
    <i>
      <x v="5727"/>
      <x v="3"/>
      <x v="7"/>
    </i>
    <i r="1">
      <x/>
      <x v="1"/>
    </i>
    <i>
      <x v="5728"/>
      <x v="3"/>
      <x v="2"/>
    </i>
    <i>
      <x v="5729"/>
      <x/>
      <x v="2"/>
    </i>
    <i r="1">
      <x v="4"/>
      <x v="8"/>
    </i>
    <i>
      <x v="5730"/>
      <x v="2"/>
      <x v="9"/>
    </i>
    <i r="2">
      <x v="7"/>
    </i>
    <i>
      <x v="5731"/>
      <x v="2"/>
      <x v="9"/>
    </i>
    <i>
      <x v="5732"/>
      <x v="2"/>
      <x v="4"/>
    </i>
    <i>
      <x v="5733"/>
      <x v="3"/>
      <x v="2"/>
    </i>
    <i>
      <x v="5734"/>
      <x/>
      <x/>
    </i>
    <i>
      <x v="5735"/>
      <x v="3"/>
      <x v="3"/>
    </i>
    <i r="2">
      <x v="1"/>
    </i>
    <i>
      <x v="5736"/>
      <x v="4"/>
      <x v="2"/>
    </i>
    <i>
      <x v="5737"/>
      <x v="4"/>
      <x v="5"/>
    </i>
    <i>
      <x v="5738"/>
      <x v="4"/>
      <x v="6"/>
    </i>
    <i>
      <x v="5739"/>
      <x v="5"/>
      <x v="5"/>
    </i>
    <i>
      <x v="5740"/>
      <x v="1"/>
      <x v="10"/>
    </i>
    <i>
      <x v="5741"/>
      <x v="1"/>
      <x v="4"/>
    </i>
    <i>
      <x v="5742"/>
      <x v="5"/>
      <x v="8"/>
    </i>
    <i r="2">
      <x v="4"/>
    </i>
    <i r="2">
      <x v="7"/>
    </i>
    <i>
      <x v="5743"/>
      <x v="2"/>
      <x v="3"/>
    </i>
    <i r="2">
      <x v="8"/>
    </i>
    <i>
      <x v="5744"/>
      <x v="2"/>
      <x v="1"/>
    </i>
    <i r="2">
      <x v="4"/>
    </i>
    <i r="2">
      <x v="6"/>
    </i>
    <i>
      <x v="5745"/>
      <x v="2"/>
      <x v="4"/>
    </i>
    <i>
      <x v="5746"/>
      <x v="5"/>
      <x v="1"/>
    </i>
    <i>
      <x v="5747"/>
      <x v="2"/>
      <x v="5"/>
    </i>
    <i r="2">
      <x/>
    </i>
    <i>
      <x v="5748"/>
      <x v="2"/>
      <x v="2"/>
    </i>
    <i>
      <x v="5749"/>
      <x v="4"/>
      <x v="10"/>
    </i>
    <i>
      <x v="5750"/>
      <x/>
      <x v="8"/>
    </i>
    <i r="2">
      <x/>
    </i>
    <i>
      <x v="5751"/>
      <x v="3"/>
      <x v="5"/>
    </i>
    <i>
      <x v="5752"/>
      <x v="3"/>
      <x v="7"/>
    </i>
    <i r="2">
      <x v="6"/>
    </i>
    <i>
      <x v="5753"/>
      <x v="3"/>
      <x v="1"/>
    </i>
    <i>
      <x v="5754"/>
      <x/>
      <x v="9"/>
    </i>
    <i>
      <x v="5755"/>
      <x/>
      <x v="1"/>
    </i>
    <i>
      <x v="5756"/>
      <x v="4"/>
      <x v="5"/>
    </i>
    <i>
      <x v="5757"/>
      <x v="5"/>
      <x v="6"/>
    </i>
    <i>
      <x v="5758"/>
      <x v="1"/>
      <x v="1"/>
    </i>
    <i r="1">
      <x v="2"/>
      <x v="1"/>
    </i>
    <i>
      <x v="5759"/>
      <x v="1"/>
      <x v="10"/>
    </i>
    <i>
      <x v="5760"/>
      <x v="1"/>
      <x v="6"/>
    </i>
    <i>
      <x v="5761"/>
      <x v="5"/>
      <x v="2"/>
    </i>
    <i r="2">
      <x v="8"/>
    </i>
    <i r="2">
      <x/>
    </i>
    <i>
      <x v="5762"/>
      <x v="5"/>
      <x v="7"/>
    </i>
    <i>
      <x v="5763"/>
      <x v="1"/>
      <x v="1"/>
    </i>
    <i>
      <x v="5764"/>
      <x v="5"/>
      <x v="2"/>
    </i>
    <i>
      <x v="5765"/>
      <x v="5"/>
      <x v="5"/>
    </i>
    <i>
      <x v="5766"/>
      <x v="5"/>
      <x v="7"/>
    </i>
    <i>
      <x v="5767"/>
      <x/>
      <x v="6"/>
    </i>
    <i>
      <x v="5768"/>
      <x/>
      <x v="2"/>
    </i>
    <i>
      <x v="5769"/>
      <x/>
      <x v="4"/>
    </i>
    <i r="2">
      <x v="6"/>
    </i>
    <i>
      <x v="5770"/>
      <x v="3"/>
      <x v="10"/>
    </i>
    <i r="1">
      <x/>
      <x v="9"/>
    </i>
    <i r="2">
      <x v="2"/>
    </i>
    <i>
      <x v="5771"/>
      <x v="2"/>
      <x v="10"/>
    </i>
    <i>
      <x v="5772"/>
      <x v="2"/>
      <x v="9"/>
    </i>
    <i>
      <x v="5773"/>
      <x/>
      <x v="1"/>
    </i>
    <i>
      <x v="5774"/>
      <x v="5"/>
      <x v="4"/>
    </i>
    <i>
      <x v="5775"/>
      <x v="5"/>
      <x v="8"/>
    </i>
    <i>
      <x v="5776"/>
      <x v="1"/>
      <x v="9"/>
    </i>
    <i>
      <x v="5777"/>
      <x v="5"/>
      <x v="9"/>
    </i>
    <i>
      <x v="5778"/>
      <x v="5"/>
      <x v="9"/>
    </i>
    <i r="2">
      <x v="8"/>
    </i>
    <i>
      <x v="5779"/>
      <x v="3"/>
      <x v="10"/>
    </i>
    <i r="2">
      <x v="8"/>
    </i>
    <i>
      <x v="5780"/>
      <x v="4"/>
      <x v="9"/>
    </i>
    <i>
      <x v="5781"/>
      <x v="5"/>
      <x v="3"/>
    </i>
    <i>
      <x v="5782"/>
      <x v="4"/>
      <x v="10"/>
    </i>
    <i r="2">
      <x v="4"/>
    </i>
    <i r="2">
      <x v="5"/>
    </i>
    <i>
      <x v="5783"/>
      <x v="4"/>
      <x/>
    </i>
    <i>
      <x v="5784"/>
      <x v="4"/>
      <x v="4"/>
    </i>
    <i r="2">
      <x v="5"/>
    </i>
    <i r="2">
      <x/>
    </i>
    <i>
      <x v="5785"/>
      <x v="2"/>
      <x v="2"/>
    </i>
    <i r="2">
      <x v="8"/>
    </i>
    <i>
      <x v="5786"/>
      <x v="4"/>
      <x v="4"/>
    </i>
    <i>
      <x v="5787"/>
      <x v="2"/>
      <x/>
    </i>
    <i>
      <x v="5788"/>
      <x v="2"/>
      <x v="1"/>
    </i>
    <i>
      <x v="5789"/>
      <x v="3"/>
      <x v="10"/>
    </i>
    <i>
      <x v="5790"/>
      <x v="3"/>
      <x v="3"/>
    </i>
    <i r="2">
      <x v="5"/>
    </i>
    <i>
      <x v="5791"/>
      <x v="3"/>
      <x v="1"/>
    </i>
    <i r="2">
      <x v="7"/>
    </i>
    <i>
      <x v="5792"/>
      <x v="2"/>
      <x v="1"/>
    </i>
    <i>
      <x v="5793"/>
      <x v="1"/>
      <x v="1"/>
    </i>
    <i>
      <x v="5794"/>
      <x v="3"/>
      <x v="8"/>
    </i>
    <i>
      <x v="5795"/>
      <x v="1"/>
      <x v="9"/>
    </i>
    <i>
      <x v="5796"/>
      <x v="3"/>
      <x v="6"/>
    </i>
    <i>
      <x v="5797"/>
      <x v="2"/>
      <x v="3"/>
    </i>
    <i>
      <x v="5798"/>
      <x v="1"/>
      <x v="3"/>
    </i>
    <i>
      <x v="5799"/>
      <x v="4"/>
      <x v="8"/>
    </i>
    <i r="2">
      <x v="7"/>
    </i>
    <i>
      <x v="5800"/>
      <x v="4"/>
      <x v="8"/>
    </i>
    <i>
      <x v="5801"/>
      <x v="4"/>
      <x v="8"/>
    </i>
    <i>
      <x v="5802"/>
      <x v="4"/>
      <x v="5"/>
    </i>
    <i>
      <x v="5803"/>
      <x v="3"/>
      <x/>
    </i>
    <i>
      <x v="5804"/>
      <x v="2"/>
      <x v="10"/>
    </i>
    <i>
      <x v="5805"/>
      <x v="3"/>
      <x v="1"/>
    </i>
    <i r="1">
      <x v="5"/>
      <x v="1"/>
    </i>
    <i>
      <x v="5806"/>
      <x v="5"/>
      <x v="5"/>
    </i>
    <i>
      <x v="5807"/>
      <x v="3"/>
      <x v="5"/>
    </i>
    <i>
      <x v="5808"/>
      <x/>
      <x v="5"/>
    </i>
    <i>
      <x v="5809"/>
      <x/>
      <x v="1"/>
    </i>
    <i>
      <x v="5810"/>
      <x v="4"/>
      <x v="2"/>
    </i>
    <i>
      <x v="5811"/>
      <x v="4"/>
      <x v="7"/>
    </i>
    <i>
      <x v="5812"/>
      <x v="4"/>
      <x v="3"/>
    </i>
    <i>
      <x v="5813"/>
      <x v="4"/>
      <x v="10"/>
    </i>
    <i>
      <x v="5814"/>
      <x v="4"/>
      <x v="2"/>
    </i>
    <i r="2">
      <x/>
    </i>
    <i>
      <x v="5815"/>
      <x v="2"/>
      <x v="4"/>
    </i>
    <i>
      <x v="5816"/>
      <x v="1"/>
      <x v="1"/>
    </i>
    <i>
      <x v="5817"/>
      <x v="4"/>
      <x v="9"/>
    </i>
    <i r="2">
      <x v="5"/>
    </i>
    <i>
      <x v="5818"/>
      <x v="2"/>
      <x v="3"/>
    </i>
    <i r="2">
      <x v="1"/>
    </i>
    <i r="2">
      <x/>
    </i>
    <i>
      <x v="5819"/>
      <x v="4"/>
      <x v="9"/>
    </i>
    <i>
      <x v="5820"/>
      <x v="4"/>
      <x v="10"/>
    </i>
    <i r="2">
      <x v="7"/>
    </i>
    <i>
      <x v="5821"/>
      <x v="5"/>
      <x/>
    </i>
    <i r="1">
      <x v="4"/>
      <x v="10"/>
    </i>
    <i>
      <x v="5822"/>
      <x v="4"/>
      <x v="9"/>
    </i>
    <i r="2">
      <x v="6"/>
    </i>
    <i>
      <x v="5823"/>
      <x v="4"/>
      <x v="5"/>
    </i>
    <i>
      <x v="5824"/>
      <x v="1"/>
      <x v="10"/>
    </i>
    <i r="2">
      <x v="6"/>
    </i>
    <i>
      <x v="5825"/>
      <x v="4"/>
      <x v="10"/>
    </i>
    <i r="2">
      <x v="2"/>
    </i>
    <i r="2">
      <x v="8"/>
    </i>
    <i>
      <x v="5826"/>
      <x v="3"/>
      <x v="1"/>
    </i>
    <i>
      <x v="5827"/>
      <x v="3"/>
      <x v="3"/>
    </i>
    <i r="1">
      <x v="4"/>
      <x v="8"/>
    </i>
    <i>
      <x v="5828"/>
      <x v="4"/>
      <x v="7"/>
    </i>
    <i>
      <x v="5829"/>
      <x v="2"/>
      <x v="3"/>
    </i>
    <i>
      <x v="5830"/>
      <x v="2"/>
      <x v="9"/>
    </i>
    <i>
      <x v="5831"/>
      <x v="2"/>
      <x/>
    </i>
    <i>
      <x v="5832"/>
      <x v="2"/>
      <x v="5"/>
    </i>
    <i>
      <x v="5833"/>
      <x v="2"/>
      <x v="1"/>
    </i>
    <i>
      <x v="5834"/>
      <x v="2"/>
      <x v="2"/>
    </i>
    <i r="2">
      <x v="6"/>
    </i>
    <i>
      <x v="5835"/>
      <x v="5"/>
      <x v="5"/>
    </i>
    <i>
      <x v="5836"/>
      <x v="3"/>
      <x v="9"/>
    </i>
    <i>
      <x v="5837"/>
      <x v="2"/>
      <x/>
    </i>
    <i>
      <x v="5838"/>
      <x v="3"/>
      <x v="4"/>
    </i>
    <i>
      <x v="5839"/>
      <x v="2"/>
      <x v="2"/>
    </i>
    <i>
      <x v="5840"/>
      <x v="2"/>
      <x v="9"/>
    </i>
    <i>
      <x v="5841"/>
      <x v="2"/>
      <x v="10"/>
    </i>
    <i>
      <x v="5842"/>
      <x v="1"/>
      <x v="2"/>
    </i>
    <i r="1">
      <x v="2"/>
      <x v="1"/>
    </i>
    <i>
      <x v="5843"/>
      <x v="5"/>
      <x v="8"/>
    </i>
    <i r="2">
      <x v="4"/>
    </i>
    <i>
      <x v="5844"/>
      <x v="3"/>
      <x v="5"/>
    </i>
    <i r="2">
      <x v="6"/>
    </i>
    <i>
      <x v="5845"/>
      <x v="3"/>
      <x v="5"/>
    </i>
    <i>
      <x v="5846"/>
      <x v="5"/>
      <x v="8"/>
    </i>
    <i>
      <x v="5847"/>
      <x v="5"/>
      <x v="8"/>
    </i>
    <i>
      <x v="5848"/>
      <x v="5"/>
      <x v="6"/>
    </i>
    <i>
      <x v="5849"/>
      <x v="5"/>
      <x v="9"/>
    </i>
    <i r="2">
      <x v="8"/>
    </i>
    <i>
      <x v="5850"/>
      <x v="5"/>
      <x v="4"/>
    </i>
    <i>
      <x v="5851"/>
      <x v="5"/>
      <x v="7"/>
    </i>
    <i>
      <x v="5852"/>
      <x v="4"/>
      <x v="7"/>
    </i>
    <i>
      <x v="5853"/>
      <x v="5"/>
      <x/>
    </i>
    <i>
      <x v="5854"/>
      <x/>
      <x v="10"/>
    </i>
    <i r="2">
      <x v="6"/>
    </i>
    <i>
      <x v="5855"/>
      <x/>
      <x v="8"/>
    </i>
    <i>
      <x v="5856"/>
      <x v="3"/>
      <x v="7"/>
    </i>
    <i r="1">
      <x/>
      <x v="2"/>
    </i>
    <i>
      <x v="5857"/>
      <x v="2"/>
      <x v="10"/>
    </i>
    <i>
      <x v="5858"/>
      <x v="2"/>
      <x v="3"/>
    </i>
    <i r="2">
      <x v="8"/>
    </i>
    <i>
      <x v="5859"/>
      <x v="3"/>
      <x v="7"/>
    </i>
    <i>
      <x v="5860"/>
      <x v="3"/>
      <x v="7"/>
    </i>
    <i>
      <x v="5861"/>
      <x/>
      <x v="9"/>
    </i>
    <i r="2">
      <x v="5"/>
    </i>
    <i r="2">
      <x/>
    </i>
    <i>
      <x v="5862"/>
      <x/>
      <x v="1"/>
    </i>
    <i r="2">
      <x v="7"/>
    </i>
    <i>
      <x v="5863"/>
      <x v="5"/>
      <x v="9"/>
    </i>
    <i>
      <x v="5864"/>
      <x v="5"/>
      <x v="5"/>
    </i>
    <i r="1">
      <x v="4"/>
      <x v="9"/>
    </i>
    <i>
      <x v="5865"/>
      <x v="5"/>
      <x v="9"/>
    </i>
    <i>
      <x v="5866"/>
      <x v="1"/>
      <x/>
    </i>
    <i>
      <x v="5867"/>
      <x/>
      <x v="1"/>
    </i>
    <i>
      <x v="5868"/>
      <x/>
      <x v="3"/>
    </i>
    <i>
      <x v="5869"/>
      <x v="2"/>
      <x v="9"/>
    </i>
    <i>
      <x v="5870"/>
      <x v="2"/>
      <x v="2"/>
    </i>
    <i>
      <x v="5871"/>
      <x v="3"/>
      <x v="2"/>
    </i>
    <i r="1">
      <x/>
      <x v="6"/>
    </i>
    <i r="1">
      <x v="5"/>
      <x v="6"/>
    </i>
    <i>
      <x v="5872"/>
      <x v="2"/>
      <x v="10"/>
    </i>
    <i>
      <x v="5873"/>
      <x/>
      <x v="7"/>
    </i>
    <i>
      <x v="5874"/>
      <x v="3"/>
      <x v="8"/>
    </i>
    <i>
      <x v="5875"/>
      <x v="1"/>
      <x v="10"/>
    </i>
    <i r="2">
      <x v="5"/>
    </i>
    <i>
      <x v="5876"/>
      <x v="5"/>
      <x v="10"/>
    </i>
    <i>
      <x v="5877"/>
      <x v="5"/>
      <x/>
    </i>
    <i>
      <x v="5878"/>
      <x v="2"/>
      <x v="6"/>
    </i>
    <i>
      <x v="5879"/>
      <x v="5"/>
      <x v="4"/>
    </i>
    <i>
      <x v="5880"/>
      <x v="2"/>
      <x v="7"/>
    </i>
    <i>
      <x v="5881"/>
      <x v="3"/>
      <x v="6"/>
    </i>
    <i>
      <x v="5882"/>
      <x v="4"/>
      <x v="3"/>
    </i>
    <i>
      <x v="5883"/>
      <x v="4"/>
      <x v="6"/>
    </i>
    <i>
      <x v="5884"/>
      <x v="5"/>
      <x v="2"/>
    </i>
    <i r="2">
      <x v="8"/>
    </i>
    <i>
      <x v="5885"/>
      <x v="5"/>
      <x v="9"/>
    </i>
    <i>
      <x v="5886"/>
      <x v="2"/>
      <x v="6"/>
    </i>
    <i>
      <x v="5887"/>
      <x v="2"/>
      <x v="10"/>
    </i>
    <i r="2">
      <x v="4"/>
    </i>
    <i>
      <x v="5888"/>
      <x v="3"/>
      <x v="7"/>
    </i>
    <i>
      <x v="5889"/>
      <x v="3"/>
      <x v="9"/>
    </i>
    <i>
      <x v="5890"/>
      <x/>
      <x v="9"/>
    </i>
    <i>
      <x v="5891"/>
      <x v="2"/>
      <x v="6"/>
    </i>
    <i>
      <x v="5892"/>
      <x v="2"/>
      <x v="6"/>
    </i>
    <i>
      <x v="5893"/>
      <x/>
      <x v="8"/>
    </i>
    <i r="1">
      <x v="4"/>
      <x v="10"/>
    </i>
    <i>
      <x v="5894"/>
      <x v="2"/>
      <x/>
    </i>
    <i>
      <x v="5895"/>
      <x v="2"/>
      <x v="3"/>
    </i>
    <i>
      <x v="5896"/>
      <x v="2"/>
      <x v="2"/>
    </i>
    <i>
      <x v="5897"/>
      <x v="5"/>
      <x/>
    </i>
    <i>
      <x v="5898"/>
      <x v="3"/>
      <x v="1"/>
    </i>
    <i>
      <x v="5899"/>
      <x v="3"/>
      <x v="4"/>
    </i>
    <i r="2">
      <x v="6"/>
    </i>
    <i>
      <x v="5900"/>
      <x v="1"/>
      <x/>
    </i>
    <i>
      <x v="5901"/>
      <x v="1"/>
      <x v="8"/>
    </i>
    <i>
      <x v="5902"/>
      <x v="4"/>
      <x v="3"/>
    </i>
    <i>
      <x v="5903"/>
      <x v="2"/>
      <x v="4"/>
    </i>
    <i>
      <x v="5904"/>
      <x v="4"/>
      <x v="3"/>
    </i>
    <i>
      <x v="5905"/>
      <x v="1"/>
      <x v="2"/>
    </i>
    <i>
      <x v="5906"/>
      <x v="3"/>
      <x v="2"/>
    </i>
    <i r="1">
      <x v="4"/>
      <x v="10"/>
    </i>
    <i r="2">
      <x v="6"/>
    </i>
    <i r="1">
      <x v="2"/>
      <x v="1"/>
    </i>
    <i r="2">
      <x v="2"/>
    </i>
    <i>
      <x v="5907"/>
      <x v="3"/>
      <x v="9"/>
    </i>
    <i>
      <x v="5908"/>
      <x v="3"/>
      <x v="10"/>
    </i>
    <i>
      <x v="5909"/>
      <x v="1"/>
      <x v="2"/>
    </i>
    <i r="2">
      <x/>
    </i>
    <i>
      <x v="5910"/>
      <x v="2"/>
      <x v="5"/>
    </i>
    <i>
      <x v="5911"/>
      <x v="2"/>
      <x v="5"/>
    </i>
    <i>
      <x v="5912"/>
      <x v="2"/>
      <x v="2"/>
    </i>
    <i>
      <x v="5913"/>
      <x v="3"/>
      <x v="8"/>
    </i>
    <i r="2">
      <x v="7"/>
    </i>
    <i>
      <x v="5914"/>
      <x v="4"/>
      <x v="3"/>
    </i>
    <i>
      <x v="5915"/>
      <x v="4"/>
      <x v="5"/>
    </i>
    <i>
      <x v="5916"/>
      <x v="4"/>
      <x v="8"/>
    </i>
    <i>
      <x v="5917"/>
      <x v="2"/>
      <x v="3"/>
    </i>
    <i r="2">
      <x/>
    </i>
    <i>
      <x v="5918"/>
      <x v="2"/>
      <x v="8"/>
    </i>
    <i>
      <x v="5919"/>
      <x v="4"/>
      <x v="2"/>
    </i>
    <i r="2">
      <x v="4"/>
    </i>
    <i>
      <x v="5920"/>
      <x v="4"/>
      <x v="10"/>
    </i>
    <i>
      <x v="5921"/>
      <x v="4"/>
      <x v="10"/>
    </i>
    <i r="2">
      <x v="9"/>
    </i>
    <i r="2">
      <x v="6"/>
    </i>
    <i>
      <x v="5922"/>
      <x v="4"/>
      <x v="9"/>
    </i>
    <i r="2">
      <x/>
    </i>
    <i>
      <x v="5923"/>
      <x v="4"/>
      <x v="3"/>
    </i>
    <i r="2">
      <x v="7"/>
    </i>
    <i>
      <x v="5924"/>
      <x v="2"/>
      <x v="6"/>
    </i>
    <i>
      <x v="5925"/>
      <x v="5"/>
      <x v="2"/>
    </i>
    <i r="1">
      <x v="4"/>
      <x/>
    </i>
    <i>
      <x v="5926"/>
      <x v="2"/>
      <x v="2"/>
    </i>
    <i>
      <x v="5927"/>
      <x v="2"/>
      <x v="9"/>
    </i>
    <i>
      <x v="5928"/>
      <x v="2"/>
      <x v="4"/>
    </i>
    <i>
      <x v="5929"/>
      <x v="2"/>
      <x v="3"/>
    </i>
    <i r="2">
      <x v="4"/>
    </i>
    <i r="2">
      <x v="5"/>
    </i>
    <i>
      <x v="5930"/>
      <x v="2"/>
      <x v="8"/>
    </i>
    <i>
      <x v="5931"/>
      <x v="2"/>
      <x v="9"/>
    </i>
    <i>
      <x v="5932"/>
      <x v="3"/>
      <x v="10"/>
    </i>
    <i>
      <x v="5933"/>
      <x v="3"/>
      <x v="6"/>
    </i>
    <i r="1">
      <x v="1"/>
      <x v="4"/>
    </i>
    <i>
      <x v="5934"/>
      <x v="3"/>
      <x v="1"/>
    </i>
    <i r="1">
      <x/>
      <x v="3"/>
    </i>
    <i r="1">
      <x v="2"/>
      <x v="8"/>
    </i>
    <i>
      <x v="5935"/>
      <x v="3"/>
      <x v="7"/>
    </i>
    <i>
      <x v="5936"/>
      <x/>
      <x v="9"/>
    </i>
    <i>
      <x v="5937"/>
      <x v="2"/>
      <x v="1"/>
    </i>
    <i r="2">
      <x v="7"/>
    </i>
    <i>
      <x v="5938"/>
      <x v="3"/>
      <x v="2"/>
    </i>
    <i r="1">
      <x v="5"/>
      <x v="1"/>
    </i>
    <i>
      <x v="5939"/>
      <x v="3"/>
      <x v="8"/>
    </i>
    <i>
      <x v="5940"/>
      <x v="3"/>
      <x v="3"/>
    </i>
    <i>
      <x v="5941"/>
      <x v="3"/>
      <x v="8"/>
    </i>
    <i r="1">
      <x v="2"/>
      <x v="10"/>
    </i>
    <i r="2">
      <x v="1"/>
    </i>
    <i>
      <x v="5942"/>
      <x v="3"/>
      <x v="6"/>
    </i>
    <i>
      <x v="5943"/>
      <x v="2"/>
      <x v="2"/>
    </i>
    <i r="2">
      <x v="8"/>
    </i>
    <i r="2">
      <x v="6"/>
    </i>
    <i>
      <x v="5944"/>
      <x v="3"/>
      <x v="7"/>
    </i>
    <i>
      <x v="5945"/>
      <x v="2"/>
      <x v="2"/>
    </i>
    <i>
      <x v="5946"/>
      <x v="2"/>
      <x v="5"/>
    </i>
    <i>
      <x v="5947"/>
      <x v="4"/>
      <x v="4"/>
    </i>
    <i>
      <x v="5948"/>
      <x v="3"/>
      <x v="10"/>
    </i>
    <i>
      <x v="5949"/>
      <x v="2"/>
      <x v="1"/>
    </i>
    <i>
      <x v="5950"/>
      <x v="3"/>
      <x v="2"/>
    </i>
    <i>
      <x v="5951"/>
      <x v="4"/>
      <x v="1"/>
    </i>
    <i r="1">
      <x v="2"/>
      <x v="8"/>
    </i>
    <i r="2">
      <x v="4"/>
    </i>
    <i>
      <x v="5952"/>
      <x v="2"/>
      <x v="6"/>
    </i>
    <i>
      <x v="5953"/>
      <x v="2"/>
      <x v="2"/>
    </i>
    <i r="2">
      <x v="7"/>
    </i>
    <i>
      <x v="5954"/>
      <x v="1"/>
      <x v="1"/>
    </i>
    <i r="2">
      <x v="2"/>
    </i>
    <i>
      <x v="5955"/>
      <x v="2"/>
      <x v="10"/>
    </i>
    <i>
      <x v="5956"/>
      <x v="3"/>
      <x/>
    </i>
    <i>
      <x v="5957"/>
      <x v="3"/>
      <x v="3"/>
    </i>
    <i r="2">
      <x v="1"/>
    </i>
    <i>
      <x v="5958"/>
      <x v="3"/>
      <x v="7"/>
    </i>
    <i>
      <x v="5959"/>
      <x/>
      <x v="1"/>
    </i>
    <i>
      <x v="5960"/>
      <x/>
      <x v="10"/>
    </i>
    <i>
      <x v="5961"/>
      <x v="2"/>
      <x v="3"/>
    </i>
    <i>
      <x v="5962"/>
      <x/>
      <x v="8"/>
    </i>
    <i>
      <x v="5963"/>
      <x/>
      <x v="6"/>
    </i>
    <i>
      <x v="5964"/>
      <x v="1"/>
      <x v="9"/>
    </i>
    <i>
      <x v="5965"/>
      <x v="2"/>
      <x v="9"/>
    </i>
    <i>
      <x v="5966"/>
      <x v="3"/>
      <x v="10"/>
    </i>
    <i>
      <x v="5967"/>
      <x v="1"/>
      <x v="10"/>
    </i>
    <i>
      <x v="5968"/>
      <x v="1"/>
      <x v="10"/>
    </i>
    <i>
      <x v="5969"/>
      <x v="3"/>
      <x v="6"/>
    </i>
    <i>
      <x v="5970"/>
      <x v="3"/>
      <x v="3"/>
    </i>
    <i>
      <x v="5971"/>
      <x/>
      <x v="5"/>
    </i>
    <i r="2">
      <x/>
    </i>
    <i>
      <x v="5972"/>
      <x v="3"/>
      <x v="1"/>
    </i>
    <i r="2">
      <x v="9"/>
    </i>
    <i r="2">
      <x v="8"/>
    </i>
    <i>
      <x v="5973"/>
      <x v="3"/>
      <x v="6"/>
    </i>
    <i>
      <x v="5974"/>
      <x v="3"/>
      <x v="9"/>
    </i>
    <i>
      <x v="5975"/>
      <x v="5"/>
      <x v="2"/>
    </i>
    <i>
      <x v="5976"/>
      <x v="5"/>
      <x v="1"/>
    </i>
    <i>
      <x v="5977"/>
      <x v="1"/>
      <x v="8"/>
    </i>
    <i r="1">
      <x v="5"/>
      <x/>
    </i>
    <i>
      <x v="5978"/>
      <x v="1"/>
      <x v="1"/>
    </i>
    <i r="2">
      <x v="2"/>
    </i>
    <i>
      <x v="5979"/>
      <x v="4"/>
      <x v="2"/>
    </i>
    <i>
      <x v="5980"/>
      <x v="3"/>
      <x v="1"/>
    </i>
    <i r="2">
      <x v="9"/>
    </i>
    <i r="2">
      <x v="7"/>
    </i>
    <i>
      <x v="5981"/>
      <x v="2"/>
      <x v="4"/>
    </i>
    <i>
      <x v="5982"/>
      <x v="3"/>
      <x v="5"/>
    </i>
    <i>
      <x v="5983"/>
      <x v="5"/>
      <x v="10"/>
    </i>
    <i r="2">
      <x v="1"/>
    </i>
    <i r="2">
      <x v="7"/>
    </i>
    <i>
      <x v="5984"/>
      <x v="5"/>
      <x v="3"/>
    </i>
    <i>
      <x v="5985"/>
      <x v="5"/>
      <x v="6"/>
    </i>
    <i>
      <x v="5986"/>
      <x v="5"/>
      <x/>
    </i>
    <i>
      <x v="5987"/>
      <x v="1"/>
      <x v="7"/>
    </i>
    <i>
      <x v="5988"/>
      <x v="4"/>
      <x v="2"/>
    </i>
    <i>
      <x v="5989"/>
      <x v="5"/>
      <x v="10"/>
    </i>
    <i r="2">
      <x/>
    </i>
    <i>
      <x v="5990"/>
      <x v="5"/>
      <x v="4"/>
    </i>
    <i r="2">
      <x v="7"/>
    </i>
    <i>
      <x v="5991"/>
      <x v="5"/>
      <x v="5"/>
    </i>
    <i>
      <x v="5992"/>
      <x v="5"/>
      <x v="2"/>
    </i>
    <i>
      <x v="5993"/>
      <x/>
      <x v="7"/>
    </i>
    <i>
      <x v="5994"/>
      <x/>
      <x v="9"/>
    </i>
    <i>
      <x v="5995"/>
      <x/>
      <x v="7"/>
    </i>
    <i>
      <x v="5996"/>
      <x v="4"/>
      <x v="1"/>
    </i>
    <i>
      <x v="5997"/>
      <x v="4"/>
      <x/>
    </i>
    <i>
      <x v="5998"/>
      <x v="4"/>
      <x v="8"/>
    </i>
    <i>
      <x v="5999"/>
      <x v="4"/>
      <x v="10"/>
    </i>
    <i>
      <x v="6000"/>
      <x v="1"/>
      <x v="8"/>
    </i>
    <i>
      <x v="6001"/>
      <x v="2"/>
      <x v="8"/>
    </i>
    <i>
      <x v="6002"/>
      <x v="2"/>
      <x v="6"/>
    </i>
    <i>
      <x v="6003"/>
      <x v="2"/>
      <x v="1"/>
    </i>
    <i r="2">
      <x v="5"/>
    </i>
    <i>
      <x v="6004"/>
      <x v="2"/>
      <x v="1"/>
    </i>
    <i>
      <x v="6005"/>
      <x v="1"/>
      <x v="1"/>
    </i>
    <i>
      <x v="6006"/>
      <x/>
      <x/>
    </i>
    <i r="1">
      <x v="5"/>
      <x v="3"/>
    </i>
    <i r="1">
      <x v="4"/>
      <x v="3"/>
    </i>
    <i>
      <x v="6007"/>
      <x v="1"/>
      <x v="9"/>
    </i>
    <i>
      <x v="6008"/>
      <x v="2"/>
      <x v="1"/>
    </i>
    <i>
      <x v="6009"/>
      <x v="4"/>
      <x/>
    </i>
    <i r="1">
      <x v="2"/>
      <x v="7"/>
    </i>
    <i>
      <x v="6010"/>
      <x v="5"/>
      <x v="4"/>
    </i>
    <i>
      <x v="6011"/>
      <x v="2"/>
      <x v="9"/>
    </i>
    <i r="2">
      <x v="4"/>
    </i>
    <i>
      <x v="6012"/>
      <x v="1"/>
      <x v="5"/>
    </i>
    <i>
      <x v="6013"/>
      <x v="1"/>
      <x v="3"/>
    </i>
    <i>
      <x v="6014"/>
      <x/>
      <x v="10"/>
    </i>
    <i r="1">
      <x v="4"/>
      <x v="1"/>
    </i>
    <i>
      <x v="6015"/>
      <x v="4"/>
      <x v="1"/>
    </i>
    <i>
      <x v="6016"/>
      <x v="2"/>
      <x v="8"/>
    </i>
    <i>
      <x v="6017"/>
      <x/>
      <x v="10"/>
    </i>
    <i>
      <x v="6018"/>
      <x v="2"/>
      <x v="4"/>
    </i>
    <i>
      <x v="6019"/>
      <x/>
      <x v="10"/>
    </i>
    <i>
      <x v="6020"/>
      <x v="3"/>
      <x v="4"/>
    </i>
    <i r="1">
      <x v="5"/>
      <x v="8"/>
    </i>
    <i>
      <x v="6021"/>
      <x v="4"/>
      <x/>
    </i>
    <i>
      <x v="6022"/>
      <x v="4"/>
      <x v="10"/>
    </i>
    <i>
      <x v="6023"/>
      <x v="3"/>
      <x/>
    </i>
    <i>
      <x v="6024"/>
      <x v="3"/>
      <x v="9"/>
    </i>
    <i>
      <x v="6025"/>
      <x v="3"/>
      <x v="3"/>
    </i>
    <i r="2">
      <x v="1"/>
    </i>
    <i>
      <x v="6026"/>
      <x v="3"/>
      <x v="5"/>
    </i>
    <i>
      <x v="6027"/>
      <x v="3"/>
      <x/>
    </i>
    <i>
      <x v="6028"/>
      <x/>
      <x v="7"/>
    </i>
    <i>
      <x v="6029"/>
      <x v="1"/>
      <x v="10"/>
    </i>
    <i>
      <x v="6030"/>
      <x v="2"/>
      <x/>
    </i>
    <i>
      <x v="6031"/>
      <x v="5"/>
      <x v="9"/>
    </i>
    <i>
      <x v="6032"/>
      <x v="5"/>
      <x v="2"/>
    </i>
    <i r="2">
      <x v="6"/>
    </i>
    <i>
      <x v="6033"/>
      <x/>
      <x v="10"/>
    </i>
    <i r="2">
      <x v="2"/>
    </i>
    <i r="2">
      <x v="7"/>
    </i>
    <i>
      <x v="6034"/>
      <x/>
      <x v="9"/>
    </i>
    <i r="2">
      <x v="2"/>
    </i>
    <i>
      <x v="6035"/>
      <x v="3"/>
      <x v="2"/>
    </i>
    <i>
      <x v="6036"/>
      <x v="3"/>
      <x v="10"/>
    </i>
    <i r="2">
      <x v="4"/>
    </i>
    <i r="2">
      <x v="5"/>
    </i>
    <i>
      <x v="6037"/>
      <x v="5"/>
      <x v="3"/>
    </i>
    <i r="2">
      <x v="9"/>
    </i>
    <i r="2">
      <x v="4"/>
    </i>
    <i r="2">
      <x/>
    </i>
    <i>
      <x v="6038"/>
      <x v="3"/>
      <x v="1"/>
    </i>
    <i r="2">
      <x v="2"/>
    </i>
    <i r="1">
      <x v="2"/>
      <x v="5"/>
    </i>
    <i r="2">
      <x v="7"/>
    </i>
    <i>
      <x v="6039"/>
      <x v="2"/>
      <x v="5"/>
    </i>
    <i>
      <x v="6040"/>
      <x v="3"/>
      <x v="10"/>
    </i>
    <i r="2">
      <x v="7"/>
    </i>
    <i>
      <x v="6041"/>
      <x v="2"/>
      <x v="5"/>
    </i>
    <i>
      <x v="6042"/>
      <x v="2"/>
      <x v="8"/>
    </i>
    <i>
      <x v="6043"/>
      <x v="2"/>
      <x v="5"/>
    </i>
    <i>
      <x v="6044"/>
      <x/>
      <x v="9"/>
    </i>
    <i>
      <x v="6045"/>
      <x v="1"/>
      <x v="3"/>
    </i>
    <i>
      <x v="6046"/>
      <x v="3"/>
      <x v="9"/>
    </i>
    <i>
      <x v="6047"/>
      <x v="2"/>
      <x v="10"/>
    </i>
    <i>
      <x v="6048"/>
      <x v="2"/>
      <x v="9"/>
    </i>
    <i>
      <x v="6049"/>
      <x v="3"/>
      <x v="10"/>
    </i>
    <i r="2">
      <x v="2"/>
    </i>
    <i>
      <x v="6050"/>
      <x v="2"/>
      <x v="3"/>
    </i>
    <i>
      <x v="6051"/>
      <x v="3"/>
      <x v="1"/>
    </i>
    <i r="2">
      <x v="6"/>
    </i>
    <i>
      <x v="6052"/>
      <x v="3"/>
      <x/>
    </i>
    <i>
      <x v="6053"/>
      <x v="2"/>
      <x v="8"/>
    </i>
    <i>
      <x v="6054"/>
      <x v="3"/>
      <x v="5"/>
    </i>
    <i>
      <x v="6055"/>
      <x v="1"/>
      <x v="2"/>
    </i>
    <i>
      <x v="6056"/>
      <x v="5"/>
      <x v="10"/>
    </i>
    <i r="2">
      <x/>
    </i>
    <i>
      <x v="6057"/>
      <x v="5"/>
      <x/>
    </i>
    <i>
      <x v="6058"/>
      <x v="3"/>
      <x v="9"/>
    </i>
    <i>
      <x v="6059"/>
      <x v="3"/>
      <x/>
    </i>
    <i r="1">
      <x/>
      <x v="4"/>
    </i>
    <i>
      <x v="6060"/>
      <x v="2"/>
      <x v="10"/>
    </i>
    <i r="2">
      <x v="2"/>
    </i>
    <i r="2">
      <x v="8"/>
    </i>
    <i r="2">
      <x/>
    </i>
    <i>
      <x v="6061"/>
      <x v="3"/>
      <x v="10"/>
    </i>
    <i r="1">
      <x v="2"/>
      <x v="4"/>
    </i>
    <i>
      <x v="6062"/>
      <x v="5"/>
      <x v="7"/>
    </i>
    <i r="1">
      <x v="4"/>
      <x v="1"/>
    </i>
    <i>
      <x v="6063"/>
      <x v="5"/>
      <x v="1"/>
    </i>
    <i>
      <x v="6064"/>
      <x v="5"/>
      <x v="5"/>
    </i>
    <i>
      <x v="6065"/>
      <x v="5"/>
      <x v="7"/>
    </i>
    <i>
      <x v="6066"/>
      <x/>
      <x v="3"/>
    </i>
    <i r="1">
      <x v="4"/>
      <x/>
    </i>
    <i>
      <x v="6067"/>
      <x v="3"/>
      <x v="4"/>
    </i>
    <i>
      <x v="6068"/>
      <x v="5"/>
      <x v="6"/>
    </i>
    <i>
      <x v="6069"/>
      <x v="3"/>
      <x v="1"/>
    </i>
    <i r="2">
      <x v="5"/>
    </i>
    <i>
      <x v="6070"/>
      <x v="5"/>
      <x v="4"/>
    </i>
    <i r="1">
      <x v="4"/>
      <x v="1"/>
    </i>
    <i r="2">
      <x v="9"/>
    </i>
    <i>
      <x v="6071"/>
      <x v="5"/>
      <x v="9"/>
    </i>
    <i>
      <x v="6072"/>
      <x v="3"/>
      <x v="9"/>
    </i>
    <i r="2">
      <x/>
    </i>
    <i r="2">
      <x v="6"/>
    </i>
    <i>
      <x v="6073"/>
      <x v="1"/>
      <x v="5"/>
    </i>
    <i>
      <x v="6074"/>
      <x v="1"/>
      <x v="8"/>
    </i>
    <i>
      <x v="6075"/>
      <x v="2"/>
      <x v="3"/>
    </i>
    <i>
      <x v="6076"/>
      <x v="4"/>
      <x v="9"/>
    </i>
    <i>
      <x v="6077"/>
      <x v="2"/>
      <x v="7"/>
    </i>
    <i>
      <x v="6078"/>
      <x v="2"/>
      <x/>
    </i>
    <i r="2">
      <x v="7"/>
    </i>
    <i>
      <x v="6079"/>
      <x v="1"/>
      <x v="8"/>
    </i>
    <i>
      <x v="6080"/>
      <x v="5"/>
      <x v="7"/>
    </i>
    <i>
      <x v="6081"/>
      <x v="2"/>
      <x v="8"/>
    </i>
    <i>
      <x v="6082"/>
      <x v="2"/>
      <x v="2"/>
    </i>
    <i r="2">
      <x v="7"/>
    </i>
    <i>
      <x v="6083"/>
      <x v="2"/>
      <x v="3"/>
    </i>
    <i>
      <x v="6084"/>
      <x v="2"/>
      <x v="3"/>
    </i>
    <i>
      <x v="6085"/>
      <x v="2"/>
      <x v="1"/>
    </i>
    <i>
      <x v="6086"/>
      <x v="3"/>
      <x v="9"/>
    </i>
    <i r="1">
      <x v="5"/>
      <x v="10"/>
    </i>
    <i r="1">
      <x v="2"/>
      <x v="3"/>
    </i>
    <i>
      <x v="6087"/>
      <x v="3"/>
      <x v="2"/>
    </i>
    <i r="1">
      <x v="2"/>
      <x v="7"/>
    </i>
    <i>
      <x v="6088"/>
      <x v="3"/>
      <x v="5"/>
    </i>
    <i>
      <x v="6089"/>
      <x v="5"/>
      <x v="9"/>
    </i>
    <i>
      <x v="6090"/>
      <x v="5"/>
      <x v="7"/>
    </i>
    <i>
      <x v="6091"/>
      <x v="2"/>
      <x v="6"/>
    </i>
    <i>
      <x v="6092"/>
      <x v="2"/>
      <x v="4"/>
    </i>
    <i>
      <x v="6093"/>
      <x v="2"/>
      <x v="5"/>
    </i>
    <i>
      <x v="6094"/>
      <x v="2"/>
      <x v="10"/>
    </i>
    <i>
      <x v="6095"/>
      <x v="1"/>
      <x v="8"/>
    </i>
    <i>
      <x v="6096"/>
      <x v="3"/>
      <x/>
    </i>
    <i>
      <x v="6097"/>
      <x v="3"/>
      <x/>
    </i>
    <i>
      <x v="6098"/>
      <x v="5"/>
      <x v="1"/>
    </i>
    <i>
      <x v="6099"/>
      <x/>
      <x v="3"/>
    </i>
    <i r="2">
      <x v="2"/>
    </i>
    <i r="1">
      <x v="5"/>
      <x v="5"/>
    </i>
    <i r="2">
      <x v="6"/>
    </i>
    <i>
      <x v="6100"/>
      <x/>
      <x v="10"/>
    </i>
    <i r="2">
      <x v="1"/>
    </i>
    <i>
      <x v="6101"/>
      <x v="3"/>
      <x v="5"/>
    </i>
    <i r="2">
      <x v="6"/>
    </i>
    <i>
      <x v="6102"/>
      <x/>
      <x v="7"/>
    </i>
    <i>
      <x v="6103"/>
      <x/>
      <x/>
    </i>
    <i>
      <x v="6104"/>
      <x/>
      <x v="8"/>
    </i>
    <i>
      <x v="6105"/>
      <x/>
      <x v="3"/>
    </i>
    <i>
      <x v="6106"/>
      <x/>
      <x v="10"/>
    </i>
    <i>
      <x v="6107"/>
      <x v="4"/>
      <x v="4"/>
    </i>
    <i>
      <x v="6108"/>
      <x v="4"/>
      <x v="8"/>
    </i>
    <i>
      <x v="6109"/>
      <x/>
      <x v="5"/>
    </i>
    <i>
      <x v="6110"/>
      <x/>
      <x v="8"/>
    </i>
    <i r="2">
      <x v="4"/>
    </i>
    <i>
      <x v="6111"/>
      <x v="3"/>
      <x v="2"/>
    </i>
    <i r="2">
      <x v="6"/>
    </i>
    <i>
      <x v="6112"/>
      <x v="4"/>
      <x v="10"/>
    </i>
    <i>
      <x v="6113"/>
      <x v="4"/>
      <x v="10"/>
    </i>
    <i>
      <x v="6114"/>
      <x v="5"/>
      <x v="10"/>
    </i>
    <i r="2">
      <x v="1"/>
    </i>
    <i r="2">
      <x/>
    </i>
    <i>
      <x v="6115"/>
      <x v="2"/>
      <x v="10"/>
    </i>
    <i r="2">
      <x v="4"/>
    </i>
    <i>
      <x v="6116"/>
      <x v="2"/>
      <x v="7"/>
    </i>
    <i>
      <x v="6117"/>
      <x v="2"/>
      <x v="7"/>
    </i>
    <i>
      <x v="6118"/>
      <x v="5"/>
      <x v="3"/>
    </i>
    <i>
      <x v="6119"/>
      <x/>
      <x v="3"/>
    </i>
    <i>
      <x v="6120"/>
      <x v="5"/>
      <x/>
    </i>
    <i>
      <x v="6121"/>
      <x/>
      <x v="5"/>
    </i>
    <i>
      <x v="6122"/>
      <x v="1"/>
      <x v="4"/>
    </i>
    <i>
      <x v="6123"/>
      <x v="3"/>
      <x v="6"/>
    </i>
    <i>
      <x v="6124"/>
      <x/>
      <x v="4"/>
    </i>
    <i r="1">
      <x v="5"/>
      <x v="10"/>
    </i>
    <i r="2">
      <x v="4"/>
    </i>
    <i>
      <x v="6125"/>
      <x/>
      <x v="1"/>
    </i>
    <i>
      <x v="6126"/>
      <x/>
      <x v="1"/>
    </i>
    <i>
      <x v="6127"/>
      <x/>
      <x v="10"/>
    </i>
    <i>
      <x v="6128"/>
      <x/>
      <x/>
    </i>
    <i>
      <x v="6129"/>
      <x v="4"/>
      <x v="3"/>
    </i>
    <i r="2">
      <x v="6"/>
    </i>
    <i>
      <x v="6130"/>
      <x v="5"/>
      <x v="8"/>
    </i>
    <i>
      <x v="6131"/>
      <x v="2"/>
      <x v="8"/>
    </i>
    <i r="2">
      <x v="7"/>
    </i>
    <i>
      <x v="6132"/>
      <x v="2"/>
      <x v="8"/>
    </i>
    <i>
      <x v="6133"/>
      <x/>
      <x v="5"/>
    </i>
    <i>
      <x v="6134"/>
      <x v="3"/>
      <x v="1"/>
    </i>
    <i r="2">
      <x/>
    </i>
    <i r="1">
      <x v="2"/>
      <x/>
    </i>
    <i>
      <x v="6135"/>
      <x v="3"/>
      <x v="4"/>
    </i>
    <i>
      <x v="6136"/>
      <x v="2"/>
      <x v="8"/>
    </i>
    <i r="2">
      <x v="6"/>
    </i>
    <i>
      <x v="6137"/>
      <x v="5"/>
      <x v="5"/>
    </i>
    <i>
      <x v="6138"/>
      <x v="5"/>
      <x v="9"/>
    </i>
    <i>
      <x v="6139"/>
      <x v="5"/>
      <x v="9"/>
    </i>
    <i>
      <x v="6140"/>
      <x/>
      <x v="1"/>
    </i>
    <i r="2">
      <x v="7"/>
    </i>
    <i>
      <x v="6141"/>
      <x v="2"/>
      <x v="5"/>
    </i>
    <i>
      <x v="6142"/>
      <x v="3"/>
      <x v="4"/>
    </i>
    <i>
      <x v="6143"/>
      <x v="3"/>
      <x v="10"/>
    </i>
    <i r="2">
      <x v="7"/>
    </i>
    <i>
      <x v="6144"/>
      <x/>
      <x/>
    </i>
    <i>
      <x v="6145"/>
      <x v="2"/>
      <x v="6"/>
    </i>
    <i>
      <x v="6146"/>
      <x v="5"/>
      <x v="5"/>
    </i>
    <i r="2">
      <x v="6"/>
    </i>
    <i>
      <x v="6147"/>
      <x v="4"/>
      <x v="9"/>
    </i>
    <i r="2">
      <x v="4"/>
    </i>
    <i>
      <x v="6148"/>
      <x v="4"/>
      <x v="6"/>
    </i>
    <i>
      <x v="6149"/>
      <x v="3"/>
      <x v="6"/>
    </i>
    <i>
      <x v="6150"/>
      <x/>
      <x v="5"/>
    </i>
    <i>
      <x v="6151"/>
      <x v="2"/>
      <x v="10"/>
    </i>
    <i r="2">
      <x v="8"/>
    </i>
    <i>
      <x v="6152"/>
      <x v="2"/>
      <x v="2"/>
    </i>
    <i>
      <x v="6153"/>
      <x v="2"/>
      <x v="1"/>
    </i>
    <i r="2">
      <x v="4"/>
    </i>
    <i>
      <x v="6154"/>
      <x v="2"/>
      <x v="10"/>
    </i>
    <i r="2">
      <x v="7"/>
    </i>
    <i>
      <x v="6155"/>
      <x v="2"/>
      <x v="6"/>
    </i>
    <i>
      <x v="6156"/>
      <x v="3"/>
      <x v="10"/>
    </i>
    <i>
      <x v="6157"/>
      <x v="2"/>
      <x v="1"/>
    </i>
    <i>
      <x v="6158"/>
      <x v="5"/>
      <x v="3"/>
    </i>
    <i r="2">
      <x v="6"/>
    </i>
    <i>
      <x v="6159"/>
      <x v="2"/>
      <x v="6"/>
    </i>
    <i>
      <x v="6160"/>
      <x v="2"/>
      <x v="7"/>
    </i>
    <i>
      <x v="6161"/>
      <x v="2"/>
      <x v="10"/>
    </i>
    <i>
      <x v="6162"/>
      <x v="2"/>
      <x v="3"/>
    </i>
    <i>
      <x v="6163"/>
      <x v="2"/>
      <x/>
    </i>
    <i>
      <x v="6164"/>
      <x v="2"/>
      <x v="10"/>
    </i>
    <i>
      <x v="6165"/>
      <x v="5"/>
      <x v="1"/>
    </i>
    <i r="2">
      <x v="8"/>
    </i>
    <i>
      <x v="6166"/>
      <x v="5"/>
      <x v="9"/>
    </i>
    <i>
      <x v="6167"/>
      <x v="5"/>
      <x v="2"/>
    </i>
    <i r="1">
      <x v="2"/>
      <x v="10"/>
    </i>
    <i r="2">
      <x v="3"/>
    </i>
    <i>
      <x v="6168"/>
      <x v="5"/>
      <x v="9"/>
    </i>
    <i>
      <x v="6169"/>
      <x v="2"/>
      <x v="2"/>
    </i>
    <i>
      <x v="6170"/>
      <x v="4"/>
      <x v="1"/>
    </i>
    <i>
      <x v="6171"/>
      <x v="4"/>
      <x v="4"/>
    </i>
    <i r="2">
      <x v="7"/>
    </i>
    <i>
      <x v="6172"/>
      <x v="1"/>
      <x v="2"/>
    </i>
    <i r="1">
      <x v="2"/>
      <x v="8"/>
    </i>
    <i>
      <x v="6173"/>
      <x v="4"/>
      <x/>
    </i>
    <i r="1">
      <x v="2"/>
      <x v="3"/>
    </i>
    <i r="2">
      <x v="8"/>
    </i>
    <i>
      <x v="6174"/>
      <x v="4"/>
      <x v="6"/>
    </i>
    <i r="1">
      <x v="2"/>
      <x/>
    </i>
    <i>
      <x v="6175"/>
      <x v="5"/>
      <x v="6"/>
    </i>
    <i>
      <x v="6176"/>
      <x v="5"/>
      <x/>
    </i>
    <i r="1">
      <x v="4"/>
      <x v="3"/>
    </i>
    <i>
      <x v="6177"/>
      <x v="2"/>
      <x v="4"/>
    </i>
    <i>
      <x v="6178"/>
      <x v="1"/>
      <x v="7"/>
    </i>
    <i>
      <x v="6179"/>
      <x v="4"/>
      <x v="6"/>
    </i>
    <i>
      <x v="6180"/>
      <x v="1"/>
      <x v="5"/>
    </i>
    <i>
      <x v="6181"/>
      <x v="1"/>
      <x/>
    </i>
    <i>
      <x v="6182"/>
      <x v="3"/>
      <x v="3"/>
    </i>
    <i r="1">
      <x v="4"/>
      <x v="10"/>
    </i>
    <i>
      <x v="6183"/>
      <x v="4"/>
      <x v="4"/>
    </i>
    <i>
      <x v="6184"/>
      <x v="4"/>
      <x v="9"/>
    </i>
    <i r="2">
      <x v="4"/>
    </i>
    <i>
      <x v="6185"/>
      <x v="4"/>
      <x v="4"/>
    </i>
    <i>
      <x v="6186"/>
      <x v="3"/>
      <x v="4"/>
    </i>
    <i r="2">
      <x v="7"/>
    </i>
    <i r="2">
      <x v="6"/>
    </i>
    <i>
      <x v="6187"/>
      <x v="2"/>
      <x v="3"/>
    </i>
    <i r="2">
      <x v="2"/>
    </i>
    <i>
      <x v="6188"/>
      <x v="2"/>
      <x v="7"/>
    </i>
    <i>
      <x v="6189"/>
      <x v="3"/>
      <x v="10"/>
    </i>
    <i r="2">
      <x v="4"/>
    </i>
    <i>
      <x v="6190"/>
      <x v="3"/>
      <x v="1"/>
    </i>
    <i r="1">
      <x v="2"/>
      <x v="1"/>
    </i>
    <i>
      <x v="6191"/>
      <x v="3"/>
      <x v="9"/>
    </i>
    <i>
      <x v="6192"/>
      <x v="3"/>
      <x v="3"/>
    </i>
    <i r="2">
      <x v="8"/>
    </i>
    <i r="2">
      <x v="5"/>
    </i>
    <i>
      <x v="6193"/>
      <x v="3"/>
      <x/>
    </i>
    <i>
      <x v="6194"/>
      <x v="3"/>
      <x v="3"/>
    </i>
    <i r="2">
      <x v="8"/>
    </i>
    <i r="2">
      <x v="5"/>
    </i>
    <i>
      <x v="6195"/>
      <x v="3"/>
      <x v="9"/>
    </i>
    <i>
      <x v="6196"/>
      <x v="3"/>
      <x v="6"/>
    </i>
    <i>
      <x v="6197"/>
      <x v="4"/>
      <x v="7"/>
    </i>
    <i>
      <x v="6198"/>
      <x v="4"/>
      <x v="5"/>
    </i>
    <i>
      <x v="6199"/>
      <x v="5"/>
      <x v="6"/>
    </i>
    <i>
      <x v="6200"/>
      <x v="5"/>
      <x v="9"/>
    </i>
    <i r="2">
      <x v="8"/>
    </i>
    <i>
      <x v="6201"/>
      <x v="5"/>
      <x v="2"/>
    </i>
    <i>
      <x v="6202"/>
      <x v="3"/>
      <x v="7"/>
    </i>
    <i r="1">
      <x v="5"/>
      <x v="7"/>
    </i>
    <i>
      <x v="6203"/>
      <x v="5"/>
      <x v="7"/>
    </i>
    <i>
      <x v="6204"/>
      <x v="5"/>
      <x v="7"/>
    </i>
    <i>
      <x v="6205"/>
      <x v="5"/>
      <x/>
    </i>
    <i>
      <x v="6206"/>
      <x v="5"/>
      <x v="8"/>
    </i>
    <i r="1">
      <x v="2"/>
      <x v="10"/>
    </i>
    <i>
      <x v="6207"/>
      <x v="4"/>
      <x v="8"/>
    </i>
    <i>
      <x v="6208"/>
      <x v="4"/>
      <x v="7"/>
    </i>
    <i>
      <x v="6209"/>
      <x/>
      <x v="2"/>
    </i>
    <i>
      <x v="6210"/>
      <x/>
      <x v="8"/>
    </i>
    <i r="2">
      <x v="5"/>
    </i>
    <i>
      <x v="6211"/>
      <x v="2"/>
      <x v="1"/>
    </i>
    <i>
      <x v="6212"/>
      <x v="2"/>
      <x v="8"/>
    </i>
    <i r="2">
      <x v="5"/>
    </i>
    <i r="2">
      <x v="6"/>
    </i>
    <i>
      <x v="6213"/>
      <x v="4"/>
      <x v="2"/>
    </i>
    <i r="2">
      <x v="7"/>
    </i>
    <i>
      <x v="6214"/>
      <x v="4"/>
      <x v="10"/>
    </i>
    <i r="2">
      <x v="4"/>
    </i>
    <i>
      <x v="6215"/>
      <x/>
      <x v="1"/>
    </i>
    <i>
      <x v="6216"/>
      <x/>
      <x v="3"/>
    </i>
    <i>
      <x v="6217"/>
      <x v="4"/>
      <x v="2"/>
    </i>
    <i>
      <x v="6218"/>
      <x v="4"/>
      <x v="8"/>
    </i>
    <i>
      <x v="6219"/>
      <x v="1"/>
      <x v="3"/>
    </i>
    <i>
      <x v="6220"/>
      <x v="2"/>
      <x v="1"/>
    </i>
    <i r="2">
      <x v="2"/>
    </i>
    <i r="2">
      <x v="5"/>
    </i>
    <i>
      <x v="6221"/>
      <x v="2"/>
      <x v="1"/>
    </i>
    <i>
      <x v="6222"/>
      <x v="2"/>
      <x v="3"/>
    </i>
    <i>
      <x v="6223"/>
      <x v="3"/>
      <x v="1"/>
    </i>
    <i>
      <x v="6224"/>
      <x v="3"/>
      <x v="4"/>
    </i>
    <i r="1">
      <x/>
      <x v="7"/>
    </i>
    <i>
      <x v="6225"/>
      <x v="4"/>
      <x v="2"/>
    </i>
    <i>
      <x v="6226"/>
      <x v="5"/>
      <x v="3"/>
    </i>
    <i>
      <x v="6227"/>
      <x v="5"/>
      <x v="6"/>
    </i>
    <i>
      <x v="6228"/>
      <x v="5"/>
      <x v="9"/>
    </i>
    <i>
      <x v="6229"/>
      <x/>
      <x v="1"/>
    </i>
    <i r="2">
      <x v="8"/>
    </i>
    <i>
      <x v="6230"/>
      <x v="5"/>
      <x v="2"/>
    </i>
    <i>
      <x v="6231"/>
      <x v="5"/>
      <x v="1"/>
    </i>
    <i>
      <x v="6232"/>
      <x v="4"/>
      <x v="4"/>
    </i>
    <i>
      <x v="6233"/>
      <x v="5"/>
      <x v="3"/>
    </i>
    <i>
      <x v="6234"/>
      <x v="4"/>
      <x v="8"/>
    </i>
    <i>
      <x v="6235"/>
      <x v="3"/>
      <x v="2"/>
    </i>
    <i r="2">
      <x v="4"/>
    </i>
    <i>
      <x v="6236"/>
      <x v="3"/>
      <x v="10"/>
    </i>
    <i r="2">
      <x/>
    </i>
    <i>
      <x v="6237"/>
      <x/>
      <x v="9"/>
    </i>
    <i>
      <x v="6238"/>
      <x v="5"/>
      <x v="3"/>
    </i>
    <i>
      <x v="6239"/>
      <x v="5"/>
      <x v="4"/>
    </i>
    <i>
      <x v="6240"/>
      <x v="2"/>
      <x v="3"/>
    </i>
    <i r="2">
      <x v="9"/>
    </i>
    <i r="2">
      <x v="8"/>
    </i>
    <i r="2">
      <x/>
    </i>
    <i>
      <x v="6241"/>
      <x v="2"/>
      <x v="2"/>
    </i>
    <i>
      <x v="6242"/>
      <x v="5"/>
      <x v="3"/>
    </i>
    <i r="2">
      <x v="6"/>
    </i>
    <i>
      <x v="6243"/>
      <x v="3"/>
      <x v="2"/>
    </i>
    <i>
      <x v="6244"/>
      <x v="2"/>
      <x v="1"/>
    </i>
    <i>
      <x v="6245"/>
      <x v="2"/>
      <x v="8"/>
    </i>
    <i>
      <x v="6246"/>
      <x v="2"/>
      <x v="4"/>
    </i>
    <i>
      <x v="6247"/>
      <x v="1"/>
      <x v="6"/>
    </i>
    <i>
      <x v="6248"/>
      <x v="3"/>
      <x v="3"/>
    </i>
    <i>
      <x v="6249"/>
      <x v="5"/>
      <x v="1"/>
    </i>
    <i>
      <x v="6250"/>
      <x v="1"/>
      <x v="6"/>
    </i>
    <i>
      <x v="6251"/>
      <x v="2"/>
      <x v="9"/>
    </i>
    <i>
      <x v="6252"/>
      <x v="1"/>
      <x v="3"/>
    </i>
    <i r="1">
      <x v="2"/>
      <x/>
    </i>
    <i>
      <x v="6253"/>
      <x v="2"/>
      <x v="8"/>
    </i>
    <i>
      <x v="6254"/>
      <x v="1"/>
      <x v="1"/>
    </i>
    <i r="2">
      <x v="6"/>
    </i>
    <i r="1">
      <x v="2"/>
      <x v="6"/>
    </i>
    <i>
      <x v="6255"/>
      <x v="2"/>
      <x v="4"/>
    </i>
    <i>
      <x v="6256"/>
      <x v="2"/>
      <x v="10"/>
    </i>
    <i>
      <x v="6257"/>
      <x v="1"/>
      <x v="10"/>
    </i>
    <i r="2">
      <x v="7"/>
    </i>
    <i r="1">
      <x v="5"/>
      <x v="4"/>
    </i>
    <i>
      <x v="6258"/>
      <x v="4"/>
      <x v="10"/>
    </i>
    <i>
      <x v="6259"/>
      <x v="2"/>
      <x v="1"/>
    </i>
    <i>
      <x v="6260"/>
      <x v="2"/>
      <x v="7"/>
    </i>
    <i>
      <x v="6261"/>
      <x v="1"/>
      <x v="6"/>
    </i>
    <i>
      <x v="6262"/>
      <x v="5"/>
      <x v="2"/>
    </i>
    <i>
      <x v="6263"/>
      <x v="5"/>
      <x v="10"/>
    </i>
    <i>
      <x v="6264"/>
      <x v="5"/>
      <x v="6"/>
    </i>
    <i>
      <x v="6265"/>
      <x v="5"/>
      <x v="3"/>
    </i>
    <i r="2">
      <x v="2"/>
    </i>
    <i r="2">
      <x v="6"/>
    </i>
    <i>
      <x v="6266"/>
      <x v="4"/>
      <x/>
    </i>
    <i>
      <x v="6267"/>
      <x v="4"/>
      <x v="2"/>
    </i>
    <i>
      <x v="6268"/>
      <x v="3"/>
      <x v="9"/>
    </i>
    <i>
      <x v="6269"/>
      <x v="3"/>
      <x v="7"/>
    </i>
    <i>
      <x v="6270"/>
      <x v="3"/>
      <x v="1"/>
    </i>
    <i>
      <x v="6271"/>
      <x v="2"/>
      <x v="1"/>
    </i>
    <i>
      <x v="6272"/>
      <x/>
      <x v="2"/>
    </i>
    <i>
      <x v="6273"/>
      <x v="4"/>
      <x/>
    </i>
    <i>
      <x v="6274"/>
      <x v="3"/>
      <x v="4"/>
    </i>
    <i r="1">
      <x v="4"/>
      <x v="10"/>
    </i>
    <i r="2">
      <x/>
    </i>
    <i>
      <x v="6275"/>
      <x v="5"/>
      <x v="10"/>
    </i>
    <i r="1">
      <x v="2"/>
      <x v="10"/>
    </i>
    <i r="2">
      <x v="3"/>
    </i>
    <i r="2">
      <x v="9"/>
    </i>
    <i>
      <x v="6276"/>
      <x v="2"/>
      <x v="10"/>
    </i>
    <i>
      <x v="6277"/>
      <x v="5"/>
      <x v="9"/>
    </i>
    <i r="2">
      <x v="8"/>
    </i>
    <i r="2">
      <x v="6"/>
    </i>
    <i>
      <x v="6278"/>
      <x v="3"/>
      <x v="8"/>
    </i>
    <i>
      <x v="6279"/>
      <x v="4"/>
      <x v="7"/>
    </i>
    <i>
      <x v="6280"/>
      <x v="1"/>
      <x v="3"/>
    </i>
    <i r="2">
      <x v="1"/>
    </i>
    <i r="2">
      <x v="8"/>
    </i>
    <i>
      <x v="6281"/>
      <x v="4"/>
      <x v="3"/>
    </i>
    <i>
      <x v="6282"/>
      <x v="4"/>
      <x v="3"/>
    </i>
    <i>
      <x v="6283"/>
      <x v="4"/>
      <x v="5"/>
    </i>
    <i>
      <x v="6284"/>
      <x v="1"/>
      <x/>
    </i>
    <i>
      <x v="6285"/>
      <x v="1"/>
      <x v="6"/>
    </i>
    <i>
      <x v="6286"/>
      <x v="2"/>
      <x v="2"/>
    </i>
    <i>
      <x v="6287"/>
      <x/>
      <x v="8"/>
    </i>
    <i>
      <x v="6288"/>
      <x/>
      <x/>
    </i>
    <i>
      <x v="6289"/>
      <x v="1"/>
      <x v="3"/>
    </i>
    <i>
      <x v="6290"/>
      <x v="2"/>
      <x v="9"/>
    </i>
    <i>
      <x v="6291"/>
      <x v="1"/>
      <x v="1"/>
    </i>
    <i r="2">
      <x v="8"/>
    </i>
    <i r="2">
      <x/>
    </i>
    <i>
      <x v="6292"/>
      <x v="3"/>
      <x v="1"/>
    </i>
    <i r="2">
      <x v="9"/>
    </i>
    <i r="1">
      <x v="2"/>
      <x v="3"/>
    </i>
    <i>
      <x v="6293"/>
      <x v="2"/>
      <x v="3"/>
    </i>
    <i>
      <x v="6294"/>
      <x v="2"/>
      <x v="4"/>
    </i>
    <i>
      <x v="6295"/>
      <x v="5"/>
      <x v="4"/>
    </i>
    <i>
      <x v="6296"/>
      <x v="4"/>
      <x v="4"/>
    </i>
    <i>
      <x v="6297"/>
      <x v="5"/>
      <x v="2"/>
    </i>
    <i>
      <x v="6298"/>
      <x v="2"/>
      <x v="7"/>
    </i>
    <i>
      <x v="6299"/>
      <x v="2"/>
      <x v="9"/>
    </i>
    <i>
      <x v="6300"/>
      <x v="3"/>
      <x v="6"/>
    </i>
    <i>
      <x v="6301"/>
      <x v="5"/>
      <x v="2"/>
    </i>
    <i>
      <x v="6302"/>
      <x v="1"/>
      <x v="9"/>
    </i>
    <i>
      <x v="6303"/>
      <x v="1"/>
      <x v="1"/>
    </i>
    <i>
      <x v="6304"/>
      <x/>
      <x v="10"/>
    </i>
    <i r="1">
      <x v="5"/>
      <x v="8"/>
    </i>
    <i>
      <x v="6305"/>
      <x/>
      <x v="10"/>
    </i>
    <i>
      <x v="6306"/>
      <x/>
      <x v="3"/>
    </i>
    <i>
      <x v="6307"/>
      <x v="3"/>
      <x v="4"/>
    </i>
    <i>
      <x v="6308"/>
      <x v="5"/>
      <x v="8"/>
    </i>
    <i>
      <x v="6309"/>
      <x v="2"/>
      <x v="10"/>
    </i>
    <i r="2">
      <x v="2"/>
    </i>
    <i>
      <x v="6310"/>
      <x v="3"/>
      <x v="4"/>
    </i>
    <i>
      <x v="6311"/>
      <x v="2"/>
      <x v="9"/>
    </i>
    <i r="2">
      <x v="5"/>
    </i>
    <i>
      <x v="6312"/>
      <x v="2"/>
      <x v="5"/>
    </i>
    <i>
      <x v="6313"/>
      <x v="2"/>
      <x v="3"/>
    </i>
    <i>
      <x v="6314"/>
      <x v="1"/>
      <x/>
    </i>
    <i>
      <x v="6315"/>
      <x v="4"/>
      <x/>
    </i>
    <i r="2">
      <x v="6"/>
    </i>
    <i>
      <x v="6316"/>
      <x v="1"/>
      <x v="10"/>
    </i>
    <i r="2">
      <x v="7"/>
    </i>
    <i>
      <x v="6317"/>
      <x v="4"/>
      <x v="1"/>
    </i>
    <i>
      <x v="6318"/>
      <x v="4"/>
      <x v="10"/>
    </i>
    <i r="2">
      <x v="2"/>
    </i>
    <i>
      <x v="6319"/>
      <x v="3"/>
      <x v="1"/>
    </i>
    <i>
      <x v="6320"/>
      <x v="5"/>
      <x v="10"/>
    </i>
    <i r="2">
      <x v="9"/>
    </i>
    <i r="1">
      <x v="2"/>
      <x v="7"/>
    </i>
    <i>
      <x v="6321"/>
      <x/>
      <x v="7"/>
    </i>
    <i>
      <x v="6322"/>
      <x v="5"/>
      <x/>
    </i>
    <i>
      <x v="6323"/>
      <x/>
      <x v="3"/>
    </i>
    <i>
      <x v="6324"/>
      <x v="3"/>
      <x v="7"/>
    </i>
    <i r="1">
      <x v="5"/>
      <x v="8"/>
    </i>
    <i>
      <x v="6325"/>
      <x v="3"/>
      <x v="8"/>
    </i>
    <i>
      <x v="6326"/>
      <x v="5"/>
      <x v="8"/>
    </i>
    <i>
      <x v="6327"/>
      <x v="5"/>
      <x v="10"/>
    </i>
    <i r="2">
      <x v="1"/>
    </i>
    <i>
      <x v="6328"/>
      <x v="1"/>
      <x v="2"/>
    </i>
    <i>
      <x v="6329"/>
      <x v="4"/>
      <x v="6"/>
    </i>
    <i>
      <x v="6330"/>
      <x v="1"/>
      <x v="9"/>
    </i>
    <i>
      <x v="6331"/>
      <x v="1"/>
      <x v="8"/>
    </i>
    <i>
      <x v="6332"/>
      <x v="4"/>
      <x v="2"/>
    </i>
    <i>
      <x v="6333"/>
      <x v="1"/>
      <x v="4"/>
    </i>
    <i>
      <x v="6334"/>
      <x v="4"/>
      <x v="1"/>
    </i>
    <i>
      <x v="6335"/>
      <x v="1"/>
      <x v="5"/>
    </i>
    <i>
      <x v="6336"/>
      <x v="1"/>
      <x v="3"/>
    </i>
    <i r="2">
      <x v="1"/>
    </i>
    <i>
      <x v="6337"/>
      <x v="3"/>
      <x v="9"/>
    </i>
    <i>
      <x v="6338"/>
      <x/>
      <x v="9"/>
    </i>
    <i>
      <x v="6339"/>
      <x/>
      <x v="3"/>
    </i>
    <i>
      <x v="6340"/>
      <x/>
      <x v="2"/>
    </i>
    <i>
      <x v="6341"/>
      <x v="3"/>
      <x v="4"/>
    </i>
    <i>
      <x v="6342"/>
      <x v="2"/>
      <x v="2"/>
    </i>
    <i>
      <x v="6343"/>
      <x v="2"/>
      <x v="8"/>
    </i>
    <i r="2">
      <x v="6"/>
    </i>
    <i>
      <x v="6344"/>
      <x v="2"/>
      <x v="7"/>
    </i>
    <i>
      <x v="6345"/>
      <x v="1"/>
      <x v="9"/>
    </i>
    <i r="1">
      <x v="5"/>
      <x v="8"/>
    </i>
    <i>
      <x v="6346"/>
      <x v="4"/>
      <x v="3"/>
    </i>
    <i r="2">
      <x v="4"/>
    </i>
    <i>
      <x v="6347"/>
      <x v="4"/>
      <x v="4"/>
    </i>
    <i>
      <x v="6348"/>
      <x v="4"/>
      <x/>
    </i>
    <i>
      <x v="6349"/>
      <x v="2"/>
      <x v="4"/>
    </i>
    <i>
      <x v="6350"/>
      <x v="2"/>
      <x v="3"/>
    </i>
    <i>
      <x v="6351"/>
      <x v="2"/>
      <x v="2"/>
    </i>
    <i r="2">
      <x v="7"/>
    </i>
    <i>
      <x v="6352"/>
      <x v="3"/>
      <x v="2"/>
    </i>
    <i>
      <x v="6353"/>
      <x v="3"/>
      <x v="6"/>
    </i>
    <i>
      <x v="6354"/>
      <x v="5"/>
      <x v="8"/>
    </i>
    <i>
      <x v="6355"/>
      <x/>
      <x/>
    </i>
    <i>
      <x v="6356"/>
      <x v="5"/>
      <x v="10"/>
    </i>
    <i>
      <x v="6357"/>
      <x v="4"/>
      <x v="8"/>
    </i>
    <i>
      <x v="6358"/>
      <x v="4"/>
      <x v="7"/>
    </i>
    <i>
      <x v="6359"/>
      <x/>
      <x v="9"/>
    </i>
    <i r="2">
      <x v="5"/>
    </i>
    <i r="1">
      <x v="4"/>
      <x v="5"/>
    </i>
    <i>
      <x v="6360"/>
      <x v="5"/>
      <x v="3"/>
    </i>
    <i>
      <x v="6361"/>
      <x v="1"/>
      <x v="7"/>
    </i>
    <i>
      <x v="6362"/>
      <x v="3"/>
      <x v="1"/>
    </i>
    <i>
      <x v="6363"/>
      <x v="2"/>
      <x v="9"/>
    </i>
    <i>
      <x v="6364"/>
      <x v="1"/>
      <x v="6"/>
    </i>
    <i>
      <x v="6365"/>
      <x v="2"/>
      <x v="6"/>
    </i>
    <i>
      <x v="6366"/>
      <x v="1"/>
      <x v="1"/>
    </i>
    <i>
      <x v="6367"/>
      <x v="1"/>
      <x v="5"/>
    </i>
    <i r="2">
      <x v="6"/>
    </i>
    <i>
      <x v="6368"/>
      <x v="2"/>
      <x v="9"/>
    </i>
    <i>
      <x v="6369"/>
      <x v="1"/>
      <x v="10"/>
    </i>
    <i>
      <x v="6370"/>
      <x v="3"/>
      <x v="8"/>
    </i>
    <i>
      <x v="6371"/>
      <x/>
      <x v="5"/>
    </i>
    <i>
      <x v="6372"/>
      <x v="4"/>
      <x v="4"/>
    </i>
    <i>
      <x v="6373"/>
      <x v="3"/>
      <x v="3"/>
    </i>
    <i r="1">
      <x v="4"/>
      <x v="3"/>
    </i>
    <i r="2">
      <x v="7"/>
    </i>
    <i>
      <x v="6374"/>
      <x v="5"/>
      <x v="8"/>
    </i>
    <i>
      <x v="6375"/>
      <x v="1"/>
      <x v="6"/>
    </i>
    <i>
      <x v="6376"/>
      <x v="1"/>
      <x v="7"/>
    </i>
    <i>
      <x v="6377"/>
      <x/>
      <x v="1"/>
    </i>
    <i>
      <x v="6378"/>
      <x/>
      <x v="4"/>
    </i>
    <i>
      <x v="6379"/>
      <x v="5"/>
      <x v="4"/>
    </i>
    <i>
      <x v="6380"/>
      <x v="5"/>
      <x v="8"/>
    </i>
    <i r="2">
      <x/>
    </i>
    <i>
      <x v="6381"/>
      <x v="2"/>
      <x v="3"/>
    </i>
    <i>
      <x v="6382"/>
      <x v="1"/>
      <x v="5"/>
    </i>
    <i>
      <x v="6383"/>
      <x v="5"/>
      <x v="1"/>
    </i>
    <i>
      <x v="6384"/>
      <x/>
      <x v="4"/>
    </i>
    <i>
      <x v="6385"/>
      <x v="5"/>
      <x v="3"/>
    </i>
    <i>
      <x v="6386"/>
      <x v="3"/>
      <x v="2"/>
    </i>
    <i r="2">
      <x v="8"/>
    </i>
    <i>
      <x v="6387"/>
      <x v="3"/>
      <x v="3"/>
    </i>
    <i r="1">
      <x v="4"/>
      <x v="4"/>
    </i>
    <i>
      <x v="6388"/>
      <x v="4"/>
      <x v="10"/>
    </i>
    <i>
      <x v="6389"/>
      <x v="5"/>
      <x v="2"/>
    </i>
    <i>
      <x v="6390"/>
      <x v="2"/>
      <x v="1"/>
    </i>
    <i r="2">
      <x v="7"/>
    </i>
    <i>
      <x v="6391"/>
      <x v="5"/>
      <x v="1"/>
    </i>
    <i>
      <x v="6392"/>
      <x v="3"/>
      <x/>
    </i>
    <i r="2">
      <x v="6"/>
    </i>
    <i>
      <x v="6393"/>
      <x v="2"/>
      <x/>
    </i>
    <i>
      <x v="6394"/>
      <x v="5"/>
      <x v="2"/>
    </i>
    <i r="2">
      <x/>
    </i>
    <i>
      <x v="6395"/>
      <x v="3"/>
      <x v="2"/>
    </i>
    <i>
      <x v="6396"/>
      <x v="5"/>
      <x v="9"/>
    </i>
    <i>
      <x v="6397"/>
      <x v="2"/>
      <x v="3"/>
    </i>
    <i>
      <x v="6398"/>
      <x v="2"/>
      <x v="10"/>
    </i>
    <i>
      <x v="6399"/>
      <x v="5"/>
      <x v="8"/>
    </i>
    <i r="1">
      <x v="2"/>
      <x v="3"/>
    </i>
    <i r="2">
      <x v="6"/>
    </i>
    <i>
      <x v="6400"/>
      <x v="2"/>
      <x v="9"/>
    </i>
    <i>
      <x v="6401"/>
      <x v="2"/>
      <x v="2"/>
    </i>
    <i>
      <x v="6402"/>
      <x v="3"/>
      <x v="5"/>
    </i>
    <i>
      <x v="6403"/>
      <x v="5"/>
      <x v="10"/>
    </i>
    <i>
      <x v="6404"/>
      <x v="5"/>
      <x v="10"/>
    </i>
    <i>
      <x v="6405"/>
      <x v="3"/>
      <x v="1"/>
    </i>
    <i r="2">
      <x v="7"/>
    </i>
    <i>
      <x v="6406"/>
      <x v="3"/>
      <x v="9"/>
    </i>
    <i r="2">
      <x v="5"/>
    </i>
    <i r="2">
      <x v="7"/>
    </i>
    <i>
      <x v="6407"/>
      <x v="3"/>
      <x v="2"/>
    </i>
    <i r="2">
      <x v="6"/>
    </i>
    <i>
      <x v="6408"/>
      <x v="3"/>
      <x/>
    </i>
    <i>
      <x v="6409"/>
      <x v="1"/>
      <x v="1"/>
    </i>
    <i>
      <x v="6410"/>
      <x v="1"/>
      <x v="6"/>
    </i>
    <i>
      <x v="6411"/>
      <x v="1"/>
      <x v="7"/>
    </i>
    <i r="1">
      <x v="5"/>
      <x v="6"/>
    </i>
    <i>
      <x v="6412"/>
      <x v="3"/>
      <x v="3"/>
    </i>
    <i>
      <x v="6413"/>
      <x v="3"/>
      <x v="9"/>
    </i>
    <i>
      <x v="6414"/>
      <x/>
      <x v="9"/>
    </i>
    <i>
      <x v="6415"/>
      <x v="2"/>
      <x v="6"/>
    </i>
    <i>
      <x v="6416"/>
      <x v="5"/>
      <x v="1"/>
    </i>
    <i>
      <x v="6417"/>
      <x/>
      <x v="10"/>
    </i>
    <i>
      <x v="6418"/>
      <x v="4"/>
      <x v="3"/>
    </i>
    <i>
      <x v="6419"/>
      <x v="4"/>
      <x/>
    </i>
    <i>
      <x v="6420"/>
      <x v="1"/>
      <x v="3"/>
    </i>
    <i r="2">
      <x v="2"/>
    </i>
    <i>
      <x v="6421"/>
      <x v="5"/>
      <x v="9"/>
    </i>
    <i>
      <x v="6422"/>
      <x v="4"/>
      <x v="1"/>
    </i>
    <i r="2">
      <x v="7"/>
    </i>
    <i>
      <x v="6423"/>
      <x v="4"/>
      <x v="10"/>
    </i>
    <i r="2">
      <x v="6"/>
    </i>
    <i>
      <x v="6424"/>
      <x v="4"/>
      <x/>
    </i>
    <i>
      <x v="6425"/>
      <x/>
      <x v="7"/>
    </i>
    <i>
      <x v="6426"/>
      <x v="1"/>
      <x v="1"/>
    </i>
    <i r="2">
      <x v="8"/>
    </i>
    <i>
      <x v="6427"/>
      <x v="2"/>
      <x v="8"/>
    </i>
    <i r="2">
      <x v="5"/>
    </i>
    <i>
      <x v="6428"/>
      <x v="2"/>
      <x v="3"/>
    </i>
    <i r="2">
      <x v="2"/>
    </i>
    <i r="2">
      <x/>
    </i>
    <i>
      <x v="6429"/>
      <x v="2"/>
      <x v="3"/>
    </i>
    <i r="2">
      <x v="1"/>
    </i>
    <i>
      <x v="6430"/>
      <x v="3"/>
      <x v="8"/>
    </i>
    <i>
      <x v="6431"/>
      <x v="3"/>
      <x v="4"/>
    </i>
    <i>
      <x v="6432"/>
      <x v="4"/>
      <x v="9"/>
    </i>
    <i r="2">
      <x v="5"/>
    </i>
    <i>
      <x v="6433"/>
      <x/>
      <x v="9"/>
    </i>
    <i r="2">
      <x v="4"/>
    </i>
    <i r="2">
      <x v="7"/>
    </i>
    <i r="1">
      <x v="2"/>
      <x v="2"/>
    </i>
    <i>
      <x v="6434"/>
      <x/>
      <x v="6"/>
    </i>
    <i>
      <x v="6435"/>
      <x v="4"/>
      <x v="9"/>
    </i>
    <i>
      <x v="6436"/>
      <x v="1"/>
      <x v="9"/>
    </i>
    <i r="2">
      <x v="7"/>
    </i>
    <i>
      <x v="6437"/>
      <x/>
      <x v="10"/>
    </i>
    <i r="2">
      <x v="5"/>
    </i>
    <i>
      <x v="6438"/>
      <x v="4"/>
      <x v="4"/>
    </i>
    <i>
      <x v="6439"/>
      <x v="1"/>
      <x v="3"/>
    </i>
    <i>
      <x v="6440"/>
      <x v="4"/>
      <x/>
    </i>
    <i>
      <x v="6441"/>
      <x/>
      <x/>
    </i>
    <i>
      <x v="6442"/>
      <x v="3"/>
      <x v="6"/>
    </i>
    <i>
      <x v="6443"/>
      <x/>
      <x v="1"/>
    </i>
    <i>
      <x v="6444"/>
      <x v="5"/>
      <x v="10"/>
    </i>
    <i r="2">
      <x/>
    </i>
    <i r="2">
      <x v="6"/>
    </i>
    <i r="1">
      <x v="4"/>
      <x v="8"/>
    </i>
    <i r="2">
      <x v="4"/>
    </i>
    <i>
      <x v="6445"/>
      <x v="5"/>
      <x v="2"/>
    </i>
    <i>
      <x v="6446"/>
      <x v="4"/>
      <x v="1"/>
    </i>
    <i>
      <x v="6447"/>
      <x v="2"/>
      <x v="1"/>
    </i>
    <i>
      <x v="6448"/>
      <x v="2"/>
      <x v="3"/>
    </i>
    <i>
      <x v="6449"/>
      <x/>
      <x v="5"/>
    </i>
    <i>
      <x v="6450"/>
      <x/>
      <x v="10"/>
    </i>
    <i>
      <x v="6451"/>
      <x/>
      <x v="10"/>
    </i>
    <i>
      <x v="6452"/>
      <x/>
      <x v="6"/>
    </i>
    <i r="1">
      <x v="5"/>
      <x v="8"/>
    </i>
    <i r="2">
      <x v="4"/>
    </i>
    <i>
      <x v="6453"/>
      <x v="3"/>
      <x v="9"/>
    </i>
    <i r="1">
      <x v="2"/>
      <x v="9"/>
    </i>
    <i r="2">
      <x v="8"/>
    </i>
    <i>
      <x v="6454"/>
      <x v="2"/>
      <x v="7"/>
    </i>
    <i>
      <x v="6455"/>
      <x v="3"/>
      <x/>
    </i>
    <i>
      <x v="6456"/>
      <x v="2"/>
      <x v="4"/>
    </i>
    <i>
      <x v="6457"/>
      <x v="2"/>
      <x v="1"/>
    </i>
    <i>
      <x v="6458"/>
      <x v="5"/>
      <x v="1"/>
    </i>
    <i>
      <x v="6459"/>
      <x v="2"/>
      <x v="6"/>
    </i>
    <i>
      <x v="6460"/>
      <x v="2"/>
      <x v="9"/>
    </i>
    <i>
      <x v="6461"/>
      <x v="2"/>
      <x v="6"/>
    </i>
    <i>
      <x v="6462"/>
      <x v="2"/>
      <x v="4"/>
    </i>
    <i r="2">
      <x v="7"/>
    </i>
    <i>
      <x v="6463"/>
      <x v="1"/>
      <x v="9"/>
    </i>
    <i>
      <x v="6464"/>
      <x v="4"/>
      <x v="5"/>
    </i>
    <i>
      <x v="6465"/>
      <x v="1"/>
      <x v="2"/>
    </i>
    <i>
      <x v="6466"/>
      <x v="2"/>
      <x v="3"/>
    </i>
    <i>
      <x v="6467"/>
      <x v="4"/>
      <x/>
    </i>
    <i>
      <x v="6468"/>
      <x v="2"/>
      <x v="6"/>
    </i>
    <i>
      <x v="6469"/>
      <x v="2"/>
      <x/>
    </i>
    <i>
      <x v="6470"/>
      <x/>
      <x v="9"/>
    </i>
    <i>
      <x v="6471"/>
      <x v="2"/>
      <x v="1"/>
    </i>
    <i>
      <x v="6472"/>
      <x v="2"/>
      <x v="1"/>
    </i>
    <i r="2">
      <x v="4"/>
    </i>
    <i>
      <x v="6473"/>
      <x v="5"/>
      <x v="9"/>
    </i>
    <i>
      <x v="6474"/>
      <x v="5"/>
      <x v="2"/>
    </i>
    <i>
      <x v="6475"/>
      <x/>
      <x v="7"/>
    </i>
    <i r="2">
      <x v="6"/>
    </i>
    <i>
      <x v="6476"/>
      <x v="5"/>
      <x v="8"/>
    </i>
    <i>
      <x v="6477"/>
      <x v="5"/>
      <x v="7"/>
    </i>
    <i>
      <x v="6478"/>
      <x/>
      <x v="2"/>
    </i>
    <i>
      <x v="6479"/>
      <x/>
      <x v="5"/>
    </i>
    <i r="1">
      <x v="2"/>
      <x v="5"/>
    </i>
    <i>
      <x v="6480"/>
      <x v="1"/>
      <x v="8"/>
    </i>
    <i>
      <x v="6481"/>
      <x v="1"/>
      <x/>
    </i>
    <i>
      <x v="6482"/>
      <x v="1"/>
      <x v="10"/>
    </i>
    <i>
      <x v="6483"/>
      <x v="3"/>
      <x v="1"/>
    </i>
    <i>
      <x v="6484"/>
      <x v="3"/>
      <x v="2"/>
    </i>
    <i>
      <x v="6485"/>
      <x v="2"/>
      <x v="1"/>
    </i>
    <i>
      <x v="6486"/>
      <x v="2"/>
      <x v="2"/>
    </i>
    <i r="2">
      <x v="4"/>
    </i>
  </rowItems>
  <pivotHierarchies count="3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"/>
    <rowHierarchyUsage hierarchyUsage="14"/>
    <rowHierarchyUsage hierarchyUsage="10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dan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Fragmentator_Kategoria_produktu" xr10:uid="{88720480-A14A-4F04-BE99-4D71A020C7B7}" sourceName="[dane].[Kategoria produktu]">
  <pivotTables>
    <pivotTable tabId="6" name="Tabela przestawna1"/>
  </pivotTables>
  <data>
    <olap pivotCacheId="994058040">
      <levels count="2">
        <level uniqueName="[dane].[Kategoria produktu].[(All)]" sourceCaption="(All)" count="0"/>
        <level uniqueName="[dane].[Kategoria produktu].[Kategoria produktu]" sourceCaption="Kategoria produktu" count="3">
          <ranges>
            <range startItem="0">
              <i n="[dane].[Kategoria produktu].&amp;[artykuły biurowe]" c="artykuły biurowe"/>
              <i n="[dane].[Kategoria produktu].&amp;[meble]" c="meble"/>
              <i n="[dane].[Kategoria produktu].&amp;[urządzenia techniczne]" c="urządzenia techniczne"/>
            </range>
          </ranges>
        </level>
      </levels>
      <selections count="1">
        <selection n="[dane].[Kategoria produktu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ategoria produktu" xr10:uid="{8C6C1276-2AA7-463C-8FF3-EB39B8087AD4}" cache="Fragmentator_Kategoria_produktu" caption="Kategoria produktu" level="1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0C3FAD5-CC61-40A6-839F-45F4275299B9}" name="Tabela1" displayName="Tabela1" ref="A1:X9427" totalsRowShown="0" headerRowDxfId="13" dataDxfId="12">
  <autoFilter ref="A1:X9427" xr:uid="{7D55D2A0-7846-49CC-9B55-8825CA130E68}"/>
  <tableColumns count="24">
    <tableColumn id="1" xr3:uid="{F9FD8C0C-9509-48C4-A4B1-DC20BF33C241}" name="Nr wiersza"/>
    <tableColumn id="2" xr3:uid="{F34CE4F3-D9CF-42CE-8F33-F1659CFC482F}" name="Nr zamówienia"/>
    <tableColumn id="3" xr3:uid="{BBD71049-A6AF-43BB-A75F-EBC8C698AD7E}" name="Data zamówienia" dataDxfId="11"/>
    <tableColumn id="4" xr3:uid="{EDDA0C4A-0457-41A3-A855-91AE1E79231B}" name="Priorytet zamówienia"/>
    <tableColumn id="5" xr3:uid="{7FBD36FD-02F0-4F14-AB25-A6ECDD1D1BD5}" name="Wielkość zamówienia"/>
    <tableColumn id="6" xr3:uid="{5A2ACDAC-DED1-4478-B8DF-CAB5869B6903}" name="Data wysyłki" dataDxfId="10"/>
    <tableColumn id="7" xr3:uid="{B6CD3EBF-FC0B-4064-9CD6-42DF2E34A6A5}" name="Rodzaj transportu"/>
    <tableColumn id="8" xr3:uid="{5B847753-E8A6-4B60-8A47-644534DF8BC5}" name="Rodzaj opakowania"/>
    <tableColumn id="9" xr3:uid="{610D3CF6-E103-405E-9B28-DD92D96AA2E4}" name="Segment rynku"/>
    <tableColumn id="10" xr3:uid="{88913275-FF56-4811-9019-026A1CD58357}" name="Sprzedaż"/>
    <tableColumn id="11" xr3:uid="{DCCE5396-F28B-44C8-8F78-C4F7EA30FA69}" name="Rabat procentowy"/>
    <tableColumn id="12" xr3:uid="{2A6C6CDE-97C7-46FE-8857-893D912F1337}" name="Marża podstawowa"/>
    <tableColumn id="13" xr3:uid="{7F04126A-0BDB-480B-9CBA-AD73457306E2}" name="Koszt dostawy"/>
    <tableColumn id="14" xr3:uid="{BAE8544D-E777-4A94-A735-D4FE0B968021}" name="Zysk"/>
    <tableColumn id="15" xr3:uid="{622005DD-A04F-4E24-B419-3396ED60CE1B}" name="Region" dataDxfId="9"/>
    <tableColumn id="16" xr3:uid="{E8F640B8-459A-4F6A-B72A-492D49A3583E}" name="Nr klienta" dataDxfId="8"/>
    <tableColumn id="17" xr3:uid="{7972203B-76FB-452C-B244-F2F787B0C559}" name="Klient" dataDxfId="7"/>
    <tableColumn id="18" xr3:uid="{54D987FD-572E-4D5F-8FEA-0ED7C74BA17E}" name="Województwo" dataDxfId="6"/>
    <tableColumn id="19" xr3:uid="{C8E38C6D-1923-47EE-97F2-D91A71A4BBA4}" name="Miasto" dataDxfId="5"/>
    <tableColumn id="20" xr3:uid="{12F24573-5052-4222-8894-DD05E392979E}" name="Kod pocztowy" dataDxfId="4"/>
    <tableColumn id="21" xr3:uid="{BD14F8DD-01D0-4012-90A7-70621A638445}" name="Nazwa produktu" dataDxfId="3"/>
    <tableColumn id="22" xr3:uid="{8B33341B-C8EF-47DF-A575-E88E9E7B8B8D}" name="Kategoria produktu" dataDxfId="2"/>
    <tableColumn id="23" xr3:uid="{C6344E99-09E5-4152-8395-3735A2323415}" name="Podkategoria produktu" dataDxfId="1"/>
    <tableColumn id="24" xr3:uid="{4494C8E2-660B-4ABB-99D6-77ECD9306FDF}" name="Cena jednostkowa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0D75F-E70B-4FBE-8AFC-AFBFA60704AA}">
  <dimension ref="A1:X9427"/>
  <sheetViews>
    <sheetView workbookViewId="0">
      <selection activeCell="C8" sqref="C8"/>
    </sheetView>
  </sheetViews>
  <sheetFormatPr defaultRowHeight="14.4" x14ac:dyDescent="0.3"/>
  <cols>
    <col min="1" max="1" width="11.44140625" customWidth="1"/>
    <col min="2" max="2" width="15.33203125" customWidth="1"/>
    <col min="3" max="3" width="17.21875" customWidth="1"/>
    <col min="4" max="4" width="20.6640625" customWidth="1"/>
    <col min="5" max="5" width="20.77734375" customWidth="1"/>
    <col min="6" max="6" width="13.44140625" customWidth="1"/>
    <col min="7" max="7" width="17.88671875" customWidth="1"/>
    <col min="8" max="8" width="19.33203125" customWidth="1"/>
    <col min="9" max="9" width="15.6640625" customWidth="1"/>
    <col min="10" max="10" width="10.33203125" customWidth="1"/>
    <col min="11" max="11" width="18.33203125" customWidth="1"/>
    <col min="12" max="12" width="19.33203125" customWidth="1"/>
    <col min="13" max="13" width="14.88671875" customWidth="1"/>
    <col min="16" max="16" width="11" customWidth="1"/>
    <col min="18" max="18" width="15" customWidth="1"/>
    <col min="20" max="20" width="14.77734375" customWidth="1"/>
    <col min="21" max="21" width="16.77734375" customWidth="1"/>
    <col min="22" max="22" width="19.21875" customWidth="1"/>
    <col min="23" max="23" width="22.44140625" customWidth="1"/>
    <col min="24" max="24" width="18.44140625" customWidth="1"/>
  </cols>
  <sheetData>
    <row r="1" spans="1:2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2" t="s">
        <v>20</v>
      </c>
      <c r="V1" s="2" t="s">
        <v>21</v>
      </c>
      <c r="W1" s="2" t="s">
        <v>22</v>
      </c>
      <c r="X1" s="2" t="s">
        <v>23</v>
      </c>
    </row>
    <row r="2" spans="1:24" x14ac:dyDescent="0.3">
      <c r="A2">
        <v>1006</v>
      </c>
      <c r="B2" t="s">
        <v>24</v>
      </c>
      <c r="C2" s="3">
        <v>41058</v>
      </c>
      <c r="D2" t="s">
        <v>25</v>
      </c>
      <c r="E2">
        <v>62</v>
      </c>
      <c r="F2" s="3">
        <f ca="1">41063+(RANDBETWEEN(1,10))</f>
        <v>41071</v>
      </c>
      <c r="G2" t="s">
        <v>26</v>
      </c>
      <c r="H2" t="s">
        <v>27</v>
      </c>
      <c r="I2" t="s">
        <v>28</v>
      </c>
      <c r="J2">
        <v>18579.994999999999</v>
      </c>
      <c r="K2">
        <v>0.01</v>
      </c>
      <c r="L2">
        <v>0.56000000000000005</v>
      </c>
      <c r="M2">
        <v>17.149999999999999</v>
      </c>
      <c r="N2">
        <v>4187.5469999999996</v>
      </c>
      <c r="O2" s="1" t="s">
        <v>29</v>
      </c>
      <c r="P2" s="1" t="s">
        <v>30</v>
      </c>
      <c r="Q2" s="1" t="s">
        <v>31</v>
      </c>
      <c r="R2" s="1" t="s">
        <v>32</v>
      </c>
      <c r="S2" s="1" t="s">
        <v>33</v>
      </c>
      <c r="T2" s="1" t="s">
        <v>34</v>
      </c>
      <c r="U2" s="2" t="s">
        <v>35</v>
      </c>
      <c r="V2" s="2" t="s">
        <v>36</v>
      </c>
      <c r="W2" s="2" t="s">
        <v>37</v>
      </c>
      <c r="X2" s="2">
        <v>335.96499999999997</v>
      </c>
    </row>
    <row r="3" spans="1:24" x14ac:dyDescent="0.3">
      <c r="A3">
        <v>1008</v>
      </c>
      <c r="B3" t="s">
        <v>38</v>
      </c>
      <c r="C3" s="3">
        <v>40671</v>
      </c>
      <c r="D3" t="s">
        <v>39</v>
      </c>
      <c r="E3">
        <v>22</v>
      </c>
      <c r="F3" s="3">
        <f ca="1">40673+(RANDBETWEEN(1,10))</f>
        <v>40681</v>
      </c>
      <c r="G3" t="s">
        <v>26</v>
      </c>
      <c r="H3" t="s">
        <v>27</v>
      </c>
      <c r="I3" t="s">
        <v>28</v>
      </c>
      <c r="J3">
        <v>1336.6849999999999</v>
      </c>
      <c r="K3">
        <v>0.09</v>
      </c>
      <c r="L3">
        <v>0.35</v>
      </c>
      <c r="M3">
        <v>43.365000000000002</v>
      </c>
      <c r="N3">
        <v>-169.995</v>
      </c>
      <c r="O3" s="1" t="s">
        <v>40</v>
      </c>
      <c r="P3" s="1" t="s">
        <v>41</v>
      </c>
      <c r="Q3" s="1" t="s">
        <v>42</v>
      </c>
      <c r="R3" s="1" t="s">
        <v>43</v>
      </c>
      <c r="S3" s="1" t="s">
        <v>44</v>
      </c>
      <c r="T3" s="1" t="s">
        <v>45</v>
      </c>
      <c r="U3" s="2" t="s">
        <v>46</v>
      </c>
      <c r="V3" s="2" t="s">
        <v>47</v>
      </c>
      <c r="W3" s="2" t="s">
        <v>48</v>
      </c>
      <c r="X3" s="2">
        <v>59.43</v>
      </c>
    </row>
    <row r="4" spans="1:24" x14ac:dyDescent="0.3">
      <c r="A4">
        <v>1040</v>
      </c>
      <c r="B4" t="s">
        <v>49</v>
      </c>
      <c r="C4" s="3">
        <v>41190</v>
      </c>
      <c r="D4" t="s">
        <v>50</v>
      </c>
      <c r="E4">
        <v>14</v>
      </c>
      <c r="F4" s="3">
        <f ca="1">41191+(RANDBETWEEN(1,10))</f>
        <v>41194</v>
      </c>
      <c r="G4" t="s">
        <v>26</v>
      </c>
      <c r="H4" t="s">
        <v>51</v>
      </c>
      <c r="I4" t="s">
        <v>52</v>
      </c>
      <c r="J4">
        <v>868.35</v>
      </c>
      <c r="K4">
        <v>0.02</v>
      </c>
      <c r="L4">
        <v>0.45</v>
      </c>
      <c r="M4">
        <v>6.9649999999999999</v>
      </c>
      <c r="N4">
        <v>-113.95440000000001</v>
      </c>
      <c r="O4" s="1" t="s">
        <v>53</v>
      </c>
      <c r="P4" s="1" t="s">
        <v>54</v>
      </c>
      <c r="Q4" s="1" t="s">
        <v>55</v>
      </c>
      <c r="R4" s="1" t="s">
        <v>56</v>
      </c>
      <c r="S4" s="1" t="s">
        <v>57</v>
      </c>
      <c r="T4" s="1" t="s">
        <v>58</v>
      </c>
      <c r="U4" s="2" t="s">
        <v>59</v>
      </c>
      <c r="V4" s="2" t="s">
        <v>36</v>
      </c>
      <c r="W4" s="2" t="s">
        <v>60</v>
      </c>
      <c r="X4" s="2">
        <v>61.18</v>
      </c>
    </row>
    <row r="5" spans="1:24" x14ac:dyDescent="0.3">
      <c r="A5">
        <v>1041</v>
      </c>
      <c r="B5" t="s">
        <v>61</v>
      </c>
      <c r="C5" s="3">
        <v>40844</v>
      </c>
      <c r="D5" t="s">
        <v>62</v>
      </c>
      <c r="E5">
        <v>32</v>
      </c>
      <c r="F5" s="3">
        <f ca="1">40846+(RANDBETWEEN(1,10))</f>
        <v>40851</v>
      </c>
      <c r="G5" t="s">
        <v>26</v>
      </c>
      <c r="H5" t="s">
        <v>63</v>
      </c>
      <c r="I5" t="s">
        <v>28</v>
      </c>
      <c r="J5">
        <v>33969.11</v>
      </c>
      <c r="K5">
        <v>0.03</v>
      </c>
      <c r="L5">
        <v>0.52</v>
      </c>
      <c r="M5">
        <v>85.715000000000003</v>
      </c>
      <c r="N5">
        <v>4488.7359999999999</v>
      </c>
      <c r="O5" s="1" t="s">
        <v>64</v>
      </c>
      <c r="P5" s="1" t="s">
        <v>65</v>
      </c>
      <c r="Q5" s="1" t="s">
        <v>66</v>
      </c>
      <c r="R5" s="1" t="s">
        <v>67</v>
      </c>
      <c r="S5" s="1" t="s">
        <v>68</v>
      </c>
      <c r="T5" s="1" t="s">
        <v>69</v>
      </c>
      <c r="U5" s="2" t="s">
        <v>70</v>
      </c>
      <c r="V5" s="2" t="s">
        <v>47</v>
      </c>
      <c r="W5" s="2" t="s">
        <v>71</v>
      </c>
      <c r="X5" s="2">
        <v>1052.2750000000001</v>
      </c>
    </row>
    <row r="6" spans="1:24" x14ac:dyDescent="0.3">
      <c r="A6">
        <v>1042</v>
      </c>
      <c r="B6" t="s">
        <v>61</v>
      </c>
      <c r="C6" s="3">
        <v>40844</v>
      </c>
      <c r="D6" t="s">
        <v>62</v>
      </c>
      <c r="E6">
        <v>67</v>
      </c>
      <c r="F6" s="3">
        <f ca="1">40846+(RANDBETWEEN(1,10))</f>
        <v>40856</v>
      </c>
      <c r="G6" t="s">
        <v>26</v>
      </c>
      <c r="H6" t="s">
        <v>27</v>
      </c>
      <c r="I6" t="s">
        <v>28</v>
      </c>
      <c r="J6">
        <v>11366.39</v>
      </c>
      <c r="K6">
        <v>0.06</v>
      </c>
      <c r="L6">
        <v>0.45</v>
      </c>
      <c r="M6">
        <v>69.965000000000003</v>
      </c>
      <c r="N6">
        <v>60.2</v>
      </c>
      <c r="O6" s="1" t="s">
        <v>64</v>
      </c>
      <c r="P6" s="1" t="s">
        <v>65</v>
      </c>
      <c r="Q6" s="1" t="s">
        <v>66</v>
      </c>
      <c r="R6" s="1" t="s">
        <v>67</v>
      </c>
      <c r="S6" s="1" t="s">
        <v>68</v>
      </c>
      <c r="T6" s="1" t="s">
        <v>69</v>
      </c>
      <c r="U6" s="2" t="s">
        <v>72</v>
      </c>
      <c r="V6" s="2" t="s">
        <v>36</v>
      </c>
      <c r="W6" s="2" t="s">
        <v>60</v>
      </c>
      <c r="X6" s="2">
        <v>174.965</v>
      </c>
    </row>
    <row r="7" spans="1:24" x14ac:dyDescent="0.3">
      <c r="A7">
        <v>1043</v>
      </c>
      <c r="B7" t="s">
        <v>61</v>
      </c>
      <c r="C7" s="3">
        <v>40844</v>
      </c>
      <c r="D7" t="s">
        <v>62</v>
      </c>
      <c r="E7">
        <v>58</v>
      </c>
      <c r="F7" s="3">
        <f ca="1">40845+(RANDBETWEEN(1,10))</f>
        <v>40852</v>
      </c>
      <c r="G7" t="s">
        <v>26</v>
      </c>
      <c r="H7" t="s">
        <v>27</v>
      </c>
      <c r="I7" t="s">
        <v>28</v>
      </c>
      <c r="J7">
        <v>19539.205000000002</v>
      </c>
      <c r="K7">
        <v>0.1</v>
      </c>
      <c r="L7">
        <v>0.37</v>
      </c>
      <c r="M7">
        <v>16.274999999999999</v>
      </c>
      <c r="N7">
        <v>4144.42</v>
      </c>
      <c r="O7" s="1" t="s">
        <v>64</v>
      </c>
      <c r="P7" s="1" t="s">
        <v>65</v>
      </c>
      <c r="Q7" s="1" t="s">
        <v>66</v>
      </c>
      <c r="R7" s="1" t="s">
        <v>67</v>
      </c>
      <c r="S7" s="1" t="s">
        <v>68</v>
      </c>
      <c r="T7" s="1" t="s">
        <v>69</v>
      </c>
      <c r="U7" s="2" t="s">
        <v>73</v>
      </c>
      <c r="V7" s="2" t="s">
        <v>47</v>
      </c>
      <c r="W7" s="2" t="s">
        <v>74</v>
      </c>
      <c r="X7" s="2">
        <v>366.97500000000002</v>
      </c>
    </row>
    <row r="8" spans="1:24" x14ac:dyDescent="0.3">
      <c r="A8">
        <v>1051</v>
      </c>
      <c r="B8" t="s">
        <v>75</v>
      </c>
      <c r="C8" s="3">
        <v>41996</v>
      </c>
      <c r="D8" t="s">
        <v>50</v>
      </c>
      <c r="E8">
        <v>90</v>
      </c>
      <c r="F8" s="3">
        <f ca="1">41997+(RANDBETWEEN(1,10))</f>
        <v>42007</v>
      </c>
      <c r="G8" t="s">
        <v>76</v>
      </c>
      <c r="H8" t="s">
        <v>77</v>
      </c>
      <c r="I8" t="s">
        <v>28</v>
      </c>
      <c r="J8">
        <v>31835.3</v>
      </c>
      <c r="K8">
        <v>0.01</v>
      </c>
      <c r="L8">
        <v>0.57999999999999996</v>
      </c>
      <c r="M8">
        <v>203.7</v>
      </c>
      <c r="N8">
        <v>-2688.49</v>
      </c>
      <c r="O8" s="1" t="s">
        <v>40</v>
      </c>
      <c r="P8" s="1" t="s">
        <v>78</v>
      </c>
      <c r="Q8" s="1" t="s">
        <v>79</v>
      </c>
      <c r="R8" s="1" t="s">
        <v>43</v>
      </c>
      <c r="S8" s="1" t="s">
        <v>80</v>
      </c>
      <c r="T8" s="1" t="s">
        <v>81</v>
      </c>
      <c r="U8" s="2" t="s">
        <v>82</v>
      </c>
      <c r="V8" s="2" t="s">
        <v>83</v>
      </c>
      <c r="W8" s="2" t="s">
        <v>84</v>
      </c>
      <c r="X8" s="2">
        <v>335.93</v>
      </c>
    </row>
    <row r="9" spans="1:24" x14ac:dyDescent="0.3">
      <c r="A9">
        <v>106</v>
      </c>
      <c r="B9" t="s">
        <v>85</v>
      </c>
      <c r="C9" s="3">
        <v>40868</v>
      </c>
      <c r="D9" t="s">
        <v>39</v>
      </c>
      <c r="E9">
        <v>61</v>
      </c>
      <c r="F9" s="3">
        <f ca="1">40869+(RANDBETWEEN(1,10))</f>
        <v>40875</v>
      </c>
      <c r="G9" t="s">
        <v>26</v>
      </c>
      <c r="H9" t="s">
        <v>51</v>
      </c>
      <c r="I9" t="s">
        <v>86</v>
      </c>
      <c r="J9">
        <v>2054.36</v>
      </c>
      <c r="K9">
        <v>0.01</v>
      </c>
      <c r="L9">
        <v>0.56000000000000005</v>
      </c>
      <c r="M9">
        <v>13.93</v>
      </c>
      <c r="N9">
        <v>-38.15</v>
      </c>
      <c r="O9" s="1" t="s">
        <v>87</v>
      </c>
      <c r="P9" s="1" t="s">
        <v>88</v>
      </c>
      <c r="Q9" s="1" t="s">
        <v>89</v>
      </c>
      <c r="R9" s="1" t="s">
        <v>90</v>
      </c>
      <c r="S9" s="1" t="s">
        <v>91</v>
      </c>
      <c r="T9" s="1" t="s">
        <v>92</v>
      </c>
      <c r="U9" s="2" t="s">
        <v>93</v>
      </c>
      <c r="V9" s="2" t="s">
        <v>47</v>
      </c>
      <c r="W9" s="2" t="s">
        <v>94</v>
      </c>
      <c r="X9" s="2">
        <v>32.585000000000001</v>
      </c>
    </row>
    <row r="10" spans="1:24" x14ac:dyDescent="0.3">
      <c r="A10">
        <v>1074</v>
      </c>
      <c r="B10" t="s">
        <v>95</v>
      </c>
      <c r="C10" s="3">
        <v>40546</v>
      </c>
      <c r="D10" t="s">
        <v>39</v>
      </c>
      <c r="E10">
        <v>29</v>
      </c>
      <c r="F10" s="3">
        <f ca="1">40547+(RANDBETWEEN(1,10))</f>
        <v>40551</v>
      </c>
      <c r="G10" t="s">
        <v>26</v>
      </c>
      <c r="H10" t="s">
        <v>96</v>
      </c>
      <c r="I10" t="s">
        <v>97</v>
      </c>
      <c r="J10">
        <v>427.80500000000001</v>
      </c>
      <c r="K10">
        <v>0.03</v>
      </c>
      <c r="L10">
        <v>0.44</v>
      </c>
      <c r="M10">
        <v>4.2</v>
      </c>
      <c r="N10">
        <v>34.369999999999997</v>
      </c>
      <c r="O10" s="1" t="s">
        <v>53</v>
      </c>
      <c r="P10" s="1" t="s">
        <v>98</v>
      </c>
      <c r="Q10" s="1" t="s">
        <v>99</v>
      </c>
      <c r="R10" s="1" t="s">
        <v>100</v>
      </c>
      <c r="S10" s="1" t="s">
        <v>101</v>
      </c>
      <c r="T10" s="1" t="s">
        <v>102</v>
      </c>
      <c r="U10" s="2" t="s">
        <v>103</v>
      </c>
      <c r="V10" s="2" t="s">
        <v>47</v>
      </c>
      <c r="W10" s="2" t="s">
        <v>104</v>
      </c>
      <c r="X10" s="2">
        <v>14.91</v>
      </c>
    </row>
    <row r="11" spans="1:24" x14ac:dyDescent="0.3">
      <c r="A11">
        <v>1084</v>
      </c>
      <c r="B11" t="s">
        <v>105</v>
      </c>
      <c r="C11" s="3">
        <v>41171</v>
      </c>
      <c r="D11" t="s">
        <v>25</v>
      </c>
      <c r="E11">
        <v>18</v>
      </c>
      <c r="F11" s="3">
        <f ca="1">41173+(RANDBETWEEN(1,10))</f>
        <v>41174</v>
      </c>
      <c r="G11" t="s">
        <v>26</v>
      </c>
      <c r="H11" t="s">
        <v>27</v>
      </c>
      <c r="I11" t="s">
        <v>86</v>
      </c>
      <c r="J11">
        <v>940.27499999999998</v>
      </c>
      <c r="K11">
        <v>0.08</v>
      </c>
      <c r="L11">
        <v>0.39</v>
      </c>
      <c r="M11">
        <v>29.4</v>
      </c>
      <c r="N11">
        <v>-93.822749999999999</v>
      </c>
      <c r="O11" s="1" t="s">
        <v>64</v>
      </c>
      <c r="P11" s="1" t="s">
        <v>106</v>
      </c>
      <c r="Q11" s="1" t="s">
        <v>107</v>
      </c>
      <c r="R11" s="1" t="s">
        <v>67</v>
      </c>
      <c r="S11" s="1" t="s">
        <v>108</v>
      </c>
      <c r="T11" s="1" t="s">
        <v>109</v>
      </c>
      <c r="U11" s="2" t="s">
        <v>110</v>
      </c>
      <c r="V11" s="2" t="s">
        <v>47</v>
      </c>
      <c r="W11" s="2" t="s">
        <v>111</v>
      </c>
      <c r="X11" s="2">
        <v>52.534999999999997</v>
      </c>
    </row>
    <row r="12" spans="1:24" x14ac:dyDescent="0.3">
      <c r="A12">
        <v>1085</v>
      </c>
      <c r="B12" t="s">
        <v>105</v>
      </c>
      <c r="C12" s="3">
        <v>41171</v>
      </c>
      <c r="D12" t="s">
        <v>25</v>
      </c>
      <c r="E12">
        <v>2</v>
      </c>
      <c r="F12" s="3">
        <f ca="1">41173+(RANDBETWEEN(1,10))</f>
        <v>41175</v>
      </c>
      <c r="G12" t="s">
        <v>26</v>
      </c>
      <c r="H12" t="s">
        <v>27</v>
      </c>
      <c r="I12" t="s">
        <v>86</v>
      </c>
      <c r="J12">
        <v>70.98</v>
      </c>
      <c r="K12">
        <v>0.04</v>
      </c>
      <c r="L12">
        <v>0.39</v>
      </c>
      <c r="M12">
        <v>18.34</v>
      </c>
      <c r="N12">
        <v>-26.645499999999998</v>
      </c>
      <c r="O12" s="1" t="s">
        <v>64</v>
      </c>
      <c r="P12" s="1" t="s">
        <v>106</v>
      </c>
      <c r="Q12" s="1" t="s">
        <v>107</v>
      </c>
      <c r="R12" s="1" t="s">
        <v>67</v>
      </c>
      <c r="S12" s="1" t="s">
        <v>108</v>
      </c>
      <c r="T12" s="1" t="s">
        <v>109</v>
      </c>
      <c r="U12" s="2" t="s">
        <v>112</v>
      </c>
      <c r="V12" s="2" t="s">
        <v>47</v>
      </c>
      <c r="W12" s="2" t="s">
        <v>111</v>
      </c>
      <c r="X12" s="2">
        <v>16.87</v>
      </c>
    </row>
    <row r="13" spans="1:24" x14ac:dyDescent="0.3">
      <c r="A13">
        <v>1086</v>
      </c>
      <c r="B13" t="s">
        <v>113</v>
      </c>
      <c r="C13" s="3">
        <v>41232</v>
      </c>
      <c r="D13" t="s">
        <v>39</v>
      </c>
      <c r="E13">
        <v>51</v>
      </c>
      <c r="F13" s="3">
        <f ca="1">41234+(RANDBETWEEN(1,10))</f>
        <v>41239</v>
      </c>
      <c r="G13" t="s">
        <v>26</v>
      </c>
      <c r="H13" t="s">
        <v>96</v>
      </c>
      <c r="I13" t="s">
        <v>52</v>
      </c>
      <c r="J13">
        <v>448.63</v>
      </c>
      <c r="K13">
        <v>0.1</v>
      </c>
      <c r="L13">
        <v>0.38</v>
      </c>
      <c r="M13">
        <v>24.815000000000001</v>
      </c>
      <c r="N13">
        <v>-283.77999999999997</v>
      </c>
      <c r="O13" s="1" t="s">
        <v>53</v>
      </c>
      <c r="P13" s="1" t="s">
        <v>114</v>
      </c>
      <c r="Q13" s="1" t="s">
        <v>115</v>
      </c>
      <c r="R13" s="1" t="s">
        <v>100</v>
      </c>
      <c r="S13" s="1" t="s">
        <v>101</v>
      </c>
      <c r="T13" s="1" t="s">
        <v>116</v>
      </c>
      <c r="U13" s="2" t="s">
        <v>117</v>
      </c>
      <c r="V13" s="2" t="s">
        <v>47</v>
      </c>
      <c r="W13" s="2" t="s">
        <v>74</v>
      </c>
      <c r="X13" s="2">
        <v>7.63</v>
      </c>
    </row>
    <row r="14" spans="1:24" x14ac:dyDescent="0.3">
      <c r="A14">
        <v>1087</v>
      </c>
      <c r="B14" t="s">
        <v>113</v>
      </c>
      <c r="C14" s="3">
        <v>41232</v>
      </c>
      <c r="D14" t="s">
        <v>39</v>
      </c>
      <c r="E14">
        <v>160</v>
      </c>
      <c r="F14" s="3">
        <f ca="1">41234+(RANDBETWEEN(1,10))</f>
        <v>41235</v>
      </c>
      <c r="G14" t="s">
        <v>26</v>
      </c>
      <c r="H14" t="s">
        <v>27</v>
      </c>
      <c r="I14" t="s">
        <v>52</v>
      </c>
      <c r="J14">
        <v>12626.46</v>
      </c>
      <c r="K14">
        <v>0.01</v>
      </c>
      <c r="L14">
        <v>0.66</v>
      </c>
      <c r="M14">
        <v>18.97</v>
      </c>
      <c r="N14">
        <v>392.77</v>
      </c>
      <c r="O14" s="1" t="s">
        <v>53</v>
      </c>
      <c r="P14" s="1" t="s">
        <v>114</v>
      </c>
      <c r="Q14" s="1" t="s">
        <v>115</v>
      </c>
      <c r="R14" s="1" t="s">
        <v>100</v>
      </c>
      <c r="S14" s="1" t="s">
        <v>101</v>
      </c>
      <c r="T14" s="1" t="s">
        <v>116</v>
      </c>
      <c r="U14" s="2" t="s">
        <v>118</v>
      </c>
      <c r="V14" s="2" t="s">
        <v>47</v>
      </c>
      <c r="W14" s="2" t="s">
        <v>119</v>
      </c>
      <c r="X14" s="2">
        <v>73.430000000000007</v>
      </c>
    </row>
    <row r="15" spans="1:24" x14ac:dyDescent="0.3">
      <c r="A15">
        <v>1106</v>
      </c>
      <c r="B15" t="s">
        <v>120</v>
      </c>
      <c r="C15" s="3">
        <v>41032</v>
      </c>
      <c r="D15" t="s">
        <v>62</v>
      </c>
      <c r="E15">
        <v>35</v>
      </c>
      <c r="F15" s="3">
        <f ca="1">41032+(RANDBETWEEN(1,10))</f>
        <v>41034</v>
      </c>
      <c r="G15" t="s">
        <v>26</v>
      </c>
      <c r="H15" t="s">
        <v>51</v>
      </c>
      <c r="I15" t="s">
        <v>97</v>
      </c>
      <c r="J15">
        <v>3661.1750000000002</v>
      </c>
      <c r="K15">
        <v>0.01</v>
      </c>
      <c r="L15">
        <v>0.5</v>
      </c>
      <c r="M15">
        <v>6.9649999999999999</v>
      </c>
      <c r="N15">
        <v>669.51499999999999</v>
      </c>
      <c r="O15" s="1" t="s">
        <v>40</v>
      </c>
      <c r="P15" s="1" t="s">
        <v>121</v>
      </c>
      <c r="Q15" s="1" t="s">
        <v>122</v>
      </c>
      <c r="R15" s="1" t="s">
        <v>43</v>
      </c>
      <c r="S15" s="1" t="s">
        <v>44</v>
      </c>
      <c r="T15" s="1" t="s">
        <v>123</v>
      </c>
      <c r="U15" s="2" t="s">
        <v>124</v>
      </c>
      <c r="V15" s="2" t="s">
        <v>36</v>
      </c>
      <c r="W15" s="2" t="s">
        <v>60</v>
      </c>
      <c r="X15" s="2">
        <v>104.61499999999999</v>
      </c>
    </row>
    <row r="16" spans="1:24" x14ac:dyDescent="0.3">
      <c r="A16">
        <v>1115</v>
      </c>
      <c r="B16" t="s">
        <v>125</v>
      </c>
      <c r="C16" s="3">
        <v>40831</v>
      </c>
      <c r="D16" t="s">
        <v>25</v>
      </c>
      <c r="E16">
        <v>63</v>
      </c>
      <c r="F16" s="3">
        <f ca="1">40840+(RANDBETWEEN(1,10))</f>
        <v>40850</v>
      </c>
      <c r="G16" t="s">
        <v>26</v>
      </c>
      <c r="H16" t="s">
        <v>27</v>
      </c>
      <c r="I16" t="s">
        <v>28</v>
      </c>
      <c r="J16">
        <v>1155.7349999999999</v>
      </c>
      <c r="K16">
        <v>0.01</v>
      </c>
      <c r="L16">
        <v>0.36</v>
      </c>
      <c r="M16">
        <v>26.04</v>
      </c>
      <c r="N16">
        <v>-628.572</v>
      </c>
      <c r="O16" s="1" t="s">
        <v>64</v>
      </c>
      <c r="P16" s="1" t="s">
        <v>126</v>
      </c>
      <c r="Q16" s="1" t="s">
        <v>127</v>
      </c>
      <c r="R16" s="1" t="s">
        <v>128</v>
      </c>
      <c r="S16" s="1" t="s">
        <v>129</v>
      </c>
      <c r="T16" s="1" t="s">
        <v>130</v>
      </c>
      <c r="U16" s="2" t="s">
        <v>131</v>
      </c>
      <c r="V16" s="2" t="s">
        <v>47</v>
      </c>
      <c r="W16" s="2" t="s">
        <v>74</v>
      </c>
      <c r="X16" s="2">
        <v>17.43</v>
      </c>
    </row>
    <row r="17" spans="1:24" x14ac:dyDescent="0.3">
      <c r="A17">
        <v>112</v>
      </c>
      <c r="B17" t="s">
        <v>132</v>
      </c>
      <c r="C17" s="3">
        <v>40969</v>
      </c>
      <c r="D17" t="s">
        <v>50</v>
      </c>
      <c r="E17">
        <v>7</v>
      </c>
      <c r="F17" s="3">
        <f ca="1">40971+(RANDBETWEEN(1,10))</f>
        <v>40978</v>
      </c>
      <c r="G17" t="s">
        <v>26</v>
      </c>
      <c r="H17" t="s">
        <v>27</v>
      </c>
      <c r="I17" t="s">
        <v>28</v>
      </c>
      <c r="J17">
        <v>1961.7850000000001</v>
      </c>
      <c r="K17">
        <v>0.04</v>
      </c>
      <c r="L17">
        <v>0.59</v>
      </c>
      <c r="M17">
        <v>15.75</v>
      </c>
      <c r="N17">
        <v>114.1</v>
      </c>
      <c r="O17" s="1" t="s">
        <v>40</v>
      </c>
      <c r="P17" s="1" t="s">
        <v>133</v>
      </c>
      <c r="Q17" s="1" t="s">
        <v>134</v>
      </c>
      <c r="R17" s="1" t="s">
        <v>43</v>
      </c>
      <c r="S17" s="1" t="s">
        <v>44</v>
      </c>
      <c r="T17" s="1" t="s">
        <v>135</v>
      </c>
      <c r="U17" s="2" t="s">
        <v>136</v>
      </c>
      <c r="V17" s="2" t="s">
        <v>47</v>
      </c>
      <c r="W17" s="2" t="s">
        <v>71</v>
      </c>
      <c r="X17" s="2">
        <v>283.43</v>
      </c>
    </row>
    <row r="18" spans="1:24" x14ac:dyDescent="0.3">
      <c r="A18">
        <v>1127</v>
      </c>
      <c r="B18" t="s">
        <v>137</v>
      </c>
      <c r="C18" s="3">
        <v>41720</v>
      </c>
      <c r="D18" t="s">
        <v>25</v>
      </c>
      <c r="E18">
        <v>5</v>
      </c>
      <c r="F18" s="3">
        <f ca="1">41720+(RANDBETWEEN(1,10))</f>
        <v>41722</v>
      </c>
      <c r="G18" t="s">
        <v>76</v>
      </c>
      <c r="H18" t="s">
        <v>77</v>
      </c>
      <c r="I18" t="s">
        <v>52</v>
      </c>
      <c r="J18">
        <v>26201.314999999999</v>
      </c>
      <c r="K18">
        <v>0.05</v>
      </c>
      <c r="L18">
        <v>0.56999999999999995</v>
      </c>
      <c r="M18">
        <v>103.95</v>
      </c>
      <c r="N18">
        <v>-8964.6322500000006</v>
      </c>
      <c r="O18" s="1" t="s">
        <v>64</v>
      </c>
      <c r="P18" s="1" t="s">
        <v>138</v>
      </c>
      <c r="Q18" s="1" t="s">
        <v>139</v>
      </c>
      <c r="R18" s="1" t="s">
        <v>128</v>
      </c>
      <c r="S18" s="1" t="s">
        <v>129</v>
      </c>
      <c r="T18" s="1" t="s">
        <v>140</v>
      </c>
      <c r="U18" s="2" t="s">
        <v>141</v>
      </c>
      <c r="V18" s="2" t="s">
        <v>36</v>
      </c>
      <c r="W18" s="2" t="s">
        <v>142</v>
      </c>
      <c r="X18" s="2">
        <v>5253.3950000000004</v>
      </c>
    </row>
    <row r="19" spans="1:24" x14ac:dyDescent="0.3">
      <c r="A19">
        <v>1128</v>
      </c>
      <c r="B19" t="s">
        <v>143</v>
      </c>
      <c r="C19" s="3">
        <v>40624</v>
      </c>
      <c r="D19" t="s">
        <v>25</v>
      </c>
      <c r="E19">
        <v>18</v>
      </c>
      <c r="F19" s="3">
        <f ca="1">40628+(RANDBETWEEN(1,10))</f>
        <v>40631</v>
      </c>
      <c r="G19" t="s">
        <v>26</v>
      </c>
      <c r="H19" t="s">
        <v>27</v>
      </c>
      <c r="I19" t="s">
        <v>52</v>
      </c>
      <c r="J19">
        <v>3084.62</v>
      </c>
      <c r="K19">
        <v>0.02</v>
      </c>
      <c r="L19">
        <v>0.37</v>
      </c>
      <c r="M19">
        <v>17.815000000000001</v>
      </c>
      <c r="N19">
        <v>1307.845</v>
      </c>
      <c r="O19" s="1" t="s">
        <v>64</v>
      </c>
      <c r="P19" s="1" t="s">
        <v>138</v>
      </c>
      <c r="Q19" s="1" t="s">
        <v>139</v>
      </c>
      <c r="R19" s="1" t="s">
        <v>128</v>
      </c>
      <c r="S19" s="1" t="s">
        <v>129</v>
      </c>
      <c r="T19" s="1" t="s">
        <v>140</v>
      </c>
      <c r="U19" s="2" t="s">
        <v>144</v>
      </c>
      <c r="V19" s="2" t="s">
        <v>47</v>
      </c>
      <c r="W19" s="2" t="s">
        <v>74</v>
      </c>
      <c r="X19" s="2">
        <v>168.14</v>
      </c>
    </row>
    <row r="20" spans="1:24" x14ac:dyDescent="0.3">
      <c r="A20">
        <v>1129</v>
      </c>
      <c r="B20" t="s">
        <v>137</v>
      </c>
      <c r="C20" s="3">
        <v>41720</v>
      </c>
      <c r="D20" t="s">
        <v>25</v>
      </c>
      <c r="E20">
        <v>5</v>
      </c>
      <c r="F20" s="3">
        <f ca="1">41727+(RANDBETWEEN(1,10))</f>
        <v>41728</v>
      </c>
      <c r="G20" t="s">
        <v>26</v>
      </c>
      <c r="H20" t="s">
        <v>96</v>
      </c>
      <c r="I20" t="s">
        <v>52</v>
      </c>
      <c r="J20">
        <v>79.694999999999993</v>
      </c>
      <c r="K20">
        <v>0.03</v>
      </c>
      <c r="L20">
        <v>0.57999999999999996</v>
      </c>
      <c r="M20">
        <v>5.6</v>
      </c>
      <c r="N20">
        <v>-21.7</v>
      </c>
      <c r="O20" s="1" t="s">
        <v>64</v>
      </c>
      <c r="P20" s="1" t="s">
        <v>138</v>
      </c>
      <c r="Q20" s="1" t="s">
        <v>139</v>
      </c>
      <c r="R20" s="1" t="s">
        <v>128</v>
      </c>
      <c r="S20" s="1" t="s">
        <v>129</v>
      </c>
      <c r="T20" s="1" t="s">
        <v>140</v>
      </c>
      <c r="U20" s="2" t="s">
        <v>145</v>
      </c>
      <c r="V20" s="2" t="s">
        <v>47</v>
      </c>
      <c r="W20" s="2" t="s">
        <v>104</v>
      </c>
      <c r="X20" s="2">
        <v>14.98</v>
      </c>
    </row>
    <row r="21" spans="1:24" x14ac:dyDescent="0.3">
      <c r="A21">
        <v>113</v>
      </c>
      <c r="B21" t="s">
        <v>132</v>
      </c>
      <c r="C21" s="3">
        <v>40969</v>
      </c>
      <c r="D21" t="s">
        <v>50</v>
      </c>
      <c r="E21">
        <v>31</v>
      </c>
      <c r="F21" s="3">
        <f ca="1">40970+(RANDBETWEEN(1,10))</f>
        <v>40974</v>
      </c>
      <c r="G21" t="s">
        <v>26</v>
      </c>
      <c r="H21" t="s">
        <v>27</v>
      </c>
      <c r="I21" t="s">
        <v>28</v>
      </c>
      <c r="J21">
        <v>664.82500000000005</v>
      </c>
      <c r="K21">
        <v>0.08</v>
      </c>
      <c r="L21">
        <v>0.37</v>
      </c>
      <c r="M21">
        <v>17.989999999999998</v>
      </c>
      <c r="N21">
        <v>-198.38</v>
      </c>
      <c r="O21" s="1" t="s">
        <v>40</v>
      </c>
      <c r="P21" s="1" t="s">
        <v>133</v>
      </c>
      <c r="Q21" s="1" t="s">
        <v>134</v>
      </c>
      <c r="R21" s="1" t="s">
        <v>43</v>
      </c>
      <c r="S21" s="1" t="s">
        <v>44</v>
      </c>
      <c r="T21" s="1" t="s">
        <v>135</v>
      </c>
      <c r="U21" s="2" t="s">
        <v>146</v>
      </c>
      <c r="V21" s="2" t="s">
        <v>47</v>
      </c>
      <c r="W21" s="2" t="s">
        <v>74</v>
      </c>
      <c r="X21" s="2">
        <v>22.68</v>
      </c>
    </row>
    <row r="22" spans="1:24" x14ac:dyDescent="0.3">
      <c r="A22">
        <v>1146</v>
      </c>
      <c r="B22" t="s">
        <v>147</v>
      </c>
      <c r="C22" s="3">
        <v>41774</v>
      </c>
      <c r="D22" t="s">
        <v>148</v>
      </c>
      <c r="E22">
        <v>44</v>
      </c>
      <c r="F22" s="3">
        <f ca="1">41776+(RANDBETWEEN(1,10))</f>
        <v>41780</v>
      </c>
      <c r="G22" t="s">
        <v>26</v>
      </c>
      <c r="H22" t="s">
        <v>51</v>
      </c>
      <c r="I22" t="s">
        <v>52</v>
      </c>
      <c r="J22">
        <v>1299.48</v>
      </c>
      <c r="K22">
        <v>0.06</v>
      </c>
      <c r="L22">
        <v>0.74</v>
      </c>
      <c r="M22">
        <v>8.33</v>
      </c>
      <c r="N22">
        <v>-128.20500000000001</v>
      </c>
      <c r="O22" s="1" t="s">
        <v>40</v>
      </c>
      <c r="P22" s="1" t="s">
        <v>149</v>
      </c>
      <c r="Q22" s="1" t="s">
        <v>150</v>
      </c>
      <c r="R22" s="1" t="s">
        <v>43</v>
      </c>
      <c r="S22" s="1" t="s">
        <v>44</v>
      </c>
      <c r="T22" s="1" t="s">
        <v>151</v>
      </c>
      <c r="U22" s="2" t="s">
        <v>152</v>
      </c>
      <c r="V22" s="2" t="s">
        <v>36</v>
      </c>
      <c r="W22" s="2" t="s">
        <v>60</v>
      </c>
      <c r="X22" s="2">
        <v>29.12</v>
      </c>
    </row>
    <row r="23" spans="1:24" x14ac:dyDescent="0.3">
      <c r="A23">
        <v>1147</v>
      </c>
      <c r="B23" t="s">
        <v>153</v>
      </c>
      <c r="C23" s="3">
        <v>40678</v>
      </c>
      <c r="D23" t="s">
        <v>148</v>
      </c>
      <c r="E23">
        <v>23</v>
      </c>
      <c r="F23" s="3">
        <f ca="1">40680+(RANDBETWEEN(1,10))</f>
        <v>40689</v>
      </c>
      <c r="G23" t="s">
        <v>26</v>
      </c>
      <c r="H23" t="s">
        <v>96</v>
      </c>
      <c r="I23" t="s">
        <v>52</v>
      </c>
      <c r="J23">
        <v>233.45</v>
      </c>
      <c r="K23">
        <v>0.08</v>
      </c>
      <c r="L23">
        <v>0.57999999999999996</v>
      </c>
      <c r="M23">
        <v>3.36</v>
      </c>
      <c r="N23">
        <v>-7.42</v>
      </c>
      <c r="O23" s="1" t="s">
        <v>40</v>
      </c>
      <c r="P23" s="1" t="s">
        <v>149</v>
      </c>
      <c r="Q23" s="1" t="s">
        <v>150</v>
      </c>
      <c r="R23" s="1" t="s">
        <v>43</v>
      </c>
      <c r="S23" s="1" t="s">
        <v>44</v>
      </c>
      <c r="T23" s="1" t="s">
        <v>151</v>
      </c>
      <c r="U23" s="2" t="s">
        <v>154</v>
      </c>
      <c r="V23" s="2" t="s">
        <v>47</v>
      </c>
      <c r="W23" s="2" t="s">
        <v>104</v>
      </c>
      <c r="X23" s="2">
        <v>10.29</v>
      </c>
    </row>
    <row r="24" spans="1:24" x14ac:dyDescent="0.3">
      <c r="A24">
        <v>1156</v>
      </c>
      <c r="B24" t="s">
        <v>155</v>
      </c>
      <c r="C24" s="3">
        <v>41546</v>
      </c>
      <c r="D24" t="s">
        <v>62</v>
      </c>
      <c r="E24">
        <v>37</v>
      </c>
      <c r="F24" s="3">
        <f ca="1">41548+(RANDBETWEEN(1,10))</f>
        <v>41550</v>
      </c>
      <c r="G24" t="s">
        <v>156</v>
      </c>
      <c r="H24" t="s">
        <v>27</v>
      </c>
      <c r="I24" t="s">
        <v>86</v>
      </c>
      <c r="J24">
        <v>2508.4850000000001</v>
      </c>
      <c r="K24">
        <v>7.0000000000000007E-2</v>
      </c>
      <c r="L24">
        <v>0.38</v>
      </c>
      <c r="M24">
        <v>20.895</v>
      </c>
      <c r="N24">
        <v>246.36500000000001</v>
      </c>
      <c r="O24" s="1" t="s">
        <v>53</v>
      </c>
      <c r="P24" s="1" t="s">
        <v>157</v>
      </c>
      <c r="Q24" s="1" t="s">
        <v>158</v>
      </c>
      <c r="R24" s="1" t="s">
        <v>56</v>
      </c>
      <c r="S24" s="1" t="s">
        <v>159</v>
      </c>
      <c r="T24" s="1" t="s">
        <v>160</v>
      </c>
      <c r="U24" s="2" t="s">
        <v>161</v>
      </c>
      <c r="V24" s="2" t="s">
        <v>47</v>
      </c>
      <c r="W24" s="2" t="s">
        <v>74</v>
      </c>
      <c r="X24" s="2">
        <v>69.930000000000007</v>
      </c>
    </row>
    <row r="25" spans="1:24" x14ac:dyDescent="0.3">
      <c r="A25">
        <v>1157</v>
      </c>
      <c r="B25" t="s">
        <v>155</v>
      </c>
      <c r="C25" s="3">
        <v>41546</v>
      </c>
      <c r="D25" t="s">
        <v>62</v>
      </c>
      <c r="E25">
        <v>47</v>
      </c>
      <c r="F25" s="3">
        <f ca="1">41547+(RANDBETWEEN(1,10))</f>
        <v>41554</v>
      </c>
      <c r="G25" t="s">
        <v>26</v>
      </c>
      <c r="H25" t="s">
        <v>27</v>
      </c>
      <c r="I25" t="s">
        <v>86</v>
      </c>
      <c r="J25">
        <v>1045.94</v>
      </c>
      <c r="K25">
        <v>0.1</v>
      </c>
      <c r="L25">
        <v>0.37</v>
      </c>
      <c r="M25">
        <v>24.605</v>
      </c>
      <c r="N25">
        <v>-303.17</v>
      </c>
      <c r="O25" s="1" t="s">
        <v>53</v>
      </c>
      <c r="P25" s="1" t="s">
        <v>157</v>
      </c>
      <c r="Q25" s="1" t="s">
        <v>158</v>
      </c>
      <c r="R25" s="1" t="s">
        <v>56</v>
      </c>
      <c r="S25" s="1" t="s">
        <v>159</v>
      </c>
      <c r="T25" s="1" t="s">
        <v>160</v>
      </c>
      <c r="U25" s="2" t="s">
        <v>162</v>
      </c>
      <c r="V25" s="2" t="s">
        <v>47</v>
      </c>
      <c r="W25" s="2" t="s">
        <v>74</v>
      </c>
      <c r="X25" s="2">
        <v>22.68</v>
      </c>
    </row>
    <row r="26" spans="1:24" x14ac:dyDescent="0.3">
      <c r="A26">
        <v>119</v>
      </c>
      <c r="B26" t="s">
        <v>163</v>
      </c>
      <c r="C26" s="3">
        <v>41177</v>
      </c>
      <c r="D26" t="s">
        <v>148</v>
      </c>
      <c r="E26">
        <v>69</v>
      </c>
      <c r="F26" s="3">
        <f ca="1">41178+(RANDBETWEEN(1,10))</f>
        <v>41185</v>
      </c>
      <c r="G26" t="s">
        <v>26</v>
      </c>
      <c r="H26" t="s">
        <v>27</v>
      </c>
      <c r="I26" t="s">
        <v>97</v>
      </c>
      <c r="J26">
        <v>13163.92</v>
      </c>
      <c r="K26">
        <v>0.06</v>
      </c>
      <c r="L26">
        <v>0.56000000000000005</v>
      </c>
      <c r="M26">
        <v>31.465</v>
      </c>
      <c r="N26">
        <v>1137.2445</v>
      </c>
      <c r="O26" s="1" t="s">
        <v>40</v>
      </c>
      <c r="P26" s="1" t="s">
        <v>121</v>
      </c>
      <c r="Q26" s="1" t="s">
        <v>122</v>
      </c>
      <c r="R26" s="1" t="s">
        <v>43</v>
      </c>
      <c r="S26" s="1" t="s">
        <v>44</v>
      </c>
      <c r="T26" s="1" t="s">
        <v>123</v>
      </c>
      <c r="U26" s="2" t="s">
        <v>164</v>
      </c>
      <c r="V26" s="2" t="s">
        <v>36</v>
      </c>
      <c r="W26" s="2" t="s">
        <v>37</v>
      </c>
      <c r="X26" s="2">
        <v>230.965</v>
      </c>
    </row>
    <row r="27" spans="1:24" x14ac:dyDescent="0.3">
      <c r="A27">
        <v>1205</v>
      </c>
      <c r="B27" t="s">
        <v>165</v>
      </c>
      <c r="C27" s="3">
        <v>41763</v>
      </c>
      <c r="D27" t="s">
        <v>25</v>
      </c>
      <c r="E27">
        <v>52</v>
      </c>
      <c r="F27" s="3">
        <f ca="1">41767+(RANDBETWEEN(1,10))</f>
        <v>41771</v>
      </c>
      <c r="G27" t="s">
        <v>26</v>
      </c>
      <c r="H27" t="s">
        <v>63</v>
      </c>
      <c r="I27" t="s">
        <v>86</v>
      </c>
      <c r="J27">
        <v>15192.344999999999</v>
      </c>
      <c r="K27">
        <v>0</v>
      </c>
      <c r="L27">
        <v>0.81</v>
      </c>
      <c r="M27">
        <v>122.5</v>
      </c>
      <c r="N27">
        <v>-2963.5549999999998</v>
      </c>
      <c r="O27" s="1" t="s">
        <v>53</v>
      </c>
      <c r="P27" s="1" t="s">
        <v>157</v>
      </c>
      <c r="Q27" s="1" t="s">
        <v>158</v>
      </c>
      <c r="R27" s="1" t="s">
        <v>56</v>
      </c>
      <c r="S27" s="1" t="s">
        <v>159</v>
      </c>
      <c r="T27" s="1" t="s">
        <v>160</v>
      </c>
      <c r="U27" s="2" t="s">
        <v>166</v>
      </c>
      <c r="V27" s="2" t="s">
        <v>47</v>
      </c>
      <c r="W27" s="2" t="s">
        <v>119</v>
      </c>
      <c r="X27" s="2">
        <v>283.43</v>
      </c>
    </row>
    <row r="28" spans="1:24" x14ac:dyDescent="0.3">
      <c r="A28">
        <v>1225</v>
      </c>
      <c r="B28" t="s">
        <v>167</v>
      </c>
      <c r="C28" s="3">
        <v>40640</v>
      </c>
      <c r="D28" t="s">
        <v>25</v>
      </c>
      <c r="E28">
        <v>36</v>
      </c>
      <c r="F28" s="3">
        <f ca="1">40642+(RANDBETWEEN(1,10))</f>
        <v>40648</v>
      </c>
      <c r="G28" t="s">
        <v>26</v>
      </c>
      <c r="H28" t="s">
        <v>27</v>
      </c>
      <c r="I28" t="s">
        <v>28</v>
      </c>
      <c r="J28">
        <v>4981.7250000000004</v>
      </c>
      <c r="K28">
        <v>0.1</v>
      </c>
      <c r="L28">
        <v>0.77</v>
      </c>
      <c r="M28">
        <v>69.965000000000003</v>
      </c>
      <c r="N28">
        <v>-2031.12</v>
      </c>
      <c r="O28" s="1" t="s">
        <v>53</v>
      </c>
      <c r="P28" s="1" t="s">
        <v>168</v>
      </c>
      <c r="Q28" s="1" t="s">
        <v>169</v>
      </c>
      <c r="R28" s="1" t="s">
        <v>100</v>
      </c>
      <c r="S28" s="1" t="s">
        <v>101</v>
      </c>
      <c r="T28" s="1" t="s">
        <v>170</v>
      </c>
      <c r="U28" s="2" t="s">
        <v>171</v>
      </c>
      <c r="V28" s="2" t="s">
        <v>36</v>
      </c>
      <c r="W28" s="2" t="s">
        <v>60</v>
      </c>
      <c r="X28" s="2">
        <v>141.68</v>
      </c>
    </row>
    <row r="29" spans="1:24" x14ac:dyDescent="0.3">
      <c r="A29">
        <v>1244</v>
      </c>
      <c r="B29" t="s">
        <v>172</v>
      </c>
      <c r="C29" s="3">
        <v>41353</v>
      </c>
      <c r="D29" t="s">
        <v>39</v>
      </c>
      <c r="E29">
        <v>36</v>
      </c>
      <c r="F29" s="3">
        <f ca="1">41354+(RANDBETWEEN(1,10))</f>
        <v>41362</v>
      </c>
      <c r="G29" t="s">
        <v>26</v>
      </c>
      <c r="H29" t="s">
        <v>96</v>
      </c>
      <c r="I29" t="s">
        <v>52</v>
      </c>
      <c r="J29">
        <v>469.35</v>
      </c>
      <c r="K29">
        <v>0.06</v>
      </c>
      <c r="L29">
        <v>0.39</v>
      </c>
      <c r="M29">
        <v>3.4649999999999999</v>
      </c>
      <c r="N29">
        <v>107.13500000000001</v>
      </c>
      <c r="O29" s="1" t="s">
        <v>64</v>
      </c>
      <c r="P29" s="1" t="s">
        <v>173</v>
      </c>
      <c r="Q29" s="1" t="s">
        <v>174</v>
      </c>
      <c r="R29" s="1" t="s">
        <v>67</v>
      </c>
      <c r="S29" s="1" t="s">
        <v>108</v>
      </c>
      <c r="T29" s="1" t="s">
        <v>109</v>
      </c>
      <c r="U29" s="2" t="s">
        <v>175</v>
      </c>
      <c r="V29" s="2" t="s">
        <v>47</v>
      </c>
      <c r="W29" s="2" t="s">
        <v>176</v>
      </c>
      <c r="X29" s="2">
        <v>13.755000000000001</v>
      </c>
    </row>
    <row r="30" spans="1:24" x14ac:dyDescent="0.3">
      <c r="A30">
        <v>1245</v>
      </c>
      <c r="B30" t="s">
        <v>172</v>
      </c>
      <c r="C30" s="3">
        <v>41353</v>
      </c>
      <c r="D30" t="s">
        <v>39</v>
      </c>
      <c r="E30">
        <v>21</v>
      </c>
      <c r="F30" s="3">
        <f ca="1">41356+(RANDBETWEEN(1,10))</f>
        <v>41363</v>
      </c>
      <c r="G30" t="s">
        <v>26</v>
      </c>
      <c r="H30" t="s">
        <v>51</v>
      </c>
      <c r="I30" t="s">
        <v>52</v>
      </c>
      <c r="J30">
        <v>7061.4949999999999</v>
      </c>
      <c r="K30">
        <v>0.06</v>
      </c>
      <c r="L30">
        <v>0.35</v>
      </c>
      <c r="M30">
        <v>31.465</v>
      </c>
      <c r="N30">
        <v>4176.165</v>
      </c>
      <c r="O30" s="1" t="s">
        <v>64</v>
      </c>
      <c r="P30" s="1" t="s">
        <v>173</v>
      </c>
      <c r="Q30" s="1" t="s">
        <v>174</v>
      </c>
      <c r="R30" s="1" t="s">
        <v>67</v>
      </c>
      <c r="S30" s="1" t="s">
        <v>108</v>
      </c>
      <c r="T30" s="1" t="s">
        <v>109</v>
      </c>
      <c r="U30" s="2" t="s">
        <v>177</v>
      </c>
      <c r="V30" s="2" t="s">
        <v>83</v>
      </c>
      <c r="W30" s="2" t="s">
        <v>178</v>
      </c>
      <c r="X30" s="2">
        <v>347.30500000000001</v>
      </c>
    </row>
    <row r="31" spans="1:24" x14ac:dyDescent="0.3">
      <c r="A31">
        <v>1279</v>
      </c>
      <c r="B31" t="s">
        <v>179</v>
      </c>
      <c r="C31" s="3">
        <v>40545</v>
      </c>
      <c r="D31" t="s">
        <v>62</v>
      </c>
      <c r="E31">
        <v>3</v>
      </c>
      <c r="F31" s="3">
        <f ca="1">40547+(RANDBETWEEN(1,10))</f>
        <v>40553</v>
      </c>
      <c r="G31" t="s">
        <v>26</v>
      </c>
      <c r="H31" t="s">
        <v>27</v>
      </c>
      <c r="I31" t="s">
        <v>52</v>
      </c>
      <c r="J31">
        <v>436.83499999999998</v>
      </c>
      <c r="K31">
        <v>0.06</v>
      </c>
      <c r="L31">
        <v>0.36</v>
      </c>
      <c r="M31">
        <v>10.465</v>
      </c>
      <c r="N31">
        <v>-66.847200000000001</v>
      </c>
      <c r="O31" s="1" t="s">
        <v>64</v>
      </c>
      <c r="P31" s="1" t="s">
        <v>138</v>
      </c>
      <c r="Q31" s="1" t="s">
        <v>139</v>
      </c>
      <c r="R31" s="1" t="s">
        <v>128</v>
      </c>
      <c r="S31" s="1" t="s">
        <v>129</v>
      </c>
      <c r="T31" s="1" t="s">
        <v>140</v>
      </c>
      <c r="U31" s="2" t="s">
        <v>180</v>
      </c>
      <c r="V31" s="2" t="s">
        <v>47</v>
      </c>
      <c r="W31" s="2" t="s">
        <v>111</v>
      </c>
      <c r="X31" s="2">
        <v>143.43</v>
      </c>
    </row>
    <row r="32" spans="1:24" x14ac:dyDescent="0.3">
      <c r="A32">
        <v>1282</v>
      </c>
      <c r="B32" t="s">
        <v>181</v>
      </c>
      <c r="C32" s="3">
        <v>41614</v>
      </c>
      <c r="D32" t="s">
        <v>25</v>
      </c>
      <c r="E32">
        <v>36</v>
      </c>
      <c r="F32" s="3">
        <f ca="1">41616+(RANDBETWEEN(1,10))</f>
        <v>41622</v>
      </c>
      <c r="G32" t="s">
        <v>26</v>
      </c>
      <c r="H32" t="s">
        <v>63</v>
      </c>
      <c r="I32" t="s">
        <v>52</v>
      </c>
      <c r="J32">
        <v>12131.7</v>
      </c>
      <c r="K32">
        <v>0.09</v>
      </c>
      <c r="L32" t="s">
        <v>182</v>
      </c>
      <c r="M32">
        <v>122.5</v>
      </c>
      <c r="N32">
        <v>-1769.915</v>
      </c>
      <c r="O32" s="1" t="s">
        <v>64</v>
      </c>
      <c r="P32" s="1" t="s">
        <v>183</v>
      </c>
      <c r="Q32" s="1" t="s">
        <v>184</v>
      </c>
      <c r="R32" s="1" t="s">
        <v>128</v>
      </c>
      <c r="S32" s="1" t="s">
        <v>129</v>
      </c>
      <c r="T32" s="1" t="s">
        <v>185</v>
      </c>
      <c r="U32" s="2" t="s">
        <v>186</v>
      </c>
      <c r="V32" s="2" t="s">
        <v>47</v>
      </c>
      <c r="W32" s="2" t="s">
        <v>119</v>
      </c>
      <c r="X32" s="2">
        <v>335.96499999999997</v>
      </c>
    </row>
    <row r="33" spans="1:24" x14ac:dyDescent="0.3">
      <c r="A33">
        <v>1283</v>
      </c>
      <c r="B33" t="s">
        <v>181</v>
      </c>
      <c r="C33" s="3">
        <v>41614</v>
      </c>
      <c r="D33" t="s">
        <v>25</v>
      </c>
      <c r="E33">
        <v>62</v>
      </c>
      <c r="F33" s="3">
        <f ca="1">41614+(RANDBETWEEN(1,10))</f>
        <v>41618</v>
      </c>
      <c r="G33" t="s">
        <v>26</v>
      </c>
      <c r="H33" t="s">
        <v>27</v>
      </c>
      <c r="I33" t="s">
        <v>52</v>
      </c>
      <c r="J33">
        <v>24140.514999999999</v>
      </c>
      <c r="K33">
        <v>0.02</v>
      </c>
      <c r="L33">
        <v>0.55000000000000004</v>
      </c>
      <c r="M33">
        <v>31.465</v>
      </c>
      <c r="N33">
        <v>3151.4490000000001</v>
      </c>
      <c r="O33" s="1" t="s">
        <v>64</v>
      </c>
      <c r="P33" s="1" t="s">
        <v>183</v>
      </c>
      <c r="Q33" s="1" t="s">
        <v>184</v>
      </c>
      <c r="R33" s="1" t="s">
        <v>128</v>
      </c>
      <c r="S33" s="1" t="s">
        <v>129</v>
      </c>
      <c r="T33" s="1" t="s">
        <v>185</v>
      </c>
      <c r="U33" s="2" t="s">
        <v>187</v>
      </c>
      <c r="V33" s="2" t="s">
        <v>36</v>
      </c>
      <c r="W33" s="2" t="s">
        <v>37</v>
      </c>
      <c r="X33" s="2">
        <v>440.96499999999997</v>
      </c>
    </row>
    <row r="34" spans="1:24" x14ac:dyDescent="0.3">
      <c r="A34">
        <v>1288</v>
      </c>
      <c r="B34" t="s">
        <v>188</v>
      </c>
      <c r="C34" s="3">
        <v>41764</v>
      </c>
      <c r="D34" t="s">
        <v>62</v>
      </c>
      <c r="E34">
        <v>16</v>
      </c>
      <c r="F34" s="3">
        <f ca="1">41766+(RANDBETWEEN(1,10))</f>
        <v>41769</v>
      </c>
      <c r="G34" t="s">
        <v>26</v>
      </c>
      <c r="H34" t="s">
        <v>27</v>
      </c>
      <c r="I34" t="s">
        <v>97</v>
      </c>
      <c r="J34">
        <v>7992.4250000000002</v>
      </c>
      <c r="K34">
        <v>0.1</v>
      </c>
      <c r="L34">
        <v>0.79</v>
      </c>
      <c r="M34">
        <v>14</v>
      </c>
      <c r="N34">
        <v>-1367.6949999999999</v>
      </c>
      <c r="O34" s="1" t="s">
        <v>64</v>
      </c>
      <c r="P34" s="1" t="s">
        <v>189</v>
      </c>
      <c r="Q34" s="1" t="s">
        <v>190</v>
      </c>
      <c r="R34" s="1" t="s">
        <v>67</v>
      </c>
      <c r="S34" s="1" t="s">
        <v>108</v>
      </c>
      <c r="T34" s="1" t="s">
        <v>191</v>
      </c>
      <c r="U34" s="2" t="s">
        <v>192</v>
      </c>
      <c r="V34" s="2" t="s">
        <v>36</v>
      </c>
      <c r="W34" s="2" t="s">
        <v>60</v>
      </c>
      <c r="X34" s="2">
        <v>533.67999999999995</v>
      </c>
    </row>
    <row r="35" spans="1:24" x14ac:dyDescent="0.3">
      <c r="A35">
        <v>1293</v>
      </c>
      <c r="B35" t="s">
        <v>193</v>
      </c>
      <c r="C35" s="3">
        <v>41784</v>
      </c>
      <c r="D35" t="s">
        <v>50</v>
      </c>
      <c r="E35">
        <v>13</v>
      </c>
      <c r="F35" s="3">
        <f ca="1">41786+(RANDBETWEEN(1,10))</f>
        <v>41789</v>
      </c>
      <c r="G35" t="s">
        <v>156</v>
      </c>
      <c r="H35" t="s">
        <v>27</v>
      </c>
      <c r="I35" t="s">
        <v>28</v>
      </c>
      <c r="J35">
        <v>750.92499999999995</v>
      </c>
      <c r="K35">
        <v>0.08</v>
      </c>
      <c r="L35">
        <v>0.37</v>
      </c>
      <c r="M35">
        <v>46.13</v>
      </c>
      <c r="N35">
        <v>-233.04750000000001</v>
      </c>
      <c r="O35" s="1" t="s">
        <v>64</v>
      </c>
      <c r="P35" s="1" t="s">
        <v>194</v>
      </c>
      <c r="Q35" s="1" t="s">
        <v>195</v>
      </c>
      <c r="R35" s="1" t="s">
        <v>67</v>
      </c>
      <c r="S35" s="1" t="s">
        <v>108</v>
      </c>
      <c r="T35" s="1" t="s">
        <v>196</v>
      </c>
      <c r="U35" s="2" t="s">
        <v>197</v>
      </c>
      <c r="V35" s="2" t="s">
        <v>47</v>
      </c>
      <c r="W35" s="2" t="s">
        <v>111</v>
      </c>
      <c r="X35" s="2">
        <v>55.965000000000003</v>
      </c>
    </row>
    <row r="36" spans="1:24" x14ac:dyDescent="0.3">
      <c r="A36">
        <v>1311</v>
      </c>
      <c r="B36" t="s">
        <v>198</v>
      </c>
      <c r="C36" s="3">
        <v>40751</v>
      </c>
      <c r="D36" t="s">
        <v>50</v>
      </c>
      <c r="E36">
        <v>47</v>
      </c>
      <c r="F36" s="3">
        <f ca="1">40751+(RANDBETWEEN(1,10))</f>
        <v>40760</v>
      </c>
      <c r="G36" t="s">
        <v>26</v>
      </c>
      <c r="H36" t="s">
        <v>27</v>
      </c>
      <c r="I36" t="s">
        <v>86</v>
      </c>
      <c r="J36">
        <v>2080.54</v>
      </c>
      <c r="K36">
        <v>0.02</v>
      </c>
      <c r="L36">
        <v>0.38</v>
      </c>
      <c r="M36">
        <v>1.7150000000000001</v>
      </c>
      <c r="N36">
        <v>921.9</v>
      </c>
      <c r="O36" s="1" t="s">
        <v>40</v>
      </c>
      <c r="P36" s="1" t="s">
        <v>199</v>
      </c>
      <c r="Q36" s="1" t="s">
        <v>200</v>
      </c>
      <c r="R36" s="1" t="s">
        <v>43</v>
      </c>
      <c r="S36" s="1" t="s">
        <v>44</v>
      </c>
      <c r="T36" s="1" t="s">
        <v>201</v>
      </c>
      <c r="U36" s="2" t="s">
        <v>202</v>
      </c>
      <c r="V36" s="2" t="s">
        <v>47</v>
      </c>
      <c r="W36" s="2" t="s">
        <v>203</v>
      </c>
      <c r="X36" s="2">
        <v>43.854999999999997</v>
      </c>
    </row>
    <row r="37" spans="1:24" x14ac:dyDescent="0.3">
      <c r="A37">
        <v>1312</v>
      </c>
      <c r="B37" t="s">
        <v>198</v>
      </c>
      <c r="C37" s="3">
        <v>40751</v>
      </c>
      <c r="D37" t="s">
        <v>50</v>
      </c>
      <c r="E37">
        <v>44</v>
      </c>
      <c r="F37" s="3">
        <f ca="1">40753+(RANDBETWEEN(1,10))</f>
        <v>40758</v>
      </c>
      <c r="G37" t="s">
        <v>156</v>
      </c>
      <c r="H37" t="s">
        <v>96</v>
      </c>
      <c r="I37" t="s">
        <v>86</v>
      </c>
      <c r="J37">
        <v>799.75</v>
      </c>
      <c r="K37">
        <v>7.0000000000000007E-2</v>
      </c>
      <c r="L37">
        <v>0.36</v>
      </c>
      <c r="M37">
        <v>7.14</v>
      </c>
      <c r="N37">
        <v>130.58500000000001</v>
      </c>
      <c r="O37" s="1" t="s">
        <v>40</v>
      </c>
      <c r="P37" s="1" t="s">
        <v>199</v>
      </c>
      <c r="Q37" s="1" t="s">
        <v>200</v>
      </c>
      <c r="R37" s="1" t="s">
        <v>43</v>
      </c>
      <c r="S37" s="1" t="s">
        <v>44</v>
      </c>
      <c r="T37" s="1" t="s">
        <v>201</v>
      </c>
      <c r="U37" s="2" t="s">
        <v>204</v>
      </c>
      <c r="V37" s="2" t="s">
        <v>47</v>
      </c>
      <c r="W37" s="2" t="s">
        <v>74</v>
      </c>
      <c r="X37" s="2">
        <v>18.13</v>
      </c>
    </row>
    <row r="38" spans="1:24" x14ac:dyDescent="0.3">
      <c r="A38">
        <v>132</v>
      </c>
      <c r="B38" t="s">
        <v>205</v>
      </c>
      <c r="C38" s="3">
        <v>41554</v>
      </c>
      <c r="D38" t="s">
        <v>50</v>
      </c>
      <c r="E38">
        <v>35</v>
      </c>
      <c r="F38" s="3">
        <f ca="1">41555+(RANDBETWEEN(1,10))</f>
        <v>41560</v>
      </c>
      <c r="G38" t="s">
        <v>26</v>
      </c>
      <c r="H38" t="s">
        <v>27</v>
      </c>
      <c r="I38" t="s">
        <v>86</v>
      </c>
      <c r="J38">
        <v>851.79499999999996</v>
      </c>
      <c r="K38">
        <v>0.02</v>
      </c>
      <c r="L38">
        <v>0.37</v>
      </c>
      <c r="M38">
        <v>17.989999999999998</v>
      </c>
      <c r="N38">
        <v>-98.616</v>
      </c>
      <c r="O38" s="1" t="s">
        <v>87</v>
      </c>
      <c r="P38" s="1" t="s">
        <v>88</v>
      </c>
      <c r="Q38" s="1" t="s">
        <v>89</v>
      </c>
      <c r="R38" s="1" t="s">
        <v>90</v>
      </c>
      <c r="S38" s="1" t="s">
        <v>91</v>
      </c>
      <c r="T38" s="1" t="s">
        <v>92</v>
      </c>
      <c r="U38" s="2" t="s">
        <v>146</v>
      </c>
      <c r="V38" s="2" t="s">
        <v>47</v>
      </c>
      <c r="W38" s="2" t="s">
        <v>74</v>
      </c>
      <c r="X38" s="2">
        <v>22.68</v>
      </c>
    </row>
    <row r="39" spans="1:24" x14ac:dyDescent="0.3">
      <c r="A39">
        <v>1358</v>
      </c>
      <c r="B39" t="s">
        <v>206</v>
      </c>
      <c r="C39" s="3">
        <v>41716</v>
      </c>
      <c r="D39" t="s">
        <v>39</v>
      </c>
      <c r="E39">
        <v>16</v>
      </c>
      <c r="F39" s="3">
        <f ca="1">41718+(RANDBETWEEN(1,10))</f>
        <v>41719</v>
      </c>
      <c r="G39" t="s">
        <v>76</v>
      </c>
      <c r="H39" t="s">
        <v>77</v>
      </c>
      <c r="I39" t="s">
        <v>86</v>
      </c>
      <c r="J39">
        <v>18913.125</v>
      </c>
      <c r="K39">
        <v>0.08</v>
      </c>
      <c r="L39">
        <v>0.64</v>
      </c>
      <c r="M39">
        <v>206.22</v>
      </c>
      <c r="N39">
        <v>363.40499999999997</v>
      </c>
      <c r="O39" s="1" t="s">
        <v>64</v>
      </c>
      <c r="P39" s="1" t="s">
        <v>173</v>
      </c>
      <c r="Q39" s="1" t="s">
        <v>174</v>
      </c>
      <c r="R39" s="1" t="s">
        <v>67</v>
      </c>
      <c r="S39" s="1" t="s">
        <v>108</v>
      </c>
      <c r="T39" s="1" t="s">
        <v>109</v>
      </c>
      <c r="U39" s="2" t="s">
        <v>207</v>
      </c>
      <c r="V39" s="2" t="s">
        <v>83</v>
      </c>
      <c r="W39" s="2" t="s">
        <v>84</v>
      </c>
      <c r="X39" s="2">
        <v>1245.93</v>
      </c>
    </row>
    <row r="40" spans="1:24" x14ac:dyDescent="0.3">
      <c r="A40">
        <v>1359</v>
      </c>
      <c r="B40" t="s">
        <v>208</v>
      </c>
      <c r="C40" s="3">
        <v>41019</v>
      </c>
      <c r="D40" t="s">
        <v>25</v>
      </c>
      <c r="E40">
        <v>9</v>
      </c>
      <c r="F40" s="3">
        <f ca="1">41023+(RANDBETWEEN(1,10))</f>
        <v>41024</v>
      </c>
      <c r="G40" t="s">
        <v>26</v>
      </c>
      <c r="H40" t="s">
        <v>96</v>
      </c>
      <c r="I40" t="s">
        <v>86</v>
      </c>
      <c r="J40">
        <v>191.76499999999999</v>
      </c>
      <c r="K40">
        <v>0.05</v>
      </c>
      <c r="L40">
        <v>0.56000000000000005</v>
      </c>
      <c r="M40">
        <v>7.9450000000000003</v>
      </c>
      <c r="N40">
        <v>-23.87</v>
      </c>
      <c r="O40" s="1" t="s">
        <v>40</v>
      </c>
      <c r="P40" s="1" t="s">
        <v>209</v>
      </c>
      <c r="Q40" s="1" t="s">
        <v>210</v>
      </c>
      <c r="R40" s="1" t="s">
        <v>43</v>
      </c>
      <c r="S40" s="1" t="s">
        <v>44</v>
      </c>
      <c r="T40" s="1" t="s">
        <v>211</v>
      </c>
      <c r="U40" s="2" t="s">
        <v>212</v>
      </c>
      <c r="V40" s="2" t="s">
        <v>47</v>
      </c>
      <c r="W40" s="2" t="s">
        <v>104</v>
      </c>
      <c r="X40" s="2">
        <v>20.475000000000001</v>
      </c>
    </row>
    <row r="41" spans="1:24" x14ac:dyDescent="0.3">
      <c r="A41">
        <v>1390</v>
      </c>
      <c r="B41" t="s">
        <v>213</v>
      </c>
      <c r="C41" s="3">
        <v>40951</v>
      </c>
      <c r="D41" t="s">
        <v>25</v>
      </c>
      <c r="E41">
        <v>20</v>
      </c>
      <c r="F41" s="3">
        <f ca="1">40958+(RANDBETWEEN(1,10))</f>
        <v>40960</v>
      </c>
      <c r="G41" t="s">
        <v>26</v>
      </c>
      <c r="H41" t="s">
        <v>27</v>
      </c>
      <c r="I41" t="s">
        <v>28</v>
      </c>
      <c r="J41">
        <v>2229.64</v>
      </c>
      <c r="K41">
        <v>0</v>
      </c>
      <c r="L41">
        <v>0.75</v>
      </c>
      <c r="M41">
        <v>14</v>
      </c>
      <c r="N41">
        <v>-93.905000000000001</v>
      </c>
      <c r="O41" s="1" t="s">
        <v>64</v>
      </c>
      <c r="P41" s="1" t="s">
        <v>214</v>
      </c>
      <c r="Q41" s="1" t="s">
        <v>215</v>
      </c>
      <c r="R41" s="1" t="s">
        <v>67</v>
      </c>
      <c r="S41" s="1" t="s">
        <v>68</v>
      </c>
      <c r="T41" s="1" t="s">
        <v>69</v>
      </c>
      <c r="U41" s="2" t="s">
        <v>216</v>
      </c>
      <c r="V41" s="2" t="s">
        <v>36</v>
      </c>
      <c r="W41" s="2" t="s">
        <v>60</v>
      </c>
      <c r="X41" s="2">
        <v>107.55500000000001</v>
      </c>
    </row>
    <row r="42" spans="1:24" x14ac:dyDescent="0.3">
      <c r="A42">
        <v>1391</v>
      </c>
      <c r="B42" t="s">
        <v>217</v>
      </c>
      <c r="C42" s="3">
        <v>41128</v>
      </c>
      <c r="D42" t="s">
        <v>50</v>
      </c>
      <c r="E42">
        <v>88</v>
      </c>
      <c r="F42" s="3">
        <f ca="1">41129+(RANDBETWEEN(1,10))</f>
        <v>41136</v>
      </c>
      <c r="G42" t="s">
        <v>26</v>
      </c>
      <c r="H42" t="s">
        <v>27</v>
      </c>
      <c r="I42" t="s">
        <v>97</v>
      </c>
      <c r="J42">
        <v>6652.9750000000004</v>
      </c>
      <c r="K42">
        <v>0.02</v>
      </c>
      <c r="L42">
        <v>0.53</v>
      </c>
      <c r="M42">
        <v>23.38</v>
      </c>
      <c r="N42">
        <v>857.5</v>
      </c>
      <c r="O42" s="1" t="s">
        <v>40</v>
      </c>
      <c r="P42" s="1" t="s">
        <v>218</v>
      </c>
      <c r="Q42" s="1" t="s">
        <v>219</v>
      </c>
      <c r="R42" s="1" t="s">
        <v>220</v>
      </c>
      <c r="S42" s="1" t="s">
        <v>221</v>
      </c>
      <c r="T42" s="1" t="s">
        <v>222</v>
      </c>
      <c r="U42" s="2" t="s">
        <v>223</v>
      </c>
      <c r="V42" s="2" t="s">
        <v>83</v>
      </c>
      <c r="W42" s="2" t="s">
        <v>178</v>
      </c>
      <c r="X42" s="2">
        <v>70.98</v>
      </c>
    </row>
    <row r="43" spans="1:24" x14ac:dyDescent="0.3">
      <c r="A43">
        <v>1399</v>
      </c>
      <c r="B43" t="s">
        <v>224</v>
      </c>
      <c r="C43" s="3">
        <v>41191</v>
      </c>
      <c r="D43" t="s">
        <v>39</v>
      </c>
      <c r="E43">
        <v>40</v>
      </c>
      <c r="F43" s="3">
        <f ca="1">41192+(RANDBETWEEN(1,10))</f>
        <v>41196</v>
      </c>
      <c r="G43" t="s">
        <v>26</v>
      </c>
      <c r="H43" t="s">
        <v>27</v>
      </c>
      <c r="I43" t="s">
        <v>97</v>
      </c>
      <c r="J43">
        <v>615.68499999999995</v>
      </c>
      <c r="K43">
        <v>0.04</v>
      </c>
      <c r="L43">
        <v>0.35</v>
      </c>
      <c r="M43">
        <v>18.934999999999999</v>
      </c>
      <c r="N43">
        <v>-306.22199999999998</v>
      </c>
      <c r="O43" s="1" t="s">
        <v>225</v>
      </c>
      <c r="P43" s="1" t="s">
        <v>226</v>
      </c>
      <c r="Q43" s="1" t="s">
        <v>227</v>
      </c>
      <c r="R43" s="1" t="s">
        <v>228</v>
      </c>
      <c r="S43" s="1" t="s">
        <v>229</v>
      </c>
      <c r="T43" s="1" t="s">
        <v>230</v>
      </c>
      <c r="U43" s="2" t="s">
        <v>231</v>
      </c>
      <c r="V43" s="2" t="s">
        <v>47</v>
      </c>
      <c r="W43" s="2" t="s">
        <v>111</v>
      </c>
      <c r="X43" s="2">
        <v>14.84</v>
      </c>
    </row>
    <row r="44" spans="1:24" x14ac:dyDescent="0.3">
      <c r="A44">
        <v>1413</v>
      </c>
      <c r="B44" t="s">
        <v>232</v>
      </c>
      <c r="C44" s="3">
        <v>40918</v>
      </c>
      <c r="D44" t="s">
        <v>148</v>
      </c>
      <c r="E44">
        <v>21</v>
      </c>
      <c r="F44" s="3">
        <f ca="1">40919+(RANDBETWEEN(1,10))</f>
        <v>40922</v>
      </c>
      <c r="G44" t="s">
        <v>26</v>
      </c>
      <c r="H44" t="s">
        <v>27</v>
      </c>
      <c r="I44" t="s">
        <v>97</v>
      </c>
      <c r="J44">
        <v>390.81</v>
      </c>
      <c r="K44">
        <v>0.06</v>
      </c>
      <c r="L44">
        <v>0.38</v>
      </c>
      <c r="M44">
        <v>19.215</v>
      </c>
      <c r="N44">
        <v>-298.64800000000002</v>
      </c>
      <c r="O44" s="1" t="s">
        <v>64</v>
      </c>
      <c r="P44" s="1" t="s">
        <v>233</v>
      </c>
      <c r="Q44" s="1" t="s">
        <v>234</v>
      </c>
      <c r="R44" s="1" t="s">
        <v>67</v>
      </c>
      <c r="S44" s="1" t="s">
        <v>68</v>
      </c>
      <c r="T44" s="1" t="s">
        <v>235</v>
      </c>
      <c r="U44" s="2" t="s">
        <v>236</v>
      </c>
      <c r="V44" s="2" t="s">
        <v>47</v>
      </c>
      <c r="W44" s="2" t="s">
        <v>74</v>
      </c>
      <c r="X44" s="2">
        <v>17.43</v>
      </c>
    </row>
    <row r="45" spans="1:24" x14ac:dyDescent="0.3">
      <c r="A45">
        <v>1414</v>
      </c>
      <c r="B45" t="s">
        <v>232</v>
      </c>
      <c r="C45" s="3">
        <v>40918</v>
      </c>
      <c r="D45" t="s">
        <v>148</v>
      </c>
      <c r="E45">
        <v>24</v>
      </c>
      <c r="F45" s="3">
        <f ca="1">40920+(RANDBETWEEN(1,10))</f>
        <v>40924</v>
      </c>
      <c r="G45" t="s">
        <v>26</v>
      </c>
      <c r="H45" t="s">
        <v>51</v>
      </c>
      <c r="I45" t="s">
        <v>97</v>
      </c>
      <c r="J45">
        <v>811.82500000000005</v>
      </c>
      <c r="K45">
        <v>0.03</v>
      </c>
      <c r="L45">
        <v>0.43</v>
      </c>
      <c r="M45">
        <v>6.9649999999999999</v>
      </c>
      <c r="N45">
        <v>61.795999999999999</v>
      </c>
      <c r="O45" s="1" t="s">
        <v>64</v>
      </c>
      <c r="P45" s="1" t="s">
        <v>233</v>
      </c>
      <c r="Q45" s="1" t="s">
        <v>234</v>
      </c>
      <c r="R45" s="1" t="s">
        <v>67</v>
      </c>
      <c r="S45" s="1" t="s">
        <v>68</v>
      </c>
      <c r="T45" s="1" t="s">
        <v>235</v>
      </c>
      <c r="U45" s="2" t="s">
        <v>237</v>
      </c>
      <c r="V45" s="2" t="s">
        <v>36</v>
      </c>
      <c r="W45" s="2" t="s">
        <v>60</v>
      </c>
      <c r="X45" s="2">
        <v>34.229999999999997</v>
      </c>
    </row>
    <row r="46" spans="1:24" x14ac:dyDescent="0.3">
      <c r="A46">
        <v>1417</v>
      </c>
      <c r="B46" t="s">
        <v>238</v>
      </c>
      <c r="C46" s="3">
        <v>40640</v>
      </c>
      <c r="D46" t="s">
        <v>148</v>
      </c>
      <c r="E46">
        <v>36</v>
      </c>
      <c r="F46" s="3">
        <f ca="1">40641+(RANDBETWEEN(1,10))</f>
        <v>40642</v>
      </c>
      <c r="G46" t="s">
        <v>26</v>
      </c>
      <c r="H46" t="s">
        <v>27</v>
      </c>
      <c r="I46" t="s">
        <v>28</v>
      </c>
      <c r="J46">
        <v>7507.22</v>
      </c>
      <c r="K46">
        <v>0</v>
      </c>
      <c r="L46">
        <v>0.59</v>
      </c>
      <c r="M46">
        <v>18.41</v>
      </c>
      <c r="N46">
        <v>1897.875</v>
      </c>
      <c r="O46" s="1" t="s">
        <v>64</v>
      </c>
      <c r="P46" s="1" t="s">
        <v>214</v>
      </c>
      <c r="Q46" s="1" t="s">
        <v>215</v>
      </c>
      <c r="R46" s="1" t="s">
        <v>67</v>
      </c>
      <c r="S46" s="1" t="s">
        <v>68</v>
      </c>
      <c r="T46" s="1" t="s">
        <v>69</v>
      </c>
      <c r="U46" s="2" t="s">
        <v>239</v>
      </c>
      <c r="V46" s="2" t="s">
        <v>36</v>
      </c>
      <c r="W46" s="2" t="s">
        <v>37</v>
      </c>
      <c r="X46" s="2">
        <v>230.965</v>
      </c>
    </row>
    <row r="47" spans="1:24" x14ac:dyDescent="0.3">
      <c r="A47">
        <v>1439</v>
      </c>
      <c r="B47" t="s">
        <v>240</v>
      </c>
      <c r="C47" s="3">
        <v>41085</v>
      </c>
      <c r="D47" t="s">
        <v>62</v>
      </c>
      <c r="E47">
        <v>42</v>
      </c>
      <c r="F47" s="3">
        <f ca="1">41087+(RANDBETWEEN(1,10))</f>
        <v>41088</v>
      </c>
      <c r="G47" t="s">
        <v>26</v>
      </c>
      <c r="H47" t="s">
        <v>27</v>
      </c>
      <c r="I47" t="s">
        <v>52</v>
      </c>
      <c r="J47">
        <v>1014.09</v>
      </c>
      <c r="K47">
        <v>0.03</v>
      </c>
      <c r="L47">
        <v>0.37</v>
      </c>
      <c r="M47">
        <v>23.1</v>
      </c>
      <c r="N47">
        <v>-333.90314999999998</v>
      </c>
      <c r="O47" s="1" t="s">
        <v>53</v>
      </c>
      <c r="P47" s="1" t="s">
        <v>54</v>
      </c>
      <c r="Q47" s="1" t="s">
        <v>55</v>
      </c>
      <c r="R47" s="1" t="s">
        <v>56</v>
      </c>
      <c r="S47" s="1" t="s">
        <v>57</v>
      </c>
      <c r="T47" s="1" t="s">
        <v>58</v>
      </c>
      <c r="U47" s="2" t="s">
        <v>241</v>
      </c>
      <c r="V47" s="2" t="s">
        <v>47</v>
      </c>
      <c r="W47" s="2" t="s">
        <v>74</v>
      </c>
      <c r="X47" s="2">
        <v>22.68</v>
      </c>
    </row>
    <row r="48" spans="1:24" x14ac:dyDescent="0.3">
      <c r="A48">
        <v>1442</v>
      </c>
      <c r="B48" t="s">
        <v>242</v>
      </c>
      <c r="C48" s="3">
        <v>41131</v>
      </c>
      <c r="D48" t="s">
        <v>148</v>
      </c>
      <c r="E48">
        <v>68</v>
      </c>
      <c r="F48" s="3">
        <f ca="1">41133+(RANDBETWEEN(1,10))</f>
        <v>41140</v>
      </c>
      <c r="G48" t="s">
        <v>26</v>
      </c>
      <c r="H48" t="s">
        <v>51</v>
      </c>
      <c r="I48" t="s">
        <v>28</v>
      </c>
      <c r="J48">
        <v>5456.78</v>
      </c>
      <c r="K48">
        <v>0.06</v>
      </c>
      <c r="L48">
        <v>0.56999999999999995</v>
      </c>
      <c r="M48">
        <v>31.465</v>
      </c>
      <c r="N48">
        <v>-50.085000000000001</v>
      </c>
      <c r="O48" s="1" t="s">
        <v>53</v>
      </c>
      <c r="P48" s="1" t="s">
        <v>243</v>
      </c>
      <c r="Q48" s="1" t="s">
        <v>244</v>
      </c>
      <c r="R48" s="1" t="s">
        <v>100</v>
      </c>
      <c r="S48" s="1" t="s">
        <v>101</v>
      </c>
      <c r="T48" s="1" t="s">
        <v>245</v>
      </c>
      <c r="U48" s="2" t="s">
        <v>246</v>
      </c>
      <c r="V48" s="2" t="s">
        <v>47</v>
      </c>
      <c r="W48" s="2" t="s">
        <v>104</v>
      </c>
      <c r="X48" s="2">
        <v>80.465000000000003</v>
      </c>
    </row>
    <row r="49" spans="1:24" x14ac:dyDescent="0.3">
      <c r="A49">
        <v>1443</v>
      </c>
      <c r="B49" t="s">
        <v>247</v>
      </c>
      <c r="C49" s="3">
        <v>41861</v>
      </c>
      <c r="D49" t="s">
        <v>148</v>
      </c>
      <c r="E49">
        <v>92</v>
      </c>
      <c r="F49" s="3">
        <f ca="1">41862+(RANDBETWEEN(1,10))</f>
        <v>41869</v>
      </c>
      <c r="G49" t="s">
        <v>26</v>
      </c>
      <c r="H49" t="s">
        <v>51</v>
      </c>
      <c r="I49" t="s">
        <v>28</v>
      </c>
      <c r="J49">
        <v>3765.09</v>
      </c>
      <c r="K49">
        <v>0.05</v>
      </c>
      <c r="L49">
        <v>0.57999999999999996</v>
      </c>
      <c r="M49">
        <v>27.824999999999999</v>
      </c>
      <c r="N49">
        <v>-567.84</v>
      </c>
      <c r="O49" s="1" t="s">
        <v>53</v>
      </c>
      <c r="P49" s="1" t="s">
        <v>243</v>
      </c>
      <c r="Q49" s="1" t="s">
        <v>244</v>
      </c>
      <c r="R49" s="1" t="s">
        <v>100</v>
      </c>
      <c r="S49" s="1" t="s">
        <v>101</v>
      </c>
      <c r="T49" s="1" t="s">
        <v>245</v>
      </c>
      <c r="U49" s="2" t="s">
        <v>248</v>
      </c>
      <c r="V49" s="2" t="s">
        <v>47</v>
      </c>
      <c r="W49" s="2" t="s">
        <v>104</v>
      </c>
      <c r="X49" s="2">
        <v>40.81</v>
      </c>
    </row>
    <row r="50" spans="1:24" x14ac:dyDescent="0.3">
      <c r="A50">
        <v>1450</v>
      </c>
      <c r="B50" t="s">
        <v>249</v>
      </c>
      <c r="C50" s="3">
        <v>40765</v>
      </c>
      <c r="D50" t="s">
        <v>62</v>
      </c>
      <c r="E50">
        <v>41</v>
      </c>
      <c r="F50" s="3">
        <f ca="1">40766+(RANDBETWEEN(1,10))</f>
        <v>40768</v>
      </c>
      <c r="G50" t="s">
        <v>26</v>
      </c>
      <c r="H50" t="s">
        <v>27</v>
      </c>
      <c r="I50" t="s">
        <v>52</v>
      </c>
      <c r="J50">
        <v>759.5</v>
      </c>
      <c r="K50">
        <v>0.01</v>
      </c>
      <c r="L50">
        <v>0.36</v>
      </c>
      <c r="M50">
        <v>21.245000000000001</v>
      </c>
      <c r="N50">
        <v>-241.745</v>
      </c>
      <c r="O50" s="1" t="s">
        <v>40</v>
      </c>
      <c r="P50" s="1" t="s">
        <v>149</v>
      </c>
      <c r="Q50" s="1" t="s">
        <v>150</v>
      </c>
      <c r="R50" s="1" t="s">
        <v>43</v>
      </c>
      <c r="S50" s="1" t="s">
        <v>44</v>
      </c>
      <c r="T50" s="1" t="s">
        <v>151</v>
      </c>
      <c r="U50" s="2" t="s">
        <v>250</v>
      </c>
      <c r="V50" s="2" t="s">
        <v>47</v>
      </c>
      <c r="W50" s="2" t="s">
        <v>74</v>
      </c>
      <c r="X50" s="2">
        <v>17.43</v>
      </c>
    </row>
    <row r="51" spans="1:24" x14ac:dyDescent="0.3">
      <c r="A51">
        <v>1455</v>
      </c>
      <c r="B51" t="s">
        <v>251</v>
      </c>
      <c r="C51" s="3">
        <v>41763</v>
      </c>
      <c r="D51" t="s">
        <v>62</v>
      </c>
      <c r="E51">
        <v>46</v>
      </c>
      <c r="F51" s="3">
        <f ca="1">41768+(RANDBETWEEN(1,10))</f>
        <v>41778</v>
      </c>
      <c r="G51" t="s">
        <v>26</v>
      </c>
      <c r="H51" t="s">
        <v>27</v>
      </c>
      <c r="I51" t="s">
        <v>28</v>
      </c>
      <c r="J51">
        <v>1136.0999999999999</v>
      </c>
      <c r="K51">
        <v>0.1</v>
      </c>
      <c r="L51">
        <v>0.56000000000000005</v>
      </c>
      <c r="M51">
        <v>18.234999999999999</v>
      </c>
      <c r="N51">
        <v>-441.20089999999999</v>
      </c>
      <c r="O51" s="1" t="s">
        <v>64</v>
      </c>
      <c r="P51" s="1" t="s">
        <v>252</v>
      </c>
      <c r="Q51" s="1" t="s">
        <v>253</v>
      </c>
      <c r="R51" s="1" t="s">
        <v>67</v>
      </c>
      <c r="S51" s="1" t="s">
        <v>254</v>
      </c>
      <c r="T51" s="1" t="s">
        <v>255</v>
      </c>
      <c r="U51" s="2" t="s">
        <v>256</v>
      </c>
      <c r="V51" s="2" t="s">
        <v>83</v>
      </c>
      <c r="W51" s="2" t="s">
        <v>178</v>
      </c>
      <c r="X51" s="2">
        <v>25.83</v>
      </c>
    </row>
    <row r="52" spans="1:24" x14ac:dyDescent="0.3">
      <c r="A52">
        <v>1467</v>
      </c>
      <c r="B52" t="s">
        <v>257</v>
      </c>
      <c r="C52" s="3">
        <v>41727</v>
      </c>
      <c r="D52" t="s">
        <v>39</v>
      </c>
      <c r="E52">
        <v>10</v>
      </c>
      <c r="F52" s="3">
        <f ca="1">41728+(RANDBETWEEN(1,10))</f>
        <v>41730</v>
      </c>
      <c r="G52" t="s">
        <v>76</v>
      </c>
      <c r="H52" t="s">
        <v>258</v>
      </c>
      <c r="I52" t="s">
        <v>97</v>
      </c>
      <c r="J52">
        <v>3888.5349999999999</v>
      </c>
      <c r="K52">
        <v>0.09</v>
      </c>
      <c r="L52">
        <v>0.65</v>
      </c>
      <c r="M52">
        <v>153.125</v>
      </c>
      <c r="N52">
        <v>-512.01499999999999</v>
      </c>
      <c r="O52" s="1" t="s">
        <v>40</v>
      </c>
      <c r="P52" s="1" t="s">
        <v>259</v>
      </c>
      <c r="Q52" s="1" t="s">
        <v>260</v>
      </c>
      <c r="R52" s="1" t="s">
        <v>43</v>
      </c>
      <c r="S52" s="1" t="s">
        <v>44</v>
      </c>
      <c r="T52" s="1" t="s">
        <v>261</v>
      </c>
      <c r="U52" s="2" t="s">
        <v>262</v>
      </c>
      <c r="V52" s="2" t="s">
        <v>83</v>
      </c>
      <c r="W52" s="2" t="s">
        <v>263</v>
      </c>
      <c r="X52" s="2">
        <v>512.19000000000005</v>
      </c>
    </row>
    <row r="53" spans="1:24" x14ac:dyDescent="0.3">
      <c r="A53">
        <v>1470</v>
      </c>
      <c r="B53" t="s">
        <v>264</v>
      </c>
      <c r="C53" s="3">
        <v>41993</v>
      </c>
      <c r="D53" t="s">
        <v>62</v>
      </c>
      <c r="E53">
        <v>46</v>
      </c>
      <c r="F53" s="3">
        <f ca="1">41995+(RANDBETWEEN(1,10))</f>
        <v>41996</v>
      </c>
      <c r="G53" t="s">
        <v>26</v>
      </c>
      <c r="H53" t="s">
        <v>51</v>
      </c>
      <c r="I53" t="s">
        <v>28</v>
      </c>
      <c r="J53">
        <v>7577.01</v>
      </c>
      <c r="K53">
        <v>0.06</v>
      </c>
      <c r="L53">
        <v>0.71</v>
      </c>
      <c r="M53">
        <v>12.635</v>
      </c>
      <c r="N53">
        <v>83.894999999999996</v>
      </c>
      <c r="O53" s="1" t="s">
        <v>64</v>
      </c>
      <c r="P53" s="1" t="s">
        <v>265</v>
      </c>
      <c r="Q53" s="1" t="s">
        <v>266</v>
      </c>
      <c r="R53" s="1" t="s">
        <v>67</v>
      </c>
      <c r="S53" s="1" t="s">
        <v>108</v>
      </c>
      <c r="T53" s="1" t="s">
        <v>196</v>
      </c>
      <c r="U53" s="2" t="s">
        <v>267</v>
      </c>
      <c r="V53" s="2" t="s">
        <v>36</v>
      </c>
      <c r="W53" s="2" t="s">
        <v>60</v>
      </c>
      <c r="X53" s="2">
        <v>167.93</v>
      </c>
    </row>
    <row r="54" spans="1:24" x14ac:dyDescent="0.3">
      <c r="A54">
        <v>1497</v>
      </c>
      <c r="B54" t="s">
        <v>268</v>
      </c>
      <c r="C54" s="3">
        <v>41145</v>
      </c>
      <c r="D54" t="s">
        <v>62</v>
      </c>
      <c r="E54">
        <v>63</v>
      </c>
      <c r="F54" s="3">
        <f ca="1">41145+(RANDBETWEEN(1,10))</f>
        <v>41154</v>
      </c>
      <c r="G54" t="s">
        <v>26</v>
      </c>
      <c r="H54" t="s">
        <v>27</v>
      </c>
      <c r="I54" t="s">
        <v>86</v>
      </c>
      <c r="J54">
        <v>1470.35</v>
      </c>
      <c r="K54">
        <v>0.06</v>
      </c>
      <c r="L54">
        <v>0.37</v>
      </c>
      <c r="M54">
        <v>33.39</v>
      </c>
      <c r="N54">
        <v>-690.86500000000001</v>
      </c>
      <c r="O54" s="1" t="s">
        <v>40</v>
      </c>
      <c r="P54" s="1" t="s">
        <v>269</v>
      </c>
      <c r="Q54" s="1" t="s">
        <v>270</v>
      </c>
      <c r="R54" s="1" t="s">
        <v>43</v>
      </c>
      <c r="S54" s="1" t="s">
        <v>44</v>
      </c>
      <c r="T54" s="1" t="s">
        <v>271</v>
      </c>
      <c r="U54" s="2" t="s">
        <v>272</v>
      </c>
      <c r="V54" s="2" t="s">
        <v>47</v>
      </c>
      <c r="W54" s="2" t="s">
        <v>74</v>
      </c>
      <c r="X54" s="2">
        <v>22.68</v>
      </c>
    </row>
    <row r="55" spans="1:24" x14ac:dyDescent="0.3">
      <c r="A55">
        <v>151</v>
      </c>
      <c r="B55" t="s">
        <v>273</v>
      </c>
      <c r="C55" s="3">
        <v>40668</v>
      </c>
      <c r="D55" t="s">
        <v>25</v>
      </c>
      <c r="E55">
        <v>48</v>
      </c>
      <c r="F55" s="3">
        <f ca="1">40670+(RANDBETWEEN(1,10))</f>
        <v>40671</v>
      </c>
      <c r="G55" t="s">
        <v>26</v>
      </c>
      <c r="H55" t="s">
        <v>27</v>
      </c>
      <c r="I55" t="s">
        <v>86</v>
      </c>
      <c r="J55">
        <v>20689.724999999999</v>
      </c>
      <c r="K55">
        <v>0.06</v>
      </c>
      <c r="L55">
        <v>0.37</v>
      </c>
      <c r="M55">
        <v>69.965000000000003</v>
      </c>
      <c r="N55">
        <v>4928.6527500000002</v>
      </c>
      <c r="O55" s="1" t="s">
        <v>40</v>
      </c>
      <c r="P55" s="1" t="s">
        <v>269</v>
      </c>
      <c r="Q55" s="1" t="s">
        <v>270</v>
      </c>
      <c r="R55" s="1" t="s">
        <v>43</v>
      </c>
      <c r="S55" s="1" t="s">
        <v>44</v>
      </c>
      <c r="T55" s="1" t="s">
        <v>271</v>
      </c>
      <c r="U55" s="2" t="s">
        <v>274</v>
      </c>
      <c r="V55" s="2" t="s">
        <v>47</v>
      </c>
      <c r="W55" s="2" t="s">
        <v>111</v>
      </c>
      <c r="X55" s="2">
        <v>430.46499999999997</v>
      </c>
    </row>
    <row r="56" spans="1:24" x14ac:dyDescent="0.3">
      <c r="A56">
        <v>1511</v>
      </c>
      <c r="B56" t="s">
        <v>275</v>
      </c>
      <c r="C56" s="3">
        <v>40995</v>
      </c>
      <c r="D56" t="s">
        <v>39</v>
      </c>
      <c r="E56">
        <v>42</v>
      </c>
      <c r="F56" s="3">
        <f ca="1">40995+(RANDBETWEEN(1,10))</f>
        <v>41002</v>
      </c>
      <c r="G56" t="s">
        <v>26</v>
      </c>
      <c r="H56" t="s">
        <v>63</v>
      </c>
      <c r="I56" t="s">
        <v>28</v>
      </c>
      <c r="J56">
        <v>7143.3249999999998</v>
      </c>
      <c r="K56">
        <v>7.0000000000000007E-2</v>
      </c>
      <c r="L56">
        <v>0.83</v>
      </c>
      <c r="M56">
        <v>122.5</v>
      </c>
      <c r="N56">
        <v>-4311.5450000000001</v>
      </c>
      <c r="O56" s="1" t="s">
        <v>64</v>
      </c>
      <c r="P56" s="1" t="s">
        <v>276</v>
      </c>
      <c r="Q56" s="1" t="s">
        <v>277</v>
      </c>
      <c r="R56" s="1" t="s">
        <v>128</v>
      </c>
      <c r="S56" s="1" t="s">
        <v>129</v>
      </c>
      <c r="T56" s="1" t="s">
        <v>278</v>
      </c>
      <c r="U56" s="2" t="s">
        <v>279</v>
      </c>
      <c r="V56" s="2" t="s">
        <v>47</v>
      </c>
      <c r="W56" s="2" t="s">
        <v>119</v>
      </c>
      <c r="X56" s="2">
        <v>171.185</v>
      </c>
    </row>
    <row r="57" spans="1:24" x14ac:dyDescent="0.3">
      <c r="A57">
        <v>1512</v>
      </c>
      <c r="B57" t="s">
        <v>280</v>
      </c>
      <c r="C57" s="3">
        <v>41590</v>
      </c>
      <c r="D57" t="s">
        <v>39</v>
      </c>
      <c r="E57">
        <v>31</v>
      </c>
      <c r="F57" s="3">
        <f ca="1">41592+(RANDBETWEEN(1,10))</f>
        <v>41599</v>
      </c>
      <c r="G57" t="s">
        <v>26</v>
      </c>
      <c r="H57" t="s">
        <v>281</v>
      </c>
      <c r="I57" t="s">
        <v>86</v>
      </c>
      <c r="J57">
        <v>2190.02</v>
      </c>
      <c r="K57">
        <v>0</v>
      </c>
      <c r="L57">
        <v>0.4</v>
      </c>
      <c r="M57">
        <v>29.785</v>
      </c>
      <c r="N57">
        <v>-96.161100000000005</v>
      </c>
      <c r="O57" s="1" t="s">
        <v>40</v>
      </c>
      <c r="P57" s="1" t="s">
        <v>269</v>
      </c>
      <c r="Q57" s="1" t="s">
        <v>270</v>
      </c>
      <c r="R57" s="1" t="s">
        <v>43</v>
      </c>
      <c r="S57" s="1" t="s">
        <v>44</v>
      </c>
      <c r="T57" s="1" t="s">
        <v>271</v>
      </c>
      <c r="U57" s="2" t="s">
        <v>282</v>
      </c>
      <c r="V57" s="2" t="s">
        <v>36</v>
      </c>
      <c r="W57" s="2" t="s">
        <v>142</v>
      </c>
      <c r="X57" s="2">
        <v>62.93</v>
      </c>
    </row>
    <row r="58" spans="1:24" x14ac:dyDescent="0.3">
      <c r="A58">
        <v>1515</v>
      </c>
      <c r="B58" t="s">
        <v>283</v>
      </c>
      <c r="C58" s="3">
        <v>41728</v>
      </c>
      <c r="D58" t="s">
        <v>148</v>
      </c>
      <c r="E58">
        <v>46</v>
      </c>
      <c r="F58" s="3">
        <f ca="1">41729+(RANDBETWEEN(1,10))</f>
        <v>41732</v>
      </c>
      <c r="G58" t="s">
        <v>76</v>
      </c>
      <c r="H58" t="s">
        <v>258</v>
      </c>
      <c r="I58" t="s">
        <v>86</v>
      </c>
      <c r="J58">
        <v>12072.41</v>
      </c>
      <c r="K58">
        <v>0.1</v>
      </c>
      <c r="L58">
        <v>0.4</v>
      </c>
      <c r="M58">
        <v>105.21</v>
      </c>
      <c r="N58">
        <v>592.74564999999996</v>
      </c>
      <c r="O58" s="1" t="s">
        <v>53</v>
      </c>
      <c r="P58" s="1" t="s">
        <v>284</v>
      </c>
      <c r="Q58" s="1" t="s">
        <v>285</v>
      </c>
      <c r="R58" s="1" t="s">
        <v>56</v>
      </c>
      <c r="S58" s="1" t="s">
        <v>57</v>
      </c>
      <c r="T58" s="1" t="s">
        <v>58</v>
      </c>
      <c r="U58" s="2" t="s">
        <v>286</v>
      </c>
      <c r="V58" s="2" t="s">
        <v>36</v>
      </c>
      <c r="W58" s="2" t="s">
        <v>142</v>
      </c>
      <c r="X58" s="2">
        <v>283.39499999999998</v>
      </c>
    </row>
    <row r="59" spans="1:24" x14ac:dyDescent="0.3">
      <c r="A59">
        <v>152</v>
      </c>
      <c r="B59" t="s">
        <v>273</v>
      </c>
      <c r="C59" s="3">
        <v>40668</v>
      </c>
      <c r="D59" t="s">
        <v>25</v>
      </c>
      <c r="E59">
        <v>68</v>
      </c>
      <c r="F59" s="3">
        <f ca="1">40670+(RANDBETWEEN(1,10))</f>
        <v>40676</v>
      </c>
      <c r="G59" t="s">
        <v>76</v>
      </c>
      <c r="H59" t="s">
        <v>77</v>
      </c>
      <c r="I59" t="s">
        <v>86</v>
      </c>
      <c r="J59">
        <v>16274.475</v>
      </c>
      <c r="K59">
        <v>0.08</v>
      </c>
      <c r="L59">
        <v>0.41</v>
      </c>
      <c r="M59">
        <v>210</v>
      </c>
      <c r="N59">
        <v>-3744.02</v>
      </c>
      <c r="O59" s="1" t="s">
        <v>40</v>
      </c>
      <c r="P59" s="1" t="s">
        <v>269</v>
      </c>
      <c r="Q59" s="1" t="s">
        <v>270</v>
      </c>
      <c r="R59" s="1" t="s">
        <v>43</v>
      </c>
      <c r="S59" s="1" t="s">
        <v>44</v>
      </c>
      <c r="T59" s="1" t="s">
        <v>271</v>
      </c>
      <c r="U59" s="2" t="s">
        <v>287</v>
      </c>
      <c r="V59" s="2" t="s">
        <v>47</v>
      </c>
      <c r="W59" s="2" t="s">
        <v>71</v>
      </c>
      <c r="X59" s="2">
        <v>240.83500000000001</v>
      </c>
    </row>
    <row r="60" spans="1:24" x14ac:dyDescent="0.3">
      <c r="A60">
        <v>1522</v>
      </c>
      <c r="B60" t="s">
        <v>288</v>
      </c>
      <c r="C60" s="3">
        <v>41983</v>
      </c>
      <c r="D60" t="s">
        <v>50</v>
      </c>
      <c r="E60">
        <v>58</v>
      </c>
      <c r="F60" s="3">
        <f ca="1">41984+(RANDBETWEEN(1,10))</f>
        <v>41986</v>
      </c>
      <c r="G60" t="s">
        <v>26</v>
      </c>
      <c r="H60" t="s">
        <v>27</v>
      </c>
      <c r="I60" t="s">
        <v>97</v>
      </c>
      <c r="J60">
        <v>3767.89</v>
      </c>
      <c r="K60">
        <v>0.02</v>
      </c>
      <c r="L60">
        <v>0.35</v>
      </c>
      <c r="M60">
        <v>5.2149999999999999</v>
      </c>
      <c r="N60">
        <v>788.19650000000001</v>
      </c>
      <c r="O60" s="1" t="s">
        <v>225</v>
      </c>
      <c r="P60" s="1" t="s">
        <v>289</v>
      </c>
      <c r="Q60" s="1" t="s">
        <v>290</v>
      </c>
      <c r="R60" s="1" t="s">
        <v>228</v>
      </c>
      <c r="S60" s="1" t="s">
        <v>229</v>
      </c>
      <c r="T60" s="1" t="s">
        <v>291</v>
      </c>
      <c r="U60" s="2" t="s">
        <v>292</v>
      </c>
      <c r="V60" s="2" t="s">
        <v>47</v>
      </c>
      <c r="W60" s="2" t="s">
        <v>111</v>
      </c>
      <c r="X60" s="2">
        <v>66.290000000000006</v>
      </c>
    </row>
    <row r="61" spans="1:24" x14ac:dyDescent="0.3">
      <c r="A61">
        <v>1523</v>
      </c>
      <c r="B61" t="s">
        <v>288</v>
      </c>
      <c r="C61" s="3">
        <v>41983</v>
      </c>
      <c r="D61" t="s">
        <v>50</v>
      </c>
      <c r="E61">
        <v>60</v>
      </c>
      <c r="F61" s="3">
        <f ca="1">41985+(RANDBETWEEN(1,10))</f>
        <v>41992</v>
      </c>
      <c r="G61" t="s">
        <v>26</v>
      </c>
      <c r="H61" t="s">
        <v>27</v>
      </c>
      <c r="I61" t="s">
        <v>97</v>
      </c>
      <c r="J61">
        <v>25657.87</v>
      </c>
      <c r="K61">
        <v>0.05</v>
      </c>
      <c r="L61">
        <v>0.37</v>
      </c>
      <c r="M61">
        <v>69.965000000000003</v>
      </c>
      <c r="N61">
        <v>4327.2565000000004</v>
      </c>
      <c r="O61" s="1" t="s">
        <v>225</v>
      </c>
      <c r="P61" s="1" t="s">
        <v>289</v>
      </c>
      <c r="Q61" s="1" t="s">
        <v>290</v>
      </c>
      <c r="R61" s="1" t="s">
        <v>228</v>
      </c>
      <c r="S61" s="1" t="s">
        <v>229</v>
      </c>
      <c r="T61" s="1" t="s">
        <v>291</v>
      </c>
      <c r="U61" s="2" t="s">
        <v>274</v>
      </c>
      <c r="V61" s="2" t="s">
        <v>47</v>
      </c>
      <c r="W61" s="2" t="s">
        <v>111</v>
      </c>
      <c r="X61" s="2">
        <v>430.46499999999997</v>
      </c>
    </row>
    <row r="62" spans="1:24" x14ac:dyDescent="0.3">
      <c r="A62">
        <v>1524</v>
      </c>
      <c r="B62" t="s">
        <v>288</v>
      </c>
      <c r="C62" s="3">
        <v>41983</v>
      </c>
      <c r="D62" t="s">
        <v>50</v>
      </c>
      <c r="E62">
        <v>28</v>
      </c>
      <c r="F62" s="3">
        <f ca="1">41985+(RANDBETWEEN(1,10))</f>
        <v>41986</v>
      </c>
      <c r="G62" t="s">
        <v>156</v>
      </c>
      <c r="H62" t="s">
        <v>96</v>
      </c>
      <c r="I62" t="s">
        <v>97</v>
      </c>
      <c r="J62">
        <v>146.65</v>
      </c>
      <c r="K62">
        <v>0</v>
      </c>
      <c r="L62">
        <v>0.38</v>
      </c>
      <c r="M62">
        <v>2.4500000000000002</v>
      </c>
      <c r="N62">
        <v>9.8350000000000009</v>
      </c>
      <c r="O62" s="1" t="s">
        <v>225</v>
      </c>
      <c r="P62" s="1" t="s">
        <v>289</v>
      </c>
      <c r="Q62" s="1" t="s">
        <v>290</v>
      </c>
      <c r="R62" s="1" t="s">
        <v>228</v>
      </c>
      <c r="S62" s="1" t="s">
        <v>229</v>
      </c>
      <c r="T62" s="1" t="s">
        <v>291</v>
      </c>
      <c r="U62" s="2" t="s">
        <v>293</v>
      </c>
      <c r="V62" s="2" t="s">
        <v>47</v>
      </c>
      <c r="W62" s="2" t="s">
        <v>176</v>
      </c>
      <c r="X62" s="2">
        <v>3.99</v>
      </c>
    </row>
    <row r="63" spans="1:24" x14ac:dyDescent="0.3">
      <c r="A63">
        <v>1529</v>
      </c>
      <c r="B63" t="s">
        <v>294</v>
      </c>
      <c r="C63" s="3">
        <v>40650</v>
      </c>
      <c r="D63" t="s">
        <v>39</v>
      </c>
      <c r="E63">
        <v>2</v>
      </c>
      <c r="F63" s="3">
        <f ca="1">40651+(RANDBETWEEN(1,10))</f>
        <v>40655</v>
      </c>
      <c r="G63" t="s">
        <v>26</v>
      </c>
      <c r="H63" t="s">
        <v>27</v>
      </c>
      <c r="I63" t="s">
        <v>28</v>
      </c>
      <c r="J63">
        <v>794.08</v>
      </c>
      <c r="K63">
        <v>0.01</v>
      </c>
      <c r="L63">
        <v>0.59</v>
      </c>
      <c r="M63">
        <v>31.465</v>
      </c>
      <c r="N63">
        <v>-2039.268</v>
      </c>
      <c r="O63" s="1" t="s">
        <v>64</v>
      </c>
      <c r="P63" s="1" t="s">
        <v>194</v>
      </c>
      <c r="Q63" s="1" t="s">
        <v>195</v>
      </c>
      <c r="R63" s="1" t="s">
        <v>67</v>
      </c>
      <c r="S63" s="1" t="s">
        <v>108</v>
      </c>
      <c r="T63" s="1" t="s">
        <v>196</v>
      </c>
      <c r="U63" s="2" t="s">
        <v>295</v>
      </c>
      <c r="V63" s="2" t="s">
        <v>36</v>
      </c>
      <c r="W63" s="2" t="s">
        <v>37</v>
      </c>
      <c r="X63" s="2">
        <v>440.96499999999997</v>
      </c>
    </row>
    <row r="64" spans="1:24" x14ac:dyDescent="0.3">
      <c r="A64">
        <v>1539</v>
      </c>
      <c r="B64" t="s">
        <v>296</v>
      </c>
      <c r="C64" s="3">
        <v>40622</v>
      </c>
      <c r="D64" t="s">
        <v>25</v>
      </c>
      <c r="E64">
        <v>30</v>
      </c>
      <c r="F64" s="3">
        <f ca="1">40626+(RANDBETWEEN(1,10))</f>
        <v>40627</v>
      </c>
      <c r="G64" t="s">
        <v>76</v>
      </c>
      <c r="H64" t="s">
        <v>258</v>
      </c>
      <c r="I64" t="s">
        <v>52</v>
      </c>
      <c r="J64">
        <v>16170.174999999999</v>
      </c>
      <c r="K64">
        <v>0.06</v>
      </c>
      <c r="L64">
        <v>0.72</v>
      </c>
      <c r="M64">
        <v>122.57</v>
      </c>
      <c r="N64">
        <v>-803.88</v>
      </c>
      <c r="O64" s="1" t="s">
        <v>53</v>
      </c>
      <c r="P64" s="1" t="s">
        <v>114</v>
      </c>
      <c r="Q64" s="1" t="s">
        <v>115</v>
      </c>
      <c r="R64" s="1" t="s">
        <v>100</v>
      </c>
      <c r="S64" s="1" t="s">
        <v>101</v>
      </c>
      <c r="T64" s="1" t="s">
        <v>116</v>
      </c>
      <c r="U64" s="2" t="s">
        <v>297</v>
      </c>
      <c r="V64" s="2" t="s">
        <v>83</v>
      </c>
      <c r="W64" s="2" t="s">
        <v>298</v>
      </c>
      <c r="X64" s="2">
        <v>563.42999999999995</v>
      </c>
    </row>
    <row r="65" spans="1:24" x14ac:dyDescent="0.3">
      <c r="A65">
        <v>1552</v>
      </c>
      <c r="B65" t="s">
        <v>299</v>
      </c>
      <c r="C65" s="3">
        <v>40905</v>
      </c>
      <c r="D65" t="s">
        <v>25</v>
      </c>
      <c r="E65">
        <v>48</v>
      </c>
      <c r="F65" s="3">
        <f ca="1">40907+(RANDBETWEEN(1,10))</f>
        <v>40912</v>
      </c>
      <c r="G65" t="s">
        <v>26</v>
      </c>
      <c r="H65" t="s">
        <v>27</v>
      </c>
      <c r="I65" t="s">
        <v>86</v>
      </c>
      <c r="J65">
        <v>8306.6200000000008</v>
      </c>
      <c r="K65">
        <v>0.09</v>
      </c>
      <c r="L65">
        <v>0.41</v>
      </c>
      <c r="M65">
        <v>69.965000000000003</v>
      </c>
      <c r="N65">
        <v>-59.604999999999997</v>
      </c>
      <c r="O65" s="1" t="s">
        <v>64</v>
      </c>
      <c r="P65" s="1" t="s">
        <v>173</v>
      </c>
      <c r="Q65" s="1" t="s">
        <v>174</v>
      </c>
      <c r="R65" s="1" t="s">
        <v>67</v>
      </c>
      <c r="S65" s="1" t="s">
        <v>108</v>
      </c>
      <c r="T65" s="1" t="s">
        <v>109</v>
      </c>
      <c r="U65" s="2" t="s">
        <v>300</v>
      </c>
      <c r="V65" s="2" t="s">
        <v>36</v>
      </c>
      <c r="W65" s="2" t="s">
        <v>60</v>
      </c>
      <c r="X65" s="2">
        <v>174.965</v>
      </c>
    </row>
    <row r="66" spans="1:24" x14ac:dyDescent="0.3">
      <c r="A66">
        <v>1553</v>
      </c>
      <c r="B66" t="s">
        <v>299</v>
      </c>
      <c r="C66" s="3">
        <v>40905</v>
      </c>
      <c r="D66" t="s">
        <v>25</v>
      </c>
      <c r="E66">
        <v>11</v>
      </c>
      <c r="F66" s="3">
        <f ca="1">40909+(RANDBETWEEN(1,10))</f>
        <v>40911</v>
      </c>
      <c r="G66" t="s">
        <v>26</v>
      </c>
      <c r="H66" t="s">
        <v>27</v>
      </c>
      <c r="I66" t="s">
        <v>86</v>
      </c>
      <c r="J66">
        <v>1140.0550000000001</v>
      </c>
      <c r="K66">
        <v>0.03</v>
      </c>
      <c r="L66">
        <v>0.38</v>
      </c>
      <c r="M66">
        <v>5.2149999999999999</v>
      </c>
      <c r="N66">
        <v>138.69450000000001</v>
      </c>
      <c r="O66" s="1" t="s">
        <v>64</v>
      </c>
      <c r="P66" s="1" t="s">
        <v>173</v>
      </c>
      <c r="Q66" s="1" t="s">
        <v>174</v>
      </c>
      <c r="R66" s="1" t="s">
        <v>67</v>
      </c>
      <c r="S66" s="1" t="s">
        <v>108</v>
      </c>
      <c r="T66" s="1" t="s">
        <v>109</v>
      </c>
      <c r="U66" s="2" t="s">
        <v>301</v>
      </c>
      <c r="V66" s="2" t="s">
        <v>47</v>
      </c>
      <c r="W66" s="2" t="s">
        <v>111</v>
      </c>
      <c r="X66" s="2">
        <v>99.855000000000004</v>
      </c>
    </row>
    <row r="67" spans="1:24" x14ac:dyDescent="0.3">
      <c r="A67">
        <v>1579</v>
      </c>
      <c r="B67" t="s">
        <v>302</v>
      </c>
      <c r="C67" s="3">
        <v>41447</v>
      </c>
      <c r="D67" t="s">
        <v>62</v>
      </c>
      <c r="E67">
        <v>48</v>
      </c>
      <c r="F67" s="3">
        <f ca="1">41448+(RANDBETWEEN(1,10))</f>
        <v>41449</v>
      </c>
      <c r="G67" t="s">
        <v>26</v>
      </c>
      <c r="H67" t="s">
        <v>27</v>
      </c>
      <c r="I67" t="s">
        <v>52</v>
      </c>
      <c r="J67">
        <v>2797.55</v>
      </c>
      <c r="K67">
        <v>0.1</v>
      </c>
      <c r="L67">
        <v>0.57999999999999996</v>
      </c>
      <c r="M67">
        <v>21.875</v>
      </c>
      <c r="N67">
        <v>-58.064999999999998</v>
      </c>
      <c r="O67" s="1" t="s">
        <v>40</v>
      </c>
      <c r="P67" s="1" t="s">
        <v>303</v>
      </c>
      <c r="Q67" s="1" t="s">
        <v>304</v>
      </c>
      <c r="R67" s="1" t="s">
        <v>43</v>
      </c>
      <c r="S67" s="1" t="s">
        <v>44</v>
      </c>
      <c r="T67" s="1" t="s">
        <v>305</v>
      </c>
      <c r="U67" s="2" t="s">
        <v>306</v>
      </c>
      <c r="V67" s="2" t="s">
        <v>47</v>
      </c>
      <c r="W67" s="2" t="s">
        <v>119</v>
      </c>
      <c r="X67" s="2">
        <v>59.185000000000002</v>
      </c>
    </row>
    <row r="68" spans="1:24" x14ac:dyDescent="0.3">
      <c r="A68">
        <v>1580</v>
      </c>
      <c r="B68" t="s">
        <v>302</v>
      </c>
      <c r="C68" s="3">
        <v>41447</v>
      </c>
      <c r="D68" t="s">
        <v>62</v>
      </c>
      <c r="E68">
        <v>38</v>
      </c>
      <c r="F68" s="3">
        <f ca="1">41449+(RANDBETWEEN(1,10))</f>
        <v>41455</v>
      </c>
      <c r="G68" t="s">
        <v>156</v>
      </c>
      <c r="H68" t="s">
        <v>27</v>
      </c>
      <c r="I68" t="s">
        <v>52</v>
      </c>
      <c r="J68">
        <v>17172.259999999998</v>
      </c>
      <c r="K68">
        <v>0.04</v>
      </c>
      <c r="L68">
        <v>0.57999999999999996</v>
      </c>
      <c r="M68">
        <v>31.465</v>
      </c>
      <c r="N68">
        <v>1342.0889999999999</v>
      </c>
      <c r="O68" s="1" t="s">
        <v>40</v>
      </c>
      <c r="P68" s="1" t="s">
        <v>303</v>
      </c>
      <c r="Q68" s="1" t="s">
        <v>304</v>
      </c>
      <c r="R68" s="1" t="s">
        <v>43</v>
      </c>
      <c r="S68" s="1" t="s">
        <v>44</v>
      </c>
      <c r="T68" s="1" t="s">
        <v>305</v>
      </c>
      <c r="U68" s="2" t="s">
        <v>307</v>
      </c>
      <c r="V68" s="2" t="s">
        <v>36</v>
      </c>
      <c r="W68" s="2" t="s">
        <v>37</v>
      </c>
      <c r="X68" s="2">
        <v>545.96500000000003</v>
      </c>
    </row>
    <row r="69" spans="1:24" x14ac:dyDescent="0.3">
      <c r="A69">
        <v>1590</v>
      </c>
      <c r="B69" t="s">
        <v>308</v>
      </c>
      <c r="C69" s="3">
        <v>41145</v>
      </c>
      <c r="D69" t="s">
        <v>39</v>
      </c>
      <c r="E69">
        <v>54</v>
      </c>
      <c r="F69" s="3">
        <f ca="1">41147+(RANDBETWEEN(1,10))</f>
        <v>41155</v>
      </c>
      <c r="G69" t="s">
        <v>26</v>
      </c>
      <c r="H69" t="s">
        <v>27</v>
      </c>
      <c r="I69" t="s">
        <v>97</v>
      </c>
      <c r="J69">
        <v>644.10500000000002</v>
      </c>
      <c r="K69">
        <v>0.09</v>
      </c>
      <c r="L69">
        <v>0.38</v>
      </c>
      <c r="M69">
        <v>1.75</v>
      </c>
      <c r="N69">
        <v>132.26499999999999</v>
      </c>
      <c r="O69" s="1" t="s">
        <v>87</v>
      </c>
      <c r="P69" s="1" t="s">
        <v>309</v>
      </c>
      <c r="Q69" s="1" t="s">
        <v>310</v>
      </c>
      <c r="R69" s="1" t="s">
        <v>90</v>
      </c>
      <c r="S69" s="1" t="s">
        <v>91</v>
      </c>
      <c r="T69" s="1" t="s">
        <v>311</v>
      </c>
      <c r="U69" s="2" t="s">
        <v>312</v>
      </c>
      <c r="V69" s="2" t="s">
        <v>47</v>
      </c>
      <c r="W69" s="2" t="s">
        <v>203</v>
      </c>
      <c r="X69" s="2">
        <v>12.914999999999999</v>
      </c>
    </row>
    <row r="70" spans="1:24" x14ac:dyDescent="0.3">
      <c r="A70">
        <v>1595</v>
      </c>
      <c r="B70" t="s">
        <v>313</v>
      </c>
      <c r="C70" s="3">
        <v>40726</v>
      </c>
      <c r="D70" t="s">
        <v>148</v>
      </c>
      <c r="E70">
        <v>54</v>
      </c>
      <c r="F70" s="3">
        <f ca="1">40728+(RANDBETWEEN(1,10))</f>
        <v>40734</v>
      </c>
      <c r="G70" t="s">
        <v>26</v>
      </c>
      <c r="H70" t="s">
        <v>51</v>
      </c>
      <c r="I70" t="s">
        <v>97</v>
      </c>
      <c r="J70">
        <v>19444.599999999999</v>
      </c>
      <c r="K70">
        <v>0.04</v>
      </c>
      <c r="L70">
        <v>0.35</v>
      </c>
      <c r="M70">
        <v>31.465</v>
      </c>
      <c r="N70">
        <v>6708.3649500000001</v>
      </c>
      <c r="O70" s="1" t="s">
        <v>64</v>
      </c>
      <c r="P70" s="1" t="s">
        <v>314</v>
      </c>
      <c r="Q70" s="1" t="s">
        <v>315</v>
      </c>
      <c r="R70" s="1" t="s">
        <v>67</v>
      </c>
      <c r="S70" s="1" t="s">
        <v>254</v>
      </c>
      <c r="T70" s="1" t="s">
        <v>316</v>
      </c>
      <c r="U70" s="2" t="s">
        <v>177</v>
      </c>
      <c r="V70" s="2" t="s">
        <v>83</v>
      </c>
      <c r="W70" s="2" t="s">
        <v>178</v>
      </c>
      <c r="X70" s="2">
        <v>347.30500000000001</v>
      </c>
    </row>
    <row r="71" spans="1:24" x14ac:dyDescent="0.3">
      <c r="A71">
        <v>1606</v>
      </c>
      <c r="B71" t="s">
        <v>317</v>
      </c>
      <c r="C71" s="3">
        <v>41327</v>
      </c>
      <c r="D71" t="s">
        <v>148</v>
      </c>
      <c r="E71">
        <v>21</v>
      </c>
      <c r="F71" s="3">
        <f ca="1">41329+(RANDBETWEEN(1,10))</f>
        <v>41339</v>
      </c>
      <c r="G71" t="s">
        <v>156</v>
      </c>
      <c r="H71" t="s">
        <v>96</v>
      </c>
      <c r="I71" t="s">
        <v>86</v>
      </c>
      <c r="J71">
        <v>254.73</v>
      </c>
      <c r="K71">
        <v>7.0000000000000007E-2</v>
      </c>
      <c r="L71">
        <v>0.59</v>
      </c>
      <c r="M71">
        <v>3.43</v>
      </c>
      <c r="N71">
        <v>13.65</v>
      </c>
      <c r="O71" s="1" t="s">
        <v>29</v>
      </c>
      <c r="P71" s="1" t="s">
        <v>318</v>
      </c>
      <c r="Q71" s="1" t="s">
        <v>319</v>
      </c>
      <c r="R71" s="1" t="s">
        <v>32</v>
      </c>
      <c r="S71" s="1" t="s">
        <v>33</v>
      </c>
      <c r="T71" s="1" t="s">
        <v>320</v>
      </c>
      <c r="U71" s="2" t="s">
        <v>321</v>
      </c>
      <c r="V71" s="2" t="s">
        <v>47</v>
      </c>
      <c r="W71" s="2" t="s">
        <v>104</v>
      </c>
      <c r="X71" s="2">
        <v>11.48</v>
      </c>
    </row>
    <row r="72" spans="1:24" x14ac:dyDescent="0.3">
      <c r="A72">
        <v>1613</v>
      </c>
      <c r="B72" t="s">
        <v>322</v>
      </c>
      <c r="C72" s="3">
        <v>41677</v>
      </c>
      <c r="D72" t="s">
        <v>50</v>
      </c>
      <c r="E72">
        <v>28</v>
      </c>
      <c r="F72" s="3">
        <f ca="1">41677+(RANDBETWEEN(1,10))</f>
        <v>41678</v>
      </c>
      <c r="G72" t="s">
        <v>26</v>
      </c>
      <c r="H72" t="s">
        <v>27</v>
      </c>
      <c r="I72" t="s">
        <v>28</v>
      </c>
      <c r="J72">
        <v>5776.4350000000004</v>
      </c>
      <c r="K72">
        <v>0.03</v>
      </c>
      <c r="L72">
        <v>0.57999999999999996</v>
      </c>
      <c r="M72">
        <v>20.965</v>
      </c>
      <c r="N72">
        <v>1172.7764999999999</v>
      </c>
      <c r="O72" s="1" t="s">
        <v>29</v>
      </c>
      <c r="P72" s="1" t="s">
        <v>323</v>
      </c>
      <c r="Q72" s="1" t="s">
        <v>324</v>
      </c>
      <c r="R72" s="1" t="s">
        <v>32</v>
      </c>
      <c r="S72" s="1" t="s">
        <v>33</v>
      </c>
      <c r="T72" s="1" t="s">
        <v>325</v>
      </c>
      <c r="U72" s="2" t="s">
        <v>326</v>
      </c>
      <c r="V72" s="2" t="s">
        <v>36</v>
      </c>
      <c r="W72" s="2" t="s">
        <v>37</v>
      </c>
      <c r="X72" s="2">
        <v>230.965</v>
      </c>
    </row>
    <row r="73" spans="1:24" x14ac:dyDescent="0.3">
      <c r="A73">
        <v>1617</v>
      </c>
      <c r="B73" t="s">
        <v>327</v>
      </c>
      <c r="C73" s="3">
        <v>40659</v>
      </c>
      <c r="D73" t="s">
        <v>25</v>
      </c>
      <c r="E73">
        <v>9</v>
      </c>
      <c r="F73" s="3">
        <f ca="1">40661+(RANDBETWEEN(1,10))</f>
        <v>40664</v>
      </c>
      <c r="G73" t="s">
        <v>26</v>
      </c>
      <c r="H73" t="s">
        <v>96</v>
      </c>
      <c r="I73" t="s">
        <v>52</v>
      </c>
      <c r="J73">
        <v>136.36000000000001</v>
      </c>
      <c r="K73">
        <v>0.06</v>
      </c>
      <c r="L73">
        <v>0.56000000000000005</v>
      </c>
      <c r="M73">
        <v>3.29</v>
      </c>
      <c r="N73">
        <v>1.2949999999999999</v>
      </c>
      <c r="O73" s="1" t="s">
        <v>64</v>
      </c>
      <c r="P73" s="1" t="s">
        <v>328</v>
      </c>
      <c r="Q73" s="1" t="s">
        <v>329</v>
      </c>
      <c r="R73" s="1" t="s">
        <v>128</v>
      </c>
      <c r="S73" s="1" t="s">
        <v>129</v>
      </c>
      <c r="T73" s="1" t="s">
        <v>330</v>
      </c>
      <c r="U73" s="2" t="s">
        <v>331</v>
      </c>
      <c r="V73" s="2" t="s">
        <v>47</v>
      </c>
      <c r="W73" s="2" t="s">
        <v>104</v>
      </c>
      <c r="X73" s="2">
        <v>14.98</v>
      </c>
    </row>
    <row r="74" spans="1:24" x14ac:dyDescent="0.3">
      <c r="A74">
        <v>1628</v>
      </c>
      <c r="B74" t="s">
        <v>332</v>
      </c>
      <c r="C74" s="3">
        <v>41089</v>
      </c>
      <c r="D74" t="s">
        <v>50</v>
      </c>
      <c r="E74">
        <v>68</v>
      </c>
      <c r="F74" s="3">
        <f ca="1">41091+(RANDBETWEEN(1,10))</f>
        <v>41099</v>
      </c>
      <c r="G74" t="s">
        <v>26</v>
      </c>
      <c r="H74" t="s">
        <v>96</v>
      </c>
      <c r="I74" t="s">
        <v>52</v>
      </c>
      <c r="J74">
        <v>1645.385</v>
      </c>
      <c r="K74">
        <v>0.04</v>
      </c>
      <c r="L74">
        <v>0.39</v>
      </c>
      <c r="M74">
        <v>7</v>
      </c>
      <c r="N74">
        <v>303.10000000000002</v>
      </c>
      <c r="O74" s="1" t="s">
        <v>64</v>
      </c>
      <c r="P74" s="1" t="s">
        <v>333</v>
      </c>
      <c r="Q74" s="1" t="s">
        <v>334</v>
      </c>
      <c r="R74" s="1" t="s">
        <v>67</v>
      </c>
      <c r="S74" s="1" t="s">
        <v>68</v>
      </c>
      <c r="T74" s="1" t="s">
        <v>335</v>
      </c>
      <c r="U74" s="2" t="s">
        <v>336</v>
      </c>
      <c r="V74" s="2" t="s">
        <v>47</v>
      </c>
      <c r="W74" s="2" t="s">
        <v>74</v>
      </c>
      <c r="X74" s="2">
        <v>24.08</v>
      </c>
    </row>
    <row r="75" spans="1:24" x14ac:dyDescent="0.3">
      <c r="A75">
        <v>1629</v>
      </c>
      <c r="B75" t="s">
        <v>332</v>
      </c>
      <c r="C75" s="3">
        <v>41089</v>
      </c>
      <c r="D75" t="s">
        <v>50</v>
      </c>
      <c r="E75">
        <v>65</v>
      </c>
      <c r="F75" s="3">
        <f ca="1">41090+(RANDBETWEEN(1,10))</f>
        <v>41100</v>
      </c>
      <c r="G75" t="s">
        <v>26</v>
      </c>
      <c r="H75" t="s">
        <v>27</v>
      </c>
      <c r="I75" t="s">
        <v>52</v>
      </c>
      <c r="J75">
        <v>2396.31</v>
      </c>
      <c r="K75">
        <v>0.09</v>
      </c>
      <c r="L75">
        <v>0.64</v>
      </c>
      <c r="M75">
        <v>22.75</v>
      </c>
      <c r="N75">
        <v>-603.19000000000005</v>
      </c>
      <c r="O75" s="1" t="s">
        <v>64</v>
      </c>
      <c r="P75" s="1" t="s">
        <v>333</v>
      </c>
      <c r="Q75" s="1" t="s">
        <v>334</v>
      </c>
      <c r="R75" s="1" t="s">
        <v>67</v>
      </c>
      <c r="S75" s="1" t="s">
        <v>68</v>
      </c>
      <c r="T75" s="1" t="s">
        <v>335</v>
      </c>
      <c r="U75" s="2" t="s">
        <v>337</v>
      </c>
      <c r="V75" s="2" t="s">
        <v>36</v>
      </c>
      <c r="W75" s="2" t="s">
        <v>60</v>
      </c>
      <c r="X75" s="2">
        <v>38.395000000000003</v>
      </c>
    </row>
    <row r="76" spans="1:24" x14ac:dyDescent="0.3">
      <c r="A76">
        <v>1633</v>
      </c>
      <c r="B76" t="s">
        <v>338</v>
      </c>
      <c r="C76" s="3">
        <v>41851</v>
      </c>
      <c r="D76" t="s">
        <v>50</v>
      </c>
      <c r="E76">
        <v>1</v>
      </c>
      <c r="F76" s="3">
        <f ca="1">41852+(RANDBETWEEN(1,10))</f>
        <v>41853</v>
      </c>
      <c r="G76" t="s">
        <v>76</v>
      </c>
      <c r="H76" t="s">
        <v>258</v>
      </c>
      <c r="I76" t="s">
        <v>28</v>
      </c>
      <c r="J76">
        <v>519.19000000000005</v>
      </c>
      <c r="K76">
        <v>0.06</v>
      </c>
      <c r="L76">
        <v>0.75</v>
      </c>
      <c r="M76">
        <v>137.375</v>
      </c>
      <c r="N76">
        <v>88.223624999999998</v>
      </c>
      <c r="O76" s="1" t="s">
        <v>64</v>
      </c>
      <c r="P76" s="1" t="s">
        <v>339</v>
      </c>
      <c r="Q76" s="1" t="s">
        <v>340</v>
      </c>
      <c r="R76" s="1" t="s">
        <v>128</v>
      </c>
      <c r="S76" s="1" t="s">
        <v>129</v>
      </c>
      <c r="T76" s="1" t="s">
        <v>341</v>
      </c>
      <c r="U76" s="2" t="s">
        <v>342</v>
      </c>
      <c r="V76" s="2" t="s">
        <v>83</v>
      </c>
      <c r="W76" s="2" t="s">
        <v>263</v>
      </c>
      <c r="X76" s="2">
        <v>528.42999999999995</v>
      </c>
    </row>
    <row r="77" spans="1:24" x14ac:dyDescent="0.3">
      <c r="A77">
        <v>1642</v>
      </c>
      <c r="B77" t="s">
        <v>343</v>
      </c>
      <c r="C77" s="3">
        <v>41891</v>
      </c>
      <c r="D77" t="s">
        <v>148</v>
      </c>
      <c r="E77">
        <v>2</v>
      </c>
      <c r="F77" s="3">
        <f ca="1">41893+(RANDBETWEEN(1,10))</f>
        <v>41900</v>
      </c>
      <c r="G77" t="s">
        <v>26</v>
      </c>
      <c r="H77" t="s">
        <v>27</v>
      </c>
      <c r="I77" t="s">
        <v>28</v>
      </c>
      <c r="J77">
        <v>282.02999999999997</v>
      </c>
      <c r="K77">
        <v>0</v>
      </c>
      <c r="L77">
        <v>0.74</v>
      </c>
      <c r="M77">
        <v>30.274999999999999</v>
      </c>
      <c r="N77">
        <v>-287.45499999999998</v>
      </c>
      <c r="O77" s="1" t="s">
        <v>64</v>
      </c>
      <c r="P77" s="1" t="s">
        <v>339</v>
      </c>
      <c r="Q77" s="1" t="s">
        <v>340</v>
      </c>
      <c r="R77" s="1" t="s">
        <v>128</v>
      </c>
      <c r="S77" s="1" t="s">
        <v>129</v>
      </c>
      <c r="T77" s="1" t="s">
        <v>341</v>
      </c>
      <c r="U77" s="2" t="s">
        <v>344</v>
      </c>
      <c r="V77" s="2" t="s">
        <v>36</v>
      </c>
      <c r="W77" s="2" t="s">
        <v>60</v>
      </c>
      <c r="X77" s="2">
        <v>106.47</v>
      </c>
    </row>
    <row r="78" spans="1:24" x14ac:dyDescent="0.3">
      <c r="A78">
        <v>1643</v>
      </c>
      <c r="B78" t="s">
        <v>343</v>
      </c>
      <c r="C78" s="3">
        <v>41891</v>
      </c>
      <c r="D78" t="s">
        <v>148</v>
      </c>
      <c r="E78">
        <v>42</v>
      </c>
      <c r="F78" s="3">
        <f ca="1">41891+(RANDBETWEEN(1,10))</f>
        <v>41894</v>
      </c>
      <c r="G78" t="s">
        <v>26</v>
      </c>
      <c r="H78" t="s">
        <v>27</v>
      </c>
      <c r="I78" t="s">
        <v>28</v>
      </c>
      <c r="J78">
        <v>5701.92</v>
      </c>
      <c r="K78">
        <v>7.0000000000000007E-2</v>
      </c>
      <c r="L78">
        <v>0.4</v>
      </c>
      <c r="M78">
        <v>34.405000000000001</v>
      </c>
      <c r="N78">
        <v>627.79499999999996</v>
      </c>
      <c r="O78" s="1" t="s">
        <v>64</v>
      </c>
      <c r="P78" s="1" t="s">
        <v>339</v>
      </c>
      <c r="Q78" s="1" t="s">
        <v>340</v>
      </c>
      <c r="R78" s="1" t="s">
        <v>128</v>
      </c>
      <c r="S78" s="1" t="s">
        <v>129</v>
      </c>
      <c r="T78" s="1" t="s">
        <v>341</v>
      </c>
      <c r="U78" s="2" t="s">
        <v>345</v>
      </c>
      <c r="V78" s="2" t="s">
        <v>47</v>
      </c>
      <c r="W78" s="2" t="s">
        <v>48</v>
      </c>
      <c r="X78" s="2">
        <v>139.93</v>
      </c>
    </row>
    <row r="79" spans="1:24" x14ac:dyDescent="0.3">
      <c r="A79">
        <v>1645</v>
      </c>
      <c r="B79" t="s">
        <v>346</v>
      </c>
      <c r="C79" s="3">
        <v>41458</v>
      </c>
      <c r="D79" t="s">
        <v>39</v>
      </c>
      <c r="E79">
        <v>63</v>
      </c>
      <c r="F79" s="3">
        <f ca="1">41461+(RANDBETWEEN(1,10))</f>
        <v>41468</v>
      </c>
      <c r="G79" t="s">
        <v>26</v>
      </c>
      <c r="H79" t="s">
        <v>281</v>
      </c>
      <c r="I79" t="s">
        <v>97</v>
      </c>
      <c r="J79">
        <v>23700.880000000001</v>
      </c>
      <c r="K79">
        <v>0.02</v>
      </c>
      <c r="L79">
        <v>0.65</v>
      </c>
      <c r="M79">
        <v>20.335000000000001</v>
      </c>
      <c r="N79">
        <v>4007.2298000000001</v>
      </c>
      <c r="O79" s="1" t="s">
        <v>225</v>
      </c>
      <c r="P79" s="1" t="s">
        <v>347</v>
      </c>
      <c r="Q79" s="1" t="s">
        <v>348</v>
      </c>
      <c r="R79" s="1" t="s">
        <v>228</v>
      </c>
      <c r="S79" s="1" t="s">
        <v>349</v>
      </c>
      <c r="T79" s="1" t="s">
        <v>350</v>
      </c>
      <c r="U79" s="2" t="s">
        <v>351</v>
      </c>
      <c r="V79" s="2" t="s">
        <v>83</v>
      </c>
      <c r="W79" s="2" t="s">
        <v>178</v>
      </c>
      <c r="X79" s="2">
        <v>376.35500000000002</v>
      </c>
    </row>
    <row r="80" spans="1:24" x14ac:dyDescent="0.3">
      <c r="A80">
        <v>1659</v>
      </c>
      <c r="B80" t="s">
        <v>352</v>
      </c>
      <c r="C80" s="3">
        <v>41349</v>
      </c>
      <c r="D80" t="s">
        <v>25</v>
      </c>
      <c r="E80">
        <v>35</v>
      </c>
      <c r="F80" s="3">
        <f ca="1">41349+(RANDBETWEEN(1,10))</f>
        <v>41355</v>
      </c>
      <c r="G80" t="s">
        <v>26</v>
      </c>
      <c r="H80" t="s">
        <v>96</v>
      </c>
      <c r="I80" t="s">
        <v>28</v>
      </c>
      <c r="J80">
        <v>432.67</v>
      </c>
      <c r="K80">
        <v>0.04</v>
      </c>
      <c r="L80">
        <v>0.48</v>
      </c>
      <c r="M80">
        <v>2.9750000000000001</v>
      </c>
      <c r="N80">
        <v>91.314999999999998</v>
      </c>
      <c r="O80" s="1" t="s">
        <v>53</v>
      </c>
      <c r="P80" s="1" t="s">
        <v>168</v>
      </c>
      <c r="Q80" s="1" t="s">
        <v>169</v>
      </c>
      <c r="R80" s="1" t="s">
        <v>100</v>
      </c>
      <c r="S80" s="1" t="s">
        <v>101</v>
      </c>
      <c r="T80" s="1" t="s">
        <v>170</v>
      </c>
      <c r="U80" s="2" t="s">
        <v>353</v>
      </c>
      <c r="V80" s="2" t="s">
        <v>47</v>
      </c>
      <c r="W80" s="2" t="s">
        <v>104</v>
      </c>
      <c r="X80" s="2">
        <v>11.83</v>
      </c>
    </row>
    <row r="81" spans="1:24" x14ac:dyDescent="0.3">
      <c r="A81">
        <v>1681</v>
      </c>
      <c r="B81" t="s">
        <v>354</v>
      </c>
      <c r="C81" s="3">
        <v>41998</v>
      </c>
      <c r="D81" t="s">
        <v>148</v>
      </c>
      <c r="E81">
        <v>72</v>
      </c>
      <c r="F81" s="3">
        <f ca="1">42001+(RANDBETWEEN(1,10))</f>
        <v>42003</v>
      </c>
      <c r="G81" t="s">
        <v>76</v>
      </c>
      <c r="H81" t="s">
        <v>77</v>
      </c>
      <c r="I81" t="s">
        <v>28</v>
      </c>
      <c r="J81">
        <v>33964.35</v>
      </c>
      <c r="K81">
        <v>0</v>
      </c>
      <c r="L81">
        <v>0.74</v>
      </c>
      <c r="M81">
        <v>245.7</v>
      </c>
      <c r="N81">
        <v>-4191.53</v>
      </c>
      <c r="O81" s="1" t="s">
        <v>40</v>
      </c>
      <c r="P81" s="1" t="s">
        <v>355</v>
      </c>
      <c r="Q81" s="1" t="s">
        <v>356</v>
      </c>
      <c r="R81" s="1" t="s">
        <v>220</v>
      </c>
      <c r="S81" s="1" t="s">
        <v>221</v>
      </c>
      <c r="T81" s="1" t="s">
        <v>357</v>
      </c>
      <c r="U81" s="2" t="s">
        <v>358</v>
      </c>
      <c r="V81" s="2" t="s">
        <v>83</v>
      </c>
      <c r="W81" s="2" t="s">
        <v>84</v>
      </c>
      <c r="X81" s="2">
        <v>430.46499999999997</v>
      </c>
    </row>
    <row r="82" spans="1:24" x14ac:dyDescent="0.3">
      <c r="A82">
        <v>1692</v>
      </c>
      <c r="B82" t="s">
        <v>359</v>
      </c>
      <c r="C82" s="3">
        <v>40889</v>
      </c>
      <c r="D82" t="s">
        <v>39</v>
      </c>
      <c r="E82">
        <v>4</v>
      </c>
      <c r="F82" s="3">
        <f ca="1">40891+(RANDBETWEEN(1,10))</f>
        <v>40897</v>
      </c>
      <c r="G82" t="s">
        <v>76</v>
      </c>
      <c r="H82" t="s">
        <v>258</v>
      </c>
      <c r="I82" t="s">
        <v>52</v>
      </c>
      <c r="J82">
        <v>2120.37</v>
      </c>
      <c r="K82">
        <v>0.04</v>
      </c>
      <c r="L82">
        <v>0.63</v>
      </c>
      <c r="M82">
        <v>181.79</v>
      </c>
      <c r="N82">
        <v>-866.43049499999995</v>
      </c>
      <c r="O82" s="1" t="s">
        <v>225</v>
      </c>
      <c r="P82" s="1" t="s">
        <v>347</v>
      </c>
      <c r="Q82" s="1" t="s">
        <v>348</v>
      </c>
      <c r="R82" s="1" t="s">
        <v>228</v>
      </c>
      <c r="S82" s="1" t="s">
        <v>349</v>
      </c>
      <c r="T82" s="1" t="s">
        <v>350</v>
      </c>
      <c r="U82" s="2" t="s">
        <v>360</v>
      </c>
      <c r="V82" s="2" t="s">
        <v>83</v>
      </c>
      <c r="W82" s="2" t="s">
        <v>263</v>
      </c>
      <c r="X82" s="2">
        <v>435.71499999999997</v>
      </c>
    </row>
    <row r="83" spans="1:24" x14ac:dyDescent="0.3">
      <c r="A83">
        <v>1693</v>
      </c>
      <c r="B83" t="s">
        <v>359</v>
      </c>
      <c r="C83" s="3">
        <v>40889</v>
      </c>
      <c r="D83" t="s">
        <v>39</v>
      </c>
      <c r="E83">
        <v>54</v>
      </c>
      <c r="F83" s="3">
        <f ca="1">40889+(RANDBETWEEN(1,10))</f>
        <v>40897</v>
      </c>
      <c r="G83" t="s">
        <v>26</v>
      </c>
      <c r="H83" t="s">
        <v>96</v>
      </c>
      <c r="I83" t="s">
        <v>52</v>
      </c>
      <c r="J83">
        <v>5491.5</v>
      </c>
      <c r="K83">
        <v>0.1</v>
      </c>
      <c r="L83">
        <v>0.82</v>
      </c>
      <c r="M83">
        <v>17.5</v>
      </c>
      <c r="N83">
        <v>-970.23234000000002</v>
      </c>
      <c r="O83" s="1" t="s">
        <v>225</v>
      </c>
      <c r="P83" s="1" t="s">
        <v>347</v>
      </c>
      <c r="Q83" s="1" t="s">
        <v>348</v>
      </c>
      <c r="R83" s="1" t="s">
        <v>228</v>
      </c>
      <c r="S83" s="1" t="s">
        <v>349</v>
      </c>
      <c r="T83" s="1" t="s">
        <v>350</v>
      </c>
      <c r="U83" s="2" t="s">
        <v>361</v>
      </c>
      <c r="V83" s="2" t="s">
        <v>36</v>
      </c>
      <c r="W83" s="2" t="s">
        <v>37</v>
      </c>
      <c r="X83" s="2">
        <v>125.965</v>
      </c>
    </row>
    <row r="84" spans="1:24" x14ac:dyDescent="0.3">
      <c r="A84">
        <v>1696</v>
      </c>
      <c r="B84" t="s">
        <v>362</v>
      </c>
      <c r="C84" s="3">
        <v>41991</v>
      </c>
      <c r="D84" t="s">
        <v>148</v>
      </c>
      <c r="E84">
        <v>88</v>
      </c>
      <c r="F84" s="3">
        <f ca="1">41993+(RANDBETWEEN(1,10))</f>
        <v>41995</v>
      </c>
      <c r="G84" t="s">
        <v>26</v>
      </c>
      <c r="H84" t="s">
        <v>27</v>
      </c>
      <c r="I84" t="s">
        <v>97</v>
      </c>
      <c r="J84">
        <v>825.79</v>
      </c>
      <c r="K84">
        <v>0.1</v>
      </c>
      <c r="L84">
        <v>0.36</v>
      </c>
      <c r="M84">
        <v>1.75</v>
      </c>
      <c r="N84">
        <v>104.56355000000001</v>
      </c>
      <c r="O84" s="1" t="s">
        <v>225</v>
      </c>
      <c r="P84" s="1" t="s">
        <v>347</v>
      </c>
      <c r="Q84" s="1" t="s">
        <v>348</v>
      </c>
      <c r="R84" s="1" t="s">
        <v>228</v>
      </c>
      <c r="S84" s="1" t="s">
        <v>349</v>
      </c>
      <c r="T84" s="1" t="s">
        <v>350</v>
      </c>
      <c r="U84" s="2" t="s">
        <v>363</v>
      </c>
      <c r="V84" s="2" t="s">
        <v>47</v>
      </c>
      <c r="W84" s="2" t="s">
        <v>203</v>
      </c>
      <c r="X84" s="2">
        <v>10.08</v>
      </c>
    </row>
    <row r="85" spans="1:24" x14ac:dyDescent="0.3">
      <c r="A85">
        <v>1713</v>
      </c>
      <c r="B85" t="s">
        <v>364</v>
      </c>
      <c r="C85" s="3">
        <v>41628</v>
      </c>
      <c r="D85" t="s">
        <v>62</v>
      </c>
      <c r="E85">
        <v>70</v>
      </c>
      <c r="F85" s="3">
        <f ca="1">41630+(RANDBETWEEN(1,10))</f>
        <v>41637</v>
      </c>
      <c r="G85" t="s">
        <v>76</v>
      </c>
      <c r="H85" t="s">
        <v>258</v>
      </c>
      <c r="I85" t="s">
        <v>28</v>
      </c>
      <c r="J85">
        <v>3774.47</v>
      </c>
      <c r="K85">
        <v>0.05</v>
      </c>
      <c r="L85">
        <v>0.76</v>
      </c>
      <c r="M85">
        <v>97.125</v>
      </c>
      <c r="N85">
        <v>40.778325000000002</v>
      </c>
      <c r="O85" s="1" t="s">
        <v>64</v>
      </c>
      <c r="P85" s="1" t="s">
        <v>339</v>
      </c>
      <c r="Q85" s="1" t="s">
        <v>340</v>
      </c>
      <c r="R85" s="1" t="s">
        <v>128</v>
      </c>
      <c r="S85" s="1" t="s">
        <v>129</v>
      </c>
      <c r="T85" s="1" t="s">
        <v>341</v>
      </c>
      <c r="U85" s="2" t="s">
        <v>365</v>
      </c>
      <c r="V85" s="2" t="s">
        <v>83</v>
      </c>
      <c r="W85" s="2" t="s">
        <v>263</v>
      </c>
      <c r="X85" s="2">
        <v>53.305</v>
      </c>
    </row>
    <row r="86" spans="1:24" x14ac:dyDescent="0.3">
      <c r="A86">
        <v>1739</v>
      </c>
      <c r="B86" t="s">
        <v>366</v>
      </c>
      <c r="C86" s="3">
        <v>40731</v>
      </c>
      <c r="D86" t="s">
        <v>148</v>
      </c>
      <c r="E86">
        <v>10</v>
      </c>
      <c r="F86" s="3">
        <f ca="1">40732+(RANDBETWEEN(1,10))</f>
        <v>40734</v>
      </c>
      <c r="G86" t="s">
        <v>76</v>
      </c>
      <c r="H86" t="s">
        <v>258</v>
      </c>
      <c r="I86" t="s">
        <v>86</v>
      </c>
      <c r="J86">
        <v>5193.16</v>
      </c>
      <c r="K86">
        <v>0</v>
      </c>
      <c r="L86">
        <v>0.78</v>
      </c>
      <c r="M86">
        <v>112.63</v>
      </c>
      <c r="N86">
        <v>-711.44500000000005</v>
      </c>
      <c r="O86" s="1" t="s">
        <v>29</v>
      </c>
      <c r="P86" s="1" t="s">
        <v>367</v>
      </c>
      <c r="Q86" s="1" t="s">
        <v>368</v>
      </c>
      <c r="R86" s="1" t="s">
        <v>32</v>
      </c>
      <c r="S86" s="1" t="s">
        <v>33</v>
      </c>
      <c r="T86" s="1" t="s">
        <v>369</v>
      </c>
      <c r="U86" s="2" t="s">
        <v>370</v>
      </c>
      <c r="V86" s="2" t="s">
        <v>83</v>
      </c>
      <c r="W86" s="2" t="s">
        <v>298</v>
      </c>
      <c r="X86" s="2">
        <v>481.18</v>
      </c>
    </row>
    <row r="87" spans="1:24" x14ac:dyDescent="0.3">
      <c r="A87">
        <v>1768</v>
      </c>
      <c r="B87" t="s">
        <v>371</v>
      </c>
      <c r="C87" s="3">
        <v>40987</v>
      </c>
      <c r="D87" t="s">
        <v>25</v>
      </c>
      <c r="E87">
        <v>22</v>
      </c>
      <c r="F87" s="3">
        <f ca="1">40989+(RANDBETWEEN(1,10))</f>
        <v>40997</v>
      </c>
      <c r="G87" t="s">
        <v>26</v>
      </c>
      <c r="H87" t="s">
        <v>96</v>
      </c>
      <c r="I87" t="s">
        <v>86</v>
      </c>
      <c r="J87">
        <v>1209.915</v>
      </c>
      <c r="K87">
        <v>0.02</v>
      </c>
      <c r="L87">
        <v>0.39</v>
      </c>
      <c r="M87">
        <v>6.8949999999999996</v>
      </c>
      <c r="N87">
        <v>501.30500000000001</v>
      </c>
      <c r="O87" s="1" t="s">
        <v>40</v>
      </c>
      <c r="P87" s="1" t="s">
        <v>78</v>
      </c>
      <c r="Q87" s="1" t="s">
        <v>79</v>
      </c>
      <c r="R87" s="1" t="s">
        <v>43</v>
      </c>
      <c r="S87" s="1" t="s">
        <v>80</v>
      </c>
      <c r="T87" s="1" t="s">
        <v>81</v>
      </c>
      <c r="U87" s="2" t="s">
        <v>372</v>
      </c>
      <c r="V87" s="2" t="s">
        <v>47</v>
      </c>
      <c r="W87" s="2" t="s">
        <v>74</v>
      </c>
      <c r="X87" s="2">
        <v>52.64</v>
      </c>
    </row>
    <row r="88" spans="1:24" x14ac:dyDescent="0.3">
      <c r="A88">
        <v>1788</v>
      </c>
      <c r="B88" t="s">
        <v>373</v>
      </c>
      <c r="C88" s="3">
        <v>41784</v>
      </c>
      <c r="D88" t="s">
        <v>148</v>
      </c>
      <c r="E88">
        <v>27</v>
      </c>
      <c r="F88" s="3">
        <f ca="1">41787+(RANDBETWEEN(1,10))</f>
        <v>41790</v>
      </c>
      <c r="G88" t="s">
        <v>26</v>
      </c>
      <c r="H88" t="s">
        <v>27</v>
      </c>
      <c r="I88" t="s">
        <v>97</v>
      </c>
      <c r="J88">
        <v>310.76499999999999</v>
      </c>
      <c r="K88">
        <v>0</v>
      </c>
      <c r="L88">
        <v>0.37</v>
      </c>
      <c r="M88">
        <v>1.75</v>
      </c>
      <c r="N88">
        <v>99.644999999999996</v>
      </c>
      <c r="O88" s="1" t="s">
        <v>64</v>
      </c>
      <c r="P88" s="1" t="s">
        <v>374</v>
      </c>
      <c r="Q88" s="1" t="s">
        <v>375</v>
      </c>
      <c r="R88" s="1" t="s">
        <v>128</v>
      </c>
      <c r="S88" s="1" t="s">
        <v>129</v>
      </c>
      <c r="T88" s="1" t="s">
        <v>376</v>
      </c>
      <c r="U88" s="2" t="s">
        <v>377</v>
      </c>
      <c r="V88" s="2" t="s">
        <v>47</v>
      </c>
      <c r="W88" s="2" t="s">
        <v>203</v>
      </c>
      <c r="X88" s="2">
        <v>10.78</v>
      </c>
    </row>
    <row r="89" spans="1:24" x14ac:dyDescent="0.3">
      <c r="A89">
        <v>1789</v>
      </c>
      <c r="B89" t="s">
        <v>373</v>
      </c>
      <c r="C89" s="3">
        <v>41784</v>
      </c>
      <c r="D89" t="s">
        <v>148</v>
      </c>
      <c r="E89">
        <v>65</v>
      </c>
      <c r="F89" s="3">
        <f ca="1">41786+(RANDBETWEEN(1,10))</f>
        <v>41794</v>
      </c>
      <c r="G89" t="s">
        <v>26</v>
      </c>
      <c r="H89" t="s">
        <v>96</v>
      </c>
      <c r="I89" t="s">
        <v>97</v>
      </c>
      <c r="J89">
        <v>382.23500000000001</v>
      </c>
      <c r="K89">
        <v>0.08</v>
      </c>
      <c r="L89">
        <v>0.52</v>
      </c>
      <c r="M89">
        <v>2.625</v>
      </c>
      <c r="N89">
        <v>-14.595000000000001</v>
      </c>
      <c r="O89" s="1" t="s">
        <v>64</v>
      </c>
      <c r="P89" s="1" t="s">
        <v>374</v>
      </c>
      <c r="Q89" s="1" t="s">
        <v>375</v>
      </c>
      <c r="R89" s="1" t="s">
        <v>128</v>
      </c>
      <c r="S89" s="1" t="s">
        <v>129</v>
      </c>
      <c r="T89" s="1" t="s">
        <v>376</v>
      </c>
      <c r="U89" s="2" t="s">
        <v>378</v>
      </c>
      <c r="V89" s="2" t="s">
        <v>47</v>
      </c>
      <c r="W89" s="2" t="s">
        <v>176</v>
      </c>
      <c r="X89" s="2">
        <v>6.335</v>
      </c>
    </row>
    <row r="90" spans="1:24" x14ac:dyDescent="0.3">
      <c r="A90">
        <v>1790</v>
      </c>
      <c r="B90" t="s">
        <v>373</v>
      </c>
      <c r="C90" s="3">
        <v>41784</v>
      </c>
      <c r="D90" t="s">
        <v>148</v>
      </c>
      <c r="E90">
        <v>44</v>
      </c>
      <c r="F90" s="3">
        <f ca="1">41786+(RANDBETWEEN(1,10))</f>
        <v>41796</v>
      </c>
      <c r="G90" t="s">
        <v>156</v>
      </c>
      <c r="H90" t="s">
        <v>27</v>
      </c>
      <c r="I90" t="s">
        <v>97</v>
      </c>
      <c r="J90">
        <v>2685.585</v>
      </c>
      <c r="K90">
        <v>0.02</v>
      </c>
      <c r="L90">
        <v>0.59</v>
      </c>
      <c r="M90">
        <v>29.19</v>
      </c>
      <c r="N90">
        <v>-157.22</v>
      </c>
      <c r="O90" s="1" t="s">
        <v>64</v>
      </c>
      <c r="P90" s="1" t="s">
        <v>374</v>
      </c>
      <c r="Q90" s="1" t="s">
        <v>375</v>
      </c>
      <c r="R90" s="1" t="s">
        <v>128</v>
      </c>
      <c r="S90" s="1" t="s">
        <v>129</v>
      </c>
      <c r="T90" s="1" t="s">
        <v>376</v>
      </c>
      <c r="U90" s="2" t="s">
        <v>379</v>
      </c>
      <c r="V90" s="2" t="s">
        <v>47</v>
      </c>
      <c r="W90" s="2" t="s">
        <v>119</v>
      </c>
      <c r="X90" s="2">
        <v>56.21</v>
      </c>
    </row>
    <row r="91" spans="1:24" x14ac:dyDescent="0.3">
      <c r="A91">
        <v>1795</v>
      </c>
      <c r="B91" t="s">
        <v>380</v>
      </c>
      <c r="C91" s="3">
        <v>41334</v>
      </c>
      <c r="D91" t="s">
        <v>62</v>
      </c>
      <c r="E91">
        <v>35</v>
      </c>
      <c r="F91" s="3">
        <f ca="1">41335+(RANDBETWEEN(1,10))</f>
        <v>41338</v>
      </c>
      <c r="G91" t="s">
        <v>26</v>
      </c>
      <c r="H91" t="s">
        <v>96</v>
      </c>
      <c r="I91" t="s">
        <v>52</v>
      </c>
      <c r="J91">
        <v>210.73500000000001</v>
      </c>
      <c r="K91">
        <v>0.09</v>
      </c>
      <c r="L91">
        <v>0.56000000000000005</v>
      </c>
      <c r="M91">
        <v>2.4500000000000002</v>
      </c>
      <c r="N91">
        <v>-8.5399999999999991</v>
      </c>
      <c r="O91" s="1" t="s">
        <v>40</v>
      </c>
      <c r="P91" s="1" t="s">
        <v>381</v>
      </c>
      <c r="Q91" s="1" t="s">
        <v>382</v>
      </c>
      <c r="R91" s="1" t="s">
        <v>220</v>
      </c>
      <c r="S91" s="1" t="s">
        <v>221</v>
      </c>
      <c r="T91" s="1" t="s">
        <v>383</v>
      </c>
      <c r="U91" s="2" t="s">
        <v>384</v>
      </c>
      <c r="V91" s="2" t="s">
        <v>47</v>
      </c>
      <c r="W91" s="2" t="s">
        <v>104</v>
      </c>
      <c r="X91" s="2">
        <v>6.16</v>
      </c>
    </row>
    <row r="92" spans="1:24" x14ac:dyDescent="0.3">
      <c r="A92">
        <v>1796</v>
      </c>
      <c r="B92" t="s">
        <v>380</v>
      </c>
      <c r="C92" s="3">
        <v>41334</v>
      </c>
      <c r="D92" t="s">
        <v>62</v>
      </c>
      <c r="E92">
        <v>2</v>
      </c>
      <c r="F92" s="3">
        <f ca="1">41336+(RANDBETWEEN(1,10))</f>
        <v>41340</v>
      </c>
      <c r="G92" t="s">
        <v>26</v>
      </c>
      <c r="H92" t="s">
        <v>96</v>
      </c>
      <c r="I92" t="s">
        <v>52</v>
      </c>
      <c r="J92">
        <v>32.795000000000002</v>
      </c>
      <c r="K92">
        <v>0.09</v>
      </c>
      <c r="L92">
        <v>0.36</v>
      </c>
      <c r="M92">
        <v>4.2699999999999996</v>
      </c>
      <c r="N92">
        <v>-18.41</v>
      </c>
      <c r="O92" s="1" t="s">
        <v>40</v>
      </c>
      <c r="P92" s="1" t="s">
        <v>381</v>
      </c>
      <c r="Q92" s="1" t="s">
        <v>382</v>
      </c>
      <c r="R92" s="1" t="s">
        <v>220</v>
      </c>
      <c r="S92" s="1" t="s">
        <v>221</v>
      </c>
      <c r="T92" s="1" t="s">
        <v>383</v>
      </c>
      <c r="U92" s="2" t="s">
        <v>385</v>
      </c>
      <c r="V92" s="2" t="s">
        <v>47</v>
      </c>
      <c r="W92" s="2" t="s">
        <v>74</v>
      </c>
      <c r="X92" s="2">
        <v>15.68</v>
      </c>
    </row>
    <row r="93" spans="1:24" x14ac:dyDescent="0.3">
      <c r="A93">
        <v>1799</v>
      </c>
      <c r="B93" t="s">
        <v>386</v>
      </c>
      <c r="C93" s="3">
        <v>41473</v>
      </c>
      <c r="D93" t="s">
        <v>50</v>
      </c>
      <c r="E93">
        <v>53</v>
      </c>
      <c r="F93" s="3">
        <f ca="1">41474+(RANDBETWEEN(1,10))</f>
        <v>41482</v>
      </c>
      <c r="G93" t="s">
        <v>26</v>
      </c>
      <c r="H93" t="s">
        <v>27</v>
      </c>
      <c r="I93" t="s">
        <v>28</v>
      </c>
      <c r="J93">
        <v>672.98</v>
      </c>
      <c r="K93">
        <v>0.03</v>
      </c>
      <c r="L93">
        <v>0.38</v>
      </c>
      <c r="M93">
        <v>1.75</v>
      </c>
      <c r="N93">
        <v>209.72</v>
      </c>
      <c r="O93" s="1" t="s">
        <v>64</v>
      </c>
      <c r="P93" s="1" t="s">
        <v>233</v>
      </c>
      <c r="Q93" s="1" t="s">
        <v>234</v>
      </c>
      <c r="R93" s="1" t="s">
        <v>67</v>
      </c>
      <c r="S93" s="1" t="s">
        <v>68</v>
      </c>
      <c r="T93" s="1" t="s">
        <v>235</v>
      </c>
      <c r="U93" s="2" t="s">
        <v>312</v>
      </c>
      <c r="V93" s="2" t="s">
        <v>47</v>
      </c>
      <c r="W93" s="2" t="s">
        <v>203</v>
      </c>
      <c r="X93" s="2">
        <v>12.914999999999999</v>
      </c>
    </row>
    <row r="94" spans="1:24" x14ac:dyDescent="0.3">
      <c r="A94">
        <v>1800</v>
      </c>
      <c r="B94" t="s">
        <v>386</v>
      </c>
      <c r="C94" s="3">
        <v>41473</v>
      </c>
      <c r="D94" t="s">
        <v>50</v>
      </c>
      <c r="E94">
        <v>42</v>
      </c>
      <c r="F94" s="3">
        <f ca="1">41474+(RANDBETWEEN(1,10))</f>
        <v>41475</v>
      </c>
      <c r="G94" t="s">
        <v>156</v>
      </c>
      <c r="H94" t="s">
        <v>27</v>
      </c>
      <c r="I94" t="s">
        <v>28</v>
      </c>
      <c r="J94">
        <v>1003.17</v>
      </c>
      <c r="K94">
        <v>0.05</v>
      </c>
      <c r="L94">
        <v>0.37</v>
      </c>
      <c r="M94">
        <v>27.684999999999999</v>
      </c>
      <c r="N94">
        <v>-423.32499999999999</v>
      </c>
      <c r="O94" s="1" t="s">
        <v>64</v>
      </c>
      <c r="P94" s="1" t="s">
        <v>233</v>
      </c>
      <c r="Q94" s="1" t="s">
        <v>234</v>
      </c>
      <c r="R94" s="1" t="s">
        <v>67</v>
      </c>
      <c r="S94" s="1" t="s">
        <v>68</v>
      </c>
      <c r="T94" s="1" t="s">
        <v>235</v>
      </c>
      <c r="U94" s="2" t="s">
        <v>387</v>
      </c>
      <c r="V94" s="2" t="s">
        <v>47</v>
      </c>
      <c r="W94" s="2" t="s">
        <v>74</v>
      </c>
      <c r="X94" s="2">
        <v>22.68</v>
      </c>
    </row>
    <row r="95" spans="1:24" x14ac:dyDescent="0.3">
      <c r="A95">
        <v>18001</v>
      </c>
      <c r="B95" t="s">
        <v>388</v>
      </c>
      <c r="C95" s="3">
        <v>41195</v>
      </c>
      <c r="D95" t="s">
        <v>25</v>
      </c>
      <c r="E95">
        <v>3</v>
      </c>
      <c r="F95" s="3">
        <f ca="1">41202+(RANDBETWEEN(1,10))</f>
        <v>41212</v>
      </c>
      <c r="G95" t="s">
        <v>26</v>
      </c>
      <c r="H95" t="s">
        <v>63</v>
      </c>
      <c r="I95" t="s">
        <v>86</v>
      </c>
      <c r="J95">
        <v>457.69499999999999</v>
      </c>
      <c r="K95">
        <v>0.04</v>
      </c>
      <c r="L95">
        <v>0.8</v>
      </c>
      <c r="M95">
        <v>122.5</v>
      </c>
      <c r="N95">
        <v>-806.08500000000004</v>
      </c>
      <c r="O95" s="1" t="s">
        <v>225</v>
      </c>
      <c r="P95" s="1" t="s">
        <v>389</v>
      </c>
      <c r="Q95" s="1" t="s">
        <v>390</v>
      </c>
      <c r="R95" s="1" t="s">
        <v>391</v>
      </c>
      <c r="S95" s="1" t="s">
        <v>392</v>
      </c>
      <c r="T95" s="1" t="s">
        <v>393</v>
      </c>
      <c r="U95" s="2" t="s">
        <v>394</v>
      </c>
      <c r="V95" s="2" t="s">
        <v>47</v>
      </c>
      <c r="W95" s="2" t="s">
        <v>119</v>
      </c>
      <c r="X95" s="2">
        <v>136.29</v>
      </c>
    </row>
    <row r="96" spans="1:24" x14ac:dyDescent="0.3">
      <c r="A96">
        <v>18002</v>
      </c>
      <c r="B96" t="s">
        <v>395</v>
      </c>
      <c r="C96" s="3">
        <v>41690</v>
      </c>
      <c r="D96" t="s">
        <v>50</v>
      </c>
      <c r="E96">
        <v>1</v>
      </c>
      <c r="F96" s="3">
        <f ca="1">41691+(RANDBETWEEN(1,10))</f>
        <v>41698</v>
      </c>
      <c r="G96" t="s">
        <v>26</v>
      </c>
      <c r="H96" t="s">
        <v>51</v>
      </c>
      <c r="I96" t="s">
        <v>28</v>
      </c>
      <c r="J96">
        <v>12.145</v>
      </c>
      <c r="K96">
        <v>0.01</v>
      </c>
      <c r="L96">
        <v>0.55000000000000004</v>
      </c>
      <c r="M96">
        <v>8.9600000000000009</v>
      </c>
      <c r="N96">
        <v>-16.239999999999998</v>
      </c>
      <c r="O96" s="1" t="s">
        <v>87</v>
      </c>
      <c r="P96" s="1" t="s">
        <v>396</v>
      </c>
      <c r="Q96" s="1" t="s">
        <v>397</v>
      </c>
      <c r="R96" s="1" t="s">
        <v>398</v>
      </c>
      <c r="S96" s="1" t="s">
        <v>399</v>
      </c>
      <c r="T96" s="1" t="s">
        <v>400</v>
      </c>
      <c r="U96" s="2" t="s">
        <v>401</v>
      </c>
      <c r="V96" s="2" t="s">
        <v>47</v>
      </c>
      <c r="W96" s="2" t="s">
        <v>94</v>
      </c>
      <c r="X96" s="2">
        <v>7.28</v>
      </c>
    </row>
    <row r="97" spans="1:24" x14ac:dyDescent="0.3">
      <c r="A97">
        <v>18003</v>
      </c>
      <c r="B97" t="s">
        <v>402</v>
      </c>
      <c r="C97" s="3">
        <v>41470</v>
      </c>
      <c r="D97" t="s">
        <v>39</v>
      </c>
      <c r="E97">
        <v>9</v>
      </c>
      <c r="F97" s="3">
        <f ca="1">41472+(RANDBETWEEN(1,10))</f>
        <v>41473</v>
      </c>
      <c r="G97" t="s">
        <v>26</v>
      </c>
      <c r="H97" t="s">
        <v>281</v>
      </c>
      <c r="I97" t="s">
        <v>28</v>
      </c>
      <c r="J97">
        <v>3402.105</v>
      </c>
      <c r="K97">
        <v>7.0000000000000007E-2</v>
      </c>
      <c r="L97">
        <v>0.65</v>
      </c>
      <c r="M97">
        <v>20.335000000000001</v>
      </c>
      <c r="N97">
        <v>2347.4524500000002</v>
      </c>
      <c r="O97" s="1" t="s">
        <v>29</v>
      </c>
      <c r="P97" s="1" t="s">
        <v>403</v>
      </c>
      <c r="Q97" s="1" t="s">
        <v>404</v>
      </c>
      <c r="R97" s="1" t="s">
        <v>32</v>
      </c>
      <c r="S97" s="1" t="s">
        <v>405</v>
      </c>
      <c r="T97" s="1" t="s">
        <v>406</v>
      </c>
      <c r="U97" s="2" t="s">
        <v>351</v>
      </c>
      <c r="V97" s="2" t="s">
        <v>83</v>
      </c>
      <c r="W97" s="2" t="s">
        <v>178</v>
      </c>
      <c r="X97" s="2">
        <v>376.35500000000002</v>
      </c>
    </row>
    <row r="98" spans="1:24" x14ac:dyDescent="0.3">
      <c r="A98">
        <v>18004</v>
      </c>
      <c r="B98" t="s">
        <v>402</v>
      </c>
      <c r="C98" s="3">
        <v>41470</v>
      </c>
      <c r="D98" t="s">
        <v>39</v>
      </c>
      <c r="E98">
        <v>8</v>
      </c>
      <c r="F98" s="3">
        <f ca="1">41471+(RANDBETWEEN(1,10))</f>
        <v>41476</v>
      </c>
      <c r="G98" t="s">
        <v>76</v>
      </c>
      <c r="H98" t="s">
        <v>258</v>
      </c>
      <c r="I98" t="s">
        <v>28</v>
      </c>
      <c r="J98">
        <v>2054.9549999999999</v>
      </c>
      <c r="K98">
        <v>0.09</v>
      </c>
      <c r="L98">
        <v>0.72</v>
      </c>
      <c r="M98">
        <v>312.55</v>
      </c>
      <c r="N98">
        <v>-6119.96</v>
      </c>
      <c r="O98" s="1" t="s">
        <v>29</v>
      </c>
      <c r="P98" s="1" t="s">
        <v>403</v>
      </c>
      <c r="Q98" s="1" t="s">
        <v>404</v>
      </c>
      <c r="R98" s="1" t="s">
        <v>32</v>
      </c>
      <c r="S98" s="1" t="s">
        <v>405</v>
      </c>
      <c r="T98" s="1" t="s">
        <v>406</v>
      </c>
      <c r="U98" s="2" t="s">
        <v>407</v>
      </c>
      <c r="V98" s="2" t="s">
        <v>83</v>
      </c>
      <c r="W98" s="2" t="s">
        <v>263</v>
      </c>
      <c r="X98" s="2">
        <v>248.11500000000001</v>
      </c>
    </row>
    <row r="99" spans="1:24" x14ac:dyDescent="0.3">
      <c r="A99">
        <v>18005</v>
      </c>
      <c r="B99" t="s">
        <v>402</v>
      </c>
      <c r="C99" s="3">
        <v>41470</v>
      </c>
      <c r="D99" t="s">
        <v>39</v>
      </c>
      <c r="E99">
        <v>8</v>
      </c>
      <c r="F99" s="3">
        <f ca="1">41472+(RANDBETWEEN(1,10))</f>
        <v>41479</v>
      </c>
      <c r="G99" t="s">
        <v>26</v>
      </c>
      <c r="H99" t="s">
        <v>281</v>
      </c>
      <c r="I99" t="s">
        <v>28</v>
      </c>
      <c r="J99">
        <v>195.05500000000001</v>
      </c>
      <c r="K99">
        <v>0.04</v>
      </c>
      <c r="L99">
        <v>0.6</v>
      </c>
      <c r="M99">
        <v>17.605</v>
      </c>
      <c r="N99">
        <v>-297.95150000000001</v>
      </c>
      <c r="O99" s="1" t="s">
        <v>29</v>
      </c>
      <c r="P99" s="1" t="s">
        <v>403</v>
      </c>
      <c r="Q99" s="1" t="s">
        <v>404</v>
      </c>
      <c r="R99" s="1" t="s">
        <v>32</v>
      </c>
      <c r="S99" s="1" t="s">
        <v>405</v>
      </c>
      <c r="T99" s="1" t="s">
        <v>406</v>
      </c>
      <c r="U99" s="2" t="s">
        <v>408</v>
      </c>
      <c r="V99" s="2" t="s">
        <v>36</v>
      </c>
      <c r="W99" s="2" t="s">
        <v>37</v>
      </c>
      <c r="X99" s="2">
        <v>27.965</v>
      </c>
    </row>
    <row r="100" spans="1:24" x14ac:dyDescent="0.3">
      <c r="A100">
        <v>18006</v>
      </c>
      <c r="B100" t="s">
        <v>402</v>
      </c>
      <c r="C100" s="3">
        <v>41470</v>
      </c>
      <c r="D100" t="s">
        <v>39</v>
      </c>
      <c r="E100">
        <v>5</v>
      </c>
      <c r="F100" s="3">
        <f ca="1">41471+(RANDBETWEEN(1,10))</f>
        <v>41481</v>
      </c>
      <c r="G100" t="s">
        <v>26</v>
      </c>
      <c r="H100" t="s">
        <v>51</v>
      </c>
      <c r="I100" t="s">
        <v>28</v>
      </c>
      <c r="J100">
        <v>163.97499999999999</v>
      </c>
      <c r="K100">
        <v>0.04</v>
      </c>
      <c r="L100">
        <v>0.79</v>
      </c>
      <c r="M100">
        <v>31.465</v>
      </c>
      <c r="N100">
        <v>56.091000000000001</v>
      </c>
      <c r="O100" s="1" t="s">
        <v>64</v>
      </c>
      <c r="P100" s="1" t="s">
        <v>409</v>
      </c>
      <c r="Q100" s="1" t="s">
        <v>410</v>
      </c>
      <c r="R100" s="1" t="s">
        <v>67</v>
      </c>
      <c r="S100" s="1" t="s">
        <v>411</v>
      </c>
      <c r="T100" s="1" t="s">
        <v>412</v>
      </c>
      <c r="U100" s="2" t="s">
        <v>413</v>
      </c>
      <c r="V100" s="2" t="s">
        <v>36</v>
      </c>
      <c r="W100" s="2" t="s">
        <v>60</v>
      </c>
      <c r="X100" s="2">
        <v>29.61</v>
      </c>
    </row>
    <row r="101" spans="1:24" x14ac:dyDescent="0.3">
      <c r="A101">
        <v>18007</v>
      </c>
      <c r="B101" t="s">
        <v>414</v>
      </c>
      <c r="C101" s="3">
        <v>41569</v>
      </c>
      <c r="D101" t="s">
        <v>50</v>
      </c>
      <c r="E101">
        <v>15</v>
      </c>
      <c r="F101" s="3">
        <f ca="1">41570+(RANDBETWEEN(1,10))</f>
        <v>41580</v>
      </c>
      <c r="G101" t="s">
        <v>26</v>
      </c>
      <c r="H101" t="s">
        <v>96</v>
      </c>
      <c r="I101" t="s">
        <v>28</v>
      </c>
      <c r="J101">
        <v>504.98</v>
      </c>
      <c r="K101">
        <v>0.03</v>
      </c>
      <c r="L101">
        <v>0.52</v>
      </c>
      <c r="M101">
        <v>7.875</v>
      </c>
      <c r="N101">
        <v>195.51840000000001</v>
      </c>
      <c r="O101" s="1" t="s">
        <v>64</v>
      </c>
      <c r="P101" s="1" t="s">
        <v>415</v>
      </c>
      <c r="Q101" s="1" t="s">
        <v>416</v>
      </c>
      <c r="R101" s="1" t="s">
        <v>67</v>
      </c>
      <c r="S101" s="1" t="s">
        <v>417</v>
      </c>
      <c r="T101" s="1" t="s">
        <v>418</v>
      </c>
      <c r="U101" s="2" t="s">
        <v>419</v>
      </c>
      <c r="V101" s="2" t="s">
        <v>47</v>
      </c>
      <c r="W101" s="2" t="s">
        <v>104</v>
      </c>
      <c r="X101" s="2">
        <v>31.885000000000002</v>
      </c>
    </row>
    <row r="102" spans="1:24" x14ac:dyDescent="0.3">
      <c r="A102">
        <v>18008</v>
      </c>
      <c r="B102" t="s">
        <v>414</v>
      </c>
      <c r="C102" s="3">
        <v>41569</v>
      </c>
      <c r="D102" t="s">
        <v>50</v>
      </c>
      <c r="E102">
        <v>7</v>
      </c>
      <c r="F102" s="3">
        <f ca="1">41571+(RANDBETWEEN(1,10))</f>
        <v>41578</v>
      </c>
      <c r="G102" t="s">
        <v>26</v>
      </c>
      <c r="H102" t="s">
        <v>27</v>
      </c>
      <c r="I102" t="s">
        <v>28</v>
      </c>
      <c r="J102">
        <v>3312.47</v>
      </c>
      <c r="K102">
        <v>0.01</v>
      </c>
      <c r="L102">
        <v>0.57999999999999996</v>
      </c>
      <c r="M102">
        <v>31.465</v>
      </c>
      <c r="N102">
        <v>157.73813999999999</v>
      </c>
      <c r="O102" s="1" t="s">
        <v>64</v>
      </c>
      <c r="P102" s="1" t="s">
        <v>415</v>
      </c>
      <c r="Q102" s="1" t="s">
        <v>416</v>
      </c>
      <c r="R102" s="1" t="s">
        <v>67</v>
      </c>
      <c r="S102" s="1" t="s">
        <v>417</v>
      </c>
      <c r="T102" s="1" t="s">
        <v>418</v>
      </c>
      <c r="U102" s="2" t="s">
        <v>307</v>
      </c>
      <c r="V102" s="2" t="s">
        <v>36</v>
      </c>
      <c r="W102" s="2" t="s">
        <v>37</v>
      </c>
      <c r="X102" s="2">
        <v>545.96500000000003</v>
      </c>
    </row>
    <row r="103" spans="1:24" x14ac:dyDescent="0.3">
      <c r="A103">
        <v>18009</v>
      </c>
      <c r="B103" t="s">
        <v>420</v>
      </c>
      <c r="C103" s="3">
        <v>41580</v>
      </c>
      <c r="D103" t="s">
        <v>62</v>
      </c>
      <c r="E103">
        <v>39</v>
      </c>
      <c r="F103" s="3">
        <f ca="1">41580+(RANDBETWEEN(1,10))</f>
        <v>41588</v>
      </c>
      <c r="G103" t="s">
        <v>26</v>
      </c>
      <c r="H103" t="s">
        <v>27</v>
      </c>
      <c r="I103" t="s">
        <v>97</v>
      </c>
      <c r="J103">
        <v>7373.2049999999999</v>
      </c>
      <c r="K103">
        <v>0.1</v>
      </c>
      <c r="L103">
        <v>0.55000000000000004</v>
      </c>
      <c r="M103">
        <v>14.7</v>
      </c>
      <c r="N103">
        <v>5062.5729000000001</v>
      </c>
      <c r="O103" s="1" t="s">
        <v>64</v>
      </c>
      <c r="P103" s="1" t="s">
        <v>421</v>
      </c>
      <c r="Q103" s="1" t="s">
        <v>422</v>
      </c>
      <c r="R103" s="1" t="s">
        <v>128</v>
      </c>
      <c r="S103" s="1" t="s">
        <v>423</v>
      </c>
      <c r="T103" s="1" t="s">
        <v>424</v>
      </c>
      <c r="U103" s="2" t="s">
        <v>425</v>
      </c>
      <c r="V103" s="2" t="s">
        <v>36</v>
      </c>
      <c r="W103" s="2" t="s">
        <v>37</v>
      </c>
      <c r="X103" s="2">
        <v>230.965</v>
      </c>
    </row>
    <row r="104" spans="1:24" x14ac:dyDescent="0.3">
      <c r="A104">
        <v>1801</v>
      </c>
      <c r="B104" t="s">
        <v>426</v>
      </c>
      <c r="C104" s="3">
        <v>41032</v>
      </c>
      <c r="D104" t="s">
        <v>39</v>
      </c>
      <c r="E104">
        <v>73</v>
      </c>
      <c r="F104" s="3">
        <f ca="1">41033+(RANDBETWEEN(1,10))</f>
        <v>41034</v>
      </c>
      <c r="G104" t="s">
        <v>26</v>
      </c>
      <c r="H104" t="s">
        <v>51</v>
      </c>
      <c r="I104" t="s">
        <v>28</v>
      </c>
      <c r="J104">
        <v>3204.6</v>
      </c>
      <c r="K104">
        <v>0.08</v>
      </c>
      <c r="L104">
        <v>0.48</v>
      </c>
      <c r="M104">
        <v>17.43</v>
      </c>
      <c r="N104">
        <v>350.14</v>
      </c>
      <c r="O104" s="1" t="s">
        <v>225</v>
      </c>
      <c r="P104" s="1" t="s">
        <v>427</v>
      </c>
      <c r="Q104" s="1" t="s">
        <v>428</v>
      </c>
      <c r="R104" s="1" t="s">
        <v>228</v>
      </c>
      <c r="S104" s="1" t="s">
        <v>229</v>
      </c>
      <c r="T104" s="1" t="s">
        <v>429</v>
      </c>
      <c r="U104" s="2" t="s">
        <v>430</v>
      </c>
      <c r="V104" s="2" t="s">
        <v>83</v>
      </c>
      <c r="W104" s="2" t="s">
        <v>178</v>
      </c>
      <c r="X104" s="2">
        <v>44.24</v>
      </c>
    </row>
    <row r="105" spans="1:24" x14ac:dyDescent="0.3">
      <c r="A105">
        <v>18010</v>
      </c>
      <c r="B105" t="s">
        <v>431</v>
      </c>
      <c r="C105" s="3">
        <v>41350</v>
      </c>
      <c r="D105" t="s">
        <v>62</v>
      </c>
      <c r="E105">
        <v>9</v>
      </c>
      <c r="F105" s="3">
        <f ca="1">41351+(RANDBETWEEN(1,10))</f>
        <v>41359</v>
      </c>
      <c r="G105" t="s">
        <v>26</v>
      </c>
      <c r="H105" t="s">
        <v>51</v>
      </c>
      <c r="I105" t="s">
        <v>28</v>
      </c>
      <c r="J105">
        <v>3753.1550000000002</v>
      </c>
      <c r="K105">
        <v>0.02</v>
      </c>
      <c r="L105">
        <v>0.49</v>
      </c>
      <c r="M105">
        <v>6.9649999999999999</v>
      </c>
      <c r="N105">
        <v>2589.67695</v>
      </c>
      <c r="O105" s="1" t="s">
        <v>64</v>
      </c>
      <c r="P105" s="1" t="s">
        <v>432</v>
      </c>
      <c r="Q105" s="1" t="s">
        <v>433</v>
      </c>
      <c r="R105" s="1" t="s">
        <v>67</v>
      </c>
      <c r="S105" s="1" t="s">
        <v>434</v>
      </c>
      <c r="T105" s="1" t="s">
        <v>435</v>
      </c>
      <c r="U105" s="2" t="s">
        <v>436</v>
      </c>
      <c r="V105" s="2" t="s">
        <v>36</v>
      </c>
      <c r="W105" s="2" t="s">
        <v>60</v>
      </c>
      <c r="X105" s="2">
        <v>405.26499999999999</v>
      </c>
    </row>
    <row r="106" spans="1:24" x14ac:dyDescent="0.3">
      <c r="A106">
        <v>18011</v>
      </c>
      <c r="B106" t="s">
        <v>437</v>
      </c>
      <c r="C106" s="3">
        <v>40562</v>
      </c>
      <c r="D106" t="s">
        <v>25</v>
      </c>
      <c r="E106">
        <v>10</v>
      </c>
      <c r="F106" s="3">
        <f ca="1">40562+(RANDBETWEEN(1,10))</f>
        <v>40569</v>
      </c>
      <c r="G106" t="s">
        <v>26</v>
      </c>
      <c r="H106" t="s">
        <v>96</v>
      </c>
      <c r="I106" t="s">
        <v>52</v>
      </c>
      <c r="J106">
        <v>92.33</v>
      </c>
      <c r="K106">
        <v>0.09</v>
      </c>
      <c r="L106">
        <v>0.56000000000000005</v>
      </c>
      <c r="M106">
        <v>2.4500000000000002</v>
      </c>
      <c r="N106">
        <v>20.136199999999999</v>
      </c>
      <c r="O106" s="1" t="s">
        <v>53</v>
      </c>
      <c r="P106" s="1" t="s">
        <v>438</v>
      </c>
      <c r="Q106" s="1" t="s">
        <v>439</v>
      </c>
      <c r="R106" s="1" t="s">
        <v>440</v>
      </c>
      <c r="S106" s="1" t="s">
        <v>441</v>
      </c>
      <c r="T106" s="1" t="s">
        <v>442</v>
      </c>
      <c r="U106" s="2" t="s">
        <v>443</v>
      </c>
      <c r="V106" s="2" t="s">
        <v>47</v>
      </c>
      <c r="W106" s="2" t="s">
        <v>104</v>
      </c>
      <c r="X106" s="2">
        <v>10.08</v>
      </c>
    </row>
    <row r="107" spans="1:24" x14ac:dyDescent="0.3">
      <c r="A107">
        <v>18012</v>
      </c>
      <c r="B107" t="s">
        <v>444</v>
      </c>
      <c r="C107" s="3">
        <v>40697</v>
      </c>
      <c r="D107" t="s">
        <v>50</v>
      </c>
      <c r="E107">
        <v>16</v>
      </c>
      <c r="F107" s="3">
        <f ca="1">40699+(RANDBETWEEN(1,10))</f>
        <v>40700</v>
      </c>
      <c r="G107" t="s">
        <v>26</v>
      </c>
      <c r="H107" t="s">
        <v>51</v>
      </c>
      <c r="I107" t="s">
        <v>28</v>
      </c>
      <c r="J107">
        <v>1581.405</v>
      </c>
      <c r="K107">
        <v>0.09</v>
      </c>
      <c r="L107">
        <v>0.44</v>
      </c>
      <c r="M107">
        <v>13.72</v>
      </c>
      <c r="N107">
        <v>-456.48399999999998</v>
      </c>
      <c r="O107" s="1" t="s">
        <v>29</v>
      </c>
      <c r="P107" s="1" t="s">
        <v>445</v>
      </c>
      <c r="Q107" s="1" t="s">
        <v>446</v>
      </c>
      <c r="R107" s="1" t="s">
        <v>32</v>
      </c>
      <c r="S107" s="1" t="s">
        <v>447</v>
      </c>
      <c r="T107" s="1" t="s">
        <v>448</v>
      </c>
      <c r="U107" s="2" t="s">
        <v>449</v>
      </c>
      <c r="V107" s="2" t="s">
        <v>83</v>
      </c>
      <c r="W107" s="2" t="s">
        <v>178</v>
      </c>
      <c r="X107" s="2">
        <v>108.255</v>
      </c>
    </row>
    <row r="108" spans="1:24" x14ac:dyDescent="0.3">
      <c r="A108">
        <v>18013</v>
      </c>
      <c r="B108" t="s">
        <v>444</v>
      </c>
      <c r="C108" s="3">
        <v>40697</v>
      </c>
      <c r="D108" t="s">
        <v>50</v>
      </c>
      <c r="E108">
        <v>11</v>
      </c>
      <c r="F108" s="3">
        <f ca="1">40699+(RANDBETWEEN(1,10))</f>
        <v>40706</v>
      </c>
      <c r="G108" t="s">
        <v>156</v>
      </c>
      <c r="H108" t="s">
        <v>96</v>
      </c>
      <c r="I108" t="s">
        <v>28</v>
      </c>
      <c r="J108">
        <v>70.84</v>
      </c>
      <c r="K108">
        <v>0.03</v>
      </c>
      <c r="L108">
        <v>0.6</v>
      </c>
      <c r="M108">
        <v>2.4500000000000002</v>
      </c>
      <c r="N108">
        <v>-372.4735</v>
      </c>
      <c r="O108" s="1" t="s">
        <v>29</v>
      </c>
      <c r="P108" s="1" t="s">
        <v>445</v>
      </c>
      <c r="Q108" s="1" t="s">
        <v>446</v>
      </c>
      <c r="R108" s="1" t="s">
        <v>32</v>
      </c>
      <c r="S108" s="1" t="s">
        <v>447</v>
      </c>
      <c r="T108" s="1" t="s">
        <v>448</v>
      </c>
      <c r="U108" s="2" t="s">
        <v>450</v>
      </c>
      <c r="V108" s="2" t="s">
        <v>47</v>
      </c>
      <c r="W108" s="2" t="s">
        <v>104</v>
      </c>
      <c r="X108" s="2">
        <v>5.88</v>
      </c>
    </row>
    <row r="109" spans="1:24" x14ac:dyDescent="0.3">
      <c r="A109">
        <v>18014</v>
      </c>
      <c r="B109" t="s">
        <v>451</v>
      </c>
      <c r="C109" s="3">
        <v>41260</v>
      </c>
      <c r="D109" t="s">
        <v>25</v>
      </c>
      <c r="E109">
        <v>22</v>
      </c>
      <c r="F109" s="3">
        <f ca="1">41265+(RANDBETWEEN(1,10))</f>
        <v>41275</v>
      </c>
      <c r="G109" t="s">
        <v>26</v>
      </c>
      <c r="H109" t="s">
        <v>96</v>
      </c>
      <c r="I109" t="s">
        <v>97</v>
      </c>
      <c r="J109">
        <v>144.44499999999999</v>
      </c>
      <c r="K109">
        <v>0.03</v>
      </c>
      <c r="L109">
        <v>0.82</v>
      </c>
      <c r="M109">
        <v>9.0299999999999994</v>
      </c>
      <c r="N109">
        <v>-187.25</v>
      </c>
      <c r="O109" s="1" t="s">
        <v>40</v>
      </c>
      <c r="P109" s="1" t="s">
        <v>452</v>
      </c>
      <c r="Q109" s="1" t="s">
        <v>453</v>
      </c>
      <c r="R109" s="1" t="s">
        <v>43</v>
      </c>
      <c r="S109" s="1" t="s">
        <v>454</v>
      </c>
      <c r="T109" s="1" t="s">
        <v>455</v>
      </c>
      <c r="U109" s="2" t="s">
        <v>456</v>
      </c>
      <c r="V109" s="2" t="s">
        <v>47</v>
      </c>
      <c r="W109" s="2" t="s">
        <v>176</v>
      </c>
      <c r="X109" s="2">
        <v>6.51</v>
      </c>
    </row>
    <row r="110" spans="1:24" x14ac:dyDescent="0.3">
      <c r="A110">
        <v>18015</v>
      </c>
      <c r="B110" t="s">
        <v>451</v>
      </c>
      <c r="C110" s="3">
        <v>41260</v>
      </c>
      <c r="D110" t="s">
        <v>25</v>
      </c>
      <c r="E110">
        <v>21</v>
      </c>
      <c r="F110" s="3">
        <f ca="1">41265+(RANDBETWEEN(1,10))</f>
        <v>41272</v>
      </c>
      <c r="G110" t="s">
        <v>26</v>
      </c>
      <c r="H110" t="s">
        <v>27</v>
      </c>
      <c r="I110" t="s">
        <v>97</v>
      </c>
      <c r="J110">
        <v>12470.29</v>
      </c>
      <c r="K110">
        <v>0.05</v>
      </c>
      <c r="L110">
        <v>0.59</v>
      </c>
      <c r="M110">
        <v>20.965</v>
      </c>
      <c r="N110">
        <v>8604.5000999999993</v>
      </c>
      <c r="O110" s="1" t="s">
        <v>40</v>
      </c>
      <c r="P110" s="1" t="s">
        <v>452</v>
      </c>
      <c r="Q110" s="1" t="s">
        <v>453</v>
      </c>
      <c r="R110" s="1" t="s">
        <v>43</v>
      </c>
      <c r="S110" s="1" t="s">
        <v>454</v>
      </c>
      <c r="T110" s="1" t="s">
        <v>455</v>
      </c>
      <c r="U110" s="2">
        <v>3285</v>
      </c>
      <c r="V110" s="2" t="s">
        <v>36</v>
      </c>
      <c r="W110" s="2" t="s">
        <v>37</v>
      </c>
      <c r="X110" s="2">
        <v>720.96500000000003</v>
      </c>
    </row>
    <row r="111" spans="1:24" x14ac:dyDescent="0.3">
      <c r="A111">
        <v>18016</v>
      </c>
      <c r="B111" t="s">
        <v>457</v>
      </c>
      <c r="C111" s="3">
        <v>40649</v>
      </c>
      <c r="D111" t="s">
        <v>39</v>
      </c>
      <c r="E111">
        <v>9</v>
      </c>
      <c r="F111" s="3">
        <f ca="1">40651+(RANDBETWEEN(1,10))</f>
        <v>40657</v>
      </c>
      <c r="G111" t="s">
        <v>26</v>
      </c>
      <c r="H111" t="s">
        <v>27</v>
      </c>
      <c r="I111" t="s">
        <v>97</v>
      </c>
      <c r="J111">
        <v>3540.04</v>
      </c>
      <c r="K111">
        <v>0.01</v>
      </c>
      <c r="L111">
        <v>0.55000000000000004</v>
      </c>
      <c r="M111">
        <v>31.465</v>
      </c>
      <c r="N111">
        <v>-159.15199999999999</v>
      </c>
      <c r="O111" s="1" t="s">
        <v>29</v>
      </c>
      <c r="P111" s="1" t="s">
        <v>458</v>
      </c>
      <c r="Q111" s="1" t="s">
        <v>459</v>
      </c>
      <c r="R111" s="1" t="s">
        <v>460</v>
      </c>
      <c r="S111" s="1" t="s">
        <v>461</v>
      </c>
      <c r="T111" s="1" t="s">
        <v>462</v>
      </c>
      <c r="U111" s="2" t="s">
        <v>187</v>
      </c>
      <c r="V111" s="2" t="s">
        <v>36</v>
      </c>
      <c r="W111" s="2" t="s">
        <v>37</v>
      </c>
      <c r="X111" s="2">
        <v>440.96499999999997</v>
      </c>
    </row>
    <row r="112" spans="1:24" x14ac:dyDescent="0.3">
      <c r="A112">
        <v>18017</v>
      </c>
      <c r="B112" t="s">
        <v>463</v>
      </c>
      <c r="C112" s="3">
        <v>40936</v>
      </c>
      <c r="D112" t="s">
        <v>148</v>
      </c>
      <c r="E112">
        <v>7</v>
      </c>
      <c r="F112" s="3">
        <f ca="1">40937+(RANDBETWEEN(1,10))</f>
        <v>40945</v>
      </c>
      <c r="G112" t="s">
        <v>26</v>
      </c>
      <c r="H112" t="s">
        <v>27</v>
      </c>
      <c r="I112" t="s">
        <v>52</v>
      </c>
      <c r="J112">
        <v>71.224999999999994</v>
      </c>
      <c r="K112">
        <v>0.03</v>
      </c>
      <c r="L112">
        <v>0.38</v>
      </c>
      <c r="M112">
        <v>1.75</v>
      </c>
      <c r="N112">
        <v>49.145249999999997</v>
      </c>
      <c r="O112" s="1" t="s">
        <v>225</v>
      </c>
      <c r="P112" s="1" t="s">
        <v>464</v>
      </c>
      <c r="Q112" s="1" t="s">
        <v>465</v>
      </c>
      <c r="R112" s="1" t="s">
        <v>228</v>
      </c>
      <c r="S112" s="1" t="s">
        <v>466</v>
      </c>
      <c r="T112" s="1" t="s">
        <v>467</v>
      </c>
      <c r="U112" s="2" t="s">
        <v>468</v>
      </c>
      <c r="V112" s="2" t="s">
        <v>47</v>
      </c>
      <c r="W112" s="2" t="s">
        <v>203</v>
      </c>
      <c r="X112" s="2">
        <v>10.115</v>
      </c>
    </row>
    <row r="113" spans="1:24" x14ac:dyDescent="0.3">
      <c r="A113">
        <v>18018</v>
      </c>
      <c r="B113" t="s">
        <v>469</v>
      </c>
      <c r="C113" s="3">
        <v>41961</v>
      </c>
      <c r="D113" t="s">
        <v>25</v>
      </c>
      <c r="E113">
        <v>4</v>
      </c>
      <c r="F113" s="3">
        <f ca="1">41970+(RANDBETWEEN(1,10))</f>
        <v>41975</v>
      </c>
      <c r="G113" t="s">
        <v>26</v>
      </c>
      <c r="H113" t="s">
        <v>27</v>
      </c>
      <c r="I113" t="s">
        <v>28</v>
      </c>
      <c r="J113">
        <v>114.52</v>
      </c>
      <c r="K113">
        <v>0.09</v>
      </c>
      <c r="L113">
        <v>0.37</v>
      </c>
      <c r="M113">
        <v>28.664999999999999</v>
      </c>
      <c r="N113">
        <v>36.686160000000001</v>
      </c>
      <c r="O113" s="1" t="s">
        <v>225</v>
      </c>
      <c r="P113" s="1" t="s">
        <v>470</v>
      </c>
      <c r="Q113" s="1" t="s">
        <v>471</v>
      </c>
      <c r="R113" s="1" t="s">
        <v>228</v>
      </c>
      <c r="S113" s="1" t="s">
        <v>472</v>
      </c>
      <c r="T113" s="1" t="s">
        <v>473</v>
      </c>
      <c r="U113" s="2" t="s">
        <v>474</v>
      </c>
      <c r="V113" s="2" t="s">
        <v>47</v>
      </c>
      <c r="W113" s="2" t="s">
        <v>74</v>
      </c>
      <c r="X113" s="2">
        <v>22.68</v>
      </c>
    </row>
    <row r="114" spans="1:24" x14ac:dyDescent="0.3">
      <c r="A114">
        <v>18019</v>
      </c>
      <c r="B114" t="s">
        <v>475</v>
      </c>
      <c r="C114" s="3">
        <v>41766</v>
      </c>
      <c r="D114" t="s">
        <v>39</v>
      </c>
      <c r="E114">
        <v>1</v>
      </c>
      <c r="F114" s="3">
        <f ca="1">41768+(RANDBETWEEN(1,10))</f>
        <v>41769</v>
      </c>
      <c r="G114" t="s">
        <v>156</v>
      </c>
      <c r="H114" t="s">
        <v>281</v>
      </c>
      <c r="I114" t="s">
        <v>28</v>
      </c>
      <c r="J114">
        <v>538.86</v>
      </c>
      <c r="K114">
        <v>0.05</v>
      </c>
      <c r="L114">
        <v>0.38</v>
      </c>
      <c r="M114">
        <v>48.965000000000003</v>
      </c>
      <c r="N114">
        <v>-642.29200000000003</v>
      </c>
      <c r="O114" s="1" t="s">
        <v>40</v>
      </c>
      <c r="P114" s="1" t="s">
        <v>476</v>
      </c>
      <c r="Q114" s="1" t="s">
        <v>477</v>
      </c>
      <c r="R114" s="1" t="s">
        <v>220</v>
      </c>
      <c r="S114" s="1" t="s">
        <v>478</v>
      </c>
      <c r="T114" s="1" t="s">
        <v>479</v>
      </c>
      <c r="U114" s="2" t="s">
        <v>480</v>
      </c>
      <c r="V114" s="2" t="s">
        <v>36</v>
      </c>
      <c r="W114" s="2" t="s">
        <v>142</v>
      </c>
      <c r="X114" s="2">
        <v>528.42999999999995</v>
      </c>
    </row>
    <row r="115" spans="1:24" x14ac:dyDescent="0.3">
      <c r="A115">
        <v>1802</v>
      </c>
      <c r="B115" t="s">
        <v>426</v>
      </c>
      <c r="C115" s="3">
        <v>41032</v>
      </c>
      <c r="D115" t="s">
        <v>39</v>
      </c>
      <c r="E115">
        <v>26</v>
      </c>
      <c r="F115" s="3">
        <f ca="1">41034+(RANDBETWEEN(1,10))</f>
        <v>41040</v>
      </c>
      <c r="G115" t="s">
        <v>76</v>
      </c>
      <c r="H115" t="s">
        <v>77</v>
      </c>
      <c r="I115" t="s">
        <v>28</v>
      </c>
      <c r="J115">
        <v>20708.625</v>
      </c>
      <c r="K115">
        <v>0.08</v>
      </c>
      <c r="L115">
        <v>0.56000000000000005</v>
      </c>
      <c r="M115">
        <v>92.855000000000004</v>
      </c>
      <c r="N115">
        <v>1078.77</v>
      </c>
      <c r="O115" s="1" t="s">
        <v>225</v>
      </c>
      <c r="P115" s="1" t="s">
        <v>427</v>
      </c>
      <c r="Q115" s="1" t="s">
        <v>428</v>
      </c>
      <c r="R115" s="1" t="s">
        <v>228</v>
      </c>
      <c r="S115" s="1" t="s">
        <v>229</v>
      </c>
      <c r="T115" s="1" t="s">
        <v>429</v>
      </c>
      <c r="U115" s="2" t="s">
        <v>481</v>
      </c>
      <c r="V115" s="2" t="s">
        <v>36</v>
      </c>
      <c r="W115" s="2" t="s">
        <v>142</v>
      </c>
      <c r="X115" s="2">
        <v>1071.49</v>
      </c>
    </row>
    <row r="116" spans="1:24" x14ac:dyDescent="0.3">
      <c r="A116">
        <v>18020</v>
      </c>
      <c r="B116" t="s">
        <v>475</v>
      </c>
      <c r="C116" s="3">
        <v>41766</v>
      </c>
      <c r="D116" t="s">
        <v>39</v>
      </c>
      <c r="E116">
        <v>9</v>
      </c>
      <c r="F116" s="3">
        <f ca="1">41767+(RANDBETWEEN(1,10))</f>
        <v>41776</v>
      </c>
      <c r="G116" t="s">
        <v>26</v>
      </c>
      <c r="H116" t="s">
        <v>27</v>
      </c>
      <c r="I116" t="s">
        <v>28</v>
      </c>
      <c r="J116">
        <v>624.67999999999995</v>
      </c>
      <c r="K116">
        <v>0.02</v>
      </c>
      <c r="L116">
        <v>0.37</v>
      </c>
      <c r="M116">
        <v>31.605</v>
      </c>
      <c r="N116">
        <v>2441.7959999999998</v>
      </c>
      <c r="O116" s="1" t="s">
        <v>40</v>
      </c>
      <c r="P116" s="1" t="s">
        <v>476</v>
      </c>
      <c r="Q116" s="1" t="s">
        <v>477</v>
      </c>
      <c r="R116" s="1" t="s">
        <v>220</v>
      </c>
      <c r="S116" s="1" t="s">
        <v>478</v>
      </c>
      <c r="T116" s="1" t="s">
        <v>479</v>
      </c>
      <c r="U116" s="2" t="s">
        <v>482</v>
      </c>
      <c r="V116" s="2" t="s">
        <v>47</v>
      </c>
      <c r="W116" s="2" t="s">
        <v>74</v>
      </c>
      <c r="X116" s="2">
        <v>66.394999999999996</v>
      </c>
    </row>
    <row r="117" spans="1:24" x14ac:dyDescent="0.3">
      <c r="A117">
        <v>18021</v>
      </c>
      <c r="B117" t="s">
        <v>475</v>
      </c>
      <c r="C117" s="3">
        <v>41766</v>
      </c>
      <c r="D117" t="s">
        <v>39</v>
      </c>
      <c r="E117">
        <v>7</v>
      </c>
      <c r="F117" s="3">
        <f ca="1">41769+(RANDBETWEEN(1,10))</f>
        <v>41777</v>
      </c>
      <c r="G117" t="s">
        <v>26</v>
      </c>
      <c r="H117" t="s">
        <v>27</v>
      </c>
      <c r="I117" t="s">
        <v>28</v>
      </c>
      <c r="J117">
        <v>251.89500000000001</v>
      </c>
      <c r="K117">
        <v>0.05</v>
      </c>
      <c r="L117">
        <v>0.6</v>
      </c>
      <c r="M117">
        <v>33.075000000000003</v>
      </c>
      <c r="N117">
        <v>5445.5940000000001</v>
      </c>
      <c r="O117" s="1" t="s">
        <v>40</v>
      </c>
      <c r="P117" s="1" t="s">
        <v>476</v>
      </c>
      <c r="Q117" s="1" t="s">
        <v>477</v>
      </c>
      <c r="R117" s="1" t="s">
        <v>220</v>
      </c>
      <c r="S117" s="1" t="s">
        <v>478</v>
      </c>
      <c r="T117" s="1" t="s">
        <v>479</v>
      </c>
      <c r="U117" s="2" t="s">
        <v>483</v>
      </c>
      <c r="V117" s="2" t="s">
        <v>47</v>
      </c>
      <c r="W117" s="2" t="s">
        <v>119</v>
      </c>
      <c r="X117" s="2">
        <v>33.984999999999999</v>
      </c>
    </row>
    <row r="118" spans="1:24" x14ac:dyDescent="0.3">
      <c r="A118">
        <v>18022</v>
      </c>
      <c r="B118" t="s">
        <v>484</v>
      </c>
      <c r="C118" s="3">
        <v>41070</v>
      </c>
      <c r="D118" t="s">
        <v>148</v>
      </c>
      <c r="E118">
        <v>10</v>
      </c>
      <c r="F118" s="3">
        <f ca="1">41071+(RANDBETWEEN(1,10))</f>
        <v>41078</v>
      </c>
      <c r="G118" t="s">
        <v>26</v>
      </c>
      <c r="H118" t="s">
        <v>281</v>
      </c>
      <c r="I118" t="s">
        <v>52</v>
      </c>
      <c r="J118">
        <v>249.935</v>
      </c>
      <c r="K118">
        <v>0.03</v>
      </c>
      <c r="L118">
        <v>0.6</v>
      </c>
      <c r="M118">
        <v>17.605</v>
      </c>
      <c r="N118">
        <v>-241.34880000000001</v>
      </c>
      <c r="O118" s="1" t="s">
        <v>64</v>
      </c>
      <c r="P118" s="1" t="s">
        <v>485</v>
      </c>
      <c r="Q118" s="1" t="s">
        <v>486</v>
      </c>
      <c r="R118" s="1" t="s">
        <v>128</v>
      </c>
      <c r="S118" s="1" t="s">
        <v>487</v>
      </c>
      <c r="T118" s="1" t="s">
        <v>488</v>
      </c>
      <c r="U118" s="2" t="s">
        <v>408</v>
      </c>
      <c r="V118" s="2" t="s">
        <v>36</v>
      </c>
      <c r="W118" s="2" t="s">
        <v>37</v>
      </c>
      <c r="X118" s="2">
        <v>27.965</v>
      </c>
    </row>
    <row r="119" spans="1:24" x14ac:dyDescent="0.3">
      <c r="A119">
        <v>18023</v>
      </c>
      <c r="B119" t="s">
        <v>484</v>
      </c>
      <c r="C119" s="3">
        <v>41070</v>
      </c>
      <c r="D119" t="s">
        <v>148</v>
      </c>
      <c r="E119">
        <v>11</v>
      </c>
      <c r="F119" s="3">
        <f ca="1">41073+(RANDBETWEEN(1,10))</f>
        <v>41074</v>
      </c>
      <c r="G119" t="s">
        <v>76</v>
      </c>
      <c r="H119" t="s">
        <v>258</v>
      </c>
      <c r="I119" t="s">
        <v>52</v>
      </c>
      <c r="J119">
        <v>5148.29</v>
      </c>
      <c r="K119">
        <v>0.05</v>
      </c>
      <c r="L119">
        <v>0.69</v>
      </c>
      <c r="M119">
        <v>191.59</v>
      </c>
      <c r="N119">
        <v>-1690.64</v>
      </c>
      <c r="O119" s="1" t="s">
        <v>53</v>
      </c>
      <c r="P119" s="1" t="s">
        <v>489</v>
      </c>
      <c r="Q119" s="1" t="s">
        <v>490</v>
      </c>
      <c r="R119" s="1" t="s">
        <v>100</v>
      </c>
      <c r="S119" s="1" t="s">
        <v>491</v>
      </c>
      <c r="T119" s="1" t="s">
        <v>492</v>
      </c>
      <c r="U119" s="2" t="s">
        <v>493</v>
      </c>
      <c r="V119" s="2" t="s">
        <v>83</v>
      </c>
      <c r="W119" s="2" t="s">
        <v>298</v>
      </c>
      <c r="X119" s="2">
        <v>458.43</v>
      </c>
    </row>
    <row r="120" spans="1:24" x14ac:dyDescent="0.3">
      <c r="A120">
        <v>18024</v>
      </c>
      <c r="B120" t="s">
        <v>494</v>
      </c>
      <c r="C120" s="3">
        <v>41759</v>
      </c>
      <c r="D120" t="s">
        <v>50</v>
      </c>
      <c r="E120">
        <v>3</v>
      </c>
      <c r="F120" s="3">
        <f ca="1">41761+(RANDBETWEEN(1,10))</f>
        <v>41770</v>
      </c>
      <c r="G120" t="s">
        <v>26</v>
      </c>
      <c r="H120" t="s">
        <v>63</v>
      </c>
      <c r="I120" t="s">
        <v>97</v>
      </c>
      <c r="J120">
        <v>1081.115</v>
      </c>
      <c r="K120">
        <v>0.01</v>
      </c>
      <c r="L120" t="s">
        <v>182</v>
      </c>
      <c r="M120">
        <v>122.5</v>
      </c>
      <c r="N120">
        <v>-1085.7349999999999</v>
      </c>
      <c r="O120" s="1" t="s">
        <v>87</v>
      </c>
      <c r="P120" s="1" t="s">
        <v>495</v>
      </c>
      <c r="Q120" s="1" t="s">
        <v>496</v>
      </c>
      <c r="R120" s="1" t="s">
        <v>497</v>
      </c>
      <c r="S120" s="1" t="s">
        <v>498</v>
      </c>
      <c r="T120" s="1" t="s">
        <v>499</v>
      </c>
      <c r="U120" s="2" t="s">
        <v>186</v>
      </c>
      <c r="V120" s="2" t="s">
        <v>47</v>
      </c>
      <c r="W120" s="2" t="s">
        <v>119</v>
      </c>
      <c r="X120" s="2">
        <v>335.96499999999997</v>
      </c>
    </row>
    <row r="121" spans="1:24" x14ac:dyDescent="0.3">
      <c r="A121">
        <v>18025</v>
      </c>
      <c r="B121" t="s">
        <v>500</v>
      </c>
      <c r="C121" s="3">
        <v>41567</v>
      </c>
      <c r="D121" t="s">
        <v>50</v>
      </c>
      <c r="E121">
        <v>12</v>
      </c>
      <c r="F121" s="3">
        <f ca="1">41569+(RANDBETWEEN(1,10))</f>
        <v>41579</v>
      </c>
      <c r="G121" t="s">
        <v>26</v>
      </c>
      <c r="H121" t="s">
        <v>51</v>
      </c>
      <c r="I121" t="s">
        <v>52</v>
      </c>
      <c r="J121">
        <v>211.435</v>
      </c>
      <c r="K121">
        <v>0.09</v>
      </c>
      <c r="L121">
        <v>0.64</v>
      </c>
      <c r="M121">
        <v>16.170000000000002</v>
      </c>
      <c r="N121">
        <v>-337.36500000000001</v>
      </c>
      <c r="O121" s="1" t="s">
        <v>64</v>
      </c>
      <c r="P121" s="1" t="s">
        <v>501</v>
      </c>
      <c r="Q121" s="1" t="s">
        <v>502</v>
      </c>
      <c r="R121" s="1" t="s">
        <v>128</v>
      </c>
      <c r="S121" s="1" t="s">
        <v>503</v>
      </c>
      <c r="T121" s="1" t="s">
        <v>504</v>
      </c>
      <c r="U121" s="2" t="s">
        <v>505</v>
      </c>
      <c r="V121" s="2" t="s">
        <v>36</v>
      </c>
      <c r="W121" s="2" t="s">
        <v>60</v>
      </c>
      <c r="X121" s="2">
        <v>17.43</v>
      </c>
    </row>
    <row r="122" spans="1:24" x14ac:dyDescent="0.3">
      <c r="A122">
        <v>18026</v>
      </c>
      <c r="B122" t="s">
        <v>506</v>
      </c>
      <c r="C122" s="3">
        <v>41528</v>
      </c>
      <c r="D122" t="s">
        <v>39</v>
      </c>
      <c r="E122">
        <v>5</v>
      </c>
      <c r="F122" s="3">
        <f ca="1">41530+(RANDBETWEEN(1,10))</f>
        <v>41539</v>
      </c>
      <c r="G122" t="s">
        <v>156</v>
      </c>
      <c r="H122" t="s">
        <v>27</v>
      </c>
      <c r="I122" t="s">
        <v>52</v>
      </c>
      <c r="J122">
        <v>993.89499999999998</v>
      </c>
      <c r="K122">
        <v>0.02</v>
      </c>
      <c r="L122">
        <v>0.55000000000000004</v>
      </c>
      <c r="M122">
        <v>31.465</v>
      </c>
      <c r="N122">
        <v>1401.6429000000001</v>
      </c>
      <c r="O122" s="1" t="s">
        <v>225</v>
      </c>
      <c r="P122" s="1" t="s">
        <v>507</v>
      </c>
      <c r="Q122" s="1" t="s">
        <v>508</v>
      </c>
      <c r="R122" s="1" t="s">
        <v>391</v>
      </c>
      <c r="S122" s="1" t="s">
        <v>509</v>
      </c>
      <c r="T122" s="1" t="s">
        <v>510</v>
      </c>
      <c r="U122" s="2" t="s">
        <v>511</v>
      </c>
      <c r="V122" s="2" t="s">
        <v>36</v>
      </c>
      <c r="W122" s="2" t="s">
        <v>37</v>
      </c>
      <c r="X122" s="2">
        <v>230.965</v>
      </c>
    </row>
    <row r="123" spans="1:24" x14ac:dyDescent="0.3">
      <c r="A123">
        <v>18027</v>
      </c>
      <c r="B123" t="s">
        <v>512</v>
      </c>
      <c r="C123" s="3">
        <v>41128</v>
      </c>
      <c r="D123" t="s">
        <v>62</v>
      </c>
      <c r="E123">
        <v>6</v>
      </c>
      <c r="F123" s="3">
        <f ca="1">41130+(RANDBETWEEN(1,10))</f>
        <v>41137</v>
      </c>
      <c r="G123" t="s">
        <v>26</v>
      </c>
      <c r="H123" t="s">
        <v>281</v>
      </c>
      <c r="I123" t="s">
        <v>52</v>
      </c>
      <c r="J123">
        <v>262.32499999999999</v>
      </c>
      <c r="K123">
        <v>0.06</v>
      </c>
      <c r="L123">
        <v>0.56999999999999995</v>
      </c>
      <c r="M123">
        <v>21.945</v>
      </c>
      <c r="N123">
        <v>-67.412800000000004</v>
      </c>
      <c r="O123" s="1" t="s">
        <v>225</v>
      </c>
      <c r="P123" s="1" t="s">
        <v>513</v>
      </c>
      <c r="Q123" s="1" t="s">
        <v>514</v>
      </c>
      <c r="R123" s="1" t="s">
        <v>391</v>
      </c>
      <c r="S123" s="1" t="s">
        <v>515</v>
      </c>
      <c r="T123" s="1" t="s">
        <v>516</v>
      </c>
      <c r="U123" s="2" t="s">
        <v>517</v>
      </c>
      <c r="V123" s="2" t="s">
        <v>47</v>
      </c>
      <c r="W123" s="2" t="s">
        <v>119</v>
      </c>
      <c r="X123" s="2">
        <v>43.54</v>
      </c>
    </row>
    <row r="124" spans="1:24" x14ac:dyDescent="0.3">
      <c r="A124">
        <v>18028</v>
      </c>
      <c r="B124" t="s">
        <v>518</v>
      </c>
      <c r="C124" s="3">
        <v>41733</v>
      </c>
      <c r="D124" t="s">
        <v>148</v>
      </c>
      <c r="E124">
        <v>12</v>
      </c>
      <c r="F124" s="3">
        <f ca="1">41735+(RANDBETWEEN(1,10))</f>
        <v>41738</v>
      </c>
      <c r="G124" t="s">
        <v>26</v>
      </c>
      <c r="H124" t="s">
        <v>96</v>
      </c>
      <c r="I124" t="s">
        <v>28</v>
      </c>
      <c r="J124">
        <v>282.02999999999997</v>
      </c>
      <c r="K124">
        <v>0.1</v>
      </c>
      <c r="L124">
        <v>0.42</v>
      </c>
      <c r="M124">
        <v>27.93</v>
      </c>
      <c r="N124">
        <v>-690.375</v>
      </c>
      <c r="O124" s="1" t="s">
        <v>64</v>
      </c>
      <c r="P124" s="1" t="s">
        <v>519</v>
      </c>
      <c r="Q124" s="1" t="s">
        <v>520</v>
      </c>
      <c r="R124" s="1" t="s">
        <v>128</v>
      </c>
      <c r="S124" s="1" t="s">
        <v>521</v>
      </c>
      <c r="T124" s="1" t="s">
        <v>522</v>
      </c>
      <c r="U124" s="2" t="s">
        <v>523</v>
      </c>
      <c r="V124" s="2" t="s">
        <v>83</v>
      </c>
      <c r="W124" s="2" t="s">
        <v>178</v>
      </c>
      <c r="X124" s="2">
        <v>25.48</v>
      </c>
    </row>
    <row r="125" spans="1:24" x14ac:dyDescent="0.3">
      <c r="A125">
        <v>18029</v>
      </c>
      <c r="B125" t="s">
        <v>518</v>
      </c>
      <c r="C125" s="3">
        <v>41733</v>
      </c>
      <c r="D125" t="s">
        <v>148</v>
      </c>
      <c r="E125">
        <v>2</v>
      </c>
      <c r="F125" s="3">
        <f ca="1">41735+(RANDBETWEEN(1,10))</f>
        <v>41739</v>
      </c>
      <c r="G125" t="s">
        <v>26</v>
      </c>
      <c r="H125" t="s">
        <v>96</v>
      </c>
      <c r="I125" t="s">
        <v>28</v>
      </c>
      <c r="J125">
        <v>23.555</v>
      </c>
      <c r="K125">
        <v>0.04</v>
      </c>
      <c r="L125">
        <v>0.84</v>
      </c>
      <c r="M125">
        <v>6.72</v>
      </c>
      <c r="N125">
        <v>-47.04</v>
      </c>
      <c r="O125" s="1" t="s">
        <v>64</v>
      </c>
      <c r="P125" s="1" t="s">
        <v>519</v>
      </c>
      <c r="Q125" s="1" t="s">
        <v>520</v>
      </c>
      <c r="R125" s="1" t="s">
        <v>128</v>
      </c>
      <c r="S125" s="1" t="s">
        <v>521</v>
      </c>
      <c r="T125" s="1" t="s">
        <v>522</v>
      </c>
      <c r="U125" s="2" t="s">
        <v>524</v>
      </c>
      <c r="V125" s="2" t="s">
        <v>47</v>
      </c>
      <c r="W125" s="2" t="s">
        <v>94</v>
      </c>
      <c r="X125" s="2">
        <v>10.99</v>
      </c>
    </row>
    <row r="126" spans="1:24" x14ac:dyDescent="0.3">
      <c r="A126">
        <v>18030</v>
      </c>
      <c r="B126" t="s">
        <v>525</v>
      </c>
      <c r="C126" s="3">
        <v>41270</v>
      </c>
      <c r="D126" t="s">
        <v>148</v>
      </c>
      <c r="E126">
        <v>16</v>
      </c>
      <c r="F126" s="3">
        <f ca="1">41272+(RANDBETWEEN(1,10))</f>
        <v>41277</v>
      </c>
      <c r="G126" t="s">
        <v>26</v>
      </c>
      <c r="H126" t="s">
        <v>96</v>
      </c>
      <c r="I126" t="s">
        <v>97</v>
      </c>
      <c r="J126">
        <v>2167.0949999999998</v>
      </c>
      <c r="K126">
        <v>0.03</v>
      </c>
      <c r="L126">
        <v>0.41</v>
      </c>
      <c r="M126">
        <v>48.615000000000002</v>
      </c>
      <c r="N126">
        <v>1369.5675000000001</v>
      </c>
      <c r="O126" s="1" t="s">
        <v>64</v>
      </c>
      <c r="P126" s="1" t="s">
        <v>526</v>
      </c>
      <c r="Q126" s="1" t="s">
        <v>527</v>
      </c>
      <c r="R126" s="1" t="s">
        <v>128</v>
      </c>
      <c r="S126" s="1" t="s">
        <v>528</v>
      </c>
      <c r="T126" s="1" t="s">
        <v>529</v>
      </c>
      <c r="U126" s="2" t="s">
        <v>530</v>
      </c>
      <c r="V126" s="2" t="s">
        <v>47</v>
      </c>
      <c r="W126" s="2" t="s">
        <v>104</v>
      </c>
      <c r="X126" s="2">
        <v>127.925</v>
      </c>
    </row>
    <row r="127" spans="1:24" x14ac:dyDescent="0.3">
      <c r="A127">
        <v>18031</v>
      </c>
      <c r="B127" t="s">
        <v>531</v>
      </c>
      <c r="C127" s="3">
        <v>41370</v>
      </c>
      <c r="D127" t="s">
        <v>39</v>
      </c>
      <c r="E127">
        <v>6</v>
      </c>
      <c r="F127" s="3">
        <f ca="1">41372+(RANDBETWEEN(1,10))</f>
        <v>41382</v>
      </c>
      <c r="G127" t="s">
        <v>26</v>
      </c>
      <c r="H127" t="s">
        <v>51</v>
      </c>
      <c r="I127" t="s">
        <v>97</v>
      </c>
      <c r="J127">
        <v>283.53500000000003</v>
      </c>
      <c r="K127">
        <v>0.01</v>
      </c>
      <c r="L127">
        <v>0.6</v>
      </c>
      <c r="M127">
        <v>10.99</v>
      </c>
      <c r="N127">
        <v>1.2809999999999999</v>
      </c>
      <c r="O127" s="1" t="s">
        <v>87</v>
      </c>
      <c r="P127" s="1" t="s">
        <v>532</v>
      </c>
      <c r="Q127" s="1" t="s">
        <v>533</v>
      </c>
      <c r="R127" s="1" t="s">
        <v>90</v>
      </c>
      <c r="S127" s="1" t="s">
        <v>534</v>
      </c>
      <c r="T127" s="1" t="s">
        <v>535</v>
      </c>
      <c r="U127" s="2" t="s">
        <v>536</v>
      </c>
      <c r="V127" s="2" t="s">
        <v>47</v>
      </c>
      <c r="W127" s="2" t="s">
        <v>94</v>
      </c>
      <c r="X127" s="2">
        <v>45.43</v>
      </c>
    </row>
    <row r="128" spans="1:24" x14ac:dyDescent="0.3">
      <c r="A128">
        <v>18032</v>
      </c>
      <c r="B128" t="s">
        <v>537</v>
      </c>
      <c r="C128" s="3">
        <v>40711</v>
      </c>
      <c r="D128" t="s">
        <v>50</v>
      </c>
      <c r="E128">
        <v>9</v>
      </c>
      <c r="F128" s="3">
        <f ca="1">40712+(RANDBETWEEN(1,10))</f>
        <v>40719</v>
      </c>
      <c r="G128" t="s">
        <v>26</v>
      </c>
      <c r="H128" t="s">
        <v>27</v>
      </c>
      <c r="I128" t="s">
        <v>28</v>
      </c>
      <c r="J128">
        <v>232.92500000000001</v>
      </c>
      <c r="K128">
        <v>0.09</v>
      </c>
      <c r="L128">
        <v>0.56000000000000005</v>
      </c>
      <c r="M128">
        <v>18.234999999999999</v>
      </c>
      <c r="N128">
        <v>-95.06</v>
      </c>
      <c r="O128" s="1" t="s">
        <v>40</v>
      </c>
      <c r="P128" s="1" t="s">
        <v>538</v>
      </c>
      <c r="Q128" s="1" t="s">
        <v>539</v>
      </c>
      <c r="R128" s="1" t="s">
        <v>43</v>
      </c>
      <c r="S128" s="1" t="s">
        <v>540</v>
      </c>
      <c r="T128" s="1" t="s">
        <v>541</v>
      </c>
      <c r="U128" s="2" t="s">
        <v>256</v>
      </c>
      <c r="V128" s="2" t="s">
        <v>83</v>
      </c>
      <c r="W128" s="2" t="s">
        <v>178</v>
      </c>
      <c r="X128" s="2">
        <v>25.83</v>
      </c>
    </row>
    <row r="129" spans="1:24" x14ac:dyDescent="0.3">
      <c r="A129">
        <v>18033</v>
      </c>
      <c r="B129" t="s">
        <v>537</v>
      </c>
      <c r="C129" s="3">
        <v>40711</v>
      </c>
      <c r="D129" t="s">
        <v>50</v>
      </c>
      <c r="E129">
        <v>17</v>
      </c>
      <c r="F129" s="3">
        <f ca="1">40712+(RANDBETWEEN(1,10))</f>
        <v>40714</v>
      </c>
      <c r="G129" t="s">
        <v>26</v>
      </c>
      <c r="H129" t="s">
        <v>27</v>
      </c>
      <c r="I129" t="s">
        <v>28</v>
      </c>
      <c r="J129">
        <v>362.21499999999997</v>
      </c>
      <c r="K129">
        <v>0.04</v>
      </c>
      <c r="L129">
        <v>0.36</v>
      </c>
      <c r="M129">
        <v>18.024999999999999</v>
      </c>
      <c r="N129">
        <v>-183.20400000000001</v>
      </c>
      <c r="O129" s="1" t="s">
        <v>40</v>
      </c>
      <c r="P129" s="1" t="s">
        <v>538</v>
      </c>
      <c r="Q129" s="1" t="s">
        <v>539</v>
      </c>
      <c r="R129" s="1" t="s">
        <v>43</v>
      </c>
      <c r="S129" s="1" t="s">
        <v>540</v>
      </c>
      <c r="T129" s="1" t="s">
        <v>541</v>
      </c>
      <c r="U129" s="2" t="s">
        <v>542</v>
      </c>
      <c r="V129" s="2" t="s">
        <v>47</v>
      </c>
      <c r="W129" s="2" t="s">
        <v>74</v>
      </c>
      <c r="X129" s="2">
        <v>20.93</v>
      </c>
    </row>
    <row r="130" spans="1:24" x14ac:dyDescent="0.3">
      <c r="A130">
        <v>18034</v>
      </c>
      <c r="B130" t="s">
        <v>537</v>
      </c>
      <c r="C130" s="3">
        <v>40711</v>
      </c>
      <c r="D130" t="s">
        <v>50</v>
      </c>
      <c r="E130">
        <v>12</v>
      </c>
      <c r="F130" s="3">
        <f ca="1">40712+(RANDBETWEEN(1,10))</f>
        <v>40713</v>
      </c>
      <c r="G130" t="s">
        <v>26</v>
      </c>
      <c r="H130" t="s">
        <v>27</v>
      </c>
      <c r="I130" t="s">
        <v>28</v>
      </c>
      <c r="J130">
        <v>672.63</v>
      </c>
      <c r="K130">
        <v>0.04</v>
      </c>
      <c r="L130">
        <v>0.57999999999999996</v>
      </c>
      <c r="M130">
        <v>37.380000000000003</v>
      </c>
      <c r="N130">
        <v>-419.77600000000001</v>
      </c>
      <c r="O130" s="1" t="s">
        <v>40</v>
      </c>
      <c r="P130" s="1" t="s">
        <v>538</v>
      </c>
      <c r="Q130" s="1" t="s">
        <v>539</v>
      </c>
      <c r="R130" s="1" t="s">
        <v>43</v>
      </c>
      <c r="S130" s="1" t="s">
        <v>540</v>
      </c>
      <c r="T130" s="1" t="s">
        <v>541</v>
      </c>
      <c r="U130" s="2" t="s">
        <v>543</v>
      </c>
      <c r="V130" s="2" t="s">
        <v>47</v>
      </c>
      <c r="W130" s="2" t="s">
        <v>119</v>
      </c>
      <c r="X130" s="2">
        <v>53.97</v>
      </c>
    </row>
    <row r="131" spans="1:24" x14ac:dyDescent="0.3">
      <c r="A131">
        <v>18035</v>
      </c>
      <c r="B131" t="s">
        <v>544</v>
      </c>
      <c r="C131" s="3">
        <v>41418</v>
      </c>
      <c r="D131" t="s">
        <v>62</v>
      </c>
      <c r="E131">
        <v>9</v>
      </c>
      <c r="F131" s="3">
        <f ca="1">41419+(RANDBETWEEN(1,10))</f>
        <v>41423</v>
      </c>
      <c r="G131" t="s">
        <v>26</v>
      </c>
      <c r="H131" t="s">
        <v>96</v>
      </c>
      <c r="I131" t="s">
        <v>97</v>
      </c>
      <c r="J131">
        <v>166.14500000000001</v>
      </c>
      <c r="K131">
        <v>0.06</v>
      </c>
      <c r="L131">
        <v>0.6</v>
      </c>
      <c r="M131">
        <v>2.4500000000000002</v>
      </c>
      <c r="N131">
        <v>63.945</v>
      </c>
      <c r="O131" s="1" t="s">
        <v>225</v>
      </c>
      <c r="P131" s="1" t="s">
        <v>545</v>
      </c>
      <c r="Q131" s="1" t="s">
        <v>546</v>
      </c>
      <c r="R131" s="1" t="s">
        <v>228</v>
      </c>
      <c r="S131" s="1" t="s">
        <v>547</v>
      </c>
      <c r="T131" s="1" t="s">
        <v>548</v>
      </c>
      <c r="U131" s="2" t="s">
        <v>549</v>
      </c>
      <c r="V131" s="2" t="s">
        <v>47</v>
      </c>
      <c r="W131" s="2" t="s">
        <v>104</v>
      </c>
      <c r="X131" s="2">
        <v>19.53</v>
      </c>
    </row>
    <row r="132" spans="1:24" x14ac:dyDescent="0.3">
      <c r="A132">
        <v>18036</v>
      </c>
      <c r="B132" t="s">
        <v>544</v>
      </c>
      <c r="C132" s="3">
        <v>41418</v>
      </c>
      <c r="D132" t="s">
        <v>62</v>
      </c>
      <c r="E132">
        <v>1</v>
      </c>
      <c r="F132" s="3">
        <f ca="1">41420+(RANDBETWEEN(1,10))</f>
        <v>41426</v>
      </c>
      <c r="G132" t="s">
        <v>26</v>
      </c>
      <c r="H132" t="s">
        <v>96</v>
      </c>
      <c r="I132" t="s">
        <v>97</v>
      </c>
      <c r="J132">
        <v>82.95</v>
      </c>
      <c r="K132">
        <v>0.05</v>
      </c>
      <c r="L132">
        <v>0.44</v>
      </c>
      <c r="M132">
        <v>14.35</v>
      </c>
      <c r="N132">
        <v>-31.395</v>
      </c>
      <c r="O132" s="1" t="s">
        <v>225</v>
      </c>
      <c r="P132" s="1" t="s">
        <v>545</v>
      </c>
      <c r="Q132" s="1" t="s">
        <v>546</v>
      </c>
      <c r="R132" s="1" t="s">
        <v>228</v>
      </c>
      <c r="S132" s="1" t="s">
        <v>547</v>
      </c>
      <c r="T132" s="1" t="s">
        <v>548</v>
      </c>
      <c r="U132" s="2" t="s">
        <v>550</v>
      </c>
      <c r="V132" s="2" t="s">
        <v>47</v>
      </c>
      <c r="W132" s="2" t="s">
        <v>104</v>
      </c>
      <c r="X132" s="2">
        <v>69.44</v>
      </c>
    </row>
    <row r="133" spans="1:24" x14ac:dyDescent="0.3">
      <c r="A133">
        <v>18037</v>
      </c>
      <c r="B133" t="s">
        <v>551</v>
      </c>
      <c r="C133" s="3">
        <v>41271</v>
      </c>
      <c r="D133" t="s">
        <v>62</v>
      </c>
      <c r="E133">
        <v>20</v>
      </c>
      <c r="F133" s="3">
        <f ca="1">41273+(RANDBETWEEN(1,10))</f>
        <v>41274</v>
      </c>
      <c r="G133" t="s">
        <v>26</v>
      </c>
      <c r="H133" t="s">
        <v>51</v>
      </c>
      <c r="I133" t="s">
        <v>52</v>
      </c>
      <c r="J133">
        <v>954.13499999999999</v>
      </c>
      <c r="K133">
        <v>0.11</v>
      </c>
      <c r="L133">
        <v>0.48</v>
      </c>
      <c r="M133">
        <v>17.43</v>
      </c>
      <c r="N133">
        <v>516.80999999999995</v>
      </c>
      <c r="O133" s="1" t="s">
        <v>225</v>
      </c>
      <c r="P133" s="1" t="s">
        <v>552</v>
      </c>
      <c r="Q133" s="1" t="s">
        <v>553</v>
      </c>
      <c r="R133" s="1" t="s">
        <v>228</v>
      </c>
      <c r="S133" s="1" t="s">
        <v>554</v>
      </c>
      <c r="T133" s="1" t="s">
        <v>555</v>
      </c>
      <c r="U133" s="2" t="s">
        <v>430</v>
      </c>
      <c r="V133" s="2" t="s">
        <v>83</v>
      </c>
      <c r="W133" s="2" t="s">
        <v>178</v>
      </c>
      <c r="X133" s="2">
        <v>44.24</v>
      </c>
    </row>
    <row r="134" spans="1:24" x14ac:dyDescent="0.3">
      <c r="A134">
        <v>18038</v>
      </c>
      <c r="B134" t="s">
        <v>556</v>
      </c>
      <c r="C134" s="3">
        <v>41271</v>
      </c>
      <c r="D134" t="s">
        <v>62</v>
      </c>
      <c r="E134">
        <v>11</v>
      </c>
      <c r="F134" s="3">
        <f ca="1">41272+(RANDBETWEEN(1,10))</f>
        <v>41280</v>
      </c>
      <c r="G134" t="s">
        <v>26</v>
      </c>
      <c r="H134" t="s">
        <v>27</v>
      </c>
      <c r="I134" t="s">
        <v>52</v>
      </c>
      <c r="J134">
        <v>961.06500000000005</v>
      </c>
      <c r="K134">
        <v>0.02</v>
      </c>
      <c r="L134">
        <v>0.39</v>
      </c>
      <c r="M134">
        <v>45.43</v>
      </c>
      <c r="N134">
        <v>-56.744450000000001</v>
      </c>
      <c r="O134" s="1" t="s">
        <v>225</v>
      </c>
      <c r="P134" s="1" t="s">
        <v>557</v>
      </c>
      <c r="Q134" s="1" t="s">
        <v>558</v>
      </c>
      <c r="R134" s="1" t="s">
        <v>228</v>
      </c>
      <c r="S134" s="1" t="s">
        <v>349</v>
      </c>
      <c r="T134" s="1" t="s">
        <v>350</v>
      </c>
      <c r="U134" s="2" t="s">
        <v>559</v>
      </c>
      <c r="V134" s="2" t="s">
        <v>47</v>
      </c>
      <c r="W134" s="2" t="s">
        <v>111</v>
      </c>
      <c r="X134" s="2">
        <v>87.22</v>
      </c>
    </row>
    <row r="135" spans="1:24" x14ac:dyDescent="0.3">
      <c r="A135">
        <v>18039</v>
      </c>
      <c r="B135" t="s">
        <v>560</v>
      </c>
      <c r="C135" s="3">
        <v>41208</v>
      </c>
      <c r="D135" t="s">
        <v>62</v>
      </c>
      <c r="E135">
        <v>21</v>
      </c>
      <c r="F135" s="3">
        <f ca="1">41210+(RANDBETWEEN(1,10))</f>
        <v>41214</v>
      </c>
      <c r="G135" t="s">
        <v>26</v>
      </c>
      <c r="H135" t="s">
        <v>51</v>
      </c>
      <c r="I135" t="s">
        <v>28</v>
      </c>
      <c r="J135">
        <v>3174.1849999999999</v>
      </c>
      <c r="K135">
        <v>0.06</v>
      </c>
      <c r="L135">
        <v>0.57999999999999996</v>
      </c>
      <c r="M135">
        <v>31.465</v>
      </c>
      <c r="N135">
        <v>1031.5914</v>
      </c>
      <c r="O135" s="1" t="s">
        <v>29</v>
      </c>
      <c r="P135" s="1" t="s">
        <v>561</v>
      </c>
      <c r="Q135" s="1" t="s">
        <v>562</v>
      </c>
      <c r="R135" s="1" t="s">
        <v>32</v>
      </c>
      <c r="S135" s="1" t="s">
        <v>563</v>
      </c>
      <c r="T135" s="1" t="s">
        <v>564</v>
      </c>
      <c r="U135" s="2" t="s">
        <v>565</v>
      </c>
      <c r="V135" s="2" t="s">
        <v>47</v>
      </c>
      <c r="W135" s="2" t="s">
        <v>104</v>
      </c>
      <c r="X135" s="2">
        <v>153.93</v>
      </c>
    </row>
    <row r="136" spans="1:24" x14ac:dyDescent="0.3">
      <c r="A136">
        <v>18040</v>
      </c>
      <c r="B136" t="s">
        <v>560</v>
      </c>
      <c r="C136" s="3">
        <v>41208</v>
      </c>
      <c r="D136" t="s">
        <v>62</v>
      </c>
      <c r="E136">
        <v>5</v>
      </c>
      <c r="F136" s="3">
        <f ca="1">41210+(RANDBETWEEN(1,10))</f>
        <v>41212</v>
      </c>
      <c r="G136" t="s">
        <v>26</v>
      </c>
      <c r="H136" t="s">
        <v>27</v>
      </c>
      <c r="I136" t="s">
        <v>28</v>
      </c>
      <c r="J136">
        <v>1779.26</v>
      </c>
      <c r="K136">
        <v>0.06</v>
      </c>
      <c r="L136">
        <v>0.56999999999999995</v>
      </c>
      <c r="M136">
        <v>28.28</v>
      </c>
      <c r="N136">
        <v>-802.61874</v>
      </c>
      <c r="O136" s="1" t="s">
        <v>29</v>
      </c>
      <c r="P136" s="1" t="s">
        <v>561</v>
      </c>
      <c r="Q136" s="1" t="s">
        <v>562</v>
      </c>
      <c r="R136" s="1" t="s">
        <v>32</v>
      </c>
      <c r="S136" s="1" t="s">
        <v>563</v>
      </c>
      <c r="T136" s="1" t="s">
        <v>564</v>
      </c>
      <c r="U136" s="2" t="s">
        <v>566</v>
      </c>
      <c r="V136" s="2" t="s">
        <v>36</v>
      </c>
      <c r="W136" s="2" t="s">
        <v>37</v>
      </c>
      <c r="X136" s="2">
        <v>440.96499999999997</v>
      </c>
    </row>
    <row r="137" spans="1:24" x14ac:dyDescent="0.3">
      <c r="A137">
        <v>18041</v>
      </c>
      <c r="B137" t="s">
        <v>567</v>
      </c>
      <c r="C137" s="3">
        <v>40814</v>
      </c>
      <c r="D137" t="s">
        <v>39</v>
      </c>
      <c r="E137">
        <v>1</v>
      </c>
      <c r="F137" s="3">
        <f ca="1">40816+(RANDBETWEEN(1,10))</f>
        <v>40824</v>
      </c>
      <c r="G137" t="s">
        <v>26</v>
      </c>
      <c r="H137" t="s">
        <v>27</v>
      </c>
      <c r="I137" t="s">
        <v>86</v>
      </c>
      <c r="J137">
        <v>1207.0450000000001</v>
      </c>
      <c r="K137">
        <v>0.06</v>
      </c>
      <c r="L137">
        <v>0.56999999999999995</v>
      </c>
      <c r="M137">
        <v>69.965000000000003</v>
      </c>
      <c r="N137">
        <v>126.57435</v>
      </c>
      <c r="O137" s="1" t="s">
        <v>64</v>
      </c>
      <c r="P137" s="1" t="s">
        <v>568</v>
      </c>
      <c r="Q137" s="1" t="s">
        <v>569</v>
      </c>
      <c r="R137" s="1" t="s">
        <v>128</v>
      </c>
      <c r="S137" s="1" t="s">
        <v>570</v>
      </c>
      <c r="T137" s="1" t="s">
        <v>571</v>
      </c>
      <c r="U137" s="2" t="s">
        <v>572</v>
      </c>
      <c r="V137" s="2" t="s">
        <v>47</v>
      </c>
      <c r="W137" s="2" t="s">
        <v>71</v>
      </c>
      <c r="X137" s="2">
        <v>1271.375</v>
      </c>
    </row>
    <row r="138" spans="1:24" x14ac:dyDescent="0.3">
      <c r="A138">
        <v>18042</v>
      </c>
      <c r="B138" t="s">
        <v>573</v>
      </c>
      <c r="C138" s="3">
        <v>41271</v>
      </c>
      <c r="D138" t="s">
        <v>62</v>
      </c>
      <c r="E138">
        <v>10</v>
      </c>
      <c r="F138" s="3">
        <f ca="1">41273+(RANDBETWEEN(1,10))</f>
        <v>41283</v>
      </c>
      <c r="G138" t="s">
        <v>26</v>
      </c>
      <c r="H138" t="s">
        <v>27</v>
      </c>
      <c r="I138" t="s">
        <v>97</v>
      </c>
      <c r="J138">
        <v>257.25</v>
      </c>
      <c r="K138">
        <v>0</v>
      </c>
      <c r="L138">
        <v>0.36</v>
      </c>
      <c r="M138">
        <v>30.59</v>
      </c>
      <c r="N138">
        <v>-159.495</v>
      </c>
      <c r="O138" s="1" t="s">
        <v>40</v>
      </c>
      <c r="P138" s="1" t="s">
        <v>574</v>
      </c>
      <c r="Q138" s="1" t="s">
        <v>575</v>
      </c>
      <c r="R138" s="1" t="s">
        <v>43</v>
      </c>
      <c r="S138" s="1" t="s">
        <v>576</v>
      </c>
      <c r="T138" s="1" t="s">
        <v>577</v>
      </c>
      <c r="U138" s="2" t="s">
        <v>578</v>
      </c>
      <c r="V138" s="2" t="s">
        <v>47</v>
      </c>
      <c r="W138" s="2" t="s">
        <v>74</v>
      </c>
      <c r="X138" s="2">
        <v>22.68</v>
      </c>
    </row>
    <row r="139" spans="1:24" x14ac:dyDescent="0.3">
      <c r="A139">
        <v>18043</v>
      </c>
      <c r="B139" t="s">
        <v>573</v>
      </c>
      <c r="C139" s="3">
        <v>41271</v>
      </c>
      <c r="D139" t="s">
        <v>62</v>
      </c>
      <c r="E139">
        <v>3</v>
      </c>
      <c r="F139" s="3">
        <f ca="1">41272+(RANDBETWEEN(1,10))</f>
        <v>41277</v>
      </c>
      <c r="G139" t="s">
        <v>76</v>
      </c>
      <c r="H139" t="s">
        <v>77</v>
      </c>
      <c r="I139" t="s">
        <v>97</v>
      </c>
      <c r="J139">
        <v>302.05</v>
      </c>
      <c r="K139">
        <v>0</v>
      </c>
      <c r="L139">
        <v>0.78</v>
      </c>
      <c r="M139">
        <v>185.60499999999999</v>
      </c>
      <c r="N139">
        <v>-497.7</v>
      </c>
      <c r="O139" s="1" t="s">
        <v>87</v>
      </c>
      <c r="P139" s="1" t="s">
        <v>579</v>
      </c>
      <c r="Q139" s="1" t="s">
        <v>580</v>
      </c>
      <c r="R139" s="1" t="s">
        <v>398</v>
      </c>
      <c r="S139" s="1" t="s">
        <v>581</v>
      </c>
      <c r="T139" s="1" t="s">
        <v>582</v>
      </c>
      <c r="U139" s="2" t="s">
        <v>583</v>
      </c>
      <c r="V139" s="2" t="s">
        <v>47</v>
      </c>
      <c r="W139" s="2" t="s">
        <v>119</v>
      </c>
      <c r="X139" s="2">
        <v>73.430000000000007</v>
      </c>
    </row>
    <row r="140" spans="1:24" x14ac:dyDescent="0.3">
      <c r="A140">
        <v>18044</v>
      </c>
      <c r="B140" t="s">
        <v>573</v>
      </c>
      <c r="C140" s="3">
        <v>41271</v>
      </c>
      <c r="D140" t="s">
        <v>62</v>
      </c>
      <c r="E140">
        <v>15</v>
      </c>
      <c r="F140" s="3">
        <f ca="1">41273+(RANDBETWEEN(1,10))</f>
        <v>41279</v>
      </c>
      <c r="G140" t="s">
        <v>26</v>
      </c>
      <c r="H140" t="s">
        <v>27</v>
      </c>
      <c r="I140" t="s">
        <v>97</v>
      </c>
      <c r="J140">
        <v>344.85500000000002</v>
      </c>
      <c r="K140">
        <v>0.02</v>
      </c>
      <c r="L140">
        <v>0.36</v>
      </c>
      <c r="M140">
        <v>18.445</v>
      </c>
      <c r="N140">
        <v>-96.438999999999993</v>
      </c>
      <c r="O140" s="1" t="s">
        <v>40</v>
      </c>
      <c r="P140" s="1" t="s">
        <v>584</v>
      </c>
      <c r="Q140" s="1" t="s">
        <v>585</v>
      </c>
      <c r="R140" s="1" t="s">
        <v>220</v>
      </c>
      <c r="S140" s="1" t="s">
        <v>586</v>
      </c>
      <c r="T140" s="1" t="s">
        <v>587</v>
      </c>
      <c r="U140" s="2" t="s">
        <v>588</v>
      </c>
      <c r="V140" s="2" t="s">
        <v>47</v>
      </c>
      <c r="W140" s="2" t="s">
        <v>111</v>
      </c>
      <c r="X140" s="2">
        <v>22.89</v>
      </c>
    </row>
    <row r="141" spans="1:24" x14ac:dyDescent="0.3">
      <c r="A141">
        <v>18045</v>
      </c>
      <c r="B141" t="s">
        <v>589</v>
      </c>
      <c r="C141" s="3">
        <v>41088</v>
      </c>
      <c r="D141" t="s">
        <v>148</v>
      </c>
      <c r="E141">
        <v>18</v>
      </c>
      <c r="F141" s="3">
        <f ca="1">41089+(RANDBETWEEN(1,10))</f>
        <v>41092</v>
      </c>
      <c r="G141" t="s">
        <v>26</v>
      </c>
      <c r="H141" t="s">
        <v>27</v>
      </c>
      <c r="I141" t="s">
        <v>86</v>
      </c>
      <c r="J141">
        <v>7610.4</v>
      </c>
      <c r="K141">
        <v>0.04</v>
      </c>
      <c r="L141">
        <v>0.59</v>
      </c>
      <c r="M141">
        <v>14.7</v>
      </c>
      <c r="N141">
        <v>5251.1760000000004</v>
      </c>
      <c r="O141" s="1" t="s">
        <v>64</v>
      </c>
      <c r="P141" s="1" t="s">
        <v>590</v>
      </c>
      <c r="Q141" s="1" t="s">
        <v>591</v>
      </c>
      <c r="R141" s="1" t="s">
        <v>128</v>
      </c>
      <c r="S141" s="1" t="s">
        <v>592</v>
      </c>
      <c r="T141" s="1" t="s">
        <v>593</v>
      </c>
      <c r="U141" s="2">
        <v>7160</v>
      </c>
      <c r="V141" s="2" t="s">
        <v>36</v>
      </c>
      <c r="W141" s="2" t="s">
        <v>37</v>
      </c>
      <c r="X141" s="2">
        <v>493.46499999999997</v>
      </c>
    </row>
    <row r="142" spans="1:24" x14ac:dyDescent="0.3">
      <c r="A142">
        <v>18046</v>
      </c>
      <c r="B142" t="s">
        <v>594</v>
      </c>
      <c r="C142" s="3">
        <v>40679</v>
      </c>
      <c r="D142" t="s">
        <v>39</v>
      </c>
      <c r="E142">
        <v>9</v>
      </c>
      <c r="F142" s="3">
        <f ca="1">40680+(RANDBETWEEN(1,10))</f>
        <v>40681</v>
      </c>
      <c r="G142" t="s">
        <v>26</v>
      </c>
      <c r="H142" t="s">
        <v>27</v>
      </c>
      <c r="I142" t="s">
        <v>28</v>
      </c>
      <c r="J142">
        <v>172.34</v>
      </c>
      <c r="K142">
        <v>0.09</v>
      </c>
      <c r="L142">
        <v>0.37</v>
      </c>
      <c r="M142">
        <v>27.23</v>
      </c>
      <c r="N142">
        <v>-476.88200000000001</v>
      </c>
      <c r="O142" s="1" t="s">
        <v>225</v>
      </c>
      <c r="P142" s="1" t="s">
        <v>595</v>
      </c>
      <c r="Q142" s="1" t="s">
        <v>596</v>
      </c>
      <c r="R142" s="1" t="s">
        <v>228</v>
      </c>
      <c r="S142" s="1" t="s">
        <v>597</v>
      </c>
      <c r="T142" s="1" t="s">
        <v>598</v>
      </c>
      <c r="U142" s="2" t="s">
        <v>599</v>
      </c>
      <c r="V142" s="2" t="s">
        <v>47</v>
      </c>
      <c r="W142" s="2" t="s">
        <v>111</v>
      </c>
      <c r="X142" s="2">
        <v>18.899999999999999</v>
      </c>
    </row>
    <row r="143" spans="1:24" x14ac:dyDescent="0.3">
      <c r="A143">
        <v>18047</v>
      </c>
      <c r="B143" t="s">
        <v>600</v>
      </c>
      <c r="C143" s="3">
        <v>40548</v>
      </c>
      <c r="D143" t="s">
        <v>50</v>
      </c>
      <c r="E143">
        <v>6</v>
      </c>
      <c r="F143" s="3">
        <f ca="1">40549+(RANDBETWEEN(1,10))</f>
        <v>40557</v>
      </c>
      <c r="G143" t="s">
        <v>26</v>
      </c>
      <c r="H143" t="s">
        <v>96</v>
      </c>
      <c r="I143" t="s">
        <v>97</v>
      </c>
      <c r="J143">
        <v>165.13</v>
      </c>
      <c r="K143">
        <v>0.05</v>
      </c>
      <c r="L143">
        <v>0.36</v>
      </c>
      <c r="M143">
        <v>20.405000000000001</v>
      </c>
      <c r="N143">
        <v>-140.9632</v>
      </c>
      <c r="O143" s="1" t="s">
        <v>87</v>
      </c>
      <c r="P143" s="1" t="s">
        <v>601</v>
      </c>
      <c r="Q143" s="1" t="s">
        <v>602</v>
      </c>
      <c r="R143" s="1" t="s">
        <v>497</v>
      </c>
      <c r="S143" s="1" t="s">
        <v>603</v>
      </c>
      <c r="T143" s="1" t="s">
        <v>604</v>
      </c>
      <c r="U143" s="2" t="s">
        <v>605</v>
      </c>
      <c r="V143" s="2" t="s">
        <v>47</v>
      </c>
      <c r="W143" s="2" t="s">
        <v>74</v>
      </c>
      <c r="X143" s="2">
        <v>26.74</v>
      </c>
    </row>
    <row r="144" spans="1:24" x14ac:dyDescent="0.3">
      <c r="A144">
        <v>18048</v>
      </c>
      <c r="B144" t="s">
        <v>606</v>
      </c>
      <c r="C144" s="3">
        <v>41651</v>
      </c>
      <c r="D144" t="s">
        <v>39</v>
      </c>
      <c r="E144">
        <v>12</v>
      </c>
      <c r="F144" s="3">
        <f ca="1">41652+(RANDBETWEEN(1,10))</f>
        <v>41660</v>
      </c>
      <c r="G144" t="s">
        <v>26</v>
      </c>
      <c r="H144" t="s">
        <v>27</v>
      </c>
      <c r="I144" t="s">
        <v>52</v>
      </c>
      <c r="J144">
        <v>403.02499999999998</v>
      </c>
      <c r="K144">
        <v>0.08</v>
      </c>
      <c r="L144">
        <v>0.37</v>
      </c>
      <c r="M144">
        <v>4.8650000000000002</v>
      </c>
      <c r="N144">
        <v>-804.82500000000005</v>
      </c>
      <c r="O144" s="1" t="s">
        <v>87</v>
      </c>
      <c r="P144" s="1" t="s">
        <v>607</v>
      </c>
      <c r="Q144" s="1" t="s">
        <v>608</v>
      </c>
      <c r="R144" s="1" t="s">
        <v>90</v>
      </c>
      <c r="S144" s="1" t="s">
        <v>609</v>
      </c>
      <c r="T144" s="1" t="s">
        <v>610</v>
      </c>
      <c r="U144" s="2" t="s">
        <v>611</v>
      </c>
      <c r="V144" s="2" t="s">
        <v>47</v>
      </c>
      <c r="W144" s="2" t="s">
        <v>48</v>
      </c>
      <c r="X144" s="2">
        <v>34.65</v>
      </c>
    </row>
    <row r="145" spans="1:24" x14ac:dyDescent="0.3">
      <c r="A145">
        <v>18049</v>
      </c>
      <c r="B145" t="s">
        <v>612</v>
      </c>
      <c r="C145" s="3">
        <v>41913</v>
      </c>
      <c r="D145" t="s">
        <v>39</v>
      </c>
      <c r="E145">
        <v>26</v>
      </c>
      <c r="F145" s="3">
        <f ca="1">41914+(RANDBETWEEN(1,10))</f>
        <v>41919</v>
      </c>
      <c r="G145" t="s">
        <v>76</v>
      </c>
      <c r="H145" t="s">
        <v>77</v>
      </c>
      <c r="I145" t="s">
        <v>52</v>
      </c>
      <c r="J145">
        <v>18799.900000000001</v>
      </c>
      <c r="K145">
        <v>7.0000000000000007E-2</v>
      </c>
      <c r="L145">
        <v>0.57999999999999996</v>
      </c>
      <c r="M145">
        <v>238.07</v>
      </c>
      <c r="N145">
        <v>1602.335</v>
      </c>
      <c r="O145" s="1" t="s">
        <v>53</v>
      </c>
      <c r="P145" s="1" t="s">
        <v>613</v>
      </c>
      <c r="Q145" s="1" t="s">
        <v>614</v>
      </c>
      <c r="R145" s="1" t="s">
        <v>56</v>
      </c>
      <c r="S145" s="1" t="s">
        <v>615</v>
      </c>
      <c r="T145" s="1" t="s">
        <v>616</v>
      </c>
      <c r="U145" s="2" t="s">
        <v>617</v>
      </c>
      <c r="V145" s="2" t="s">
        <v>47</v>
      </c>
      <c r="W145" s="2" t="s">
        <v>71</v>
      </c>
      <c r="X145" s="2">
        <v>728.56</v>
      </c>
    </row>
    <row r="146" spans="1:24" x14ac:dyDescent="0.3">
      <c r="A146">
        <v>18050</v>
      </c>
      <c r="B146" t="s">
        <v>612</v>
      </c>
      <c r="C146" s="3">
        <v>41913</v>
      </c>
      <c r="D146" t="s">
        <v>39</v>
      </c>
      <c r="E146">
        <v>14</v>
      </c>
      <c r="F146" s="3">
        <f ca="1">41915+(RANDBETWEEN(1,10))</f>
        <v>41924</v>
      </c>
      <c r="G146" t="s">
        <v>26</v>
      </c>
      <c r="H146" t="s">
        <v>27</v>
      </c>
      <c r="I146" t="s">
        <v>52</v>
      </c>
      <c r="J146">
        <v>443.83499999999998</v>
      </c>
      <c r="K146">
        <v>0.01</v>
      </c>
      <c r="L146">
        <v>0.39</v>
      </c>
      <c r="M146">
        <v>10.465</v>
      </c>
      <c r="N146">
        <v>163.47624999999999</v>
      </c>
      <c r="O146" s="1" t="s">
        <v>53</v>
      </c>
      <c r="P146" s="1" t="s">
        <v>613</v>
      </c>
      <c r="Q146" s="1" t="s">
        <v>614</v>
      </c>
      <c r="R146" s="1" t="s">
        <v>56</v>
      </c>
      <c r="S146" s="1" t="s">
        <v>615</v>
      </c>
      <c r="T146" s="1" t="s">
        <v>616</v>
      </c>
      <c r="U146" s="2" t="s">
        <v>618</v>
      </c>
      <c r="V146" s="2" t="s">
        <v>47</v>
      </c>
      <c r="W146" s="2" t="s">
        <v>111</v>
      </c>
      <c r="X146" s="2">
        <v>30.414999999999999</v>
      </c>
    </row>
    <row r="147" spans="1:24" x14ac:dyDescent="0.3">
      <c r="A147">
        <v>18051</v>
      </c>
      <c r="B147" t="s">
        <v>619</v>
      </c>
      <c r="C147" s="3">
        <v>41105</v>
      </c>
      <c r="D147" t="s">
        <v>148</v>
      </c>
      <c r="E147">
        <v>11</v>
      </c>
      <c r="F147" s="3">
        <f ca="1">41106+(RANDBETWEEN(1,10))</f>
        <v>41109</v>
      </c>
      <c r="G147" t="s">
        <v>26</v>
      </c>
      <c r="H147" t="s">
        <v>27</v>
      </c>
      <c r="I147" t="s">
        <v>97</v>
      </c>
      <c r="J147">
        <v>7012.81</v>
      </c>
      <c r="K147">
        <v>0.06</v>
      </c>
      <c r="L147">
        <v>0.71</v>
      </c>
      <c r="M147">
        <v>69.965000000000003</v>
      </c>
      <c r="N147">
        <v>1711.57</v>
      </c>
      <c r="O147" s="1" t="s">
        <v>64</v>
      </c>
      <c r="P147" s="1" t="s">
        <v>620</v>
      </c>
      <c r="Q147" s="1" t="s">
        <v>621</v>
      </c>
      <c r="R147" s="1" t="s">
        <v>128</v>
      </c>
      <c r="S147" s="1" t="s">
        <v>622</v>
      </c>
      <c r="T147" s="1" t="s">
        <v>623</v>
      </c>
      <c r="U147" s="2" t="s">
        <v>624</v>
      </c>
      <c r="V147" s="2" t="s">
        <v>47</v>
      </c>
      <c r="W147" s="2" t="s">
        <v>119</v>
      </c>
      <c r="X147" s="2">
        <v>676.09500000000003</v>
      </c>
    </row>
    <row r="148" spans="1:24" x14ac:dyDescent="0.3">
      <c r="A148">
        <v>18052</v>
      </c>
      <c r="B148" t="s">
        <v>625</v>
      </c>
      <c r="C148" s="3">
        <v>41716</v>
      </c>
      <c r="D148" t="s">
        <v>62</v>
      </c>
      <c r="E148">
        <v>5</v>
      </c>
      <c r="F148" s="3">
        <f ca="1">41718+(RANDBETWEEN(1,10))</f>
        <v>41724</v>
      </c>
      <c r="G148" t="s">
        <v>26</v>
      </c>
      <c r="H148" t="s">
        <v>27</v>
      </c>
      <c r="I148" t="s">
        <v>28</v>
      </c>
      <c r="J148">
        <v>2305.4850000000001</v>
      </c>
      <c r="K148">
        <v>0.08</v>
      </c>
      <c r="L148">
        <v>0.6</v>
      </c>
      <c r="M148">
        <v>28.28</v>
      </c>
      <c r="N148">
        <v>902.16</v>
      </c>
      <c r="O148" s="1" t="s">
        <v>40</v>
      </c>
      <c r="P148" s="1" t="s">
        <v>626</v>
      </c>
      <c r="Q148" s="1" t="s">
        <v>627</v>
      </c>
      <c r="R148" s="1" t="s">
        <v>43</v>
      </c>
      <c r="S148" s="1" t="s">
        <v>628</v>
      </c>
      <c r="T148" s="1" t="s">
        <v>629</v>
      </c>
      <c r="U148" s="2" t="s">
        <v>630</v>
      </c>
      <c r="V148" s="2" t="s">
        <v>36</v>
      </c>
      <c r="W148" s="2" t="s">
        <v>37</v>
      </c>
      <c r="X148" s="2">
        <v>545.96500000000003</v>
      </c>
    </row>
    <row r="149" spans="1:24" x14ac:dyDescent="0.3">
      <c r="A149">
        <v>18053</v>
      </c>
      <c r="B149" t="s">
        <v>625</v>
      </c>
      <c r="C149" s="3">
        <v>41716</v>
      </c>
      <c r="D149" t="s">
        <v>62</v>
      </c>
      <c r="E149">
        <v>12</v>
      </c>
      <c r="F149" s="3">
        <f ca="1">41718+(RANDBETWEEN(1,10))</f>
        <v>41723</v>
      </c>
      <c r="G149" t="s">
        <v>26</v>
      </c>
      <c r="H149" t="s">
        <v>27</v>
      </c>
      <c r="I149" t="s">
        <v>28</v>
      </c>
      <c r="J149">
        <v>256.55</v>
      </c>
      <c r="K149">
        <v>0.1</v>
      </c>
      <c r="L149">
        <v>0.37</v>
      </c>
      <c r="M149">
        <v>35.174999999999997</v>
      </c>
      <c r="N149">
        <v>-1020.5650000000001</v>
      </c>
      <c r="O149" s="1" t="s">
        <v>64</v>
      </c>
      <c r="P149" s="1" t="s">
        <v>631</v>
      </c>
      <c r="Q149" s="1" t="s">
        <v>632</v>
      </c>
      <c r="R149" s="1" t="s">
        <v>67</v>
      </c>
      <c r="S149" s="1" t="s">
        <v>633</v>
      </c>
      <c r="T149" s="1" t="s">
        <v>634</v>
      </c>
      <c r="U149" s="2" t="s">
        <v>635</v>
      </c>
      <c r="V149" s="2" t="s">
        <v>47</v>
      </c>
      <c r="W149" s="2" t="s">
        <v>74</v>
      </c>
      <c r="X149" s="2">
        <v>22.68</v>
      </c>
    </row>
    <row r="150" spans="1:24" x14ac:dyDescent="0.3">
      <c r="A150">
        <v>18054</v>
      </c>
      <c r="B150" t="s">
        <v>636</v>
      </c>
      <c r="C150" s="3">
        <v>40627</v>
      </c>
      <c r="D150" t="s">
        <v>62</v>
      </c>
      <c r="E150">
        <v>5</v>
      </c>
      <c r="F150" s="3">
        <f ca="1">40629+(RANDBETWEEN(1,10))</f>
        <v>40631</v>
      </c>
      <c r="G150" t="s">
        <v>26</v>
      </c>
      <c r="H150" t="s">
        <v>27</v>
      </c>
      <c r="I150" t="s">
        <v>86</v>
      </c>
      <c r="J150">
        <v>94.57</v>
      </c>
      <c r="K150">
        <v>7.0000000000000007E-2</v>
      </c>
      <c r="L150">
        <v>0.38</v>
      </c>
      <c r="M150">
        <v>4.8650000000000002</v>
      </c>
      <c r="N150">
        <v>65.253299999999996</v>
      </c>
      <c r="O150" s="1" t="s">
        <v>64</v>
      </c>
      <c r="P150" s="1" t="s">
        <v>637</v>
      </c>
      <c r="Q150" s="1" t="s">
        <v>638</v>
      </c>
      <c r="R150" s="1" t="s">
        <v>67</v>
      </c>
      <c r="S150" s="1" t="s">
        <v>639</v>
      </c>
      <c r="T150" s="1" t="s">
        <v>640</v>
      </c>
      <c r="U150" s="2" t="s">
        <v>641</v>
      </c>
      <c r="V150" s="2" t="s">
        <v>47</v>
      </c>
      <c r="W150" s="2" t="s">
        <v>48</v>
      </c>
      <c r="X150" s="2">
        <v>19.88</v>
      </c>
    </row>
    <row r="151" spans="1:24" x14ac:dyDescent="0.3">
      <c r="A151">
        <v>18055</v>
      </c>
      <c r="B151" t="s">
        <v>636</v>
      </c>
      <c r="C151" s="3">
        <v>40627</v>
      </c>
      <c r="D151" t="s">
        <v>62</v>
      </c>
      <c r="E151">
        <v>1</v>
      </c>
      <c r="F151" s="3">
        <f ca="1">40629+(RANDBETWEEN(1,10))</f>
        <v>40635</v>
      </c>
      <c r="G151" t="s">
        <v>26</v>
      </c>
      <c r="H151" t="s">
        <v>27</v>
      </c>
      <c r="I151" t="s">
        <v>86</v>
      </c>
      <c r="J151">
        <v>96.844999999999999</v>
      </c>
      <c r="K151">
        <v>0.06</v>
      </c>
      <c r="L151">
        <v>0.39</v>
      </c>
      <c r="M151">
        <v>40.39</v>
      </c>
      <c r="N151">
        <v>-109.34</v>
      </c>
      <c r="O151" s="1" t="s">
        <v>64</v>
      </c>
      <c r="P151" s="1" t="s">
        <v>637</v>
      </c>
      <c r="Q151" s="1" t="s">
        <v>638</v>
      </c>
      <c r="R151" s="1" t="s">
        <v>67</v>
      </c>
      <c r="S151" s="1" t="s">
        <v>639</v>
      </c>
      <c r="T151" s="1" t="s">
        <v>640</v>
      </c>
      <c r="U151" s="2" t="s">
        <v>642</v>
      </c>
      <c r="V151" s="2" t="s">
        <v>47</v>
      </c>
      <c r="W151" s="2" t="s">
        <v>74</v>
      </c>
      <c r="X151" s="2">
        <v>79.94</v>
      </c>
    </row>
    <row r="152" spans="1:24" x14ac:dyDescent="0.3">
      <c r="A152">
        <v>18056</v>
      </c>
      <c r="B152" t="s">
        <v>643</v>
      </c>
      <c r="C152" s="3">
        <v>41717</v>
      </c>
      <c r="D152" t="s">
        <v>62</v>
      </c>
      <c r="E152">
        <v>6</v>
      </c>
      <c r="F152" s="3">
        <f ca="1">41719+(RANDBETWEEN(1,10))</f>
        <v>41723</v>
      </c>
      <c r="G152" t="s">
        <v>26</v>
      </c>
      <c r="H152" t="s">
        <v>281</v>
      </c>
      <c r="I152" t="s">
        <v>86</v>
      </c>
      <c r="J152">
        <v>3253.0050000000001</v>
      </c>
      <c r="K152">
        <v>0.02</v>
      </c>
      <c r="L152">
        <v>0.56999999999999995</v>
      </c>
      <c r="M152">
        <v>48.965000000000003</v>
      </c>
      <c r="N152">
        <v>153.99299999999999</v>
      </c>
      <c r="O152" s="1" t="s">
        <v>87</v>
      </c>
      <c r="P152" s="1" t="s">
        <v>644</v>
      </c>
      <c r="Q152" s="1" t="s">
        <v>645</v>
      </c>
      <c r="R152" s="1" t="s">
        <v>646</v>
      </c>
      <c r="S152" s="1" t="s">
        <v>647</v>
      </c>
      <c r="T152" s="1" t="s">
        <v>648</v>
      </c>
      <c r="U152" s="2" t="s">
        <v>649</v>
      </c>
      <c r="V152" s="2" t="s">
        <v>36</v>
      </c>
      <c r="W152" s="2" t="s">
        <v>37</v>
      </c>
      <c r="X152" s="2">
        <v>629.96500000000003</v>
      </c>
    </row>
    <row r="153" spans="1:24" x14ac:dyDescent="0.3">
      <c r="A153">
        <v>18057</v>
      </c>
      <c r="B153" t="s">
        <v>650</v>
      </c>
      <c r="C153" s="3">
        <v>41198</v>
      </c>
      <c r="D153" t="s">
        <v>25</v>
      </c>
      <c r="E153">
        <v>4</v>
      </c>
      <c r="F153" s="3">
        <f ca="1">41202+(RANDBETWEEN(1,10))</f>
        <v>41212</v>
      </c>
      <c r="G153" t="s">
        <v>26</v>
      </c>
      <c r="H153" t="s">
        <v>27</v>
      </c>
      <c r="I153" t="s">
        <v>28</v>
      </c>
      <c r="J153">
        <v>1375.325</v>
      </c>
      <c r="K153">
        <v>0.06</v>
      </c>
      <c r="L153">
        <v>0.56000000000000005</v>
      </c>
      <c r="M153">
        <v>14.805</v>
      </c>
      <c r="N153">
        <v>-675.50868000000003</v>
      </c>
      <c r="O153" s="1" t="s">
        <v>87</v>
      </c>
      <c r="P153" s="1" t="s">
        <v>651</v>
      </c>
      <c r="Q153" s="1" t="s">
        <v>652</v>
      </c>
      <c r="R153" s="1" t="s">
        <v>90</v>
      </c>
      <c r="S153" s="1" t="s">
        <v>653</v>
      </c>
      <c r="T153" s="1" t="s">
        <v>654</v>
      </c>
      <c r="U153" s="2">
        <v>282</v>
      </c>
      <c r="V153" s="2" t="s">
        <v>36</v>
      </c>
      <c r="W153" s="2" t="s">
        <v>37</v>
      </c>
      <c r="X153" s="2">
        <v>405.96499999999997</v>
      </c>
    </row>
    <row r="154" spans="1:24" x14ac:dyDescent="0.3">
      <c r="A154">
        <v>18058</v>
      </c>
      <c r="B154" t="s">
        <v>655</v>
      </c>
      <c r="C154" s="3">
        <v>41428</v>
      </c>
      <c r="D154" t="s">
        <v>39</v>
      </c>
      <c r="E154">
        <v>14</v>
      </c>
      <c r="F154" s="3">
        <f ca="1">41429+(RANDBETWEEN(1,10))</f>
        <v>41439</v>
      </c>
      <c r="G154" t="s">
        <v>26</v>
      </c>
      <c r="H154" t="s">
        <v>27</v>
      </c>
      <c r="I154" t="s">
        <v>52</v>
      </c>
      <c r="J154">
        <v>314.58</v>
      </c>
      <c r="K154">
        <v>0.03</v>
      </c>
      <c r="L154">
        <v>0.38</v>
      </c>
      <c r="M154">
        <v>17.22</v>
      </c>
      <c r="N154">
        <v>-123.5836</v>
      </c>
      <c r="O154" s="1" t="s">
        <v>64</v>
      </c>
      <c r="P154" s="1" t="s">
        <v>656</v>
      </c>
      <c r="Q154" s="1" t="s">
        <v>657</v>
      </c>
      <c r="R154" s="1" t="s">
        <v>67</v>
      </c>
      <c r="S154" s="1" t="s">
        <v>658</v>
      </c>
      <c r="T154" s="1" t="s">
        <v>659</v>
      </c>
      <c r="U154" s="2" t="s">
        <v>660</v>
      </c>
      <c r="V154" s="2" t="s">
        <v>47</v>
      </c>
      <c r="W154" s="2" t="s">
        <v>111</v>
      </c>
      <c r="X154" s="2">
        <v>20.965</v>
      </c>
    </row>
    <row r="155" spans="1:24" x14ac:dyDescent="0.3">
      <c r="A155">
        <v>18059</v>
      </c>
      <c r="B155" t="s">
        <v>655</v>
      </c>
      <c r="C155" s="3">
        <v>41428</v>
      </c>
      <c r="D155" t="s">
        <v>39</v>
      </c>
      <c r="E155">
        <v>7</v>
      </c>
      <c r="F155" s="3">
        <f ca="1">41429+(RANDBETWEEN(1,10))</f>
        <v>41434</v>
      </c>
      <c r="G155" t="s">
        <v>26</v>
      </c>
      <c r="H155" t="s">
        <v>96</v>
      </c>
      <c r="I155" t="s">
        <v>52</v>
      </c>
      <c r="J155">
        <v>145.495</v>
      </c>
      <c r="K155">
        <v>0.05</v>
      </c>
      <c r="L155">
        <v>0.54</v>
      </c>
      <c r="M155">
        <v>11.795</v>
      </c>
      <c r="N155">
        <v>-59.64</v>
      </c>
      <c r="O155" s="1" t="s">
        <v>29</v>
      </c>
      <c r="P155" s="1" t="s">
        <v>661</v>
      </c>
      <c r="Q155" s="1" t="s">
        <v>662</v>
      </c>
      <c r="R155" s="1" t="s">
        <v>32</v>
      </c>
      <c r="S155" s="1" t="s">
        <v>663</v>
      </c>
      <c r="T155" s="1" t="s">
        <v>664</v>
      </c>
      <c r="U155" s="2" t="s">
        <v>665</v>
      </c>
      <c r="V155" s="2" t="s">
        <v>47</v>
      </c>
      <c r="W155" s="2" t="s">
        <v>176</v>
      </c>
      <c r="X155" s="2">
        <v>20.335000000000001</v>
      </c>
    </row>
    <row r="156" spans="1:24" x14ac:dyDescent="0.3">
      <c r="A156">
        <v>18060</v>
      </c>
      <c r="B156" t="s">
        <v>666</v>
      </c>
      <c r="C156" s="3">
        <v>41273</v>
      </c>
      <c r="D156" t="s">
        <v>25</v>
      </c>
      <c r="E156">
        <v>10</v>
      </c>
      <c r="F156" s="3">
        <f ca="1">41364+(RANDBETWEEN(1,10))</f>
        <v>41370</v>
      </c>
      <c r="G156" t="s">
        <v>26</v>
      </c>
      <c r="H156" t="s">
        <v>96</v>
      </c>
      <c r="I156" t="s">
        <v>97</v>
      </c>
      <c r="J156">
        <v>78.224999999999994</v>
      </c>
      <c r="K156">
        <v>0.02</v>
      </c>
      <c r="L156">
        <v>0.38</v>
      </c>
      <c r="M156">
        <v>3.5</v>
      </c>
      <c r="N156">
        <v>20.37</v>
      </c>
      <c r="O156" s="1" t="s">
        <v>225</v>
      </c>
      <c r="P156" s="1" t="s">
        <v>667</v>
      </c>
      <c r="Q156" s="1" t="s">
        <v>668</v>
      </c>
      <c r="R156" s="1" t="s">
        <v>391</v>
      </c>
      <c r="S156" s="1" t="s">
        <v>669</v>
      </c>
      <c r="T156" s="1" t="s">
        <v>670</v>
      </c>
      <c r="U156" s="2" t="s">
        <v>671</v>
      </c>
      <c r="V156" s="2" t="s">
        <v>47</v>
      </c>
      <c r="W156" s="2" t="s">
        <v>104</v>
      </c>
      <c r="X156" s="2">
        <v>7.7350000000000003</v>
      </c>
    </row>
    <row r="157" spans="1:24" x14ac:dyDescent="0.3">
      <c r="A157">
        <v>18061</v>
      </c>
      <c r="B157" t="s">
        <v>672</v>
      </c>
      <c r="C157" s="3">
        <v>40707</v>
      </c>
      <c r="D157" t="s">
        <v>25</v>
      </c>
      <c r="E157">
        <v>6</v>
      </c>
      <c r="F157" s="3">
        <f ca="1">40712+(RANDBETWEEN(1,10))</f>
        <v>40716</v>
      </c>
      <c r="G157" t="s">
        <v>26</v>
      </c>
      <c r="H157" t="s">
        <v>96</v>
      </c>
      <c r="I157" t="s">
        <v>86</v>
      </c>
      <c r="J157">
        <v>1627.01</v>
      </c>
      <c r="K157">
        <v>0</v>
      </c>
      <c r="L157">
        <v>0.85</v>
      </c>
      <c r="M157">
        <v>3.4649999999999999</v>
      </c>
      <c r="N157">
        <v>-483.12880000000001</v>
      </c>
      <c r="O157" s="1" t="s">
        <v>29</v>
      </c>
      <c r="P157" s="1" t="s">
        <v>673</v>
      </c>
      <c r="Q157" s="1" t="s">
        <v>674</v>
      </c>
      <c r="R157" s="1" t="s">
        <v>675</v>
      </c>
      <c r="S157" s="1" t="s">
        <v>676</v>
      </c>
      <c r="T157" s="1" t="s">
        <v>677</v>
      </c>
      <c r="U157" s="2" t="s">
        <v>678</v>
      </c>
      <c r="V157" s="2" t="s">
        <v>36</v>
      </c>
      <c r="W157" s="2" t="s">
        <v>37</v>
      </c>
      <c r="X157" s="2">
        <v>300.96499999999997</v>
      </c>
    </row>
    <row r="158" spans="1:24" x14ac:dyDescent="0.3">
      <c r="A158">
        <v>18062</v>
      </c>
      <c r="B158" t="s">
        <v>679</v>
      </c>
      <c r="C158" s="3">
        <v>41171</v>
      </c>
      <c r="D158" t="s">
        <v>39</v>
      </c>
      <c r="E158">
        <v>15</v>
      </c>
      <c r="F158" s="3">
        <f ca="1">41173+(RANDBETWEEN(1,10))</f>
        <v>41176</v>
      </c>
      <c r="G158" t="s">
        <v>76</v>
      </c>
      <c r="H158" t="s">
        <v>258</v>
      </c>
      <c r="I158" t="s">
        <v>28</v>
      </c>
      <c r="J158">
        <v>2610.5100000000002</v>
      </c>
      <c r="K158">
        <v>0.02</v>
      </c>
      <c r="L158">
        <v>0.69</v>
      </c>
      <c r="M158">
        <v>189.38499999999999</v>
      </c>
      <c r="N158">
        <v>-4718.21</v>
      </c>
      <c r="O158" s="1" t="s">
        <v>87</v>
      </c>
      <c r="P158" s="1" t="s">
        <v>680</v>
      </c>
      <c r="Q158" s="1" t="s">
        <v>681</v>
      </c>
      <c r="R158" s="1" t="s">
        <v>497</v>
      </c>
      <c r="S158" s="1" t="s">
        <v>682</v>
      </c>
      <c r="T158" s="1" t="s">
        <v>683</v>
      </c>
      <c r="U158" s="2" t="s">
        <v>684</v>
      </c>
      <c r="V158" s="2" t="s">
        <v>83</v>
      </c>
      <c r="W158" s="2" t="s">
        <v>298</v>
      </c>
      <c r="X158" s="2">
        <v>170.03</v>
      </c>
    </row>
    <row r="159" spans="1:24" x14ac:dyDescent="0.3">
      <c r="A159">
        <v>18063</v>
      </c>
      <c r="B159" t="s">
        <v>679</v>
      </c>
      <c r="C159" s="3">
        <v>41171</v>
      </c>
      <c r="D159" t="s">
        <v>39</v>
      </c>
      <c r="E159">
        <v>15</v>
      </c>
      <c r="F159" s="3">
        <f ca="1">41171+(RANDBETWEEN(1,10))</f>
        <v>41181</v>
      </c>
      <c r="G159" t="s">
        <v>26</v>
      </c>
      <c r="H159" t="s">
        <v>51</v>
      </c>
      <c r="I159" t="s">
        <v>28</v>
      </c>
      <c r="J159">
        <v>1966.16</v>
      </c>
      <c r="K159">
        <v>7.0000000000000007E-2</v>
      </c>
      <c r="L159">
        <v>0.54</v>
      </c>
      <c r="M159">
        <v>6.9649999999999999</v>
      </c>
      <c r="N159">
        <v>942.44500000000005</v>
      </c>
      <c r="O159" s="1" t="s">
        <v>87</v>
      </c>
      <c r="P159" s="1" t="s">
        <v>680</v>
      </c>
      <c r="Q159" s="1" t="s">
        <v>681</v>
      </c>
      <c r="R159" s="1" t="s">
        <v>497</v>
      </c>
      <c r="S159" s="1" t="s">
        <v>682</v>
      </c>
      <c r="T159" s="1" t="s">
        <v>683</v>
      </c>
      <c r="U159" s="2" t="s">
        <v>685</v>
      </c>
      <c r="V159" s="2" t="s">
        <v>36</v>
      </c>
      <c r="W159" s="2" t="s">
        <v>60</v>
      </c>
      <c r="X159" s="2">
        <v>138.18</v>
      </c>
    </row>
    <row r="160" spans="1:24" x14ac:dyDescent="0.3">
      <c r="A160">
        <v>18064</v>
      </c>
      <c r="B160" t="s">
        <v>686</v>
      </c>
      <c r="C160" s="3">
        <v>40895</v>
      </c>
      <c r="D160" t="s">
        <v>148</v>
      </c>
      <c r="E160">
        <v>14</v>
      </c>
      <c r="F160" s="3">
        <f ca="1">40896+(RANDBETWEEN(1,10))</f>
        <v>40906</v>
      </c>
      <c r="G160" t="s">
        <v>76</v>
      </c>
      <c r="H160" t="s">
        <v>258</v>
      </c>
      <c r="I160" t="s">
        <v>28</v>
      </c>
      <c r="J160">
        <v>5977.44</v>
      </c>
      <c r="K160">
        <v>0.08</v>
      </c>
      <c r="L160">
        <v>0.63</v>
      </c>
      <c r="M160">
        <v>181.79</v>
      </c>
      <c r="N160">
        <v>-875.66499999999996</v>
      </c>
      <c r="O160" s="1" t="s">
        <v>87</v>
      </c>
      <c r="P160" s="1" t="s">
        <v>687</v>
      </c>
      <c r="Q160" s="1" t="s">
        <v>688</v>
      </c>
      <c r="R160" s="1" t="s">
        <v>398</v>
      </c>
      <c r="S160" s="1" t="s">
        <v>689</v>
      </c>
      <c r="T160" s="1" t="s">
        <v>690</v>
      </c>
      <c r="U160" s="2" t="s">
        <v>360</v>
      </c>
      <c r="V160" s="2" t="s">
        <v>83</v>
      </c>
      <c r="W160" s="2" t="s">
        <v>263</v>
      </c>
      <c r="X160" s="2">
        <v>435.71499999999997</v>
      </c>
    </row>
    <row r="161" spans="1:24" x14ac:dyDescent="0.3">
      <c r="A161">
        <v>18065</v>
      </c>
      <c r="B161" t="s">
        <v>691</v>
      </c>
      <c r="C161" s="3">
        <v>41700</v>
      </c>
      <c r="D161" t="s">
        <v>25</v>
      </c>
      <c r="E161">
        <v>13</v>
      </c>
      <c r="F161" s="3">
        <f ca="1">41707+(RANDBETWEEN(1,10))</f>
        <v>41717</v>
      </c>
      <c r="G161" t="s">
        <v>76</v>
      </c>
      <c r="H161" t="s">
        <v>258</v>
      </c>
      <c r="I161" t="s">
        <v>28</v>
      </c>
      <c r="J161">
        <v>6976.0950000000003</v>
      </c>
      <c r="K161">
        <v>0.02</v>
      </c>
      <c r="L161">
        <v>0.71</v>
      </c>
      <c r="M161">
        <v>280.7</v>
      </c>
      <c r="N161">
        <v>-6372.94</v>
      </c>
      <c r="O161" s="1" t="s">
        <v>64</v>
      </c>
      <c r="P161" s="1" t="s">
        <v>692</v>
      </c>
      <c r="Q161" s="1" t="s">
        <v>693</v>
      </c>
      <c r="R161" s="1" t="s">
        <v>67</v>
      </c>
      <c r="S161" s="1" t="s">
        <v>694</v>
      </c>
      <c r="T161" s="1" t="s">
        <v>695</v>
      </c>
      <c r="U161" s="2" t="s">
        <v>696</v>
      </c>
      <c r="V161" s="2" t="s">
        <v>83</v>
      </c>
      <c r="W161" s="2" t="s">
        <v>263</v>
      </c>
      <c r="X161" s="2">
        <v>511.17500000000001</v>
      </c>
    </row>
    <row r="162" spans="1:24" x14ac:dyDescent="0.3">
      <c r="A162">
        <v>18066</v>
      </c>
      <c r="B162" t="s">
        <v>697</v>
      </c>
      <c r="C162" s="3">
        <v>41298</v>
      </c>
      <c r="D162" t="s">
        <v>39</v>
      </c>
      <c r="E162">
        <v>1</v>
      </c>
      <c r="F162" s="3">
        <f ca="1">41300+(RANDBETWEEN(1,10))</f>
        <v>41301</v>
      </c>
      <c r="G162" t="s">
        <v>26</v>
      </c>
      <c r="H162" t="s">
        <v>27</v>
      </c>
      <c r="I162" t="s">
        <v>28</v>
      </c>
      <c r="J162">
        <v>13.09</v>
      </c>
      <c r="K162">
        <v>0.02</v>
      </c>
      <c r="L162">
        <v>0.38</v>
      </c>
      <c r="M162">
        <v>1.75</v>
      </c>
      <c r="N162">
        <v>-0.13020000000000001</v>
      </c>
      <c r="O162" s="1" t="s">
        <v>87</v>
      </c>
      <c r="P162" s="1" t="s">
        <v>698</v>
      </c>
      <c r="Q162" s="1" t="s">
        <v>699</v>
      </c>
      <c r="R162" s="1" t="s">
        <v>90</v>
      </c>
      <c r="S162" s="1" t="s">
        <v>700</v>
      </c>
      <c r="T162" s="1" t="s">
        <v>701</v>
      </c>
      <c r="U162" s="2" t="s">
        <v>702</v>
      </c>
      <c r="V162" s="2" t="s">
        <v>47</v>
      </c>
      <c r="W162" s="2" t="s">
        <v>203</v>
      </c>
      <c r="X162" s="2">
        <v>12.914999999999999</v>
      </c>
    </row>
    <row r="163" spans="1:24" x14ac:dyDescent="0.3">
      <c r="A163">
        <v>18067</v>
      </c>
      <c r="B163" t="s">
        <v>697</v>
      </c>
      <c r="C163" s="3">
        <v>41298</v>
      </c>
      <c r="D163" t="s">
        <v>39</v>
      </c>
      <c r="E163">
        <v>1</v>
      </c>
      <c r="F163" s="3">
        <f ca="1">41300+(RANDBETWEEN(1,10))</f>
        <v>41309</v>
      </c>
      <c r="G163" t="s">
        <v>26</v>
      </c>
      <c r="H163" t="s">
        <v>96</v>
      </c>
      <c r="I163" t="s">
        <v>28</v>
      </c>
      <c r="J163">
        <v>13.72</v>
      </c>
      <c r="K163">
        <v>0.09</v>
      </c>
      <c r="L163">
        <v>0.44</v>
      </c>
      <c r="M163">
        <v>2.4500000000000002</v>
      </c>
      <c r="N163">
        <v>-6.9005999999999998</v>
      </c>
      <c r="O163" s="1" t="s">
        <v>87</v>
      </c>
      <c r="P163" s="1" t="s">
        <v>698</v>
      </c>
      <c r="Q163" s="1" t="s">
        <v>699</v>
      </c>
      <c r="R163" s="1" t="s">
        <v>90</v>
      </c>
      <c r="S163" s="1" t="s">
        <v>700</v>
      </c>
      <c r="T163" s="1" t="s">
        <v>701</v>
      </c>
      <c r="U163" s="2" t="s">
        <v>703</v>
      </c>
      <c r="V163" s="2" t="s">
        <v>47</v>
      </c>
      <c r="W163" s="2" t="s">
        <v>104</v>
      </c>
      <c r="X163" s="2">
        <v>13.475</v>
      </c>
    </row>
    <row r="164" spans="1:24" x14ac:dyDescent="0.3">
      <c r="A164">
        <v>18068</v>
      </c>
      <c r="B164" t="s">
        <v>704</v>
      </c>
      <c r="C164" s="3">
        <v>41988</v>
      </c>
      <c r="D164" t="s">
        <v>50</v>
      </c>
      <c r="E164">
        <v>23</v>
      </c>
      <c r="F164" s="3">
        <f ca="1">41991+(RANDBETWEEN(1,10))</f>
        <v>41999</v>
      </c>
      <c r="G164" t="s">
        <v>26</v>
      </c>
      <c r="H164" t="s">
        <v>281</v>
      </c>
      <c r="I164" t="s">
        <v>97</v>
      </c>
      <c r="J164">
        <v>906.39499999999998</v>
      </c>
      <c r="K164">
        <v>0.06</v>
      </c>
      <c r="L164">
        <v>0.5</v>
      </c>
      <c r="M164">
        <v>24.36</v>
      </c>
      <c r="N164">
        <v>-111.40248</v>
      </c>
      <c r="O164" s="1" t="s">
        <v>40</v>
      </c>
      <c r="P164" s="1" t="s">
        <v>705</v>
      </c>
      <c r="Q164" s="1" t="s">
        <v>706</v>
      </c>
      <c r="R164" s="1" t="s">
        <v>220</v>
      </c>
      <c r="S164" s="1" t="s">
        <v>707</v>
      </c>
      <c r="T164" s="1" t="s">
        <v>708</v>
      </c>
      <c r="U164" s="2" t="s">
        <v>709</v>
      </c>
      <c r="V164" s="2" t="s">
        <v>47</v>
      </c>
      <c r="W164" s="2" t="s">
        <v>71</v>
      </c>
      <c r="X164" s="2">
        <v>40.950000000000003</v>
      </c>
    </row>
    <row r="165" spans="1:24" x14ac:dyDescent="0.3">
      <c r="A165">
        <v>18069</v>
      </c>
      <c r="B165" t="s">
        <v>710</v>
      </c>
      <c r="C165" s="3">
        <v>41178</v>
      </c>
      <c r="D165" t="s">
        <v>25</v>
      </c>
      <c r="E165">
        <v>9</v>
      </c>
      <c r="F165" s="3">
        <f ca="1">41183+(RANDBETWEEN(1,10))</f>
        <v>41185</v>
      </c>
      <c r="G165" t="s">
        <v>156</v>
      </c>
      <c r="H165" t="s">
        <v>27</v>
      </c>
      <c r="I165" t="s">
        <v>52</v>
      </c>
      <c r="J165">
        <v>1821.75</v>
      </c>
      <c r="K165">
        <v>0.01</v>
      </c>
      <c r="L165">
        <v>0.59</v>
      </c>
      <c r="M165">
        <v>26.914999999999999</v>
      </c>
      <c r="N165">
        <v>309.834</v>
      </c>
      <c r="O165" s="1" t="s">
        <v>225</v>
      </c>
      <c r="P165" s="1" t="s">
        <v>711</v>
      </c>
      <c r="Q165" s="1" t="s">
        <v>712</v>
      </c>
      <c r="R165" s="1" t="s">
        <v>391</v>
      </c>
      <c r="S165" s="1" t="s">
        <v>713</v>
      </c>
      <c r="T165" s="1" t="s">
        <v>714</v>
      </c>
      <c r="U165" s="2">
        <v>5190</v>
      </c>
      <c r="V165" s="2" t="s">
        <v>36</v>
      </c>
      <c r="W165" s="2" t="s">
        <v>37</v>
      </c>
      <c r="X165" s="2">
        <v>230.965</v>
      </c>
    </row>
    <row r="166" spans="1:24" x14ac:dyDescent="0.3">
      <c r="A166">
        <v>18070</v>
      </c>
      <c r="B166" t="s">
        <v>715</v>
      </c>
      <c r="C166" s="3">
        <v>40579</v>
      </c>
      <c r="D166" t="s">
        <v>148</v>
      </c>
      <c r="E166">
        <v>10</v>
      </c>
      <c r="F166" s="3">
        <f ca="1">40580+(RANDBETWEEN(1,10))</f>
        <v>40589</v>
      </c>
      <c r="G166" t="s">
        <v>76</v>
      </c>
      <c r="H166" t="s">
        <v>77</v>
      </c>
      <c r="I166" t="s">
        <v>86</v>
      </c>
      <c r="J166">
        <v>13695.57</v>
      </c>
      <c r="K166">
        <v>7.0000000000000007E-2</v>
      </c>
      <c r="L166">
        <v>0.38</v>
      </c>
      <c r="M166">
        <v>98.49</v>
      </c>
      <c r="N166">
        <v>9449.9433000000008</v>
      </c>
      <c r="O166" s="1" t="s">
        <v>87</v>
      </c>
      <c r="P166" s="1" t="s">
        <v>716</v>
      </c>
      <c r="Q166" s="1" t="s">
        <v>717</v>
      </c>
      <c r="R166" s="1" t="s">
        <v>646</v>
      </c>
      <c r="S166" s="1" t="s">
        <v>718</v>
      </c>
      <c r="T166" s="1" t="s">
        <v>719</v>
      </c>
      <c r="U166" s="2" t="s">
        <v>720</v>
      </c>
      <c r="V166" s="2" t="s">
        <v>36</v>
      </c>
      <c r="W166" s="2" t="s">
        <v>142</v>
      </c>
      <c r="X166" s="2">
        <v>1753.43</v>
      </c>
    </row>
    <row r="167" spans="1:24" x14ac:dyDescent="0.3">
      <c r="A167">
        <v>18071</v>
      </c>
      <c r="B167" t="s">
        <v>715</v>
      </c>
      <c r="C167" s="3">
        <v>40579</v>
      </c>
      <c r="D167" t="s">
        <v>148</v>
      </c>
      <c r="E167">
        <v>1</v>
      </c>
      <c r="F167" s="3">
        <f ca="1">40581+(RANDBETWEEN(1,10))</f>
        <v>40586</v>
      </c>
      <c r="G167" t="s">
        <v>26</v>
      </c>
      <c r="H167" t="s">
        <v>27</v>
      </c>
      <c r="I167" t="s">
        <v>86</v>
      </c>
      <c r="J167">
        <v>630.49</v>
      </c>
      <c r="K167">
        <v>0.1</v>
      </c>
      <c r="L167">
        <v>0.55000000000000004</v>
      </c>
      <c r="M167">
        <v>69.965000000000003</v>
      </c>
      <c r="N167">
        <v>-598.42999999999995</v>
      </c>
      <c r="O167" s="1" t="s">
        <v>87</v>
      </c>
      <c r="P167" s="1" t="s">
        <v>716</v>
      </c>
      <c r="Q167" s="1" t="s">
        <v>717</v>
      </c>
      <c r="R167" s="1" t="s">
        <v>646</v>
      </c>
      <c r="S167" s="1" t="s">
        <v>718</v>
      </c>
      <c r="T167" s="1" t="s">
        <v>719</v>
      </c>
      <c r="U167" s="2" t="s">
        <v>721</v>
      </c>
      <c r="V167" s="2" t="s">
        <v>47</v>
      </c>
      <c r="W167" s="2" t="s">
        <v>119</v>
      </c>
      <c r="X167" s="2">
        <v>624.64499999999998</v>
      </c>
    </row>
    <row r="168" spans="1:24" x14ac:dyDescent="0.3">
      <c r="A168">
        <v>18072</v>
      </c>
      <c r="B168" t="s">
        <v>722</v>
      </c>
      <c r="C168" s="3">
        <v>41577</v>
      </c>
      <c r="D168" t="s">
        <v>50</v>
      </c>
      <c r="E168">
        <v>4</v>
      </c>
      <c r="F168" s="3">
        <f ca="1">41577+(RANDBETWEEN(1,10))</f>
        <v>41585</v>
      </c>
      <c r="G168" t="s">
        <v>26</v>
      </c>
      <c r="H168" t="s">
        <v>27</v>
      </c>
      <c r="I168" t="s">
        <v>86</v>
      </c>
      <c r="J168">
        <v>75.775000000000006</v>
      </c>
      <c r="K168">
        <v>0.09</v>
      </c>
      <c r="L168">
        <v>0.38</v>
      </c>
      <c r="M168">
        <v>17.010000000000002</v>
      </c>
      <c r="N168">
        <v>-78.208200000000005</v>
      </c>
      <c r="O168" s="1" t="s">
        <v>40</v>
      </c>
      <c r="P168" s="1" t="s">
        <v>723</v>
      </c>
      <c r="Q168" s="1" t="s">
        <v>724</v>
      </c>
      <c r="R168" s="1" t="s">
        <v>43</v>
      </c>
      <c r="S168" s="1" t="s">
        <v>725</v>
      </c>
      <c r="T168" s="1" t="s">
        <v>726</v>
      </c>
      <c r="U168" s="2" t="s">
        <v>727</v>
      </c>
      <c r="V168" s="2" t="s">
        <v>47</v>
      </c>
      <c r="W168" s="2" t="s">
        <v>74</v>
      </c>
      <c r="X168" s="2">
        <v>17.43</v>
      </c>
    </row>
    <row r="169" spans="1:24" x14ac:dyDescent="0.3">
      <c r="A169">
        <v>18073</v>
      </c>
      <c r="B169" t="s">
        <v>722</v>
      </c>
      <c r="C169" s="3">
        <v>41577</v>
      </c>
      <c r="D169" t="s">
        <v>50</v>
      </c>
      <c r="E169">
        <v>3</v>
      </c>
      <c r="F169" s="3">
        <f ca="1">41579+(RANDBETWEEN(1,10))</f>
        <v>41580</v>
      </c>
      <c r="G169" t="s">
        <v>26</v>
      </c>
      <c r="H169" t="s">
        <v>27</v>
      </c>
      <c r="I169" t="s">
        <v>86</v>
      </c>
      <c r="J169">
        <v>72.974999999999994</v>
      </c>
      <c r="K169">
        <v>0.03</v>
      </c>
      <c r="L169">
        <v>0.36</v>
      </c>
      <c r="M169">
        <v>18.795000000000002</v>
      </c>
      <c r="N169">
        <v>-55.036799999999999</v>
      </c>
      <c r="O169" s="1" t="s">
        <v>40</v>
      </c>
      <c r="P169" s="1" t="s">
        <v>723</v>
      </c>
      <c r="Q169" s="1" t="s">
        <v>724</v>
      </c>
      <c r="R169" s="1" t="s">
        <v>43</v>
      </c>
      <c r="S169" s="1" t="s">
        <v>725</v>
      </c>
      <c r="T169" s="1" t="s">
        <v>726</v>
      </c>
      <c r="U169" s="2" t="s">
        <v>728</v>
      </c>
      <c r="V169" s="2" t="s">
        <v>47</v>
      </c>
      <c r="W169" s="2" t="s">
        <v>74</v>
      </c>
      <c r="X169" s="2">
        <v>20.23</v>
      </c>
    </row>
    <row r="170" spans="1:24" x14ac:dyDescent="0.3">
      <c r="A170">
        <v>18074</v>
      </c>
      <c r="B170" t="s">
        <v>729</v>
      </c>
      <c r="C170" s="3">
        <v>41506</v>
      </c>
      <c r="D170" t="s">
        <v>148</v>
      </c>
      <c r="E170">
        <v>11</v>
      </c>
      <c r="F170" s="3">
        <f ca="1">41508+(RANDBETWEEN(1,10))</f>
        <v>41516</v>
      </c>
      <c r="G170" t="s">
        <v>26</v>
      </c>
      <c r="H170" t="s">
        <v>27</v>
      </c>
      <c r="I170" t="s">
        <v>28</v>
      </c>
      <c r="J170">
        <v>2034.2</v>
      </c>
      <c r="K170">
        <v>0.09</v>
      </c>
      <c r="L170">
        <v>0.59</v>
      </c>
      <c r="M170">
        <v>69.965000000000003</v>
      </c>
      <c r="N170">
        <v>-518.01750000000004</v>
      </c>
      <c r="O170" s="1" t="s">
        <v>64</v>
      </c>
      <c r="P170" s="1" t="s">
        <v>526</v>
      </c>
      <c r="Q170" s="1" t="s">
        <v>527</v>
      </c>
      <c r="R170" s="1" t="s">
        <v>128</v>
      </c>
      <c r="S170" s="1" t="s">
        <v>528</v>
      </c>
      <c r="T170" s="1" t="s">
        <v>529</v>
      </c>
      <c r="U170" s="2" t="s">
        <v>730</v>
      </c>
      <c r="V170" s="2" t="s">
        <v>36</v>
      </c>
      <c r="W170" s="2" t="s">
        <v>37</v>
      </c>
      <c r="X170" s="2">
        <v>230.965</v>
      </c>
    </row>
    <row r="171" spans="1:24" x14ac:dyDescent="0.3">
      <c r="A171">
        <v>18075</v>
      </c>
      <c r="B171" t="s">
        <v>731</v>
      </c>
      <c r="C171" s="3">
        <v>41474</v>
      </c>
      <c r="D171" t="s">
        <v>39</v>
      </c>
      <c r="E171">
        <v>15</v>
      </c>
      <c r="F171" s="3">
        <f ca="1">41476+(RANDBETWEEN(1,10))</f>
        <v>41483</v>
      </c>
      <c r="G171" t="s">
        <v>26</v>
      </c>
      <c r="H171" t="s">
        <v>27</v>
      </c>
      <c r="I171" t="s">
        <v>28</v>
      </c>
      <c r="J171">
        <v>416.15</v>
      </c>
      <c r="K171">
        <v>0.02</v>
      </c>
      <c r="L171">
        <v>0.56000000000000005</v>
      </c>
      <c r="M171">
        <v>18.234999999999999</v>
      </c>
      <c r="N171">
        <v>-171.39500000000001</v>
      </c>
      <c r="O171" s="1" t="s">
        <v>87</v>
      </c>
      <c r="P171" s="1" t="s">
        <v>732</v>
      </c>
      <c r="Q171" s="1" t="s">
        <v>733</v>
      </c>
      <c r="R171" s="1" t="s">
        <v>398</v>
      </c>
      <c r="S171" s="1" t="s">
        <v>734</v>
      </c>
      <c r="T171" s="1" t="s">
        <v>735</v>
      </c>
      <c r="U171" s="2" t="s">
        <v>256</v>
      </c>
      <c r="V171" s="2" t="s">
        <v>83</v>
      </c>
      <c r="W171" s="2" t="s">
        <v>178</v>
      </c>
      <c r="X171" s="2">
        <v>25.83</v>
      </c>
    </row>
    <row r="172" spans="1:24" x14ac:dyDescent="0.3">
      <c r="A172">
        <v>18076</v>
      </c>
      <c r="B172" t="s">
        <v>736</v>
      </c>
      <c r="C172" s="3">
        <v>41337</v>
      </c>
      <c r="D172" t="s">
        <v>50</v>
      </c>
      <c r="E172">
        <v>8</v>
      </c>
      <c r="F172" s="3">
        <f ca="1">41338+(RANDBETWEEN(1,10))</f>
        <v>41348</v>
      </c>
      <c r="G172" t="s">
        <v>156</v>
      </c>
      <c r="H172" t="s">
        <v>51</v>
      </c>
      <c r="I172" t="s">
        <v>52</v>
      </c>
      <c r="J172">
        <v>966.28</v>
      </c>
      <c r="K172">
        <v>0.05</v>
      </c>
      <c r="L172">
        <v>0.56000000000000005</v>
      </c>
      <c r="M172">
        <v>31.465</v>
      </c>
      <c r="N172">
        <v>382.65499999999997</v>
      </c>
      <c r="O172" s="1" t="s">
        <v>53</v>
      </c>
      <c r="P172" s="1" t="s">
        <v>737</v>
      </c>
      <c r="Q172" s="1" t="s">
        <v>738</v>
      </c>
      <c r="R172" s="1" t="s">
        <v>440</v>
      </c>
      <c r="S172" s="1" t="s">
        <v>739</v>
      </c>
      <c r="T172" s="1" t="s">
        <v>740</v>
      </c>
      <c r="U172" s="2" t="s">
        <v>741</v>
      </c>
      <c r="V172" s="2" t="s">
        <v>47</v>
      </c>
      <c r="W172" s="2" t="s">
        <v>104</v>
      </c>
      <c r="X172" s="2">
        <v>121.03</v>
      </c>
    </row>
    <row r="173" spans="1:24" x14ac:dyDescent="0.3">
      <c r="A173">
        <v>18077</v>
      </c>
      <c r="B173" t="s">
        <v>736</v>
      </c>
      <c r="C173" s="3">
        <v>41337</v>
      </c>
      <c r="D173" t="s">
        <v>50</v>
      </c>
      <c r="E173">
        <v>10</v>
      </c>
      <c r="F173" s="3">
        <f ca="1">41339+(RANDBETWEEN(1,10))</f>
        <v>41343</v>
      </c>
      <c r="G173" t="s">
        <v>26</v>
      </c>
      <c r="H173" t="s">
        <v>27</v>
      </c>
      <c r="I173" t="s">
        <v>52</v>
      </c>
      <c r="J173">
        <v>543.72500000000002</v>
      </c>
      <c r="K173">
        <v>0.05</v>
      </c>
      <c r="L173">
        <v>0.6</v>
      </c>
      <c r="M173">
        <v>39.375</v>
      </c>
      <c r="N173">
        <v>-738.95500000000004</v>
      </c>
      <c r="O173" s="1" t="s">
        <v>53</v>
      </c>
      <c r="P173" s="1" t="s">
        <v>737</v>
      </c>
      <c r="Q173" s="1" t="s">
        <v>738</v>
      </c>
      <c r="R173" s="1" t="s">
        <v>440</v>
      </c>
      <c r="S173" s="1" t="s">
        <v>739</v>
      </c>
      <c r="T173" s="1" t="s">
        <v>740</v>
      </c>
      <c r="U173" s="2" t="s">
        <v>742</v>
      </c>
      <c r="V173" s="2" t="s">
        <v>47</v>
      </c>
      <c r="W173" s="2" t="s">
        <v>119</v>
      </c>
      <c r="X173" s="2">
        <v>54.95</v>
      </c>
    </row>
    <row r="174" spans="1:24" x14ac:dyDescent="0.3">
      <c r="A174">
        <v>18078</v>
      </c>
      <c r="B174" t="s">
        <v>743</v>
      </c>
      <c r="C174" s="3">
        <v>41634</v>
      </c>
      <c r="D174" t="s">
        <v>25</v>
      </c>
      <c r="E174">
        <v>21</v>
      </c>
      <c r="F174" s="3">
        <f ca="1">41636+(RANDBETWEEN(1,10))</f>
        <v>41642</v>
      </c>
      <c r="G174" t="s">
        <v>26</v>
      </c>
      <c r="H174" t="s">
        <v>96</v>
      </c>
      <c r="I174" t="s">
        <v>86</v>
      </c>
      <c r="J174">
        <v>409.85</v>
      </c>
      <c r="K174">
        <v>0.09</v>
      </c>
      <c r="L174">
        <v>0.35</v>
      </c>
      <c r="M174">
        <v>6.37</v>
      </c>
      <c r="N174">
        <v>282.79649999999998</v>
      </c>
      <c r="O174" s="1" t="s">
        <v>29</v>
      </c>
      <c r="P174" s="1" t="s">
        <v>744</v>
      </c>
      <c r="Q174" s="1" t="s">
        <v>745</v>
      </c>
      <c r="R174" s="1" t="s">
        <v>675</v>
      </c>
      <c r="S174" s="1" t="s">
        <v>746</v>
      </c>
      <c r="T174" s="1" t="s">
        <v>747</v>
      </c>
      <c r="U174" s="2" t="s">
        <v>748</v>
      </c>
      <c r="V174" s="2" t="s">
        <v>47</v>
      </c>
      <c r="W174" s="2" t="s">
        <v>176</v>
      </c>
      <c r="X174" s="2">
        <v>21.28</v>
      </c>
    </row>
    <row r="175" spans="1:24" x14ac:dyDescent="0.3">
      <c r="A175">
        <v>18079</v>
      </c>
      <c r="B175" t="s">
        <v>749</v>
      </c>
      <c r="C175" s="3">
        <v>41919</v>
      </c>
      <c r="D175" t="s">
        <v>39</v>
      </c>
      <c r="E175">
        <v>23</v>
      </c>
      <c r="F175" s="3">
        <f ca="1">41921+(RANDBETWEEN(1,10))</f>
        <v>41923</v>
      </c>
      <c r="G175" t="s">
        <v>26</v>
      </c>
      <c r="H175" t="s">
        <v>27</v>
      </c>
      <c r="I175" t="s">
        <v>97</v>
      </c>
      <c r="J175">
        <v>8250.0949999999993</v>
      </c>
      <c r="K175">
        <v>0.01</v>
      </c>
      <c r="L175">
        <v>0.56999999999999995</v>
      </c>
      <c r="M175">
        <v>18.41</v>
      </c>
      <c r="N175">
        <v>4991.8995000000004</v>
      </c>
      <c r="O175" s="1" t="s">
        <v>225</v>
      </c>
      <c r="P175" s="1" t="s">
        <v>750</v>
      </c>
      <c r="Q175" s="1" t="s">
        <v>751</v>
      </c>
      <c r="R175" s="1" t="s">
        <v>391</v>
      </c>
      <c r="S175" s="1" t="s">
        <v>752</v>
      </c>
      <c r="T175" s="1" t="s">
        <v>753</v>
      </c>
      <c r="U175" s="2">
        <v>636</v>
      </c>
      <c r="V175" s="2" t="s">
        <v>36</v>
      </c>
      <c r="W175" s="2" t="s">
        <v>37</v>
      </c>
      <c r="X175" s="2">
        <v>405.96499999999997</v>
      </c>
    </row>
    <row r="176" spans="1:24" x14ac:dyDescent="0.3">
      <c r="A176">
        <v>1808</v>
      </c>
      <c r="B176" t="s">
        <v>754</v>
      </c>
      <c r="C176" s="3">
        <v>41602</v>
      </c>
      <c r="D176" t="s">
        <v>39</v>
      </c>
      <c r="E176">
        <v>167</v>
      </c>
      <c r="F176" s="3">
        <f ca="1">41603+(RANDBETWEEN(1,10))</f>
        <v>41607</v>
      </c>
      <c r="G176" t="s">
        <v>26</v>
      </c>
      <c r="H176" t="s">
        <v>27</v>
      </c>
      <c r="I176" t="s">
        <v>28</v>
      </c>
      <c r="J176">
        <v>13689.69</v>
      </c>
      <c r="K176">
        <v>0.06</v>
      </c>
      <c r="L176">
        <v>0.55000000000000004</v>
      </c>
      <c r="M176">
        <v>15.75</v>
      </c>
      <c r="N176">
        <v>916.54499999999996</v>
      </c>
      <c r="O176" s="1" t="s">
        <v>64</v>
      </c>
      <c r="P176" s="1" t="s">
        <v>214</v>
      </c>
      <c r="Q176" s="1" t="s">
        <v>215</v>
      </c>
      <c r="R176" s="1" t="s">
        <v>67</v>
      </c>
      <c r="S176" s="1" t="s">
        <v>68</v>
      </c>
      <c r="T176" s="1" t="s">
        <v>69</v>
      </c>
      <c r="U176" s="2" t="s">
        <v>755</v>
      </c>
      <c r="V176" s="2" t="s">
        <v>47</v>
      </c>
      <c r="W176" s="2" t="s">
        <v>71</v>
      </c>
      <c r="X176" s="2">
        <v>80.430000000000007</v>
      </c>
    </row>
    <row r="177" spans="1:24" x14ac:dyDescent="0.3">
      <c r="A177">
        <v>18080</v>
      </c>
      <c r="B177" t="s">
        <v>756</v>
      </c>
      <c r="C177" s="3">
        <v>41465</v>
      </c>
      <c r="D177" t="s">
        <v>39</v>
      </c>
      <c r="E177">
        <v>10</v>
      </c>
      <c r="F177" s="3">
        <f ca="1">41467+(RANDBETWEEN(1,10))</f>
        <v>41477</v>
      </c>
      <c r="G177" t="s">
        <v>26</v>
      </c>
      <c r="H177" t="s">
        <v>27</v>
      </c>
      <c r="I177" t="s">
        <v>28</v>
      </c>
      <c r="J177">
        <v>5793.375</v>
      </c>
      <c r="K177">
        <v>0.08</v>
      </c>
      <c r="L177">
        <v>0.57999999999999996</v>
      </c>
      <c r="M177">
        <v>13.965</v>
      </c>
      <c r="N177">
        <v>3997.42875</v>
      </c>
      <c r="O177" s="1" t="s">
        <v>29</v>
      </c>
      <c r="P177" s="1" t="s">
        <v>757</v>
      </c>
      <c r="Q177" s="1" t="s">
        <v>758</v>
      </c>
      <c r="R177" s="1" t="s">
        <v>675</v>
      </c>
      <c r="S177" s="1" t="s">
        <v>759</v>
      </c>
      <c r="T177" s="1" t="s">
        <v>760</v>
      </c>
      <c r="U177" s="2" t="s">
        <v>761</v>
      </c>
      <c r="V177" s="2" t="s">
        <v>36</v>
      </c>
      <c r="W177" s="2" t="s">
        <v>37</v>
      </c>
      <c r="X177" s="2">
        <v>685.96500000000003</v>
      </c>
    </row>
    <row r="178" spans="1:24" x14ac:dyDescent="0.3">
      <c r="A178">
        <v>18081</v>
      </c>
      <c r="B178" t="s">
        <v>762</v>
      </c>
      <c r="C178" s="3">
        <v>41868</v>
      </c>
      <c r="D178" t="s">
        <v>62</v>
      </c>
      <c r="E178">
        <v>10</v>
      </c>
      <c r="F178" s="3">
        <f ca="1">41869+(RANDBETWEEN(1,10))</f>
        <v>41879</v>
      </c>
      <c r="G178" t="s">
        <v>26</v>
      </c>
      <c r="H178" t="s">
        <v>27</v>
      </c>
      <c r="I178" t="s">
        <v>28</v>
      </c>
      <c r="J178">
        <v>387.59</v>
      </c>
      <c r="K178">
        <v>7.0000000000000007E-2</v>
      </c>
      <c r="L178">
        <v>0.59</v>
      </c>
      <c r="M178">
        <v>15.75</v>
      </c>
      <c r="N178">
        <v>562.10699999999997</v>
      </c>
      <c r="O178" s="1" t="s">
        <v>64</v>
      </c>
      <c r="P178" s="1" t="s">
        <v>763</v>
      </c>
      <c r="Q178" s="1" t="s">
        <v>764</v>
      </c>
      <c r="R178" s="1" t="s">
        <v>67</v>
      </c>
      <c r="S178" s="1" t="s">
        <v>765</v>
      </c>
      <c r="T178" s="1" t="s">
        <v>766</v>
      </c>
      <c r="U178" s="2" t="s">
        <v>767</v>
      </c>
      <c r="V178" s="2" t="s">
        <v>47</v>
      </c>
      <c r="W178" s="2" t="s">
        <v>71</v>
      </c>
      <c r="X178" s="2">
        <v>38.115000000000002</v>
      </c>
    </row>
    <row r="179" spans="1:24" x14ac:dyDescent="0.3">
      <c r="A179">
        <v>18082</v>
      </c>
      <c r="B179" t="s">
        <v>768</v>
      </c>
      <c r="C179" s="3">
        <v>41413</v>
      </c>
      <c r="D179" t="s">
        <v>25</v>
      </c>
      <c r="E179">
        <v>2</v>
      </c>
      <c r="F179" s="3">
        <f ca="1">41413+(RANDBETWEEN(1,10))</f>
        <v>41415</v>
      </c>
      <c r="G179" t="s">
        <v>26</v>
      </c>
      <c r="H179" t="s">
        <v>63</v>
      </c>
      <c r="I179" t="s">
        <v>97</v>
      </c>
      <c r="J179">
        <v>1527.7850000000001</v>
      </c>
      <c r="K179">
        <v>0.06</v>
      </c>
      <c r="L179">
        <v>0.56999999999999995</v>
      </c>
      <c r="M179">
        <v>63.21</v>
      </c>
      <c r="N179">
        <v>-326.24200000000002</v>
      </c>
      <c r="O179" s="1" t="s">
        <v>87</v>
      </c>
      <c r="P179" s="1" t="s">
        <v>769</v>
      </c>
      <c r="Q179" s="1" t="s">
        <v>770</v>
      </c>
      <c r="R179" s="1" t="s">
        <v>398</v>
      </c>
      <c r="S179" s="1" t="s">
        <v>771</v>
      </c>
      <c r="T179" s="1" t="s">
        <v>772</v>
      </c>
      <c r="U179" s="2" t="s">
        <v>773</v>
      </c>
      <c r="V179" s="2" t="s">
        <v>83</v>
      </c>
      <c r="W179" s="2" t="s">
        <v>84</v>
      </c>
      <c r="X179" s="2">
        <v>763.28</v>
      </c>
    </row>
    <row r="180" spans="1:24" x14ac:dyDescent="0.3">
      <c r="A180">
        <v>18083</v>
      </c>
      <c r="B180" t="s">
        <v>768</v>
      </c>
      <c r="C180" s="3">
        <v>41413</v>
      </c>
      <c r="D180" t="s">
        <v>25</v>
      </c>
      <c r="E180">
        <v>19</v>
      </c>
      <c r="F180" s="3">
        <f ca="1">41415+(RANDBETWEEN(1,10))</f>
        <v>41420</v>
      </c>
      <c r="G180" t="s">
        <v>156</v>
      </c>
      <c r="H180" t="s">
        <v>27</v>
      </c>
      <c r="I180" t="s">
        <v>97</v>
      </c>
      <c r="J180">
        <v>1117.165</v>
      </c>
      <c r="K180">
        <v>0.01</v>
      </c>
      <c r="L180">
        <v>0.57999999999999996</v>
      </c>
      <c r="M180">
        <v>37.380000000000003</v>
      </c>
      <c r="N180">
        <v>-1078.2405900000001</v>
      </c>
      <c r="O180" s="1" t="s">
        <v>87</v>
      </c>
      <c r="P180" s="1" t="s">
        <v>769</v>
      </c>
      <c r="Q180" s="1" t="s">
        <v>770</v>
      </c>
      <c r="R180" s="1" t="s">
        <v>398</v>
      </c>
      <c r="S180" s="1" t="s">
        <v>771</v>
      </c>
      <c r="T180" s="1" t="s">
        <v>772</v>
      </c>
      <c r="U180" s="2" t="s">
        <v>543</v>
      </c>
      <c r="V180" s="2" t="s">
        <v>47</v>
      </c>
      <c r="W180" s="2" t="s">
        <v>119</v>
      </c>
      <c r="X180" s="2">
        <v>53.97</v>
      </c>
    </row>
    <row r="181" spans="1:24" x14ac:dyDescent="0.3">
      <c r="A181">
        <v>18084</v>
      </c>
      <c r="B181" t="s">
        <v>774</v>
      </c>
      <c r="C181" s="3">
        <v>41394</v>
      </c>
      <c r="D181" t="s">
        <v>39</v>
      </c>
      <c r="E181">
        <v>9</v>
      </c>
      <c r="F181" s="3">
        <f ca="1">41394+(RANDBETWEEN(1,10))</f>
        <v>41402</v>
      </c>
      <c r="G181" t="s">
        <v>76</v>
      </c>
      <c r="H181" t="s">
        <v>77</v>
      </c>
      <c r="I181" t="s">
        <v>97</v>
      </c>
      <c r="J181">
        <v>5190.7449999999999</v>
      </c>
      <c r="K181">
        <v>0</v>
      </c>
      <c r="L181">
        <v>0.77</v>
      </c>
      <c r="M181">
        <v>210.7</v>
      </c>
      <c r="N181">
        <v>-2395.9949999999999</v>
      </c>
      <c r="O181" s="1" t="s">
        <v>40</v>
      </c>
      <c r="P181" s="1" t="s">
        <v>775</v>
      </c>
      <c r="Q181" s="1" t="s">
        <v>776</v>
      </c>
      <c r="R181" s="1" t="s">
        <v>220</v>
      </c>
      <c r="S181" s="1" t="s">
        <v>777</v>
      </c>
      <c r="T181" s="1" t="s">
        <v>778</v>
      </c>
      <c r="U181" s="2" t="s">
        <v>779</v>
      </c>
      <c r="V181" s="2" t="s">
        <v>83</v>
      </c>
      <c r="W181" s="2" t="s">
        <v>84</v>
      </c>
      <c r="X181" s="2">
        <v>528.11500000000001</v>
      </c>
    </row>
    <row r="182" spans="1:24" x14ac:dyDescent="0.3">
      <c r="A182">
        <v>18085</v>
      </c>
      <c r="B182" t="s">
        <v>780</v>
      </c>
      <c r="C182" s="3">
        <v>41149</v>
      </c>
      <c r="D182" t="s">
        <v>50</v>
      </c>
      <c r="E182">
        <v>9</v>
      </c>
      <c r="F182" s="3">
        <f ca="1">41151+(RANDBETWEEN(1,10))</f>
        <v>41154</v>
      </c>
      <c r="G182" t="s">
        <v>26</v>
      </c>
      <c r="H182" t="s">
        <v>281</v>
      </c>
      <c r="I182" t="s">
        <v>52</v>
      </c>
      <c r="J182">
        <v>653.66</v>
      </c>
      <c r="K182">
        <v>0.08</v>
      </c>
      <c r="L182">
        <v>0.5</v>
      </c>
      <c r="M182">
        <v>20.79</v>
      </c>
      <c r="N182">
        <v>160.26920000000001</v>
      </c>
      <c r="O182" s="1" t="s">
        <v>40</v>
      </c>
      <c r="P182" s="1" t="s">
        <v>781</v>
      </c>
      <c r="Q182" s="1" t="s">
        <v>782</v>
      </c>
      <c r="R182" s="1" t="s">
        <v>43</v>
      </c>
      <c r="S182" s="1" t="s">
        <v>783</v>
      </c>
      <c r="T182" s="1" t="s">
        <v>784</v>
      </c>
      <c r="U182" s="2" t="s">
        <v>785</v>
      </c>
      <c r="V182" s="2" t="s">
        <v>47</v>
      </c>
      <c r="W182" s="2" t="s">
        <v>71</v>
      </c>
      <c r="X182" s="2">
        <v>76.23</v>
      </c>
    </row>
    <row r="183" spans="1:24" x14ac:dyDescent="0.3">
      <c r="A183">
        <v>18086</v>
      </c>
      <c r="B183" t="s">
        <v>780</v>
      </c>
      <c r="C183" s="3">
        <v>41149</v>
      </c>
      <c r="D183" t="s">
        <v>50</v>
      </c>
      <c r="E183">
        <v>9</v>
      </c>
      <c r="F183" s="3">
        <f ca="1">41151+(RANDBETWEEN(1,10))</f>
        <v>41158</v>
      </c>
      <c r="G183" t="s">
        <v>26</v>
      </c>
      <c r="H183" t="s">
        <v>51</v>
      </c>
      <c r="I183" t="s">
        <v>52</v>
      </c>
      <c r="J183">
        <v>220.04499999999999</v>
      </c>
      <c r="K183">
        <v>0.05</v>
      </c>
      <c r="L183">
        <v>0.37</v>
      </c>
      <c r="M183">
        <v>17.324999999999999</v>
      </c>
      <c r="N183">
        <v>22.947399999999998</v>
      </c>
      <c r="O183" s="1" t="s">
        <v>64</v>
      </c>
      <c r="P183" s="1" t="s">
        <v>786</v>
      </c>
      <c r="Q183" s="1" t="s">
        <v>787</v>
      </c>
      <c r="R183" s="1" t="s">
        <v>128</v>
      </c>
      <c r="S183" s="1" t="s">
        <v>788</v>
      </c>
      <c r="T183" s="1" t="s">
        <v>789</v>
      </c>
      <c r="U183" s="2" t="s">
        <v>790</v>
      </c>
      <c r="V183" s="2" t="s">
        <v>83</v>
      </c>
      <c r="W183" s="2" t="s">
        <v>178</v>
      </c>
      <c r="X183" s="2">
        <v>23.24</v>
      </c>
    </row>
    <row r="184" spans="1:24" x14ac:dyDescent="0.3">
      <c r="A184">
        <v>18087</v>
      </c>
      <c r="B184" t="s">
        <v>791</v>
      </c>
      <c r="C184" s="3">
        <v>40806</v>
      </c>
      <c r="D184" t="s">
        <v>62</v>
      </c>
      <c r="E184">
        <v>19</v>
      </c>
      <c r="F184" s="3">
        <f ca="1">40807+(RANDBETWEEN(1,10))</f>
        <v>40816</v>
      </c>
      <c r="G184" t="s">
        <v>26</v>
      </c>
      <c r="H184" t="s">
        <v>27</v>
      </c>
      <c r="I184" t="s">
        <v>97</v>
      </c>
      <c r="J184">
        <v>210.035</v>
      </c>
      <c r="K184">
        <v>0.04</v>
      </c>
      <c r="L184">
        <v>0.37</v>
      </c>
      <c r="M184">
        <v>3.4649999999999999</v>
      </c>
      <c r="N184">
        <v>48.3</v>
      </c>
      <c r="O184" s="1" t="s">
        <v>40</v>
      </c>
      <c r="P184" s="1" t="s">
        <v>792</v>
      </c>
      <c r="Q184" s="1" t="s">
        <v>793</v>
      </c>
      <c r="R184" s="1" t="s">
        <v>43</v>
      </c>
      <c r="S184" s="1" t="s">
        <v>794</v>
      </c>
      <c r="T184" s="1" t="s">
        <v>795</v>
      </c>
      <c r="U184" s="2" t="s">
        <v>796</v>
      </c>
      <c r="V184" s="2" t="s">
        <v>47</v>
      </c>
      <c r="W184" s="2" t="s">
        <v>203</v>
      </c>
      <c r="X184" s="2">
        <v>10.78</v>
      </c>
    </row>
    <row r="185" spans="1:24" x14ac:dyDescent="0.3">
      <c r="A185">
        <v>18088</v>
      </c>
      <c r="B185" t="s">
        <v>791</v>
      </c>
      <c r="C185" s="3">
        <v>40806</v>
      </c>
      <c r="D185" t="s">
        <v>62</v>
      </c>
      <c r="E185">
        <v>13</v>
      </c>
      <c r="F185" s="3">
        <f ca="1">40807+(RANDBETWEEN(1,10))</f>
        <v>40813</v>
      </c>
      <c r="G185" t="s">
        <v>26</v>
      </c>
      <c r="H185" t="s">
        <v>27</v>
      </c>
      <c r="I185" t="s">
        <v>97</v>
      </c>
      <c r="J185">
        <v>318.43</v>
      </c>
      <c r="K185">
        <v>0.02</v>
      </c>
      <c r="L185">
        <v>0.37</v>
      </c>
      <c r="M185">
        <v>20.65</v>
      </c>
      <c r="N185">
        <v>15.372</v>
      </c>
      <c r="O185" s="1" t="s">
        <v>40</v>
      </c>
      <c r="P185" s="1" t="s">
        <v>792</v>
      </c>
      <c r="Q185" s="1" t="s">
        <v>793</v>
      </c>
      <c r="R185" s="1" t="s">
        <v>43</v>
      </c>
      <c r="S185" s="1" t="s">
        <v>794</v>
      </c>
      <c r="T185" s="1" t="s">
        <v>795</v>
      </c>
      <c r="U185" s="2" t="s">
        <v>797</v>
      </c>
      <c r="V185" s="2" t="s">
        <v>47</v>
      </c>
      <c r="W185" s="2" t="s">
        <v>74</v>
      </c>
      <c r="X185" s="2">
        <v>22.68</v>
      </c>
    </row>
    <row r="186" spans="1:24" x14ac:dyDescent="0.3">
      <c r="A186">
        <v>18089</v>
      </c>
      <c r="B186" t="s">
        <v>791</v>
      </c>
      <c r="C186" s="3">
        <v>40806</v>
      </c>
      <c r="D186" t="s">
        <v>62</v>
      </c>
      <c r="E186">
        <v>12</v>
      </c>
      <c r="F186" s="3">
        <f ca="1">40808+(RANDBETWEEN(1,10))</f>
        <v>40812</v>
      </c>
      <c r="G186" t="s">
        <v>26</v>
      </c>
      <c r="H186" t="s">
        <v>27</v>
      </c>
      <c r="I186" t="s">
        <v>97</v>
      </c>
      <c r="J186">
        <v>4447.45</v>
      </c>
      <c r="K186">
        <v>0.04</v>
      </c>
      <c r="L186">
        <v>0.59</v>
      </c>
      <c r="M186">
        <v>14.7</v>
      </c>
      <c r="N186">
        <v>-826.875</v>
      </c>
      <c r="O186" s="1" t="s">
        <v>40</v>
      </c>
      <c r="P186" s="1" t="s">
        <v>792</v>
      </c>
      <c r="Q186" s="1" t="s">
        <v>793</v>
      </c>
      <c r="R186" s="1" t="s">
        <v>43</v>
      </c>
      <c r="S186" s="1" t="s">
        <v>794</v>
      </c>
      <c r="T186" s="1" t="s">
        <v>795</v>
      </c>
      <c r="U186" s="2" t="s">
        <v>798</v>
      </c>
      <c r="V186" s="2" t="s">
        <v>36</v>
      </c>
      <c r="W186" s="2" t="s">
        <v>37</v>
      </c>
      <c r="X186" s="2">
        <v>440.96499999999997</v>
      </c>
    </row>
    <row r="187" spans="1:24" x14ac:dyDescent="0.3">
      <c r="A187">
        <v>18090</v>
      </c>
      <c r="B187" t="s">
        <v>799</v>
      </c>
      <c r="C187" s="3">
        <v>41832</v>
      </c>
      <c r="D187" t="s">
        <v>62</v>
      </c>
      <c r="E187">
        <v>5</v>
      </c>
      <c r="F187" s="3">
        <f ca="1">41833+(RANDBETWEEN(1,10))</f>
        <v>41840</v>
      </c>
      <c r="G187" t="s">
        <v>26</v>
      </c>
      <c r="H187" t="s">
        <v>27</v>
      </c>
      <c r="I187" t="s">
        <v>52</v>
      </c>
      <c r="J187">
        <v>94.57</v>
      </c>
      <c r="K187">
        <v>0.03</v>
      </c>
      <c r="L187">
        <v>0.36</v>
      </c>
      <c r="M187">
        <v>26.04</v>
      </c>
      <c r="N187">
        <v>-190.72200000000001</v>
      </c>
      <c r="O187" s="1" t="s">
        <v>40</v>
      </c>
      <c r="P187" s="1" t="s">
        <v>800</v>
      </c>
      <c r="Q187" s="1" t="s">
        <v>801</v>
      </c>
      <c r="R187" s="1" t="s">
        <v>43</v>
      </c>
      <c r="S187" s="1" t="s">
        <v>802</v>
      </c>
      <c r="T187" s="1" t="s">
        <v>803</v>
      </c>
      <c r="U187" s="2" t="s">
        <v>131</v>
      </c>
      <c r="V187" s="2" t="s">
        <v>47</v>
      </c>
      <c r="W187" s="2" t="s">
        <v>74</v>
      </c>
      <c r="X187" s="2">
        <v>17.43</v>
      </c>
    </row>
    <row r="188" spans="1:24" x14ac:dyDescent="0.3">
      <c r="A188">
        <v>18091</v>
      </c>
      <c r="B188" t="s">
        <v>799</v>
      </c>
      <c r="C188" s="3">
        <v>41832</v>
      </c>
      <c r="D188" t="s">
        <v>62</v>
      </c>
      <c r="E188">
        <v>2</v>
      </c>
      <c r="F188" s="3">
        <f ca="1">41833+(RANDBETWEEN(1,10))</f>
        <v>41839</v>
      </c>
      <c r="G188" t="s">
        <v>26</v>
      </c>
      <c r="H188" t="s">
        <v>27</v>
      </c>
      <c r="I188" t="s">
        <v>52</v>
      </c>
      <c r="J188">
        <v>57.05</v>
      </c>
      <c r="K188">
        <v>0.05</v>
      </c>
      <c r="L188">
        <v>0.36</v>
      </c>
      <c r="M188">
        <v>30.59</v>
      </c>
      <c r="N188">
        <v>-88.003439999999998</v>
      </c>
      <c r="O188" s="1" t="s">
        <v>40</v>
      </c>
      <c r="P188" s="1" t="s">
        <v>800</v>
      </c>
      <c r="Q188" s="1" t="s">
        <v>801</v>
      </c>
      <c r="R188" s="1" t="s">
        <v>43</v>
      </c>
      <c r="S188" s="1" t="s">
        <v>802</v>
      </c>
      <c r="T188" s="1" t="s">
        <v>803</v>
      </c>
      <c r="U188" s="2" t="s">
        <v>578</v>
      </c>
      <c r="V188" s="2" t="s">
        <v>47</v>
      </c>
      <c r="W188" s="2" t="s">
        <v>74</v>
      </c>
      <c r="X188" s="2">
        <v>22.68</v>
      </c>
    </row>
    <row r="189" spans="1:24" x14ac:dyDescent="0.3">
      <c r="A189">
        <v>18092</v>
      </c>
      <c r="B189" t="s">
        <v>799</v>
      </c>
      <c r="C189" s="3">
        <v>41832</v>
      </c>
      <c r="D189" t="s">
        <v>62</v>
      </c>
      <c r="E189">
        <v>11</v>
      </c>
      <c r="F189" s="3">
        <f ca="1">41832+(RANDBETWEEN(1,10))</f>
        <v>41838</v>
      </c>
      <c r="G189" t="s">
        <v>156</v>
      </c>
      <c r="H189" t="s">
        <v>63</v>
      </c>
      <c r="I189" t="s">
        <v>52</v>
      </c>
      <c r="J189">
        <v>1476.9649999999999</v>
      </c>
      <c r="K189">
        <v>0.05</v>
      </c>
      <c r="L189">
        <v>0.8</v>
      </c>
      <c r="M189">
        <v>122.5</v>
      </c>
      <c r="N189">
        <v>-2909.6995200000001</v>
      </c>
      <c r="O189" s="1" t="s">
        <v>40</v>
      </c>
      <c r="P189" s="1" t="s">
        <v>800</v>
      </c>
      <c r="Q189" s="1" t="s">
        <v>801</v>
      </c>
      <c r="R189" s="1" t="s">
        <v>43</v>
      </c>
      <c r="S189" s="1" t="s">
        <v>802</v>
      </c>
      <c r="T189" s="1" t="s">
        <v>803</v>
      </c>
      <c r="U189" s="2" t="s">
        <v>394</v>
      </c>
      <c r="V189" s="2" t="s">
        <v>47</v>
      </c>
      <c r="W189" s="2" t="s">
        <v>119</v>
      </c>
      <c r="X189" s="2">
        <v>136.29</v>
      </c>
    </row>
    <row r="190" spans="1:24" x14ac:dyDescent="0.3">
      <c r="A190">
        <v>18093</v>
      </c>
      <c r="B190" t="s">
        <v>804</v>
      </c>
      <c r="C190" s="3">
        <v>41487</v>
      </c>
      <c r="D190" t="s">
        <v>62</v>
      </c>
      <c r="E190">
        <v>19</v>
      </c>
      <c r="F190" s="3">
        <f ca="1">41489+(RANDBETWEEN(1,10))</f>
        <v>41499</v>
      </c>
      <c r="G190" t="s">
        <v>156</v>
      </c>
      <c r="H190" t="s">
        <v>27</v>
      </c>
      <c r="I190" t="s">
        <v>97</v>
      </c>
      <c r="J190">
        <v>496.40499999999997</v>
      </c>
      <c r="K190">
        <v>0.02</v>
      </c>
      <c r="L190">
        <v>0.37</v>
      </c>
      <c r="M190">
        <v>18.934999999999999</v>
      </c>
      <c r="N190">
        <v>2684.7449999999999</v>
      </c>
      <c r="O190" s="1" t="s">
        <v>225</v>
      </c>
      <c r="P190" s="1" t="s">
        <v>805</v>
      </c>
      <c r="Q190" s="1" t="s">
        <v>806</v>
      </c>
      <c r="R190" s="1" t="s">
        <v>228</v>
      </c>
      <c r="S190" s="1" t="s">
        <v>807</v>
      </c>
      <c r="T190" s="1" t="s">
        <v>808</v>
      </c>
      <c r="U190" s="2" t="s">
        <v>809</v>
      </c>
      <c r="V190" s="2" t="s">
        <v>47</v>
      </c>
      <c r="W190" s="2" t="s">
        <v>74</v>
      </c>
      <c r="X190" s="2">
        <v>23.38</v>
      </c>
    </row>
    <row r="191" spans="1:24" x14ac:dyDescent="0.3">
      <c r="A191">
        <v>18094</v>
      </c>
      <c r="B191" t="s">
        <v>810</v>
      </c>
      <c r="C191" s="3">
        <v>40934</v>
      </c>
      <c r="D191" t="s">
        <v>62</v>
      </c>
      <c r="E191">
        <v>12</v>
      </c>
      <c r="F191" s="3">
        <f ca="1">40936+(RANDBETWEEN(1,10))</f>
        <v>40941</v>
      </c>
      <c r="G191" t="s">
        <v>26</v>
      </c>
      <c r="H191" t="s">
        <v>27</v>
      </c>
      <c r="I191" t="s">
        <v>97</v>
      </c>
      <c r="J191">
        <v>750.68</v>
      </c>
      <c r="K191">
        <v>0.04</v>
      </c>
      <c r="L191">
        <v>0.59</v>
      </c>
      <c r="M191">
        <v>33.145000000000003</v>
      </c>
      <c r="N191">
        <v>-569.71180000000004</v>
      </c>
      <c r="O191" s="1" t="s">
        <v>40</v>
      </c>
      <c r="P191" s="1" t="s">
        <v>775</v>
      </c>
      <c r="Q191" s="1" t="s">
        <v>776</v>
      </c>
      <c r="R191" s="1" t="s">
        <v>220</v>
      </c>
      <c r="S191" s="1" t="s">
        <v>777</v>
      </c>
      <c r="T191" s="1" t="s">
        <v>778</v>
      </c>
      <c r="U191" s="2" t="s">
        <v>811</v>
      </c>
      <c r="V191" s="2" t="s">
        <v>47</v>
      </c>
      <c r="W191" s="2" t="s">
        <v>119</v>
      </c>
      <c r="X191" s="2">
        <v>61.95</v>
      </c>
    </row>
    <row r="192" spans="1:24" x14ac:dyDescent="0.3">
      <c r="A192">
        <v>18095</v>
      </c>
      <c r="B192" t="s">
        <v>812</v>
      </c>
      <c r="C192" s="3">
        <v>41932</v>
      </c>
      <c r="D192" t="s">
        <v>148</v>
      </c>
      <c r="E192">
        <v>26</v>
      </c>
      <c r="F192" s="3">
        <f ca="1">41934+(RANDBETWEEN(1,10))</f>
        <v>41941</v>
      </c>
      <c r="G192" t="s">
        <v>26</v>
      </c>
      <c r="H192" t="s">
        <v>27</v>
      </c>
      <c r="I192" t="s">
        <v>28</v>
      </c>
      <c r="J192">
        <v>478.41500000000002</v>
      </c>
      <c r="K192">
        <v>0.1</v>
      </c>
      <c r="L192">
        <v>0.4</v>
      </c>
      <c r="M192">
        <v>21.91</v>
      </c>
      <c r="N192">
        <v>-396.214</v>
      </c>
      <c r="O192" s="1" t="s">
        <v>40</v>
      </c>
      <c r="P192" s="1" t="s">
        <v>813</v>
      </c>
      <c r="Q192" s="1" t="s">
        <v>814</v>
      </c>
      <c r="R192" s="1" t="s">
        <v>43</v>
      </c>
      <c r="S192" s="1" t="s">
        <v>815</v>
      </c>
      <c r="T192" s="1" t="s">
        <v>816</v>
      </c>
      <c r="U192" s="2" t="s">
        <v>817</v>
      </c>
      <c r="V192" s="2" t="s">
        <v>47</v>
      </c>
      <c r="W192" s="2" t="s">
        <v>74</v>
      </c>
      <c r="X192" s="2">
        <v>18.48</v>
      </c>
    </row>
    <row r="193" spans="1:24" x14ac:dyDescent="0.3">
      <c r="A193">
        <v>18096</v>
      </c>
      <c r="B193" t="s">
        <v>812</v>
      </c>
      <c r="C193" s="3">
        <v>41932</v>
      </c>
      <c r="D193" t="s">
        <v>148</v>
      </c>
      <c r="E193">
        <v>23</v>
      </c>
      <c r="F193" s="3">
        <f ca="1">41934+(RANDBETWEEN(1,10))</f>
        <v>41937</v>
      </c>
      <c r="G193" t="s">
        <v>26</v>
      </c>
      <c r="H193" t="s">
        <v>27</v>
      </c>
      <c r="I193" t="s">
        <v>28</v>
      </c>
      <c r="J193">
        <v>4738.4399999999996</v>
      </c>
      <c r="K193">
        <v>0.01</v>
      </c>
      <c r="L193">
        <v>0.55000000000000004</v>
      </c>
      <c r="M193">
        <v>8.75</v>
      </c>
      <c r="N193">
        <v>-131.23915</v>
      </c>
      <c r="O193" s="1" t="s">
        <v>40</v>
      </c>
      <c r="P193" s="1" t="s">
        <v>813</v>
      </c>
      <c r="Q193" s="1" t="s">
        <v>814</v>
      </c>
      <c r="R193" s="1" t="s">
        <v>43</v>
      </c>
      <c r="S193" s="1" t="s">
        <v>815</v>
      </c>
      <c r="T193" s="1" t="s">
        <v>816</v>
      </c>
      <c r="U193" s="2">
        <v>6190</v>
      </c>
      <c r="V193" s="2" t="s">
        <v>36</v>
      </c>
      <c r="W193" s="2" t="s">
        <v>37</v>
      </c>
      <c r="X193" s="2">
        <v>230.965</v>
      </c>
    </row>
    <row r="194" spans="1:24" x14ac:dyDescent="0.3">
      <c r="A194">
        <v>18097</v>
      </c>
      <c r="B194" t="s">
        <v>818</v>
      </c>
      <c r="C194" s="3">
        <v>41442</v>
      </c>
      <c r="D194" t="s">
        <v>39</v>
      </c>
      <c r="E194">
        <v>5</v>
      </c>
      <c r="F194" s="3">
        <f ca="1">41442+(RANDBETWEEN(1,10))</f>
        <v>41449</v>
      </c>
      <c r="G194" t="s">
        <v>26</v>
      </c>
      <c r="H194" t="s">
        <v>27</v>
      </c>
      <c r="I194" t="s">
        <v>28</v>
      </c>
      <c r="J194">
        <v>136.43</v>
      </c>
      <c r="K194">
        <v>0.03</v>
      </c>
      <c r="L194">
        <v>0.38</v>
      </c>
      <c r="M194">
        <v>27.02</v>
      </c>
      <c r="N194">
        <v>-151.30779999999999</v>
      </c>
      <c r="O194" s="1" t="s">
        <v>29</v>
      </c>
      <c r="P194" s="1" t="s">
        <v>819</v>
      </c>
      <c r="Q194" s="1" t="s">
        <v>820</v>
      </c>
      <c r="R194" s="1" t="s">
        <v>460</v>
      </c>
      <c r="S194" s="1" t="s">
        <v>821</v>
      </c>
      <c r="T194" s="1" t="s">
        <v>822</v>
      </c>
      <c r="U194" s="2" t="s">
        <v>823</v>
      </c>
      <c r="V194" s="2" t="s">
        <v>47</v>
      </c>
      <c r="W194" s="2" t="s">
        <v>111</v>
      </c>
      <c r="X194" s="2">
        <v>25.55</v>
      </c>
    </row>
    <row r="195" spans="1:24" x14ac:dyDescent="0.3">
      <c r="A195">
        <v>18098</v>
      </c>
      <c r="B195" t="s">
        <v>818</v>
      </c>
      <c r="C195" s="3">
        <v>41442</v>
      </c>
      <c r="D195" t="s">
        <v>39</v>
      </c>
      <c r="E195">
        <v>9</v>
      </c>
      <c r="F195" s="3">
        <f ca="1">41443+(RANDBETWEEN(1,10))</f>
        <v>41453</v>
      </c>
      <c r="G195" t="s">
        <v>26</v>
      </c>
      <c r="H195" t="s">
        <v>27</v>
      </c>
      <c r="I195" t="s">
        <v>28</v>
      </c>
      <c r="J195">
        <v>1295.9100000000001</v>
      </c>
      <c r="K195">
        <v>0.09</v>
      </c>
      <c r="L195" t="s">
        <v>182</v>
      </c>
      <c r="M195">
        <v>21.77</v>
      </c>
      <c r="N195">
        <v>536.34</v>
      </c>
      <c r="O195" s="1" t="s">
        <v>29</v>
      </c>
      <c r="P195" s="1" t="s">
        <v>819</v>
      </c>
      <c r="Q195" s="1" t="s">
        <v>820</v>
      </c>
      <c r="R195" s="1" t="s">
        <v>460</v>
      </c>
      <c r="S195" s="1" t="s">
        <v>821</v>
      </c>
      <c r="T195" s="1" t="s">
        <v>822</v>
      </c>
      <c r="U195" s="2" t="s">
        <v>824</v>
      </c>
      <c r="V195" s="2" t="s">
        <v>47</v>
      </c>
      <c r="W195" s="2" t="s">
        <v>119</v>
      </c>
      <c r="X195" s="2">
        <v>149.66</v>
      </c>
    </row>
    <row r="196" spans="1:24" x14ac:dyDescent="0.3">
      <c r="A196">
        <v>18099</v>
      </c>
      <c r="B196" t="s">
        <v>825</v>
      </c>
      <c r="C196" s="3">
        <v>41973</v>
      </c>
      <c r="D196" t="s">
        <v>39</v>
      </c>
      <c r="E196">
        <v>37</v>
      </c>
      <c r="F196" s="3">
        <f ca="1">41975+(RANDBETWEEN(1,10))</f>
        <v>41976</v>
      </c>
      <c r="G196" t="s">
        <v>26</v>
      </c>
      <c r="H196" t="s">
        <v>51</v>
      </c>
      <c r="I196" t="s">
        <v>28</v>
      </c>
      <c r="J196">
        <v>1984.2550000000001</v>
      </c>
      <c r="K196">
        <v>0</v>
      </c>
      <c r="L196">
        <v>0.49</v>
      </c>
      <c r="M196">
        <v>17.5</v>
      </c>
      <c r="N196">
        <v>1369.1359500000001</v>
      </c>
      <c r="O196" s="1" t="s">
        <v>40</v>
      </c>
      <c r="P196" s="1" t="s">
        <v>826</v>
      </c>
      <c r="Q196" s="1" t="s">
        <v>827</v>
      </c>
      <c r="R196" s="1" t="s">
        <v>220</v>
      </c>
      <c r="S196" s="1" t="s">
        <v>828</v>
      </c>
      <c r="T196" s="1" t="s">
        <v>829</v>
      </c>
      <c r="U196" s="2" t="s">
        <v>830</v>
      </c>
      <c r="V196" s="2" t="s">
        <v>83</v>
      </c>
      <c r="W196" s="2" t="s">
        <v>178</v>
      </c>
      <c r="X196" s="2">
        <v>50.19</v>
      </c>
    </row>
    <row r="197" spans="1:24" x14ac:dyDescent="0.3">
      <c r="A197">
        <v>18100</v>
      </c>
      <c r="B197" t="s">
        <v>825</v>
      </c>
      <c r="C197" s="3">
        <v>41973</v>
      </c>
      <c r="D197" t="s">
        <v>39</v>
      </c>
      <c r="E197">
        <v>22</v>
      </c>
      <c r="F197" s="3">
        <f ca="1">41974+(RANDBETWEEN(1,10))</f>
        <v>41978</v>
      </c>
      <c r="G197" t="s">
        <v>76</v>
      </c>
      <c r="H197" t="s">
        <v>258</v>
      </c>
      <c r="I197" t="s">
        <v>28</v>
      </c>
      <c r="J197">
        <v>10799.565000000001</v>
      </c>
      <c r="K197">
        <v>7.0000000000000007E-2</v>
      </c>
      <c r="L197">
        <v>0.74</v>
      </c>
      <c r="M197">
        <v>183.47</v>
      </c>
      <c r="N197">
        <v>544.55501100000004</v>
      </c>
      <c r="O197" s="1" t="s">
        <v>40</v>
      </c>
      <c r="P197" s="1" t="s">
        <v>826</v>
      </c>
      <c r="Q197" s="1" t="s">
        <v>827</v>
      </c>
      <c r="R197" s="1" t="s">
        <v>220</v>
      </c>
      <c r="S197" s="1" t="s">
        <v>828</v>
      </c>
      <c r="T197" s="1" t="s">
        <v>829</v>
      </c>
      <c r="U197" s="2" t="s">
        <v>831</v>
      </c>
      <c r="V197" s="2" t="s">
        <v>83</v>
      </c>
      <c r="W197" s="2" t="s">
        <v>263</v>
      </c>
      <c r="X197" s="2">
        <v>485.625</v>
      </c>
    </row>
    <row r="198" spans="1:24" x14ac:dyDescent="0.3">
      <c r="A198">
        <v>18101</v>
      </c>
      <c r="B198" t="s">
        <v>832</v>
      </c>
      <c r="C198" s="3">
        <v>40930</v>
      </c>
      <c r="D198" t="s">
        <v>39</v>
      </c>
      <c r="E198">
        <v>10</v>
      </c>
      <c r="F198" s="3">
        <f ca="1">40931+(RANDBETWEEN(1,10))</f>
        <v>40935</v>
      </c>
      <c r="G198" t="s">
        <v>76</v>
      </c>
      <c r="H198" t="s">
        <v>258</v>
      </c>
      <c r="I198" t="s">
        <v>52</v>
      </c>
      <c r="J198">
        <v>4409.72</v>
      </c>
      <c r="K198">
        <v>0.02</v>
      </c>
      <c r="L198">
        <v>0.75</v>
      </c>
      <c r="M198">
        <v>205.24</v>
      </c>
      <c r="N198">
        <v>-5007.9260000000004</v>
      </c>
      <c r="O198" s="1" t="s">
        <v>53</v>
      </c>
      <c r="P198" s="1" t="s">
        <v>833</v>
      </c>
      <c r="Q198" s="1" t="s">
        <v>834</v>
      </c>
      <c r="R198" s="1" t="s">
        <v>100</v>
      </c>
      <c r="S198" s="1" t="s">
        <v>835</v>
      </c>
      <c r="T198" s="1" t="s">
        <v>836</v>
      </c>
      <c r="U198" s="2" t="s">
        <v>837</v>
      </c>
      <c r="V198" s="2" t="s">
        <v>83</v>
      </c>
      <c r="W198" s="2" t="s">
        <v>298</v>
      </c>
      <c r="X198" s="2">
        <v>423.43</v>
      </c>
    </row>
    <row r="199" spans="1:24" x14ac:dyDescent="0.3">
      <c r="A199">
        <v>18102</v>
      </c>
      <c r="B199" t="s">
        <v>832</v>
      </c>
      <c r="C199" s="3">
        <v>40930</v>
      </c>
      <c r="D199" t="s">
        <v>39</v>
      </c>
      <c r="E199">
        <v>6</v>
      </c>
      <c r="F199" s="3">
        <f ca="1">40931+(RANDBETWEEN(1,10))</f>
        <v>40936</v>
      </c>
      <c r="G199" t="s">
        <v>26</v>
      </c>
      <c r="H199" t="s">
        <v>27</v>
      </c>
      <c r="I199" t="s">
        <v>52</v>
      </c>
      <c r="J199">
        <v>406.66500000000002</v>
      </c>
      <c r="K199">
        <v>0.01</v>
      </c>
      <c r="L199">
        <v>0.37</v>
      </c>
      <c r="M199">
        <v>33.39</v>
      </c>
      <c r="N199">
        <v>78.257199999999997</v>
      </c>
      <c r="O199" s="1" t="s">
        <v>53</v>
      </c>
      <c r="P199" s="1" t="s">
        <v>833</v>
      </c>
      <c r="Q199" s="1" t="s">
        <v>834</v>
      </c>
      <c r="R199" s="1" t="s">
        <v>100</v>
      </c>
      <c r="S199" s="1" t="s">
        <v>835</v>
      </c>
      <c r="T199" s="1" t="s">
        <v>836</v>
      </c>
      <c r="U199" s="2" t="s">
        <v>838</v>
      </c>
      <c r="V199" s="2" t="s">
        <v>47</v>
      </c>
      <c r="W199" s="2" t="s">
        <v>74</v>
      </c>
      <c r="X199" s="2">
        <v>66.394999999999996</v>
      </c>
    </row>
    <row r="200" spans="1:24" x14ac:dyDescent="0.3">
      <c r="A200">
        <v>18103</v>
      </c>
      <c r="B200" t="s">
        <v>839</v>
      </c>
      <c r="C200" s="3">
        <v>41357</v>
      </c>
      <c r="D200" t="s">
        <v>39</v>
      </c>
      <c r="E200">
        <v>6</v>
      </c>
      <c r="F200" s="3">
        <f ca="1">41358+(RANDBETWEEN(1,10))</f>
        <v>41359</v>
      </c>
      <c r="G200" t="s">
        <v>156</v>
      </c>
      <c r="H200" t="s">
        <v>63</v>
      </c>
      <c r="I200" t="s">
        <v>28</v>
      </c>
      <c r="J200">
        <v>2781.835</v>
      </c>
      <c r="K200">
        <v>7.0000000000000007E-2</v>
      </c>
      <c r="L200" t="s">
        <v>182</v>
      </c>
      <c r="M200">
        <v>122.5</v>
      </c>
      <c r="N200">
        <v>-2433.41</v>
      </c>
      <c r="O200" s="1" t="s">
        <v>29</v>
      </c>
      <c r="P200" s="1" t="s">
        <v>840</v>
      </c>
      <c r="Q200" s="1" t="s">
        <v>841</v>
      </c>
      <c r="R200" s="1" t="s">
        <v>32</v>
      </c>
      <c r="S200" s="1" t="s">
        <v>842</v>
      </c>
      <c r="T200" s="1" t="s">
        <v>843</v>
      </c>
      <c r="U200" s="2" t="s">
        <v>844</v>
      </c>
      <c r="V200" s="2" t="s">
        <v>47</v>
      </c>
      <c r="W200" s="2" t="s">
        <v>119</v>
      </c>
      <c r="X200" s="2">
        <v>483.49</v>
      </c>
    </row>
    <row r="201" spans="1:24" x14ac:dyDescent="0.3">
      <c r="A201">
        <v>18104</v>
      </c>
      <c r="B201" t="s">
        <v>845</v>
      </c>
      <c r="C201" s="3">
        <v>41759</v>
      </c>
      <c r="D201" t="s">
        <v>62</v>
      </c>
      <c r="E201">
        <v>1</v>
      </c>
      <c r="F201" s="3">
        <f ca="1">41760+(RANDBETWEEN(1,10))</f>
        <v>41762</v>
      </c>
      <c r="G201" t="s">
        <v>76</v>
      </c>
      <c r="H201" t="s">
        <v>77</v>
      </c>
      <c r="I201" t="s">
        <v>28</v>
      </c>
      <c r="J201">
        <v>1175.72</v>
      </c>
      <c r="K201">
        <v>0.01</v>
      </c>
      <c r="L201">
        <v>0.56999999999999995</v>
      </c>
      <c r="M201">
        <v>206.32499999999999</v>
      </c>
      <c r="N201">
        <v>-601.72</v>
      </c>
      <c r="O201" s="1" t="s">
        <v>87</v>
      </c>
      <c r="P201" s="1" t="s">
        <v>846</v>
      </c>
      <c r="Q201" s="1" t="s">
        <v>847</v>
      </c>
      <c r="R201" s="1" t="s">
        <v>90</v>
      </c>
      <c r="S201" s="1" t="s">
        <v>848</v>
      </c>
      <c r="T201" s="1" t="s">
        <v>849</v>
      </c>
      <c r="U201" s="2" t="s">
        <v>850</v>
      </c>
      <c r="V201" s="2" t="s">
        <v>83</v>
      </c>
      <c r="W201" s="2" t="s">
        <v>84</v>
      </c>
      <c r="X201" s="2">
        <v>1123.43</v>
      </c>
    </row>
    <row r="202" spans="1:24" x14ac:dyDescent="0.3">
      <c r="A202">
        <v>18105</v>
      </c>
      <c r="B202" t="s">
        <v>851</v>
      </c>
      <c r="C202" s="3">
        <v>40879</v>
      </c>
      <c r="D202" t="s">
        <v>39</v>
      </c>
      <c r="E202">
        <v>19</v>
      </c>
      <c r="F202" s="3">
        <f ca="1">40881+(RANDBETWEEN(1,10))</f>
        <v>40889</v>
      </c>
      <c r="G202" t="s">
        <v>26</v>
      </c>
      <c r="H202" t="s">
        <v>27</v>
      </c>
      <c r="I202" t="s">
        <v>52</v>
      </c>
      <c r="J202">
        <v>883.26</v>
      </c>
      <c r="K202">
        <v>0.05</v>
      </c>
      <c r="L202">
        <v>0.4</v>
      </c>
      <c r="M202">
        <v>17.43</v>
      </c>
      <c r="N202">
        <v>469.58887499999997</v>
      </c>
      <c r="O202" s="1" t="s">
        <v>29</v>
      </c>
      <c r="P202" s="1" t="s">
        <v>852</v>
      </c>
      <c r="Q202" s="1" t="s">
        <v>853</v>
      </c>
      <c r="R202" s="1" t="s">
        <v>460</v>
      </c>
      <c r="S202" s="1" t="s">
        <v>854</v>
      </c>
      <c r="T202" s="1" t="s">
        <v>855</v>
      </c>
      <c r="U202" s="2" t="s">
        <v>856</v>
      </c>
      <c r="V202" s="2" t="s">
        <v>47</v>
      </c>
      <c r="W202" s="2" t="s">
        <v>111</v>
      </c>
      <c r="X202" s="2">
        <v>45.325000000000003</v>
      </c>
    </row>
    <row r="203" spans="1:24" x14ac:dyDescent="0.3">
      <c r="A203">
        <v>18106</v>
      </c>
      <c r="B203" t="s">
        <v>857</v>
      </c>
      <c r="C203" s="3">
        <v>40868</v>
      </c>
      <c r="D203" t="s">
        <v>39</v>
      </c>
      <c r="E203">
        <v>15</v>
      </c>
      <c r="F203" s="3">
        <f ca="1">40869+(RANDBETWEEN(1,10))</f>
        <v>40870</v>
      </c>
      <c r="G203" t="s">
        <v>26</v>
      </c>
      <c r="H203" t="s">
        <v>51</v>
      </c>
      <c r="I203" t="s">
        <v>86</v>
      </c>
      <c r="J203">
        <v>505.15499999999997</v>
      </c>
      <c r="K203">
        <v>0.01</v>
      </c>
      <c r="L203">
        <v>0.56000000000000005</v>
      </c>
      <c r="M203">
        <v>13.93</v>
      </c>
      <c r="N203">
        <v>7.63</v>
      </c>
      <c r="O203" s="1" t="s">
        <v>29</v>
      </c>
      <c r="P203" s="1" t="s">
        <v>858</v>
      </c>
      <c r="Q203" s="1" t="s">
        <v>859</v>
      </c>
      <c r="R203" s="1" t="s">
        <v>675</v>
      </c>
      <c r="S203" s="1" t="s">
        <v>860</v>
      </c>
      <c r="T203" s="1" t="s">
        <v>861</v>
      </c>
      <c r="U203" s="2" t="s">
        <v>93</v>
      </c>
      <c r="V203" s="2" t="s">
        <v>47</v>
      </c>
      <c r="W203" s="2" t="s">
        <v>94</v>
      </c>
      <c r="X203" s="2">
        <v>32.585000000000001</v>
      </c>
    </row>
    <row r="204" spans="1:24" x14ac:dyDescent="0.3">
      <c r="A204">
        <v>18107</v>
      </c>
      <c r="B204" t="s">
        <v>862</v>
      </c>
      <c r="C204" s="3">
        <v>40965</v>
      </c>
      <c r="D204" t="s">
        <v>25</v>
      </c>
      <c r="E204">
        <v>11</v>
      </c>
      <c r="F204" s="3">
        <f ca="1">40965+(RANDBETWEEN(1,10))</f>
        <v>40968</v>
      </c>
      <c r="G204" t="s">
        <v>26</v>
      </c>
      <c r="H204" t="s">
        <v>27</v>
      </c>
      <c r="I204" t="s">
        <v>97</v>
      </c>
      <c r="J204">
        <v>199.85</v>
      </c>
      <c r="K204">
        <v>7.0000000000000007E-2</v>
      </c>
      <c r="L204">
        <v>0.38</v>
      </c>
      <c r="M204">
        <v>29.155000000000001</v>
      </c>
      <c r="N204">
        <v>-792.26</v>
      </c>
      <c r="O204" s="1" t="s">
        <v>225</v>
      </c>
      <c r="P204" s="1" t="s">
        <v>863</v>
      </c>
      <c r="Q204" s="1" t="s">
        <v>864</v>
      </c>
      <c r="R204" s="1" t="s">
        <v>228</v>
      </c>
      <c r="S204" s="1" t="s">
        <v>865</v>
      </c>
      <c r="T204" s="1" t="s">
        <v>866</v>
      </c>
      <c r="U204" s="2" t="s">
        <v>867</v>
      </c>
      <c r="V204" s="2" t="s">
        <v>47</v>
      </c>
      <c r="W204" s="2" t="s">
        <v>74</v>
      </c>
      <c r="X204" s="2">
        <v>17.43</v>
      </c>
    </row>
    <row r="205" spans="1:24" x14ac:dyDescent="0.3">
      <c r="A205">
        <v>18108</v>
      </c>
      <c r="B205" t="s">
        <v>868</v>
      </c>
      <c r="C205" s="3">
        <v>41525</v>
      </c>
      <c r="D205" t="s">
        <v>62</v>
      </c>
      <c r="E205">
        <v>20</v>
      </c>
      <c r="F205" s="3">
        <f ca="1">41527+(RANDBETWEEN(1,10))</f>
        <v>41536</v>
      </c>
      <c r="G205" t="s">
        <v>26</v>
      </c>
      <c r="H205" t="s">
        <v>96</v>
      </c>
      <c r="I205" t="s">
        <v>52</v>
      </c>
      <c r="J205">
        <v>125.23</v>
      </c>
      <c r="K205">
        <v>0.05</v>
      </c>
      <c r="L205">
        <v>0.56000000000000005</v>
      </c>
      <c r="M205">
        <v>2.4500000000000002</v>
      </c>
      <c r="N205">
        <v>2.87</v>
      </c>
      <c r="O205" s="1" t="s">
        <v>29</v>
      </c>
      <c r="P205" s="1" t="s">
        <v>869</v>
      </c>
      <c r="Q205" s="1" t="s">
        <v>870</v>
      </c>
      <c r="R205" s="1" t="s">
        <v>32</v>
      </c>
      <c r="S205" s="1" t="s">
        <v>871</v>
      </c>
      <c r="T205" s="1" t="s">
        <v>872</v>
      </c>
      <c r="U205" s="2" t="s">
        <v>873</v>
      </c>
      <c r="V205" s="2" t="s">
        <v>47</v>
      </c>
      <c r="W205" s="2" t="s">
        <v>104</v>
      </c>
      <c r="X205" s="2">
        <v>6.16</v>
      </c>
    </row>
    <row r="206" spans="1:24" x14ac:dyDescent="0.3">
      <c r="A206">
        <v>18109</v>
      </c>
      <c r="B206" t="s">
        <v>874</v>
      </c>
      <c r="C206" s="3">
        <v>40909</v>
      </c>
      <c r="D206" t="s">
        <v>25</v>
      </c>
      <c r="E206">
        <v>11</v>
      </c>
      <c r="F206" s="3">
        <f ca="1">40913+(RANDBETWEEN(1,10))</f>
        <v>40921</v>
      </c>
      <c r="G206" t="s">
        <v>26</v>
      </c>
      <c r="H206" t="s">
        <v>27</v>
      </c>
      <c r="I206" t="s">
        <v>28</v>
      </c>
      <c r="J206">
        <v>148.29499999999999</v>
      </c>
      <c r="K206">
        <v>0.01</v>
      </c>
      <c r="L206">
        <v>0.37</v>
      </c>
      <c r="M206">
        <v>19.145</v>
      </c>
      <c r="N206">
        <v>-211.19</v>
      </c>
      <c r="O206" s="1" t="s">
        <v>87</v>
      </c>
      <c r="P206" s="1" t="s">
        <v>875</v>
      </c>
      <c r="Q206" s="1" t="s">
        <v>876</v>
      </c>
      <c r="R206" s="1" t="s">
        <v>90</v>
      </c>
      <c r="S206" s="1" t="s">
        <v>877</v>
      </c>
      <c r="T206" s="1" t="s">
        <v>878</v>
      </c>
      <c r="U206" s="2" t="s">
        <v>879</v>
      </c>
      <c r="V206" s="2" t="s">
        <v>47</v>
      </c>
      <c r="W206" s="2" t="s">
        <v>111</v>
      </c>
      <c r="X206" s="2">
        <v>12.53</v>
      </c>
    </row>
    <row r="207" spans="1:24" x14ac:dyDescent="0.3">
      <c r="A207">
        <v>18110</v>
      </c>
      <c r="B207" t="s">
        <v>874</v>
      </c>
      <c r="C207" s="3">
        <v>40909</v>
      </c>
      <c r="D207" t="s">
        <v>25</v>
      </c>
      <c r="E207">
        <v>3</v>
      </c>
      <c r="F207" s="3">
        <f ca="1">40911+(RANDBETWEEN(1,10))</f>
        <v>40915</v>
      </c>
      <c r="G207" t="s">
        <v>26</v>
      </c>
      <c r="H207" t="s">
        <v>281</v>
      </c>
      <c r="I207" t="s">
        <v>28</v>
      </c>
      <c r="J207">
        <v>426.755</v>
      </c>
      <c r="K207">
        <v>0.09</v>
      </c>
      <c r="L207">
        <v>0.76</v>
      </c>
      <c r="M207">
        <v>30.31</v>
      </c>
      <c r="N207">
        <v>421.113</v>
      </c>
      <c r="O207" s="1" t="s">
        <v>87</v>
      </c>
      <c r="P207" s="1" t="s">
        <v>875</v>
      </c>
      <c r="Q207" s="1" t="s">
        <v>876</v>
      </c>
      <c r="R207" s="1" t="s">
        <v>90</v>
      </c>
      <c r="S207" s="1" t="s">
        <v>877</v>
      </c>
      <c r="T207" s="1" t="s">
        <v>878</v>
      </c>
      <c r="U207" s="2" t="s">
        <v>880</v>
      </c>
      <c r="V207" s="2" t="s">
        <v>83</v>
      </c>
      <c r="W207" s="2" t="s">
        <v>178</v>
      </c>
      <c r="X207" s="2">
        <v>144.62</v>
      </c>
    </row>
    <row r="208" spans="1:24" x14ac:dyDescent="0.3">
      <c r="A208">
        <v>18111</v>
      </c>
      <c r="B208" t="s">
        <v>874</v>
      </c>
      <c r="C208" s="3">
        <v>40909</v>
      </c>
      <c r="D208" t="s">
        <v>25</v>
      </c>
      <c r="E208">
        <v>7</v>
      </c>
      <c r="F208" s="3">
        <f ca="1">40913+(RANDBETWEEN(1,10))</f>
        <v>40917</v>
      </c>
      <c r="G208" t="s">
        <v>76</v>
      </c>
      <c r="H208" t="s">
        <v>77</v>
      </c>
      <c r="I208" t="s">
        <v>28</v>
      </c>
      <c r="J208">
        <v>3542.2449999999999</v>
      </c>
      <c r="K208">
        <v>0.02</v>
      </c>
      <c r="L208">
        <v>0.56000000000000005</v>
      </c>
      <c r="M208">
        <v>62.475000000000001</v>
      </c>
      <c r="N208">
        <v>-437.815</v>
      </c>
      <c r="O208" s="1" t="s">
        <v>87</v>
      </c>
      <c r="P208" s="1" t="s">
        <v>875</v>
      </c>
      <c r="Q208" s="1" t="s">
        <v>876</v>
      </c>
      <c r="R208" s="1" t="s">
        <v>90</v>
      </c>
      <c r="S208" s="1" t="s">
        <v>877</v>
      </c>
      <c r="T208" s="1" t="s">
        <v>878</v>
      </c>
      <c r="U208" s="2" t="s">
        <v>881</v>
      </c>
      <c r="V208" s="2" t="s">
        <v>36</v>
      </c>
      <c r="W208" s="2" t="s">
        <v>142</v>
      </c>
      <c r="X208" s="2">
        <v>509.07499999999999</v>
      </c>
    </row>
    <row r="209" spans="1:24" x14ac:dyDescent="0.3">
      <c r="A209">
        <v>18112</v>
      </c>
      <c r="B209" t="s">
        <v>882</v>
      </c>
      <c r="C209" s="3">
        <v>40969</v>
      </c>
      <c r="D209" t="s">
        <v>50</v>
      </c>
      <c r="E209">
        <v>2</v>
      </c>
      <c r="F209" s="3">
        <f ca="1">40971+(RANDBETWEEN(1,10))</f>
        <v>40973</v>
      </c>
      <c r="G209" t="s">
        <v>26</v>
      </c>
      <c r="H209" t="s">
        <v>27</v>
      </c>
      <c r="I209" t="s">
        <v>28</v>
      </c>
      <c r="J209">
        <v>560.52499999999998</v>
      </c>
      <c r="K209">
        <v>0.04</v>
      </c>
      <c r="L209">
        <v>0.59</v>
      </c>
      <c r="M209">
        <v>15.75</v>
      </c>
      <c r="N209">
        <v>114.1</v>
      </c>
      <c r="O209" s="1" t="s">
        <v>225</v>
      </c>
      <c r="P209" s="1" t="s">
        <v>883</v>
      </c>
      <c r="Q209" s="1" t="s">
        <v>884</v>
      </c>
      <c r="R209" s="1" t="s">
        <v>228</v>
      </c>
      <c r="S209" s="1" t="s">
        <v>885</v>
      </c>
      <c r="T209" s="1" t="s">
        <v>886</v>
      </c>
      <c r="U209" s="2" t="s">
        <v>136</v>
      </c>
      <c r="V209" s="2" t="s">
        <v>47</v>
      </c>
      <c r="W209" s="2" t="s">
        <v>71</v>
      </c>
      <c r="X209" s="2">
        <v>283.43</v>
      </c>
    </row>
    <row r="210" spans="1:24" x14ac:dyDescent="0.3">
      <c r="A210">
        <v>18113</v>
      </c>
      <c r="B210" t="s">
        <v>882</v>
      </c>
      <c r="C210" s="3">
        <v>40969</v>
      </c>
      <c r="D210" t="s">
        <v>50</v>
      </c>
      <c r="E210">
        <v>8</v>
      </c>
      <c r="F210" s="3">
        <f ca="1">40970+(RANDBETWEEN(1,10))</f>
        <v>40980</v>
      </c>
      <c r="G210" t="s">
        <v>26</v>
      </c>
      <c r="H210" t="s">
        <v>27</v>
      </c>
      <c r="I210" t="s">
        <v>28</v>
      </c>
      <c r="J210">
        <v>171.57</v>
      </c>
      <c r="K210">
        <v>0.08</v>
      </c>
      <c r="L210">
        <v>0.37</v>
      </c>
      <c r="M210">
        <v>17.989999999999998</v>
      </c>
      <c r="N210">
        <v>-198.38</v>
      </c>
      <c r="O210" s="1" t="s">
        <v>225</v>
      </c>
      <c r="P210" s="1" t="s">
        <v>883</v>
      </c>
      <c r="Q210" s="1" t="s">
        <v>884</v>
      </c>
      <c r="R210" s="1" t="s">
        <v>228</v>
      </c>
      <c r="S210" s="1" t="s">
        <v>885</v>
      </c>
      <c r="T210" s="1" t="s">
        <v>886</v>
      </c>
      <c r="U210" s="2" t="s">
        <v>146</v>
      </c>
      <c r="V210" s="2" t="s">
        <v>47</v>
      </c>
      <c r="W210" s="2" t="s">
        <v>74</v>
      </c>
      <c r="X210" s="2">
        <v>22.68</v>
      </c>
    </row>
    <row r="211" spans="1:24" x14ac:dyDescent="0.3">
      <c r="A211">
        <v>18114</v>
      </c>
      <c r="B211" t="s">
        <v>887</v>
      </c>
      <c r="C211" s="3">
        <v>41470</v>
      </c>
      <c r="D211" t="s">
        <v>148</v>
      </c>
      <c r="E211">
        <v>2</v>
      </c>
      <c r="F211" s="3">
        <f ca="1">41470+(RANDBETWEEN(1,10))</f>
        <v>41475</v>
      </c>
      <c r="G211" t="s">
        <v>26</v>
      </c>
      <c r="H211" t="s">
        <v>27</v>
      </c>
      <c r="I211" t="s">
        <v>28</v>
      </c>
      <c r="J211">
        <v>32.69</v>
      </c>
      <c r="K211">
        <v>0.09</v>
      </c>
      <c r="L211">
        <v>0.39</v>
      </c>
      <c r="M211">
        <v>1.7150000000000001</v>
      </c>
      <c r="N211">
        <v>12.11</v>
      </c>
      <c r="O211" s="1" t="s">
        <v>64</v>
      </c>
      <c r="P211" s="1" t="s">
        <v>888</v>
      </c>
      <c r="Q211" s="1" t="s">
        <v>889</v>
      </c>
      <c r="R211" s="1" t="s">
        <v>67</v>
      </c>
      <c r="S211" s="1" t="s">
        <v>890</v>
      </c>
      <c r="T211" s="1" t="s">
        <v>891</v>
      </c>
      <c r="U211" s="2" t="s">
        <v>892</v>
      </c>
      <c r="V211" s="2" t="s">
        <v>47</v>
      </c>
      <c r="W211" s="2" t="s">
        <v>203</v>
      </c>
      <c r="X211" s="2">
        <v>17.43</v>
      </c>
    </row>
    <row r="212" spans="1:24" x14ac:dyDescent="0.3">
      <c r="A212">
        <v>18115</v>
      </c>
      <c r="B212" t="s">
        <v>893</v>
      </c>
      <c r="C212" s="3">
        <v>41061</v>
      </c>
      <c r="D212" t="s">
        <v>148</v>
      </c>
      <c r="E212">
        <v>14</v>
      </c>
      <c r="F212" s="3">
        <f ca="1">41062+(RANDBETWEEN(1,10))</f>
        <v>41066</v>
      </c>
      <c r="G212" t="s">
        <v>76</v>
      </c>
      <c r="H212" t="s">
        <v>77</v>
      </c>
      <c r="I212" t="s">
        <v>52</v>
      </c>
      <c r="J212">
        <v>5644.2049999999999</v>
      </c>
      <c r="K212">
        <v>0.02</v>
      </c>
      <c r="L212">
        <v>0.4</v>
      </c>
      <c r="M212">
        <v>196.49</v>
      </c>
      <c r="N212">
        <v>17.43</v>
      </c>
      <c r="O212" s="1" t="s">
        <v>53</v>
      </c>
      <c r="P212" s="1" t="s">
        <v>894</v>
      </c>
      <c r="Q212" s="1" t="s">
        <v>895</v>
      </c>
      <c r="R212" s="1" t="s">
        <v>56</v>
      </c>
      <c r="S212" s="1" t="s">
        <v>896</v>
      </c>
      <c r="T212" s="1" t="s">
        <v>897</v>
      </c>
      <c r="U212" s="2" t="s">
        <v>898</v>
      </c>
      <c r="V212" s="2" t="s">
        <v>36</v>
      </c>
      <c r="W212" s="2" t="s">
        <v>142</v>
      </c>
      <c r="X212" s="2">
        <v>405.96499999999997</v>
      </c>
    </row>
    <row r="213" spans="1:24" x14ac:dyDescent="0.3">
      <c r="A213">
        <v>18116</v>
      </c>
      <c r="B213" t="s">
        <v>899</v>
      </c>
      <c r="C213" s="3">
        <v>41441</v>
      </c>
      <c r="D213" t="s">
        <v>62</v>
      </c>
      <c r="E213">
        <v>7</v>
      </c>
      <c r="F213" s="3">
        <f ca="1">41442+(RANDBETWEEN(1,10))</f>
        <v>41452</v>
      </c>
      <c r="G213" t="s">
        <v>26</v>
      </c>
      <c r="H213" t="s">
        <v>27</v>
      </c>
      <c r="I213" t="s">
        <v>97</v>
      </c>
      <c r="J213">
        <v>120.925</v>
      </c>
      <c r="K213">
        <v>0.08</v>
      </c>
      <c r="L213">
        <v>0.36</v>
      </c>
      <c r="M213">
        <v>16.52</v>
      </c>
      <c r="N213">
        <v>587.45399999999995</v>
      </c>
      <c r="O213" s="1" t="s">
        <v>87</v>
      </c>
      <c r="P213" s="1" t="s">
        <v>900</v>
      </c>
      <c r="Q213" s="1" t="s">
        <v>901</v>
      </c>
      <c r="R213" s="1" t="s">
        <v>497</v>
      </c>
      <c r="S213" s="1" t="s">
        <v>902</v>
      </c>
      <c r="T213" s="1" t="s">
        <v>903</v>
      </c>
      <c r="U213" s="2" t="s">
        <v>904</v>
      </c>
      <c r="V213" s="2" t="s">
        <v>47</v>
      </c>
      <c r="W213" s="2" t="s">
        <v>74</v>
      </c>
      <c r="X213" s="2">
        <v>17.43</v>
      </c>
    </row>
    <row r="214" spans="1:24" x14ac:dyDescent="0.3">
      <c r="A214">
        <v>18117</v>
      </c>
      <c r="B214" t="s">
        <v>905</v>
      </c>
      <c r="C214" s="3">
        <v>41015</v>
      </c>
      <c r="D214" t="s">
        <v>39</v>
      </c>
      <c r="E214">
        <v>9</v>
      </c>
      <c r="F214" s="3">
        <f ca="1">41017+(RANDBETWEEN(1,10))</f>
        <v>41019</v>
      </c>
      <c r="G214" t="s">
        <v>26</v>
      </c>
      <c r="H214" t="s">
        <v>281</v>
      </c>
      <c r="I214" t="s">
        <v>52</v>
      </c>
      <c r="J214">
        <v>530.32000000000005</v>
      </c>
      <c r="K214">
        <v>0.08</v>
      </c>
      <c r="L214">
        <v>0.5</v>
      </c>
      <c r="M214">
        <v>28.594999999999999</v>
      </c>
      <c r="N214">
        <v>-134.22499999999999</v>
      </c>
      <c r="O214" s="1" t="s">
        <v>29</v>
      </c>
      <c r="P214" s="1" t="s">
        <v>906</v>
      </c>
      <c r="Q214" s="1" t="s">
        <v>907</v>
      </c>
      <c r="R214" s="1" t="s">
        <v>675</v>
      </c>
      <c r="S214" s="1" t="s">
        <v>908</v>
      </c>
      <c r="T214" s="1" t="s">
        <v>909</v>
      </c>
      <c r="U214" s="2" t="s">
        <v>910</v>
      </c>
      <c r="V214" s="2" t="s">
        <v>47</v>
      </c>
      <c r="W214" s="2" t="s">
        <v>71</v>
      </c>
      <c r="X214" s="2">
        <v>61.32</v>
      </c>
    </row>
    <row r="215" spans="1:24" x14ac:dyDescent="0.3">
      <c r="A215">
        <v>18118</v>
      </c>
      <c r="B215" t="s">
        <v>905</v>
      </c>
      <c r="C215" s="3">
        <v>41015</v>
      </c>
      <c r="D215" t="s">
        <v>39</v>
      </c>
      <c r="E215">
        <v>6</v>
      </c>
      <c r="F215" s="3">
        <f ca="1">41017+(RANDBETWEEN(1,10))</f>
        <v>41019</v>
      </c>
      <c r="G215" t="s">
        <v>26</v>
      </c>
      <c r="H215" t="s">
        <v>27</v>
      </c>
      <c r="I215" t="s">
        <v>52</v>
      </c>
      <c r="J215">
        <v>195.755</v>
      </c>
      <c r="K215">
        <v>0.1</v>
      </c>
      <c r="L215">
        <v>0.37</v>
      </c>
      <c r="M215">
        <v>4.8650000000000002</v>
      </c>
      <c r="N215">
        <v>135.07095000000001</v>
      </c>
      <c r="O215" s="1" t="s">
        <v>29</v>
      </c>
      <c r="P215" s="1" t="s">
        <v>906</v>
      </c>
      <c r="Q215" s="1" t="s">
        <v>907</v>
      </c>
      <c r="R215" s="1" t="s">
        <v>675</v>
      </c>
      <c r="S215" s="1" t="s">
        <v>908</v>
      </c>
      <c r="T215" s="1" t="s">
        <v>909</v>
      </c>
      <c r="U215" s="2" t="s">
        <v>611</v>
      </c>
      <c r="V215" s="2" t="s">
        <v>47</v>
      </c>
      <c r="W215" s="2" t="s">
        <v>48</v>
      </c>
      <c r="X215" s="2">
        <v>34.65</v>
      </c>
    </row>
    <row r="216" spans="1:24" x14ac:dyDescent="0.3">
      <c r="A216">
        <v>18119</v>
      </c>
      <c r="B216" t="s">
        <v>911</v>
      </c>
      <c r="C216" s="3">
        <v>41177</v>
      </c>
      <c r="D216" t="s">
        <v>148</v>
      </c>
      <c r="E216">
        <v>17</v>
      </c>
      <c r="F216" s="3">
        <f ca="1">41178+(RANDBETWEEN(1,10))</f>
        <v>41185</v>
      </c>
      <c r="G216" t="s">
        <v>26</v>
      </c>
      <c r="H216" t="s">
        <v>27</v>
      </c>
      <c r="I216" t="s">
        <v>97</v>
      </c>
      <c r="J216">
        <v>3243.2750000000001</v>
      </c>
      <c r="K216">
        <v>0.06</v>
      </c>
      <c r="L216">
        <v>0.56000000000000005</v>
      </c>
      <c r="M216">
        <v>31.465</v>
      </c>
      <c r="N216">
        <v>1137.2445</v>
      </c>
      <c r="O216" s="1" t="s">
        <v>225</v>
      </c>
      <c r="P216" s="1" t="s">
        <v>912</v>
      </c>
      <c r="Q216" s="1" t="s">
        <v>913</v>
      </c>
      <c r="R216" s="1" t="s">
        <v>228</v>
      </c>
      <c r="S216" s="1" t="s">
        <v>914</v>
      </c>
      <c r="T216" s="1" t="s">
        <v>915</v>
      </c>
      <c r="U216" s="2" t="s">
        <v>164</v>
      </c>
      <c r="V216" s="2" t="s">
        <v>36</v>
      </c>
      <c r="W216" s="2" t="s">
        <v>37</v>
      </c>
      <c r="X216" s="2">
        <v>230.965</v>
      </c>
    </row>
    <row r="217" spans="1:24" x14ac:dyDescent="0.3">
      <c r="A217">
        <v>18120</v>
      </c>
      <c r="B217" t="s">
        <v>916</v>
      </c>
      <c r="C217" s="3">
        <v>41611</v>
      </c>
      <c r="D217" t="s">
        <v>62</v>
      </c>
      <c r="E217">
        <v>9</v>
      </c>
      <c r="F217" s="3">
        <f ca="1">41613+(RANDBETWEEN(1,10))</f>
        <v>41620</v>
      </c>
      <c r="G217" t="s">
        <v>26</v>
      </c>
      <c r="H217" t="s">
        <v>63</v>
      </c>
      <c r="I217" t="s">
        <v>86</v>
      </c>
      <c r="J217">
        <v>234.535</v>
      </c>
      <c r="K217">
        <v>0.03</v>
      </c>
      <c r="L217">
        <v>0.6</v>
      </c>
      <c r="M217">
        <v>171.5</v>
      </c>
      <c r="N217">
        <v>-1316.2275</v>
      </c>
      <c r="O217" s="1" t="s">
        <v>64</v>
      </c>
      <c r="P217" s="1" t="s">
        <v>917</v>
      </c>
      <c r="Q217" s="1" t="s">
        <v>918</v>
      </c>
      <c r="R217" s="1" t="s">
        <v>128</v>
      </c>
      <c r="S217" s="1" t="s">
        <v>423</v>
      </c>
      <c r="T217" s="1" t="s">
        <v>424</v>
      </c>
      <c r="U217" s="2" t="s">
        <v>919</v>
      </c>
      <c r="V217" s="2" t="s">
        <v>47</v>
      </c>
      <c r="W217" s="2" t="s">
        <v>71</v>
      </c>
      <c r="X217" s="2">
        <v>15.68</v>
      </c>
    </row>
    <row r="218" spans="1:24" x14ac:dyDescent="0.3">
      <c r="A218">
        <v>18121</v>
      </c>
      <c r="B218" t="s">
        <v>920</v>
      </c>
      <c r="C218" s="3">
        <v>41350</v>
      </c>
      <c r="D218" t="s">
        <v>62</v>
      </c>
      <c r="E218">
        <v>10</v>
      </c>
      <c r="F218" s="3">
        <f ca="1">41351+(RANDBETWEEN(1,10))</f>
        <v>41359</v>
      </c>
      <c r="G218" t="s">
        <v>26</v>
      </c>
      <c r="H218" t="s">
        <v>96</v>
      </c>
      <c r="I218" t="s">
        <v>86</v>
      </c>
      <c r="J218">
        <v>43.575000000000003</v>
      </c>
      <c r="K218">
        <v>0.1</v>
      </c>
      <c r="L218">
        <v>0.81</v>
      </c>
      <c r="M218">
        <v>2.4500000000000002</v>
      </c>
      <c r="N218">
        <v>-67.094999999999999</v>
      </c>
      <c r="O218" s="1" t="s">
        <v>40</v>
      </c>
      <c r="P218" s="1" t="s">
        <v>921</v>
      </c>
      <c r="Q218" s="1" t="s">
        <v>922</v>
      </c>
      <c r="R218" s="1" t="s">
        <v>43</v>
      </c>
      <c r="S218" s="1" t="s">
        <v>923</v>
      </c>
      <c r="T218" s="1" t="s">
        <v>924</v>
      </c>
      <c r="U218" s="2" t="s">
        <v>925</v>
      </c>
      <c r="V218" s="2" t="s">
        <v>47</v>
      </c>
      <c r="W218" s="2" t="s">
        <v>176</v>
      </c>
      <c r="X218" s="2">
        <v>4.41</v>
      </c>
    </row>
    <row r="219" spans="1:24" x14ac:dyDescent="0.3">
      <c r="A219">
        <v>18122</v>
      </c>
      <c r="B219" t="s">
        <v>920</v>
      </c>
      <c r="C219" s="3">
        <v>41350</v>
      </c>
      <c r="D219" t="s">
        <v>62</v>
      </c>
      <c r="E219">
        <v>2</v>
      </c>
      <c r="F219" s="3">
        <f ca="1">41352+(RANDBETWEEN(1,10))</f>
        <v>41358</v>
      </c>
      <c r="G219" t="s">
        <v>26</v>
      </c>
      <c r="H219" t="s">
        <v>96</v>
      </c>
      <c r="I219" t="s">
        <v>86</v>
      </c>
      <c r="J219">
        <v>27.895</v>
      </c>
      <c r="K219">
        <v>0.1</v>
      </c>
      <c r="L219">
        <v>0.44</v>
      </c>
      <c r="M219">
        <v>4.2</v>
      </c>
      <c r="N219">
        <v>-4.375</v>
      </c>
      <c r="O219" s="1" t="s">
        <v>64</v>
      </c>
      <c r="P219" s="1" t="s">
        <v>926</v>
      </c>
      <c r="Q219" s="1" t="s">
        <v>927</v>
      </c>
      <c r="R219" s="1" t="s">
        <v>128</v>
      </c>
      <c r="S219" s="1" t="s">
        <v>928</v>
      </c>
      <c r="T219" s="1" t="s">
        <v>929</v>
      </c>
      <c r="U219" s="2" t="s">
        <v>103</v>
      </c>
      <c r="V219" s="2" t="s">
        <v>47</v>
      </c>
      <c r="W219" s="2" t="s">
        <v>104</v>
      </c>
      <c r="X219" s="2">
        <v>14.91</v>
      </c>
    </row>
    <row r="220" spans="1:24" x14ac:dyDescent="0.3">
      <c r="A220">
        <v>18123</v>
      </c>
      <c r="B220" t="s">
        <v>930</v>
      </c>
      <c r="C220" s="3">
        <v>41687</v>
      </c>
      <c r="D220" t="s">
        <v>62</v>
      </c>
      <c r="E220">
        <v>5</v>
      </c>
      <c r="F220" s="3">
        <f ca="1">41690+(RANDBETWEEN(1,10))</f>
        <v>41700</v>
      </c>
      <c r="G220" t="s">
        <v>26</v>
      </c>
      <c r="H220" t="s">
        <v>51</v>
      </c>
      <c r="I220" t="s">
        <v>28</v>
      </c>
      <c r="J220">
        <v>52.36</v>
      </c>
      <c r="K220">
        <v>0.03</v>
      </c>
      <c r="L220">
        <v>0.57999999999999996</v>
      </c>
      <c r="M220">
        <v>12.25</v>
      </c>
      <c r="N220">
        <v>2271.402</v>
      </c>
      <c r="O220" s="1" t="s">
        <v>87</v>
      </c>
      <c r="P220" s="1" t="s">
        <v>931</v>
      </c>
      <c r="Q220" s="1" t="s">
        <v>932</v>
      </c>
      <c r="R220" s="1" t="s">
        <v>646</v>
      </c>
      <c r="S220" s="1" t="s">
        <v>933</v>
      </c>
      <c r="T220" s="1" t="s">
        <v>934</v>
      </c>
      <c r="U220" s="2" t="s">
        <v>935</v>
      </c>
      <c r="V220" s="2" t="s">
        <v>47</v>
      </c>
      <c r="W220" s="2" t="s">
        <v>104</v>
      </c>
      <c r="X220" s="2">
        <v>9.59</v>
      </c>
    </row>
    <row r="221" spans="1:24" x14ac:dyDescent="0.3">
      <c r="A221">
        <v>18124</v>
      </c>
      <c r="B221" t="s">
        <v>936</v>
      </c>
      <c r="C221" s="3">
        <v>41278</v>
      </c>
      <c r="D221" t="s">
        <v>62</v>
      </c>
      <c r="E221">
        <v>9</v>
      </c>
      <c r="F221" s="3">
        <f ca="1">41280+(RANDBETWEEN(1,10))</f>
        <v>41283</v>
      </c>
      <c r="G221" t="s">
        <v>26</v>
      </c>
      <c r="H221" t="s">
        <v>27</v>
      </c>
      <c r="I221" t="s">
        <v>28</v>
      </c>
      <c r="J221">
        <v>361.375</v>
      </c>
      <c r="K221">
        <v>0.08</v>
      </c>
      <c r="L221">
        <v>0.4</v>
      </c>
      <c r="M221">
        <v>19.704999999999998</v>
      </c>
      <c r="N221">
        <v>33.847169999999998</v>
      </c>
      <c r="O221" s="1" t="s">
        <v>64</v>
      </c>
      <c r="P221" s="1" t="s">
        <v>937</v>
      </c>
      <c r="Q221" s="1" t="s">
        <v>938</v>
      </c>
      <c r="R221" s="1" t="s">
        <v>128</v>
      </c>
      <c r="S221" s="1" t="s">
        <v>939</v>
      </c>
      <c r="T221" s="1" t="s">
        <v>940</v>
      </c>
      <c r="U221" s="2" t="s">
        <v>941</v>
      </c>
      <c r="V221" s="2" t="s">
        <v>47</v>
      </c>
      <c r="W221" s="2" t="s">
        <v>111</v>
      </c>
      <c r="X221" s="2">
        <v>40.950000000000003</v>
      </c>
    </row>
    <row r="222" spans="1:24" x14ac:dyDescent="0.3">
      <c r="A222">
        <v>18125</v>
      </c>
      <c r="B222" t="s">
        <v>936</v>
      </c>
      <c r="C222" s="3">
        <v>41278</v>
      </c>
      <c r="D222" t="s">
        <v>62</v>
      </c>
      <c r="E222">
        <v>1</v>
      </c>
      <c r="F222" s="3">
        <f ca="1">41278+(RANDBETWEEN(1,10))</f>
        <v>41280</v>
      </c>
      <c r="G222" t="s">
        <v>26</v>
      </c>
      <c r="H222" t="s">
        <v>27</v>
      </c>
      <c r="I222" t="s">
        <v>28</v>
      </c>
      <c r="J222">
        <v>67.375</v>
      </c>
      <c r="K222">
        <v>0.09</v>
      </c>
      <c r="L222">
        <v>0.49</v>
      </c>
      <c r="M222">
        <v>32.9</v>
      </c>
      <c r="N222">
        <v>-226.283694</v>
      </c>
      <c r="O222" s="1" t="s">
        <v>64</v>
      </c>
      <c r="P222" s="1" t="s">
        <v>937</v>
      </c>
      <c r="Q222" s="1" t="s">
        <v>938</v>
      </c>
      <c r="R222" s="1" t="s">
        <v>128</v>
      </c>
      <c r="S222" s="1" t="s">
        <v>939</v>
      </c>
      <c r="T222" s="1" t="s">
        <v>940</v>
      </c>
      <c r="U222" s="2" t="s">
        <v>942</v>
      </c>
      <c r="V222" s="2" t="s">
        <v>36</v>
      </c>
      <c r="W222" s="2" t="s">
        <v>142</v>
      </c>
      <c r="X222" s="2">
        <v>55.965000000000003</v>
      </c>
    </row>
    <row r="223" spans="1:24" x14ac:dyDescent="0.3">
      <c r="A223">
        <v>18126</v>
      </c>
      <c r="B223" t="s">
        <v>943</v>
      </c>
      <c r="C223" s="3">
        <v>41459</v>
      </c>
      <c r="D223" t="s">
        <v>50</v>
      </c>
      <c r="E223">
        <v>13</v>
      </c>
      <c r="F223" s="3">
        <f ca="1">41461+(RANDBETWEEN(1,10))</f>
        <v>41465</v>
      </c>
      <c r="G223" t="s">
        <v>26</v>
      </c>
      <c r="H223" t="s">
        <v>281</v>
      </c>
      <c r="I223" t="s">
        <v>86</v>
      </c>
      <c r="J223">
        <v>230.47499999999999</v>
      </c>
      <c r="K223">
        <v>0.02</v>
      </c>
      <c r="L223">
        <v>0.54</v>
      </c>
      <c r="M223">
        <v>19.984999999999999</v>
      </c>
      <c r="N223">
        <v>-1125.971</v>
      </c>
      <c r="O223" s="1" t="s">
        <v>87</v>
      </c>
      <c r="P223" s="1" t="s">
        <v>944</v>
      </c>
      <c r="Q223" s="1" t="s">
        <v>945</v>
      </c>
      <c r="R223" s="1" t="s">
        <v>90</v>
      </c>
      <c r="S223" s="1" t="s">
        <v>946</v>
      </c>
      <c r="T223" s="1" t="s">
        <v>947</v>
      </c>
      <c r="U223" s="2" t="s">
        <v>948</v>
      </c>
      <c r="V223" s="2" t="s">
        <v>83</v>
      </c>
      <c r="W223" s="2" t="s">
        <v>178</v>
      </c>
      <c r="X223" s="2">
        <v>17.395</v>
      </c>
    </row>
    <row r="224" spans="1:24" x14ac:dyDescent="0.3">
      <c r="A224">
        <v>18127</v>
      </c>
      <c r="B224" t="s">
        <v>949</v>
      </c>
      <c r="C224" s="3">
        <v>41236</v>
      </c>
      <c r="D224" t="s">
        <v>148</v>
      </c>
      <c r="E224">
        <v>38</v>
      </c>
      <c r="F224" s="3">
        <f ca="1">41237+(RANDBETWEEN(1,10))</f>
        <v>41238</v>
      </c>
      <c r="G224" t="s">
        <v>26</v>
      </c>
      <c r="H224" t="s">
        <v>27</v>
      </c>
      <c r="I224" t="s">
        <v>97</v>
      </c>
      <c r="J224">
        <v>581.80499999999995</v>
      </c>
      <c r="K224">
        <v>0.01</v>
      </c>
      <c r="L224">
        <v>0.4</v>
      </c>
      <c r="M224">
        <v>21.63</v>
      </c>
      <c r="N224">
        <v>116.795</v>
      </c>
      <c r="O224" s="1" t="s">
        <v>40</v>
      </c>
      <c r="P224" s="1" t="s">
        <v>950</v>
      </c>
      <c r="Q224" s="1" t="s">
        <v>951</v>
      </c>
      <c r="R224" s="1" t="s">
        <v>43</v>
      </c>
      <c r="S224" s="1" t="s">
        <v>952</v>
      </c>
      <c r="T224" s="1" t="s">
        <v>953</v>
      </c>
      <c r="U224" s="2" t="s">
        <v>954</v>
      </c>
      <c r="V224" s="2" t="s">
        <v>47</v>
      </c>
      <c r="W224" s="2" t="s">
        <v>74</v>
      </c>
      <c r="X224" s="2">
        <v>14.98</v>
      </c>
    </row>
    <row r="225" spans="1:24" x14ac:dyDescent="0.3">
      <c r="A225">
        <v>18128</v>
      </c>
      <c r="B225" t="s">
        <v>949</v>
      </c>
      <c r="C225" s="3">
        <v>41236</v>
      </c>
      <c r="D225" t="s">
        <v>148</v>
      </c>
      <c r="E225">
        <v>27</v>
      </c>
      <c r="F225" s="3">
        <f ca="1">41237+(RANDBETWEEN(1,10))</f>
        <v>41238</v>
      </c>
      <c r="G225" t="s">
        <v>26</v>
      </c>
      <c r="H225" t="s">
        <v>96</v>
      </c>
      <c r="I225" t="s">
        <v>97</v>
      </c>
      <c r="J225">
        <v>367.85</v>
      </c>
      <c r="K225">
        <v>0.04</v>
      </c>
      <c r="L225">
        <v>0.53</v>
      </c>
      <c r="M225">
        <v>7</v>
      </c>
      <c r="N225">
        <v>10.031000000000001</v>
      </c>
      <c r="O225" s="1" t="s">
        <v>40</v>
      </c>
      <c r="P225" s="1" t="s">
        <v>950</v>
      </c>
      <c r="Q225" s="1" t="s">
        <v>951</v>
      </c>
      <c r="R225" s="1" t="s">
        <v>43</v>
      </c>
      <c r="S225" s="1" t="s">
        <v>952</v>
      </c>
      <c r="T225" s="1" t="s">
        <v>953</v>
      </c>
      <c r="U225" s="2" t="s">
        <v>955</v>
      </c>
      <c r="V225" s="2" t="s">
        <v>47</v>
      </c>
      <c r="W225" s="2" t="s">
        <v>176</v>
      </c>
      <c r="X225" s="2">
        <v>13.824999999999999</v>
      </c>
    </row>
    <row r="226" spans="1:24" x14ac:dyDescent="0.3">
      <c r="A226">
        <v>18129</v>
      </c>
      <c r="B226" t="s">
        <v>956</v>
      </c>
      <c r="C226" s="3">
        <v>41747</v>
      </c>
      <c r="D226" t="s">
        <v>25</v>
      </c>
      <c r="E226">
        <v>2</v>
      </c>
      <c r="F226" s="3">
        <f ca="1">41751+(RANDBETWEEN(1,10))</f>
        <v>41757</v>
      </c>
      <c r="G226" t="s">
        <v>26</v>
      </c>
      <c r="H226" t="s">
        <v>27</v>
      </c>
      <c r="I226" t="s">
        <v>28</v>
      </c>
      <c r="J226">
        <v>53.445</v>
      </c>
      <c r="K226">
        <v>0.02</v>
      </c>
      <c r="L226">
        <v>0.37</v>
      </c>
      <c r="M226">
        <v>20.65</v>
      </c>
      <c r="N226">
        <v>-61.53</v>
      </c>
      <c r="O226" s="1" t="s">
        <v>40</v>
      </c>
      <c r="P226" s="1" t="s">
        <v>957</v>
      </c>
      <c r="Q226" s="1" t="s">
        <v>958</v>
      </c>
      <c r="R226" s="1" t="s">
        <v>220</v>
      </c>
      <c r="S226" s="1" t="s">
        <v>959</v>
      </c>
      <c r="T226" s="1" t="s">
        <v>960</v>
      </c>
      <c r="U226" s="2" t="s">
        <v>797</v>
      </c>
      <c r="V226" s="2" t="s">
        <v>47</v>
      </c>
      <c r="W226" s="2" t="s">
        <v>74</v>
      </c>
      <c r="X226" s="2">
        <v>22.68</v>
      </c>
    </row>
    <row r="227" spans="1:24" x14ac:dyDescent="0.3">
      <c r="A227">
        <v>18130</v>
      </c>
      <c r="B227" t="s">
        <v>961</v>
      </c>
      <c r="C227" s="3">
        <v>40586</v>
      </c>
      <c r="D227" t="s">
        <v>148</v>
      </c>
      <c r="E227">
        <v>1</v>
      </c>
      <c r="F227" s="3">
        <f ca="1">40587+(RANDBETWEEN(1,10))</f>
        <v>40592</v>
      </c>
      <c r="G227" t="s">
        <v>26</v>
      </c>
      <c r="H227" t="s">
        <v>27</v>
      </c>
      <c r="I227" t="s">
        <v>97</v>
      </c>
      <c r="J227">
        <v>67.62</v>
      </c>
      <c r="K227">
        <v>0.03</v>
      </c>
      <c r="L227">
        <v>0.38</v>
      </c>
      <c r="M227">
        <v>25.094999999999999</v>
      </c>
      <c r="N227">
        <v>-71.121750000000006</v>
      </c>
      <c r="O227" s="1" t="s">
        <v>29</v>
      </c>
      <c r="P227" s="1" t="s">
        <v>962</v>
      </c>
      <c r="Q227" s="1" t="s">
        <v>963</v>
      </c>
      <c r="R227" s="1" t="s">
        <v>32</v>
      </c>
      <c r="S227" s="1" t="s">
        <v>964</v>
      </c>
      <c r="T227" s="1" t="s">
        <v>965</v>
      </c>
      <c r="U227" s="2" t="s">
        <v>966</v>
      </c>
      <c r="V227" s="2" t="s">
        <v>47</v>
      </c>
      <c r="W227" s="2" t="s">
        <v>111</v>
      </c>
      <c r="X227" s="2">
        <v>43.854999999999997</v>
      </c>
    </row>
    <row r="228" spans="1:24" x14ac:dyDescent="0.3">
      <c r="A228">
        <v>18131</v>
      </c>
      <c r="B228" t="s">
        <v>967</v>
      </c>
      <c r="C228" s="3">
        <v>40685</v>
      </c>
      <c r="D228" t="s">
        <v>148</v>
      </c>
      <c r="E228">
        <v>5</v>
      </c>
      <c r="F228" s="3">
        <f ca="1">40686+(RANDBETWEEN(1,10))</f>
        <v>40690</v>
      </c>
      <c r="G228" t="s">
        <v>76</v>
      </c>
      <c r="H228" t="s">
        <v>77</v>
      </c>
      <c r="I228" t="s">
        <v>97</v>
      </c>
      <c r="J228">
        <v>2115.2249999999999</v>
      </c>
      <c r="K228">
        <v>0.01</v>
      </c>
      <c r="L228">
        <v>0.4</v>
      </c>
      <c r="M228">
        <v>196.49</v>
      </c>
      <c r="N228">
        <v>-575.38319999999999</v>
      </c>
      <c r="O228" s="1" t="s">
        <v>29</v>
      </c>
      <c r="P228" s="1" t="s">
        <v>968</v>
      </c>
      <c r="Q228" s="1" t="s">
        <v>969</v>
      </c>
      <c r="R228" s="1" t="s">
        <v>32</v>
      </c>
      <c r="S228" s="1" t="s">
        <v>970</v>
      </c>
      <c r="T228" s="1" t="s">
        <v>971</v>
      </c>
      <c r="U228" s="2" t="s">
        <v>898</v>
      </c>
      <c r="V228" s="2" t="s">
        <v>36</v>
      </c>
      <c r="W228" s="2" t="s">
        <v>142</v>
      </c>
      <c r="X228" s="2">
        <v>405.96499999999997</v>
      </c>
    </row>
    <row r="229" spans="1:24" x14ac:dyDescent="0.3">
      <c r="A229">
        <v>18132</v>
      </c>
      <c r="B229" t="s">
        <v>972</v>
      </c>
      <c r="C229" s="3">
        <v>41554</v>
      </c>
      <c r="D229" t="s">
        <v>50</v>
      </c>
      <c r="E229">
        <v>9</v>
      </c>
      <c r="F229" s="3">
        <f ca="1">41555+(RANDBETWEEN(1,10))</f>
        <v>41562</v>
      </c>
      <c r="G229" t="s">
        <v>26</v>
      </c>
      <c r="H229" t="s">
        <v>27</v>
      </c>
      <c r="I229" t="s">
        <v>86</v>
      </c>
      <c r="J229">
        <v>219.03</v>
      </c>
      <c r="K229">
        <v>0.02</v>
      </c>
      <c r="L229">
        <v>0.37</v>
      </c>
      <c r="M229">
        <v>17.989999999999998</v>
      </c>
      <c r="N229">
        <v>-88.754400000000004</v>
      </c>
      <c r="O229" s="1" t="s">
        <v>40</v>
      </c>
      <c r="P229" s="1" t="s">
        <v>973</v>
      </c>
      <c r="Q229" s="1" t="s">
        <v>974</v>
      </c>
      <c r="R229" s="1" t="s">
        <v>43</v>
      </c>
      <c r="S229" s="1" t="s">
        <v>975</v>
      </c>
      <c r="T229" s="1" t="s">
        <v>976</v>
      </c>
      <c r="U229" s="2" t="s">
        <v>146</v>
      </c>
      <c r="V229" s="2" t="s">
        <v>47</v>
      </c>
      <c r="W229" s="2" t="s">
        <v>74</v>
      </c>
      <c r="X229" s="2">
        <v>22.68</v>
      </c>
    </row>
    <row r="230" spans="1:24" x14ac:dyDescent="0.3">
      <c r="A230">
        <v>18133</v>
      </c>
      <c r="B230" t="s">
        <v>977</v>
      </c>
      <c r="C230" s="3">
        <v>40708</v>
      </c>
      <c r="D230" t="s">
        <v>50</v>
      </c>
      <c r="E230">
        <v>4</v>
      </c>
      <c r="F230" s="3">
        <f ca="1">40710+(RANDBETWEEN(1,10))</f>
        <v>40717</v>
      </c>
      <c r="G230" t="s">
        <v>26</v>
      </c>
      <c r="H230" t="s">
        <v>96</v>
      </c>
      <c r="I230" t="s">
        <v>28</v>
      </c>
      <c r="J230">
        <v>83.614999999999995</v>
      </c>
      <c r="K230">
        <v>0.01</v>
      </c>
      <c r="L230">
        <v>0.49</v>
      </c>
      <c r="M230">
        <v>2.9049999999999998</v>
      </c>
      <c r="N230">
        <v>56.322000000000003</v>
      </c>
      <c r="O230" s="1" t="s">
        <v>87</v>
      </c>
      <c r="P230" s="1" t="s">
        <v>978</v>
      </c>
      <c r="Q230" s="1" t="s">
        <v>979</v>
      </c>
      <c r="R230" s="1" t="s">
        <v>90</v>
      </c>
      <c r="S230" s="1" t="s">
        <v>980</v>
      </c>
      <c r="T230" s="1" t="s">
        <v>981</v>
      </c>
      <c r="U230" s="2" t="s">
        <v>982</v>
      </c>
      <c r="V230" s="2" t="s">
        <v>47</v>
      </c>
      <c r="W230" s="2" t="s">
        <v>104</v>
      </c>
      <c r="X230" s="2">
        <v>20.440000000000001</v>
      </c>
    </row>
    <row r="231" spans="1:24" x14ac:dyDescent="0.3">
      <c r="A231">
        <v>18134</v>
      </c>
      <c r="B231" t="s">
        <v>983</v>
      </c>
      <c r="C231" s="3">
        <v>41798</v>
      </c>
      <c r="D231" t="s">
        <v>50</v>
      </c>
      <c r="E231">
        <v>12</v>
      </c>
      <c r="F231" s="3">
        <f ca="1">41799+(RANDBETWEEN(1,10))</f>
        <v>41805</v>
      </c>
      <c r="G231" t="s">
        <v>26</v>
      </c>
      <c r="H231" t="s">
        <v>281</v>
      </c>
      <c r="I231" t="s">
        <v>97</v>
      </c>
      <c r="J231">
        <v>940.87</v>
      </c>
      <c r="K231">
        <v>0</v>
      </c>
      <c r="L231">
        <v>0.5</v>
      </c>
      <c r="M231">
        <v>20.79</v>
      </c>
      <c r="N231">
        <v>565.82399999999996</v>
      </c>
      <c r="O231" s="1" t="s">
        <v>225</v>
      </c>
      <c r="P231" s="1" t="s">
        <v>984</v>
      </c>
      <c r="Q231" s="1" t="s">
        <v>985</v>
      </c>
      <c r="R231" s="1" t="s">
        <v>228</v>
      </c>
      <c r="S231" s="1" t="s">
        <v>986</v>
      </c>
      <c r="T231" s="1" t="s">
        <v>987</v>
      </c>
      <c r="U231" s="2" t="s">
        <v>785</v>
      </c>
      <c r="V231" s="2" t="s">
        <v>47</v>
      </c>
      <c r="W231" s="2" t="s">
        <v>71</v>
      </c>
      <c r="X231" s="2">
        <v>76.23</v>
      </c>
    </row>
    <row r="232" spans="1:24" x14ac:dyDescent="0.3">
      <c r="A232">
        <v>18135</v>
      </c>
      <c r="B232" t="s">
        <v>983</v>
      </c>
      <c r="C232" s="3">
        <v>41798</v>
      </c>
      <c r="D232" t="s">
        <v>50</v>
      </c>
      <c r="E232">
        <v>12</v>
      </c>
      <c r="F232" s="3">
        <f ca="1">41800+(RANDBETWEEN(1,10))</f>
        <v>41808</v>
      </c>
      <c r="G232" t="s">
        <v>26</v>
      </c>
      <c r="H232" t="s">
        <v>51</v>
      </c>
      <c r="I232" t="s">
        <v>97</v>
      </c>
      <c r="J232">
        <v>1997.4849999999999</v>
      </c>
      <c r="K232">
        <v>0.04</v>
      </c>
      <c r="L232">
        <v>0.71</v>
      </c>
      <c r="M232">
        <v>12.635</v>
      </c>
      <c r="N232">
        <v>480.73200000000003</v>
      </c>
      <c r="O232" s="1" t="s">
        <v>225</v>
      </c>
      <c r="P232" s="1" t="s">
        <v>984</v>
      </c>
      <c r="Q232" s="1" t="s">
        <v>985</v>
      </c>
      <c r="R232" s="1" t="s">
        <v>228</v>
      </c>
      <c r="S232" s="1" t="s">
        <v>986</v>
      </c>
      <c r="T232" s="1" t="s">
        <v>987</v>
      </c>
      <c r="U232" s="2" t="s">
        <v>267</v>
      </c>
      <c r="V232" s="2" t="s">
        <v>36</v>
      </c>
      <c r="W232" s="2" t="s">
        <v>60</v>
      </c>
      <c r="X232" s="2">
        <v>167.93</v>
      </c>
    </row>
    <row r="233" spans="1:24" x14ac:dyDescent="0.3">
      <c r="A233">
        <v>18136</v>
      </c>
      <c r="B233" t="s">
        <v>988</v>
      </c>
      <c r="C233" s="3">
        <v>41079</v>
      </c>
      <c r="D233" t="s">
        <v>50</v>
      </c>
      <c r="E233">
        <v>9</v>
      </c>
      <c r="F233" s="3">
        <f ca="1">41079+(RANDBETWEEN(1,10))</f>
        <v>41084</v>
      </c>
      <c r="G233" t="s">
        <v>26</v>
      </c>
      <c r="H233" t="s">
        <v>27</v>
      </c>
      <c r="I233" t="s">
        <v>28</v>
      </c>
      <c r="J233">
        <v>2274.895</v>
      </c>
      <c r="K233">
        <v>0.04</v>
      </c>
      <c r="L233">
        <v>0.59</v>
      </c>
      <c r="M233">
        <v>12.25</v>
      </c>
      <c r="N233">
        <v>-41.642650000000003</v>
      </c>
      <c r="O233" s="1" t="s">
        <v>64</v>
      </c>
      <c r="P233" s="1" t="s">
        <v>763</v>
      </c>
      <c r="Q233" s="1" t="s">
        <v>764</v>
      </c>
      <c r="R233" s="1" t="s">
        <v>67</v>
      </c>
      <c r="S233" s="1" t="s">
        <v>765</v>
      </c>
      <c r="T233" s="1" t="s">
        <v>766</v>
      </c>
      <c r="U233" s="2" t="s">
        <v>989</v>
      </c>
      <c r="V233" s="2" t="s">
        <v>47</v>
      </c>
      <c r="W233" s="2" t="s">
        <v>71</v>
      </c>
      <c r="X233" s="2">
        <v>248.39500000000001</v>
      </c>
    </row>
    <row r="234" spans="1:24" x14ac:dyDescent="0.3">
      <c r="A234">
        <v>18137</v>
      </c>
      <c r="B234" t="s">
        <v>990</v>
      </c>
      <c r="C234" s="3">
        <v>41592</v>
      </c>
      <c r="D234" t="s">
        <v>25</v>
      </c>
      <c r="E234">
        <v>14</v>
      </c>
      <c r="F234" s="3">
        <f ca="1">41592+(RANDBETWEEN(1,10))</f>
        <v>41596</v>
      </c>
      <c r="G234" t="s">
        <v>26</v>
      </c>
      <c r="H234" t="s">
        <v>27</v>
      </c>
      <c r="I234" t="s">
        <v>97</v>
      </c>
      <c r="J234">
        <v>302.47000000000003</v>
      </c>
      <c r="K234">
        <v>0.06</v>
      </c>
      <c r="L234">
        <v>0.6</v>
      </c>
      <c r="M234">
        <v>18.27</v>
      </c>
      <c r="N234">
        <v>24.478999999999999</v>
      </c>
      <c r="O234" s="1" t="s">
        <v>87</v>
      </c>
      <c r="P234" s="1" t="s">
        <v>991</v>
      </c>
      <c r="Q234" s="1" t="s">
        <v>992</v>
      </c>
      <c r="R234" s="1" t="s">
        <v>90</v>
      </c>
      <c r="S234" s="1" t="s">
        <v>993</v>
      </c>
      <c r="T234" s="1" t="s">
        <v>994</v>
      </c>
      <c r="U234" s="2" t="s">
        <v>995</v>
      </c>
      <c r="V234" s="2" t="s">
        <v>83</v>
      </c>
      <c r="W234" s="2" t="s">
        <v>178</v>
      </c>
      <c r="X234" s="2">
        <v>21.84</v>
      </c>
    </row>
    <row r="235" spans="1:24" x14ac:dyDescent="0.3">
      <c r="A235">
        <v>18138</v>
      </c>
      <c r="B235" t="s">
        <v>996</v>
      </c>
      <c r="C235" s="3">
        <v>40976</v>
      </c>
      <c r="D235" t="s">
        <v>62</v>
      </c>
      <c r="E235">
        <v>13</v>
      </c>
      <c r="F235" s="3">
        <f ca="1">40976+(RANDBETWEEN(1,10))</f>
        <v>40985</v>
      </c>
      <c r="G235" t="s">
        <v>26</v>
      </c>
      <c r="H235" t="s">
        <v>27</v>
      </c>
      <c r="I235" t="s">
        <v>97</v>
      </c>
      <c r="J235">
        <v>1134.3499999999999</v>
      </c>
      <c r="K235">
        <v>0.01</v>
      </c>
      <c r="L235">
        <v>0.39</v>
      </c>
      <c r="M235">
        <v>45.43</v>
      </c>
      <c r="N235">
        <v>183.6765</v>
      </c>
      <c r="O235" s="1" t="s">
        <v>29</v>
      </c>
      <c r="P235" s="1" t="s">
        <v>997</v>
      </c>
      <c r="Q235" s="1" t="s">
        <v>998</v>
      </c>
      <c r="R235" s="1" t="s">
        <v>32</v>
      </c>
      <c r="S235" s="1" t="s">
        <v>999</v>
      </c>
      <c r="T235" s="1" t="s">
        <v>1000</v>
      </c>
      <c r="U235" s="2" t="s">
        <v>559</v>
      </c>
      <c r="V235" s="2" t="s">
        <v>47</v>
      </c>
      <c r="W235" s="2" t="s">
        <v>111</v>
      </c>
      <c r="X235" s="2">
        <v>87.22</v>
      </c>
    </row>
    <row r="236" spans="1:24" x14ac:dyDescent="0.3">
      <c r="A236">
        <v>18139</v>
      </c>
      <c r="B236" t="s">
        <v>1001</v>
      </c>
      <c r="C236" s="3">
        <v>41062</v>
      </c>
      <c r="D236" t="s">
        <v>39</v>
      </c>
      <c r="E236">
        <v>15</v>
      </c>
      <c r="F236" s="3">
        <f ca="1">41064+(RANDBETWEEN(1,10))</f>
        <v>41070</v>
      </c>
      <c r="G236" t="s">
        <v>26</v>
      </c>
      <c r="H236" t="s">
        <v>27</v>
      </c>
      <c r="I236" t="s">
        <v>52</v>
      </c>
      <c r="J236">
        <v>887.42499999999995</v>
      </c>
      <c r="K236">
        <v>0.03</v>
      </c>
      <c r="L236">
        <v>0.48</v>
      </c>
      <c r="M236">
        <v>22.75</v>
      </c>
      <c r="N236">
        <v>190.63800000000001</v>
      </c>
      <c r="O236" s="1" t="s">
        <v>29</v>
      </c>
      <c r="P236" s="1" t="s">
        <v>1002</v>
      </c>
      <c r="Q236" s="1" t="s">
        <v>1003</v>
      </c>
      <c r="R236" s="1" t="s">
        <v>460</v>
      </c>
      <c r="S236" s="1" t="s">
        <v>1004</v>
      </c>
      <c r="T236" s="1" t="s">
        <v>1005</v>
      </c>
      <c r="U236" s="2" t="s">
        <v>1006</v>
      </c>
      <c r="V236" s="2" t="s">
        <v>36</v>
      </c>
      <c r="W236" s="2" t="s">
        <v>60</v>
      </c>
      <c r="X236" s="2">
        <v>55.93</v>
      </c>
    </row>
    <row r="237" spans="1:24" x14ac:dyDescent="0.3">
      <c r="A237">
        <v>18140</v>
      </c>
      <c r="B237" t="s">
        <v>1001</v>
      </c>
      <c r="C237" s="3">
        <v>41062</v>
      </c>
      <c r="D237" t="s">
        <v>39</v>
      </c>
      <c r="E237">
        <v>10</v>
      </c>
      <c r="F237" s="3">
        <f ca="1">41062+(RANDBETWEEN(1,10))</f>
        <v>41067</v>
      </c>
      <c r="G237" t="s">
        <v>76</v>
      </c>
      <c r="H237" t="s">
        <v>258</v>
      </c>
      <c r="I237" t="s">
        <v>52</v>
      </c>
      <c r="J237">
        <v>10323.040000000001</v>
      </c>
      <c r="K237">
        <v>0.04</v>
      </c>
      <c r="L237">
        <v>0.76</v>
      </c>
      <c r="M237">
        <v>189.42</v>
      </c>
      <c r="N237">
        <v>-2004.1789768000001</v>
      </c>
      <c r="O237" s="1" t="s">
        <v>29</v>
      </c>
      <c r="P237" s="1" t="s">
        <v>1002</v>
      </c>
      <c r="Q237" s="1" t="s">
        <v>1003</v>
      </c>
      <c r="R237" s="1" t="s">
        <v>460</v>
      </c>
      <c r="S237" s="1" t="s">
        <v>1004</v>
      </c>
      <c r="T237" s="1" t="s">
        <v>1005</v>
      </c>
      <c r="U237" s="2" t="s">
        <v>1007</v>
      </c>
      <c r="V237" s="2" t="s">
        <v>83</v>
      </c>
      <c r="W237" s="2" t="s">
        <v>263</v>
      </c>
      <c r="X237" s="2">
        <v>1036.6300000000001</v>
      </c>
    </row>
    <row r="238" spans="1:24" x14ac:dyDescent="0.3">
      <c r="A238">
        <v>18141</v>
      </c>
      <c r="B238" t="s">
        <v>1008</v>
      </c>
      <c r="C238" s="3">
        <v>40816</v>
      </c>
      <c r="D238" t="s">
        <v>50</v>
      </c>
      <c r="E238">
        <v>13</v>
      </c>
      <c r="F238" s="3">
        <f ca="1">40817+(RANDBETWEEN(1,10))</f>
        <v>40822</v>
      </c>
      <c r="G238" t="s">
        <v>26</v>
      </c>
      <c r="H238" t="s">
        <v>27</v>
      </c>
      <c r="I238" t="s">
        <v>97</v>
      </c>
      <c r="J238">
        <v>1872.78</v>
      </c>
      <c r="K238">
        <v>7.0000000000000007E-2</v>
      </c>
      <c r="L238">
        <v>0.36</v>
      </c>
      <c r="M238">
        <v>10.465</v>
      </c>
      <c r="N238">
        <v>1292.2182</v>
      </c>
      <c r="O238" s="1" t="s">
        <v>29</v>
      </c>
      <c r="P238" s="1" t="s">
        <v>1009</v>
      </c>
      <c r="Q238" s="1" t="s">
        <v>1010</v>
      </c>
      <c r="R238" s="1" t="s">
        <v>675</v>
      </c>
      <c r="S238" s="1" t="s">
        <v>1011</v>
      </c>
      <c r="T238" s="1" t="s">
        <v>1012</v>
      </c>
      <c r="U238" s="2" t="s">
        <v>180</v>
      </c>
      <c r="V238" s="2" t="s">
        <v>47</v>
      </c>
      <c r="W238" s="2" t="s">
        <v>111</v>
      </c>
      <c r="X238" s="2">
        <v>143.43</v>
      </c>
    </row>
    <row r="239" spans="1:24" x14ac:dyDescent="0.3">
      <c r="A239">
        <v>18142</v>
      </c>
      <c r="B239" t="s">
        <v>1013</v>
      </c>
      <c r="C239" s="3">
        <v>40750</v>
      </c>
      <c r="D239" t="s">
        <v>50</v>
      </c>
      <c r="E239">
        <v>3</v>
      </c>
      <c r="F239" s="3">
        <f ca="1">40753+(RANDBETWEEN(1,10))</f>
        <v>40763</v>
      </c>
      <c r="G239" t="s">
        <v>26</v>
      </c>
      <c r="H239" t="s">
        <v>27</v>
      </c>
      <c r="I239" t="s">
        <v>28</v>
      </c>
      <c r="J239">
        <v>2022.125</v>
      </c>
      <c r="K239">
        <v>0.09</v>
      </c>
      <c r="L239">
        <v>0.55000000000000004</v>
      </c>
      <c r="M239">
        <v>3.4649999999999999</v>
      </c>
      <c r="N239">
        <v>1259.405</v>
      </c>
      <c r="O239" s="1" t="s">
        <v>40</v>
      </c>
      <c r="P239" s="1" t="s">
        <v>1014</v>
      </c>
      <c r="Q239" s="1" t="s">
        <v>1015</v>
      </c>
      <c r="R239" s="1" t="s">
        <v>43</v>
      </c>
      <c r="S239" s="1" t="s">
        <v>1016</v>
      </c>
      <c r="T239" s="1" t="s">
        <v>1017</v>
      </c>
      <c r="U239" s="2" t="s">
        <v>1018</v>
      </c>
      <c r="V239" s="2" t="s">
        <v>47</v>
      </c>
      <c r="W239" s="2" t="s">
        <v>71</v>
      </c>
      <c r="X239" s="2">
        <v>726.18</v>
      </c>
    </row>
    <row r="240" spans="1:24" x14ac:dyDescent="0.3">
      <c r="A240">
        <v>18143</v>
      </c>
      <c r="B240" t="s">
        <v>1019</v>
      </c>
      <c r="C240" s="3">
        <v>41334</v>
      </c>
      <c r="D240" t="s">
        <v>25</v>
      </c>
      <c r="E240">
        <v>6</v>
      </c>
      <c r="F240" s="3">
        <f ca="1">41339+(RANDBETWEEN(1,10))</f>
        <v>41345</v>
      </c>
      <c r="G240" t="s">
        <v>156</v>
      </c>
      <c r="H240" t="s">
        <v>27</v>
      </c>
      <c r="I240" t="s">
        <v>52</v>
      </c>
      <c r="J240">
        <v>1222.69</v>
      </c>
      <c r="K240">
        <v>0.06</v>
      </c>
      <c r="L240">
        <v>0.56999999999999995</v>
      </c>
      <c r="M240">
        <v>13.965</v>
      </c>
      <c r="N240">
        <v>843.65610000000004</v>
      </c>
      <c r="O240" s="1" t="s">
        <v>64</v>
      </c>
      <c r="P240" s="1" t="s">
        <v>1020</v>
      </c>
      <c r="Q240" s="1" t="s">
        <v>1021</v>
      </c>
      <c r="R240" s="1" t="s">
        <v>67</v>
      </c>
      <c r="S240" s="1" t="s">
        <v>1022</v>
      </c>
      <c r="T240" s="1" t="s">
        <v>1023</v>
      </c>
      <c r="U240" s="2" t="s">
        <v>1024</v>
      </c>
      <c r="V240" s="2" t="s">
        <v>47</v>
      </c>
      <c r="W240" s="2" t="s">
        <v>71</v>
      </c>
      <c r="X240" s="2">
        <v>209.93</v>
      </c>
    </row>
    <row r="241" spans="1:24" x14ac:dyDescent="0.3">
      <c r="A241">
        <v>18144</v>
      </c>
      <c r="B241" t="s">
        <v>1019</v>
      </c>
      <c r="C241" s="3">
        <v>41334</v>
      </c>
      <c r="D241" t="s">
        <v>25</v>
      </c>
      <c r="E241">
        <v>7</v>
      </c>
      <c r="F241" s="3">
        <f ca="1">41336+(RANDBETWEEN(1,10))</f>
        <v>41337</v>
      </c>
      <c r="G241" t="s">
        <v>156</v>
      </c>
      <c r="H241" t="s">
        <v>27</v>
      </c>
      <c r="I241" t="s">
        <v>52</v>
      </c>
      <c r="J241">
        <v>367.67500000000001</v>
      </c>
      <c r="K241">
        <v>0.02</v>
      </c>
      <c r="L241">
        <v>0.48</v>
      </c>
      <c r="M241">
        <v>25.9</v>
      </c>
      <c r="N241">
        <v>157.5</v>
      </c>
      <c r="O241" s="1" t="s">
        <v>64</v>
      </c>
      <c r="P241" s="1" t="s">
        <v>1020</v>
      </c>
      <c r="Q241" s="1" t="s">
        <v>1021</v>
      </c>
      <c r="R241" s="1" t="s">
        <v>67</v>
      </c>
      <c r="S241" s="1" t="s">
        <v>1022</v>
      </c>
      <c r="T241" s="1" t="s">
        <v>1023</v>
      </c>
      <c r="U241" s="2" t="s">
        <v>1025</v>
      </c>
      <c r="V241" s="2" t="s">
        <v>83</v>
      </c>
      <c r="W241" s="2" t="s">
        <v>178</v>
      </c>
      <c r="X241" s="2">
        <v>51.03</v>
      </c>
    </row>
    <row r="242" spans="1:24" x14ac:dyDescent="0.3">
      <c r="A242">
        <v>18145</v>
      </c>
      <c r="B242" t="s">
        <v>1026</v>
      </c>
      <c r="C242" s="3">
        <v>41913</v>
      </c>
      <c r="D242" t="s">
        <v>39</v>
      </c>
      <c r="E242">
        <v>11</v>
      </c>
      <c r="F242" s="3">
        <f ca="1">41916+(RANDBETWEEN(1,10))</f>
        <v>41920</v>
      </c>
      <c r="G242" t="s">
        <v>26</v>
      </c>
      <c r="H242" t="s">
        <v>27</v>
      </c>
      <c r="I242" t="s">
        <v>28</v>
      </c>
      <c r="J242">
        <v>417.375</v>
      </c>
      <c r="K242">
        <v>0.04</v>
      </c>
      <c r="L242">
        <v>0.64</v>
      </c>
      <c r="M242">
        <v>22.75</v>
      </c>
      <c r="N242">
        <v>-350.56</v>
      </c>
      <c r="O242" s="1" t="s">
        <v>87</v>
      </c>
      <c r="P242" s="1" t="s">
        <v>1027</v>
      </c>
      <c r="Q242" s="1" t="s">
        <v>1028</v>
      </c>
      <c r="R242" s="1" t="s">
        <v>398</v>
      </c>
      <c r="S242" s="1" t="s">
        <v>1029</v>
      </c>
      <c r="T242" s="1" t="s">
        <v>1030</v>
      </c>
      <c r="U242" s="2" t="s">
        <v>337</v>
      </c>
      <c r="V242" s="2" t="s">
        <v>36</v>
      </c>
      <c r="W242" s="2" t="s">
        <v>60</v>
      </c>
      <c r="X242" s="2">
        <v>38.395000000000003</v>
      </c>
    </row>
    <row r="243" spans="1:24" x14ac:dyDescent="0.3">
      <c r="A243">
        <v>18146</v>
      </c>
      <c r="B243" t="s">
        <v>1026</v>
      </c>
      <c r="C243" s="3">
        <v>41913</v>
      </c>
      <c r="D243" t="s">
        <v>39</v>
      </c>
      <c r="E243">
        <v>20</v>
      </c>
      <c r="F243" s="3">
        <f ca="1">41915+(RANDBETWEEN(1,10))</f>
        <v>41916</v>
      </c>
      <c r="G243" t="s">
        <v>26</v>
      </c>
      <c r="H243" t="s">
        <v>51</v>
      </c>
      <c r="I243" t="s">
        <v>28</v>
      </c>
      <c r="J243">
        <v>151.375</v>
      </c>
      <c r="K243">
        <v>0.04</v>
      </c>
      <c r="L243">
        <v>0.55000000000000004</v>
      </c>
      <c r="M243">
        <v>8.9600000000000009</v>
      </c>
      <c r="N243">
        <v>-225.01499999999999</v>
      </c>
      <c r="O243" s="1" t="s">
        <v>87</v>
      </c>
      <c r="P243" s="1" t="s">
        <v>1027</v>
      </c>
      <c r="Q243" s="1" t="s">
        <v>1028</v>
      </c>
      <c r="R243" s="1" t="s">
        <v>398</v>
      </c>
      <c r="S243" s="1" t="s">
        <v>1029</v>
      </c>
      <c r="T243" s="1" t="s">
        <v>1030</v>
      </c>
      <c r="U243" s="2" t="s">
        <v>401</v>
      </c>
      <c r="V243" s="2" t="s">
        <v>47</v>
      </c>
      <c r="W243" s="2" t="s">
        <v>94</v>
      </c>
      <c r="X243" s="2">
        <v>7.28</v>
      </c>
    </row>
    <row r="244" spans="1:24" x14ac:dyDescent="0.3">
      <c r="A244">
        <v>18147</v>
      </c>
      <c r="B244" t="s">
        <v>1031</v>
      </c>
      <c r="C244" s="3">
        <v>40893</v>
      </c>
      <c r="D244" t="s">
        <v>62</v>
      </c>
      <c r="E244">
        <v>10</v>
      </c>
      <c r="F244" s="3">
        <f ca="1">40894+(RANDBETWEEN(1,10))</f>
        <v>40896</v>
      </c>
      <c r="G244" t="s">
        <v>156</v>
      </c>
      <c r="H244" t="s">
        <v>281</v>
      </c>
      <c r="I244" t="s">
        <v>86</v>
      </c>
      <c r="J244">
        <v>1467.4449999999999</v>
      </c>
      <c r="K244">
        <v>0.03</v>
      </c>
      <c r="L244">
        <v>0.76</v>
      </c>
      <c r="M244">
        <v>205.31</v>
      </c>
      <c r="N244">
        <v>-114.85599999999999</v>
      </c>
      <c r="O244" s="1" t="s">
        <v>40</v>
      </c>
      <c r="P244" s="1" t="s">
        <v>1032</v>
      </c>
      <c r="Q244" s="1" t="s">
        <v>1033</v>
      </c>
      <c r="R244" s="1" t="s">
        <v>43</v>
      </c>
      <c r="S244" s="1" t="s">
        <v>1034</v>
      </c>
      <c r="T244" s="1" t="s">
        <v>1035</v>
      </c>
      <c r="U244" s="2" t="s">
        <v>880</v>
      </c>
      <c r="V244" s="2" t="s">
        <v>83</v>
      </c>
      <c r="W244" s="2" t="s">
        <v>178</v>
      </c>
      <c r="X244" s="2">
        <v>144.62</v>
      </c>
    </row>
    <row r="245" spans="1:24" x14ac:dyDescent="0.3">
      <c r="A245">
        <v>18148</v>
      </c>
      <c r="B245" t="s">
        <v>1031</v>
      </c>
      <c r="C245" s="3">
        <v>40893</v>
      </c>
      <c r="D245" t="s">
        <v>62</v>
      </c>
      <c r="E245">
        <v>5</v>
      </c>
      <c r="F245" s="3">
        <f ca="1">40893+(RANDBETWEEN(1,10))</f>
        <v>40895</v>
      </c>
      <c r="G245" t="s">
        <v>26</v>
      </c>
      <c r="H245" t="s">
        <v>96</v>
      </c>
      <c r="I245" t="s">
        <v>86</v>
      </c>
      <c r="J245">
        <v>126</v>
      </c>
      <c r="K245">
        <v>0</v>
      </c>
      <c r="L245">
        <v>0.39</v>
      </c>
      <c r="M245">
        <v>7</v>
      </c>
      <c r="N245">
        <v>-54.634999999999998</v>
      </c>
      <c r="O245" s="1" t="s">
        <v>40</v>
      </c>
      <c r="P245" s="1" t="s">
        <v>1032</v>
      </c>
      <c r="Q245" s="1" t="s">
        <v>1033</v>
      </c>
      <c r="R245" s="1" t="s">
        <v>43</v>
      </c>
      <c r="S245" s="1" t="s">
        <v>1034</v>
      </c>
      <c r="T245" s="1" t="s">
        <v>1035</v>
      </c>
      <c r="U245" s="2" t="s">
        <v>336</v>
      </c>
      <c r="V245" s="2" t="s">
        <v>47</v>
      </c>
      <c r="W245" s="2" t="s">
        <v>74</v>
      </c>
      <c r="X245" s="2">
        <v>24.08</v>
      </c>
    </row>
    <row r="246" spans="1:24" x14ac:dyDescent="0.3">
      <c r="A246">
        <v>18149</v>
      </c>
      <c r="B246" t="s">
        <v>1036</v>
      </c>
      <c r="C246" s="3">
        <v>41855</v>
      </c>
      <c r="D246" t="s">
        <v>50</v>
      </c>
      <c r="E246">
        <v>8</v>
      </c>
      <c r="F246" s="3">
        <f ca="1">41855+(RANDBETWEEN(1,10))</f>
        <v>41865</v>
      </c>
      <c r="G246" t="s">
        <v>26</v>
      </c>
      <c r="H246" t="s">
        <v>27</v>
      </c>
      <c r="I246" t="s">
        <v>86</v>
      </c>
      <c r="J246">
        <v>150.465</v>
      </c>
      <c r="K246">
        <v>0.02</v>
      </c>
      <c r="L246">
        <v>0.37</v>
      </c>
      <c r="M246">
        <v>10.465</v>
      </c>
      <c r="N246">
        <v>-6.9970600000000003</v>
      </c>
      <c r="O246" s="1" t="s">
        <v>40</v>
      </c>
      <c r="P246" s="1" t="s">
        <v>1037</v>
      </c>
      <c r="Q246" s="1" t="s">
        <v>1038</v>
      </c>
      <c r="R246" s="1" t="s">
        <v>220</v>
      </c>
      <c r="S246" s="1" t="s">
        <v>1039</v>
      </c>
      <c r="T246" s="1" t="s">
        <v>1040</v>
      </c>
      <c r="U246" s="2" t="s">
        <v>1041</v>
      </c>
      <c r="V246" s="2" t="s">
        <v>47</v>
      </c>
      <c r="W246" s="2" t="s">
        <v>111</v>
      </c>
      <c r="X246" s="2">
        <v>18.48</v>
      </c>
    </row>
    <row r="247" spans="1:24" x14ac:dyDescent="0.3">
      <c r="A247">
        <v>18150</v>
      </c>
      <c r="B247" t="s">
        <v>1042</v>
      </c>
      <c r="C247" s="3">
        <v>40806</v>
      </c>
      <c r="D247" t="s">
        <v>148</v>
      </c>
      <c r="E247">
        <v>21</v>
      </c>
      <c r="F247" s="3">
        <f ca="1">40807+(RANDBETWEEN(1,10))</f>
        <v>40811</v>
      </c>
      <c r="G247" t="s">
        <v>26</v>
      </c>
      <c r="H247" t="s">
        <v>96</v>
      </c>
      <c r="I247" t="s">
        <v>52</v>
      </c>
      <c r="J247">
        <v>968.24</v>
      </c>
      <c r="K247">
        <v>7.0000000000000007E-2</v>
      </c>
      <c r="L247">
        <v>0.54</v>
      </c>
      <c r="M247">
        <v>23.975000000000001</v>
      </c>
      <c r="N247">
        <v>-79.52</v>
      </c>
      <c r="O247" s="1" t="s">
        <v>29</v>
      </c>
      <c r="P247" s="1" t="s">
        <v>1043</v>
      </c>
      <c r="Q247" s="1" t="s">
        <v>1044</v>
      </c>
      <c r="R247" s="1" t="s">
        <v>32</v>
      </c>
      <c r="S247" s="1" t="s">
        <v>1045</v>
      </c>
      <c r="T247" s="1" t="s">
        <v>1046</v>
      </c>
      <c r="U247" s="2" t="s">
        <v>1047</v>
      </c>
      <c r="V247" s="2" t="s">
        <v>83</v>
      </c>
      <c r="W247" s="2" t="s">
        <v>178</v>
      </c>
      <c r="X247" s="2">
        <v>48.055</v>
      </c>
    </row>
    <row r="248" spans="1:24" x14ac:dyDescent="0.3">
      <c r="A248">
        <v>18151</v>
      </c>
      <c r="B248" t="s">
        <v>1048</v>
      </c>
      <c r="C248" s="3">
        <v>40668</v>
      </c>
      <c r="D248" t="s">
        <v>25</v>
      </c>
      <c r="E248">
        <v>12</v>
      </c>
      <c r="F248" s="3">
        <f ca="1">40670+(RANDBETWEEN(1,10))</f>
        <v>40671</v>
      </c>
      <c r="G248" t="s">
        <v>26</v>
      </c>
      <c r="H248" t="s">
        <v>27</v>
      </c>
      <c r="I248" t="s">
        <v>86</v>
      </c>
      <c r="J248">
        <v>5172.4399999999996</v>
      </c>
      <c r="K248">
        <v>0.06</v>
      </c>
      <c r="L248">
        <v>0.37</v>
      </c>
      <c r="M248">
        <v>69.965000000000003</v>
      </c>
      <c r="N248">
        <v>3568.9836</v>
      </c>
      <c r="O248" s="1" t="s">
        <v>29</v>
      </c>
      <c r="P248" s="1" t="s">
        <v>1049</v>
      </c>
      <c r="Q248" s="1" t="s">
        <v>1050</v>
      </c>
      <c r="R248" s="1" t="s">
        <v>32</v>
      </c>
      <c r="S248" s="1" t="s">
        <v>1051</v>
      </c>
      <c r="T248" s="1" t="s">
        <v>1052</v>
      </c>
      <c r="U248" s="2" t="s">
        <v>274</v>
      </c>
      <c r="V248" s="2" t="s">
        <v>47</v>
      </c>
      <c r="W248" s="2" t="s">
        <v>111</v>
      </c>
      <c r="X248" s="2">
        <v>430.46499999999997</v>
      </c>
    </row>
    <row r="249" spans="1:24" x14ac:dyDescent="0.3">
      <c r="A249">
        <v>18152</v>
      </c>
      <c r="B249" t="s">
        <v>1048</v>
      </c>
      <c r="C249" s="3">
        <v>40668</v>
      </c>
      <c r="D249" t="s">
        <v>25</v>
      </c>
      <c r="E249">
        <v>17</v>
      </c>
      <c r="F249" s="3">
        <f ca="1">40670+(RANDBETWEEN(1,10))</f>
        <v>40671</v>
      </c>
      <c r="G249" t="s">
        <v>76</v>
      </c>
      <c r="H249" t="s">
        <v>77</v>
      </c>
      <c r="I249" t="s">
        <v>86</v>
      </c>
      <c r="J249">
        <v>4068.61</v>
      </c>
      <c r="K249">
        <v>0.08</v>
      </c>
      <c r="L249">
        <v>0.41</v>
      </c>
      <c r="M249">
        <v>210</v>
      </c>
      <c r="N249">
        <v>-3744.02</v>
      </c>
      <c r="O249" s="1" t="s">
        <v>87</v>
      </c>
      <c r="P249" s="1" t="s">
        <v>1053</v>
      </c>
      <c r="Q249" s="1" t="s">
        <v>1054</v>
      </c>
      <c r="R249" s="1" t="s">
        <v>90</v>
      </c>
      <c r="S249" s="1" t="s">
        <v>1055</v>
      </c>
      <c r="T249" s="1" t="s">
        <v>1056</v>
      </c>
      <c r="U249" s="2" t="s">
        <v>287</v>
      </c>
      <c r="V249" s="2" t="s">
        <v>47</v>
      </c>
      <c r="W249" s="2" t="s">
        <v>71</v>
      </c>
      <c r="X249" s="2">
        <v>240.83500000000001</v>
      </c>
    </row>
    <row r="250" spans="1:24" x14ac:dyDescent="0.3">
      <c r="A250">
        <v>18153</v>
      </c>
      <c r="B250" t="s">
        <v>1057</v>
      </c>
      <c r="C250" s="3">
        <v>41413</v>
      </c>
      <c r="D250" t="s">
        <v>148</v>
      </c>
      <c r="E250">
        <v>20</v>
      </c>
      <c r="F250" s="3">
        <f ca="1">41415+(RANDBETWEEN(1,10))</f>
        <v>41416</v>
      </c>
      <c r="G250" t="s">
        <v>26</v>
      </c>
      <c r="H250" t="s">
        <v>27</v>
      </c>
      <c r="I250" t="s">
        <v>28</v>
      </c>
      <c r="J250">
        <v>441.03500000000003</v>
      </c>
      <c r="K250">
        <v>0.02</v>
      </c>
      <c r="L250">
        <v>0.39</v>
      </c>
      <c r="M250">
        <v>5.2149999999999999</v>
      </c>
      <c r="N250">
        <v>304.31414999999998</v>
      </c>
      <c r="O250" s="1" t="s">
        <v>29</v>
      </c>
      <c r="P250" s="1" t="s">
        <v>1058</v>
      </c>
      <c r="Q250" s="1" t="s">
        <v>1059</v>
      </c>
      <c r="R250" s="1" t="s">
        <v>32</v>
      </c>
      <c r="S250" s="1" t="s">
        <v>1060</v>
      </c>
      <c r="T250" s="1" t="s">
        <v>1061</v>
      </c>
      <c r="U250" s="2" t="s">
        <v>1062</v>
      </c>
      <c r="V250" s="2" t="s">
        <v>47</v>
      </c>
      <c r="W250" s="2" t="s">
        <v>111</v>
      </c>
      <c r="X250" s="2">
        <v>20.93</v>
      </c>
    </row>
    <row r="251" spans="1:24" x14ac:dyDescent="0.3">
      <c r="A251">
        <v>18154</v>
      </c>
      <c r="B251" t="s">
        <v>1057</v>
      </c>
      <c r="C251" s="3">
        <v>41413</v>
      </c>
      <c r="D251" t="s">
        <v>148</v>
      </c>
      <c r="E251">
        <v>2</v>
      </c>
      <c r="F251" s="3">
        <f ca="1">41415+(RANDBETWEEN(1,10))</f>
        <v>41417</v>
      </c>
      <c r="G251" t="s">
        <v>26</v>
      </c>
      <c r="H251" t="s">
        <v>96</v>
      </c>
      <c r="I251" t="s">
        <v>28</v>
      </c>
      <c r="J251">
        <v>70.034999999999997</v>
      </c>
      <c r="K251">
        <v>0.02</v>
      </c>
      <c r="L251">
        <v>0.43</v>
      </c>
      <c r="M251">
        <v>3.8149999999999999</v>
      </c>
      <c r="N251">
        <v>-4.4800000000000004</v>
      </c>
      <c r="O251" s="1" t="s">
        <v>29</v>
      </c>
      <c r="P251" s="1" t="s">
        <v>1063</v>
      </c>
      <c r="Q251" s="1" t="s">
        <v>1064</v>
      </c>
      <c r="R251" s="1" t="s">
        <v>675</v>
      </c>
      <c r="S251" s="1" t="s">
        <v>1065</v>
      </c>
      <c r="T251" s="1" t="s">
        <v>1066</v>
      </c>
      <c r="U251" s="2" t="s">
        <v>1067</v>
      </c>
      <c r="V251" s="2" t="s">
        <v>47</v>
      </c>
      <c r="W251" s="2" t="s">
        <v>104</v>
      </c>
      <c r="X251" s="2">
        <v>34.755000000000003</v>
      </c>
    </row>
    <row r="252" spans="1:24" x14ac:dyDescent="0.3">
      <c r="A252">
        <v>18155</v>
      </c>
      <c r="B252" t="s">
        <v>1068</v>
      </c>
      <c r="C252" s="3">
        <v>41408</v>
      </c>
      <c r="D252" t="s">
        <v>25</v>
      </c>
      <c r="E252">
        <v>16</v>
      </c>
      <c r="F252" s="3">
        <f ca="1">41415+(RANDBETWEEN(1,10))</f>
        <v>41416</v>
      </c>
      <c r="G252" t="s">
        <v>76</v>
      </c>
      <c r="H252" t="s">
        <v>258</v>
      </c>
      <c r="I252" t="s">
        <v>28</v>
      </c>
      <c r="J252">
        <v>14973.665000000001</v>
      </c>
      <c r="K252">
        <v>7.0000000000000007E-2</v>
      </c>
      <c r="L252">
        <v>0.66</v>
      </c>
      <c r="M252">
        <v>124.845</v>
      </c>
      <c r="N252">
        <v>-2376.6552809999998</v>
      </c>
      <c r="O252" s="1" t="s">
        <v>53</v>
      </c>
      <c r="P252" s="1" t="s">
        <v>1069</v>
      </c>
      <c r="Q252" s="1" t="s">
        <v>1070</v>
      </c>
      <c r="R252" s="1" t="s">
        <v>440</v>
      </c>
      <c r="S252" s="1" t="s">
        <v>1071</v>
      </c>
      <c r="T252" s="1" t="s">
        <v>1072</v>
      </c>
      <c r="U252" s="2" t="s">
        <v>1073</v>
      </c>
      <c r="V252" s="2" t="s">
        <v>83</v>
      </c>
      <c r="W252" s="2" t="s">
        <v>263</v>
      </c>
      <c r="X252" s="2">
        <v>983.43</v>
      </c>
    </row>
    <row r="253" spans="1:24" x14ac:dyDescent="0.3">
      <c r="A253">
        <v>18156</v>
      </c>
      <c r="B253" t="s">
        <v>1074</v>
      </c>
      <c r="C253" s="3">
        <v>41810</v>
      </c>
      <c r="D253" t="s">
        <v>148</v>
      </c>
      <c r="E253">
        <v>2</v>
      </c>
      <c r="F253" s="3">
        <f ca="1">41812+(RANDBETWEEN(1,10))</f>
        <v>41820</v>
      </c>
      <c r="G253" t="s">
        <v>26</v>
      </c>
      <c r="H253" t="s">
        <v>281</v>
      </c>
      <c r="I253" t="s">
        <v>52</v>
      </c>
      <c r="J253">
        <v>105.66500000000001</v>
      </c>
      <c r="K253">
        <v>0.03</v>
      </c>
      <c r="L253">
        <v>0.39</v>
      </c>
      <c r="M253">
        <v>26.285</v>
      </c>
      <c r="N253">
        <v>-105.23520000000001</v>
      </c>
      <c r="O253" s="1" t="s">
        <v>64</v>
      </c>
      <c r="P253" s="1" t="s">
        <v>1075</v>
      </c>
      <c r="Q253" s="1" t="s">
        <v>1076</v>
      </c>
      <c r="R253" s="1" t="s">
        <v>67</v>
      </c>
      <c r="S253" s="1" t="s">
        <v>1077</v>
      </c>
      <c r="T253" s="1" t="s">
        <v>1078</v>
      </c>
      <c r="U253" s="2" t="s">
        <v>1079</v>
      </c>
      <c r="V253" s="2" t="s">
        <v>36</v>
      </c>
      <c r="W253" s="2" t="s">
        <v>142</v>
      </c>
      <c r="X253" s="2">
        <v>48.965000000000003</v>
      </c>
    </row>
    <row r="254" spans="1:24" x14ac:dyDescent="0.3">
      <c r="A254">
        <v>18157</v>
      </c>
      <c r="B254" t="s">
        <v>1074</v>
      </c>
      <c r="C254" s="3">
        <v>41810</v>
      </c>
      <c r="D254" t="s">
        <v>148</v>
      </c>
      <c r="E254">
        <v>16</v>
      </c>
      <c r="F254" s="3">
        <f ca="1">41811+(RANDBETWEEN(1,10))</f>
        <v>41812</v>
      </c>
      <c r="G254" t="s">
        <v>26</v>
      </c>
      <c r="H254" t="s">
        <v>51</v>
      </c>
      <c r="I254" t="s">
        <v>52</v>
      </c>
      <c r="J254">
        <v>2179.87</v>
      </c>
      <c r="K254">
        <v>0.01</v>
      </c>
      <c r="L254">
        <v>0.59</v>
      </c>
      <c r="M254">
        <v>10.15</v>
      </c>
      <c r="N254">
        <v>1504.1103000000001</v>
      </c>
      <c r="O254" s="1" t="s">
        <v>64</v>
      </c>
      <c r="P254" s="1" t="s">
        <v>1075</v>
      </c>
      <c r="Q254" s="1" t="s">
        <v>1076</v>
      </c>
      <c r="R254" s="1" t="s">
        <v>67</v>
      </c>
      <c r="S254" s="1" t="s">
        <v>1077</v>
      </c>
      <c r="T254" s="1" t="s">
        <v>1078</v>
      </c>
      <c r="U254" s="2" t="s">
        <v>1080</v>
      </c>
      <c r="V254" s="2" t="s">
        <v>47</v>
      </c>
      <c r="W254" s="2" t="s">
        <v>104</v>
      </c>
      <c r="X254" s="2">
        <v>132.09</v>
      </c>
    </row>
    <row r="255" spans="1:24" x14ac:dyDescent="0.3">
      <c r="A255">
        <v>18158</v>
      </c>
      <c r="B255" t="s">
        <v>1074</v>
      </c>
      <c r="C255" s="3">
        <v>41810</v>
      </c>
      <c r="D255" t="s">
        <v>148</v>
      </c>
      <c r="E255">
        <v>18</v>
      </c>
      <c r="F255" s="3">
        <f ca="1">41813+(RANDBETWEEN(1,10))</f>
        <v>41821</v>
      </c>
      <c r="G255" t="s">
        <v>76</v>
      </c>
      <c r="H255" t="s">
        <v>258</v>
      </c>
      <c r="I255" t="s">
        <v>52</v>
      </c>
      <c r="J255">
        <v>14802.62</v>
      </c>
      <c r="K255">
        <v>0.01</v>
      </c>
      <c r="L255">
        <v>0.68</v>
      </c>
      <c r="M255">
        <v>113.68</v>
      </c>
      <c r="N255">
        <v>7714.6019999999999</v>
      </c>
      <c r="O255" s="1" t="s">
        <v>64</v>
      </c>
      <c r="P255" s="1" t="s">
        <v>1075</v>
      </c>
      <c r="Q255" s="1" t="s">
        <v>1076</v>
      </c>
      <c r="R255" s="1" t="s">
        <v>67</v>
      </c>
      <c r="S255" s="1" t="s">
        <v>1077</v>
      </c>
      <c r="T255" s="1" t="s">
        <v>1078</v>
      </c>
      <c r="U255" s="2" t="s">
        <v>1081</v>
      </c>
      <c r="V255" s="2" t="s">
        <v>83</v>
      </c>
      <c r="W255" s="2" t="s">
        <v>263</v>
      </c>
      <c r="X255" s="2">
        <v>796.42499999999995</v>
      </c>
    </row>
    <row r="256" spans="1:24" x14ac:dyDescent="0.3">
      <c r="A256">
        <v>18159</v>
      </c>
      <c r="B256" t="s">
        <v>1082</v>
      </c>
      <c r="C256" s="3">
        <v>40652</v>
      </c>
      <c r="D256" t="s">
        <v>25</v>
      </c>
      <c r="E256">
        <v>10</v>
      </c>
      <c r="F256" s="3">
        <f ca="1">40656+(RANDBETWEEN(1,10))</f>
        <v>40659</v>
      </c>
      <c r="G256" t="s">
        <v>26</v>
      </c>
      <c r="H256" t="s">
        <v>96</v>
      </c>
      <c r="I256" t="s">
        <v>28</v>
      </c>
      <c r="J256">
        <v>121.66</v>
      </c>
      <c r="K256">
        <v>0.06</v>
      </c>
      <c r="L256">
        <v>0.36</v>
      </c>
      <c r="M256">
        <v>5.7050000000000001</v>
      </c>
      <c r="N256">
        <v>49</v>
      </c>
      <c r="O256" s="1" t="s">
        <v>40</v>
      </c>
      <c r="P256" s="1" t="s">
        <v>1083</v>
      </c>
      <c r="Q256" s="1" t="s">
        <v>1084</v>
      </c>
      <c r="R256" s="1" t="s">
        <v>220</v>
      </c>
      <c r="S256" s="1" t="s">
        <v>1085</v>
      </c>
      <c r="T256" s="1" t="s">
        <v>1086</v>
      </c>
      <c r="U256" s="2" t="s">
        <v>1087</v>
      </c>
      <c r="V256" s="2" t="s">
        <v>47</v>
      </c>
      <c r="W256" s="2" t="s">
        <v>176</v>
      </c>
      <c r="X256" s="2">
        <v>12.53</v>
      </c>
    </row>
    <row r="257" spans="1:24" x14ac:dyDescent="0.3">
      <c r="A257">
        <v>18160</v>
      </c>
      <c r="B257" t="s">
        <v>1088</v>
      </c>
      <c r="C257" s="3">
        <v>41424</v>
      </c>
      <c r="D257" t="s">
        <v>148</v>
      </c>
      <c r="E257">
        <v>18</v>
      </c>
      <c r="F257" s="3">
        <f ca="1">41425+(RANDBETWEEN(1,10))</f>
        <v>41433</v>
      </c>
      <c r="G257" t="s">
        <v>26</v>
      </c>
      <c r="H257" t="s">
        <v>96</v>
      </c>
      <c r="I257" t="s">
        <v>97</v>
      </c>
      <c r="J257">
        <v>2486.4349999999999</v>
      </c>
      <c r="K257">
        <v>0.03</v>
      </c>
      <c r="L257">
        <v>0.53</v>
      </c>
      <c r="M257">
        <v>10.64</v>
      </c>
      <c r="N257">
        <v>1715.6401499999999</v>
      </c>
      <c r="O257" s="1" t="s">
        <v>40</v>
      </c>
      <c r="P257" s="1" t="s">
        <v>950</v>
      </c>
      <c r="Q257" s="1" t="s">
        <v>951</v>
      </c>
      <c r="R257" s="1" t="s">
        <v>43</v>
      </c>
      <c r="S257" s="1" t="s">
        <v>952</v>
      </c>
      <c r="T257" s="1" t="s">
        <v>953</v>
      </c>
      <c r="U257" s="2" t="s">
        <v>1089</v>
      </c>
      <c r="V257" s="2" t="s">
        <v>83</v>
      </c>
      <c r="W257" s="2" t="s">
        <v>178</v>
      </c>
      <c r="X257" s="2">
        <v>139.61500000000001</v>
      </c>
    </row>
    <row r="258" spans="1:24" x14ac:dyDescent="0.3">
      <c r="A258">
        <v>18161</v>
      </c>
      <c r="B258" t="s">
        <v>1090</v>
      </c>
      <c r="C258" s="3">
        <v>40872</v>
      </c>
      <c r="D258" t="s">
        <v>50</v>
      </c>
      <c r="E258">
        <v>14</v>
      </c>
      <c r="F258" s="3">
        <f ca="1">40873+(RANDBETWEEN(1,10))</f>
        <v>40880</v>
      </c>
      <c r="G258" t="s">
        <v>26</v>
      </c>
      <c r="H258" t="s">
        <v>27</v>
      </c>
      <c r="I258" t="s">
        <v>86</v>
      </c>
      <c r="J258">
        <v>760.30499999999995</v>
      </c>
      <c r="K258">
        <v>7.0000000000000007E-2</v>
      </c>
      <c r="L258">
        <v>0.4</v>
      </c>
      <c r="M258">
        <v>4.8650000000000002</v>
      </c>
      <c r="N258">
        <v>524.61045000000001</v>
      </c>
      <c r="O258" s="1" t="s">
        <v>87</v>
      </c>
      <c r="P258" s="1" t="s">
        <v>1091</v>
      </c>
      <c r="Q258" s="1" t="s">
        <v>1092</v>
      </c>
      <c r="R258" s="1" t="s">
        <v>90</v>
      </c>
      <c r="S258" s="1" t="s">
        <v>1093</v>
      </c>
      <c r="T258" s="1" t="s">
        <v>1094</v>
      </c>
      <c r="U258" s="2" t="s">
        <v>1095</v>
      </c>
      <c r="V258" s="2" t="s">
        <v>47</v>
      </c>
      <c r="W258" s="2" t="s">
        <v>48</v>
      </c>
      <c r="X258" s="2">
        <v>55.09</v>
      </c>
    </row>
    <row r="259" spans="1:24" x14ac:dyDescent="0.3">
      <c r="A259">
        <v>18162</v>
      </c>
      <c r="B259" t="s">
        <v>1096</v>
      </c>
      <c r="C259" s="3">
        <v>41156</v>
      </c>
      <c r="D259" t="s">
        <v>25</v>
      </c>
      <c r="E259">
        <v>3</v>
      </c>
      <c r="F259" s="3">
        <f ca="1">41163+(RANDBETWEEN(1,10))</f>
        <v>41171</v>
      </c>
      <c r="G259" t="s">
        <v>26</v>
      </c>
      <c r="H259" t="s">
        <v>27</v>
      </c>
      <c r="I259" t="s">
        <v>97</v>
      </c>
      <c r="J259">
        <v>1021.37</v>
      </c>
      <c r="K259">
        <v>0.08</v>
      </c>
      <c r="L259">
        <v>0.79</v>
      </c>
      <c r="M259">
        <v>69.965000000000003</v>
      </c>
      <c r="N259">
        <v>-628.25</v>
      </c>
      <c r="O259" s="1" t="s">
        <v>64</v>
      </c>
      <c r="P259" s="1" t="s">
        <v>1097</v>
      </c>
      <c r="Q259" s="1" t="s">
        <v>1098</v>
      </c>
      <c r="R259" s="1" t="s">
        <v>67</v>
      </c>
      <c r="S259" s="1" t="s">
        <v>1099</v>
      </c>
      <c r="T259" s="1" t="s">
        <v>1100</v>
      </c>
      <c r="U259" s="2" t="s">
        <v>1101</v>
      </c>
      <c r="V259" s="2" t="s">
        <v>47</v>
      </c>
      <c r="W259" s="2" t="s">
        <v>119</v>
      </c>
      <c r="X259" s="2">
        <v>334.005</v>
      </c>
    </row>
    <row r="260" spans="1:24" x14ac:dyDescent="0.3">
      <c r="A260">
        <v>18163</v>
      </c>
      <c r="B260" t="s">
        <v>1102</v>
      </c>
      <c r="C260" s="3">
        <v>41792</v>
      </c>
      <c r="D260" t="s">
        <v>148</v>
      </c>
      <c r="E260">
        <v>7</v>
      </c>
      <c r="F260" s="3">
        <f ca="1">41794+(RANDBETWEEN(1,10))</f>
        <v>41804</v>
      </c>
      <c r="G260" t="s">
        <v>76</v>
      </c>
      <c r="H260" t="s">
        <v>258</v>
      </c>
      <c r="I260" t="s">
        <v>97</v>
      </c>
      <c r="J260">
        <v>1813.21</v>
      </c>
      <c r="K260">
        <v>0.04</v>
      </c>
      <c r="L260">
        <v>0.56000000000000005</v>
      </c>
      <c r="M260">
        <v>163.59</v>
      </c>
      <c r="N260">
        <v>-1061.48</v>
      </c>
      <c r="O260" s="1" t="s">
        <v>87</v>
      </c>
      <c r="P260" s="1" t="s">
        <v>1103</v>
      </c>
      <c r="Q260" s="1" t="s">
        <v>1104</v>
      </c>
      <c r="R260" s="1" t="s">
        <v>497</v>
      </c>
      <c r="S260" s="1" t="s">
        <v>1105</v>
      </c>
      <c r="T260" s="1" t="s">
        <v>1106</v>
      </c>
      <c r="U260" s="2" t="s">
        <v>1107</v>
      </c>
      <c r="V260" s="2" t="s">
        <v>83</v>
      </c>
      <c r="W260" s="2" t="s">
        <v>298</v>
      </c>
      <c r="X260" s="2">
        <v>248.43</v>
      </c>
    </row>
    <row r="261" spans="1:24" x14ac:dyDescent="0.3">
      <c r="A261">
        <v>18164</v>
      </c>
      <c r="B261" t="s">
        <v>1108</v>
      </c>
      <c r="C261" s="3">
        <v>40548</v>
      </c>
      <c r="D261" t="s">
        <v>39</v>
      </c>
      <c r="E261">
        <v>2</v>
      </c>
      <c r="F261" s="3">
        <f ca="1">40549+(RANDBETWEEN(1,10))</f>
        <v>40557</v>
      </c>
      <c r="G261" t="s">
        <v>26</v>
      </c>
      <c r="H261" t="s">
        <v>51</v>
      </c>
      <c r="I261" t="s">
        <v>52</v>
      </c>
      <c r="J261">
        <v>193.375</v>
      </c>
      <c r="K261">
        <v>0.03</v>
      </c>
      <c r="L261">
        <v>0.4</v>
      </c>
      <c r="M261">
        <v>6.9649999999999999</v>
      </c>
      <c r="N261">
        <v>-123.5164</v>
      </c>
      <c r="O261" s="1" t="s">
        <v>53</v>
      </c>
      <c r="P261" s="1" t="s">
        <v>737</v>
      </c>
      <c r="Q261" s="1" t="s">
        <v>738</v>
      </c>
      <c r="R261" s="1" t="s">
        <v>440</v>
      </c>
      <c r="S261" s="1" t="s">
        <v>739</v>
      </c>
      <c r="T261" s="1" t="s">
        <v>740</v>
      </c>
      <c r="U261" s="2" t="s">
        <v>1109</v>
      </c>
      <c r="V261" s="2" t="s">
        <v>36</v>
      </c>
      <c r="W261" s="2" t="s">
        <v>60</v>
      </c>
      <c r="X261" s="2">
        <v>99.68</v>
      </c>
    </row>
    <row r="262" spans="1:24" x14ac:dyDescent="0.3">
      <c r="A262">
        <v>18165</v>
      </c>
      <c r="B262" t="s">
        <v>1108</v>
      </c>
      <c r="C262" s="3">
        <v>40548</v>
      </c>
      <c r="D262" t="s">
        <v>39</v>
      </c>
      <c r="E262">
        <v>3</v>
      </c>
      <c r="F262" s="3">
        <f ca="1">40550+(RANDBETWEEN(1,10))</f>
        <v>40558</v>
      </c>
      <c r="G262" t="s">
        <v>26</v>
      </c>
      <c r="H262" t="s">
        <v>27</v>
      </c>
      <c r="I262" t="s">
        <v>52</v>
      </c>
      <c r="J262">
        <v>1929.27</v>
      </c>
      <c r="K262">
        <v>0.01</v>
      </c>
      <c r="L262">
        <v>0.59</v>
      </c>
      <c r="M262">
        <v>20.965</v>
      </c>
      <c r="N262">
        <v>-262.0926</v>
      </c>
      <c r="O262" s="1" t="s">
        <v>53</v>
      </c>
      <c r="P262" s="1" t="s">
        <v>737</v>
      </c>
      <c r="Q262" s="1" t="s">
        <v>738</v>
      </c>
      <c r="R262" s="1" t="s">
        <v>440</v>
      </c>
      <c r="S262" s="1" t="s">
        <v>739</v>
      </c>
      <c r="T262" s="1" t="s">
        <v>740</v>
      </c>
      <c r="U262" s="2">
        <v>3285</v>
      </c>
      <c r="V262" s="2" t="s">
        <v>36</v>
      </c>
      <c r="W262" s="2" t="s">
        <v>37</v>
      </c>
      <c r="X262" s="2">
        <v>720.96500000000003</v>
      </c>
    </row>
    <row r="263" spans="1:24" x14ac:dyDescent="0.3">
      <c r="A263">
        <v>18166</v>
      </c>
      <c r="B263" t="s">
        <v>1110</v>
      </c>
      <c r="C263" s="3">
        <v>40786</v>
      </c>
      <c r="D263" t="s">
        <v>148</v>
      </c>
      <c r="E263">
        <v>15</v>
      </c>
      <c r="F263" s="3">
        <f ca="1">40788+(RANDBETWEEN(1,10))</f>
        <v>40795</v>
      </c>
      <c r="G263" t="s">
        <v>26</v>
      </c>
      <c r="H263" t="s">
        <v>27</v>
      </c>
      <c r="I263" t="s">
        <v>52</v>
      </c>
      <c r="J263">
        <v>349.125</v>
      </c>
      <c r="K263">
        <v>0</v>
      </c>
      <c r="L263">
        <v>0.38</v>
      </c>
      <c r="M263">
        <v>18.164999999999999</v>
      </c>
      <c r="N263">
        <v>-95.022199999999998</v>
      </c>
      <c r="O263" s="1" t="s">
        <v>29</v>
      </c>
      <c r="P263" s="1" t="s">
        <v>1002</v>
      </c>
      <c r="Q263" s="1" t="s">
        <v>1003</v>
      </c>
      <c r="R263" s="1" t="s">
        <v>460</v>
      </c>
      <c r="S263" s="1" t="s">
        <v>1004</v>
      </c>
      <c r="T263" s="1" t="s">
        <v>1005</v>
      </c>
      <c r="U263" s="2" t="s">
        <v>1111</v>
      </c>
      <c r="V263" s="2" t="s">
        <v>47</v>
      </c>
      <c r="W263" s="2" t="s">
        <v>111</v>
      </c>
      <c r="X263" s="2">
        <v>22.295000000000002</v>
      </c>
    </row>
    <row r="264" spans="1:24" x14ac:dyDescent="0.3">
      <c r="A264">
        <v>18167</v>
      </c>
      <c r="B264" t="s">
        <v>1112</v>
      </c>
      <c r="C264" s="3">
        <v>41689</v>
      </c>
      <c r="D264" t="s">
        <v>62</v>
      </c>
      <c r="E264">
        <v>10</v>
      </c>
      <c r="F264" s="3">
        <f ca="1">41691+(RANDBETWEEN(1,10))</f>
        <v>41692</v>
      </c>
      <c r="G264" t="s">
        <v>26</v>
      </c>
      <c r="H264" t="s">
        <v>51</v>
      </c>
      <c r="I264" t="s">
        <v>28</v>
      </c>
      <c r="J264">
        <v>291.41000000000003</v>
      </c>
      <c r="K264">
        <v>0.09</v>
      </c>
      <c r="L264">
        <v>0.61</v>
      </c>
      <c r="M264">
        <v>12.67</v>
      </c>
      <c r="N264">
        <v>-183.68</v>
      </c>
      <c r="O264" s="1" t="s">
        <v>29</v>
      </c>
      <c r="P264" s="1" t="s">
        <v>1113</v>
      </c>
      <c r="Q264" s="1" t="s">
        <v>1114</v>
      </c>
      <c r="R264" s="1" t="s">
        <v>460</v>
      </c>
      <c r="S264" s="1" t="s">
        <v>1115</v>
      </c>
      <c r="T264" s="1" t="s">
        <v>1116</v>
      </c>
      <c r="U264" s="2" t="s">
        <v>1117</v>
      </c>
      <c r="V264" s="2" t="s">
        <v>36</v>
      </c>
      <c r="W264" s="2" t="s">
        <v>60</v>
      </c>
      <c r="X264" s="2">
        <v>29.61</v>
      </c>
    </row>
    <row r="265" spans="1:24" x14ac:dyDescent="0.3">
      <c r="A265">
        <v>18168</v>
      </c>
      <c r="B265" t="s">
        <v>1118</v>
      </c>
      <c r="C265" s="3">
        <v>41024</v>
      </c>
      <c r="D265" t="s">
        <v>148</v>
      </c>
      <c r="E265">
        <v>1</v>
      </c>
      <c r="F265" s="3">
        <f ca="1">41025+(RANDBETWEEN(1,10))</f>
        <v>41030</v>
      </c>
      <c r="G265" t="s">
        <v>26</v>
      </c>
      <c r="H265" t="s">
        <v>27</v>
      </c>
      <c r="I265" t="s">
        <v>86</v>
      </c>
      <c r="J265">
        <v>547.67999999999995</v>
      </c>
      <c r="K265">
        <v>7.0000000000000007E-2</v>
      </c>
      <c r="L265">
        <v>0.6</v>
      </c>
      <c r="M265">
        <v>31.465</v>
      </c>
      <c r="N265">
        <v>15574.503000000001</v>
      </c>
      <c r="O265" s="1" t="s">
        <v>53</v>
      </c>
      <c r="P265" s="1" t="s">
        <v>1119</v>
      </c>
      <c r="Q265" s="1" t="s">
        <v>1120</v>
      </c>
      <c r="R265" s="1" t="s">
        <v>440</v>
      </c>
      <c r="S265" s="1" t="s">
        <v>1121</v>
      </c>
      <c r="T265" s="1" t="s">
        <v>1122</v>
      </c>
      <c r="U265" s="2" t="s">
        <v>1123</v>
      </c>
      <c r="V265" s="2" t="s">
        <v>36</v>
      </c>
      <c r="W265" s="2" t="s">
        <v>37</v>
      </c>
      <c r="X265" s="2">
        <v>685.96500000000003</v>
      </c>
    </row>
    <row r="266" spans="1:24" x14ac:dyDescent="0.3">
      <c r="A266">
        <v>18169</v>
      </c>
      <c r="B266" t="s">
        <v>1124</v>
      </c>
      <c r="C266" s="3">
        <v>40600</v>
      </c>
      <c r="D266" t="s">
        <v>62</v>
      </c>
      <c r="E266">
        <v>6</v>
      </c>
      <c r="F266" s="3">
        <f ca="1">40602+(RANDBETWEEN(1,10))</f>
        <v>40611</v>
      </c>
      <c r="G266" t="s">
        <v>26</v>
      </c>
      <c r="H266" t="s">
        <v>27</v>
      </c>
      <c r="I266" t="s">
        <v>28</v>
      </c>
      <c r="J266">
        <v>121.55500000000001</v>
      </c>
      <c r="K266">
        <v>0.02</v>
      </c>
      <c r="L266">
        <v>0.38</v>
      </c>
      <c r="M266">
        <v>10.465</v>
      </c>
      <c r="N266">
        <v>18.53425</v>
      </c>
      <c r="O266" s="1" t="s">
        <v>87</v>
      </c>
      <c r="P266" s="1" t="s">
        <v>978</v>
      </c>
      <c r="Q266" s="1" t="s">
        <v>979</v>
      </c>
      <c r="R266" s="1" t="s">
        <v>90</v>
      </c>
      <c r="S266" s="1" t="s">
        <v>980</v>
      </c>
      <c r="T266" s="1" t="s">
        <v>981</v>
      </c>
      <c r="U266" s="2" t="s">
        <v>1125</v>
      </c>
      <c r="V266" s="2" t="s">
        <v>47</v>
      </c>
      <c r="W266" s="2" t="s">
        <v>111</v>
      </c>
      <c r="X266" s="2">
        <v>18.690000000000001</v>
      </c>
    </row>
    <row r="267" spans="1:24" x14ac:dyDescent="0.3">
      <c r="A267">
        <v>18170</v>
      </c>
      <c r="B267" t="s">
        <v>1124</v>
      </c>
      <c r="C267" s="3">
        <v>40600</v>
      </c>
      <c r="D267" t="s">
        <v>62</v>
      </c>
      <c r="E267">
        <v>6</v>
      </c>
      <c r="F267" s="3">
        <f ca="1">40601+(RANDBETWEEN(1,10))</f>
        <v>40606</v>
      </c>
      <c r="G267" t="s">
        <v>26</v>
      </c>
      <c r="H267" t="s">
        <v>27</v>
      </c>
      <c r="I267" t="s">
        <v>28</v>
      </c>
      <c r="J267">
        <v>866.35500000000002</v>
      </c>
      <c r="K267">
        <v>0.03</v>
      </c>
      <c r="L267">
        <v>0.37</v>
      </c>
      <c r="M267">
        <v>26.145</v>
      </c>
      <c r="N267">
        <v>597.78494999999998</v>
      </c>
      <c r="O267" s="1" t="s">
        <v>87</v>
      </c>
      <c r="P267" s="1" t="s">
        <v>978</v>
      </c>
      <c r="Q267" s="1" t="s">
        <v>979</v>
      </c>
      <c r="R267" s="1" t="s">
        <v>90</v>
      </c>
      <c r="S267" s="1" t="s">
        <v>980</v>
      </c>
      <c r="T267" s="1" t="s">
        <v>981</v>
      </c>
      <c r="U267" s="2" t="s">
        <v>1126</v>
      </c>
      <c r="V267" s="2" t="s">
        <v>47</v>
      </c>
      <c r="W267" s="2" t="s">
        <v>111</v>
      </c>
      <c r="X267" s="2">
        <v>143.43</v>
      </c>
    </row>
    <row r="268" spans="1:24" x14ac:dyDescent="0.3">
      <c r="A268">
        <v>18171</v>
      </c>
      <c r="B268" t="s">
        <v>1127</v>
      </c>
      <c r="C268" s="3">
        <v>40959</v>
      </c>
      <c r="D268" t="s">
        <v>148</v>
      </c>
      <c r="E268">
        <v>8</v>
      </c>
      <c r="F268" s="3">
        <f ca="1">40961+(RANDBETWEEN(1,10))</f>
        <v>40967</v>
      </c>
      <c r="G268" t="s">
        <v>26</v>
      </c>
      <c r="H268" t="s">
        <v>27</v>
      </c>
      <c r="I268" t="s">
        <v>28</v>
      </c>
      <c r="J268">
        <v>1108.3800000000001</v>
      </c>
      <c r="K268">
        <v>0</v>
      </c>
      <c r="L268">
        <v>0.35</v>
      </c>
      <c r="M268">
        <v>10.465</v>
      </c>
      <c r="N268">
        <v>764.78219999999999</v>
      </c>
      <c r="O268" s="1" t="s">
        <v>225</v>
      </c>
      <c r="P268" s="1" t="s">
        <v>1128</v>
      </c>
      <c r="Q268" s="1" t="s">
        <v>1129</v>
      </c>
      <c r="R268" s="1" t="s">
        <v>391</v>
      </c>
      <c r="S268" s="1" t="s">
        <v>1130</v>
      </c>
      <c r="T268" s="1" t="s">
        <v>1131</v>
      </c>
      <c r="U268" s="2" t="s">
        <v>1132</v>
      </c>
      <c r="V268" s="2" t="s">
        <v>47</v>
      </c>
      <c r="W268" s="2" t="s">
        <v>111</v>
      </c>
      <c r="X268" s="2">
        <v>131.94999999999999</v>
      </c>
    </row>
    <row r="269" spans="1:24" x14ac:dyDescent="0.3">
      <c r="A269">
        <v>18172</v>
      </c>
      <c r="B269" t="s">
        <v>1133</v>
      </c>
      <c r="C269" s="3">
        <v>41779</v>
      </c>
      <c r="D269" t="s">
        <v>25</v>
      </c>
      <c r="E269">
        <v>4</v>
      </c>
      <c r="F269" s="3">
        <f ca="1">41786+(RANDBETWEEN(1,10))</f>
        <v>41794</v>
      </c>
      <c r="G269" t="s">
        <v>26</v>
      </c>
      <c r="H269" t="s">
        <v>27</v>
      </c>
      <c r="I269" t="s">
        <v>52</v>
      </c>
      <c r="J269">
        <v>289.73</v>
      </c>
      <c r="K269">
        <v>0.1</v>
      </c>
      <c r="L269">
        <v>0.78</v>
      </c>
      <c r="M269">
        <v>22.75</v>
      </c>
      <c r="N269">
        <v>1.89</v>
      </c>
      <c r="O269" s="1" t="s">
        <v>40</v>
      </c>
      <c r="P269" s="1" t="s">
        <v>1134</v>
      </c>
      <c r="Q269" s="1" t="s">
        <v>1135</v>
      </c>
      <c r="R269" s="1" t="s">
        <v>43</v>
      </c>
      <c r="S269" s="1" t="s">
        <v>1136</v>
      </c>
      <c r="T269" s="1" t="s">
        <v>1137</v>
      </c>
      <c r="U269" s="2" t="s">
        <v>1138</v>
      </c>
      <c r="V269" s="2" t="s">
        <v>36</v>
      </c>
      <c r="W269" s="2" t="s">
        <v>60</v>
      </c>
      <c r="X269" s="2">
        <v>73.394999999999996</v>
      </c>
    </row>
    <row r="270" spans="1:24" x14ac:dyDescent="0.3">
      <c r="A270">
        <v>18173</v>
      </c>
      <c r="B270" t="s">
        <v>1139</v>
      </c>
      <c r="C270" s="3">
        <v>41507</v>
      </c>
      <c r="D270" t="s">
        <v>148</v>
      </c>
      <c r="E270">
        <v>14</v>
      </c>
      <c r="F270" s="3">
        <f ca="1">41509+(RANDBETWEEN(1,10))</f>
        <v>41511</v>
      </c>
      <c r="G270" t="s">
        <v>26</v>
      </c>
      <c r="H270" t="s">
        <v>27</v>
      </c>
      <c r="I270" t="s">
        <v>52</v>
      </c>
      <c r="J270">
        <v>248.815</v>
      </c>
      <c r="K270">
        <v>7.0000000000000007E-2</v>
      </c>
      <c r="L270">
        <v>0.36</v>
      </c>
      <c r="M270">
        <v>16.52</v>
      </c>
      <c r="N270">
        <v>-91.254800000000003</v>
      </c>
      <c r="O270" s="1" t="s">
        <v>225</v>
      </c>
      <c r="P270" s="1" t="s">
        <v>1140</v>
      </c>
      <c r="Q270" s="1" t="s">
        <v>1141</v>
      </c>
      <c r="R270" s="1" t="s">
        <v>228</v>
      </c>
      <c r="S270" s="1" t="s">
        <v>1142</v>
      </c>
      <c r="T270" s="1" t="s">
        <v>1143</v>
      </c>
      <c r="U270" s="2" t="s">
        <v>904</v>
      </c>
      <c r="V270" s="2" t="s">
        <v>47</v>
      </c>
      <c r="W270" s="2" t="s">
        <v>74</v>
      </c>
      <c r="X270" s="2">
        <v>17.43</v>
      </c>
    </row>
    <row r="271" spans="1:24" x14ac:dyDescent="0.3">
      <c r="A271">
        <v>18174</v>
      </c>
      <c r="B271" t="s">
        <v>1144</v>
      </c>
      <c r="C271" s="3">
        <v>41535</v>
      </c>
      <c r="D271" t="s">
        <v>50</v>
      </c>
      <c r="E271">
        <v>23</v>
      </c>
      <c r="F271" s="3">
        <f ca="1">41536+(RANDBETWEEN(1,10))</f>
        <v>41539</v>
      </c>
      <c r="G271" t="s">
        <v>26</v>
      </c>
      <c r="H271" t="s">
        <v>281</v>
      </c>
      <c r="I271" t="s">
        <v>52</v>
      </c>
      <c r="J271">
        <v>8956.4650000000001</v>
      </c>
      <c r="K271">
        <v>0.01</v>
      </c>
      <c r="L271">
        <v>0.69</v>
      </c>
      <c r="M271">
        <v>48.965000000000003</v>
      </c>
      <c r="N271">
        <v>4253.4799999999996</v>
      </c>
      <c r="O271" s="1" t="s">
        <v>225</v>
      </c>
      <c r="P271" s="1" t="s">
        <v>711</v>
      </c>
      <c r="Q271" s="1" t="s">
        <v>712</v>
      </c>
      <c r="R271" s="1" t="s">
        <v>391</v>
      </c>
      <c r="S271" s="1" t="s">
        <v>713</v>
      </c>
      <c r="T271" s="1" t="s">
        <v>714</v>
      </c>
      <c r="U271" s="2" t="s">
        <v>1145</v>
      </c>
      <c r="V271" s="2" t="s">
        <v>83</v>
      </c>
      <c r="W271" s="2" t="s">
        <v>178</v>
      </c>
      <c r="X271" s="2">
        <v>388.43</v>
      </c>
    </row>
    <row r="272" spans="1:24" x14ac:dyDescent="0.3">
      <c r="A272">
        <v>18175</v>
      </c>
      <c r="B272" t="s">
        <v>1146</v>
      </c>
      <c r="C272" s="3">
        <v>41684</v>
      </c>
      <c r="D272" t="s">
        <v>62</v>
      </c>
      <c r="E272">
        <v>11</v>
      </c>
      <c r="F272" s="3">
        <f ca="1">41686+(RANDBETWEEN(1,10))</f>
        <v>41695</v>
      </c>
      <c r="G272" t="s">
        <v>76</v>
      </c>
      <c r="H272" t="s">
        <v>258</v>
      </c>
      <c r="I272" t="s">
        <v>97</v>
      </c>
      <c r="J272">
        <v>3904.46</v>
      </c>
      <c r="K272">
        <v>0.04</v>
      </c>
      <c r="L272">
        <v>0.6</v>
      </c>
      <c r="M272">
        <v>91.77</v>
      </c>
      <c r="N272">
        <v>1542.52</v>
      </c>
      <c r="O272" s="1" t="s">
        <v>53</v>
      </c>
      <c r="P272" s="1" t="s">
        <v>1147</v>
      </c>
      <c r="Q272" s="1" t="s">
        <v>1148</v>
      </c>
      <c r="R272" s="1" t="s">
        <v>56</v>
      </c>
      <c r="S272" s="1" t="s">
        <v>1149</v>
      </c>
      <c r="T272" s="1" t="s">
        <v>1150</v>
      </c>
      <c r="U272" s="2" t="s">
        <v>1151</v>
      </c>
      <c r="V272" s="2" t="s">
        <v>83</v>
      </c>
      <c r="W272" s="2" t="s">
        <v>298</v>
      </c>
      <c r="X272" s="2">
        <v>353.43</v>
      </c>
    </row>
    <row r="273" spans="1:24" x14ac:dyDescent="0.3">
      <c r="A273">
        <v>18176</v>
      </c>
      <c r="B273" t="s">
        <v>1146</v>
      </c>
      <c r="C273" s="3">
        <v>41684</v>
      </c>
      <c r="D273" t="s">
        <v>62</v>
      </c>
      <c r="E273">
        <v>3</v>
      </c>
      <c r="F273" s="3">
        <f ca="1">41686+(RANDBETWEEN(1,10))</f>
        <v>41693</v>
      </c>
      <c r="G273" t="s">
        <v>26</v>
      </c>
      <c r="H273" t="s">
        <v>63</v>
      </c>
      <c r="I273" t="s">
        <v>97</v>
      </c>
      <c r="J273">
        <v>633.60500000000002</v>
      </c>
      <c r="K273">
        <v>0.25</v>
      </c>
      <c r="L273">
        <v>0.68</v>
      </c>
      <c r="M273">
        <v>241.5</v>
      </c>
      <c r="N273">
        <v>-1683.6434999999999</v>
      </c>
      <c r="O273" s="1" t="s">
        <v>53</v>
      </c>
      <c r="P273" s="1" t="s">
        <v>1147</v>
      </c>
      <c r="Q273" s="1" t="s">
        <v>1148</v>
      </c>
      <c r="R273" s="1" t="s">
        <v>56</v>
      </c>
      <c r="S273" s="1" t="s">
        <v>1149</v>
      </c>
      <c r="T273" s="1" t="s">
        <v>1150</v>
      </c>
      <c r="U273" s="2" t="s">
        <v>1152</v>
      </c>
      <c r="V273" s="2" t="s">
        <v>83</v>
      </c>
      <c r="W273" s="2" t="s">
        <v>263</v>
      </c>
      <c r="X273" s="2">
        <v>249.79499999999999</v>
      </c>
    </row>
    <row r="274" spans="1:24" x14ac:dyDescent="0.3">
      <c r="A274">
        <v>18177</v>
      </c>
      <c r="B274" t="s">
        <v>1153</v>
      </c>
      <c r="C274" s="3">
        <v>41684</v>
      </c>
      <c r="D274" t="s">
        <v>62</v>
      </c>
      <c r="E274">
        <v>6</v>
      </c>
      <c r="F274" s="3">
        <f ca="1">41686+(RANDBETWEEN(1,10))</f>
        <v>41691</v>
      </c>
      <c r="G274" t="s">
        <v>26</v>
      </c>
      <c r="H274" t="s">
        <v>27</v>
      </c>
      <c r="I274" t="s">
        <v>97</v>
      </c>
      <c r="J274">
        <v>105.105</v>
      </c>
      <c r="K274">
        <v>0.02</v>
      </c>
      <c r="L274">
        <v>0.36</v>
      </c>
      <c r="M274">
        <v>1.75</v>
      </c>
      <c r="N274">
        <v>72.522450000000006</v>
      </c>
      <c r="O274" s="1" t="s">
        <v>64</v>
      </c>
      <c r="P274" s="1" t="s">
        <v>1154</v>
      </c>
      <c r="Q274" s="1" t="s">
        <v>1155</v>
      </c>
      <c r="R274" s="1" t="s">
        <v>128</v>
      </c>
      <c r="S274" s="1" t="s">
        <v>1156</v>
      </c>
      <c r="T274" s="1" t="s">
        <v>1157</v>
      </c>
      <c r="U274" s="2" t="s">
        <v>1158</v>
      </c>
      <c r="V274" s="2" t="s">
        <v>47</v>
      </c>
      <c r="W274" s="2" t="s">
        <v>203</v>
      </c>
      <c r="X274" s="2">
        <v>17.184999999999999</v>
      </c>
    </row>
    <row r="275" spans="1:24" x14ac:dyDescent="0.3">
      <c r="A275">
        <v>18178</v>
      </c>
      <c r="B275" t="s">
        <v>1153</v>
      </c>
      <c r="C275" s="3">
        <v>41684</v>
      </c>
      <c r="D275" t="s">
        <v>62</v>
      </c>
      <c r="E275">
        <v>2</v>
      </c>
      <c r="F275" s="3">
        <f ca="1">41685+(RANDBETWEEN(1,10))</f>
        <v>41686</v>
      </c>
      <c r="G275" t="s">
        <v>156</v>
      </c>
      <c r="H275" t="s">
        <v>27</v>
      </c>
      <c r="I275" t="s">
        <v>97</v>
      </c>
      <c r="J275">
        <v>516.63499999999999</v>
      </c>
      <c r="K275">
        <v>0.01</v>
      </c>
      <c r="L275">
        <v>0.59</v>
      </c>
      <c r="M275">
        <v>12.25</v>
      </c>
      <c r="N275">
        <v>199.85</v>
      </c>
      <c r="O275" s="1" t="s">
        <v>64</v>
      </c>
      <c r="P275" s="1" t="s">
        <v>1159</v>
      </c>
      <c r="Q275" s="1" t="s">
        <v>1160</v>
      </c>
      <c r="R275" s="1" t="s">
        <v>67</v>
      </c>
      <c r="S275" s="1" t="s">
        <v>1161</v>
      </c>
      <c r="T275" s="1" t="s">
        <v>1162</v>
      </c>
      <c r="U275" s="2" t="s">
        <v>989</v>
      </c>
      <c r="V275" s="2" t="s">
        <v>47</v>
      </c>
      <c r="W275" s="2" t="s">
        <v>71</v>
      </c>
      <c r="X275" s="2">
        <v>248.39500000000001</v>
      </c>
    </row>
    <row r="276" spans="1:24" x14ac:dyDescent="0.3">
      <c r="A276">
        <v>18179</v>
      </c>
      <c r="B276" t="s">
        <v>1163</v>
      </c>
      <c r="C276" s="3">
        <v>41874</v>
      </c>
      <c r="D276" t="s">
        <v>25</v>
      </c>
      <c r="E276">
        <v>4</v>
      </c>
      <c r="F276" s="3">
        <f ca="1">41878+(RANDBETWEEN(1,10))</f>
        <v>41880</v>
      </c>
      <c r="G276" t="s">
        <v>26</v>
      </c>
      <c r="H276" t="s">
        <v>27</v>
      </c>
      <c r="I276" t="s">
        <v>97</v>
      </c>
      <c r="J276">
        <v>749.56</v>
      </c>
      <c r="K276">
        <v>0.09</v>
      </c>
      <c r="L276">
        <v>0.37</v>
      </c>
      <c r="M276">
        <v>50.05</v>
      </c>
      <c r="N276">
        <v>44.981999999999999</v>
      </c>
      <c r="O276" s="1" t="s">
        <v>29</v>
      </c>
      <c r="P276" s="1" t="s">
        <v>1164</v>
      </c>
      <c r="Q276" s="1" t="s">
        <v>1165</v>
      </c>
      <c r="R276" s="1" t="s">
        <v>32</v>
      </c>
      <c r="S276" s="1" t="s">
        <v>1166</v>
      </c>
      <c r="T276" s="1" t="s">
        <v>1167</v>
      </c>
      <c r="U276" s="2" t="s">
        <v>1168</v>
      </c>
      <c r="V276" s="2" t="s">
        <v>47</v>
      </c>
      <c r="W276" s="2" t="s">
        <v>74</v>
      </c>
      <c r="X276" s="2">
        <v>194.18</v>
      </c>
    </row>
    <row r="277" spans="1:24" x14ac:dyDescent="0.3">
      <c r="A277">
        <v>18180</v>
      </c>
      <c r="B277" t="s">
        <v>1169</v>
      </c>
      <c r="C277" s="3">
        <v>41962</v>
      </c>
      <c r="D277" t="s">
        <v>148</v>
      </c>
      <c r="E277">
        <v>13</v>
      </c>
      <c r="F277" s="3">
        <f ca="1">41963+(RANDBETWEEN(1,10))</f>
        <v>41969</v>
      </c>
      <c r="G277" t="s">
        <v>26</v>
      </c>
      <c r="H277" t="s">
        <v>27</v>
      </c>
      <c r="I277" t="s">
        <v>28</v>
      </c>
      <c r="J277">
        <v>724.46500000000003</v>
      </c>
      <c r="K277">
        <v>0.05</v>
      </c>
      <c r="L277">
        <v>0.37</v>
      </c>
      <c r="M277">
        <v>14</v>
      </c>
      <c r="N277">
        <v>174.29104000000001</v>
      </c>
      <c r="O277" s="1" t="s">
        <v>53</v>
      </c>
      <c r="P277" s="1" t="s">
        <v>1170</v>
      </c>
      <c r="Q277" s="1" t="s">
        <v>1171</v>
      </c>
      <c r="R277" s="1" t="s">
        <v>440</v>
      </c>
      <c r="S277" s="1" t="s">
        <v>1172</v>
      </c>
      <c r="T277" s="1" t="s">
        <v>1173</v>
      </c>
      <c r="U277" s="2" t="s">
        <v>1006</v>
      </c>
      <c r="V277" s="2" t="s">
        <v>36</v>
      </c>
      <c r="W277" s="2" t="s">
        <v>60</v>
      </c>
      <c r="X277" s="2">
        <v>55.93</v>
      </c>
    </row>
    <row r="278" spans="1:24" x14ac:dyDescent="0.3">
      <c r="A278">
        <v>18181</v>
      </c>
      <c r="B278" t="s">
        <v>1174</v>
      </c>
      <c r="C278" s="3">
        <v>40641</v>
      </c>
      <c r="D278" t="s">
        <v>62</v>
      </c>
      <c r="E278">
        <v>7</v>
      </c>
      <c r="F278" s="3">
        <f ca="1">40642+(RANDBETWEEN(1,10))</f>
        <v>40648</v>
      </c>
      <c r="G278" t="s">
        <v>26</v>
      </c>
      <c r="H278" t="s">
        <v>27</v>
      </c>
      <c r="I278" t="s">
        <v>86</v>
      </c>
      <c r="J278">
        <v>117.145</v>
      </c>
      <c r="K278">
        <v>0</v>
      </c>
      <c r="L278">
        <v>0.38</v>
      </c>
      <c r="M278">
        <v>17.465</v>
      </c>
      <c r="N278">
        <v>-209.37</v>
      </c>
      <c r="O278" s="1" t="s">
        <v>225</v>
      </c>
      <c r="P278" s="1" t="s">
        <v>1175</v>
      </c>
      <c r="Q278" s="1" t="s">
        <v>1176</v>
      </c>
      <c r="R278" s="1" t="s">
        <v>228</v>
      </c>
      <c r="S278" s="1" t="s">
        <v>1177</v>
      </c>
      <c r="T278" s="1" t="s">
        <v>1178</v>
      </c>
      <c r="U278" s="2" t="s">
        <v>1179</v>
      </c>
      <c r="V278" s="2" t="s">
        <v>47</v>
      </c>
      <c r="W278" s="2" t="s">
        <v>48</v>
      </c>
      <c r="X278" s="2">
        <v>15.47</v>
      </c>
    </row>
    <row r="279" spans="1:24" x14ac:dyDescent="0.3">
      <c r="A279">
        <v>18182</v>
      </c>
      <c r="B279" t="s">
        <v>1180</v>
      </c>
      <c r="C279" s="3">
        <v>41584</v>
      </c>
      <c r="D279" t="s">
        <v>148</v>
      </c>
      <c r="E279">
        <v>30</v>
      </c>
      <c r="F279" s="3">
        <f ca="1">41585+(RANDBETWEEN(1,10))</f>
        <v>41591</v>
      </c>
      <c r="G279" t="s">
        <v>76</v>
      </c>
      <c r="H279" t="s">
        <v>77</v>
      </c>
      <c r="I279" t="s">
        <v>97</v>
      </c>
      <c r="J279">
        <v>10598.875</v>
      </c>
      <c r="K279">
        <v>0.08</v>
      </c>
      <c r="L279">
        <v>0.59</v>
      </c>
      <c r="M279">
        <v>210</v>
      </c>
      <c r="N279">
        <v>170.52235200000001</v>
      </c>
      <c r="O279" s="1" t="s">
        <v>53</v>
      </c>
      <c r="P279" s="1" t="s">
        <v>1181</v>
      </c>
      <c r="Q279" s="1" t="s">
        <v>1182</v>
      </c>
      <c r="R279" s="1" t="s">
        <v>440</v>
      </c>
      <c r="S279" s="1" t="s">
        <v>1183</v>
      </c>
      <c r="T279" s="1" t="s">
        <v>1184</v>
      </c>
      <c r="U279" s="2" t="s">
        <v>1185</v>
      </c>
      <c r="V279" s="2" t="s">
        <v>83</v>
      </c>
      <c r="W279" s="2" t="s">
        <v>263</v>
      </c>
      <c r="X279" s="2">
        <v>352.8</v>
      </c>
    </row>
    <row r="280" spans="1:24" x14ac:dyDescent="0.3">
      <c r="A280">
        <v>18183</v>
      </c>
      <c r="B280" t="s">
        <v>1186</v>
      </c>
      <c r="C280" s="3">
        <v>41754</v>
      </c>
      <c r="D280" t="s">
        <v>50</v>
      </c>
      <c r="E280">
        <v>6</v>
      </c>
      <c r="F280" s="3">
        <f ca="1">41755+(RANDBETWEEN(1,10))</f>
        <v>41762</v>
      </c>
      <c r="G280" t="s">
        <v>26</v>
      </c>
      <c r="H280" t="s">
        <v>51</v>
      </c>
      <c r="I280" t="s">
        <v>28</v>
      </c>
      <c r="J280">
        <v>556.22</v>
      </c>
      <c r="K280">
        <v>7.0000000000000007E-2</v>
      </c>
      <c r="L280">
        <v>0.4</v>
      </c>
      <c r="M280">
        <v>6.9649999999999999</v>
      </c>
      <c r="N280">
        <v>-6841.4780000000001</v>
      </c>
      <c r="O280" s="1" t="s">
        <v>64</v>
      </c>
      <c r="P280" s="1" t="s">
        <v>1187</v>
      </c>
      <c r="Q280" s="1" t="s">
        <v>1188</v>
      </c>
      <c r="R280" s="1" t="s">
        <v>128</v>
      </c>
      <c r="S280" s="1" t="s">
        <v>1189</v>
      </c>
      <c r="T280" s="1" t="s">
        <v>1190</v>
      </c>
      <c r="U280" s="2" t="s">
        <v>1109</v>
      </c>
      <c r="V280" s="2" t="s">
        <v>36</v>
      </c>
      <c r="W280" s="2" t="s">
        <v>60</v>
      </c>
      <c r="X280" s="2">
        <v>99.68</v>
      </c>
    </row>
    <row r="281" spans="1:24" x14ac:dyDescent="0.3">
      <c r="A281">
        <v>18184</v>
      </c>
      <c r="B281" t="s">
        <v>1191</v>
      </c>
      <c r="C281" s="3">
        <v>40713</v>
      </c>
      <c r="D281" t="s">
        <v>50</v>
      </c>
      <c r="E281">
        <v>1</v>
      </c>
      <c r="F281" s="3">
        <f ca="1">40716+(RANDBETWEEN(1,10))</f>
        <v>40720</v>
      </c>
      <c r="G281" t="s">
        <v>26</v>
      </c>
      <c r="H281" t="s">
        <v>281</v>
      </c>
      <c r="I281" t="s">
        <v>28</v>
      </c>
      <c r="J281">
        <v>54.215000000000003</v>
      </c>
      <c r="K281">
        <v>0.1</v>
      </c>
      <c r="L281">
        <v>0.52</v>
      </c>
      <c r="M281">
        <v>23.625</v>
      </c>
      <c r="N281">
        <v>-70.364000000000004</v>
      </c>
      <c r="O281" s="1" t="s">
        <v>40</v>
      </c>
      <c r="P281" s="1" t="s">
        <v>1192</v>
      </c>
      <c r="Q281" s="1" t="s">
        <v>1193</v>
      </c>
      <c r="R281" s="1" t="s">
        <v>43</v>
      </c>
      <c r="S281" s="1" t="s">
        <v>1194</v>
      </c>
      <c r="T281" s="1" t="s">
        <v>1195</v>
      </c>
      <c r="U281" s="2" t="s">
        <v>1196</v>
      </c>
      <c r="V281" s="2" t="s">
        <v>47</v>
      </c>
      <c r="W281" s="2" t="s">
        <v>71</v>
      </c>
      <c r="X281" s="2">
        <v>50.47</v>
      </c>
    </row>
    <row r="282" spans="1:24" x14ac:dyDescent="0.3">
      <c r="A282">
        <v>18185</v>
      </c>
      <c r="B282" t="s">
        <v>1197</v>
      </c>
      <c r="C282" s="3">
        <v>41747</v>
      </c>
      <c r="D282" t="s">
        <v>50</v>
      </c>
      <c r="E282">
        <v>1</v>
      </c>
      <c r="F282" s="3">
        <f ca="1">41747+(RANDBETWEEN(1,10))</f>
        <v>41751</v>
      </c>
      <c r="G282" t="s">
        <v>26</v>
      </c>
      <c r="H282" t="s">
        <v>27</v>
      </c>
      <c r="I282" t="s">
        <v>28</v>
      </c>
      <c r="J282">
        <v>51.38</v>
      </c>
      <c r="K282">
        <v>0.06</v>
      </c>
      <c r="L282">
        <v>0.38</v>
      </c>
      <c r="M282">
        <v>21.664999999999999</v>
      </c>
      <c r="N282">
        <v>-48.219499999999996</v>
      </c>
      <c r="O282" s="1" t="s">
        <v>87</v>
      </c>
      <c r="P282" s="1" t="s">
        <v>1198</v>
      </c>
      <c r="Q282" s="1" t="s">
        <v>1199</v>
      </c>
      <c r="R282" s="1" t="s">
        <v>90</v>
      </c>
      <c r="S282" s="1" t="s">
        <v>1200</v>
      </c>
      <c r="T282" s="1" t="s">
        <v>1201</v>
      </c>
      <c r="U282" s="2" t="s">
        <v>1202</v>
      </c>
      <c r="V282" s="2" t="s">
        <v>47</v>
      </c>
      <c r="W282" s="2" t="s">
        <v>111</v>
      </c>
      <c r="X282" s="2">
        <v>30.1</v>
      </c>
    </row>
    <row r="283" spans="1:24" x14ac:dyDescent="0.3">
      <c r="A283">
        <v>18186</v>
      </c>
      <c r="B283" t="s">
        <v>1197</v>
      </c>
      <c r="C283" s="3">
        <v>41747</v>
      </c>
      <c r="D283" t="s">
        <v>50</v>
      </c>
      <c r="E283">
        <v>3</v>
      </c>
      <c r="F283" s="3">
        <f ca="1">41749+(RANDBETWEEN(1,10))</f>
        <v>41758</v>
      </c>
      <c r="G283" t="s">
        <v>26</v>
      </c>
      <c r="H283" t="s">
        <v>27</v>
      </c>
      <c r="I283" t="s">
        <v>28</v>
      </c>
      <c r="J283">
        <v>9684.01</v>
      </c>
      <c r="K283">
        <v>0.03</v>
      </c>
      <c r="L283">
        <v>0.38</v>
      </c>
      <c r="M283">
        <v>69.965000000000003</v>
      </c>
      <c r="N283">
        <v>6681.9669000000004</v>
      </c>
      <c r="O283" s="1" t="s">
        <v>29</v>
      </c>
      <c r="P283" s="1" t="s">
        <v>1203</v>
      </c>
      <c r="Q283" s="1" t="s">
        <v>1204</v>
      </c>
      <c r="R283" s="1" t="s">
        <v>32</v>
      </c>
      <c r="S283" s="1" t="s">
        <v>1205</v>
      </c>
      <c r="T283" s="1" t="s">
        <v>1206</v>
      </c>
      <c r="U283" s="2" t="s">
        <v>1207</v>
      </c>
      <c r="V283" s="2" t="s">
        <v>47</v>
      </c>
      <c r="W283" s="2" t="s">
        <v>111</v>
      </c>
      <c r="X283" s="2">
        <v>3139.4650000000001</v>
      </c>
    </row>
    <row r="284" spans="1:24" x14ac:dyDescent="0.3">
      <c r="A284">
        <v>18187</v>
      </c>
      <c r="B284" t="s">
        <v>1197</v>
      </c>
      <c r="C284" s="3">
        <v>41747</v>
      </c>
      <c r="D284" t="s">
        <v>50</v>
      </c>
      <c r="E284">
        <v>4</v>
      </c>
      <c r="F284" s="3">
        <f ca="1">41749+(RANDBETWEEN(1,10))</f>
        <v>41751</v>
      </c>
      <c r="G284" t="s">
        <v>26</v>
      </c>
      <c r="H284" t="s">
        <v>27</v>
      </c>
      <c r="I284" t="s">
        <v>28</v>
      </c>
      <c r="J284">
        <v>59.884999999999998</v>
      </c>
      <c r="K284">
        <v>0.08</v>
      </c>
      <c r="L284">
        <v>0.35</v>
      </c>
      <c r="M284">
        <v>18.934999999999999</v>
      </c>
      <c r="N284">
        <v>-202.57825</v>
      </c>
      <c r="O284" s="1" t="s">
        <v>29</v>
      </c>
      <c r="P284" s="1" t="s">
        <v>1203</v>
      </c>
      <c r="Q284" s="1" t="s">
        <v>1204</v>
      </c>
      <c r="R284" s="1" t="s">
        <v>32</v>
      </c>
      <c r="S284" s="1" t="s">
        <v>1205</v>
      </c>
      <c r="T284" s="1" t="s">
        <v>1206</v>
      </c>
      <c r="U284" s="2" t="s">
        <v>231</v>
      </c>
      <c r="V284" s="2" t="s">
        <v>47</v>
      </c>
      <c r="W284" s="2" t="s">
        <v>111</v>
      </c>
      <c r="X284" s="2">
        <v>14.84</v>
      </c>
    </row>
    <row r="285" spans="1:24" x14ac:dyDescent="0.3">
      <c r="A285">
        <v>18188</v>
      </c>
      <c r="B285" t="s">
        <v>1208</v>
      </c>
      <c r="C285" s="3">
        <v>40943</v>
      </c>
      <c r="D285" t="s">
        <v>148</v>
      </c>
      <c r="E285">
        <v>12</v>
      </c>
      <c r="F285" s="3">
        <f ca="1">40943+(RANDBETWEEN(1,10))</f>
        <v>40947</v>
      </c>
      <c r="G285" t="s">
        <v>26</v>
      </c>
      <c r="H285" t="s">
        <v>27</v>
      </c>
      <c r="I285" t="s">
        <v>97</v>
      </c>
      <c r="J285">
        <v>225.22499999999999</v>
      </c>
      <c r="K285">
        <v>0.08</v>
      </c>
      <c r="L285">
        <v>0.4</v>
      </c>
      <c r="M285">
        <v>19.495000000000001</v>
      </c>
      <c r="N285">
        <v>-426.685</v>
      </c>
      <c r="O285" s="1" t="s">
        <v>40</v>
      </c>
      <c r="P285" s="1" t="s">
        <v>1209</v>
      </c>
      <c r="Q285" s="1" t="s">
        <v>1210</v>
      </c>
      <c r="R285" s="1" t="s">
        <v>43</v>
      </c>
      <c r="S285" s="1" t="s">
        <v>1211</v>
      </c>
      <c r="T285" s="1" t="s">
        <v>1212</v>
      </c>
      <c r="U285" s="2" t="s">
        <v>1213</v>
      </c>
      <c r="V285" s="2" t="s">
        <v>47</v>
      </c>
      <c r="W285" s="2" t="s">
        <v>74</v>
      </c>
      <c r="X285" s="2">
        <v>18.48</v>
      </c>
    </row>
    <row r="286" spans="1:24" x14ac:dyDescent="0.3">
      <c r="A286">
        <v>18189</v>
      </c>
      <c r="B286" t="s">
        <v>1214</v>
      </c>
      <c r="C286" s="3">
        <v>40933</v>
      </c>
      <c r="D286" t="s">
        <v>62</v>
      </c>
      <c r="E286">
        <v>4</v>
      </c>
      <c r="F286" s="3">
        <f ca="1">40933+(RANDBETWEEN(1,10))</f>
        <v>40936</v>
      </c>
      <c r="G286" t="s">
        <v>26</v>
      </c>
      <c r="H286" t="s">
        <v>27</v>
      </c>
      <c r="I286" t="s">
        <v>52</v>
      </c>
      <c r="J286">
        <v>461.37</v>
      </c>
      <c r="K286">
        <v>0.05</v>
      </c>
      <c r="L286">
        <v>0.75</v>
      </c>
      <c r="M286">
        <v>23.52</v>
      </c>
      <c r="N286">
        <v>-816.11704999999995</v>
      </c>
      <c r="O286" s="1" t="s">
        <v>64</v>
      </c>
      <c r="P286" s="1" t="s">
        <v>1215</v>
      </c>
      <c r="Q286" s="1" t="s">
        <v>1216</v>
      </c>
      <c r="R286" s="1" t="s">
        <v>67</v>
      </c>
      <c r="S286" s="1" t="s">
        <v>1217</v>
      </c>
      <c r="T286" s="1" t="s">
        <v>1218</v>
      </c>
      <c r="U286" s="2" t="s">
        <v>1219</v>
      </c>
      <c r="V286" s="2" t="s">
        <v>47</v>
      </c>
      <c r="W286" s="2" t="s">
        <v>119</v>
      </c>
      <c r="X286" s="2">
        <v>111.93</v>
      </c>
    </row>
    <row r="287" spans="1:24" x14ac:dyDescent="0.3">
      <c r="A287">
        <v>18190</v>
      </c>
      <c r="B287" t="s">
        <v>1220</v>
      </c>
      <c r="C287" s="3">
        <v>40918</v>
      </c>
      <c r="D287" t="s">
        <v>25</v>
      </c>
      <c r="E287">
        <v>10</v>
      </c>
      <c r="F287" s="3">
        <f ca="1">40918+(RANDBETWEEN(1,10))</f>
        <v>40923</v>
      </c>
      <c r="G287" t="s">
        <v>26</v>
      </c>
      <c r="H287" t="s">
        <v>27</v>
      </c>
      <c r="I287" t="s">
        <v>28</v>
      </c>
      <c r="J287">
        <v>723.87</v>
      </c>
      <c r="K287">
        <v>0.05</v>
      </c>
      <c r="L287">
        <v>0.78</v>
      </c>
      <c r="M287">
        <v>22.75</v>
      </c>
      <c r="N287">
        <v>-741.57579999999996</v>
      </c>
      <c r="O287" s="1" t="s">
        <v>225</v>
      </c>
      <c r="P287" s="1" t="s">
        <v>1128</v>
      </c>
      <c r="Q287" s="1" t="s">
        <v>1129</v>
      </c>
      <c r="R287" s="1" t="s">
        <v>391</v>
      </c>
      <c r="S287" s="1" t="s">
        <v>1130</v>
      </c>
      <c r="T287" s="1" t="s">
        <v>1131</v>
      </c>
      <c r="U287" s="2" t="s">
        <v>1138</v>
      </c>
      <c r="V287" s="2" t="s">
        <v>36</v>
      </c>
      <c r="W287" s="2" t="s">
        <v>60</v>
      </c>
      <c r="X287" s="2">
        <v>73.394999999999996</v>
      </c>
    </row>
    <row r="288" spans="1:24" x14ac:dyDescent="0.3">
      <c r="A288">
        <v>18191</v>
      </c>
      <c r="B288" t="s">
        <v>1221</v>
      </c>
      <c r="C288" s="3">
        <v>41697</v>
      </c>
      <c r="D288" t="s">
        <v>50</v>
      </c>
      <c r="E288">
        <v>7</v>
      </c>
      <c r="F288" s="3">
        <f ca="1">41699+(RANDBETWEEN(1,10))</f>
        <v>41701</v>
      </c>
      <c r="G288" t="s">
        <v>26</v>
      </c>
      <c r="H288" t="s">
        <v>51</v>
      </c>
      <c r="I288" t="s">
        <v>97</v>
      </c>
      <c r="J288">
        <v>840.91</v>
      </c>
      <c r="K288">
        <v>0</v>
      </c>
      <c r="L288">
        <v>0.42</v>
      </c>
      <c r="M288">
        <v>6.9649999999999999</v>
      </c>
      <c r="N288">
        <v>580.22789999999998</v>
      </c>
      <c r="O288" s="1" t="s">
        <v>87</v>
      </c>
      <c r="P288" s="1" t="s">
        <v>1222</v>
      </c>
      <c r="Q288" s="1" t="s">
        <v>1223</v>
      </c>
      <c r="R288" s="1" t="s">
        <v>497</v>
      </c>
      <c r="S288" s="1" t="s">
        <v>1224</v>
      </c>
      <c r="T288" s="1" t="s">
        <v>1225</v>
      </c>
      <c r="U288" s="2" t="s">
        <v>1226</v>
      </c>
      <c r="V288" s="2" t="s">
        <v>36</v>
      </c>
      <c r="W288" s="2" t="s">
        <v>60</v>
      </c>
      <c r="X288" s="2">
        <v>111.23</v>
      </c>
    </row>
    <row r="289" spans="1:24" x14ac:dyDescent="0.3">
      <c r="A289">
        <v>18192</v>
      </c>
      <c r="B289" t="s">
        <v>1221</v>
      </c>
      <c r="C289" s="3">
        <v>41697</v>
      </c>
      <c r="D289" t="s">
        <v>50</v>
      </c>
      <c r="E289">
        <v>3</v>
      </c>
      <c r="F289" s="3">
        <f ca="1">41699+(RANDBETWEEN(1,10))</f>
        <v>41702</v>
      </c>
      <c r="G289" t="s">
        <v>26</v>
      </c>
      <c r="H289" t="s">
        <v>96</v>
      </c>
      <c r="I289" t="s">
        <v>97</v>
      </c>
      <c r="J289">
        <v>30.87</v>
      </c>
      <c r="K289">
        <v>0.01</v>
      </c>
      <c r="L289">
        <v>0.45</v>
      </c>
      <c r="M289">
        <v>4.6900000000000004</v>
      </c>
      <c r="N289">
        <v>-7.21</v>
      </c>
      <c r="O289" s="1" t="s">
        <v>87</v>
      </c>
      <c r="P289" s="1" t="s">
        <v>1222</v>
      </c>
      <c r="Q289" s="1" t="s">
        <v>1223</v>
      </c>
      <c r="R289" s="1" t="s">
        <v>497</v>
      </c>
      <c r="S289" s="1" t="s">
        <v>1224</v>
      </c>
      <c r="T289" s="1" t="s">
        <v>1225</v>
      </c>
      <c r="U289" s="2" t="s">
        <v>1227</v>
      </c>
      <c r="V289" s="2" t="s">
        <v>47</v>
      </c>
      <c r="W289" s="2" t="s">
        <v>104</v>
      </c>
      <c r="X289" s="2">
        <v>9.73</v>
      </c>
    </row>
    <row r="290" spans="1:24" x14ac:dyDescent="0.3">
      <c r="A290">
        <v>18193</v>
      </c>
      <c r="B290" t="s">
        <v>1228</v>
      </c>
      <c r="C290" s="3">
        <v>41790</v>
      </c>
      <c r="D290" t="s">
        <v>62</v>
      </c>
      <c r="E290">
        <v>9</v>
      </c>
      <c r="F290" s="3">
        <f ca="1">41790+(RANDBETWEEN(1,10))</f>
        <v>41796</v>
      </c>
      <c r="G290" t="s">
        <v>76</v>
      </c>
      <c r="H290" t="s">
        <v>258</v>
      </c>
      <c r="I290" t="s">
        <v>28</v>
      </c>
      <c r="J290">
        <v>4519.7950000000001</v>
      </c>
      <c r="K290">
        <v>0</v>
      </c>
      <c r="L290">
        <v>0.69</v>
      </c>
      <c r="M290">
        <v>191.59</v>
      </c>
      <c r="N290">
        <v>-1070.93</v>
      </c>
      <c r="O290" s="1" t="s">
        <v>87</v>
      </c>
      <c r="P290" s="1" t="s">
        <v>1229</v>
      </c>
      <c r="Q290" s="1" t="s">
        <v>1230</v>
      </c>
      <c r="R290" s="1" t="s">
        <v>646</v>
      </c>
      <c r="S290" s="1" t="s">
        <v>1231</v>
      </c>
      <c r="T290" s="1" t="s">
        <v>1232</v>
      </c>
      <c r="U290" s="2" t="s">
        <v>493</v>
      </c>
      <c r="V290" s="2" t="s">
        <v>83</v>
      </c>
      <c r="W290" s="2" t="s">
        <v>298</v>
      </c>
      <c r="X290" s="2">
        <v>458.43</v>
      </c>
    </row>
    <row r="291" spans="1:24" x14ac:dyDescent="0.3">
      <c r="A291">
        <v>18194</v>
      </c>
      <c r="B291" t="s">
        <v>1228</v>
      </c>
      <c r="C291" s="3">
        <v>41790</v>
      </c>
      <c r="D291" t="s">
        <v>62</v>
      </c>
      <c r="E291">
        <v>3</v>
      </c>
      <c r="F291" s="3">
        <f ca="1">41791+(RANDBETWEEN(1,10))</f>
        <v>41792</v>
      </c>
      <c r="G291" t="s">
        <v>76</v>
      </c>
      <c r="H291" t="s">
        <v>258</v>
      </c>
      <c r="I291" t="s">
        <v>28</v>
      </c>
      <c r="J291">
        <v>1906.03</v>
      </c>
      <c r="K291">
        <v>0.05</v>
      </c>
      <c r="L291">
        <v>0.77</v>
      </c>
      <c r="M291">
        <v>243.74</v>
      </c>
      <c r="N291">
        <v>-970.51499999999999</v>
      </c>
      <c r="O291" s="1" t="s">
        <v>87</v>
      </c>
      <c r="P291" s="1" t="s">
        <v>1229</v>
      </c>
      <c r="Q291" s="1" t="s">
        <v>1230</v>
      </c>
      <c r="R291" s="1" t="s">
        <v>646</v>
      </c>
      <c r="S291" s="1" t="s">
        <v>1231</v>
      </c>
      <c r="T291" s="1" t="s">
        <v>1232</v>
      </c>
      <c r="U291" s="2" t="s">
        <v>1233</v>
      </c>
      <c r="V291" s="2" t="s">
        <v>83</v>
      </c>
      <c r="W291" s="2" t="s">
        <v>263</v>
      </c>
      <c r="X291" s="2">
        <v>765.625</v>
      </c>
    </row>
    <row r="292" spans="1:24" x14ac:dyDescent="0.3">
      <c r="A292">
        <v>18195</v>
      </c>
      <c r="B292" t="s">
        <v>1234</v>
      </c>
      <c r="C292" s="3">
        <v>41042</v>
      </c>
      <c r="D292" t="s">
        <v>50</v>
      </c>
      <c r="E292">
        <v>17</v>
      </c>
      <c r="F292" s="3">
        <f ca="1">41043+(RANDBETWEEN(1,10))</f>
        <v>41049</v>
      </c>
      <c r="G292" t="s">
        <v>26</v>
      </c>
      <c r="H292" t="s">
        <v>27</v>
      </c>
      <c r="I292" t="s">
        <v>97</v>
      </c>
      <c r="J292">
        <v>303.17</v>
      </c>
      <c r="K292">
        <v>0.05</v>
      </c>
      <c r="L292">
        <v>0.36</v>
      </c>
      <c r="M292">
        <v>20.09</v>
      </c>
      <c r="N292">
        <v>-506.38524999999998</v>
      </c>
      <c r="O292" s="1" t="s">
        <v>40</v>
      </c>
      <c r="P292" s="1" t="s">
        <v>1235</v>
      </c>
      <c r="Q292" s="1" t="s">
        <v>1236</v>
      </c>
      <c r="R292" s="1" t="s">
        <v>43</v>
      </c>
      <c r="S292" s="1" t="s">
        <v>1237</v>
      </c>
      <c r="T292" s="1" t="s">
        <v>1238</v>
      </c>
      <c r="U292" s="2" t="s">
        <v>1239</v>
      </c>
      <c r="V292" s="2" t="s">
        <v>47</v>
      </c>
      <c r="W292" s="2" t="s">
        <v>111</v>
      </c>
      <c r="X292" s="2">
        <v>18.13</v>
      </c>
    </row>
    <row r="293" spans="1:24" x14ac:dyDescent="0.3">
      <c r="A293">
        <v>18196</v>
      </c>
      <c r="B293" t="s">
        <v>1234</v>
      </c>
      <c r="C293" s="3">
        <v>41042</v>
      </c>
      <c r="D293" t="s">
        <v>50</v>
      </c>
      <c r="E293">
        <v>5</v>
      </c>
      <c r="F293" s="3">
        <f ca="1">41044+(RANDBETWEEN(1,10))</f>
        <v>41049</v>
      </c>
      <c r="G293" t="s">
        <v>26</v>
      </c>
      <c r="H293" t="s">
        <v>51</v>
      </c>
      <c r="I293" t="s">
        <v>97</v>
      </c>
      <c r="J293">
        <v>1250.4449999999999</v>
      </c>
      <c r="K293">
        <v>0.06</v>
      </c>
      <c r="L293">
        <v>0.37</v>
      </c>
      <c r="M293">
        <v>11.55</v>
      </c>
      <c r="N293">
        <v>804.22649999999999</v>
      </c>
      <c r="O293" s="1" t="s">
        <v>40</v>
      </c>
      <c r="P293" s="1" t="s">
        <v>1235</v>
      </c>
      <c r="Q293" s="1" t="s">
        <v>1236</v>
      </c>
      <c r="R293" s="1" t="s">
        <v>43</v>
      </c>
      <c r="S293" s="1" t="s">
        <v>1237</v>
      </c>
      <c r="T293" s="1" t="s">
        <v>1238</v>
      </c>
      <c r="U293" s="2" t="s">
        <v>1240</v>
      </c>
      <c r="V293" s="2" t="s">
        <v>36</v>
      </c>
      <c r="W293" s="2" t="s">
        <v>37</v>
      </c>
      <c r="X293" s="2">
        <v>300.96499999999997</v>
      </c>
    </row>
    <row r="294" spans="1:24" x14ac:dyDescent="0.3">
      <c r="A294">
        <v>18197</v>
      </c>
      <c r="B294" t="s">
        <v>1241</v>
      </c>
      <c r="C294" s="3">
        <v>40728</v>
      </c>
      <c r="D294" t="s">
        <v>39</v>
      </c>
      <c r="E294">
        <v>12</v>
      </c>
      <c r="F294" s="3">
        <f ca="1">40730+(RANDBETWEEN(1,10))</f>
        <v>40734</v>
      </c>
      <c r="G294" t="s">
        <v>26</v>
      </c>
      <c r="H294" t="s">
        <v>63</v>
      </c>
      <c r="I294" t="s">
        <v>28</v>
      </c>
      <c r="J294">
        <v>4209.3100000000004</v>
      </c>
      <c r="K294">
        <v>0.06</v>
      </c>
      <c r="L294">
        <v>0.79</v>
      </c>
      <c r="M294">
        <v>35.42</v>
      </c>
      <c r="N294">
        <v>-157.535</v>
      </c>
      <c r="O294" s="1" t="s">
        <v>53</v>
      </c>
      <c r="P294" s="1" t="s">
        <v>1242</v>
      </c>
      <c r="Q294" s="1" t="s">
        <v>1243</v>
      </c>
      <c r="R294" s="1" t="s">
        <v>440</v>
      </c>
      <c r="S294" s="1" t="s">
        <v>1244</v>
      </c>
      <c r="T294" s="1" t="s">
        <v>1245</v>
      </c>
      <c r="U294" s="2" t="s">
        <v>1246</v>
      </c>
      <c r="V294" s="2" t="s">
        <v>83</v>
      </c>
      <c r="W294" s="2" t="s">
        <v>178</v>
      </c>
      <c r="X294" s="2">
        <v>368.51499999999999</v>
      </c>
    </row>
    <row r="295" spans="1:24" x14ac:dyDescent="0.3">
      <c r="A295">
        <v>18198</v>
      </c>
      <c r="B295" t="s">
        <v>1247</v>
      </c>
      <c r="C295" s="3">
        <v>40798</v>
      </c>
      <c r="D295" t="s">
        <v>62</v>
      </c>
      <c r="E295">
        <v>15</v>
      </c>
      <c r="F295" s="3">
        <f ca="1">40800+(RANDBETWEEN(1,10))</f>
        <v>40802</v>
      </c>
      <c r="G295" t="s">
        <v>26</v>
      </c>
      <c r="H295" t="s">
        <v>27</v>
      </c>
      <c r="I295" t="s">
        <v>97</v>
      </c>
      <c r="J295">
        <v>1297.17</v>
      </c>
      <c r="K295">
        <v>0</v>
      </c>
      <c r="L295">
        <v>0.39</v>
      </c>
      <c r="M295">
        <v>59.22</v>
      </c>
      <c r="N295">
        <v>-293.125</v>
      </c>
      <c r="O295" s="1" t="s">
        <v>87</v>
      </c>
      <c r="P295" s="1" t="s">
        <v>1229</v>
      </c>
      <c r="Q295" s="1" t="s">
        <v>1230</v>
      </c>
      <c r="R295" s="1" t="s">
        <v>646</v>
      </c>
      <c r="S295" s="1" t="s">
        <v>1231</v>
      </c>
      <c r="T295" s="1" t="s">
        <v>1232</v>
      </c>
      <c r="U295" s="2" t="s">
        <v>1248</v>
      </c>
      <c r="V295" s="2" t="s">
        <v>47</v>
      </c>
      <c r="W295" s="2" t="s">
        <v>74</v>
      </c>
      <c r="X295" s="2">
        <v>79.94</v>
      </c>
    </row>
    <row r="296" spans="1:24" x14ac:dyDescent="0.3">
      <c r="A296">
        <v>18199</v>
      </c>
      <c r="B296" t="s">
        <v>1249</v>
      </c>
      <c r="C296" s="3">
        <v>40675</v>
      </c>
      <c r="D296" t="s">
        <v>148</v>
      </c>
      <c r="E296">
        <v>1</v>
      </c>
      <c r="F296" s="3">
        <f ca="1">40677+(RANDBETWEEN(1,10))</f>
        <v>40679</v>
      </c>
      <c r="G296" t="s">
        <v>26</v>
      </c>
      <c r="H296" t="s">
        <v>96</v>
      </c>
      <c r="I296" t="s">
        <v>28</v>
      </c>
      <c r="J296">
        <v>37.274999999999999</v>
      </c>
      <c r="K296">
        <v>0</v>
      </c>
      <c r="L296">
        <v>0.38</v>
      </c>
      <c r="M296">
        <v>15.365</v>
      </c>
      <c r="N296">
        <v>-26.635000000000002</v>
      </c>
      <c r="O296" s="1" t="s">
        <v>225</v>
      </c>
      <c r="P296" s="1" t="s">
        <v>1250</v>
      </c>
      <c r="Q296" s="1" t="s">
        <v>1251</v>
      </c>
      <c r="R296" s="1" t="s">
        <v>228</v>
      </c>
      <c r="S296" s="1" t="s">
        <v>1252</v>
      </c>
      <c r="T296" s="1" t="s">
        <v>1253</v>
      </c>
      <c r="U296" s="2" t="s">
        <v>1254</v>
      </c>
      <c r="V296" s="2" t="s">
        <v>47</v>
      </c>
      <c r="W296" s="2" t="s">
        <v>74</v>
      </c>
      <c r="X296" s="2">
        <v>32.445</v>
      </c>
    </row>
    <row r="297" spans="1:24" x14ac:dyDescent="0.3">
      <c r="A297">
        <v>18200</v>
      </c>
      <c r="B297" t="s">
        <v>1255</v>
      </c>
      <c r="C297" s="3">
        <v>41412</v>
      </c>
      <c r="D297" t="s">
        <v>39</v>
      </c>
      <c r="E297">
        <v>17</v>
      </c>
      <c r="F297" s="3">
        <f ca="1">41414+(RANDBETWEEN(1,10))</f>
        <v>41418</v>
      </c>
      <c r="G297" t="s">
        <v>26</v>
      </c>
      <c r="H297" t="s">
        <v>27</v>
      </c>
      <c r="I297" t="s">
        <v>52</v>
      </c>
      <c r="J297">
        <v>707.80499999999995</v>
      </c>
      <c r="K297">
        <v>0.06</v>
      </c>
      <c r="L297">
        <v>0.4</v>
      </c>
      <c r="M297">
        <v>19.704999999999998</v>
      </c>
      <c r="N297">
        <v>-32.878999999999998</v>
      </c>
      <c r="O297" s="1" t="s">
        <v>87</v>
      </c>
      <c r="P297" s="1" t="s">
        <v>1256</v>
      </c>
      <c r="Q297" s="1" t="s">
        <v>1257</v>
      </c>
      <c r="R297" s="1" t="s">
        <v>398</v>
      </c>
      <c r="S297" s="1" t="s">
        <v>1258</v>
      </c>
      <c r="T297" s="1" t="s">
        <v>1259</v>
      </c>
      <c r="U297" s="2" t="s">
        <v>941</v>
      </c>
      <c r="V297" s="2" t="s">
        <v>47</v>
      </c>
      <c r="W297" s="2" t="s">
        <v>111</v>
      </c>
      <c r="X297" s="2">
        <v>40.950000000000003</v>
      </c>
    </row>
    <row r="298" spans="1:24" x14ac:dyDescent="0.3">
      <c r="A298">
        <v>18201</v>
      </c>
      <c r="B298" t="s">
        <v>1255</v>
      </c>
      <c r="C298" s="3">
        <v>41412</v>
      </c>
      <c r="D298" t="s">
        <v>39</v>
      </c>
      <c r="E298">
        <v>16</v>
      </c>
      <c r="F298" s="3">
        <f ca="1">41413+(RANDBETWEEN(1,10))</f>
        <v>41421</v>
      </c>
      <c r="G298" t="s">
        <v>26</v>
      </c>
      <c r="H298" t="s">
        <v>27</v>
      </c>
      <c r="I298" t="s">
        <v>52</v>
      </c>
      <c r="J298">
        <v>269.57</v>
      </c>
      <c r="K298">
        <v>0.08</v>
      </c>
      <c r="L298">
        <v>0.36</v>
      </c>
      <c r="M298">
        <v>26.04</v>
      </c>
      <c r="N298">
        <v>-251.958</v>
      </c>
      <c r="O298" s="1" t="s">
        <v>87</v>
      </c>
      <c r="P298" s="1" t="s">
        <v>1256</v>
      </c>
      <c r="Q298" s="1" t="s">
        <v>1257</v>
      </c>
      <c r="R298" s="1" t="s">
        <v>398</v>
      </c>
      <c r="S298" s="1" t="s">
        <v>1258</v>
      </c>
      <c r="T298" s="1" t="s">
        <v>1259</v>
      </c>
      <c r="U298" s="2" t="s">
        <v>131</v>
      </c>
      <c r="V298" s="2" t="s">
        <v>47</v>
      </c>
      <c r="W298" s="2" t="s">
        <v>74</v>
      </c>
      <c r="X298" s="2">
        <v>17.43</v>
      </c>
    </row>
    <row r="299" spans="1:24" x14ac:dyDescent="0.3">
      <c r="A299">
        <v>18202</v>
      </c>
      <c r="B299" t="s">
        <v>1255</v>
      </c>
      <c r="C299" s="3">
        <v>41412</v>
      </c>
      <c r="D299" t="s">
        <v>39</v>
      </c>
      <c r="E299">
        <v>11</v>
      </c>
      <c r="F299" s="3">
        <f ca="1">41414+(RANDBETWEEN(1,10))</f>
        <v>41421</v>
      </c>
      <c r="G299" t="s">
        <v>26</v>
      </c>
      <c r="H299" t="s">
        <v>27</v>
      </c>
      <c r="I299" t="s">
        <v>52</v>
      </c>
      <c r="J299">
        <v>208.04</v>
      </c>
      <c r="K299">
        <v>0.06</v>
      </c>
      <c r="L299">
        <v>0.4</v>
      </c>
      <c r="M299">
        <v>19.495000000000001</v>
      </c>
      <c r="N299">
        <v>18343.248</v>
      </c>
      <c r="O299" s="1" t="s">
        <v>87</v>
      </c>
      <c r="P299" s="1" t="s">
        <v>1256</v>
      </c>
      <c r="Q299" s="1" t="s">
        <v>1257</v>
      </c>
      <c r="R299" s="1" t="s">
        <v>398</v>
      </c>
      <c r="S299" s="1" t="s">
        <v>1258</v>
      </c>
      <c r="T299" s="1" t="s">
        <v>1259</v>
      </c>
      <c r="U299" s="2" t="s">
        <v>1213</v>
      </c>
      <c r="V299" s="2" t="s">
        <v>47</v>
      </c>
      <c r="W299" s="2" t="s">
        <v>74</v>
      </c>
      <c r="X299" s="2">
        <v>18.48</v>
      </c>
    </row>
    <row r="300" spans="1:24" x14ac:dyDescent="0.3">
      <c r="A300">
        <v>18203</v>
      </c>
      <c r="B300" t="s">
        <v>1260</v>
      </c>
      <c r="C300" s="3">
        <v>41744</v>
      </c>
      <c r="D300" t="s">
        <v>25</v>
      </c>
      <c r="E300">
        <v>4</v>
      </c>
      <c r="F300" s="3">
        <f ca="1">41751+(RANDBETWEEN(1,10))</f>
        <v>41759</v>
      </c>
      <c r="G300" t="s">
        <v>26</v>
      </c>
      <c r="H300" t="s">
        <v>27</v>
      </c>
      <c r="I300" t="s">
        <v>28</v>
      </c>
      <c r="J300">
        <v>779.24</v>
      </c>
      <c r="K300">
        <v>0.06</v>
      </c>
      <c r="L300">
        <v>0.59</v>
      </c>
      <c r="M300">
        <v>18.41</v>
      </c>
      <c r="N300">
        <v>-40.887</v>
      </c>
      <c r="O300" s="1" t="s">
        <v>87</v>
      </c>
      <c r="P300" s="1" t="s">
        <v>1261</v>
      </c>
      <c r="Q300" s="1" t="s">
        <v>1262</v>
      </c>
      <c r="R300" s="1" t="s">
        <v>497</v>
      </c>
      <c r="S300" s="1" t="s">
        <v>1263</v>
      </c>
      <c r="T300" s="1" t="s">
        <v>1264</v>
      </c>
      <c r="U300" s="2" t="s">
        <v>239</v>
      </c>
      <c r="V300" s="2" t="s">
        <v>36</v>
      </c>
      <c r="W300" s="2" t="s">
        <v>37</v>
      </c>
      <c r="X300" s="2">
        <v>230.965</v>
      </c>
    </row>
    <row r="301" spans="1:24" x14ac:dyDescent="0.3">
      <c r="A301">
        <v>18204</v>
      </c>
      <c r="B301" t="s">
        <v>1260</v>
      </c>
      <c r="C301" s="3">
        <v>41744</v>
      </c>
      <c r="D301" t="s">
        <v>25</v>
      </c>
      <c r="E301">
        <v>5</v>
      </c>
      <c r="F301" s="3">
        <f ca="1">41748+(RANDBETWEEN(1,10))</f>
        <v>41749</v>
      </c>
      <c r="G301" t="s">
        <v>26</v>
      </c>
      <c r="H301" t="s">
        <v>27</v>
      </c>
      <c r="I301" t="s">
        <v>28</v>
      </c>
      <c r="J301">
        <v>2411.9899999999998</v>
      </c>
      <c r="K301">
        <v>0.01</v>
      </c>
      <c r="L301">
        <v>0.57999999999999996</v>
      </c>
      <c r="M301">
        <v>31.465</v>
      </c>
      <c r="N301">
        <v>1097.5229999999999</v>
      </c>
      <c r="O301" s="1" t="s">
        <v>87</v>
      </c>
      <c r="P301" s="1" t="s">
        <v>1261</v>
      </c>
      <c r="Q301" s="1" t="s">
        <v>1262</v>
      </c>
      <c r="R301" s="1" t="s">
        <v>497</v>
      </c>
      <c r="S301" s="1" t="s">
        <v>1263</v>
      </c>
      <c r="T301" s="1" t="s">
        <v>1264</v>
      </c>
      <c r="U301" s="2" t="s">
        <v>1265</v>
      </c>
      <c r="V301" s="2" t="s">
        <v>36</v>
      </c>
      <c r="W301" s="2" t="s">
        <v>37</v>
      </c>
      <c r="X301" s="2">
        <v>545.96500000000003</v>
      </c>
    </row>
    <row r="302" spans="1:24" x14ac:dyDescent="0.3">
      <c r="A302">
        <v>18205</v>
      </c>
      <c r="B302" t="s">
        <v>1266</v>
      </c>
      <c r="C302" s="3">
        <v>41939</v>
      </c>
      <c r="D302" t="s">
        <v>25</v>
      </c>
      <c r="E302">
        <v>13</v>
      </c>
      <c r="F302" s="3">
        <f ca="1">41943+(RANDBETWEEN(1,10))</f>
        <v>41944</v>
      </c>
      <c r="G302" t="s">
        <v>76</v>
      </c>
      <c r="H302" t="s">
        <v>258</v>
      </c>
      <c r="I302" t="s">
        <v>28</v>
      </c>
      <c r="J302">
        <v>4633.125</v>
      </c>
      <c r="K302">
        <v>0.08</v>
      </c>
      <c r="L302">
        <v>0.62</v>
      </c>
      <c r="M302">
        <v>125.44</v>
      </c>
      <c r="N302">
        <v>-422.97500000000002</v>
      </c>
      <c r="O302" s="1" t="s">
        <v>64</v>
      </c>
      <c r="P302" s="1" t="s">
        <v>1267</v>
      </c>
      <c r="Q302" s="1" t="s">
        <v>1268</v>
      </c>
      <c r="R302" s="1" t="s">
        <v>128</v>
      </c>
      <c r="S302" s="1" t="s">
        <v>1269</v>
      </c>
      <c r="T302" s="1" t="s">
        <v>1270</v>
      </c>
      <c r="U302" s="2" t="s">
        <v>1271</v>
      </c>
      <c r="V302" s="2" t="s">
        <v>83</v>
      </c>
      <c r="W302" s="2" t="s">
        <v>298</v>
      </c>
      <c r="X302" s="2">
        <v>353.43</v>
      </c>
    </row>
    <row r="303" spans="1:24" x14ac:dyDescent="0.3">
      <c r="A303">
        <v>18206</v>
      </c>
      <c r="B303" t="s">
        <v>1272</v>
      </c>
      <c r="C303" s="3">
        <v>41807</v>
      </c>
      <c r="D303" t="s">
        <v>39</v>
      </c>
      <c r="E303">
        <v>18</v>
      </c>
      <c r="F303" s="3">
        <f ca="1">41809+(RANDBETWEEN(1,10))</f>
        <v>41818</v>
      </c>
      <c r="G303" t="s">
        <v>76</v>
      </c>
      <c r="H303" t="s">
        <v>258</v>
      </c>
      <c r="I303" t="s">
        <v>28</v>
      </c>
      <c r="J303">
        <v>6286.7349999999997</v>
      </c>
      <c r="K303">
        <v>0.09</v>
      </c>
      <c r="L303">
        <v>0.6</v>
      </c>
      <c r="M303">
        <v>91.77</v>
      </c>
      <c r="N303">
        <v>1768.83</v>
      </c>
      <c r="O303" s="1" t="s">
        <v>53</v>
      </c>
      <c r="P303" s="1" t="s">
        <v>1273</v>
      </c>
      <c r="Q303" s="1" t="s">
        <v>1274</v>
      </c>
      <c r="R303" s="1" t="s">
        <v>56</v>
      </c>
      <c r="S303" s="1" t="s">
        <v>1275</v>
      </c>
      <c r="T303" s="1" t="s">
        <v>1276</v>
      </c>
      <c r="U303" s="2" t="s">
        <v>1151</v>
      </c>
      <c r="V303" s="2" t="s">
        <v>83</v>
      </c>
      <c r="W303" s="2" t="s">
        <v>298</v>
      </c>
      <c r="X303" s="2">
        <v>353.43</v>
      </c>
    </row>
    <row r="304" spans="1:24" x14ac:dyDescent="0.3">
      <c r="A304">
        <v>18207</v>
      </c>
      <c r="B304" t="s">
        <v>1277</v>
      </c>
      <c r="C304" s="3">
        <v>41137</v>
      </c>
      <c r="D304" t="s">
        <v>25</v>
      </c>
      <c r="E304">
        <v>2</v>
      </c>
      <c r="F304" s="3">
        <f ca="1">41141+(RANDBETWEEN(1,10))</f>
        <v>41147</v>
      </c>
      <c r="G304" t="s">
        <v>26</v>
      </c>
      <c r="H304" t="s">
        <v>96</v>
      </c>
      <c r="I304" t="s">
        <v>97</v>
      </c>
      <c r="J304">
        <v>125.05500000000001</v>
      </c>
      <c r="K304">
        <v>0.06</v>
      </c>
      <c r="L304">
        <v>0.81</v>
      </c>
      <c r="M304">
        <v>8.75</v>
      </c>
      <c r="N304">
        <v>-194.91471999999999</v>
      </c>
      <c r="O304" s="1" t="s">
        <v>29</v>
      </c>
      <c r="P304" s="1" t="s">
        <v>1278</v>
      </c>
      <c r="Q304" s="1" t="s">
        <v>1279</v>
      </c>
      <c r="R304" s="1" t="s">
        <v>32</v>
      </c>
      <c r="S304" s="1" t="s">
        <v>1280</v>
      </c>
      <c r="T304" s="1" t="s">
        <v>1281</v>
      </c>
      <c r="U304" s="2" t="s">
        <v>1282</v>
      </c>
      <c r="V304" s="2" t="s">
        <v>36</v>
      </c>
      <c r="W304" s="2" t="s">
        <v>37</v>
      </c>
      <c r="X304" s="2">
        <v>73.465000000000003</v>
      </c>
    </row>
    <row r="305" spans="1:24" x14ac:dyDescent="0.3">
      <c r="A305">
        <v>18208</v>
      </c>
      <c r="B305" t="s">
        <v>1277</v>
      </c>
      <c r="C305" s="3">
        <v>41137</v>
      </c>
      <c r="D305" t="s">
        <v>25</v>
      </c>
      <c r="E305">
        <v>18</v>
      </c>
      <c r="F305" s="3">
        <f ca="1">41144+(RANDBETWEEN(1,10))</f>
        <v>41153</v>
      </c>
      <c r="G305" t="s">
        <v>26</v>
      </c>
      <c r="H305" t="s">
        <v>27</v>
      </c>
      <c r="I305" t="s">
        <v>97</v>
      </c>
      <c r="J305">
        <v>255.99</v>
      </c>
      <c r="K305">
        <v>0.06</v>
      </c>
      <c r="L305">
        <v>0.38</v>
      </c>
      <c r="M305">
        <v>18.41</v>
      </c>
      <c r="N305">
        <v>-237.80665999999999</v>
      </c>
      <c r="O305" s="1" t="s">
        <v>225</v>
      </c>
      <c r="P305" s="1" t="s">
        <v>1283</v>
      </c>
      <c r="Q305" s="1" t="s">
        <v>1284</v>
      </c>
      <c r="R305" s="1" t="s">
        <v>228</v>
      </c>
      <c r="S305" s="1" t="s">
        <v>1285</v>
      </c>
      <c r="T305" s="1" t="s">
        <v>1286</v>
      </c>
      <c r="U305" s="2" t="s">
        <v>1287</v>
      </c>
      <c r="V305" s="2" t="s">
        <v>47</v>
      </c>
      <c r="W305" s="2" t="s">
        <v>111</v>
      </c>
      <c r="X305" s="2">
        <v>13.93</v>
      </c>
    </row>
    <row r="306" spans="1:24" x14ac:dyDescent="0.3">
      <c r="A306">
        <v>18209</v>
      </c>
      <c r="B306" t="s">
        <v>1277</v>
      </c>
      <c r="C306" s="3">
        <v>41137</v>
      </c>
      <c r="D306" t="s">
        <v>25</v>
      </c>
      <c r="E306">
        <v>14</v>
      </c>
      <c r="F306" s="3">
        <f ca="1">41144+(RANDBETWEEN(1,10))</f>
        <v>41151</v>
      </c>
      <c r="G306" t="s">
        <v>76</v>
      </c>
      <c r="H306" t="s">
        <v>258</v>
      </c>
      <c r="I306" t="s">
        <v>97</v>
      </c>
      <c r="J306">
        <v>11350.36</v>
      </c>
      <c r="K306">
        <v>0.02</v>
      </c>
      <c r="L306">
        <v>0.62</v>
      </c>
      <c r="M306">
        <v>226.31</v>
      </c>
      <c r="N306">
        <v>2523.5405999999998</v>
      </c>
      <c r="O306" s="1" t="s">
        <v>29</v>
      </c>
      <c r="P306" s="1" t="s">
        <v>1288</v>
      </c>
      <c r="Q306" s="1" t="s">
        <v>1289</v>
      </c>
      <c r="R306" s="1" t="s">
        <v>675</v>
      </c>
      <c r="S306" s="1" t="s">
        <v>1290</v>
      </c>
      <c r="T306" s="1" t="s">
        <v>1291</v>
      </c>
      <c r="U306" s="2" t="s">
        <v>1292</v>
      </c>
      <c r="V306" s="2" t="s">
        <v>83</v>
      </c>
      <c r="W306" s="2" t="s">
        <v>298</v>
      </c>
      <c r="X306" s="2">
        <v>773.43</v>
      </c>
    </row>
    <row r="307" spans="1:24" x14ac:dyDescent="0.3">
      <c r="A307">
        <v>18210</v>
      </c>
      <c r="B307" t="s">
        <v>1293</v>
      </c>
      <c r="C307" s="3">
        <v>41025</v>
      </c>
      <c r="D307" t="s">
        <v>39</v>
      </c>
      <c r="E307">
        <v>11</v>
      </c>
      <c r="F307" s="3">
        <f ca="1">41026+(RANDBETWEEN(1,10))</f>
        <v>41033</v>
      </c>
      <c r="G307" t="s">
        <v>26</v>
      </c>
      <c r="H307" t="s">
        <v>27</v>
      </c>
      <c r="I307" t="s">
        <v>52</v>
      </c>
      <c r="J307">
        <v>15337.315000000001</v>
      </c>
      <c r="K307">
        <v>7.0000000000000007E-2</v>
      </c>
      <c r="L307">
        <v>0.56999999999999995</v>
      </c>
      <c r="M307">
        <v>39.795000000000002</v>
      </c>
      <c r="N307">
        <v>10582.74735</v>
      </c>
      <c r="O307" s="1" t="s">
        <v>40</v>
      </c>
      <c r="P307" s="1" t="s">
        <v>1294</v>
      </c>
      <c r="Q307" s="1" t="s">
        <v>1295</v>
      </c>
      <c r="R307" s="1" t="s">
        <v>43</v>
      </c>
      <c r="S307" s="1" t="s">
        <v>1296</v>
      </c>
      <c r="T307" s="1" t="s">
        <v>1297</v>
      </c>
      <c r="U307" s="2" t="s">
        <v>1298</v>
      </c>
      <c r="V307" s="2" t="s">
        <v>47</v>
      </c>
      <c r="W307" s="2" t="s">
        <v>119</v>
      </c>
      <c r="X307" s="2">
        <v>1455.58</v>
      </c>
    </row>
    <row r="308" spans="1:24" x14ac:dyDescent="0.3">
      <c r="A308">
        <v>18211</v>
      </c>
      <c r="B308" t="s">
        <v>1299</v>
      </c>
      <c r="C308" s="3">
        <v>40897</v>
      </c>
      <c r="D308" t="s">
        <v>39</v>
      </c>
      <c r="E308">
        <v>18</v>
      </c>
      <c r="F308" s="3">
        <f ca="1">40898+(RANDBETWEEN(1,10))</f>
        <v>40904</v>
      </c>
      <c r="G308" t="s">
        <v>76</v>
      </c>
      <c r="H308" t="s">
        <v>258</v>
      </c>
      <c r="I308" t="s">
        <v>86</v>
      </c>
      <c r="J308">
        <v>9285.57</v>
      </c>
      <c r="K308">
        <v>0.09</v>
      </c>
      <c r="L308">
        <v>0.72</v>
      </c>
      <c r="M308">
        <v>122.57</v>
      </c>
      <c r="N308">
        <v>-804.755</v>
      </c>
      <c r="O308" s="1" t="s">
        <v>225</v>
      </c>
      <c r="P308" s="1" t="s">
        <v>1300</v>
      </c>
      <c r="Q308" s="1" t="s">
        <v>1301</v>
      </c>
      <c r="R308" s="1" t="s">
        <v>228</v>
      </c>
      <c r="S308" s="1" t="s">
        <v>1285</v>
      </c>
      <c r="T308" s="1" t="s">
        <v>1286</v>
      </c>
      <c r="U308" s="2" t="s">
        <v>297</v>
      </c>
      <c r="V308" s="2" t="s">
        <v>83</v>
      </c>
      <c r="W308" s="2" t="s">
        <v>298</v>
      </c>
      <c r="X308" s="2">
        <v>563.42999999999995</v>
      </c>
    </row>
    <row r="309" spans="1:24" x14ac:dyDescent="0.3">
      <c r="A309">
        <v>18212</v>
      </c>
      <c r="B309" t="s">
        <v>1299</v>
      </c>
      <c r="C309" s="3">
        <v>40897</v>
      </c>
      <c r="D309" t="s">
        <v>39</v>
      </c>
      <c r="E309">
        <v>22</v>
      </c>
      <c r="F309" s="3">
        <f ca="1">40899+(RANDBETWEEN(1,10))</f>
        <v>40905</v>
      </c>
      <c r="G309" t="s">
        <v>26</v>
      </c>
      <c r="H309" t="s">
        <v>27</v>
      </c>
      <c r="I309" t="s">
        <v>86</v>
      </c>
      <c r="J309">
        <v>11005.96</v>
      </c>
      <c r="K309">
        <v>0.09</v>
      </c>
      <c r="L309">
        <v>0.59</v>
      </c>
      <c r="M309">
        <v>17.465</v>
      </c>
      <c r="N309">
        <v>7594.1124</v>
      </c>
      <c r="O309" s="1" t="s">
        <v>87</v>
      </c>
      <c r="P309" s="1" t="s">
        <v>1302</v>
      </c>
      <c r="Q309" s="1" t="s">
        <v>1303</v>
      </c>
      <c r="R309" s="1" t="s">
        <v>497</v>
      </c>
      <c r="S309" s="1" t="s">
        <v>1304</v>
      </c>
      <c r="T309" s="1" t="s">
        <v>1305</v>
      </c>
      <c r="U309" s="2">
        <v>5165</v>
      </c>
      <c r="V309" s="2" t="s">
        <v>36</v>
      </c>
      <c r="W309" s="2" t="s">
        <v>37</v>
      </c>
      <c r="X309" s="2">
        <v>615.96500000000003</v>
      </c>
    </row>
    <row r="310" spans="1:24" x14ac:dyDescent="0.3">
      <c r="A310">
        <v>18213</v>
      </c>
      <c r="B310" t="s">
        <v>1306</v>
      </c>
      <c r="C310" s="3">
        <v>40980</v>
      </c>
      <c r="D310" t="s">
        <v>50</v>
      </c>
      <c r="E310">
        <v>3</v>
      </c>
      <c r="F310" s="3">
        <f ca="1">40982+(RANDBETWEEN(1,10))</f>
        <v>40991</v>
      </c>
      <c r="G310" t="s">
        <v>156</v>
      </c>
      <c r="H310" t="s">
        <v>27</v>
      </c>
      <c r="I310" t="s">
        <v>52</v>
      </c>
      <c r="J310">
        <v>47.67</v>
      </c>
      <c r="K310">
        <v>0.1</v>
      </c>
      <c r="L310">
        <v>0.38</v>
      </c>
      <c r="M310">
        <v>1.75</v>
      </c>
      <c r="N310">
        <v>32.892299999999999</v>
      </c>
      <c r="O310" s="1" t="s">
        <v>64</v>
      </c>
      <c r="P310" s="1" t="s">
        <v>786</v>
      </c>
      <c r="Q310" s="1" t="s">
        <v>787</v>
      </c>
      <c r="R310" s="1" t="s">
        <v>128</v>
      </c>
      <c r="S310" s="1" t="s">
        <v>788</v>
      </c>
      <c r="T310" s="1" t="s">
        <v>789</v>
      </c>
      <c r="U310" s="2" t="s">
        <v>1307</v>
      </c>
      <c r="V310" s="2" t="s">
        <v>47</v>
      </c>
      <c r="W310" s="2" t="s">
        <v>203</v>
      </c>
      <c r="X310" s="2">
        <v>12.914999999999999</v>
      </c>
    </row>
    <row r="311" spans="1:24" x14ac:dyDescent="0.3">
      <c r="A311">
        <v>18214</v>
      </c>
      <c r="B311" t="s">
        <v>1306</v>
      </c>
      <c r="C311" s="3">
        <v>40980</v>
      </c>
      <c r="D311" t="s">
        <v>50</v>
      </c>
      <c r="E311">
        <v>5</v>
      </c>
      <c r="F311" s="3">
        <f ca="1">40982+(RANDBETWEEN(1,10))</f>
        <v>40991</v>
      </c>
      <c r="G311" t="s">
        <v>26</v>
      </c>
      <c r="H311" t="s">
        <v>96</v>
      </c>
      <c r="I311" t="s">
        <v>52</v>
      </c>
      <c r="J311">
        <v>81.234999999999999</v>
      </c>
      <c r="K311">
        <v>0.05</v>
      </c>
      <c r="L311">
        <v>0.8</v>
      </c>
      <c r="M311">
        <v>2.4500000000000002</v>
      </c>
      <c r="N311">
        <v>-20.195</v>
      </c>
      <c r="O311" s="1" t="s">
        <v>64</v>
      </c>
      <c r="P311" s="1" t="s">
        <v>786</v>
      </c>
      <c r="Q311" s="1" t="s">
        <v>787</v>
      </c>
      <c r="R311" s="1" t="s">
        <v>128</v>
      </c>
      <c r="S311" s="1" t="s">
        <v>788</v>
      </c>
      <c r="T311" s="1" t="s">
        <v>789</v>
      </c>
      <c r="U311" s="2" t="s">
        <v>1308</v>
      </c>
      <c r="V311" s="2" t="s">
        <v>47</v>
      </c>
      <c r="W311" s="2" t="s">
        <v>176</v>
      </c>
      <c r="X311" s="2">
        <v>16.484999999999999</v>
      </c>
    </row>
    <row r="312" spans="1:24" x14ac:dyDescent="0.3">
      <c r="A312">
        <v>18215</v>
      </c>
      <c r="B312" t="s">
        <v>1309</v>
      </c>
      <c r="C312" s="3">
        <v>41501</v>
      </c>
      <c r="D312" t="s">
        <v>62</v>
      </c>
      <c r="E312">
        <v>22</v>
      </c>
      <c r="F312" s="3">
        <f ca="1">41501+(RANDBETWEEN(1,10))</f>
        <v>41508</v>
      </c>
      <c r="G312" t="s">
        <v>76</v>
      </c>
      <c r="H312" t="s">
        <v>258</v>
      </c>
      <c r="I312" t="s">
        <v>86</v>
      </c>
      <c r="J312">
        <v>7929.18</v>
      </c>
      <c r="K312">
        <v>7.0000000000000007E-2</v>
      </c>
      <c r="L312">
        <v>0.75</v>
      </c>
      <c r="M312">
        <v>145.74</v>
      </c>
      <c r="N312">
        <v>-1807.8969999999999</v>
      </c>
      <c r="O312" s="1" t="s">
        <v>64</v>
      </c>
      <c r="P312" s="1" t="s">
        <v>1310</v>
      </c>
      <c r="Q312" s="1" t="s">
        <v>1311</v>
      </c>
      <c r="R312" s="1" t="s">
        <v>128</v>
      </c>
      <c r="S312" s="1" t="s">
        <v>1312</v>
      </c>
      <c r="T312" s="1" t="s">
        <v>1313</v>
      </c>
      <c r="U312" s="2" t="s">
        <v>1314</v>
      </c>
      <c r="V312" s="2" t="s">
        <v>83</v>
      </c>
      <c r="W312" s="2" t="s">
        <v>263</v>
      </c>
      <c r="X312" s="2">
        <v>369.21499999999997</v>
      </c>
    </row>
    <row r="313" spans="1:24" x14ac:dyDescent="0.3">
      <c r="A313">
        <v>18216</v>
      </c>
      <c r="B313" t="s">
        <v>1315</v>
      </c>
      <c r="C313" s="3">
        <v>41495</v>
      </c>
      <c r="D313" t="s">
        <v>25</v>
      </c>
      <c r="E313">
        <v>20</v>
      </c>
      <c r="F313" s="3">
        <f ca="1">41497+(RANDBETWEEN(1,10))</f>
        <v>41507</v>
      </c>
      <c r="G313" t="s">
        <v>26</v>
      </c>
      <c r="H313" t="s">
        <v>51</v>
      </c>
      <c r="I313" t="s">
        <v>86</v>
      </c>
      <c r="J313">
        <v>1239.875</v>
      </c>
      <c r="K313">
        <v>0.01</v>
      </c>
      <c r="L313">
        <v>0.47</v>
      </c>
      <c r="M313">
        <v>31.465</v>
      </c>
      <c r="N313">
        <v>-325.75200000000001</v>
      </c>
      <c r="O313" s="1" t="s">
        <v>87</v>
      </c>
      <c r="P313" s="1" t="s">
        <v>1316</v>
      </c>
      <c r="Q313" s="1" t="s">
        <v>1317</v>
      </c>
      <c r="R313" s="1" t="s">
        <v>90</v>
      </c>
      <c r="S313" s="1" t="s">
        <v>1318</v>
      </c>
      <c r="T313" s="1" t="s">
        <v>1319</v>
      </c>
      <c r="U313" s="2" t="s">
        <v>1320</v>
      </c>
      <c r="V313" s="2" t="s">
        <v>83</v>
      </c>
      <c r="W313" s="2" t="s">
        <v>178</v>
      </c>
      <c r="X313" s="2">
        <v>61.844999999999999</v>
      </c>
    </row>
    <row r="314" spans="1:24" x14ac:dyDescent="0.3">
      <c r="A314">
        <v>18217</v>
      </c>
      <c r="B314" t="s">
        <v>1321</v>
      </c>
      <c r="C314" s="3">
        <v>40882</v>
      </c>
      <c r="D314" t="s">
        <v>148</v>
      </c>
      <c r="E314">
        <v>15</v>
      </c>
      <c r="F314" s="3">
        <f ca="1">40884+(RANDBETWEEN(1,10))</f>
        <v>40894</v>
      </c>
      <c r="G314" t="s">
        <v>156</v>
      </c>
      <c r="H314" t="s">
        <v>63</v>
      </c>
      <c r="I314" t="s">
        <v>97</v>
      </c>
      <c r="J314">
        <v>35630.035000000003</v>
      </c>
      <c r="K314">
        <v>0.06</v>
      </c>
      <c r="L314">
        <v>0.41</v>
      </c>
      <c r="M314">
        <v>85.715000000000003</v>
      </c>
      <c r="N314">
        <v>24584.724149999998</v>
      </c>
      <c r="O314" s="1" t="s">
        <v>29</v>
      </c>
      <c r="P314" s="1" t="s">
        <v>1322</v>
      </c>
      <c r="Q314" s="1" t="s">
        <v>1323</v>
      </c>
      <c r="R314" s="1" t="s">
        <v>675</v>
      </c>
      <c r="S314" s="1" t="s">
        <v>1324</v>
      </c>
      <c r="T314" s="1" t="s">
        <v>1325</v>
      </c>
      <c r="U314" s="2" t="s">
        <v>1326</v>
      </c>
      <c r="V314" s="2" t="s">
        <v>36</v>
      </c>
      <c r="W314" s="2" t="s">
        <v>1327</v>
      </c>
      <c r="X314" s="2">
        <v>2449.9650000000001</v>
      </c>
    </row>
    <row r="315" spans="1:24" x14ac:dyDescent="0.3">
      <c r="A315">
        <v>18218</v>
      </c>
      <c r="B315" t="s">
        <v>1321</v>
      </c>
      <c r="C315" s="3">
        <v>40882</v>
      </c>
      <c r="D315" t="s">
        <v>148</v>
      </c>
      <c r="E315">
        <v>6</v>
      </c>
      <c r="F315" s="3">
        <f ca="1">40885+(RANDBETWEEN(1,10))</f>
        <v>40889</v>
      </c>
      <c r="G315" t="s">
        <v>76</v>
      </c>
      <c r="H315" t="s">
        <v>77</v>
      </c>
      <c r="I315" t="s">
        <v>97</v>
      </c>
      <c r="J315">
        <v>25560.674999999999</v>
      </c>
      <c r="K315">
        <v>0.04</v>
      </c>
      <c r="L315">
        <v>0.59</v>
      </c>
      <c r="M315">
        <v>51.45</v>
      </c>
      <c r="N315">
        <v>9236.5349999999999</v>
      </c>
      <c r="O315" s="1" t="s">
        <v>87</v>
      </c>
      <c r="P315" s="1" t="s">
        <v>1328</v>
      </c>
      <c r="Q315" s="1" t="s">
        <v>1329</v>
      </c>
      <c r="R315" s="1" t="s">
        <v>90</v>
      </c>
      <c r="S315" s="1" t="s">
        <v>1330</v>
      </c>
      <c r="T315" s="1" t="s">
        <v>1331</v>
      </c>
      <c r="U315" s="2" t="s">
        <v>1332</v>
      </c>
      <c r="V315" s="2" t="s">
        <v>36</v>
      </c>
      <c r="W315" s="2" t="s">
        <v>142</v>
      </c>
      <c r="X315" s="2">
        <v>4760.49</v>
      </c>
    </row>
    <row r="316" spans="1:24" x14ac:dyDescent="0.3">
      <c r="A316">
        <v>18219</v>
      </c>
      <c r="B316" t="s">
        <v>1321</v>
      </c>
      <c r="C316" s="3">
        <v>40882</v>
      </c>
      <c r="D316" t="s">
        <v>148</v>
      </c>
      <c r="E316">
        <v>1</v>
      </c>
      <c r="F316" s="3">
        <f ca="1">40884+(RANDBETWEEN(1,10))</f>
        <v>40893</v>
      </c>
      <c r="G316" t="s">
        <v>26</v>
      </c>
      <c r="H316" t="s">
        <v>27</v>
      </c>
      <c r="I316" t="s">
        <v>97</v>
      </c>
      <c r="J316">
        <v>37.520000000000003</v>
      </c>
      <c r="K316">
        <v>0.02</v>
      </c>
      <c r="L316">
        <v>0.36</v>
      </c>
      <c r="M316">
        <v>30.59</v>
      </c>
      <c r="N316">
        <v>-23.922499999999999</v>
      </c>
      <c r="O316" s="1" t="s">
        <v>87</v>
      </c>
      <c r="P316" s="1" t="s">
        <v>1333</v>
      </c>
      <c r="Q316" s="1" t="s">
        <v>1334</v>
      </c>
      <c r="R316" s="1" t="s">
        <v>90</v>
      </c>
      <c r="S316" s="1" t="s">
        <v>1335</v>
      </c>
      <c r="T316" s="1" t="s">
        <v>1336</v>
      </c>
      <c r="U316" s="2" t="s">
        <v>578</v>
      </c>
      <c r="V316" s="2" t="s">
        <v>47</v>
      </c>
      <c r="W316" s="2" t="s">
        <v>74</v>
      </c>
      <c r="X316" s="2">
        <v>22.68</v>
      </c>
    </row>
    <row r="317" spans="1:24" x14ac:dyDescent="0.3">
      <c r="A317">
        <v>18220</v>
      </c>
      <c r="B317" t="s">
        <v>1321</v>
      </c>
      <c r="C317" s="3">
        <v>40882</v>
      </c>
      <c r="D317" t="s">
        <v>148</v>
      </c>
      <c r="E317">
        <v>11</v>
      </c>
      <c r="F317" s="3">
        <f ca="1">40884+(RANDBETWEEN(1,10))</f>
        <v>40885</v>
      </c>
      <c r="G317" t="s">
        <v>26</v>
      </c>
      <c r="H317" t="s">
        <v>27</v>
      </c>
      <c r="I317" t="s">
        <v>97</v>
      </c>
      <c r="J317">
        <v>667.97500000000002</v>
      </c>
      <c r="K317">
        <v>0.02</v>
      </c>
      <c r="L317">
        <v>0.57999999999999996</v>
      </c>
      <c r="M317">
        <v>17.36</v>
      </c>
      <c r="N317">
        <v>127.7325</v>
      </c>
      <c r="O317" s="1" t="s">
        <v>87</v>
      </c>
      <c r="P317" s="1" t="s">
        <v>1337</v>
      </c>
      <c r="Q317" s="1" t="s">
        <v>1338</v>
      </c>
      <c r="R317" s="1" t="s">
        <v>497</v>
      </c>
      <c r="S317" s="1" t="s">
        <v>1339</v>
      </c>
      <c r="T317" s="1" t="s">
        <v>1340</v>
      </c>
      <c r="U317" s="2" t="s">
        <v>1341</v>
      </c>
      <c r="V317" s="2" t="s">
        <v>47</v>
      </c>
      <c r="W317" s="2" t="s">
        <v>119</v>
      </c>
      <c r="X317" s="2">
        <v>60.024999999999999</v>
      </c>
    </row>
    <row r="318" spans="1:24" x14ac:dyDescent="0.3">
      <c r="A318">
        <v>18221</v>
      </c>
      <c r="B318" t="s">
        <v>1321</v>
      </c>
      <c r="C318" s="3">
        <v>40882</v>
      </c>
      <c r="D318" t="s">
        <v>148</v>
      </c>
      <c r="E318">
        <v>12</v>
      </c>
      <c r="F318" s="3">
        <f ca="1">40883+(RANDBETWEEN(1,10))</f>
        <v>40892</v>
      </c>
      <c r="G318" t="s">
        <v>26</v>
      </c>
      <c r="H318" t="s">
        <v>27</v>
      </c>
      <c r="I318" t="s">
        <v>97</v>
      </c>
      <c r="J318">
        <v>1297.3800000000001</v>
      </c>
      <c r="K318">
        <v>7.0000000000000007E-2</v>
      </c>
      <c r="L318">
        <v>0.4</v>
      </c>
      <c r="M318">
        <v>30.59</v>
      </c>
      <c r="N318">
        <v>895.19219999999996</v>
      </c>
      <c r="O318" s="1" t="s">
        <v>53</v>
      </c>
      <c r="P318" s="1" t="s">
        <v>1342</v>
      </c>
      <c r="Q318" s="1" t="s">
        <v>1343</v>
      </c>
      <c r="R318" s="1" t="s">
        <v>440</v>
      </c>
      <c r="S318" s="1" t="s">
        <v>1344</v>
      </c>
      <c r="T318" s="1" t="s">
        <v>1345</v>
      </c>
      <c r="U318" s="2" t="s">
        <v>1346</v>
      </c>
      <c r="V318" s="2" t="s">
        <v>47</v>
      </c>
      <c r="W318" s="2" t="s">
        <v>74</v>
      </c>
      <c r="X318" s="2">
        <v>108.43</v>
      </c>
    </row>
    <row r="319" spans="1:24" x14ac:dyDescent="0.3">
      <c r="A319">
        <v>18222</v>
      </c>
      <c r="B319" t="s">
        <v>1347</v>
      </c>
      <c r="C319" s="3">
        <v>41283</v>
      </c>
      <c r="D319" t="s">
        <v>148</v>
      </c>
      <c r="E319">
        <v>1</v>
      </c>
      <c r="F319" s="3">
        <f ca="1">41286+(RANDBETWEEN(1,10))</f>
        <v>41290</v>
      </c>
      <c r="G319" t="s">
        <v>26</v>
      </c>
      <c r="H319" t="s">
        <v>27</v>
      </c>
      <c r="I319" t="s">
        <v>28</v>
      </c>
      <c r="J319">
        <v>1547.105</v>
      </c>
      <c r="K319">
        <v>0</v>
      </c>
      <c r="L319">
        <v>0.35</v>
      </c>
      <c r="M319">
        <v>69.965000000000003</v>
      </c>
      <c r="N319">
        <v>-89.189170000000004</v>
      </c>
      <c r="O319" s="1" t="s">
        <v>40</v>
      </c>
      <c r="P319" s="1" t="s">
        <v>1348</v>
      </c>
      <c r="Q319" s="1" t="s">
        <v>1349</v>
      </c>
      <c r="R319" s="1" t="s">
        <v>220</v>
      </c>
      <c r="S319" s="1" t="s">
        <v>1350</v>
      </c>
      <c r="T319" s="1" t="s">
        <v>1351</v>
      </c>
      <c r="U319" s="2" t="s">
        <v>1352</v>
      </c>
      <c r="V319" s="2" t="s">
        <v>47</v>
      </c>
      <c r="W319" s="2" t="s">
        <v>111</v>
      </c>
      <c r="X319" s="2">
        <v>1473.43</v>
      </c>
    </row>
    <row r="320" spans="1:24" x14ac:dyDescent="0.3">
      <c r="A320">
        <v>18223</v>
      </c>
      <c r="B320" t="s">
        <v>1347</v>
      </c>
      <c r="C320" s="3">
        <v>41283</v>
      </c>
      <c r="D320" t="s">
        <v>148</v>
      </c>
      <c r="E320">
        <v>8</v>
      </c>
      <c r="F320" s="3">
        <f ca="1">41285+(RANDBETWEEN(1,10))</f>
        <v>41295</v>
      </c>
      <c r="G320" t="s">
        <v>26</v>
      </c>
      <c r="H320" t="s">
        <v>51</v>
      </c>
      <c r="I320" t="s">
        <v>28</v>
      </c>
      <c r="J320">
        <v>316.85500000000002</v>
      </c>
      <c r="K320">
        <v>0.08</v>
      </c>
      <c r="L320">
        <v>0.6</v>
      </c>
      <c r="M320">
        <v>20.335000000000001</v>
      </c>
      <c r="N320">
        <v>-322.07139999999998</v>
      </c>
      <c r="O320" s="1" t="s">
        <v>40</v>
      </c>
      <c r="P320" s="1" t="s">
        <v>1348</v>
      </c>
      <c r="Q320" s="1" t="s">
        <v>1349</v>
      </c>
      <c r="R320" s="1" t="s">
        <v>220</v>
      </c>
      <c r="S320" s="1" t="s">
        <v>1350</v>
      </c>
      <c r="T320" s="1" t="s">
        <v>1351</v>
      </c>
      <c r="U320" s="2" t="s">
        <v>1353</v>
      </c>
      <c r="V320" s="2" t="s">
        <v>47</v>
      </c>
      <c r="W320" s="2" t="s">
        <v>104</v>
      </c>
      <c r="X320" s="2">
        <v>41.895000000000003</v>
      </c>
    </row>
    <row r="321" spans="1:24" x14ac:dyDescent="0.3">
      <c r="A321">
        <v>18224</v>
      </c>
      <c r="B321" t="s">
        <v>1354</v>
      </c>
      <c r="C321" s="3">
        <v>41926</v>
      </c>
      <c r="D321" t="s">
        <v>39</v>
      </c>
      <c r="E321">
        <v>21</v>
      </c>
      <c r="F321" s="3">
        <f ca="1">41929+(RANDBETWEEN(1,10))</f>
        <v>41937</v>
      </c>
      <c r="G321" t="s">
        <v>26</v>
      </c>
      <c r="H321" t="s">
        <v>27</v>
      </c>
      <c r="I321" t="s">
        <v>52</v>
      </c>
      <c r="J321">
        <v>3924.8649999999998</v>
      </c>
      <c r="K321">
        <v>7.0000000000000007E-2</v>
      </c>
      <c r="L321">
        <v>0.59</v>
      </c>
      <c r="M321">
        <v>31.465</v>
      </c>
      <c r="N321">
        <v>837.9</v>
      </c>
      <c r="O321" s="1" t="s">
        <v>225</v>
      </c>
      <c r="P321" s="1" t="s">
        <v>1355</v>
      </c>
      <c r="Q321" s="1" t="s">
        <v>1356</v>
      </c>
      <c r="R321" s="1" t="s">
        <v>228</v>
      </c>
      <c r="S321" s="1" t="s">
        <v>1357</v>
      </c>
      <c r="T321" s="1" t="s">
        <v>1358</v>
      </c>
      <c r="U321" s="2" t="s">
        <v>1359</v>
      </c>
      <c r="V321" s="2" t="s">
        <v>36</v>
      </c>
      <c r="W321" s="2" t="s">
        <v>37</v>
      </c>
      <c r="X321" s="2">
        <v>230.965</v>
      </c>
    </row>
    <row r="322" spans="1:24" x14ac:dyDescent="0.3">
      <c r="A322">
        <v>18225</v>
      </c>
      <c r="B322" t="s">
        <v>1360</v>
      </c>
      <c r="C322" s="3">
        <v>41878</v>
      </c>
      <c r="D322" t="s">
        <v>148</v>
      </c>
      <c r="E322">
        <v>16</v>
      </c>
      <c r="F322" s="3">
        <f ca="1">41879+(RANDBETWEEN(1,10))</f>
        <v>41882</v>
      </c>
      <c r="G322" t="s">
        <v>26</v>
      </c>
      <c r="H322" t="s">
        <v>51</v>
      </c>
      <c r="I322" t="s">
        <v>28</v>
      </c>
      <c r="J322">
        <v>529.62</v>
      </c>
      <c r="K322">
        <v>0.08</v>
      </c>
      <c r="L322">
        <v>0.41</v>
      </c>
      <c r="M322">
        <v>6.9649999999999999</v>
      </c>
      <c r="N322">
        <v>-2762.9140000000002</v>
      </c>
      <c r="O322" s="1" t="s">
        <v>53</v>
      </c>
      <c r="P322" s="1" t="s">
        <v>1361</v>
      </c>
      <c r="Q322" s="1" t="s">
        <v>1362</v>
      </c>
      <c r="R322" s="1" t="s">
        <v>440</v>
      </c>
      <c r="S322" s="1" t="s">
        <v>1363</v>
      </c>
      <c r="T322" s="1" t="s">
        <v>1364</v>
      </c>
      <c r="U322" s="2" t="s">
        <v>1365</v>
      </c>
      <c r="V322" s="2" t="s">
        <v>36</v>
      </c>
      <c r="W322" s="2" t="s">
        <v>60</v>
      </c>
      <c r="X322" s="2">
        <v>35.034999999999997</v>
      </c>
    </row>
    <row r="323" spans="1:24" x14ac:dyDescent="0.3">
      <c r="A323">
        <v>18226</v>
      </c>
      <c r="B323" t="s">
        <v>1366</v>
      </c>
      <c r="C323" s="3">
        <v>41195</v>
      </c>
      <c r="D323" t="s">
        <v>148</v>
      </c>
      <c r="E323">
        <v>13</v>
      </c>
      <c r="F323" s="3">
        <f ca="1">41197+(RANDBETWEEN(1,10))</f>
        <v>41207</v>
      </c>
      <c r="G323" t="s">
        <v>26</v>
      </c>
      <c r="H323" t="s">
        <v>27</v>
      </c>
      <c r="I323" t="s">
        <v>97</v>
      </c>
      <c r="J323">
        <v>6818.49</v>
      </c>
      <c r="K323">
        <v>0.09</v>
      </c>
      <c r="L323">
        <v>0.79</v>
      </c>
      <c r="M323">
        <v>14</v>
      </c>
      <c r="N323">
        <v>407.71640000000002</v>
      </c>
      <c r="O323" s="1" t="s">
        <v>29</v>
      </c>
      <c r="P323" s="1" t="s">
        <v>1367</v>
      </c>
      <c r="Q323" s="1" t="s">
        <v>1368</v>
      </c>
      <c r="R323" s="1" t="s">
        <v>32</v>
      </c>
      <c r="S323" s="1" t="s">
        <v>1369</v>
      </c>
      <c r="T323" s="1" t="s">
        <v>1370</v>
      </c>
      <c r="U323" s="2" t="s">
        <v>192</v>
      </c>
      <c r="V323" s="2" t="s">
        <v>36</v>
      </c>
      <c r="W323" s="2" t="s">
        <v>60</v>
      </c>
      <c r="X323" s="2">
        <v>533.67999999999995</v>
      </c>
    </row>
    <row r="324" spans="1:24" x14ac:dyDescent="0.3">
      <c r="A324">
        <v>18227</v>
      </c>
      <c r="B324" t="s">
        <v>1371</v>
      </c>
      <c r="C324" s="3">
        <v>41684</v>
      </c>
      <c r="D324" t="s">
        <v>50</v>
      </c>
      <c r="E324">
        <v>1</v>
      </c>
      <c r="F324" s="3">
        <f ca="1">41684+(RANDBETWEEN(1,10))</f>
        <v>41686</v>
      </c>
      <c r="G324" t="s">
        <v>26</v>
      </c>
      <c r="H324" t="s">
        <v>27</v>
      </c>
      <c r="I324" t="s">
        <v>28</v>
      </c>
      <c r="J324">
        <v>11.62</v>
      </c>
      <c r="K324">
        <v>7.0000000000000007E-2</v>
      </c>
      <c r="L324">
        <v>0.37</v>
      </c>
      <c r="M324">
        <v>21.175000000000001</v>
      </c>
      <c r="N324">
        <v>-71.041250000000005</v>
      </c>
      <c r="O324" s="1" t="s">
        <v>64</v>
      </c>
      <c r="P324" s="1" t="s">
        <v>1372</v>
      </c>
      <c r="Q324" s="1" t="s">
        <v>1373</v>
      </c>
      <c r="R324" s="1" t="s">
        <v>67</v>
      </c>
      <c r="S324" s="1" t="s">
        <v>1374</v>
      </c>
      <c r="T324" s="1" t="s">
        <v>1375</v>
      </c>
      <c r="U324" s="2" t="s">
        <v>1376</v>
      </c>
      <c r="V324" s="2" t="s">
        <v>47</v>
      </c>
      <c r="W324" s="2" t="s">
        <v>111</v>
      </c>
      <c r="X324" s="2">
        <v>7.56</v>
      </c>
    </row>
    <row r="325" spans="1:24" x14ac:dyDescent="0.3">
      <c r="A325">
        <v>18228</v>
      </c>
      <c r="B325" t="s">
        <v>1377</v>
      </c>
      <c r="C325" s="3">
        <v>41442</v>
      </c>
      <c r="D325" t="s">
        <v>50</v>
      </c>
      <c r="E325">
        <v>6</v>
      </c>
      <c r="F325" s="3">
        <f ca="1">41443+(RANDBETWEEN(1,10))</f>
        <v>41452</v>
      </c>
      <c r="G325" t="s">
        <v>26</v>
      </c>
      <c r="H325" t="s">
        <v>27</v>
      </c>
      <c r="I325" t="s">
        <v>28</v>
      </c>
      <c r="J325">
        <v>1816.22</v>
      </c>
      <c r="K325">
        <v>0</v>
      </c>
      <c r="L325">
        <v>0.56000000000000005</v>
      </c>
      <c r="M325">
        <v>17.149999999999999</v>
      </c>
      <c r="N325">
        <v>629.25660000000005</v>
      </c>
      <c r="O325" s="1" t="s">
        <v>87</v>
      </c>
      <c r="P325" s="1" t="s">
        <v>1378</v>
      </c>
      <c r="Q325" s="1" t="s">
        <v>1379</v>
      </c>
      <c r="R325" s="1" t="s">
        <v>398</v>
      </c>
      <c r="S325" s="1" t="s">
        <v>1380</v>
      </c>
      <c r="T325" s="1" t="s">
        <v>1381</v>
      </c>
      <c r="U325" s="2" t="s">
        <v>35</v>
      </c>
      <c r="V325" s="2" t="s">
        <v>36</v>
      </c>
      <c r="W325" s="2" t="s">
        <v>37</v>
      </c>
      <c r="X325" s="2">
        <v>335.96499999999997</v>
      </c>
    </row>
    <row r="326" spans="1:24" x14ac:dyDescent="0.3">
      <c r="A326">
        <v>18229</v>
      </c>
      <c r="B326" t="s">
        <v>1382</v>
      </c>
      <c r="C326" s="3">
        <v>41342</v>
      </c>
      <c r="D326" t="s">
        <v>25</v>
      </c>
      <c r="E326">
        <v>9</v>
      </c>
      <c r="F326" s="3">
        <f ca="1">41344+(RANDBETWEEN(1,10))</f>
        <v>41349</v>
      </c>
      <c r="G326" t="s">
        <v>26</v>
      </c>
      <c r="H326" t="s">
        <v>27</v>
      </c>
      <c r="I326" t="s">
        <v>28</v>
      </c>
      <c r="J326">
        <v>488.565</v>
      </c>
      <c r="K326">
        <v>0.1</v>
      </c>
      <c r="L326">
        <v>0.37</v>
      </c>
      <c r="M326">
        <v>46.13</v>
      </c>
      <c r="N326">
        <v>-605.07825000000003</v>
      </c>
      <c r="O326" s="1" t="s">
        <v>53</v>
      </c>
      <c r="P326" s="1" t="s">
        <v>1383</v>
      </c>
      <c r="Q326" s="1" t="s">
        <v>1384</v>
      </c>
      <c r="R326" s="1" t="s">
        <v>100</v>
      </c>
      <c r="S326" s="1" t="s">
        <v>1385</v>
      </c>
      <c r="T326" s="1" t="s">
        <v>1386</v>
      </c>
      <c r="U326" s="2" t="s">
        <v>197</v>
      </c>
      <c r="V326" s="2" t="s">
        <v>47</v>
      </c>
      <c r="W326" s="2" t="s">
        <v>111</v>
      </c>
      <c r="X326" s="2">
        <v>55.965000000000003</v>
      </c>
    </row>
    <row r="327" spans="1:24" x14ac:dyDescent="0.3">
      <c r="A327">
        <v>18230</v>
      </c>
      <c r="B327" t="s">
        <v>1382</v>
      </c>
      <c r="C327" s="3">
        <v>41342</v>
      </c>
      <c r="D327" t="s">
        <v>25</v>
      </c>
      <c r="E327">
        <v>11</v>
      </c>
      <c r="F327" s="3">
        <f ca="1">41347+(RANDBETWEEN(1,10))</f>
        <v>41351</v>
      </c>
      <c r="G327" t="s">
        <v>26</v>
      </c>
      <c r="H327" t="s">
        <v>51</v>
      </c>
      <c r="I327" t="s">
        <v>28</v>
      </c>
      <c r="J327">
        <v>187.42500000000001</v>
      </c>
      <c r="K327">
        <v>0.05</v>
      </c>
      <c r="L327">
        <v>0.66</v>
      </c>
      <c r="M327">
        <v>17.254999999999999</v>
      </c>
      <c r="N327">
        <v>-505.92500000000001</v>
      </c>
      <c r="O327" s="1" t="s">
        <v>53</v>
      </c>
      <c r="P327" s="1" t="s">
        <v>1383</v>
      </c>
      <c r="Q327" s="1" t="s">
        <v>1384</v>
      </c>
      <c r="R327" s="1" t="s">
        <v>100</v>
      </c>
      <c r="S327" s="1" t="s">
        <v>1385</v>
      </c>
      <c r="T327" s="1" t="s">
        <v>1386</v>
      </c>
      <c r="U327" s="2" t="s">
        <v>1387</v>
      </c>
      <c r="V327" s="2" t="s">
        <v>36</v>
      </c>
      <c r="W327" s="2" t="s">
        <v>60</v>
      </c>
      <c r="X327" s="2">
        <v>17.114999999999998</v>
      </c>
    </row>
    <row r="328" spans="1:24" x14ac:dyDescent="0.3">
      <c r="A328">
        <v>18231</v>
      </c>
      <c r="B328" t="s">
        <v>1388</v>
      </c>
      <c r="C328" s="3">
        <v>41855</v>
      </c>
      <c r="D328" t="s">
        <v>39</v>
      </c>
      <c r="E328">
        <v>15</v>
      </c>
      <c r="F328" s="3">
        <f ca="1">41857+(RANDBETWEEN(1,10))</f>
        <v>41859</v>
      </c>
      <c r="G328" t="s">
        <v>26</v>
      </c>
      <c r="H328" t="s">
        <v>96</v>
      </c>
      <c r="I328" t="s">
        <v>97</v>
      </c>
      <c r="J328">
        <v>141.57499999999999</v>
      </c>
      <c r="K328">
        <v>0.09</v>
      </c>
      <c r="L328">
        <v>0.56000000000000005</v>
      </c>
      <c r="M328">
        <v>2.4500000000000002</v>
      </c>
      <c r="N328">
        <v>31.77216</v>
      </c>
      <c r="O328" s="1" t="s">
        <v>87</v>
      </c>
      <c r="P328" s="1" t="s">
        <v>1389</v>
      </c>
      <c r="Q328" s="1" t="s">
        <v>1390</v>
      </c>
      <c r="R328" s="1" t="s">
        <v>497</v>
      </c>
      <c r="S328" s="1" t="s">
        <v>1391</v>
      </c>
      <c r="T328" s="1" t="s">
        <v>1392</v>
      </c>
      <c r="U328" s="2" t="s">
        <v>1393</v>
      </c>
      <c r="V328" s="2" t="s">
        <v>47</v>
      </c>
      <c r="W328" s="2" t="s">
        <v>104</v>
      </c>
      <c r="X328" s="2">
        <v>10.08</v>
      </c>
    </row>
    <row r="329" spans="1:24" x14ac:dyDescent="0.3">
      <c r="A329">
        <v>18232</v>
      </c>
      <c r="B329" t="s">
        <v>1394</v>
      </c>
      <c r="C329" s="3">
        <v>41166</v>
      </c>
      <c r="D329" t="s">
        <v>148</v>
      </c>
      <c r="E329">
        <v>21</v>
      </c>
      <c r="F329" s="3">
        <f ca="1">41168+(RANDBETWEEN(1,10))</f>
        <v>41174</v>
      </c>
      <c r="G329" t="s">
        <v>26</v>
      </c>
      <c r="H329" t="s">
        <v>27</v>
      </c>
      <c r="I329" t="s">
        <v>52</v>
      </c>
      <c r="J329">
        <v>3362.625</v>
      </c>
      <c r="K329">
        <v>0.06</v>
      </c>
      <c r="L329">
        <v>0.56000000000000005</v>
      </c>
      <c r="M329">
        <v>13.965</v>
      </c>
      <c r="N329">
        <v>-876.21799999999996</v>
      </c>
      <c r="O329" s="1" t="s">
        <v>87</v>
      </c>
      <c r="P329" s="1" t="s">
        <v>1395</v>
      </c>
      <c r="Q329" s="1" t="s">
        <v>1396</v>
      </c>
      <c r="R329" s="1" t="s">
        <v>90</v>
      </c>
      <c r="S329" s="1" t="s">
        <v>1397</v>
      </c>
      <c r="T329" s="1" t="s">
        <v>1398</v>
      </c>
      <c r="U329" s="2" t="s">
        <v>1399</v>
      </c>
      <c r="V329" s="2" t="s">
        <v>47</v>
      </c>
      <c r="W329" s="2" t="s">
        <v>71</v>
      </c>
      <c r="X329" s="2">
        <v>170.03</v>
      </c>
    </row>
    <row r="330" spans="1:24" x14ac:dyDescent="0.3">
      <c r="A330">
        <v>18233</v>
      </c>
      <c r="B330" t="s">
        <v>1394</v>
      </c>
      <c r="C330" s="3">
        <v>41166</v>
      </c>
      <c r="D330" t="s">
        <v>148</v>
      </c>
      <c r="E330">
        <v>6</v>
      </c>
      <c r="F330" s="3">
        <f ca="1">41168+(RANDBETWEEN(1,10))</f>
        <v>41176</v>
      </c>
      <c r="G330" t="s">
        <v>26</v>
      </c>
      <c r="H330" t="s">
        <v>27</v>
      </c>
      <c r="I330" t="s">
        <v>52</v>
      </c>
      <c r="J330">
        <v>723.69500000000005</v>
      </c>
      <c r="K330">
        <v>0.08</v>
      </c>
      <c r="L330">
        <v>0.57999999999999996</v>
      </c>
      <c r="M330">
        <v>22.085000000000001</v>
      </c>
      <c r="N330">
        <v>-804.48199999999997</v>
      </c>
      <c r="O330" s="1" t="s">
        <v>87</v>
      </c>
      <c r="P330" s="1" t="s">
        <v>1400</v>
      </c>
      <c r="Q330" s="1" t="s">
        <v>1401</v>
      </c>
      <c r="R330" s="1" t="s">
        <v>646</v>
      </c>
      <c r="S330" s="1" t="s">
        <v>1402</v>
      </c>
      <c r="T330" s="1" t="s">
        <v>1403</v>
      </c>
      <c r="U330" s="2" t="s">
        <v>1404</v>
      </c>
      <c r="V330" s="2" t="s">
        <v>47</v>
      </c>
      <c r="W330" s="2" t="s">
        <v>119</v>
      </c>
      <c r="X330" s="2">
        <v>124.285</v>
      </c>
    </row>
    <row r="331" spans="1:24" x14ac:dyDescent="0.3">
      <c r="A331">
        <v>18234</v>
      </c>
      <c r="B331" t="s">
        <v>1405</v>
      </c>
      <c r="C331" s="3">
        <v>42000</v>
      </c>
      <c r="D331" t="s">
        <v>39</v>
      </c>
      <c r="E331">
        <v>7</v>
      </c>
      <c r="F331" s="3">
        <f ca="1">42002+(RANDBETWEEN(1,10))</f>
        <v>42012</v>
      </c>
      <c r="G331" t="s">
        <v>76</v>
      </c>
      <c r="H331" t="s">
        <v>77</v>
      </c>
      <c r="I331" t="s">
        <v>86</v>
      </c>
      <c r="J331">
        <v>1432.2</v>
      </c>
      <c r="K331">
        <v>0.09</v>
      </c>
      <c r="L331">
        <v>0.56000000000000005</v>
      </c>
      <c r="M331">
        <v>113.435</v>
      </c>
      <c r="N331">
        <v>-266.30520000000001</v>
      </c>
      <c r="O331" s="1" t="s">
        <v>53</v>
      </c>
      <c r="P331" s="1" t="s">
        <v>1406</v>
      </c>
      <c r="Q331" s="1" t="s">
        <v>1407</v>
      </c>
      <c r="R331" s="1" t="s">
        <v>440</v>
      </c>
      <c r="S331" s="1" t="s">
        <v>1408</v>
      </c>
      <c r="T331" s="1" t="s">
        <v>1409</v>
      </c>
      <c r="U331" s="2" t="s">
        <v>1410</v>
      </c>
      <c r="V331" s="2" t="s">
        <v>83</v>
      </c>
      <c r="W331" s="2" t="s">
        <v>84</v>
      </c>
      <c r="X331" s="2">
        <v>213.11500000000001</v>
      </c>
    </row>
    <row r="332" spans="1:24" x14ac:dyDescent="0.3">
      <c r="A332">
        <v>18235</v>
      </c>
      <c r="B332" t="s">
        <v>1411</v>
      </c>
      <c r="C332" s="3">
        <v>41529</v>
      </c>
      <c r="D332" t="s">
        <v>148</v>
      </c>
      <c r="E332">
        <v>13</v>
      </c>
      <c r="F332" s="3">
        <f ca="1">41531+(RANDBETWEEN(1,10))</f>
        <v>41541</v>
      </c>
      <c r="G332" t="s">
        <v>26</v>
      </c>
      <c r="H332" t="s">
        <v>96</v>
      </c>
      <c r="I332" t="s">
        <v>86</v>
      </c>
      <c r="J332">
        <v>233.905</v>
      </c>
      <c r="K332">
        <v>0.05</v>
      </c>
      <c r="L332">
        <v>0.36</v>
      </c>
      <c r="M332">
        <v>2.8</v>
      </c>
      <c r="N332">
        <v>161.39445000000001</v>
      </c>
      <c r="O332" s="1" t="s">
        <v>40</v>
      </c>
      <c r="P332" s="1" t="s">
        <v>1412</v>
      </c>
      <c r="Q332" s="1" t="s">
        <v>1413</v>
      </c>
      <c r="R332" s="1" t="s">
        <v>43</v>
      </c>
      <c r="S332" s="1" t="s">
        <v>1414</v>
      </c>
      <c r="T332" s="1" t="s">
        <v>1415</v>
      </c>
      <c r="U332" s="2" t="s">
        <v>1416</v>
      </c>
      <c r="V332" s="2" t="s">
        <v>47</v>
      </c>
      <c r="W332" s="2" t="s">
        <v>74</v>
      </c>
      <c r="X332" s="2">
        <v>17.43</v>
      </c>
    </row>
    <row r="333" spans="1:24" x14ac:dyDescent="0.3">
      <c r="A333">
        <v>18236</v>
      </c>
      <c r="B333" t="s">
        <v>1411</v>
      </c>
      <c r="C333" s="3">
        <v>41529</v>
      </c>
      <c r="D333" t="s">
        <v>148</v>
      </c>
      <c r="E333">
        <v>5</v>
      </c>
      <c r="F333" s="3">
        <f ca="1">41531+(RANDBETWEEN(1,10))</f>
        <v>41534</v>
      </c>
      <c r="G333" t="s">
        <v>26</v>
      </c>
      <c r="H333" t="s">
        <v>27</v>
      </c>
      <c r="I333" t="s">
        <v>86</v>
      </c>
      <c r="J333">
        <v>919.94</v>
      </c>
      <c r="K333">
        <v>0.08</v>
      </c>
      <c r="L333">
        <v>0.56000000000000005</v>
      </c>
      <c r="M333">
        <v>18.41</v>
      </c>
      <c r="N333">
        <v>-514.55250000000001</v>
      </c>
      <c r="O333" s="1" t="s">
        <v>40</v>
      </c>
      <c r="P333" s="1" t="s">
        <v>1412</v>
      </c>
      <c r="Q333" s="1" t="s">
        <v>1413</v>
      </c>
      <c r="R333" s="1" t="s">
        <v>43</v>
      </c>
      <c r="S333" s="1" t="s">
        <v>1414</v>
      </c>
      <c r="T333" s="1" t="s">
        <v>1415</v>
      </c>
      <c r="U333" s="2">
        <v>8860</v>
      </c>
      <c r="V333" s="2" t="s">
        <v>36</v>
      </c>
      <c r="W333" s="2" t="s">
        <v>37</v>
      </c>
      <c r="X333" s="2">
        <v>230.965</v>
      </c>
    </row>
    <row r="334" spans="1:24" x14ac:dyDescent="0.3">
      <c r="A334">
        <v>18237</v>
      </c>
      <c r="B334" t="s">
        <v>1417</v>
      </c>
      <c r="C334" s="3">
        <v>40970</v>
      </c>
      <c r="D334" t="s">
        <v>148</v>
      </c>
      <c r="E334">
        <v>8</v>
      </c>
      <c r="F334" s="3">
        <f ca="1">40972+(RANDBETWEEN(1,10))</f>
        <v>40981</v>
      </c>
      <c r="G334" t="s">
        <v>26</v>
      </c>
      <c r="H334" t="s">
        <v>27</v>
      </c>
      <c r="I334" t="s">
        <v>28</v>
      </c>
      <c r="J334">
        <v>265.64999999999998</v>
      </c>
      <c r="K334">
        <v>0.1</v>
      </c>
      <c r="L334">
        <v>0.55000000000000004</v>
      </c>
      <c r="M334">
        <v>21.77</v>
      </c>
      <c r="N334">
        <v>-160.965</v>
      </c>
      <c r="O334" s="1" t="s">
        <v>87</v>
      </c>
      <c r="P334" s="1" t="s">
        <v>1418</v>
      </c>
      <c r="Q334" s="1" t="s">
        <v>1419</v>
      </c>
      <c r="R334" s="1" t="s">
        <v>90</v>
      </c>
      <c r="S334" s="1" t="s">
        <v>1420</v>
      </c>
      <c r="T334" s="1" t="s">
        <v>1421</v>
      </c>
      <c r="U334" s="2" t="s">
        <v>1422</v>
      </c>
      <c r="V334" s="2" t="s">
        <v>83</v>
      </c>
      <c r="W334" s="2" t="s">
        <v>178</v>
      </c>
      <c r="X334" s="2">
        <v>33.774999999999999</v>
      </c>
    </row>
    <row r="335" spans="1:24" x14ac:dyDescent="0.3">
      <c r="A335">
        <v>18238</v>
      </c>
      <c r="B335" t="s">
        <v>1417</v>
      </c>
      <c r="C335" s="3">
        <v>40970</v>
      </c>
      <c r="D335" t="s">
        <v>148</v>
      </c>
      <c r="E335">
        <v>9</v>
      </c>
      <c r="F335" s="3">
        <f ca="1">40971+(RANDBETWEEN(1,10))</f>
        <v>40976</v>
      </c>
      <c r="G335" t="s">
        <v>26</v>
      </c>
      <c r="H335" t="s">
        <v>27</v>
      </c>
      <c r="I335" t="s">
        <v>28</v>
      </c>
      <c r="J335">
        <v>167.65</v>
      </c>
      <c r="K335">
        <v>0.04</v>
      </c>
      <c r="L335">
        <v>0.36</v>
      </c>
      <c r="M335">
        <v>26.04</v>
      </c>
      <c r="N335">
        <v>-527.59</v>
      </c>
      <c r="O335" s="1" t="s">
        <v>87</v>
      </c>
      <c r="P335" s="1" t="s">
        <v>1418</v>
      </c>
      <c r="Q335" s="1" t="s">
        <v>1419</v>
      </c>
      <c r="R335" s="1" t="s">
        <v>90</v>
      </c>
      <c r="S335" s="1" t="s">
        <v>1420</v>
      </c>
      <c r="T335" s="1" t="s">
        <v>1421</v>
      </c>
      <c r="U335" s="2" t="s">
        <v>131</v>
      </c>
      <c r="V335" s="2" t="s">
        <v>47</v>
      </c>
      <c r="W335" s="2" t="s">
        <v>74</v>
      </c>
      <c r="X335" s="2">
        <v>17.43</v>
      </c>
    </row>
    <row r="336" spans="1:24" x14ac:dyDescent="0.3">
      <c r="A336">
        <v>18239</v>
      </c>
      <c r="B336" t="s">
        <v>1423</v>
      </c>
      <c r="C336" s="3">
        <v>41106</v>
      </c>
      <c r="D336" t="s">
        <v>25</v>
      </c>
      <c r="E336">
        <v>14</v>
      </c>
      <c r="F336" s="3">
        <f ca="1">41106+(RANDBETWEEN(1,10))</f>
        <v>41116</v>
      </c>
      <c r="G336" t="s">
        <v>26</v>
      </c>
      <c r="H336" t="s">
        <v>51</v>
      </c>
      <c r="I336" t="s">
        <v>52</v>
      </c>
      <c r="J336">
        <v>649.32000000000005</v>
      </c>
      <c r="K336">
        <v>0</v>
      </c>
      <c r="L336">
        <v>0.48</v>
      </c>
      <c r="M336">
        <v>17.43</v>
      </c>
      <c r="N336">
        <v>6008.1210000000001</v>
      </c>
      <c r="O336" s="1" t="s">
        <v>87</v>
      </c>
      <c r="P336" s="1" t="s">
        <v>1424</v>
      </c>
      <c r="Q336" s="1" t="s">
        <v>1425</v>
      </c>
      <c r="R336" s="1" t="s">
        <v>646</v>
      </c>
      <c r="S336" s="1" t="s">
        <v>1426</v>
      </c>
      <c r="T336" s="1" t="s">
        <v>1427</v>
      </c>
      <c r="U336" s="2" t="s">
        <v>430</v>
      </c>
      <c r="V336" s="2" t="s">
        <v>83</v>
      </c>
      <c r="W336" s="2" t="s">
        <v>178</v>
      </c>
      <c r="X336" s="2">
        <v>44.24</v>
      </c>
    </row>
    <row r="337" spans="1:24" x14ac:dyDescent="0.3">
      <c r="A337">
        <v>18240</v>
      </c>
      <c r="B337" t="s">
        <v>1428</v>
      </c>
      <c r="C337" s="3">
        <v>41312</v>
      </c>
      <c r="D337" t="s">
        <v>50</v>
      </c>
      <c r="E337">
        <v>10</v>
      </c>
      <c r="F337" s="3">
        <f ca="1">41312+(RANDBETWEEN(1,10))</f>
        <v>41318</v>
      </c>
      <c r="G337" t="s">
        <v>156</v>
      </c>
      <c r="H337" t="s">
        <v>63</v>
      </c>
      <c r="I337" t="s">
        <v>28</v>
      </c>
      <c r="J337">
        <v>1191.47</v>
      </c>
      <c r="K337">
        <v>0.1</v>
      </c>
      <c r="L337">
        <v>0.85</v>
      </c>
      <c r="M337">
        <v>122.5</v>
      </c>
      <c r="N337">
        <v>-4168.9549999999999</v>
      </c>
      <c r="O337" s="1" t="s">
        <v>29</v>
      </c>
      <c r="P337" s="1" t="s">
        <v>1429</v>
      </c>
      <c r="Q337" s="1" t="s">
        <v>1430</v>
      </c>
      <c r="R337" s="1" t="s">
        <v>460</v>
      </c>
      <c r="S337" s="1" t="s">
        <v>1431</v>
      </c>
      <c r="T337" s="1" t="s">
        <v>1432</v>
      </c>
      <c r="U337" s="2" t="s">
        <v>1433</v>
      </c>
      <c r="V337" s="2" t="s">
        <v>47</v>
      </c>
      <c r="W337" s="2" t="s">
        <v>119</v>
      </c>
      <c r="X337" s="2">
        <v>124.18</v>
      </c>
    </row>
    <row r="338" spans="1:24" x14ac:dyDescent="0.3">
      <c r="A338">
        <v>18241</v>
      </c>
      <c r="B338" t="s">
        <v>1428</v>
      </c>
      <c r="C338" s="3">
        <v>41312</v>
      </c>
      <c r="D338" t="s">
        <v>50</v>
      </c>
      <c r="E338">
        <v>3</v>
      </c>
      <c r="F338" s="3">
        <f ca="1">41312+(RANDBETWEEN(1,10))</f>
        <v>41322</v>
      </c>
      <c r="G338" t="s">
        <v>26</v>
      </c>
      <c r="H338" t="s">
        <v>27</v>
      </c>
      <c r="I338" t="s">
        <v>28</v>
      </c>
      <c r="J338">
        <v>1075.5150000000001</v>
      </c>
      <c r="K338">
        <v>7.0000000000000007E-2</v>
      </c>
      <c r="L338">
        <v>0.52</v>
      </c>
      <c r="M338">
        <v>69.965000000000003</v>
      </c>
      <c r="N338">
        <v>-334.32</v>
      </c>
      <c r="O338" s="1" t="s">
        <v>29</v>
      </c>
      <c r="P338" s="1" t="s">
        <v>1434</v>
      </c>
      <c r="Q338" s="1" t="s">
        <v>1435</v>
      </c>
      <c r="R338" s="1" t="s">
        <v>460</v>
      </c>
      <c r="S338" s="1" t="s">
        <v>1436</v>
      </c>
      <c r="T338" s="1" t="s">
        <v>1437</v>
      </c>
      <c r="U338" s="2" t="s">
        <v>1438</v>
      </c>
      <c r="V338" s="2" t="s">
        <v>36</v>
      </c>
      <c r="W338" s="2" t="s">
        <v>60</v>
      </c>
      <c r="X338" s="2">
        <v>349.96499999999997</v>
      </c>
    </row>
    <row r="339" spans="1:24" x14ac:dyDescent="0.3">
      <c r="A339">
        <v>18242</v>
      </c>
      <c r="B339" t="s">
        <v>1428</v>
      </c>
      <c r="C339" s="3">
        <v>41312</v>
      </c>
      <c r="D339" t="s">
        <v>50</v>
      </c>
      <c r="E339">
        <v>13</v>
      </c>
      <c r="F339" s="3">
        <f ca="1">41314+(RANDBETWEEN(1,10))</f>
        <v>41321</v>
      </c>
      <c r="G339" t="s">
        <v>26</v>
      </c>
      <c r="H339" t="s">
        <v>51</v>
      </c>
      <c r="I339" t="s">
        <v>28</v>
      </c>
      <c r="J339">
        <v>1305.5350000000001</v>
      </c>
      <c r="K339">
        <v>0.08</v>
      </c>
      <c r="L339">
        <v>0.57999999999999996</v>
      </c>
      <c r="M339">
        <v>31.465</v>
      </c>
      <c r="N339">
        <v>68.495000000000005</v>
      </c>
      <c r="O339" s="1" t="s">
        <v>29</v>
      </c>
      <c r="P339" s="1" t="s">
        <v>1434</v>
      </c>
      <c r="Q339" s="1" t="s">
        <v>1435</v>
      </c>
      <c r="R339" s="1" t="s">
        <v>460</v>
      </c>
      <c r="S339" s="1" t="s">
        <v>1436</v>
      </c>
      <c r="T339" s="1" t="s">
        <v>1437</v>
      </c>
      <c r="U339" s="2" t="s">
        <v>1439</v>
      </c>
      <c r="V339" s="2" t="s">
        <v>47</v>
      </c>
      <c r="W339" s="2" t="s">
        <v>104</v>
      </c>
      <c r="X339" s="2">
        <v>108.43</v>
      </c>
    </row>
    <row r="340" spans="1:24" x14ac:dyDescent="0.3">
      <c r="A340">
        <v>18243</v>
      </c>
      <c r="B340" t="s">
        <v>1440</v>
      </c>
      <c r="C340" s="3">
        <v>41505</v>
      </c>
      <c r="D340" t="s">
        <v>50</v>
      </c>
      <c r="E340">
        <v>12</v>
      </c>
      <c r="F340" s="3">
        <f ca="1">41506+(RANDBETWEEN(1,10))</f>
        <v>41516</v>
      </c>
      <c r="G340" t="s">
        <v>26</v>
      </c>
      <c r="H340" t="s">
        <v>27</v>
      </c>
      <c r="I340" t="s">
        <v>97</v>
      </c>
      <c r="J340">
        <v>285.495</v>
      </c>
      <c r="K340">
        <v>0.09</v>
      </c>
      <c r="L340">
        <v>0.39</v>
      </c>
      <c r="M340">
        <v>21.63</v>
      </c>
      <c r="N340">
        <v>-113.20399999999999</v>
      </c>
      <c r="O340" s="1" t="s">
        <v>40</v>
      </c>
      <c r="P340" s="1" t="s">
        <v>1441</v>
      </c>
      <c r="Q340" s="1" t="s">
        <v>1442</v>
      </c>
      <c r="R340" s="1" t="s">
        <v>43</v>
      </c>
      <c r="S340" s="1" t="s">
        <v>1443</v>
      </c>
      <c r="T340" s="1" t="s">
        <v>1444</v>
      </c>
      <c r="U340" s="2" t="s">
        <v>1445</v>
      </c>
      <c r="V340" s="2" t="s">
        <v>47</v>
      </c>
      <c r="W340" s="2" t="s">
        <v>74</v>
      </c>
      <c r="X340" s="2">
        <v>23.73</v>
      </c>
    </row>
    <row r="341" spans="1:24" x14ac:dyDescent="0.3">
      <c r="A341">
        <v>18244</v>
      </c>
      <c r="B341" t="s">
        <v>1446</v>
      </c>
      <c r="C341" s="3">
        <v>40670</v>
      </c>
      <c r="D341" t="s">
        <v>39</v>
      </c>
      <c r="E341">
        <v>9</v>
      </c>
      <c r="F341" s="3">
        <f ca="1">40672+(RANDBETWEEN(1,10))</f>
        <v>40681</v>
      </c>
      <c r="G341" t="s">
        <v>26</v>
      </c>
      <c r="H341" t="s">
        <v>27</v>
      </c>
      <c r="I341" t="s">
        <v>28</v>
      </c>
      <c r="J341">
        <v>915.46</v>
      </c>
      <c r="K341">
        <v>0.05</v>
      </c>
      <c r="L341">
        <v>0.55000000000000004</v>
      </c>
      <c r="M341">
        <v>3.85</v>
      </c>
      <c r="N341">
        <v>522.08100000000002</v>
      </c>
      <c r="O341" s="1" t="s">
        <v>64</v>
      </c>
      <c r="P341" s="1" t="s">
        <v>1447</v>
      </c>
      <c r="Q341" s="1" t="s">
        <v>1448</v>
      </c>
      <c r="R341" s="1" t="s">
        <v>67</v>
      </c>
      <c r="S341" s="1" t="s">
        <v>1449</v>
      </c>
      <c r="T341" s="1" t="s">
        <v>1450</v>
      </c>
      <c r="U341" s="2" t="s">
        <v>1451</v>
      </c>
      <c r="V341" s="2" t="s">
        <v>36</v>
      </c>
      <c r="W341" s="2" t="s">
        <v>37</v>
      </c>
      <c r="X341" s="2">
        <v>125.965</v>
      </c>
    </row>
    <row r="342" spans="1:24" x14ac:dyDescent="0.3">
      <c r="A342">
        <v>18245</v>
      </c>
      <c r="B342" t="s">
        <v>1452</v>
      </c>
      <c r="C342" s="3">
        <v>41564</v>
      </c>
      <c r="D342" t="s">
        <v>62</v>
      </c>
      <c r="E342">
        <v>9</v>
      </c>
      <c r="F342" s="3">
        <f ca="1">41566+(RANDBETWEEN(1,10))</f>
        <v>41570</v>
      </c>
      <c r="G342" t="s">
        <v>156</v>
      </c>
      <c r="H342" t="s">
        <v>27</v>
      </c>
      <c r="I342" t="s">
        <v>28</v>
      </c>
      <c r="J342">
        <v>9354.1350000000002</v>
      </c>
      <c r="K342">
        <v>0.09</v>
      </c>
      <c r="L342">
        <v>0.38</v>
      </c>
      <c r="M342">
        <v>69.965000000000003</v>
      </c>
      <c r="N342">
        <v>1838.6969999999999</v>
      </c>
      <c r="O342" s="1" t="s">
        <v>40</v>
      </c>
      <c r="P342" s="1" t="s">
        <v>1453</v>
      </c>
      <c r="Q342" s="1" t="s">
        <v>1454</v>
      </c>
      <c r="R342" s="1" t="s">
        <v>220</v>
      </c>
      <c r="S342" s="1" t="s">
        <v>1455</v>
      </c>
      <c r="T342" s="1" t="s">
        <v>1456</v>
      </c>
      <c r="U342" s="2" t="s">
        <v>1457</v>
      </c>
      <c r="V342" s="2" t="s">
        <v>47</v>
      </c>
      <c r="W342" s="2" t="s">
        <v>111</v>
      </c>
      <c r="X342" s="2">
        <v>1105.93</v>
      </c>
    </row>
    <row r="343" spans="1:24" x14ac:dyDescent="0.3">
      <c r="A343">
        <v>18246</v>
      </c>
      <c r="B343" t="s">
        <v>1458</v>
      </c>
      <c r="C343" s="3">
        <v>41272</v>
      </c>
      <c r="D343" t="s">
        <v>62</v>
      </c>
      <c r="E343">
        <v>19</v>
      </c>
      <c r="F343" s="3">
        <f ca="1">41355+(RANDBETWEEN(1,10))</f>
        <v>41357</v>
      </c>
      <c r="G343" t="s">
        <v>26</v>
      </c>
      <c r="H343" t="s">
        <v>27</v>
      </c>
      <c r="I343" t="s">
        <v>28</v>
      </c>
      <c r="J343">
        <v>716.34500000000003</v>
      </c>
      <c r="K343">
        <v>0.05</v>
      </c>
      <c r="L343">
        <v>0.36</v>
      </c>
      <c r="M343">
        <v>18.375</v>
      </c>
      <c r="N343">
        <v>204.75</v>
      </c>
      <c r="O343" s="1" t="s">
        <v>64</v>
      </c>
      <c r="P343" s="1" t="s">
        <v>1459</v>
      </c>
      <c r="Q343" s="1" t="s">
        <v>1460</v>
      </c>
      <c r="R343" s="1" t="s">
        <v>128</v>
      </c>
      <c r="S343" s="1" t="s">
        <v>1461</v>
      </c>
      <c r="T343" s="1" t="s">
        <v>1462</v>
      </c>
      <c r="U343" s="2" t="s">
        <v>1463</v>
      </c>
      <c r="V343" s="2" t="s">
        <v>47</v>
      </c>
      <c r="W343" s="2" t="s">
        <v>48</v>
      </c>
      <c r="X343" s="2">
        <v>38.814999999999998</v>
      </c>
    </row>
    <row r="344" spans="1:24" x14ac:dyDescent="0.3">
      <c r="A344">
        <v>18247</v>
      </c>
      <c r="B344" t="s">
        <v>1464</v>
      </c>
      <c r="C344" s="3">
        <v>41777</v>
      </c>
      <c r="D344" t="s">
        <v>39</v>
      </c>
      <c r="E344">
        <v>16</v>
      </c>
      <c r="F344" s="3">
        <f ca="1">41779+(RANDBETWEEN(1,10))</f>
        <v>41781</v>
      </c>
      <c r="G344" t="s">
        <v>26</v>
      </c>
      <c r="H344" t="s">
        <v>51</v>
      </c>
      <c r="I344" t="s">
        <v>52</v>
      </c>
      <c r="J344">
        <v>2340.1</v>
      </c>
      <c r="K344">
        <v>0.01</v>
      </c>
      <c r="L344">
        <v>0.44</v>
      </c>
      <c r="M344">
        <v>6.9649999999999999</v>
      </c>
      <c r="N344">
        <v>1614.6690000000001</v>
      </c>
      <c r="O344" s="1" t="s">
        <v>64</v>
      </c>
      <c r="P344" s="1" t="s">
        <v>1465</v>
      </c>
      <c r="Q344" s="1" t="s">
        <v>1466</v>
      </c>
      <c r="R344" s="1" t="s">
        <v>67</v>
      </c>
      <c r="S344" s="1" t="s">
        <v>1467</v>
      </c>
      <c r="T344" s="1" t="s">
        <v>1468</v>
      </c>
      <c r="U344" s="2" t="s">
        <v>1469</v>
      </c>
      <c r="V344" s="2" t="s">
        <v>36</v>
      </c>
      <c r="W344" s="2" t="s">
        <v>60</v>
      </c>
      <c r="X344" s="2">
        <v>143.43</v>
      </c>
    </row>
    <row r="345" spans="1:24" x14ac:dyDescent="0.3">
      <c r="A345">
        <v>18248</v>
      </c>
      <c r="B345" t="s">
        <v>1464</v>
      </c>
      <c r="C345" s="3">
        <v>41777</v>
      </c>
      <c r="D345" t="s">
        <v>39</v>
      </c>
      <c r="E345">
        <v>1</v>
      </c>
      <c r="F345" s="3">
        <f ca="1">41779+(RANDBETWEEN(1,10))</f>
        <v>41783</v>
      </c>
      <c r="G345" t="s">
        <v>26</v>
      </c>
      <c r="H345" t="s">
        <v>63</v>
      </c>
      <c r="I345" t="s">
        <v>52</v>
      </c>
      <c r="J345">
        <v>198.13499999999999</v>
      </c>
      <c r="K345">
        <v>0.02</v>
      </c>
      <c r="L345">
        <v>0.56999999999999995</v>
      </c>
      <c r="M345">
        <v>50.575000000000003</v>
      </c>
      <c r="N345">
        <v>-77.56</v>
      </c>
      <c r="O345" s="1" t="s">
        <v>64</v>
      </c>
      <c r="P345" s="1" t="s">
        <v>1465</v>
      </c>
      <c r="Q345" s="1" t="s">
        <v>1466</v>
      </c>
      <c r="R345" s="1" t="s">
        <v>67</v>
      </c>
      <c r="S345" s="1" t="s">
        <v>1467</v>
      </c>
      <c r="T345" s="1" t="s">
        <v>1468</v>
      </c>
      <c r="U345" s="2" t="s">
        <v>1470</v>
      </c>
      <c r="V345" s="2" t="s">
        <v>83</v>
      </c>
      <c r="W345" s="2" t="s">
        <v>178</v>
      </c>
      <c r="X345" s="2">
        <v>143.39500000000001</v>
      </c>
    </row>
    <row r="346" spans="1:24" x14ac:dyDescent="0.3">
      <c r="A346">
        <v>18249</v>
      </c>
      <c r="B346" t="s">
        <v>1471</v>
      </c>
      <c r="C346" s="3">
        <v>41400</v>
      </c>
      <c r="D346" t="s">
        <v>39</v>
      </c>
      <c r="E346">
        <v>9</v>
      </c>
      <c r="F346" s="3">
        <f ca="1">41401+(RANDBETWEEN(1,10))</f>
        <v>41402</v>
      </c>
      <c r="G346" t="s">
        <v>26</v>
      </c>
      <c r="H346" t="s">
        <v>96</v>
      </c>
      <c r="I346" t="s">
        <v>97</v>
      </c>
      <c r="J346">
        <v>92.084999999999994</v>
      </c>
      <c r="K346">
        <v>0.06</v>
      </c>
      <c r="L346">
        <v>0.54</v>
      </c>
      <c r="M346">
        <v>3.2549999999999999</v>
      </c>
      <c r="N346">
        <v>17.149999999999999</v>
      </c>
      <c r="O346" s="1" t="s">
        <v>87</v>
      </c>
      <c r="P346" s="1" t="s">
        <v>1472</v>
      </c>
      <c r="Q346" s="1" t="s">
        <v>1473</v>
      </c>
      <c r="R346" s="1" t="s">
        <v>90</v>
      </c>
      <c r="S346" s="1" t="s">
        <v>1474</v>
      </c>
      <c r="T346" s="1" t="s">
        <v>1475</v>
      </c>
      <c r="U346" s="2" t="s">
        <v>1476</v>
      </c>
      <c r="V346" s="2" t="s">
        <v>47</v>
      </c>
      <c r="W346" s="2" t="s">
        <v>104</v>
      </c>
      <c r="X346" s="2">
        <v>9.94</v>
      </c>
    </row>
    <row r="347" spans="1:24" x14ac:dyDescent="0.3">
      <c r="A347">
        <v>18250</v>
      </c>
      <c r="B347" t="s">
        <v>1477</v>
      </c>
      <c r="C347" s="3">
        <v>41266</v>
      </c>
      <c r="D347" t="s">
        <v>39</v>
      </c>
      <c r="E347">
        <v>12</v>
      </c>
      <c r="F347" s="3">
        <f ca="1">41268+(RANDBETWEEN(1,10))</f>
        <v>41278</v>
      </c>
      <c r="G347" t="s">
        <v>76</v>
      </c>
      <c r="H347" t="s">
        <v>77</v>
      </c>
      <c r="I347" t="s">
        <v>28</v>
      </c>
      <c r="J347">
        <v>20207.424999999999</v>
      </c>
      <c r="K347">
        <v>0.01</v>
      </c>
      <c r="L347">
        <v>0.38</v>
      </c>
      <c r="M347">
        <v>171.5</v>
      </c>
      <c r="N347">
        <v>-958.3175</v>
      </c>
      <c r="O347" s="1" t="s">
        <v>40</v>
      </c>
      <c r="P347" s="1" t="s">
        <v>1478</v>
      </c>
      <c r="Q347" s="1" t="s">
        <v>1479</v>
      </c>
      <c r="R347" s="1" t="s">
        <v>43</v>
      </c>
      <c r="S347" s="1" t="s">
        <v>783</v>
      </c>
      <c r="T347" s="1" t="s">
        <v>784</v>
      </c>
      <c r="U347" s="2" t="s">
        <v>1480</v>
      </c>
      <c r="V347" s="2" t="s">
        <v>36</v>
      </c>
      <c r="W347" s="2" t="s">
        <v>1327</v>
      </c>
      <c r="X347" s="2">
        <v>1574.9649999999999</v>
      </c>
    </row>
    <row r="348" spans="1:24" x14ac:dyDescent="0.3">
      <c r="A348">
        <v>18251</v>
      </c>
      <c r="B348" t="s">
        <v>1481</v>
      </c>
      <c r="C348" s="3">
        <v>40774</v>
      </c>
      <c r="D348" t="s">
        <v>50</v>
      </c>
      <c r="E348">
        <v>13</v>
      </c>
      <c r="F348" s="3">
        <f ca="1">40776+(RANDBETWEEN(1,10))</f>
        <v>40784</v>
      </c>
      <c r="G348" t="s">
        <v>26</v>
      </c>
      <c r="H348" t="s">
        <v>51</v>
      </c>
      <c r="I348" t="s">
        <v>97</v>
      </c>
      <c r="J348">
        <v>1344.77</v>
      </c>
      <c r="K348">
        <v>7.0000000000000007E-2</v>
      </c>
      <c r="L348">
        <v>0.42</v>
      </c>
      <c r="M348">
        <v>6.9649999999999999</v>
      </c>
      <c r="N348">
        <v>927.8913</v>
      </c>
      <c r="O348" s="1" t="s">
        <v>225</v>
      </c>
      <c r="P348" s="1" t="s">
        <v>1482</v>
      </c>
      <c r="Q348" s="1" t="s">
        <v>1483</v>
      </c>
      <c r="R348" s="1" t="s">
        <v>391</v>
      </c>
      <c r="S348" s="1" t="s">
        <v>1484</v>
      </c>
      <c r="T348" s="1" t="s">
        <v>1485</v>
      </c>
      <c r="U348" s="2" t="s">
        <v>1226</v>
      </c>
      <c r="V348" s="2" t="s">
        <v>36</v>
      </c>
      <c r="W348" s="2" t="s">
        <v>60</v>
      </c>
      <c r="X348" s="2">
        <v>111.23</v>
      </c>
    </row>
    <row r="349" spans="1:24" x14ac:dyDescent="0.3">
      <c r="A349">
        <v>18252</v>
      </c>
      <c r="B349" t="s">
        <v>1481</v>
      </c>
      <c r="C349" s="3">
        <v>40774</v>
      </c>
      <c r="D349" t="s">
        <v>50</v>
      </c>
      <c r="E349">
        <v>5</v>
      </c>
      <c r="F349" s="3">
        <f ca="1">40775+(RANDBETWEEN(1,10))</f>
        <v>40784</v>
      </c>
      <c r="G349" t="s">
        <v>26</v>
      </c>
      <c r="H349" t="s">
        <v>27</v>
      </c>
      <c r="I349" t="s">
        <v>97</v>
      </c>
      <c r="J349">
        <v>110.74</v>
      </c>
      <c r="K349">
        <v>0</v>
      </c>
      <c r="L349">
        <v>0.36</v>
      </c>
      <c r="M349">
        <v>8.75</v>
      </c>
      <c r="N349">
        <v>33.462800000000001</v>
      </c>
      <c r="O349" s="1" t="s">
        <v>225</v>
      </c>
      <c r="P349" s="1" t="s">
        <v>1482</v>
      </c>
      <c r="Q349" s="1" t="s">
        <v>1483</v>
      </c>
      <c r="R349" s="1" t="s">
        <v>391</v>
      </c>
      <c r="S349" s="1" t="s">
        <v>1484</v>
      </c>
      <c r="T349" s="1" t="s">
        <v>1485</v>
      </c>
      <c r="U349" s="2" t="s">
        <v>1486</v>
      </c>
      <c r="V349" s="2" t="s">
        <v>47</v>
      </c>
      <c r="W349" s="2" t="s">
        <v>48</v>
      </c>
      <c r="X349" s="2">
        <v>20.93</v>
      </c>
    </row>
    <row r="350" spans="1:24" x14ac:dyDescent="0.3">
      <c r="A350">
        <v>18253</v>
      </c>
      <c r="B350" t="s">
        <v>1481</v>
      </c>
      <c r="C350" s="3">
        <v>40774</v>
      </c>
      <c r="D350" t="s">
        <v>50</v>
      </c>
      <c r="E350">
        <v>19</v>
      </c>
      <c r="F350" s="3">
        <f ca="1">40775+(RANDBETWEEN(1,10))</f>
        <v>40785</v>
      </c>
      <c r="G350" t="s">
        <v>156</v>
      </c>
      <c r="H350" t="s">
        <v>27</v>
      </c>
      <c r="I350" t="s">
        <v>97</v>
      </c>
      <c r="J350">
        <v>1978.76</v>
      </c>
      <c r="K350">
        <v>0.1</v>
      </c>
      <c r="L350">
        <v>0.55000000000000004</v>
      </c>
      <c r="M350">
        <v>3.85</v>
      </c>
      <c r="N350">
        <v>1365.3444</v>
      </c>
      <c r="O350" s="1" t="s">
        <v>225</v>
      </c>
      <c r="P350" s="1" t="s">
        <v>1482</v>
      </c>
      <c r="Q350" s="1" t="s">
        <v>1483</v>
      </c>
      <c r="R350" s="1" t="s">
        <v>391</v>
      </c>
      <c r="S350" s="1" t="s">
        <v>1484</v>
      </c>
      <c r="T350" s="1" t="s">
        <v>1485</v>
      </c>
      <c r="U350" s="2" t="s">
        <v>1451</v>
      </c>
      <c r="V350" s="2" t="s">
        <v>36</v>
      </c>
      <c r="W350" s="2" t="s">
        <v>37</v>
      </c>
      <c r="X350" s="2">
        <v>125.965</v>
      </c>
    </row>
    <row r="351" spans="1:24" x14ac:dyDescent="0.3">
      <c r="A351">
        <v>18254</v>
      </c>
      <c r="B351" t="s">
        <v>1487</v>
      </c>
      <c r="C351" s="3">
        <v>41722</v>
      </c>
      <c r="D351" t="s">
        <v>62</v>
      </c>
      <c r="E351">
        <v>2</v>
      </c>
      <c r="F351" s="3">
        <f ca="1">41725+(RANDBETWEEN(1,10))</f>
        <v>41729</v>
      </c>
      <c r="G351" t="s">
        <v>26</v>
      </c>
      <c r="H351" t="s">
        <v>27</v>
      </c>
      <c r="I351" t="s">
        <v>86</v>
      </c>
      <c r="J351">
        <v>59.99</v>
      </c>
      <c r="K351">
        <v>0.1</v>
      </c>
      <c r="L351">
        <v>0.4</v>
      </c>
      <c r="M351">
        <v>16.87</v>
      </c>
      <c r="N351">
        <v>-48.23</v>
      </c>
      <c r="O351" s="1" t="s">
        <v>87</v>
      </c>
      <c r="P351" s="1" t="s">
        <v>1103</v>
      </c>
      <c r="Q351" s="1" t="s">
        <v>1104</v>
      </c>
      <c r="R351" s="1" t="s">
        <v>497</v>
      </c>
      <c r="S351" s="1" t="s">
        <v>1105</v>
      </c>
      <c r="T351" s="1" t="s">
        <v>1106</v>
      </c>
      <c r="U351" s="2" t="s">
        <v>1488</v>
      </c>
      <c r="V351" s="2" t="s">
        <v>47</v>
      </c>
      <c r="W351" s="2" t="s">
        <v>74</v>
      </c>
      <c r="X351" s="2">
        <v>29.19</v>
      </c>
    </row>
    <row r="352" spans="1:24" x14ac:dyDescent="0.3">
      <c r="A352">
        <v>18255</v>
      </c>
      <c r="B352" t="s">
        <v>1489</v>
      </c>
      <c r="C352" s="3">
        <v>41346</v>
      </c>
      <c r="D352" t="s">
        <v>39</v>
      </c>
      <c r="E352">
        <v>3</v>
      </c>
      <c r="F352" s="3">
        <f ca="1">41348+(RANDBETWEEN(1,10))</f>
        <v>41357</v>
      </c>
      <c r="G352" t="s">
        <v>26</v>
      </c>
      <c r="H352" t="s">
        <v>96</v>
      </c>
      <c r="I352" t="s">
        <v>28</v>
      </c>
      <c r="J352">
        <v>48.65</v>
      </c>
      <c r="K352">
        <v>0.05</v>
      </c>
      <c r="L352">
        <v>0.8</v>
      </c>
      <c r="M352">
        <v>2.4500000000000002</v>
      </c>
      <c r="N352">
        <v>-27.16</v>
      </c>
      <c r="O352" s="1" t="s">
        <v>87</v>
      </c>
      <c r="P352" s="1" t="s">
        <v>1490</v>
      </c>
      <c r="Q352" s="1" t="s">
        <v>1491</v>
      </c>
      <c r="R352" s="1" t="s">
        <v>90</v>
      </c>
      <c r="S352" s="1" t="s">
        <v>1492</v>
      </c>
      <c r="T352" s="1" t="s">
        <v>1493</v>
      </c>
      <c r="U352" s="2" t="s">
        <v>1308</v>
      </c>
      <c r="V352" s="2" t="s">
        <v>47</v>
      </c>
      <c r="W352" s="2" t="s">
        <v>176</v>
      </c>
      <c r="X352" s="2">
        <v>16.484999999999999</v>
      </c>
    </row>
    <row r="353" spans="1:24" x14ac:dyDescent="0.3">
      <c r="A353">
        <v>18256</v>
      </c>
      <c r="B353" t="s">
        <v>1494</v>
      </c>
      <c r="C353" s="3">
        <v>41221</v>
      </c>
      <c r="D353" t="s">
        <v>25</v>
      </c>
      <c r="E353">
        <v>24</v>
      </c>
      <c r="F353" s="3">
        <f ca="1">41226+(RANDBETWEEN(1,10))</f>
        <v>41232</v>
      </c>
      <c r="G353" t="s">
        <v>26</v>
      </c>
      <c r="H353" t="s">
        <v>27</v>
      </c>
      <c r="I353" t="s">
        <v>52</v>
      </c>
      <c r="J353">
        <v>1111.425</v>
      </c>
      <c r="K353">
        <v>0.04</v>
      </c>
      <c r="L353">
        <v>0.59</v>
      </c>
      <c r="M353">
        <v>15.785</v>
      </c>
      <c r="N353">
        <v>3.8149999999999999</v>
      </c>
      <c r="O353" s="1" t="s">
        <v>64</v>
      </c>
      <c r="P353" s="1" t="s">
        <v>786</v>
      </c>
      <c r="Q353" s="1" t="s">
        <v>787</v>
      </c>
      <c r="R353" s="1" t="s">
        <v>128</v>
      </c>
      <c r="S353" s="1" t="s">
        <v>788</v>
      </c>
      <c r="T353" s="1" t="s">
        <v>789</v>
      </c>
      <c r="U353" s="2" t="s">
        <v>1495</v>
      </c>
      <c r="V353" s="2" t="s">
        <v>47</v>
      </c>
      <c r="W353" s="2" t="s">
        <v>119</v>
      </c>
      <c r="X353" s="2">
        <v>47.18</v>
      </c>
    </row>
    <row r="354" spans="1:24" x14ac:dyDescent="0.3">
      <c r="A354">
        <v>18257</v>
      </c>
      <c r="B354" t="s">
        <v>1496</v>
      </c>
      <c r="C354" s="3">
        <v>41831</v>
      </c>
      <c r="D354" t="s">
        <v>50</v>
      </c>
      <c r="E354">
        <v>13</v>
      </c>
      <c r="F354" s="3">
        <f ca="1">41831+(RANDBETWEEN(1,10))</f>
        <v>41834</v>
      </c>
      <c r="G354" t="s">
        <v>26</v>
      </c>
      <c r="H354" t="s">
        <v>27</v>
      </c>
      <c r="I354" t="s">
        <v>97</v>
      </c>
      <c r="J354">
        <v>295.01499999999999</v>
      </c>
      <c r="K354">
        <v>0.03</v>
      </c>
      <c r="L354">
        <v>0.4</v>
      </c>
      <c r="M354">
        <v>18.760000000000002</v>
      </c>
      <c r="N354">
        <v>-229.49841599999999</v>
      </c>
      <c r="O354" s="1" t="s">
        <v>29</v>
      </c>
      <c r="P354" s="1" t="s">
        <v>1497</v>
      </c>
      <c r="Q354" s="1" t="s">
        <v>1498</v>
      </c>
      <c r="R354" s="1" t="s">
        <v>32</v>
      </c>
      <c r="S354" s="1" t="s">
        <v>1499</v>
      </c>
      <c r="T354" s="1" t="s">
        <v>1500</v>
      </c>
      <c r="U354" s="2" t="s">
        <v>1501</v>
      </c>
      <c r="V354" s="2" t="s">
        <v>47</v>
      </c>
      <c r="W354" s="2" t="s">
        <v>111</v>
      </c>
      <c r="X354" s="2">
        <v>21.98</v>
      </c>
    </row>
    <row r="355" spans="1:24" x14ac:dyDescent="0.3">
      <c r="A355">
        <v>18258</v>
      </c>
      <c r="B355" t="s">
        <v>1502</v>
      </c>
      <c r="C355" s="3">
        <v>41963</v>
      </c>
      <c r="D355" t="s">
        <v>39</v>
      </c>
      <c r="E355">
        <v>39</v>
      </c>
      <c r="F355" s="3">
        <f ca="1">41963+(RANDBETWEEN(1,10))</f>
        <v>41964</v>
      </c>
      <c r="G355" t="s">
        <v>26</v>
      </c>
      <c r="H355" t="s">
        <v>27</v>
      </c>
      <c r="I355" t="s">
        <v>28</v>
      </c>
      <c r="J355">
        <v>582.22500000000002</v>
      </c>
      <c r="K355">
        <v>7.0000000000000007E-2</v>
      </c>
      <c r="L355">
        <v>0.38</v>
      </c>
      <c r="M355">
        <v>17.64</v>
      </c>
      <c r="N355">
        <v>-7403.3389500000003</v>
      </c>
      <c r="O355" s="1" t="s">
        <v>40</v>
      </c>
      <c r="P355" s="1" t="s">
        <v>1503</v>
      </c>
      <c r="Q355" s="1" t="s">
        <v>1504</v>
      </c>
      <c r="R355" s="1" t="s">
        <v>43</v>
      </c>
      <c r="S355" s="1" t="s">
        <v>1505</v>
      </c>
      <c r="T355" s="1" t="s">
        <v>1506</v>
      </c>
      <c r="U355" s="2" t="s">
        <v>1507</v>
      </c>
      <c r="V355" s="2" t="s">
        <v>47</v>
      </c>
      <c r="W355" s="2" t="s">
        <v>111</v>
      </c>
      <c r="X355" s="2">
        <v>14.455</v>
      </c>
    </row>
    <row r="356" spans="1:24" x14ac:dyDescent="0.3">
      <c r="A356">
        <v>18259</v>
      </c>
      <c r="B356" t="s">
        <v>1508</v>
      </c>
      <c r="C356" s="3">
        <v>40608</v>
      </c>
      <c r="D356" t="s">
        <v>50</v>
      </c>
      <c r="E356">
        <v>3</v>
      </c>
      <c r="F356" s="3">
        <f ca="1">40610+(RANDBETWEEN(1,10))</f>
        <v>40612</v>
      </c>
      <c r="G356" t="s">
        <v>76</v>
      </c>
      <c r="H356" t="s">
        <v>77</v>
      </c>
      <c r="I356" t="s">
        <v>86</v>
      </c>
      <c r="J356">
        <v>1246.49</v>
      </c>
      <c r="K356">
        <v>0.06</v>
      </c>
      <c r="L356">
        <v>0.69</v>
      </c>
      <c r="M356">
        <v>105</v>
      </c>
      <c r="N356">
        <v>-445.55</v>
      </c>
      <c r="O356" s="1" t="s">
        <v>40</v>
      </c>
      <c r="P356" s="1" t="s">
        <v>1509</v>
      </c>
      <c r="Q356" s="1" t="s">
        <v>1510</v>
      </c>
      <c r="R356" s="1" t="s">
        <v>220</v>
      </c>
      <c r="S356" s="1" t="s">
        <v>1511</v>
      </c>
      <c r="T356" s="1" t="s">
        <v>1512</v>
      </c>
      <c r="U356" s="2" t="s">
        <v>1513</v>
      </c>
      <c r="V356" s="2" t="s">
        <v>83</v>
      </c>
      <c r="W356" s="2" t="s">
        <v>84</v>
      </c>
      <c r="X356" s="2">
        <v>398.93</v>
      </c>
    </row>
    <row r="357" spans="1:24" x14ac:dyDescent="0.3">
      <c r="A357">
        <v>18260</v>
      </c>
      <c r="B357" t="s">
        <v>1508</v>
      </c>
      <c r="C357" s="3">
        <v>40608</v>
      </c>
      <c r="D357" t="s">
        <v>50</v>
      </c>
      <c r="E357">
        <v>4</v>
      </c>
      <c r="F357" s="3">
        <f ca="1">40610+(RANDBETWEEN(1,10))</f>
        <v>40617</v>
      </c>
      <c r="G357" t="s">
        <v>26</v>
      </c>
      <c r="H357" t="s">
        <v>27</v>
      </c>
      <c r="I357" t="s">
        <v>86</v>
      </c>
      <c r="J357">
        <v>94.78</v>
      </c>
      <c r="K357">
        <v>0.05</v>
      </c>
      <c r="L357">
        <v>0.37</v>
      </c>
      <c r="M357">
        <v>24.01</v>
      </c>
      <c r="N357">
        <v>-184.69499999999999</v>
      </c>
      <c r="O357" s="1" t="s">
        <v>40</v>
      </c>
      <c r="P357" s="1" t="s">
        <v>1509</v>
      </c>
      <c r="Q357" s="1" t="s">
        <v>1510</v>
      </c>
      <c r="R357" s="1" t="s">
        <v>220</v>
      </c>
      <c r="S357" s="1" t="s">
        <v>1511</v>
      </c>
      <c r="T357" s="1" t="s">
        <v>1512</v>
      </c>
      <c r="U357" s="2" t="s">
        <v>1514</v>
      </c>
      <c r="V357" s="2" t="s">
        <v>47</v>
      </c>
      <c r="W357" s="2" t="s">
        <v>74</v>
      </c>
      <c r="X357" s="2">
        <v>22.68</v>
      </c>
    </row>
    <row r="358" spans="1:24" x14ac:dyDescent="0.3">
      <c r="A358">
        <v>18261</v>
      </c>
      <c r="B358" t="s">
        <v>1515</v>
      </c>
      <c r="C358" s="3">
        <v>40667</v>
      </c>
      <c r="D358" t="s">
        <v>62</v>
      </c>
      <c r="E358">
        <v>14</v>
      </c>
      <c r="F358" s="3">
        <f ca="1">40668+(RANDBETWEEN(1,10))</f>
        <v>40673</v>
      </c>
      <c r="G358" t="s">
        <v>26</v>
      </c>
      <c r="H358" t="s">
        <v>63</v>
      </c>
      <c r="I358" t="s">
        <v>28</v>
      </c>
      <c r="J358">
        <v>13388.62</v>
      </c>
      <c r="K358">
        <v>0.06</v>
      </c>
      <c r="L358" t="s">
        <v>182</v>
      </c>
      <c r="M358">
        <v>85.715000000000003</v>
      </c>
      <c r="N358">
        <v>9238.1478000000006</v>
      </c>
      <c r="O358" s="1" t="s">
        <v>40</v>
      </c>
      <c r="P358" s="1" t="s">
        <v>1516</v>
      </c>
      <c r="Q358" s="1" t="s">
        <v>1517</v>
      </c>
      <c r="R358" s="1" t="s">
        <v>43</v>
      </c>
      <c r="S358" s="1" t="s">
        <v>1518</v>
      </c>
      <c r="T358" s="1" t="s">
        <v>1519</v>
      </c>
      <c r="U358" s="2" t="s">
        <v>1520</v>
      </c>
      <c r="V358" s="2" t="s">
        <v>83</v>
      </c>
      <c r="W358" s="2" t="s">
        <v>84</v>
      </c>
      <c r="X358" s="2">
        <v>966.7</v>
      </c>
    </row>
    <row r="359" spans="1:24" x14ac:dyDescent="0.3">
      <c r="A359">
        <v>18262</v>
      </c>
      <c r="B359" t="s">
        <v>1515</v>
      </c>
      <c r="C359" s="3">
        <v>40667</v>
      </c>
      <c r="D359" t="s">
        <v>62</v>
      </c>
      <c r="E359">
        <v>1</v>
      </c>
      <c r="F359" s="3">
        <f ca="1">40667+(RANDBETWEEN(1,10))</f>
        <v>40674</v>
      </c>
      <c r="G359" t="s">
        <v>26</v>
      </c>
      <c r="H359" t="s">
        <v>27</v>
      </c>
      <c r="I359" t="s">
        <v>28</v>
      </c>
      <c r="J359">
        <v>29.855</v>
      </c>
      <c r="K359">
        <v>0.09</v>
      </c>
      <c r="L359">
        <v>0.43</v>
      </c>
      <c r="M359">
        <v>18.515000000000001</v>
      </c>
      <c r="N359">
        <v>-18.2</v>
      </c>
      <c r="O359" s="1" t="s">
        <v>40</v>
      </c>
      <c r="P359" s="1" t="s">
        <v>1516</v>
      </c>
      <c r="Q359" s="1" t="s">
        <v>1517</v>
      </c>
      <c r="R359" s="1" t="s">
        <v>43</v>
      </c>
      <c r="S359" s="1" t="s">
        <v>1518</v>
      </c>
      <c r="T359" s="1" t="s">
        <v>1519</v>
      </c>
      <c r="U359" s="2" t="s">
        <v>1521</v>
      </c>
      <c r="V359" s="2" t="s">
        <v>83</v>
      </c>
      <c r="W359" s="2" t="s">
        <v>178</v>
      </c>
      <c r="X359" s="2">
        <v>21.98</v>
      </c>
    </row>
    <row r="360" spans="1:24" x14ac:dyDescent="0.3">
      <c r="A360">
        <v>18263</v>
      </c>
      <c r="B360" t="s">
        <v>1522</v>
      </c>
      <c r="C360" s="3">
        <v>41247</v>
      </c>
      <c r="D360" t="s">
        <v>148</v>
      </c>
      <c r="E360">
        <v>10</v>
      </c>
      <c r="F360" s="3">
        <f ca="1">41249+(RANDBETWEEN(1,10))</f>
        <v>41250</v>
      </c>
      <c r="G360" t="s">
        <v>26</v>
      </c>
      <c r="H360" t="s">
        <v>96</v>
      </c>
      <c r="I360" t="s">
        <v>86</v>
      </c>
      <c r="J360">
        <v>60.865000000000002</v>
      </c>
      <c r="K360">
        <v>0.03</v>
      </c>
      <c r="L360">
        <v>0.56000000000000005</v>
      </c>
      <c r="M360">
        <v>2.4500000000000002</v>
      </c>
      <c r="N360">
        <v>-4.0949999999999998</v>
      </c>
      <c r="O360" s="1" t="s">
        <v>225</v>
      </c>
      <c r="P360" s="1" t="s">
        <v>1175</v>
      </c>
      <c r="Q360" s="1" t="s">
        <v>1176</v>
      </c>
      <c r="R360" s="1" t="s">
        <v>228</v>
      </c>
      <c r="S360" s="1" t="s">
        <v>1177</v>
      </c>
      <c r="T360" s="1" t="s">
        <v>1178</v>
      </c>
      <c r="U360" s="2" t="s">
        <v>384</v>
      </c>
      <c r="V360" s="2" t="s">
        <v>47</v>
      </c>
      <c r="W360" s="2" t="s">
        <v>104</v>
      </c>
      <c r="X360" s="2">
        <v>6.16</v>
      </c>
    </row>
    <row r="361" spans="1:24" x14ac:dyDescent="0.3">
      <c r="A361">
        <v>18264</v>
      </c>
      <c r="B361" t="s">
        <v>1523</v>
      </c>
      <c r="C361" s="3">
        <v>41744</v>
      </c>
      <c r="D361" t="s">
        <v>50</v>
      </c>
      <c r="E361">
        <v>1</v>
      </c>
      <c r="F361" s="3">
        <f ca="1">41745+(RANDBETWEEN(1,10))</f>
        <v>41747</v>
      </c>
      <c r="G361" t="s">
        <v>26</v>
      </c>
      <c r="H361" t="s">
        <v>27</v>
      </c>
      <c r="I361" t="s">
        <v>28</v>
      </c>
      <c r="J361">
        <v>19.809999999999999</v>
      </c>
      <c r="K361">
        <v>0.09</v>
      </c>
      <c r="L361">
        <v>0.36</v>
      </c>
      <c r="M361">
        <v>16.625</v>
      </c>
      <c r="N361">
        <v>-50.225000000000001</v>
      </c>
      <c r="O361" s="1" t="s">
        <v>87</v>
      </c>
      <c r="P361" s="1" t="s">
        <v>1524</v>
      </c>
      <c r="Q361" s="1" t="s">
        <v>1525</v>
      </c>
      <c r="R361" s="1" t="s">
        <v>646</v>
      </c>
      <c r="S361" s="1" t="s">
        <v>1526</v>
      </c>
      <c r="T361" s="1" t="s">
        <v>1527</v>
      </c>
      <c r="U361" s="2" t="s">
        <v>1528</v>
      </c>
      <c r="V361" s="2" t="s">
        <v>47</v>
      </c>
      <c r="W361" s="2" t="s">
        <v>74</v>
      </c>
      <c r="X361" s="2">
        <v>17.43</v>
      </c>
    </row>
    <row r="362" spans="1:24" x14ac:dyDescent="0.3">
      <c r="A362">
        <v>18265</v>
      </c>
      <c r="B362" t="s">
        <v>1529</v>
      </c>
      <c r="C362" s="3">
        <v>40670</v>
      </c>
      <c r="D362" t="s">
        <v>39</v>
      </c>
      <c r="E362">
        <v>17</v>
      </c>
      <c r="F362" s="3">
        <f ca="1">40671+(RANDBETWEEN(1,10))</f>
        <v>40675</v>
      </c>
      <c r="G362" t="s">
        <v>26</v>
      </c>
      <c r="H362" t="s">
        <v>27</v>
      </c>
      <c r="I362" t="s">
        <v>86</v>
      </c>
      <c r="J362">
        <v>164.92</v>
      </c>
      <c r="K362">
        <v>7.0000000000000007E-2</v>
      </c>
      <c r="L362">
        <v>0.36</v>
      </c>
      <c r="M362">
        <v>5.2149999999999999</v>
      </c>
      <c r="N362">
        <v>-1191.8588500000001</v>
      </c>
      <c r="O362" s="1" t="s">
        <v>64</v>
      </c>
      <c r="P362" s="1" t="s">
        <v>1530</v>
      </c>
      <c r="Q362" s="1" t="s">
        <v>1531</v>
      </c>
      <c r="R362" s="1" t="s">
        <v>128</v>
      </c>
      <c r="S362" s="1" t="s">
        <v>1532</v>
      </c>
      <c r="T362" s="1" t="s">
        <v>1533</v>
      </c>
      <c r="U362" s="2" t="s">
        <v>1534</v>
      </c>
      <c r="V362" s="2" t="s">
        <v>47</v>
      </c>
      <c r="W362" s="2" t="s">
        <v>111</v>
      </c>
      <c r="X362" s="2">
        <v>9.73</v>
      </c>
    </row>
    <row r="363" spans="1:24" x14ac:dyDescent="0.3">
      <c r="A363">
        <v>18266</v>
      </c>
      <c r="B363" t="s">
        <v>1535</v>
      </c>
      <c r="C363" s="3">
        <v>41244</v>
      </c>
      <c r="D363" t="s">
        <v>62</v>
      </c>
      <c r="E363">
        <v>15</v>
      </c>
      <c r="F363" s="3">
        <f ca="1">41245+(RANDBETWEEN(1,10))</f>
        <v>41251</v>
      </c>
      <c r="G363" t="s">
        <v>76</v>
      </c>
      <c r="H363" t="s">
        <v>77</v>
      </c>
      <c r="I363" t="s">
        <v>97</v>
      </c>
      <c r="J363">
        <v>20023.5</v>
      </c>
      <c r="K363">
        <v>0</v>
      </c>
      <c r="L363">
        <v>0.65</v>
      </c>
      <c r="M363">
        <v>346.5</v>
      </c>
      <c r="N363">
        <v>3253.4775</v>
      </c>
      <c r="O363" s="1" t="s">
        <v>40</v>
      </c>
      <c r="P363" s="1" t="s">
        <v>1536</v>
      </c>
      <c r="Q363" s="1" t="s">
        <v>1537</v>
      </c>
      <c r="R363" s="1" t="s">
        <v>43</v>
      </c>
      <c r="S363" s="1" t="s">
        <v>1538</v>
      </c>
      <c r="T363" s="1" t="s">
        <v>1539</v>
      </c>
      <c r="U363" s="2" t="s">
        <v>1540</v>
      </c>
      <c r="V363" s="2" t="s">
        <v>47</v>
      </c>
      <c r="W363" s="2" t="s">
        <v>119</v>
      </c>
      <c r="X363" s="2">
        <v>1298.43</v>
      </c>
    </row>
    <row r="364" spans="1:24" x14ac:dyDescent="0.3">
      <c r="A364">
        <v>18267</v>
      </c>
      <c r="B364" t="s">
        <v>1541</v>
      </c>
      <c r="C364" s="3">
        <v>41717</v>
      </c>
      <c r="D364" t="s">
        <v>50</v>
      </c>
      <c r="E364">
        <v>6</v>
      </c>
      <c r="F364" s="3">
        <f ca="1">41719+(RANDBETWEEN(1,10))</f>
        <v>41722</v>
      </c>
      <c r="G364" t="s">
        <v>26</v>
      </c>
      <c r="H364" t="s">
        <v>63</v>
      </c>
      <c r="I364" t="s">
        <v>97</v>
      </c>
      <c r="J364">
        <v>1268.155</v>
      </c>
      <c r="K364">
        <v>0.08</v>
      </c>
      <c r="L364">
        <v>0.59</v>
      </c>
      <c r="M364">
        <v>171.5</v>
      </c>
      <c r="N364">
        <v>-2492.4899999999998</v>
      </c>
      <c r="O364" s="1" t="s">
        <v>40</v>
      </c>
      <c r="P364" s="1" t="s">
        <v>1542</v>
      </c>
      <c r="Q364" s="1" t="s">
        <v>1543</v>
      </c>
      <c r="R364" s="1" t="s">
        <v>220</v>
      </c>
      <c r="S364" s="1" t="s">
        <v>1544</v>
      </c>
      <c r="T364" s="1" t="s">
        <v>1545</v>
      </c>
      <c r="U364" s="2" t="s">
        <v>1546</v>
      </c>
      <c r="V364" s="2" t="s">
        <v>47</v>
      </c>
      <c r="W364" s="2" t="s">
        <v>71</v>
      </c>
      <c r="X364" s="2">
        <v>213.43</v>
      </c>
    </row>
    <row r="365" spans="1:24" x14ac:dyDescent="0.3">
      <c r="A365">
        <v>18268</v>
      </c>
      <c r="B365" t="s">
        <v>1541</v>
      </c>
      <c r="C365" s="3">
        <v>41717</v>
      </c>
      <c r="D365" t="s">
        <v>50</v>
      </c>
      <c r="E365">
        <v>11</v>
      </c>
      <c r="F365" s="3">
        <f ca="1">41718+(RANDBETWEEN(1,10))</f>
        <v>41721</v>
      </c>
      <c r="G365" t="s">
        <v>26</v>
      </c>
      <c r="H365" t="s">
        <v>27</v>
      </c>
      <c r="I365" t="s">
        <v>97</v>
      </c>
      <c r="J365">
        <v>3916.8850000000002</v>
      </c>
      <c r="K365">
        <v>0.05</v>
      </c>
      <c r="L365">
        <v>0.56999999999999995</v>
      </c>
      <c r="M365">
        <v>28.28</v>
      </c>
      <c r="N365">
        <v>2702.65065</v>
      </c>
      <c r="O365" s="1" t="s">
        <v>40</v>
      </c>
      <c r="P365" s="1" t="s">
        <v>1542</v>
      </c>
      <c r="Q365" s="1" t="s">
        <v>1543</v>
      </c>
      <c r="R365" s="1" t="s">
        <v>220</v>
      </c>
      <c r="S365" s="1" t="s">
        <v>1544</v>
      </c>
      <c r="T365" s="1" t="s">
        <v>1545</v>
      </c>
      <c r="U365" s="2" t="s">
        <v>1547</v>
      </c>
      <c r="V365" s="2" t="s">
        <v>36</v>
      </c>
      <c r="W365" s="2" t="s">
        <v>37</v>
      </c>
      <c r="X365" s="2">
        <v>440.96499999999997</v>
      </c>
    </row>
    <row r="366" spans="1:24" x14ac:dyDescent="0.3">
      <c r="A366">
        <v>18269</v>
      </c>
      <c r="B366" t="s">
        <v>1541</v>
      </c>
      <c r="C366" s="3">
        <v>41717</v>
      </c>
      <c r="D366" t="s">
        <v>50</v>
      </c>
      <c r="E366">
        <v>11</v>
      </c>
      <c r="F366" s="3">
        <f ca="1">41718+(RANDBETWEEN(1,10))</f>
        <v>41726</v>
      </c>
      <c r="G366" t="s">
        <v>26</v>
      </c>
      <c r="H366" t="s">
        <v>27</v>
      </c>
      <c r="I366" t="s">
        <v>97</v>
      </c>
      <c r="J366">
        <v>3747.835</v>
      </c>
      <c r="K366">
        <v>0.1</v>
      </c>
      <c r="L366">
        <v>0.59</v>
      </c>
      <c r="M366">
        <v>30.8</v>
      </c>
      <c r="N366">
        <v>2366.4375</v>
      </c>
      <c r="O366" s="1" t="s">
        <v>40</v>
      </c>
      <c r="P366" s="1" t="s">
        <v>1542</v>
      </c>
      <c r="Q366" s="1" t="s">
        <v>1543</v>
      </c>
      <c r="R366" s="1" t="s">
        <v>220</v>
      </c>
      <c r="S366" s="1" t="s">
        <v>1544</v>
      </c>
      <c r="T366" s="1" t="s">
        <v>1545</v>
      </c>
      <c r="U366" s="2" t="s">
        <v>1548</v>
      </c>
      <c r="V366" s="2" t="s">
        <v>36</v>
      </c>
      <c r="W366" s="2" t="s">
        <v>37</v>
      </c>
      <c r="X366" s="2">
        <v>440.96499999999997</v>
      </c>
    </row>
    <row r="367" spans="1:24" x14ac:dyDescent="0.3">
      <c r="A367">
        <v>18270</v>
      </c>
      <c r="B367" t="s">
        <v>1549</v>
      </c>
      <c r="C367" s="3">
        <v>40920</v>
      </c>
      <c r="D367" t="s">
        <v>39</v>
      </c>
      <c r="E367">
        <v>9</v>
      </c>
      <c r="F367" s="3">
        <f ca="1">40921+(RANDBETWEEN(1,10))</f>
        <v>40925</v>
      </c>
      <c r="G367" t="s">
        <v>26</v>
      </c>
      <c r="H367" t="s">
        <v>96</v>
      </c>
      <c r="I367" t="s">
        <v>52</v>
      </c>
      <c r="J367">
        <v>170.065</v>
      </c>
      <c r="K367">
        <v>7.0000000000000007E-2</v>
      </c>
      <c r="L367">
        <v>0.46</v>
      </c>
      <c r="M367">
        <v>6.9649999999999999</v>
      </c>
      <c r="N367">
        <v>53.2</v>
      </c>
      <c r="O367" s="1" t="s">
        <v>64</v>
      </c>
      <c r="P367" s="1" t="s">
        <v>1550</v>
      </c>
      <c r="Q367" s="1" t="s">
        <v>1551</v>
      </c>
      <c r="R367" s="1" t="s">
        <v>128</v>
      </c>
      <c r="S367" s="1" t="s">
        <v>1552</v>
      </c>
      <c r="T367" s="1" t="s">
        <v>1553</v>
      </c>
      <c r="U367" s="2" t="s">
        <v>1554</v>
      </c>
      <c r="V367" s="2" t="s">
        <v>47</v>
      </c>
      <c r="W367" s="2" t="s">
        <v>104</v>
      </c>
      <c r="X367" s="2">
        <v>19.53</v>
      </c>
    </row>
    <row r="368" spans="1:24" x14ac:dyDescent="0.3">
      <c r="A368">
        <v>18271</v>
      </c>
      <c r="B368" t="s">
        <v>1555</v>
      </c>
      <c r="C368" s="3">
        <v>41174</v>
      </c>
      <c r="D368" t="s">
        <v>50</v>
      </c>
      <c r="E368">
        <v>12</v>
      </c>
      <c r="F368" s="3">
        <f ca="1">41175+(RANDBETWEEN(1,10))</f>
        <v>41181</v>
      </c>
      <c r="G368" t="s">
        <v>76</v>
      </c>
      <c r="H368" t="s">
        <v>77</v>
      </c>
      <c r="I368" t="s">
        <v>86</v>
      </c>
      <c r="J368">
        <v>3901.7649999999999</v>
      </c>
      <c r="K368">
        <v>0.08</v>
      </c>
      <c r="L368">
        <v>0.56999999999999995</v>
      </c>
      <c r="M368">
        <v>260.22500000000002</v>
      </c>
      <c r="N368">
        <v>-3960.6</v>
      </c>
      <c r="O368" s="1" t="s">
        <v>40</v>
      </c>
      <c r="P368" s="1" t="s">
        <v>1556</v>
      </c>
      <c r="Q368" s="1" t="s">
        <v>1557</v>
      </c>
      <c r="R368" s="1" t="s">
        <v>220</v>
      </c>
      <c r="S368" s="1" t="s">
        <v>1558</v>
      </c>
      <c r="T368" s="1" t="s">
        <v>1559</v>
      </c>
      <c r="U368" s="2" t="s">
        <v>1560</v>
      </c>
      <c r="V368" s="2" t="s">
        <v>83</v>
      </c>
      <c r="W368" s="2" t="s">
        <v>84</v>
      </c>
      <c r="X368" s="2">
        <v>335.82499999999999</v>
      </c>
    </row>
    <row r="369" spans="1:24" x14ac:dyDescent="0.3">
      <c r="A369">
        <v>18272</v>
      </c>
      <c r="B369" t="s">
        <v>1561</v>
      </c>
      <c r="C369" s="3">
        <v>41212</v>
      </c>
      <c r="D369" t="s">
        <v>50</v>
      </c>
      <c r="E369">
        <v>17</v>
      </c>
      <c r="F369" s="3">
        <f ca="1">41212+(RANDBETWEEN(1,10))</f>
        <v>41217</v>
      </c>
      <c r="G369" t="s">
        <v>76</v>
      </c>
      <c r="H369" t="s">
        <v>258</v>
      </c>
      <c r="I369" t="s">
        <v>28</v>
      </c>
      <c r="J369">
        <v>1979.88</v>
      </c>
      <c r="K369">
        <v>0</v>
      </c>
      <c r="L369">
        <v>0.65</v>
      </c>
      <c r="M369">
        <v>159.285</v>
      </c>
      <c r="N369">
        <v>-4722.6941999999999</v>
      </c>
      <c r="O369" s="1" t="s">
        <v>225</v>
      </c>
      <c r="P369" s="1" t="s">
        <v>1562</v>
      </c>
      <c r="Q369" s="1" t="s">
        <v>1563</v>
      </c>
      <c r="R369" s="1" t="s">
        <v>228</v>
      </c>
      <c r="S369" s="1" t="s">
        <v>1564</v>
      </c>
      <c r="T369" s="1" t="s">
        <v>1565</v>
      </c>
      <c r="U369" s="2" t="s">
        <v>1566</v>
      </c>
      <c r="V369" s="2" t="s">
        <v>83</v>
      </c>
      <c r="W369" s="2" t="s">
        <v>263</v>
      </c>
      <c r="X369" s="2">
        <v>111.16</v>
      </c>
    </row>
    <row r="370" spans="1:24" x14ac:dyDescent="0.3">
      <c r="A370">
        <v>18273</v>
      </c>
      <c r="B370" t="s">
        <v>1561</v>
      </c>
      <c r="C370" s="3">
        <v>41212</v>
      </c>
      <c r="D370" t="s">
        <v>50</v>
      </c>
      <c r="E370">
        <v>16</v>
      </c>
      <c r="F370" s="3">
        <f ca="1">41213+(RANDBETWEEN(1,10))</f>
        <v>41216</v>
      </c>
      <c r="G370" t="s">
        <v>26</v>
      </c>
      <c r="H370" t="s">
        <v>27</v>
      </c>
      <c r="I370" t="s">
        <v>28</v>
      </c>
      <c r="J370">
        <v>253.19</v>
      </c>
      <c r="K370">
        <v>0.09</v>
      </c>
      <c r="L370">
        <v>0.37</v>
      </c>
      <c r="M370">
        <v>18.97</v>
      </c>
      <c r="N370">
        <v>-433.70019000000002</v>
      </c>
      <c r="O370" s="1" t="s">
        <v>87</v>
      </c>
      <c r="P370" s="1" t="s">
        <v>1567</v>
      </c>
      <c r="Q370" s="1" t="s">
        <v>1568</v>
      </c>
      <c r="R370" s="1" t="s">
        <v>646</v>
      </c>
      <c r="S370" s="1" t="s">
        <v>1569</v>
      </c>
      <c r="T370" s="1" t="s">
        <v>1570</v>
      </c>
      <c r="U370" s="2" t="s">
        <v>1571</v>
      </c>
      <c r="V370" s="2" t="s">
        <v>47</v>
      </c>
      <c r="W370" s="2" t="s">
        <v>111</v>
      </c>
      <c r="X370" s="2">
        <v>15.994999999999999</v>
      </c>
    </row>
    <row r="371" spans="1:24" x14ac:dyDescent="0.3">
      <c r="A371">
        <v>18274</v>
      </c>
      <c r="B371" t="s">
        <v>1572</v>
      </c>
      <c r="C371" s="3">
        <v>40891</v>
      </c>
      <c r="D371" t="s">
        <v>25</v>
      </c>
      <c r="E371">
        <v>1</v>
      </c>
      <c r="F371" s="3">
        <f ca="1">40893+(RANDBETWEEN(1,10))</f>
        <v>40900</v>
      </c>
      <c r="G371" t="s">
        <v>26</v>
      </c>
      <c r="H371" t="s">
        <v>281</v>
      </c>
      <c r="I371" t="s">
        <v>86</v>
      </c>
      <c r="J371">
        <v>352.76499999999999</v>
      </c>
      <c r="K371">
        <v>0.09</v>
      </c>
      <c r="L371">
        <v>0.65</v>
      </c>
      <c r="M371">
        <v>20.335000000000001</v>
      </c>
      <c r="N371">
        <v>243.40785</v>
      </c>
      <c r="O371" s="1" t="s">
        <v>53</v>
      </c>
      <c r="P371" s="1" t="s">
        <v>1573</v>
      </c>
      <c r="Q371" s="1" t="s">
        <v>1574</v>
      </c>
      <c r="R371" s="1" t="s">
        <v>100</v>
      </c>
      <c r="S371" s="1" t="s">
        <v>1575</v>
      </c>
      <c r="T371" s="1" t="s">
        <v>1576</v>
      </c>
      <c r="U371" s="2" t="s">
        <v>351</v>
      </c>
      <c r="V371" s="2" t="s">
        <v>83</v>
      </c>
      <c r="W371" s="2" t="s">
        <v>178</v>
      </c>
      <c r="X371" s="2">
        <v>376.35500000000002</v>
      </c>
    </row>
    <row r="372" spans="1:24" x14ac:dyDescent="0.3">
      <c r="A372">
        <v>18275</v>
      </c>
      <c r="B372" t="s">
        <v>1577</v>
      </c>
      <c r="C372" s="3">
        <v>40627</v>
      </c>
      <c r="D372" t="s">
        <v>25</v>
      </c>
      <c r="E372">
        <v>12</v>
      </c>
      <c r="F372" s="3">
        <f ca="1">40631+(RANDBETWEEN(1,10))</f>
        <v>40637</v>
      </c>
      <c r="G372" t="s">
        <v>26</v>
      </c>
      <c r="H372" t="s">
        <v>27</v>
      </c>
      <c r="I372" t="s">
        <v>86</v>
      </c>
      <c r="J372">
        <v>173.04</v>
      </c>
      <c r="K372">
        <v>0.05</v>
      </c>
      <c r="L372">
        <v>0.38</v>
      </c>
      <c r="M372">
        <v>18.41</v>
      </c>
      <c r="N372">
        <v>-533.83574999999996</v>
      </c>
      <c r="O372" s="1" t="s">
        <v>87</v>
      </c>
      <c r="P372" s="1" t="s">
        <v>1578</v>
      </c>
      <c r="Q372" s="1" t="s">
        <v>1579</v>
      </c>
      <c r="R372" s="1" t="s">
        <v>90</v>
      </c>
      <c r="S372" s="1" t="s">
        <v>1580</v>
      </c>
      <c r="T372" s="1" t="s">
        <v>1581</v>
      </c>
      <c r="U372" s="2" t="s">
        <v>1287</v>
      </c>
      <c r="V372" s="2" t="s">
        <v>47</v>
      </c>
      <c r="W372" s="2" t="s">
        <v>111</v>
      </c>
      <c r="X372" s="2">
        <v>13.93</v>
      </c>
    </row>
    <row r="373" spans="1:24" x14ac:dyDescent="0.3">
      <c r="A373">
        <v>18276</v>
      </c>
      <c r="B373" t="s">
        <v>1577</v>
      </c>
      <c r="C373" s="3">
        <v>40627</v>
      </c>
      <c r="D373" t="s">
        <v>25</v>
      </c>
      <c r="E373">
        <v>2</v>
      </c>
      <c r="F373" s="3">
        <f ca="1">40627+(RANDBETWEEN(1,10))</f>
        <v>40631</v>
      </c>
      <c r="G373" t="s">
        <v>26</v>
      </c>
      <c r="H373" t="s">
        <v>27</v>
      </c>
      <c r="I373" t="s">
        <v>86</v>
      </c>
      <c r="J373">
        <v>50.015000000000001</v>
      </c>
      <c r="K373">
        <v>0.01</v>
      </c>
      <c r="L373">
        <v>0.37</v>
      </c>
      <c r="M373">
        <v>18.899999999999999</v>
      </c>
      <c r="N373">
        <v>-65.974999999999994</v>
      </c>
      <c r="O373" s="1" t="s">
        <v>87</v>
      </c>
      <c r="P373" s="1" t="s">
        <v>1578</v>
      </c>
      <c r="Q373" s="1" t="s">
        <v>1579</v>
      </c>
      <c r="R373" s="1" t="s">
        <v>90</v>
      </c>
      <c r="S373" s="1" t="s">
        <v>1580</v>
      </c>
      <c r="T373" s="1" t="s">
        <v>1581</v>
      </c>
      <c r="U373" s="2" t="s">
        <v>1582</v>
      </c>
      <c r="V373" s="2" t="s">
        <v>47</v>
      </c>
      <c r="W373" s="2" t="s">
        <v>74</v>
      </c>
      <c r="X373" s="2">
        <v>22.68</v>
      </c>
    </row>
    <row r="374" spans="1:24" x14ac:dyDescent="0.3">
      <c r="A374">
        <v>18277</v>
      </c>
      <c r="B374" t="s">
        <v>1583</v>
      </c>
      <c r="C374" s="3">
        <v>40692</v>
      </c>
      <c r="D374" t="s">
        <v>148</v>
      </c>
      <c r="E374">
        <v>2</v>
      </c>
      <c r="F374" s="3">
        <f ca="1">40694+(RANDBETWEEN(1,10))</f>
        <v>40696</v>
      </c>
      <c r="G374" t="s">
        <v>26</v>
      </c>
      <c r="H374" t="s">
        <v>27</v>
      </c>
      <c r="I374" t="s">
        <v>28</v>
      </c>
      <c r="J374">
        <v>57.75</v>
      </c>
      <c r="K374">
        <v>0.02</v>
      </c>
      <c r="L374">
        <v>0.37</v>
      </c>
      <c r="M374">
        <v>27.684999999999999</v>
      </c>
      <c r="N374">
        <v>-4170.3410000000003</v>
      </c>
      <c r="O374" s="1" t="s">
        <v>53</v>
      </c>
      <c r="P374" s="1" t="s">
        <v>1242</v>
      </c>
      <c r="Q374" s="1" t="s">
        <v>1243</v>
      </c>
      <c r="R374" s="1" t="s">
        <v>440</v>
      </c>
      <c r="S374" s="1" t="s">
        <v>1244</v>
      </c>
      <c r="T374" s="1" t="s">
        <v>1245</v>
      </c>
      <c r="U374" s="2" t="s">
        <v>387</v>
      </c>
      <c r="V374" s="2" t="s">
        <v>47</v>
      </c>
      <c r="W374" s="2" t="s">
        <v>74</v>
      </c>
      <c r="X374" s="2">
        <v>22.68</v>
      </c>
    </row>
    <row r="375" spans="1:24" x14ac:dyDescent="0.3">
      <c r="A375">
        <v>18278</v>
      </c>
      <c r="B375" t="s">
        <v>1584</v>
      </c>
      <c r="C375" s="3">
        <v>40560</v>
      </c>
      <c r="D375" t="s">
        <v>148</v>
      </c>
      <c r="E375">
        <v>6</v>
      </c>
      <c r="F375" s="3">
        <f ca="1">40562+(RANDBETWEEN(1,10))</f>
        <v>40566</v>
      </c>
      <c r="G375" t="s">
        <v>76</v>
      </c>
      <c r="H375" t="s">
        <v>77</v>
      </c>
      <c r="I375" t="s">
        <v>86</v>
      </c>
      <c r="J375">
        <v>6887.93</v>
      </c>
      <c r="K375">
        <v>0.05</v>
      </c>
      <c r="L375">
        <v>0.56999999999999995</v>
      </c>
      <c r="M375">
        <v>318.67500000000001</v>
      </c>
      <c r="N375">
        <v>1440.3101999999999</v>
      </c>
      <c r="O375" s="1" t="s">
        <v>40</v>
      </c>
      <c r="P375" s="1" t="s">
        <v>1585</v>
      </c>
      <c r="Q375" s="1" t="s">
        <v>1586</v>
      </c>
      <c r="R375" s="1" t="s">
        <v>43</v>
      </c>
      <c r="S375" s="1" t="s">
        <v>1587</v>
      </c>
      <c r="T375" s="1" t="s">
        <v>1588</v>
      </c>
      <c r="U375" s="2" t="s">
        <v>1589</v>
      </c>
      <c r="V375" s="2" t="s">
        <v>47</v>
      </c>
      <c r="W375" s="2" t="s">
        <v>71</v>
      </c>
      <c r="X375" s="2">
        <v>1148.49</v>
      </c>
    </row>
    <row r="376" spans="1:24" x14ac:dyDescent="0.3">
      <c r="A376">
        <v>18279</v>
      </c>
      <c r="B376" t="s">
        <v>1590</v>
      </c>
      <c r="C376" s="3">
        <v>41702</v>
      </c>
      <c r="D376" t="s">
        <v>62</v>
      </c>
      <c r="E376">
        <v>10</v>
      </c>
      <c r="F376" s="3">
        <f ca="1">41704+(RANDBETWEEN(1,10))</f>
        <v>41710</v>
      </c>
      <c r="G376" t="s">
        <v>26</v>
      </c>
      <c r="H376" t="s">
        <v>51</v>
      </c>
      <c r="I376" t="s">
        <v>28</v>
      </c>
      <c r="J376">
        <v>796.11</v>
      </c>
      <c r="K376">
        <v>0.02</v>
      </c>
      <c r="L376">
        <v>0.46</v>
      </c>
      <c r="M376">
        <v>6.9649999999999999</v>
      </c>
      <c r="N376">
        <v>182.76300000000001</v>
      </c>
      <c r="O376" s="1" t="s">
        <v>29</v>
      </c>
      <c r="P376" s="1" t="s">
        <v>1591</v>
      </c>
      <c r="Q376" s="1" t="s">
        <v>1592</v>
      </c>
      <c r="R376" s="1" t="s">
        <v>460</v>
      </c>
      <c r="S376" s="1" t="s">
        <v>1593</v>
      </c>
      <c r="T376" s="1" t="s">
        <v>1594</v>
      </c>
      <c r="U376" s="2" t="s">
        <v>1595</v>
      </c>
      <c r="V376" s="2" t="s">
        <v>36</v>
      </c>
      <c r="W376" s="2" t="s">
        <v>60</v>
      </c>
      <c r="X376" s="2">
        <v>80.430000000000007</v>
      </c>
    </row>
    <row r="377" spans="1:24" x14ac:dyDescent="0.3">
      <c r="A377">
        <v>18280</v>
      </c>
      <c r="B377" t="s">
        <v>1590</v>
      </c>
      <c r="C377" s="3">
        <v>41702</v>
      </c>
      <c r="D377" t="s">
        <v>62</v>
      </c>
      <c r="E377">
        <v>2</v>
      </c>
      <c r="F377" s="3">
        <f ca="1">41703+(RANDBETWEEN(1,10))</f>
        <v>41708</v>
      </c>
      <c r="G377" t="s">
        <v>26</v>
      </c>
      <c r="H377" t="s">
        <v>63</v>
      </c>
      <c r="I377" t="s">
        <v>28</v>
      </c>
      <c r="J377">
        <v>1874.355</v>
      </c>
      <c r="K377">
        <v>0.08</v>
      </c>
      <c r="L377" t="s">
        <v>182</v>
      </c>
      <c r="M377">
        <v>85.715000000000003</v>
      </c>
      <c r="N377">
        <v>237.44</v>
      </c>
      <c r="O377" s="1" t="s">
        <v>40</v>
      </c>
      <c r="P377" s="1" t="s">
        <v>1596</v>
      </c>
      <c r="Q377" s="1" t="s">
        <v>1597</v>
      </c>
      <c r="R377" s="1" t="s">
        <v>43</v>
      </c>
      <c r="S377" s="1" t="s">
        <v>1598</v>
      </c>
      <c r="T377" s="1" t="s">
        <v>1599</v>
      </c>
      <c r="U377" s="2" t="s">
        <v>1520</v>
      </c>
      <c r="V377" s="2" t="s">
        <v>83</v>
      </c>
      <c r="W377" s="2" t="s">
        <v>84</v>
      </c>
      <c r="X377" s="2">
        <v>966.7</v>
      </c>
    </row>
    <row r="378" spans="1:24" x14ac:dyDescent="0.3">
      <c r="A378">
        <v>18281</v>
      </c>
      <c r="B378" t="s">
        <v>1600</v>
      </c>
      <c r="C378" s="3">
        <v>40617</v>
      </c>
      <c r="D378" t="s">
        <v>39</v>
      </c>
      <c r="E378">
        <v>6</v>
      </c>
      <c r="F378" s="3">
        <f ca="1">40617+(RANDBETWEEN(1,10))</f>
        <v>40623</v>
      </c>
      <c r="G378" t="s">
        <v>76</v>
      </c>
      <c r="H378" t="s">
        <v>258</v>
      </c>
      <c r="I378" t="s">
        <v>28</v>
      </c>
      <c r="J378">
        <v>6376.6149999999998</v>
      </c>
      <c r="K378">
        <v>0.04</v>
      </c>
      <c r="L378">
        <v>0.76</v>
      </c>
      <c r="M378">
        <v>189.42</v>
      </c>
      <c r="N378">
        <v>-2505.2237209999998</v>
      </c>
      <c r="O378" s="1" t="s">
        <v>40</v>
      </c>
      <c r="P378" s="1" t="s">
        <v>1601</v>
      </c>
      <c r="Q378" s="1" t="s">
        <v>1602</v>
      </c>
      <c r="R378" s="1" t="s">
        <v>43</v>
      </c>
      <c r="S378" s="1" t="s">
        <v>1603</v>
      </c>
      <c r="T378" s="1" t="s">
        <v>1604</v>
      </c>
      <c r="U378" s="2" t="s">
        <v>1007</v>
      </c>
      <c r="V378" s="2" t="s">
        <v>83</v>
      </c>
      <c r="W378" s="2" t="s">
        <v>263</v>
      </c>
      <c r="X378" s="2">
        <v>1036.6300000000001</v>
      </c>
    </row>
    <row r="379" spans="1:24" x14ac:dyDescent="0.3">
      <c r="A379">
        <v>18282</v>
      </c>
      <c r="B379" t="s">
        <v>1605</v>
      </c>
      <c r="C379" s="3">
        <v>41242</v>
      </c>
      <c r="D379" t="s">
        <v>148</v>
      </c>
      <c r="E379">
        <v>11</v>
      </c>
      <c r="F379" s="3">
        <f ca="1">41242+(RANDBETWEEN(1,10))</f>
        <v>41250</v>
      </c>
      <c r="G379" t="s">
        <v>26</v>
      </c>
      <c r="H379" t="s">
        <v>27</v>
      </c>
      <c r="I379" t="s">
        <v>86</v>
      </c>
      <c r="J379">
        <v>407.61</v>
      </c>
      <c r="K379">
        <v>0.06</v>
      </c>
      <c r="L379">
        <v>0.38</v>
      </c>
      <c r="M379">
        <v>10.465</v>
      </c>
      <c r="N379">
        <v>150.86224999999999</v>
      </c>
      <c r="O379" s="1" t="s">
        <v>29</v>
      </c>
      <c r="P379" s="1" t="s">
        <v>1606</v>
      </c>
      <c r="Q379" s="1" t="s">
        <v>1607</v>
      </c>
      <c r="R379" s="1" t="s">
        <v>675</v>
      </c>
      <c r="S379" s="1" t="s">
        <v>1608</v>
      </c>
      <c r="T379" s="1" t="s">
        <v>1609</v>
      </c>
      <c r="U379" s="2" t="s">
        <v>1610</v>
      </c>
      <c r="V379" s="2" t="s">
        <v>47</v>
      </c>
      <c r="W379" s="2" t="s">
        <v>111</v>
      </c>
      <c r="X379" s="2">
        <v>38.185000000000002</v>
      </c>
    </row>
    <row r="380" spans="1:24" x14ac:dyDescent="0.3">
      <c r="A380">
        <v>18283</v>
      </c>
      <c r="B380" t="s">
        <v>1611</v>
      </c>
      <c r="C380" s="3">
        <v>40787</v>
      </c>
      <c r="D380" t="s">
        <v>50</v>
      </c>
      <c r="E380">
        <v>15</v>
      </c>
      <c r="F380" s="3">
        <f ca="1">40789+(RANDBETWEEN(1,10))</f>
        <v>40794</v>
      </c>
      <c r="G380" t="s">
        <v>76</v>
      </c>
      <c r="H380" t="s">
        <v>77</v>
      </c>
      <c r="I380" t="s">
        <v>97</v>
      </c>
      <c r="J380">
        <v>24601.85</v>
      </c>
      <c r="K380">
        <v>0.05</v>
      </c>
      <c r="L380">
        <v>0.59</v>
      </c>
      <c r="M380">
        <v>51.45</v>
      </c>
      <c r="N380">
        <v>15426.04</v>
      </c>
      <c r="O380" s="1" t="s">
        <v>40</v>
      </c>
      <c r="P380" s="1" t="s">
        <v>1612</v>
      </c>
      <c r="Q380" s="1" t="s">
        <v>1613</v>
      </c>
      <c r="R380" s="1" t="s">
        <v>43</v>
      </c>
      <c r="S380" s="1" t="s">
        <v>1614</v>
      </c>
      <c r="T380" s="1" t="s">
        <v>1615</v>
      </c>
      <c r="U380" s="2" t="s">
        <v>1616</v>
      </c>
      <c r="V380" s="2" t="s">
        <v>36</v>
      </c>
      <c r="W380" s="2" t="s">
        <v>142</v>
      </c>
      <c r="X380" s="2">
        <v>1874.74</v>
      </c>
    </row>
    <row r="381" spans="1:24" x14ac:dyDescent="0.3">
      <c r="A381">
        <v>18284</v>
      </c>
      <c r="B381" t="s">
        <v>1611</v>
      </c>
      <c r="C381" s="3">
        <v>40787</v>
      </c>
      <c r="D381" t="s">
        <v>50</v>
      </c>
      <c r="E381">
        <v>1</v>
      </c>
      <c r="F381" s="3">
        <f ca="1">40789+(RANDBETWEEN(1,10))</f>
        <v>40794</v>
      </c>
      <c r="G381" t="s">
        <v>26</v>
      </c>
      <c r="H381" t="s">
        <v>27</v>
      </c>
      <c r="I381" t="s">
        <v>97</v>
      </c>
      <c r="J381">
        <v>39.725000000000001</v>
      </c>
      <c r="K381">
        <v>0.09</v>
      </c>
      <c r="L381">
        <v>0.36</v>
      </c>
      <c r="M381">
        <v>19.844999999999999</v>
      </c>
      <c r="N381">
        <v>-27.86</v>
      </c>
      <c r="O381" s="1" t="s">
        <v>87</v>
      </c>
      <c r="P381" s="1" t="s">
        <v>1617</v>
      </c>
      <c r="Q381" s="1" t="s">
        <v>1618</v>
      </c>
      <c r="R381" s="1" t="s">
        <v>90</v>
      </c>
      <c r="S381" s="1" t="s">
        <v>1619</v>
      </c>
      <c r="T381" s="1" t="s">
        <v>1620</v>
      </c>
      <c r="U381" s="2" t="s">
        <v>1621</v>
      </c>
      <c r="V381" s="2" t="s">
        <v>47</v>
      </c>
      <c r="W381" s="2" t="s">
        <v>74</v>
      </c>
      <c r="X381" s="2">
        <v>20.23</v>
      </c>
    </row>
    <row r="382" spans="1:24" x14ac:dyDescent="0.3">
      <c r="A382">
        <v>18285</v>
      </c>
      <c r="B382" t="s">
        <v>1622</v>
      </c>
      <c r="C382" s="3">
        <v>41552</v>
      </c>
      <c r="D382" t="s">
        <v>50</v>
      </c>
      <c r="E382">
        <v>4</v>
      </c>
      <c r="F382" s="3">
        <f ca="1">41554+(RANDBETWEEN(1,10))</f>
        <v>41563</v>
      </c>
      <c r="G382" t="s">
        <v>26</v>
      </c>
      <c r="H382" t="s">
        <v>27</v>
      </c>
      <c r="I382" t="s">
        <v>28</v>
      </c>
      <c r="J382">
        <v>189.98</v>
      </c>
      <c r="K382">
        <v>0.04</v>
      </c>
      <c r="L382">
        <v>0.59</v>
      </c>
      <c r="M382">
        <v>15.785</v>
      </c>
      <c r="N382">
        <v>-64.222200000000001</v>
      </c>
      <c r="O382" s="1" t="s">
        <v>53</v>
      </c>
      <c r="P382" s="1" t="s">
        <v>1623</v>
      </c>
      <c r="Q382" s="1" t="s">
        <v>1624</v>
      </c>
      <c r="R382" s="1" t="s">
        <v>440</v>
      </c>
      <c r="S382" s="1" t="s">
        <v>1625</v>
      </c>
      <c r="T382" s="1" t="s">
        <v>1626</v>
      </c>
      <c r="U382" s="2" t="s">
        <v>1495</v>
      </c>
      <c r="V382" s="2" t="s">
        <v>47</v>
      </c>
      <c r="W382" s="2" t="s">
        <v>119</v>
      </c>
      <c r="X382" s="2">
        <v>47.18</v>
      </c>
    </row>
    <row r="383" spans="1:24" x14ac:dyDescent="0.3">
      <c r="A383">
        <v>18286</v>
      </c>
      <c r="B383" t="s">
        <v>1627</v>
      </c>
      <c r="C383" s="3">
        <v>41888</v>
      </c>
      <c r="D383" t="s">
        <v>50</v>
      </c>
      <c r="E383">
        <v>14</v>
      </c>
      <c r="F383" s="3">
        <f ca="1">41888+(RANDBETWEEN(1,10))</f>
        <v>41891</v>
      </c>
      <c r="G383" t="s">
        <v>26</v>
      </c>
      <c r="H383" t="s">
        <v>63</v>
      </c>
      <c r="I383" t="s">
        <v>28</v>
      </c>
      <c r="J383">
        <v>6335.63</v>
      </c>
      <c r="K383">
        <v>0.09</v>
      </c>
      <c r="L383">
        <v>0.59</v>
      </c>
      <c r="M383">
        <v>85.715000000000003</v>
      </c>
      <c r="N383">
        <v>3484.0259999999998</v>
      </c>
      <c r="O383" s="1" t="s">
        <v>87</v>
      </c>
      <c r="P383" s="1" t="s">
        <v>1628</v>
      </c>
      <c r="Q383" s="1" t="s">
        <v>1629</v>
      </c>
      <c r="R383" s="1" t="s">
        <v>90</v>
      </c>
      <c r="S383" s="1" t="s">
        <v>1630</v>
      </c>
      <c r="T383" s="1" t="s">
        <v>1631</v>
      </c>
      <c r="U383" s="2" t="s">
        <v>1632</v>
      </c>
      <c r="V383" s="2" t="s">
        <v>83</v>
      </c>
      <c r="W383" s="2" t="s">
        <v>178</v>
      </c>
      <c r="X383" s="2">
        <v>479.43</v>
      </c>
    </row>
    <row r="384" spans="1:24" x14ac:dyDescent="0.3">
      <c r="A384">
        <v>18287</v>
      </c>
      <c r="B384" t="s">
        <v>1627</v>
      </c>
      <c r="C384" s="3">
        <v>41888</v>
      </c>
      <c r="D384" t="s">
        <v>50</v>
      </c>
      <c r="E384">
        <v>19</v>
      </c>
      <c r="F384" s="3">
        <f ca="1">41889+(RANDBETWEEN(1,10))</f>
        <v>41896</v>
      </c>
      <c r="G384" t="s">
        <v>76</v>
      </c>
      <c r="H384" t="s">
        <v>258</v>
      </c>
      <c r="I384" t="s">
        <v>28</v>
      </c>
      <c r="J384">
        <v>25852.014999999999</v>
      </c>
      <c r="K384">
        <v>0.01</v>
      </c>
      <c r="L384">
        <v>0.56000000000000005</v>
      </c>
      <c r="M384">
        <v>42.21</v>
      </c>
      <c r="N384">
        <v>17837.890350000001</v>
      </c>
      <c r="O384" s="1" t="s">
        <v>87</v>
      </c>
      <c r="P384" s="1" t="s">
        <v>1628</v>
      </c>
      <c r="Q384" s="1" t="s">
        <v>1629</v>
      </c>
      <c r="R384" s="1" t="s">
        <v>90</v>
      </c>
      <c r="S384" s="1" t="s">
        <v>1630</v>
      </c>
      <c r="T384" s="1" t="s">
        <v>1631</v>
      </c>
      <c r="U384" s="2" t="s">
        <v>1633</v>
      </c>
      <c r="V384" s="2" t="s">
        <v>36</v>
      </c>
      <c r="W384" s="2" t="s">
        <v>142</v>
      </c>
      <c r="X384" s="2">
        <v>1399.93</v>
      </c>
    </row>
    <row r="385" spans="1:24" x14ac:dyDescent="0.3">
      <c r="A385">
        <v>18288</v>
      </c>
      <c r="B385" t="s">
        <v>1634</v>
      </c>
      <c r="C385" s="3">
        <v>41080</v>
      </c>
      <c r="D385" t="s">
        <v>148</v>
      </c>
      <c r="E385">
        <v>16</v>
      </c>
      <c r="F385" s="3">
        <f ca="1">41082+(RANDBETWEEN(1,10))</f>
        <v>41088</v>
      </c>
      <c r="G385" t="s">
        <v>26</v>
      </c>
      <c r="H385" t="s">
        <v>51</v>
      </c>
      <c r="I385" t="s">
        <v>97</v>
      </c>
      <c r="J385">
        <v>285.005</v>
      </c>
      <c r="K385">
        <v>0.03</v>
      </c>
      <c r="L385">
        <v>0.79</v>
      </c>
      <c r="M385">
        <v>17.989999999999998</v>
      </c>
      <c r="N385">
        <v>-528.55600000000004</v>
      </c>
      <c r="O385" s="1" t="s">
        <v>87</v>
      </c>
      <c r="P385" s="1" t="s">
        <v>1635</v>
      </c>
      <c r="Q385" s="1" t="s">
        <v>1636</v>
      </c>
      <c r="R385" s="1" t="s">
        <v>646</v>
      </c>
      <c r="S385" s="1" t="s">
        <v>1637</v>
      </c>
      <c r="T385" s="1" t="s">
        <v>1638</v>
      </c>
      <c r="U385" s="2" t="s">
        <v>1639</v>
      </c>
      <c r="V385" s="2" t="s">
        <v>36</v>
      </c>
      <c r="W385" s="2" t="s">
        <v>60</v>
      </c>
      <c r="X385" s="2">
        <v>17.57</v>
      </c>
    </row>
    <row r="386" spans="1:24" x14ac:dyDescent="0.3">
      <c r="A386">
        <v>18289</v>
      </c>
      <c r="B386" t="s">
        <v>1640</v>
      </c>
      <c r="C386" s="3">
        <v>41712</v>
      </c>
      <c r="D386" t="s">
        <v>62</v>
      </c>
      <c r="E386">
        <v>11</v>
      </c>
      <c r="F386" s="3">
        <f ca="1">41713+(RANDBETWEEN(1,10))</f>
        <v>41722</v>
      </c>
      <c r="G386" t="s">
        <v>26</v>
      </c>
      <c r="H386" t="s">
        <v>27</v>
      </c>
      <c r="I386" t="s">
        <v>28</v>
      </c>
      <c r="J386">
        <v>159.495</v>
      </c>
      <c r="K386">
        <v>0</v>
      </c>
      <c r="L386">
        <v>0.59</v>
      </c>
      <c r="M386">
        <v>17.954999999999998</v>
      </c>
      <c r="N386">
        <v>-550.13</v>
      </c>
      <c r="O386" s="1" t="s">
        <v>87</v>
      </c>
      <c r="P386" s="1" t="s">
        <v>1641</v>
      </c>
      <c r="Q386" s="1" t="s">
        <v>1642</v>
      </c>
      <c r="R386" s="1" t="s">
        <v>497</v>
      </c>
      <c r="S386" s="1" t="s">
        <v>1643</v>
      </c>
      <c r="T386" s="1" t="s">
        <v>1644</v>
      </c>
      <c r="U386" s="2" t="s">
        <v>1645</v>
      </c>
      <c r="V386" s="2" t="s">
        <v>47</v>
      </c>
      <c r="W386" s="2" t="s">
        <v>71</v>
      </c>
      <c r="X386" s="2">
        <v>13.824999999999999</v>
      </c>
    </row>
    <row r="387" spans="1:24" x14ac:dyDescent="0.3">
      <c r="A387">
        <v>18290</v>
      </c>
      <c r="B387" t="s">
        <v>1646</v>
      </c>
      <c r="C387" s="3">
        <v>41764</v>
      </c>
      <c r="D387" t="s">
        <v>25</v>
      </c>
      <c r="E387">
        <v>1</v>
      </c>
      <c r="F387" s="3">
        <f ca="1">41764+(RANDBETWEEN(1,10))</f>
        <v>41766</v>
      </c>
      <c r="G387" t="s">
        <v>26</v>
      </c>
      <c r="H387" t="s">
        <v>27</v>
      </c>
      <c r="I387" t="s">
        <v>97</v>
      </c>
      <c r="J387">
        <v>258.02</v>
      </c>
      <c r="K387">
        <v>0.09</v>
      </c>
      <c r="L387">
        <v>0.67</v>
      </c>
      <c r="M387">
        <v>42.49</v>
      </c>
      <c r="N387">
        <v>733.88699999999994</v>
      </c>
      <c r="O387" s="1" t="s">
        <v>53</v>
      </c>
      <c r="P387" s="1" t="s">
        <v>1647</v>
      </c>
      <c r="Q387" s="1" t="s">
        <v>1648</v>
      </c>
      <c r="R387" s="1" t="s">
        <v>56</v>
      </c>
      <c r="S387" s="1" t="s">
        <v>1649</v>
      </c>
      <c r="T387" s="1" t="s">
        <v>1650</v>
      </c>
      <c r="U387" s="2" t="s">
        <v>1651</v>
      </c>
      <c r="V387" s="2" t="s">
        <v>36</v>
      </c>
      <c r="W387" s="2" t="s">
        <v>60</v>
      </c>
      <c r="X387" s="2">
        <v>258.93</v>
      </c>
    </row>
    <row r="388" spans="1:24" x14ac:dyDescent="0.3">
      <c r="A388">
        <v>18291</v>
      </c>
      <c r="B388" t="s">
        <v>1646</v>
      </c>
      <c r="C388" s="3">
        <v>41764</v>
      </c>
      <c r="D388" t="s">
        <v>25</v>
      </c>
      <c r="E388">
        <v>16</v>
      </c>
      <c r="F388" s="3">
        <f ca="1">41766+(RANDBETWEEN(1,10))</f>
        <v>41771</v>
      </c>
      <c r="G388" t="s">
        <v>26</v>
      </c>
      <c r="H388" t="s">
        <v>27</v>
      </c>
      <c r="I388" t="s">
        <v>97</v>
      </c>
      <c r="J388">
        <v>276.14999999999998</v>
      </c>
      <c r="K388">
        <v>0.06</v>
      </c>
      <c r="L388">
        <v>0.38</v>
      </c>
      <c r="M388">
        <v>19.215</v>
      </c>
      <c r="N388">
        <v>38.682000000000002</v>
      </c>
      <c r="O388" s="1" t="s">
        <v>53</v>
      </c>
      <c r="P388" s="1" t="s">
        <v>1647</v>
      </c>
      <c r="Q388" s="1" t="s">
        <v>1648</v>
      </c>
      <c r="R388" s="1" t="s">
        <v>56</v>
      </c>
      <c r="S388" s="1" t="s">
        <v>1649</v>
      </c>
      <c r="T388" s="1" t="s">
        <v>1650</v>
      </c>
      <c r="U388" s="2" t="s">
        <v>236</v>
      </c>
      <c r="V388" s="2" t="s">
        <v>47</v>
      </c>
      <c r="W388" s="2" t="s">
        <v>74</v>
      </c>
      <c r="X388" s="2">
        <v>17.43</v>
      </c>
    </row>
    <row r="389" spans="1:24" x14ac:dyDescent="0.3">
      <c r="A389">
        <v>18292</v>
      </c>
      <c r="B389" t="s">
        <v>1652</v>
      </c>
      <c r="C389" s="3">
        <v>41227</v>
      </c>
      <c r="D389" t="s">
        <v>62</v>
      </c>
      <c r="E389">
        <v>10</v>
      </c>
      <c r="F389" s="3">
        <f ca="1">41228+(RANDBETWEEN(1,10))</f>
        <v>41237</v>
      </c>
      <c r="G389" t="s">
        <v>76</v>
      </c>
      <c r="H389" t="s">
        <v>77</v>
      </c>
      <c r="I389" t="s">
        <v>28</v>
      </c>
      <c r="J389">
        <v>10945.13</v>
      </c>
      <c r="K389">
        <v>0.01</v>
      </c>
      <c r="L389">
        <v>0.56999999999999995</v>
      </c>
      <c r="M389">
        <v>148.82</v>
      </c>
      <c r="N389">
        <v>264.8646</v>
      </c>
      <c r="O389" s="1" t="s">
        <v>40</v>
      </c>
      <c r="P389" s="1" t="s">
        <v>1503</v>
      </c>
      <c r="Q389" s="1" t="s">
        <v>1504</v>
      </c>
      <c r="R389" s="1" t="s">
        <v>43</v>
      </c>
      <c r="S389" s="1" t="s">
        <v>1505</v>
      </c>
      <c r="T389" s="1" t="s">
        <v>1506</v>
      </c>
      <c r="U389" s="2" t="s">
        <v>1653</v>
      </c>
      <c r="V389" s="2" t="s">
        <v>47</v>
      </c>
      <c r="W389" s="2" t="s">
        <v>71</v>
      </c>
      <c r="X389" s="2">
        <v>1031.17</v>
      </c>
    </row>
    <row r="390" spans="1:24" x14ac:dyDescent="0.3">
      <c r="A390">
        <v>18293</v>
      </c>
      <c r="B390" t="s">
        <v>1652</v>
      </c>
      <c r="C390" s="3">
        <v>41227</v>
      </c>
      <c r="D390" t="s">
        <v>62</v>
      </c>
      <c r="E390">
        <v>8</v>
      </c>
      <c r="F390" s="3">
        <f ca="1">41228+(RANDBETWEEN(1,10))</f>
        <v>41235</v>
      </c>
      <c r="G390" t="s">
        <v>156</v>
      </c>
      <c r="H390" t="s">
        <v>27</v>
      </c>
      <c r="I390" t="s">
        <v>28</v>
      </c>
      <c r="J390">
        <v>1706.0050000000001</v>
      </c>
      <c r="K390">
        <v>0.1</v>
      </c>
      <c r="L390">
        <v>0.56000000000000005</v>
      </c>
      <c r="M390">
        <v>15.75</v>
      </c>
      <c r="N390">
        <v>592.87199999999996</v>
      </c>
      <c r="O390" s="1" t="s">
        <v>40</v>
      </c>
      <c r="P390" s="1" t="s">
        <v>1503</v>
      </c>
      <c r="Q390" s="1" t="s">
        <v>1504</v>
      </c>
      <c r="R390" s="1" t="s">
        <v>43</v>
      </c>
      <c r="S390" s="1" t="s">
        <v>1505</v>
      </c>
      <c r="T390" s="1" t="s">
        <v>1506</v>
      </c>
      <c r="U390" s="2" t="s">
        <v>1654</v>
      </c>
      <c r="V390" s="2" t="s">
        <v>47</v>
      </c>
      <c r="W390" s="2" t="s">
        <v>71</v>
      </c>
      <c r="X390" s="2">
        <v>213.39500000000001</v>
      </c>
    </row>
    <row r="391" spans="1:24" x14ac:dyDescent="0.3">
      <c r="A391">
        <v>18294</v>
      </c>
      <c r="B391" t="s">
        <v>1655</v>
      </c>
      <c r="C391" s="3">
        <v>40695</v>
      </c>
      <c r="D391" t="s">
        <v>50</v>
      </c>
      <c r="E391">
        <v>6</v>
      </c>
      <c r="F391" s="3">
        <f ca="1">40697+(RANDBETWEEN(1,10))</f>
        <v>40705</v>
      </c>
      <c r="G391" t="s">
        <v>26</v>
      </c>
      <c r="H391" t="s">
        <v>27</v>
      </c>
      <c r="I391" t="s">
        <v>52</v>
      </c>
      <c r="J391">
        <v>58.344999999999999</v>
      </c>
      <c r="K391">
        <v>0.06</v>
      </c>
      <c r="L391">
        <v>0.38</v>
      </c>
      <c r="M391">
        <v>3.4649999999999999</v>
      </c>
      <c r="N391">
        <v>-7.0339499999999999</v>
      </c>
      <c r="O391" s="1" t="s">
        <v>225</v>
      </c>
      <c r="P391" s="1" t="s">
        <v>1656</v>
      </c>
      <c r="Q391" s="1" t="s">
        <v>1657</v>
      </c>
      <c r="R391" s="1" t="s">
        <v>228</v>
      </c>
      <c r="S391" s="1" t="s">
        <v>1658</v>
      </c>
      <c r="T391" s="1" t="s">
        <v>1659</v>
      </c>
      <c r="U391" s="2" t="s">
        <v>1660</v>
      </c>
      <c r="V391" s="2" t="s">
        <v>47</v>
      </c>
      <c r="W391" s="2" t="s">
        <v>203</v>
      </c>
      <c r="X391" s="2">
        <v>10.115</v>
      </c>
    </row>
    <row r="392" spans="1:24" x14ac:dyDescent="0.3">
      <c r="A392">
        <v>18295</v>
      </c>
      <c r="B392" t="s">
        <v>1655</v>
      </c>
      <c r="C392" s="3">
        <v>40695</v>
      </c>
      <c r="D392" t="s">
        <v>50</v>
      </c>
      <c r="E392">
        <v>9</v>
      </c>
      <c r="F392" s="3">
        <f ca="1">40697+(RANDBETWEEN(1,10))</f>
        <v>40706</v>
      </c>
      <c r="G392" t="s">
        <v>26</v>
      </c>
      <c r="H392" t="s">
        <v>27</v>
      </c>
      <c r="I392" t="s">
        <v>52</v>
      </c>
      <c r="J392">
        <v>683.06</v>
      </c>
      <c r="K392">
        <v>0.08</v>
      </c>
      <c r="L392">
        <v>0.39</v>
      </c>
      <c r="M392">
        <v>40.39</v>
      </c>
      <c r="N392">
        <v>-1670.8019999999999</v>
      </c>
      <c r="O392" s="1" t="s">
        <v>225</v>
      </c>
      <c r="P392" s="1" t="s">
        <v>1656</v>
      </c>
      <c r="Q392" s="1" t="s">
        <v>1657</v>
      </c>
      <c r="R392" s="1" t="s">
        <v>228</v>
      </c>
      <c r="S392" s="1" t="s">
        <v>1658</v>
      </c>
      <c r="T392" s="1" t="s">
        <v>1659</v>
      </c>
      <c r="U392" s="2" t="s">
        <v>642</v>
      </c>
      <c r="V392" s="2" t="s">
        <v>47</v>
      </c>
      <c r="W392" s="2" t="s">
        <v>74</v>
      </c>
      <c r="X392" s="2">
        <v>79.94</v>
      </c>
    </row>
    <row r="393" spans="1:24" x14ac:dyDescent="0.3">
      <c r="A393">
        <v>18296</v>
      </c>
      <c r="B393" t="s">
        <v>1661</v>
      </c>
      <c r="C393" s="3">
        <v>41741</v>
      </c>
      <c r="D393" t="s">
        <v>39</v>
      </c>
      <c r="E393">
        <v>6</v>
      </c>
      <c r="F393" s="3">
        <f ca="1">41743+(RANDBETWEEN(1,10))</f>
        <v>41751</v>
      </c>
      <c r="G393" t="s">
        <v>26</v>
      </c>
      <c r="H393" t="s">
        <v>27</v>
      </c>
      <c r="I393" t="s">
        <v>86</v>
      </c>
      <c r="J393">
        <v>98.56</v>
      </c>
      <c r="K393">
        <v>0</v>
      </c>
      <c r="L393">
        <v>0.38</v>
      </c>
      <c r="M393">
        <v>18.690000000000001</v>
      </c>
      <c r="N393">
        <v>-238.48124999999999</v>
      </c>
      <c r="O393" s="1" t="s">
        <v>87</v>
      </c>
      <c r="P393" s="1" t="s">
        <v>1662</v>
      </c>
      <c r="Q393" s="1" t="s">
        <v>1663</v>
      </c>
      <c r="R393" s="1" t="s">
        <v>646</v>
      </c>
      <c r="S393" s="1" t="s">
        <v>718</v>
      </c>
      <c r="T393" s="1" t="s">
        <v>719</v>
      </c>
      <c r="U393" s="2" t="s">
        <v>1664</v>
      </c>
      <c r="V393" s="2" t="s">
        <v>47</v>
      </c>
      <c r="W393" s="2" t="s">
        <v>111</v>
      </c>
      <c r="X393" s="2">
        <v>14.455</v>
      </c>
    </row>
    <row r="394" spans="1:24" x14ac:dyDescent="0.3">
      <c r="A394">
        <v>18297</v>
      </c>
      <c r="B394" t="s">
        <v>1665</v>
      </c>
      <c r="C394" s="3">
        <v>41311</v>
      </c>
      <c r="D394" t="s">
        <v>62</v>
      </c>
      <c r="E394">
        <v>11</v>
      </c>
      <c r="F394" s="3">
        <f ca="1">41312+(RANDBETWEEN(1,10))</f>
        <v>41320</v>
      </c>
      <c r="G394" t="s">
        <v>76</v>
      </c>
      <c r="H394" t="s">
        <v>77</v>
      </c>
      <c r="I394" t="s">
        <v>52</v>
      </c>
      <c r="J394">
        <v>19094.845000000001</v>
      </c>
      <c r="K394">
        <v>0.01</v>
      </c>
      <c r="L394">
        <v>0.6</v>
      </c>
      <c r="M394">
        <v>441</v>
      </c>
      <c r="N394">
        <v>13175.44305</v>
      </c>
      <c r="O394" s="1" t="s">
        <v>29</v>
      </c>
      <c r="P394" s="1" t="s">
        <v>1666</v>
      </c>
      <c r="Q394" s="1" t="s">
        <v>1667</v>
      </c>
      <c r="R394" s="1" t="s">
        <v>32</v>
      </c>
      <c r="S394" s="1" t="s">
        <v>1668</v>
      </c>
      <c r="T394" s="1" t="s">
        <v>1669</v>
      </c>
      <c r="U394" s="2" t="s">
        <v>1670</v>
      </c>
      <c r="V394" s="2" t="s">
        <v>83</v>
      </c>
      <c r="W394" s="2" t="s">
        <v>84</v>
      </c>
      <c r="X394" s="2">
        <v>1753.43</v>
      </c>
    </row>
    <row r="395" spans="1:24" x14ac:dyDescent="0.3">
      <c r="A395">
        <v>18298</v>
      </c>
      <c r="B395" t="s">
        <v>1665</v>
      </c>
      <c r="C395" s="3">
        <v>41311</v>
      </c>
      <c r="D395" t="s">
        <v>62</v>
      </c>
      <c r="E395">
        <v>2</v>
      </c>
      <c r="F395" s="3">
        <f ca="1">41313+(RANDBETWEEN(1,10))</f>
        <v>41323</v>
      </c>
      <c r="G395" t="s">
        <v>26</v>
      </c>
      <c r="H395" t="s">
        <v>27</v>
      </c>
      <c r="I395" t="s">
        <v>52</v>
      </c>
      <c r="J395">
        <v>771.78499999999997</v>
      </c>
      <c r="K395">
        <v>0.08</v>
      </c>
      <c r="L395">
        <v>0.59</v>
      </c>
      <c r="M395">
        <v>14.7</v>
      </c>
      <c r="N395">
        <v>-1573.3409999999999</v>
      </c>
      <c r="O395" s="1" t="s">
        <v>29</v>
      </c>
      <c r="P395" s="1" t="s">
        <v>1666</v>
      </c>
      <c r="Q395" s="1" t="s">
        <v>1667</v>
      </c>
      <c r="R395" s="1" t="s">
        <v>32</v>
      </c>
      <c r="S395" s="1" t="s">
        <v>1668</v>
      </c>
      <c r="T395" s="1" t="s">
        <v>1669</v>
      </c>
      <c r="U395" s="2">
        <v>7160</v>
      </c>
      <c r="V395" s="2" t="s">
        <v>36</v>
      </c>
      <c r="W395" s="2" t="s">
        <v>37</v>
      </c>
      <c r="X395" s="2">
        <v>493.46499999999997</v>
      </c>
    </row>
    <row r="396" spans="1:24" x14ac:dyDescent="0.3">
      <c r="A396">
        <v>18299</v>
      </c>
      <c r="B396" t="s">
        <v>1671</v>
      </c>
      <c r="C396" s="3">
        <v>41797</v>
      </c>
      <c r="D396" t="s">
        <v>50</v>
      </c>
      <c r="E396">
        <v>1</v>
      </c>
      <c r="F396" s="3">
        <f ca="1">41800+(RANDBETWEEN(1,10))</f>
        <v>41802</v>
      </c>
      <c r="G396" t="s">
        <v>26</v>
      </c>
      <c r="H396" t="s">
        <v>27</v>
      </c>
      <c r="I396" t="s">
        <v>52</v>
      </c>
      <c r="J396">
        <v>1203.23</v>
      </c>
      <c r="K396">
        <v>0.09</v>
      </c>
      <c r="L396">
        <v>0.56999999999999995</v>
      </c>
      <c r="M396">
        <v>69.965000000000003</v>
      </c>
      <c r="N396">
        <v>782.04420000000005</v>
      </c>
      <c r="O396" s="1" t="s">
        <v>87</v>
      </c>
      <c r="P396" s="1" t="s">
        <v>1672</v>
      </c>
      <c r="Q396" s="1" t="s">
        <v>1673</v>
      </c>
      <c r="R396" s="1" t="s">
        <v>398</v>
      </c>
      <c r="S396" s="1" t="s">
        <v>1674</v>
      </c>
      <c r="T396" s="1" t="s">
        <v>1675</v>
      </c>
      <c r="U396" s="2" t="s">
        <v>572</v>
      </c>
      <c r="V396" s="2" t="s">
        <v>47</v>
      </c>
      <c r="W396" s="2" t="s">
        <v>71</v>
      </c>
      <c r="X396" s="2">
        <v>1271.375</v>
      </c>
    </row>
    <row r="397" spans="1:24" x14ac:dyDescent="0.3">
      <c r="A397">
        <v>18300</v>
      </c>
      <c r="B397" t="s">
        <v>1671</v>
      </c>
      <c r="C397" s="3">
        <v>41797</v>
      </c>
      <c r="D397" t="s">
        <v>50</v>
      </c>
      <c r="E397">
        <v>13</v>
      </c>
      <c r="F397" s="3">
        <f ca="1">41799+(RANDBETWEEN(1,10))</f>
        <v>41803</v>
      </c>
      <c r="G397" t="s">
        <v>26</v>
      </c>
      <c r="H397" t="s">
        <v>27</v>
      </c>
      <c r="I397" t="s">
        <v>52</v>
      </c>
      <c r="J397">
        <v>1105.51</v>
      </c>
      <c r="K397">
        <v>0.03</v>
      </c>
      <c r="L397">
        <v>0.51</v>
      </c>
      <c r="M397">
        <v>26.53</v>
      </c>
      <c r="N397">
        <v>810.18</v>
      </c>
      <c r="O397" s="1" t="s">
        <v>87</v>
      </c>
      <c r="P397" s="1" t="s">
        <v>1672</v>
      </c>
      <c r="Q397" s="1" t="s">
        <v>1673</v>
      </c>
      <c r="R397" s="1" t="s">
        <v>398</v>
      </c>
      <c r="S397" s="1" t="s">
        <v>1674</v>
      </c>
      <c r="T397" s="1" t="s">
        <v>1675</v>
      </c>
      <c r="U397" s="2" t="s">
        <v>1676</v>
      </c>
      <c r="V397" s="2" t="s">
        <v>83</v>
      </c>
      <c r="W397" s="2" t="s">
        <v>178</v>
      </c>
      <c r="X397" s="2">
        <v>80.430000000000007</v>
      </c>
    </row>
    <row r="398" spans="1:24" x14ac:dyDescent="0.3">
      <c r="A398">
        <v>18301</v>
      </c>
      <c r="B398" t="s">
        <v>1677</v>
      </c>
      <c r="C398" s="3">
        <v>41155</v>
      </c>
      <c r="D398" t="s">
        <v>62</v>
      </c>
      <c r="E398">
        <v>3</v>
      </c>
      <c r="F398" s="3">
        <f ca="1">41157+(RANDBETWEEN(1,10))</f>
        <v>41167</v>
      </c>
      <c r="G398" t="s">
        <v>26</v>
      </c>
      <c r="H398" t="s">
        <v>27</v>
      </c>
      <c r="I398" t="s">
        <v>86</v>
      </c>
      <c r="J398">
        <v>99.61</v>
      </c>
      <c r="K398">
        <v>0.05</v>
      </c>
      <c r="L398">
        <v>0.38</v>
      </c>
      <c r="M398">
        <v>29.015000000000001</v>
      </c>
      <c r="N398">
        <v>-113.22499999999999</v>
      </c>
      <c r="O398" s="1" t="s">
        <v>87</v>
      </c>
      <c r="P398" s="1" t="s">
        <v>1678</v>
      </c>
      <c r="Q398" s="1" t="s">
        <v>1679</v>
      </c>
      <c r="R398" s="1" t="s">
        <v>90</v>
      </c>
      <c r="S398" s="1" t="s">
        <v>1680</v>
      </c>
      <c r="T398" s="1" t="s">
        <v>1681</v>
      </c>
      <c r="U398" s="2" t="s">
        <v>1682</v>
      </c>
      <c r="V398" s="2" t="s">
        <v>47</v>
      </c>
      <c r="W398" s="2" t="s">
        <v>48</v>
      </c>
      <c r="X398" s="2">
        <v>30.59</v>
      </c>
    </row>
    <row r="399" spans="1:24" x14ac:dyDescent="0.3">
      <c r="A399">
        <v>18302</v>
      </c>
      <c r="B399" t="s">
        <v>1683</v>
      </c>
      <c r="C399" s="3">
        <v>40984</v>
      </c>
      <c r="D399" t="s">
        <v>39</v>
      </c>
      <c r="E399">
        <v>4</v>
      </c>
      <c r="F399" s="3">
        <f ca="1">40986+(RANDBETWEEN(1,10))</f>
        <v>40989</v>
      </c>
      <c r="G399" t="s">
        <v>26</v>
      </c>
      <c r="H399" t="s">
        <v>27</v>
      </c>
      <c r="I399" t="s">
        <v>28</v>
      </c>
      <c r="J399">
        <v>606.13</v>
      </c>
      <c r="K399">
        <v>0.01</v>
      </c>
      <c r="L399">
        <v>0.36</v>
      </c>
      <c r="M399">
        <v>61.18</v>
      </c>
      <c r="N399">
        <v>332.39499999999998</v>
      </c>
      <c r="O399" s="1" t="s">
        <v>64</v>
      </c>
      <c r="P399" s="1" t="s">
        <v>1684</v>
      </c>
      <c r="Q399" s="1" t="s">
        <v>1685</v>
      </c>
      <c r="R399" s="1" t="s">
        <v>128</v>
      </c>
      <c r="S399" s="1" t="s">
        <v>1686</v>
      </c>
      <c r="T399" s="1" t="s">
        <v>1687</v>
      </c>
      <c r="U399" s="2" t="s">
        <v>1688</v>
      </c>
      <c r="V399" s="2" t="s">
        <v>47</v>
      </c>
      <c r="W399" s="2" t="s">
        <v>74</v>
      </c>
      <c r="X399" s="2">
        <v>143.465</v>
      </c>
    </row>
    <row r="400" spans="1:24" x14ac:dyDescent="0.3">
      <c r="A400">
        <v>18303</v>
      </c>
      <c r="B400" t="s">
        <v>1689</v>
      </c>
      <c r="C400" s="3">
        <v>40834</v>
      </c>
      <c r="D400" t="s">
        <v>62</v>
      </c>
      <c r="E400">
        <v>11</v>
      </c>
      <c r="F400" s="3">
        <f ca="1">40836+(RANDBETWEEN(1,10))</f>
        <v>40842</v>
      </c>
      <c r="G400" t="s">
        <v>156</v>
      </c>
      <c r="H400" t="s">
        <v>27</v>
      </c>
      <c r="I400" t="s">
        <v>28</v>
      </c>
      <c r="J400">
        <v>2264.395</v>
      </c>
      <c r="K400">
        <v>0.01</v>
      </c>
      <c r="L400">
        <v>0.36</v>
      </c>
      <c r="M400">
        <v>17.010000000000002</v>
      </c>
      <c r="N400">
        <v>115.29315</v>
      </c>
      <c r="O400" s="1" t="s">
        <v>29</v>
      </c>
      <c r="P400" s="1" t="s">
        <v>1591</v>
      </c>
      <c r="Q400" s="1" t="s">
        <v>1592</v>
      </c>
      <c r="R400" s="1" t="s">
        <v>460</v>
      </c>
      <c r="S400" s="1" t="s">
        <v>1593</v>
      </c>
      <c r="T400" s="1" t="s">
        <v>1594</v>
      </c>
      <c r="U400" s="2" t="s">
        <v>1690</v>
      </c>
      <c r="V400" s="2" t="s">
        <v>47</v>
      </c>
      <c r="W400" s="2" t="s">
        <v>74</v>
      </c>
      <c r="X400" s="2">
        <v>195.93</v>
      </c>
    </row>
    <row r="401" spans="1:24" x14ac:dyDescent="0.3">
      <c r="A401">
        <v>18304</v>
      </c>
      <c r="B401" t="s">
        <v>1689</v>
      </c>
      <c r="C401" s="3">
        <v>40834</v>
      </c>
      <c r="D401" t="s">
        <v>62</v>
      </c>
      <c r="E401">
        <v>17</v>
      </c>
      <c r="F401" s="3">
        <f ca="1">40835+(RANDBETWEEN(1,10))</f>
        <v>40840</v>
      </c>
      <c r="G401" t="s">
        <v>26</v>
      </c>
      <c r="H401" t="s">
        <v>27</v>
      </c>
      <c r="I401" t="s">
        <v>28</v>
      </c>
      <c r="J401">
        <v>3312.0149999999999</v>
      </c>
      <c r="K401">
        <v>0.04</v>
      </c>
      <c r="L401">
        <v>0.56000000000000005</v>
      </c>
      <c r="M401">
        <v>31.465</v>
      </c>
      <c r="N401">
        <v>459.66899999999998</v>
      </c>
      <c r="O401" s="1" t="s">
        <v>29</v>
      </c>
      <c r="P401" s="1" t="s">
        <v>1591</v>
      </c>
      <c r="Q401" s="1" t="s">
        <v>1592</v>
      </c>
      <c r="R401" s="1" t="s">
        <v>460</v>
      </c>
      <c r="S401" s="1" t="s">
        <v>1593</v>
      </c>
      <c r="T401" s="1" t="s">
        <v>1594</v>
      </c>
      <c r="U401" s="2" t="s">
        <v>164</v>
      </c>
      <c r="V401" s="2" t="s">
        <v>36</v>
      </c>
      <c r="W401" s="2" t="s">
        <v>37</v>
      </c>
      <c r="X401" s="2">
        <v>230.965</v>
      </c>
    </row>
    <row r="402" spans="1:24" x14ac:dyDescent="0.3">
      <c r="A402">
        <v>18305</v>
      </c>
      <c r="B402" t="s">
        <v>1689</v>
      </c>
      <c r="C402" s="3">
        <v>40834</v>
      </c>
      <c r="D402" t="s">
        <v>62</v>
      </c>
      <c r="E402">
        <v>4</v>
      </c>
      <c r="F402" s="3">
        <f ca="1">40837+(RANDBETWEEN(1,10))</f>
        <v>40841</v>
      </c>
      <c r="G402" t="s">
        <v>26</v>
      </c>
      <c r="H402" t="s">
        <v>281</v>
      </c>
      <c r="I402" t="s">
        <v>28</v>
      </c>
      <c r="J402">
        <v>1939.28</v>
      </c>
      <c r="K402">
        <v>0.01</v>
      </c>
      <c r="L402" t="s">
        <v>182</v>
      </c>
      <c r="M402">
        <v>44.274999999999999</v>
      </c>
      <c r="N402">
        <v>490.47390000000001</v>
      </c>
      <c r="O402" s="1" t="s">
        <v>53</v>
      </c>
      <c r="P402" s="1" t="s">
        <v>1691</v>
      </c>
      <c r="Q402" s="1" t="s">
        <v>1692</v>
      </c>
      <c r="R402" s="1" t="s">
        <v>440</v>
      </c>
      <c r="S402" s="1" t="s">
        <v>1693</v>
      </c>
      <c r="T402" s="1" t="s">
        <v>1694</v>
      </c>
      <c r="U402" s="2" t="s">
        <v>1695</v>
      </c>
      <c r="V402" s="2" t="s">
        <v>83</v>
      </c>
      <c r="W402" s="2" t="s">
        <v>84</v>
      </c>
      <c r="X402" s="2">
        <v>448.84</v>
      </c>
    </row>
    <row r="403" spans="1:24" x14ac:dyDescent="0.3">
      <c r="A403">
        <v>18306</v>
      </c>
      <c r="B403" t="s">
        <v>1696</v>
      </c>
      <c r="C403" s="3">
        <v>40630</v>
      </c>
      <c r="D403" t="s">
        <v>148</v>
      </c>
      <c r="E403">
        <v>10</v>
      </c>
      <c r="F403" s="3">
        <f ca="1">40630+(RANDBETWEEN(1,10))</f>
        <v>40633</v>
      </c>
      <c r="G403" t="s">
        <v>26</v>
      </c>
      <c r="H403" t="s">
        <v>27</v>
      </c>
      <c r="I403" t="s">
        <v>28</v>
      </c>
      <c r="J403">
        <v>5202.1899999999996</v>
      </c>
      <c r="K403">
        <v>0.08</v>
      </c>
      <c r="L403">
        <v>0.59</v>
      </c>
      <c r="M403">
        <v>17.465</v>
      </c>
      <c r="N403">
        <v>-57668.932999999997</v>
      </c>
      <c r="O403" s="1" t="s">
        <v>87</v>
      </c>
      <c r="P403" s="1" t="s">
        <v>1697</v>
      </c>
      <c r="Q403" s="1" t="s">
        <v>1698</v>
      </c>
      <c r="R403" s="1" t="s">
        <v>90</v>
      </c>
      <c r="S403" s="1" t="s">
        <v>1699</v>
      </c>
      <c r="T403" s="1" t="s">
        <v>1700</v>
      </c>
      <c r="U403" s="2">
        <v>5165</v>
      </c>
      <c r="V403" s="2" t="s">
        <v>36</v>
      </c>
      <c r="W403" s="2" t="s">
        <v>37</v>
      </c>
      <c r="X403" s="2">
        <v>615.96500000000003</v>
      </c>
    </row>
    <row r="404" spans="1:24" x14ac:dyDescent="0.3">
      <c r="A404">
        <v>18307</v>
      </c>
      <c r="B404" t="s">
        <v>1701</v>
      </c>
      <c r="C404" s="3">
        <v>41895</v>
      </c>
      <c r="D404" t="s">
        <v>50</v>
      </c>
      <c r="E404">
        <v>22</v>
      </c>
      <c r="F404" s="3">
        <f ca="1">41896+(RANDBETWEEN(1,10))</f>
        <v>41900</v>
      </c>
      <c r="G404" t="s">
        <v>26</v>
      </c>
      <c r="H404" t="s">
        <v>27</v>
      </c>
      <c r="I404" t="s">
        <v>86</v>
      </c>
      <c r="J404">
        <v>11477.06</v>
      </c>
      <c r="K404">
        <v>0.06</v>
      </c>
      <c r="L404">
        <v>0.59</v>
      </c>
      <c r="M404">
        <v>17.465</v>
      </c>
      <c r="N404">
        <v>6286.4537399999999</v>
      </c>
      <c r="O404" s="1" t="s">
        <v>29</v>
      </c>
      <c r="P404" s="1" t="s">
        <v>1666</v>
      </c>
      <c r="Q404" s="1" t="s">
        <v>1667</v>
      </c>
      <c r="R404" s="1" t="s">
        <v>32</v>
      </c>
      <c r="S404" s="1" t="s">
        <v>1668</v>
      </c>
      <c r="T404" s="1" t="s">
        <v>1669</v>
      </c>
      <c r="U404" s="2">
        <v>5165</v>
      </c>
      <c r="V404" s="2" t="s">
        <v>36</v>
      </c>
      <c r="W404" s="2" t="s">
        <v>37</v>
      </c>
      <c r="X404" s="2">
        <v>615.96500000000003</v>
      </c>
    </row>
    <row r="405" spans="1:24" x14ac:dyDescent="0.3">
      <c r="A405">
        <v>18308</v>
      </c>
      <c r="B405" t="s">
        <v>1701</v>
      </c>
      <c r="C405" s="3">
        <v>41895</v>
      </c>
      <c r="D405" t="s">
        <v>50</v>
      </c>
      <c r="E405">
        <v>23</v>
      </c>
      <c r="F405" s="3">
        <f ca="1">41897+(RANDBETWEEN(1,10))</f>
        <v>41900</v>
      </c>
      <c r="G405" t="s">
        <v>26</v>
      </c>
      <c r="H405" t="s">
        <v>27</v>
      </c>
      <c r="I405" t="s">
        <v>86</v>
      </c>
      <c r="J405">
        <v>208.04</v>
      </c>
      <c r="K405">
        <v>7.0000000000000007E-2</v>
      </c>
      <c r="L405">
        <v>0.39</v>
      </c>
      <c r="M405">
        <v>1.75</v>
      </c>
      <c r="N405">
        <v>143.54759999999999</v>
      </c>
      <c r="O405" s="1" t="s">
        <v>64</v>
      </c>
      <c r="P405" s="1" t="s">
        <v>1702</v>
      </c>
      <c r="Q405" s="1" t="s">
        <v>1703</v>
      </c>
      <c r="R405" s="1" t="s">
        <v>67</v>
      </c>
      <c r="S405" s="1" t="s">
        <v>1704</v>
      </c>
      <c r="T405" s="1" t="s">
        <v>1705</v>
      </c>
      <c r="U405" s="2" t="s">
        <v>1706</v>
      </c>
      <c r="V405" s="2" t="s">
        <v>47</v>
      </c>
      <c r="W405" s="2" t="s">
        <v>203</v>
      </c>
      <c r="X405" s="2">
        <v>9.1349999999999998</v>
      </c>
    </row>
    <row r="406" spans="1:24" x14ac:dyDescent="0.3">
      <c r="A406">
        <v>18309</v>
      </c>
      <c r="B406" t="s">
        <v>1707</v>
      </c>
      <c r="C406" s="3">
        <v>41887</v>
      </c>
      <c r="D406" t="s">
        <v>50</v>
      </c>
      <c r="E406">
        <v>8</v>
      </c>
      <c r="F406" s="3">
        <f ca="1">41889+(RANDBETWEEN(1,10))</f>
        <v>41892</v>
      </c>
      <c r="G406" t="s">
        <v>156</v>
      </c>
      <c r="H406" t="s">
        <v>27</v>
      </c>
      <c r="I406" t="s">
        <v>97</v>
      </c>
      <c r="J406">
        <v>1129.52</v>
      </c>
      <c r="K406">
        <v>0.04</v>
      </c>
      <c r="L406">
        <v>0.56999999999999995</v>
      </c>
      <c r="M406">
        <v>18.655000000000001</v>
      </c>
      <c r="N406">
        <v>350.8218</v>
      </c>
      <c r="O406" s="1" t="s">
        <v>87</v>
      </c>
      <c r="P406" s="1" t="s">
        <v>1708</v>
      </c>
      <c r="Q406" s="1" t="s">
        <v>1709</v>
      </c>
      <c r="R406" s="1" t="s">
        <v>398</v>
      </c>
      <c r="S406" s="1" t="s">
        <v>1710</v>
      </c>
      <c r="T406" s="1" t="s">
        <v>1711</v>
      </c>
      <c r="U406" s="2" t="s">
        <v>1712</v>
      </c>
      <c r="V406" s="2" t="s">
        <v>47</v>
      </c>
      <c r="W406" s="2" t="s">
        <v>71</v>
      </c>
      <c r="X406" s="2">
        <v>143.43</v>
      </c>
    </row>
    <row r="407" spans="1:24" x14ac:dyDescent="0.3">
      <c r="A407">
        <v>18310</v>
      </c>
      <c r="B407" t="s">
        <v>1713</v>
      </c>
      <c r="C407" s="3">
        <v>40980</v>
      </c>
      <c r="D407" t="s">
        <v>25</v>
      </c>
      <c r="E407">
        <v>1</v>
      </c>
      <c r="F407" s="3">
        <f ca="1">40984+(RANDBETWEEN(1,10))</f>
        <v>40991</v>
      </c>
      <c r="G407" t="s">
        <v>26</v>
      </c>
      <c r="H407" t="s">
        <v>27</v>
      </c>
      <c r="I407" t="s">
        <v>52</v>
      </c>
      <c r="J407">
        <v>38.115000000000002</v>
      </c>
      <c r="K407">
        <v>0.01</v>
      </c>
      <c r="L407">
        <v>0.56999999999999995</v>
      </c>
      <c r="M407">
        <v>17.254999999999999</v>
      </c>
      <c r="N407">
        <v>-220.99</v>
      </c>
      <c r="O407" s="1" t="s">
        <v>29</v>
      </c>
      <c r="P407" s="1" t="s">
        <v>1714</v>
      </c>
      <c r="Q407" s="1" t="s">
        <v>1715</v>
      </c>
      <c r="R407" s="1" t="s">
        <v>460</v>
      </c>
      <c r="S407" s="1" t="s">
        <v>1716</v>
      </c>
      <c r="T407" s="1" t="s">
        <v>1717</v>
      </c>
      <c r="U407" s="2" t="s">
        <v>1718</v>
      </c>
      <c r="V407" s="2" t="s">
        <v>83</v>
      </c>
      <c r="W407" s="2" t="s">
        <v>178</v>
      </c>
      <c r="X407" s="2">
        <v>32.83</v>
      </c>
    </row>
    <row r="408" spans="1:24" x14ac:dyDescent="0.3">
      <c r="A408">
        <v>18311</v>
      </c>
      <c r="B408" t="s">
        <v>1719</v>
      </c>
      <c r="C408" s="3">
        <v>40696</v>
      </c>
      <c r="D408" t="s">
        <v>148</v>
      </c>
      <c r="E408">
        <v>8</v>
      </c>
      <c r="F408" s="3">
        <f ca="1">40698+(RANDBETWEEN(1,10))</f>
        <v>40699</v>
      </c>
      <c r="G408" t="s">
        <v>76</v>
      </c>
      <c r="H408" t="s">
        <v>258</v>
      </c>
      <c r="I408" t="s">
        <v>28</v>
      </c>
      <c r="J408">
        <v>5207.6499999999996</v>
      </c>
      <c r="K408">
        <v>0.01</v>
      </c>
      <c r="L408">
        <v>0.76</v>
      </c>
      <c r="M408">
        <v>102.235</v>
      </c>
      <c r="N408">
        <v>232.26777000000001</v>
      </c>
      <c r="O408" s="1" t="s">
        <v>53</v>
      </c>
      <c r="P408" s="1" t="s">
        <v>1720</v>
      </c>
      <c r="Q408" s="1" t="s">
        <v>1721</v>
      </c>
      <c r="R408" s="1" t="s">
        <v>56</v>
      </c>
      <c r="S408" s="1" t="s">
        <v>1722</v>
      </c>
      <c r="T408" s="1" t="s">
        <v>1723</v>
      </c>
      <c r="U408" s="2" t="s">
        <v>1724</v>
      </c>
      <c r="V408" s="2" t="s">
        <v>83</v>
      </c>
      <c r="W408" s="2" t="s">
        <v>263</v>
      </c>
      <c r="X408" s="2">
        <v>627.51499999999999</v>
      </c>
    </row>
    <row r="409" spans="1:24" x14ac:dyDescent="0.3">
      <c r="A409">
        <v>18312</v>
      </c>
      <c r="B409" t="s">
        <v>1725</v>
      </c>
      <c r="C409" s="3">
        <v>41529</v>
      </c>
      <c r="D409" t="s">
        <v>148</v>
      </c>
      <c r="E409">
        <v>20</v>
      </c>
      <c r="F409" s="3">
        <f ca="1">41529+(RANDBETWEEN(1,10))</f>
        <v>41534</v>
      </c>
      <c r="G409" t="s">
        <v>26</v>
      </c>
      <c r="H409" t="s">
        <v>27</v>
      </c>
      <c r="I409" t="s">
        <v>97</v>
      </c>
      <c r="J409">
        <v>179.48</v>
      </c>
      <c r="K409">
        <v>0.06</v>
      </c>
      <c r="L409">
        <v>0.39</v>
      </c>
      <c r="M409">
        <v>1.75</v>
      </c>
      <c r="N409">
        <v>123.8412</v>
      </c>
      <c r="O409" s="1" t="s">
        <v>40</v>
      </c>
      <c r="P409" s="1" t="s">
        <v>1083</v>
      </c>
      <c r="Q409" s="1" t="s">
        <v>1084</v>
      </c>
      <c r="R409" s="1" t="s">
        <v>220</v>
      </c>
      <c r="S409" s="1" t="s">
        <v>1085</v>
      </c>
      <c r="T409" s="1" t="s">
        <v>1086</v>
      </c>
      <c r="U409" s="2" t="s">
        <v>1726</v>
      </c>
      <c r="V409" s="2" t="s">
        <v>47</v>
      </c>
      <c r="W409" s="2" t="s">
        <v>203</v>
      </c>
      <c r="X409" s="2">
        <v>9.1349999999999998</v>
      </c>
    </row>
    <row r="410" spans="1:24" x14ac:dyDescent="0.3">
      <c r="A410">
        <v>18313</v>
      </c>
      <c r="B410" t="s">
        <v>1725</v>
      </c>
      <c r="C410" s="3">
        <v>41529</v>
      </c>
      <c r="D410" t="s">
        <v>148</v>
      </c>
      <c r="E410">
        <v>1</v>
      </c>
      <c r="F410" s="3">
        <f ca="1">41531+(RANDBETWEEN(1,10))</f>
        <v>41541</v>
      </c>
      <c r="G410" t="s">
        <v>156</v>
      </c>
      <c r="H410" t="s">
        <v>96</v>
      </c>
      <c r="I410" t="s">
        <v>97</v>
      </c>
      <c r="J410">
        <v>18.515000000000001</v>
      </c>
      <c r="K410">
        <v>0.01</v>
      </c>
      <c r="L410">
        <v>0.39</v>
      </c>
      <c r="M410">
        <v>2.66</v>
      </c>
      <c r="N410">
        <v>8.8550000000000004</v>
      </c>
      <c r="O410" s="1" t="s">
        <v>225</v>
      </c>
      <c r="P410" s="1" t="s">
        <v>1727</v>
      </c>
      <c r="Q410" s="1" t="s">
        <v>1728</v>
      </c>
      <c r="R410" s="1" t="s">
        <v>228</v>
      </c>
      <c r="S410" s="1" t="s">
        <v>1729</v>
      </c>
      <c r="T410" s="1" t="s">
        <v>1659</v>
      </c>
      <c r="U410" s="2" t="s">
        <v>1730</v>
      </c>
      <c r="V410" s="2" t="s">
        <v>47</v>
      </c>
      <c r="W410" s="2" t="s">
        <v>176</v>
      </c>
      <c r="X410" s="2">
        <v>12.215</v>
      </c>
    </row>
    <row r="411" spans="1:24" x14ac:dyDescent="0.3">
      <c r="A411">
        <v>18314</v>
      </c>
      <c r="B411" t="s">
        <v>1731</v>
      </c>
      <c r="C411" s="3">
        <v>41394</v>
      </c>
      <c r="D411" t="s">
        <v>50</v>
      </c>
      <c r="E411">
        <v>2</v>
      </c>
      <c r="F411" s="3">
        <f ca="1">41396+(RANDBETWEEN(1,10))</f>
        <v>41397</v>
      </c>
      <c r="G411" t="s">
        <v>26</v>
      </c>
      <c r="H411" t="s">
        <v>27</v>
      </c>
      <c r="I411" t="s">
        <v>97</v>
      </c>
      <c r="J411">
        <v>82.075000000000003</v>
      </c>
      <c r="K411">
        <v>7.0000000000000007E-2</v>
      </c>
      <c r="L411">
        <v>0.4</v>
      </c>
      <c r="M411">
        <v>25.164999999999999</v>
      </c>
      <c r="N411">
        <v>-94.466750000000005</v>
      </c>
      <c r="O411" s="1" t="s">
        <v>53</v>
      </c>
      <c r="P411" s="1" t="s">
        <v>1732</v>
      </c>
      <c r="Q411" s="1" t="s">
        <v>1733</v>
      </c>
      <c r="R411" s="1" t="s">
        <v>100</v>
      </c>
      <c r="S411" s="1" t="s">
        <v>1734</v>
      </c>
      <c r="T411" s="1" t="s">
        <v>1735</v>
      </c>
      <c r="U411" s="2" t="s">
        <v>1736</v>
      </c>
      <c r="V411" s="2" t="s">
        <v>47</v>
      </c>
      <c r="W411" s="2" t="s">
        <v>111</v>
      </c>
      <c r="X411" s="2">
        <v>40.25</v>
      </c>
    </row>
    <row r="412" spans="1:24" x14ac:dyDescent="0.3">
      <c r="A412">
        <v>18315</v>
      </c>
      <c r="B412" t="s">
        <v>1731</v>
      </c>
      <c r="C412" s="3">
        <v>41394</v>
      </c>
      <c r="D412" t="s">
        <v>50</v>
      </c>
      <c r="E412">
        <v>11</v>
      </c>
      <c r="F412" s="3">
        <f ca="1">41395+(RANDBETWEEN(1,10))</f>
        <v>41397</v>
      </c>
      <c r="G412" t="s">
        <v>26</v>
      </c>
      <c r="H412" t="s">
        <v>63</v>
      </c>
      <c r="I412" t="s">
        <v>97</v>
      </c>
      <c r="J412">
        <v>21861.49</v>
      </c>
      <c r="K412">
        <v>0.09</v>
      </c>
      <c r="L412">
        <v>0.37</v>
      </c>
      <c r="M412">
        <v>85.715000000000003</v>
      </c>
      <c r="N412">
        <v>15084.428099999999</v>
      </c>
      <c r="O412" s="1" t="s">
        <v>53</v>
      </c>
      <c r="P412" s="1" t="s">
        <v>1732</v>
      </c>
      <c r="Q412" s="1" t="s">
        <v>1733</v>
      </c>
      <c r="R412" s="1" t="s">
        <v>100</v>
      </c>
      <c r="S412" s="1" t="s">
        <v>1734</v>
      </c>
      <c r="T412" s="1" t="s">
        <v>1735</v>
      </c>
      <c r="U412" s="2" t="s">
        <v>1737</v>
      </c>
      <c r="V412" s="2" t="s">
        <v>36</v>
      </c>
      <c r="W412" s="2" t="s">
        <v>1327</v>
      </c>
      <c r="X412" s="2">
        <v>2099.9650000000001</v>
      </c>
    </row>
    <row r="413" spans="1:24" x14ac:dyDescent="0.3">
      <c r="A413">
        <v>18316</v>
      </c>
      <c r="B413" t="s">
        <v>1738</v>
      </c>
      <c r="C413" s="3">
        <v>41829</v>
      </c>
      <c r="D413" t="s">
        <v>39</v>
      </c>
      <c r="E413">
        <v>9</v>
      </c>
      <c r="F413" s="3">
        <f ca="1">41831+(RANDBETWEEN(1,10))</f>
        <v>41838</v>
      </c>
      <c r="G413" t="s">
        <v>76</v>
      </c>
      <c r="H413" t="s">
        <v>77</v>
      </c>
      <c r="I413" t="s">
        <v>52</v>
      </c>
      <c r="J413">
        <v>10988.53</v>
      </c>
      <c r="K413">
        <v>0</v>
      </c>
      <c r="L413">
        <v>0.56999999999999995</v>
      </c>
      <c r="M413">
        <v>206.32499999999999</v>
      </c>
      <c r="N413">
        <v>7582.0856999999996</v>
      </c>
      <c r="O413" s="1" t="s">
        <v>40</v>
      </c>
      <c r="P413" s="1" t="s">
        <v>1739</v>
      </c>
      <c r="Q413" s="1" t="s">
        <v>1740</v>
      </c>
      <c r="R413" s="1" t="s">
        <v>43</v>
      </c>
      <c r="S413" s="1" t="s">
        <v>1741</v>
      </c>
      <c r="T413" s="1" t="s">
        <v>1742</v>
      </c>
      <c r="U413" s="2" t="s">
        <v>850</v>
      </c>
      <c r="V413" s="2" t="s">
        <v>83</v>
      </c>
      <c r="W413" s="2" t="s">
        <v>84</v>
      </c>
      <c r="X413" s="2">
        <v>1123.43</v>
      </c>
    </row>
    <row r="414" spans="1:24" x14ac:dyDescent="0.3">
      <c r="A414">
        <v>18317</v>
      </c>
      <c r="B414" t="s">
        <v>1738</v>
      </c>
      <c r="C414" s="3">
        <v>41829</v>
      </c>
      <c r="D414" t="s">
        <v>39</v>
      </c>
      <c r="E414">
        <v>1</v>
      </c>
      <c r="F414" s="3">
        <f ca="1">41830+(RANDBETWEEN(1,10))</f>
        <v>41835</v>
      </c>
      <c r="G414" t="s">
        <v>26</v>
      </c>
      <c r="H414" t="s">
        <v>96</v>
      </c>
      <c r="I414" t="s">
        <v>52</v>
      </c>
      <c r="J414">
        <v>19.88</v>
      </c>
      <c r="K414">
        <v>0.02</v>
      </c>
      <c r="L414">
        <v>0.39</v>
      </c>
      <c r="M414">
        <v>3.08</v>
      </c>
      <c r="N414">
        <v>-5.8094400000000004</v>
      </c>
      <c r="O414" s="1" t="s">
        <v>40</v>
      </c>
      <c r="P414" s="1" t="s">
        <v>1739</v>
      </c>
      <c r="Q414" s="1" t="s">
        <v>1740</v>
      </c>
      <c r="R414" s="1" t="s">
        <v>43</v>
      </c>
      <c r="S414" s="1" t="s">
        <v>1741</v>
      </c>
      <c r="T414" s="1" t="s">
        <v>1742</v>
      </c>
      <c r="U414" s="2" t="s">
        <v>1743</v>
      </c>
      <c r="V414" s="2" t="s">
        <v>47</v>
      </c>
      <c r="W414" s="2" t="s">
        <v>74</v>
      </c>
      <c r="X414" s="2">
        <v>16.66</v>
      </c>
    </row>
    <row r="415" spans="1:24" x14ac:dyDescent="0.3">
      <c r="A415">
        <v>18318</v>
      </c>
      <c r="B415" t="s">
        <v>1738</v>
      </c>
      <c r="C415" s="3">
        <v>41829</v>
      </c>
      <c r="D415" t="s">
        <v>39</v>
      </c>
      <c r="E415">
        <v>15</v>
      </c>
      <c r="F415" s="3">
        <f ca="1">41829+(RANDBETWEEN(1,10))</f>
        <v>41830</v>
      </c>
      <c r="G415" t="s">
        <v>26</v>
      </c>
      <c r="H415" t="s">
        <v>96</v>
      </c>
      <c r="I415" t="s">
        <v>52</v>
      </c>
      <c r="J415">
        <v>218.22499999999999</v>
      </c>
      <c r="K415">
        <v>0.08</v>
      </c>
      <c r="L415">
        <v>0.56000000000000005</v>
      </c>
      <c r="M415">
        <v>3.29</v>
      </c>
      <c r="N415">
        <v>98.55104</v>
      </c>
      <c r="O415" s="1" t="s">
        <v>40</v>
      </c>
      <c r="P415" s="1" t="s">
        <v>1739</v>
      </c>
      <c r="Q415" s="1" t="s">
        <v>1740</v>
      </c>
      <c r="R415" s="1" t="s">
        <v>43</v>
      </c>
      <c r="S415" s="1" t="s">
        <v>1741</v>
      </c>
      <c r="T415" s="1" t="s">
        <v>1742</v>
      </c>
      <c r="U415" s="2" t="s">
        <v>331</v>
      </c>
      <c r="V415" s="2" t="s">
        <v>47</v>
      </c>
      <c r="W415" s="2" t="s">
        <v>104</v>
      </c>
      <c r="X415" s="2">
        <v>14.98</v>
      </c>
    </row>
    <row r="416" spans="1:24" x14ac:dyDescent="0.3">
      <c r="A416">
        <v>18319</v>
      </c>
      <c r="B416" t="s">
        <v>1738</v>
      </c>
      <c r="C416" s="3">
        <v>41829</v>
      </c>
      <c r="D416" t="s">
        <v>39</v>
      </c>
      <c r="E416">
        <v>5</v>
      </c>
      <c r="F416" s="3">
        <f ca="1">41830+(RANDBETWEEN(1,10))</f>
        <v>41835</v>
      </c>
      <c r="G416" t="s">
        <v>26</v>
      </c>
      <c r="H416" t="s">
        <v>27</v>
      </c>
      <c r="I416" t="s">
        <v>52</v>
      </c>
      <c r="J416">
        <v>1703.5550000000001</v>
      </c>
      <c r="K416">
        <v>0.1</v>
      </c>
      <c r="L416">
        <v>0.59</v>
      </c>
      <c r="M416">
        <v>10.5</v>
      </c>
      <c r="N416">
        <v>-514.28546400000005</v>
      </c>
      <c r="O416" s="1" t="s">
        <v>40</v>
      </c>
      <c r="P416" s="1" t="s">
        <v>1739</v>
      </c>
      <c r="Q416" s="1" t="s">
        <v>1740</v>
      </c>
      <c r="R416" s="1" t="s">
        <v>43</v>
      </c>
      <c r="S416" s="1" t="s">
        <v>1741</v>
      </c>
      <c r="T416" s="1" t="s">
        <v>1742</v>
      </c>
      <c r="U416" s="2" t="s">
        <v>1744</v>
      </c>
      <c r="V416" s="2" t="s">
        <v>36</v>
      </c>
      <c r="W416" s="2" t="s">
        <v>37</v>
      </c>
      <c r="X416" s="2">
        <v>440.96499999999997</v>
      </c>
    </row>
    <row r="417" spans="1:24" x14ac:dyDescent="0.3">
      <c r="A417">
        <v>18320</v>
      </c>
      <c r="B417" t="s">
        <v>1745</v>
      </c>
      <c r="C417" s="3">
        <v>40723</v>
      </c>
      <c r="D417" t="s">
        <v>39</v>
      </c>
      <c r="E417">
        <v>8</v>
      </c>
      <c r="F417" s="3">
        <f ca="1">40724+(RANDBETWEEN(1,10))</f>
        <v>40727</v>
      </c>
      <c r="G417" t="s">
        <v>26</v>
      </c>
      <c r="H417" t="s">
        <v>27</v>
      </c>
      <c r="I417" t="s">
        <v>97</v>
      </c>
      <c r="J417">
        <v>2101.4</v>
      </c>
      <c r="K417">
        <v>0.05</v>
      </c>
      <c r="L417">
        <v>0.67</v>
      </c>
      <c r="M417">
        <v>42.49</v>
      </c>
      <c r="N417">
        <v>-6.6639999999999997</v>
      </c>
      <c r="O417" s="1" t="s">
        <v>53</v>
      </c>
      <c r="P417" s="1" t="s">
        <v>1720</v>
      </c>
      <c r="Q417" s="1" t="s">
        <v>1721</v>
      </c>
      <c r="R417" s="1" t="s">
        <v>56</v>
      </c>
      <c r="S417" s="1" t="s">
        <v>1722</v>
      </c>
      <c r="T417" s="1" t="s">
        <v>1723</v>
      </c>
      <c r="U417" s="2" t="s">
        <v>1651</v>
      </c>
      <c r="V417" s="2" t="s">
        <v>36</v>
      </c>
      <c r="W417" s="2" t="s">
        <v>60</v>
      </c>
      <c r="X417" s="2">
        <v>258.93</v>
      </c>
    </row>
    <row r="418" spans="1:24" x14ac:dyDescent="0.3">
      <c r="A418">
        <v>18321</v>
      </c>
      <c r="B418" t="s">
        <v>1745</v>
      </c>
      <c r="C418" s="3">
        <v>40723</v>
      </c>
      <c r="D418" t="s">
        <v>39</v>
      </c>
      <c r="E418">
        <v>5</v>
      </c>
      <c r="F418" s="3">
        <f ca="1">40725+(RANDBETWEEN(1,10))</f>
        <v>40727</v>
      </c>
      <c r="G418" t="s">
        <v>26</v>
      </c>
      <c r="H418" t="s">
        <v>27</v>
      </c>
      <c r="I418" t="s">
        <v>97</v>
      </c>
      <c r="J418">
        <v>119.875</v>
      </c>
      <c r="K418">
        <v>0</v>
      </c>
      <c r="L418">
        <v>0.36</v>
      </c>
      <c r="M418">
        <v>25.024999999999999</v>
      </c>
      <c r="N418">
        <v>-129.66800000000001</v>
      </c>
      <c r="O418" s="1" t="s">
        <v>53</v>
      </c>
      <c r="P418" s="1" t="s">
        <v>1720</v>
      </c>
      <c r="Q418" s="1" t="s">
        <v>1721</v>
      </c>
      <c r="R418" s="1" t="s">
        <v>56</v>
      </c>
      <c r="S418" s="1" t="s">
        <v>1722</v>
      </c>
      <c r="T418" s="1" t="s">
        <v>1723</v>
      </c>
      <c r="U418" s="2" t="s">
        <v>1746</v>
      </c>
      <c r="V418" s="2" t="s">
        <v>47</v>
      </c>
      <c r="W418" s="2" t="s">
        <v>74</v>
      </c>
      <c r="X418" s="2">
        <v>20.93</v>
      </c>
    </row>
    <row r="419" spans="1:24" x14ac:dyDescent="0.3">
      <c r="A419">
        <v>18322</v>
      </c>
      <c r="B419" t="s">
        <v>1745</v>
      </c>
      <c r="C419" s="3">
        <v>40723</v>
      </c>
      <c r="D419" t="s">
        <v>39</v>
      </c>
      <c r="E419">
        <v>9</v>
      </c>
      <c r="F419" s="3">
        <f ca="1">40725+(RANDBETWEEN(1,10))</f>
        <v>40729</v>
      </c>
      <c r="G419" t="s">
        <v>26</v>
      </c>
      <c r="H419" t="s">
        <v>51</v>
      </c>
      <c r="I419" t="s">
        <v>97</v>
      </c>
      <c r="J419">
        <v>110.075</v>
      </c>
      <c r="K419">
        <v>0.09</v>
      </c>
      <c r="L419">
        <v>0.59</v>
      </c>
      <c r="M419">
        <v>14.595000000000001</v>
      </c>
      <c r="N419">
        <v>-199.108</v>
      </c>
      <c r="O419" s="1" t="s">
        <v>53</v>
      </c>
      <c r="P419" s="1" t="s">
        <v>1720</v>
      </c>
      <c r="Q419" s="1" t="s">
        <v>1721</v>
      </c>
      <c r="R419" s="1" t="s">
        <v>56</v>
      </c>
      <c r="S419" s="1" t="s">
        <v>1722</v>
      </c>
      <c r="T419" s="1" t="s">
        <v>1723</v>
      </c>
      <c r="U419" s="2" t="s">
        <v>1747</v>
      </c>
      <c r="V419" s="2" t="s">
        <v>47</v>
      </c>
      <c r="W419" s="2" t="s">
        <v>104</v>
      </c>
      <c r="X419" s="2">
        <v>12.494999999999999</v>
      </c>
    </row>
    <row r="420" spans="1:24" x14ac:dyDescent="0.3">
      <c r="A420">
        <v>18323</v>
      </c>
      <c r="B420" t="s">
        <v>1748</v>
      </c>
      <c r="C420" s="3">
        <v>40922</v>
      </c>
      <c r="D420" t="s">
        <v>50</v>
      </c>
      <c r="E420">
        <v>2</v>
      </c>
      <c r="F420" s="3">
        <f ca="1">40923+(RANDBETWEEN(1,10))</f>
        <v>40927</v>
      </c>
      <c r="G420" t="s">
        <v>26</v>
      </c>
      <c r="H420" t="s">
        <v>27</v>
      </c>
      <c r="I420" t="s">
        <v>86</v>
      </c>
      <c r="J420">
        <v>47.04</v>
      </c>
      <c r="K420">
        <v>0.08</v>
      </c>
      <c r="L420">
        <v>0.36</v>
      </c>
      <c r="M420">
        <v>28.315000000000001</v>
      </c>
      <c r="N420">
        <v>-140.05179999999999</v>
      </c>
      <c r="O420" s="1" t="s">
        <v>29</v>
      </c>
      <c r="P420" s="1" t="s">
        <v>1606</v>
      </c>
      <c r="Q420" s="1" t="s">
        <v>1607</v>
      </c>
      <c r="R420" s="1" t="s">
        <v>675</v>
      </c>
      <c r="S420" s="1" t="s">
        <v>1608</v>
      </c>
      <c r="T420" s="1" t="s">
        <v>1609</v>
      </c>
      <c r="U420" s="2" t="s">
        <v>1749</v>
      </c>
      <c r="V420" s="2" t="s">
        <v>47</v>
      </c>
      <c r="W420" s="2" t="s">
        <v>74</v>
      </c>
      <c r="X420" s="2">
        <v>20.23</v>
      </c>
    </row>
    <row r="421" spans="1:24" x14ac:dyDescent="0.3">
      <c r="A421">
        <v>18324</v>
      </c>
      <c r="B421" t="s">
        <v>1750</v>
      </c>
      <c r="C421" s="3">
        <v>41703</v>
      </c>
      <c r="D421" t="s">
        <v>50</v>
      </c>
      <c r="E421">
        <v>4</v>
      </c>
      <c r="F421" s="3">
        <f ca="1">41704+(RANDBETWEEN(1,10))</f>
        <v>41714</v>
      </c>
      <c r="G421" t="s">
        <v>26</v>
      </c>
      <c r="H421" t="s">
        <v>27</v>
      </c>
      <c r="I421" t="s">
        <v>52</v>
      </c>
      <c r="J421">
        <v>153.19499999999999</v>
      </c>
      <c r="K421">
        <v>0.01</v>
      </c>
      <c r="L421">
        <v>0.56999999999999995</v>
      </c>
      <c r="M421">
        <v>18.059999999999999</v>
      </c>
      <c r="N421">
        <v>-258.57299999999998</v>
      </c>
      <c r="O421" s="1" t="s">
        <v>29</v>
      </c>
      <c r="P421" s="1" t="s">
        <v>1751</v>
      </c>
      <c r="Q421" s="1" t="s">
        <v>1752</v>
      </c>
      <c r="R421" s="1" t="s">
        <v>460</v>
      </c>
      <c r="S421" s="1" t="s">
        <v>1753</v>
      </c>
      <c r="T421" s="1" t="s">
        <v>1437</v>
      </c>
      <c r="U421" s="2" t="s">
        <v>1754</v>
      </c>
      <c r="V421" s="2" t="s">
        <v>83</v>
      </c>
      <c r="W421" s="2" t="s">
        <v>178</v>
      </c>
      <c r="X421" s="2">
        <v>37.24</v>
      </c>
    </row>
    <row r="422" spans="1:24" x14ac:dyDescent="0.3">
      <c r="A422">
        <v>18325</v>
      </c>
      <c r="B422" t="s">
        <v>1750</v>
      </c>
      <c r="C422" s="3">
        <v>41703</v>
      </c>
      <c r="D422" t="s">
        <v>50</v>
      </c>
      <c r="E422">
        <v>1</v>
      </c>
      <c r="F422" s="3">
        <f ca="1">41704+(RANDBETWEEN(1,10))</f>
        <v>41705</v>
      </c>
      <c r="G422" t="s">
        <v>26</v>
      </c>
      <c r="H422" t="s">
        <v>51</v>
      </c>
      <c r="I422" t="s">
        <v>52</v>
      </c>
      <c r="J422">
        <v>99.715000000000003</v>
      </c>
      <c r="K422">
        <v>0.06</v>
      </c>
      <c r="L422">
        <v>0.55000000000000004</v>
      </c>
      <c r="M422">
        <v>21.594999999999999</v>
      </c>
      <c r="N422">
        <v>-3958.6610000000001</v>
      </c>
      <c r="O422" s="1" t="s">
        <v>29</v>
      </c>
      <c r="P422" s="1" t="s">
        <v>1751</v>
      </c>
      <c r="Q422" s="1" t="s">
        <v>1752</v>
      </c>
      <c r="R422" s="1" t="s">
        <v>460</v>
      </c>
      <c r="S422" s="1" t="s">
        <v>1753</v>
      </c>
      <c r="T422" s="1" t="s">
        <v>1437</v>
      </c>
      <c r="U422" s="2" t="s">
        <v>1755</v>
      </c>
      <c r="V422" s="2" t="s">
        <v>47</v>
      </c>
      <c r="W422" s="2" t="s">
        <v>104</v>
      </c>
      <c r="X422" s="2">
        <v>98.525000000000006</v>
      </c>
    </row>
    <row r="423" spans="1:24" x14ac:dyDescent="0.3">
      <c r="A423">
        <v>18326</v>
      </c>
      <c r="B423" t="s">
        <v>1756</v>
      </c>
      <c r="C423" s="3">
        <v>41039</v>
      </c>
      <c r="D423" t="s">
        <v>62</v>
      </c>
      <c r="E423">
        <v>14</v>
      </c>
      <c r="F423" s="3">
        <f ca="1">41041+(RANDBETWEEN(1,10))</f>
        <v>41047</v>
      </c>
      <c r="G423" t="s">
        <v>26</v>
      </c>
      <c r="H423" t="s">
        <v>27</v>
      </c>
      <c r="I423" t="s">
        <v>52</v>
      </c>
      <c r="J423">
        <v>1247.925</v>
      </c>
      <c r="K423">
        <v>0.04</v>
      </c>
      <c r="L423">
        <v>0.39</v>
      </c>
      <c r="M423">
        <v>10.465</v>
      </c>
      <c r="N423">
        <v>1909.6559999999999</v>
      </c>
      <c r="O423" s="1" t="s">
        <v>29</v>
      </c>
      <c r="P423" s="1" t="s">
        <v>1751</v>
      </c>
      <c r="Q423" s="1" t="s">
        <v>1752</v>
      </c>
      <c r="R423" s="1" t="s">
        <v>460</v>
      </c>
      <c r="S423" s="1" t="s">
        <v>1753</v>
      </c>
      <c r="T423" s="1" t="s">
        <v>1437</v>
      </c>
      <c r="U423" s="2" t="s">
        <v>1757</v>
      </c>
      <c r="V423" s="2" t="s">
        <v>47</v>
      </c>
      <c r="W423" s="2" t="s">
        <v>111</v>
      </c>
      <c r="X423" s="2">
        <v>87.325000000000003</v>
      </c>
    </row>
    <row r="424" spans="1:24" x14ac:dyDescent="0.3">
      <c r="A424">
        <v>18327</v>
      </c>
      <c r="B424" t="s">
        <v>1758</v>
      </c>
      <c r="C424" s="3">
        <v>40916</v>
      </c>
      <c r="D424" t="s">
        <v>62</v>
      </c>
      <c r="E424">
        <v>5</v>
      </c>
      <c r="F424" s="3">
        <f ca="1">40918+(RANDBETWEEN(1,10))</f>
        <v>40920</v>
      </c>
      <c r="G424" t="s">
        <v>156</v>
      </c>
      <c r="H424" t="s">
        <v>27</v>
      </c>
      <c r="I424" t="s">
        <v>52</v>
      </c>
      <c r="J424">
        <v>81.62</v>
      </c>
      <c r="K424">
        <v>0.01</v>
      </c>
      <c r="L424">
        <v>0.38</v>
      </c>
      <c r="M424">
        <v>5.2149999999999999</v>
      </c>
      <c r="N424">
        <v>56.317799999999998</v>
      </c>
      <c r="O424" s="1" t="s">
        <v>87</v>
      </c>
      <c r="P424" s="1" t="s">
        <v>1759</v>
      </c>
      <c r="Q424" s="1" t="s">
        <v>1760</v>
      </c>
      <c r="R424" s="1" t="s">
        <v>646</v>
      </c>
      <c r="S424" s="1" t="s">
        <v>1761</v>
      </c>
      <c r="T424" s="1" t="s">
        <v>1762</v>
      </c>
      <c r="U424" s="2" t="s">
        <v>1763</v>
      </c>
      <c r="V424" s="2" t="s">
        <v>47</v>
      </c>
      <c r="W424" s="2" t="s">
        <v>111</v>
      </c>
      <c r="X424" s="2">
        <v>13.3</v>
      </c>
    </row>
    <row r="425" spans="1:24" x14ac:dyDescent="0.3">
      <c r="A425">
        <v>18328</v>
      </c>
      <c r="B425" t="s">
        <v>1764</v>
      </c>
      <c r="C425" s="3">
        <v>41852</v>
      </c>
      <c r="D425" t="s">
        <v>50</v>
      </c>
      <c r="E425">
        <v>3</v>
      </c>
      <c r="F425" s="3">
        <f ca="1">41854+(RANDBETWEEN(1,10))</f>
        <v>41861</v>
      </c>
      <c r="G425" t="s">
        <v>76</v>
      </c>
      <c r="H425" t="s">
        <v>258</v>
      </c>
      <c r="I425" t="s">
        <v>86</v>
      </c>
      <c r="J425">
        <v>36985.760000000002</v>
      </c>
      <c r="K425">
        <v>0.06</v>
      </c>
      <c r="L425">
        <v>0.56999999999999995</v>
      </c>
      <c r="M425">
        <v>30.555</v>
      </c>
      <c r="N425">
        <v>-6330.8753340000003</v>
      </c>
      <c r="O425" s="1" t="s">
        <v>64</v>
      </c>
      <c r="P425" s="1" t="s">
        <v>1765</v>
      </c>
      <c r="Q425" s="1" t="s">
        <v>1766</v>
      </c>
      <c r="R425" s="1" t="s">
        <v>128</v>
      </c>
      <c r="S425" s="1" t="s">
        <v>1767</v>
      </c>
      <c r="T425" s="1" t="s">
        <v>1768</v>
      </c>
      <c r="U425" s="2" t="s">
        <v>1769</v>
      </c>
      <c r="V425" s="2" t="s">
        <v>36</v>
      </c>
      <c r="W425" s="2" t="s">
        <v>142</v>
      </c>
      <c r="X425" s="2">
        <v>12257.49</v>
      </c>
    </row>
    <row r="426" spans="1:24" x14ac:dyDescent="0.3">
      <c r="A426">
        <v>18329</v>
      </c>
      <c r="B426" t="s">
        <v>1770</v>
      </c>
      <c r="C426" s="3">
        <v>41011</v>
      </c>
      <c r="D426" t="s">
        <v>39</v>
      </c>
      <c r="E426">
        <v>10</v>
      </c>
      <c r="F426" s="3">
        <f ca="1">41011+(RANDBETWEEN(1,10))</f>
        <v>41015</v>
      </c>
      <c r="G426" t="s">
        <v>76</v>
      </c>
      <c r="H426" t="s">
        <v>258</v>
      </c>
      <c r="I426" t="s">
        <v>52</v>
      </c>
      <c r="J426">
        <v>6892.585</v>
      </c>
      <c r="K426">
        <v>0.08</v>
      </c>
      <c r="L426">
        <v>0.64</v>
      </c>
      <c r="M426">
        <v>182.7</v>
      </c>
      <c r="N426">
        <v>-1798.26647</v>
      </c>
      <c r="O426" s="1" t="s">
        <v>29</v>
      </c>
      <c r="P426" s="1" t="s">
        <v>1771</v>
      </c>
      <c r="Q426" s="1" t="s">
        <v>1772</v>
      </c>
      <c r="R426" s="1" t="s">
        <v>460</v>
      </c>
      <c r="S426" s="1" t="s">
        <v>1773</v>
      </c>
      <c r="T426" s="1" t="s">
        <v>1774</v>
      </c>
      <c r="U426" s="2" t="s">
        <v>1775</v>
      </c>
      <c r="V426" s="2" t="s">
        <v>83</v>
      </c>
      <c r="W426" s="2" t="s">
        <v>263</v>
      </c>
      <c r="X426" s="2">
        <v>744.1</v>
      </c>
    </row>
    <row r="427" spans="1:24" x14ac:dyDescent="0.3">
      <c r="A427">
        <v>18330</v>
      </c>
      <c r="B427" t="s">
        <v>1776</v>
      </c>
      <c r="C427" s="3">
        <v>41933</v>
      </c>
      <c r="D427" t="s">
        <v>50</v>
      </c>
      <c r="E427">
        <v>26</v>
      </c>
      <c r="F427" s="3">
        <f ca="1">41934+(RANDBETWEEN(1,10))</f>
        <v>41943</v>
      </c>
      <c r="G427" t="s">
        <v>26</v>
      </c>
      <c r="H427" t="s">
        <v>96</v>
      </c>
      <c r="I427" t="s">
        <v>86</v>
      </c>
      <c r="J427">
        <v>516.28499999999997</v>
      </c>
      <c r="K427">
        <v>0.08</v>
      </c>
      <c r="L427">
        <v>0.56000000000000005</v>
      </c>
      <c r="M427">
        <v>4.0949999999999998</v>
      </c>
      <c r="N427">
        <v>145.845</v>
      </c>
      <c r="O427" s="1" t="s">
        <v>53</v>
      </c>
      <c r="P427" s="1" t="s">
        <v>1777</v>
      </c>
      <c r="Q427" s="1" t="s">
        <v>1778</v>
      </c>
      <c r="R427" s="1" t="s">
        <v>56</v>
      </c>
      <c r="S427" s="1" t="s">
        <v>1779</v>
      </c>
      <c r="T427" s="1" t="s">
        <v>1780</v>
      </c>
      <c r="U427" s="2" t="s">
        <v>1781</v>
      </c>
      <c r="V427" s="2" t="s">
        <v>47</v>
      </c>
      <c r="W427" s="2" t="s">
        <v>104</v>
      </c>
      <c r="X427" s="2">
        <v>21.28</v>
      </c>
    </row>
    <row r="428" spans="1:24" x14ac:dyDescent="0.3">
      <c r="A428">
        <v>18331</v>
      </c>
      <c r="B428" t="s">
        <v>1782</v>
      </c>
      <c r="C428" s="3">
        <v>41275</v>
      </c>
      <c r="D428" t="s">
        <v>50</v>
      </c>
      <c r="E428">
        <v>3</v>
      </c>
      <c r="F428" s="3">
        <f ca="1">41276+(RANDBETWEEN(1,10))</f>
        <v>41284</v>
      </c>
      <c r="G428" t="s">
        <v>26</v>
      </c>
      <c r="H428" t="s">
        <v>51</v>
      </c>
      <c r="I428" t="s">
        <v>97</v>
      </c>
      <c r="J428">
        <v>69.86</v>
      </c>
      <c r="K428">
        <v>0.01</v>
      </c>
      <c r="L428">
        <v>0.75</v>
      </c>
      <c r="M428">
        <v>15.33</v>
      </c>
      <c r="N428">
        <v>-199.77019999999999</v>
      </c>
      <c r="O428" s="1" t="s">
        <v>87</v>
      </c>
      <c r="P428" s="1" t="s">
        <v>1389</v>
      </c>
      <c r="Q428" s="1" t="s">
        <v>1390</v>
      </c>
      <c r="R428" s="1" t="s">
        <v>497</v>
      </c>
      <c r="S428" s="1" t="s">
        <v>1391</v>
      </c>
      <c r="T428" s="1" t="s">
        <v>1392</v>
      </c>
      <c r="U428" s="2" t="s">
        <v>1783</v>
      </c>
      <c r="V428" s="2" t="s">
        <v>36</v>
      </c>
      <c r="W428" s="2" t="s">
        <v>60</v>
      </c>
      <c r="X428" s="2">
        <v>20.93</v>
      </c>
    </row>
    <row r="429" spans="1:24" x14ac:dyDescent="0.3">
      <c r="A429">
        <v>18332</v>
      </c>
      <c r="B429" t="s">
        <v>1782</v>
      </c>
      <c r="C429" s="3">
        <v>41275</v>
      </c>
      <c r="D429" t="s">
        <v>50</v>
      </c>
      <c r="E429">
        <v>6</v>
      </c>
      <c r="F429" s="3">
        <f ca="1">41277+(RANDBETWEEN(1,10))</f>
        <v>41278</v>
      </c>
      <c r="G429" t="s">
        <v>26</v>
      </c>
      <c r="H429" t="s">
        <v>27</v>
      </c>
      <c r="I429" t="s">
        <v>97</v>
      </c>
      <c r="J429">
        <v>845.32</v>
      </c>
      <c r="K429">
        <v>0.06</v>
      </c>
      <c r="L429">
        <v>0.36</v>
      </c>
      <c r="M429">
        <v>69.965000000000003</v>
      </c>
      <c r="N429">
        <v>89.562200000000004</v>
      </c>
      <c r="O429" s="1" t="s">
        <v>87</v>
      </c>
      <c r="P429" s="1" t="s">
        <v>1389</v>
      </c>
      <c r="Q429" s="1" t="s">
        <v>1390</v>
      </c>
      <c r="R429" s="1" t="s">
        <v>497</v>
      </c>
      <c r="S429" s="1" t="s">
        <v>1391</v>
      </c>
      <c r="T429" s="1" t="s">
        <v>1392</v>
      </c>
      <c r="U429" s="2" t="s">
        <v>1784</v>
      </c>
      <c r="V429" s="2" t="s">
        <v>47</v>
      </c>
      <c r="W429" s="2" t="s">
        <v>74</v>
      </c>
      <c r="X429" s="2">
        <v>143.465</v>
      </c>
    </row>
    <row r="430" spans="1:24" x14ac:dyDescent="0.3">
      <c r="A430">
        <v>18333</v>
      </c>
      <c r="B430" t="s">
        <v>1785</v>
      </c>
      <c r="C430" s="3">
        <v>40961</v>
      </c>
      <c r="D430" t="s">
        <v>148</v>
      </c>
      <c r="E430">
        <v>12</v>
      </c>
      <c r="F430" s="3">
        <f ca="1">40962+(RANDBETWEEN(1,10))</f>
        <v>40971</v>
      </c>
      <c r="G430" t="s">
        <v>76</v>
      </c>
      <c r="H430" t="s">
        <v>77</v>
      </c>
      <c r="I430" t="s">
        <v>28</v>
      </c>
      <c r="J430">
        <v>3923.29</v>
      </c>
      <c r="K430">
        <v>0</v>
      </c>
      <c r="L430">
        <v>0.61</v>
      </c>
      <c r="M430">
        <v>105</v>
      </c>
      <c r="N430">
        <v>720.40499999999997</v>
      </c>
      <c r="O430" s="1" t="s">
        <v>225</v>
      </c>
      <c r="P430" s="1" t="s">
        <v>1786</v>
      </c>
      <c r="Q430" s="1" t="s">
        <v>1787</v>
      </c>
      <c r="R430" s="1" t="s">
        <v>228</v>
      </c>
      <c r="S430" s="1" t="s">
        <v>1788</v>
      </c>
      <c r="T430" s="1" t="s">
        <v>1789</v>
      </c>
      <c r="U430" s="2" t="s">
        <v>1790</v>
      </c>
      <c r="V430" s="2" t="s">
        <v>83</v>
      </c>
      <c r="W430" s="2" t="s">
        <v>84</v>
      </c>
      <c r="X430" s="2">
        <v>318.43</v>
      </c>
    </row>
    <row r="431" spans="1:24" x14ac:dyDescent="0.3">
      <c r="A431">
        <v>18334</v>
      </c>
      <c r="B431" t="s">
        <v>1785</v>
      </c>
      <c r="C431" s="3">
        <v>40961</v>
      </c>
      <c r="D431" t="s">
        <v>148</v>
      </c>
      <c r="E431">
        <v>10</v>
      </c>
      <c r="F431" s="3">
        <f ca="1">40963+(RANDBETWEEN(1,10))</f>
        <v>40964</v>
      </c>
      <c r="G431" t="s">
        <v>26</v>
      </c>
      <c r="H431" t="s">
        <v>27</v>
      </c>
      <c r="I431" t="s">
        <v>28</v>
      </c>
      <c r="J431">
        <v>759.15</v>
      </c>
      <c r="K431">
        <v>0.04</v>
      </c>
      <c r="L431">
        <v>0.66</v>
      </c>
      <c r="M431">
        <v>18.97</v>
      </c>
      <c r="N431">
        <v>183.85499999999999</v>
      </c>
      <c r="O431" s="1" t="s">
        <v>225</v>
      </c>
      <c r="P431" s="1" t="s">
        <v>1786</v>
      </c>
      <c r="Q431" s="1" t="s">
        <v>1787</v>
      </c>
      <c r="R431" s="1" t="s">
        <v>228</v>
      </c>
      <c r="S431" s="1" t="s">
        <v>1788</v>
      </c>
      <c r="T431" s="1" t="s">
        <v>1789</v>
      </c>
      <c r="U431" s="2" t="s">
        <v>118</v>
      </c>
      <c r="V431" s="2" t="s">
        <v>47</v>
      </c>
      <c r="W431" s="2" t="s">
        <v>119</v>
      </c>
      <c r="X431" s="2">
        <v>73.430000000000007</v>
      </c>
    </row>
    <row r="432" spans="1:24" x14ac:dyDescent="0.3">
      <c r="A432">
        <v>18335</v>
      </c>
      <c r="B432" t="s">
        <v>1791</v>
      </c>
      <c r="C432" s="3">
        <v>40933</v>
      </c>
      <c r="D432" t="s">
        <v>39</v>
      </c>
      <c r="E432">
        <v>8</v>
      </c>
      <c r="F432" s="3">
        <f ca="1">40935+(RANDBETWEEN(1,10))</f>
        <v>40942</v>
      </c>
      <c r="G432" t="s">
        <v>76</v>
      </c>
      <c r="H432" t="s">
        <v>258</v>
      </c>
      <c r="I432" t="s">
        <v>97</v>
      </c>
      <c r="J432">
        <v>2644.2849999999999</v>
      </c>
      <c r="K432">
        <v>0.1</v>
      </c>
      <c r="L432">
        <v>0.78</v>
      </c>
      <c r="M432">
        <v>200.83</v>
      </c>
      <c r="N432">
        <v>-6849.6484</v>
      </c>
      <c r="O432" s="1" t="s">
        <v>225</v>
      </c>
      <c r="P432" s="1" t="s">
        <v>1792</v>
      </c>
      <c r="Q432" s="1" t="s">
        <v>1793</v>
      </c>
      <c r="R432" s="1" t="s">
        <v>228</v>
      </c>
      <c r="S432" s="1" t="s">
        <v>1794</v>
      </c>
      <c r="T432" s="1" t="s">
        <v>548</v>
      </c>
      <c r="U432" s="2" t="s">
        <v>1795</v>
      </c>
      <c r="V432" s="2" t="s">
        <v>83</v>
      </c>
      <c r="W432" s="2" t="s">
        <v>298</v>
      </c>
      <c r="X432" s="2">
        <v>353.43</v>
      </c>
    </row>
    <row r="433" spans="1:24" x14ac:dyDescent="0.3">
      <c r="A433">
        <v>18336</v>
      </c>
      <c r="B433" t="s">
        <v>1791</v>
      </c>
      <c r="C433" s="3">
        <v>40933</v>
      </c>
      <c r="D433" t="s">
        <v>39</v>
      </c>
      <c r="E433">
        <v>1</v>
      </c>
      <c r="F433" s="3">
        <f ca="1">40934+(RANDBETWEEN(1,10))</f>
        <v>40942</v>
      </c>
      <c r="G433" t="s">
        <v>26</v>
      </c>
      <c r="H433" t="s">
        <v>27</v>
      </c>
      <c r="I433" t="s">
        <v>97</v>
      </c>
      <c r="J433">
        <v>43.435000000000002</v>
      </c>
      <c r="K433">
        <v>0.01</v>
      </c>
      <c r="L433">
        <v>0.37</v>
      </c>
      <c r="M433">
        <v>19.809999999999999</v>
      </c>
      <c r="N433">
        <v>-39.407200000000003</v>
      </c>
      <c r="O433" s="1" t="s">
        <v>225</v>
      </c>
      <c r="P433" s="1" t="s">
        <v>1792</v>
      </c>
      <c r="Q433" s="1" t="s">
        <v>1793</v>
      </c>
      <c r="R433" s="1" t="s">
        <v>228</v>
      </c>
      <c r="S433" s="1" t="s">
        <v>1794</v>
      </c>
      <c r="T433" s="1" t="s">
        <v>548</v>
      </c>
      <c r="U433" s="2" t="s">
        <v>1796</v>
      </c>
      <c r="V433" s="2" t="s">
        <v>47</v>
      </c>
      <c r="W433" s="2" t="s">
        <v>74</v>
      </c>
      <c r="X433" s="2">
        <v>23.38</v>
      </c>
    </row>
    <row r="434" spans="1:24" x14ac:dyDescent="0.3">
      <c r="A434">
        <v>18337</v>
      </c>
      <c r="B434" t="s">
        <v>1791</v>
      </c>
      <c r="C434" s="3">
        <v>40933</v>
      </c>
      <c r="D434" t="s">
        <v>39</v>
      </c>
      <c r="E434">
        <v>3</v>
      </c>
      <c r="F434" s="3">
        <f ca="1">40933+(RANDBETWEEN(1,10))</f>
        <v>40940</v>
      </c>
      <c r="G434" t="s">
        <v>26</v>
      </c>
      <c r="H434" t="s">
        <v>27</v>
      </c>
      <c r="I434" t="s">
        <v>97</v>
      </c>
      <c r="J434">
        <v>1319.9549999999999</v>
      </c>
      <c r="K434">
        <v>0.01</v>
      </c>
      <c r="L434">
        <v>0.59</v>
      </c>
      <c r="M434">
        <v>69.965000000000003</v>
      </c>
      <c r="N434">
        <v>375.88459999999998</v>
      </c>
      <c r="O434" s="1" t="s">
        <v>87</v>
      </c>
      <c r="P434" s="1" t="s">
        <v>1797</v>
      </c>
      <c r="Q434" s="1" t="s">
        <v>1798</v>
      </c>
      <c r="R434" s="1" t="s">
        <v>398</v>
      </c>
      <c r="S434" s="1" t="s">
        <v>1799</v>
      </c>
      <c r="T434" s="1" t="s">
        <v>1800</v>
      </c>
      <c r="U434" s="2" t="s">
        <v>1801</v>
      </c>
      <c r="V434" s="2" t="s">
        <v>47</v>
      </c>
      <c r="W434" s="2" t="s">
        <v>119</v>
      </c>
      <c r="X434" s="2">
        <v>421.15499999999997</v>
      </c>
    </row>
    <row r="435" spans="1:24" x14ac:dyDescent="0.3">
      <c r="A435">
        <v>18338</v>
      </c>
      <c r="B435" t="s">
        <v>1802</v>
      </c>
      <c r="C435" s="3">
        <v>41480</v>
      </c>
      <c r="D435" t="s">
        <v>39</v>
      </c>
      <c r="E435">
        <v>5</v>
      </c>
      <c r="F435" s="3">
        <f ca="1">41482+(RANDBETWEEN(1,10))</f>
        <v>41491</v>
      </c>
      <c r="G435" t="s">
        <v>26</v>
      </c>
      <c r="H435" t="s">
        <v>27</v>
      </c>
      <c r="I435" t="s">
        <v>28</v>
      </c>
      <c r="J435">
        <v>132.405</v>
      </c>
      <c r="K435">
        <v>0.05</v>
      </c>
      <c r="L435">
        <v>0.4</v>
      </c>
      <c r="M435">
        <v>21.98</v>
      </c>
      <c r="N435">
        <v>-162.20750000000001</v>
      </c>
      <c r="O435" s="1" t="s">
        <v>29</v>
      </c>
      <c r="P435" s="1" t="s">
        <v>1803</v>
      </c>
      <c r="Q435" s="1" t="s">
        <v>1804</v>
      </c>
      <c r="R435" s="1" t="s">
        <v>675</v>
      </c>
      <c r="S435" s="1" t="s">
        <v>1805</v>
      </c>
      <c r="T435" s="1" t="s">
        <v>1806</v>
      </c>
      <c r="U435" s="2" t="s">
        <v>1807</v>
      </c>
      <c r="V435" s="2" t="s">
        <v>47</v>
      </c>
      <c r="W435" s="2" t="s">
        <v>111</v>
      </c>
      <c r="X435" s="2">
        <v>26.074999999999999</v>
      </c>
    </row>
    <row r="436" spans="1:24" x14ac:dyDescent="0.3">
      <c r="A436">
        <v>18339</v>
      </c>
      <c r="B436" t="s">
        <v>1808</v>
      </c>
      <c r="C436" s="3">
        <v>41088</v>
      </c>
      <c r="D436" t="s">
        <v>25</v>
      </c>
      <c r="E436">
        <v>12</v>
      </c>
      <c r="F436" s="3">
        <f ca="1">41088+(RANDBETWEEN(1,10))</f>
        <v>41097</v>
      </c>
      <c r="G436" t="s">
        <v>26</v>
      </c>
      <c r="H436" t="s">
        <v>27</v>
      </c>
      <c r="I436" t="s">
        <v>28</v>
      </c>
      <c r="J436">
        <v>239.29499999999999</v>
      </c>
      <c r="K436">
        <v>0.1</v>
      </c>
      <c r="L436">
        <v>0.39</v>
      </c>
      <c r="M436">
        <v>5.2149999999999999</v>
      </c>
      <c r="N436">
        <v>165.11355</v>
      </c>
      <c r="O436" s="1" t="s">
        <v>87</v>
      </c>
      <c r="P436" s="1" t="s">
        <v>1809</v>
      </c>
      <c r="Q436" s="1" t="s">
        <v>1810</v>
      </c>
      <c r="R436" s="1" t="s">
        <v>90</v>
      </c>
      <c r="S436" s="1" t="s">
        <v>1811</v>
      </c>
      <c r="T436" s="1" t="s">
        <v>1812</v>
      </c>
      <c r="U436" s="2" t="s">
        <v>1062</v>
      </c>
      <c r="V436" s="2" t="s">
        <v>47</v>
      </c>
      <c r="W436" s="2" t="s">
        <v>111</v>
      </c>
      <c r="X436" s="2">
        <v>20.93</v>
      </c>
    </row>
    <row r="437" spans="1:24" x14ac:dyDescent="0.3">
      <c r="A437">
        <v>18340</v>
      </c>
      <c r="B437" t="s">
        <v>1813</v>
      </c>
      <c r="C437" s="3">
        <v>41520</v>
      </c>
      <c r="D437" t="s">
        <v>25</v>
      </c>
      <c r="E437">
        <v>3</v>
      </c>
      <c r="F437" s="3">
        <f ca="1">41522+(RANDBETWEEN(1,10))</f>
        <v>41527</v>
      </c>
      <c r="G437" t="s">
        <v>26</v>
      </c>
      <c r="H437" t="s">
        <v>27</v>
      </c>
      <c r="I437" t="s">
        <v>52</v>
      </c>
      <c r="J437">
        <v>40.53</v>
      </c>
      <c r="K437">
        <v>0.05</v>
      </c>
      <c r="L437">
        <v>0.38</v>
      </c>
      <c r="M437">
        <v>5.2149999999999999</v>
      </c>
      <c r="N437">
        <v>-4.5482500000000003</v>
      </c>
      <c r="O437" s="1" t="s">
        <v>40</v>
      </c>
      <c r="P437" s="1" t="s">
        <v>1814</v>
      </c>
      <c r="Q437" s="1" t="s">
        <v>1815</v>
      </c>
      <c r="R437" s="1" t="s">
        <v>220</v>
      </c>
      <c r="S437" s="1" t="s">
        <v>1816</v>
      </c>
      <c r="T437" s="1" t="s">
        <v>1817</v>
      </c>
      <c r="U437" s="2" t="s">
        <v>1763</v>
      </c>
      <c r="V437" s="2" t="s">
        <v>47</v>
      </c>
      <c r="W437" s="2" t="s">
        <v>111</v>
      </c>
      <c r="X437" s="2">
        <v>13.3</v>
      </c>
    </row>
    <row r="438" spans="1:24" x14ac:dyDescent="0.3">
      <c r="A438">
        <v>18341</v>
      </c>
      <c r="B438" t="s">
        <v>1818</v>
      </c>
      <c r="C438" s="3">
        <v>41395</v>
      </c>
      <c r="D438" t="s">
        <v>39</v>
      </c>
      <c r="E438">
        <v>12</v>
      </c>
      <c r="F438" s="3">
        <f ca="1">41396+(RANDBETWEEN(1,10))</f>
        <v>41401</v>
      </c>
      <c r="G438" t="s">
        <v>26</v>
      </c>
      <c r="H438" t="s">
        <v>27</v>
      </c>
      <c r="I438" t="s">
        <v>97</v>
      </c>
      <c r="J438">
        <v>1793.925</v>
      </c>
      <c r="K438">
        <v>0.01</v>
      </c>
      <c r="L438">
        <v>0.56999999999999995</v>
      </c>
      <c r="M438">
        <v>66.430000000000007</v>
      </c>
      <c r="N438">
        <v>332.36</v>
      </c>
      <c r="O438" s="1" t="s">
        <v>53</v>
      </c>
      <c r="P438" s="1" t="s">
        <v>1819</v>
      </c>
      <c r="Q438" s="1" t="s">
        <v>1820</v>
      </c>
      <c r="R438" s="1" t="s">
        <v>56</v>
      </c>
      <c r="S438" s="1" t="s">
        <v>1821</v>
      </c>
      <c r="T438" s="1" t="s">
        <v>1822</v>
      </c>
      <c r="U438" s="2" t="s">
        <v>1823</v>
      </c>
      <c r="V438" s="2" t="s">
        <v>83</v>
      </c>
      <c r="W438" s="2" t="s">
        <v>178</v>
      </c>
      <c r="X438" s="2">
        <v>143.11500000000001</v>
      </c>
    </row>
    <row r="439" spans="1:24" x14ac:dyDescent="0.3">
      <c r="A439">
        <v>18342</v>
      </c>
      <c r="B439" t="s">
        <v>1824</v>
      </c>
      <c r="C439" s="3">
        <v>41257</v>
      </c>
      <c r="D439" t="s">
        <v>25</v>
      </c>
      <c r="E439">
        <v>6</v>
      </c>
      <c r="F439" s="3">
        <f ca="1">41259+(RANDBETWEEN(1,10))</f>
        <v>41267</v>
      </c>
      <c r="G439" t="s">
        <v>26</v>
      </c>
      <c r="H439" t="s">
        <v>27</v>
      </c>
      <c r="I439" t="s">
        <v>86</v>
      </c>
      <c r="J439">
        <v>2861.2150000000001</v>
      </c>
      <c r="K439">
        <v>0.09</v>
      </c>
      <c r="L439">
        <v>0.73</v>
      </c>
      <c r="M439">
        <v>69.965000000000003</v>
      </c>
      <c r="N439">
        <v>-210.78749999999999</v>
      </c>
      <c r="O439" s="1" t="s">
        <v>40</v>
      </c>
      <c r="P439" s="1" t="s">
        <v>1825</v>
      </c>
      <c r="Q439" s="1" t="s">
        <v>1826</v>
      </c>
      <c r="R439" s="1" t="s">
        <v>43</v>
      </c>
      <c r="S439" s="1" t="s">
        <v>1827</v>
      </c>
      <c r="T439" s="1" t="s">
        <v>1212</v>
      </c>
      <c r="U439" s="2" t="s">
        <v>1828</v>
      </c>
      <c r="V439" s="2" t="s">
        <v>47</v>
      </c>
      <c r="W439" s="2" t="s">
        <v>119</v>
      </c>
      <c r="X439" s="2">
        <v>492.97500000000002</v>
      </c>
    </row>
    <row r="440" spans="1:24" x14ac:dyDescent="0.3">
      <c r="A440">
        <v>18343</v>
      </c>
      <c r="B440" t="s">
        <v>1829</v>
      </c>
      <c r="C440" s="3">
        <v>41058</v>
      </c>
      <c r="D440" t="s">
        <v>25</v>
      </c>
      <c r="E440">
        <v>11</v>
      </c>
      <c r="F440" s="3">
        <f ca="1">41065+(RANDBETWEEN(1,10))</f>
        <v>41071</v>
      </c>
      <c r="G440" t="s">
        <v>26</v>
      </c>
      <c r="H440" t="s">
        <v>27</v>
      </c>
      <c r="I440" t="s">
        <v>86</v>
      </c>
      <c r="J440">
        <v>209.09</v>
      </c>
      <c r="K440">
        <v>0.09</v>
      </c>
      <c r="L440">
        <v>0.36</v>
      </c>
      <c r="M440">
        <v>17.36</v>
      </c>
      <c r="N440">
        <v>-203.875</v>
      </c>
      <c r="O440" s="1" t="s">
        <v>225</v>
      </c>
      <c r="P440" s="1" t="s">
        <v>1830</v>
      </c>
      <c r="Q440" s="1" t="s">
        <v>1831</v>
      </c>
      <c r="R440" s="1" t="s">
        <v>391</v>
      </c>
      <c r="S440" s="1" t="s">
        <v>1832</v>
      </c>
      <c r="T440" s="1" t="s">
        <v>1833</v>
      </c>
      <c r="U440" s="2" t="s">
        <v>1834</v>
      </c>
      <c r="V440" s="2" t="s">
        <v>47</v>
      </c>
      <c r="W440" s="2" t="s">
        <v>74</v>
      </c>
      <c r="X440" s="2">
        <v>20.23</v>
      </c>
    </row>
    <row r="441" spans="1:24" x14ac:dyDescent="0.3">
      <c r="A441">
        <v>18344</v>
      </c>
      <c r="B441" t="s">
        <v>1835</v>
      </c>
      <c r="C441" s="3">
        <v>41140</v>
      </c>
      <c r="D441" t="s">
        <v>62</v>
      </c>
      <c r="E441">
        <v>16</v>
      </c>
      <c r="F441" s="3">
        <f ca="1">41142+(RANDBETWEEN(1,10))</f>
        <v>41143</v>
      </c>
      <c r="G441" t="s">
        <v>26</v>
      </c>
      <c r="H441" t="s">
        <v>27</v>
      </c>
      <c r="I441" t="s">
        <v>52</v>
      </c>
      <c r="J441">
        <v>791.35</v>
      </c>
      <c r="K441">
        <v>0.08</v>
      </c>
      <c r="L441">
        <v>0.43</v>
      </c>
      <c r="M441">
        <v>46.62</v>
      </c>
      <c r="N441">
        <v>-417.99939999999998</v>
      </c>
      <c r="O441" s="1" t="s">
        <v>40</v>
      </c>
      <c r="P441" s="1" t="s">
        <v>1836</v>
      </c>
      <c r="Q441" s="1" t="s">
        <v>1837</v>
      </c>
      <c r="R441" s="1" t="s">
        <v>220</v>
      </c>
      <c r="S441" s="1" t="s">
        <v>1838</v>
      </c>
      <c r="T441" s="1" t="s">
        <v>1839</v>
      </c>
      <c r="U441" s="2" t="s">
        <v>1840</v>
      </c>
      <c r="V441" s="2" t="s">
        <v>47</v>
      </c>
      <c r="W441" s="2" t="s">
        <v>71</v>
      </c>
      <c r="X441" s="2">
        <v>51.835000000000001</v>
      </c>
    </row>
    <row r="442" spans="1:24" x14ac:dyDescent="0.3">
      <c r="A442">
        <v>18345</v>
      </c>
      <c r="B442" t="s">
        <v>1841</v>
      </c>
      <c r="C442" s="3">
        <v>40559</v>
      </c>
      <c r="D442" t="s">
        <v>62</v>
      </c>
      <c r="E442">
        <v>2</v>
      </c>
      <c r="F442" s="3">
        <f ca="1">40561+(RANDBETWEEN(1,10))</f>
        <v>40569</v>
      </c>
      <c r="G442" t="s">
        <v>26</v>
      </c>
      <c r="H442" t="s">
        <v>281</v>
      </c>
      <c r="I442" t="s">
        <v>52</v>
      </c>
      <c r="J442">
        <v>792.85500000000002</v>
      </c>
      <c r="K442">
        <v>0.02</v>
      </c>
      <c r="L442">
        <v>0.69</v>
      </c>
      <c r="M442">
        <v>48.965000000000003</v>
      </c>
      <c r="N442">
        <v>-372.19839999999999</v>
      </c>
      <c r="O442" s="1" t="s">
        <v>40</v>
      </c>
      <c r="P442" s="1" t="s">
        <v>1842</v>
      </c>
      <c r="Q442" s="1" t="s">
        <v>1843</v>
      </c>
      <c r="R442" s="1" t="s">
        <v>43</v>
      </c>
      <c r="S442" s="1" t="s">
        <v>1844</v>
      </c>
      <c r="T442" s="1" t="s">
        <v>1845</v>
      </c>
      <c r="U442" s="2" t="s">
        <v>1145</v>
      </c>
      <c r="V442" s="2" t="s">
        <v>83</v>
      </c>
      <c r="W442" s="2" t="s">
        <v>178</v>
      </c>
      <c r="X442" s="2">
        <v>388.43</v>
      </c>
    </row>
    <row r="443" spans="1:24" x14ac:dyDescent="0.3">
      <c r="A443">
        <v>18346</v>
      </c>
      <c r="B443" t="s">
        <v>1841</v>
      </c>
      <c r="C443" s="3">
        <v>40559</v>
      </c>
      <c r="D443" t="s">
        <v>62</v>
      </c>
      <c r="E443">
        <v>8</v>
      </c>
      <c r="F443" s="3">
        <f ca="1">40561+(RANDBETWEEN(1,10))</f>
        <v>40563</v>
      </c>
      <c r="G443" t="s">
        <v>26</v>
      </c>
      <c r="H443" t="s">
        <v>96</v>
      </c>
      <c r="I443" t="s">
        <v>52</v>
      </c>
      <c r="J443">
        <v>240.27500000000001</v>
      </c>
      <c r="K443">
        <v>0.01</v>
      </c>
      <c r="L443">
        <v>0.4</v>
      </c>
      <c r="M443">
        <v>10.045</v>
      </c>
      <c r="N443">
        <v>157.4188</v>
      </c>
      <c r="O443" s="1" t="s">
        <v>40</v>
      </c>
      <c r="P443" s="1" t="s">
        <v>1842</v>
      </c>
      <c r="Q443" s="1" t="s">
        <v>1843</v>
      </c>
      <c r="R443" s="1" t="s">
        <v>43</v>
      </c>
      <c r="S443" s="1" t="s">
        <v>1844</v>
      </c>
      <c r="T443" s="1" t="s">
        <v>1845</v>
      </c>
      <c r="U443" s="2" t="s">
        <v>1846</v>
      </c>
      <c r="V443" s="2" t="s">
        <v>47</v>
      </c>
      <c r="W443" s="2" t="s">
        <v>74</v>
      </c>
      <c r="X443" s="2">
        <v>28.035</v>
      </c>
    </row>
    <row r="444" spans="1:24" x14ac:dyDescent="0.3">
      <c r="A444">
        <v>18347</v>
      </c>
      <c r="B444" t="s">
        <v>1847</v>
      </c>
      <c r="C444" s="3">
        <v>40613</v>
      </c>
      <c r="D444" t="s">
        <v>50</v>
      </c>
      <c r="E444">
        <v>9</v>
      </c>
      <c r="F444" s="3">
        <f ca="1">40614+(RANDBETWEEN(1,10))</f>
        <v>40615</v>
      </c>
      <c r="G444" t="s">
        <v>26</v>
      </c>
      <c r="H444" t="s">
        <v>27</v>
      </c>
      <c r="I444" t="s">
        <v>28</v>
      </c>
      <c r="J444">
        <v>277.89999999999998</v>
      </c>
      <c r="K444">
        <v>0.06</v>
      </c>
      <c r="L444">
        <v>0.38</v>
      </c>
      <c r="M444">
        <v>21.664999999999999</v>
      </c>
      <c r="N444">
        <v>-161.4025</v>
      </c>
      <c r="O444" s="1" t="s">
        <v>40</v>
      </c>
      <c r="P444" s="1" t="s">
        <v>1192</v>
      </c>
      <c r="Q444" s="1" t="s">
        <v>1193</v>
      </c>
      <c r="R444" s="1" t="s">
        <v>43</v>
      </c>
      <c r="S444" s="1" t="s">
        <v>1194</v>
      </c>
      <c r="T444" s="1" t="s">
        <v>1195</v>
      </c>
      <c r="U444" s="2" t="s">
        <v>1202</v>
      </c>
      <c r="V444" s="2" t="s">
        <v>47</v>
      </c>
      <c r="W444" s="2" t="s">
        <v>111</v>
      </c>
      <c r="X444" s="2">
        <v>30.1</v>
      </c>
    </row>
    <row r="445" spans="1:24" x14ac:dyDescent="0.3">
      <c r="A445">
        <v>18348</v>
      </c>
      <c r="B445" t="s">
        <v>1848</v>
      </c>
      <c r="C445" s="3">
        <v>41210</v>
      </c>
      <c r="D445" t="s">
        <v>50</v>
      </c>
      <c r="E445">
        <v>9</v>
      </c>
      <c r="F445" s="3">
        <f ca="1">41212+(RANDBETWEEN(1,10))</f>
        <v>41219</v>
      </c>
      <c r="G445" t="s">
        <v>156</v>
      </c>
      <c r="H445" t="s">
        <v>27</v>
      </c>
      <c r="I445" t="s">
        <v>52</v>
      </c>
      <c r="J445">
        <v>117.25</v>
      </c>
      <c r="K445">
        <v>0.01</v>
      </c>
      <c r="L445">
        <v>0.36</v>
      </c>
      <c r="M445">
        <v>19.04</v>
      </c>
      <c r="N445">
        <v>-274.81734</v>
      </c>
      <c r="O445" s="1" t="s">
        <v>40</v>
      </c>
      <c r="P445" s="1" t="s">
        <v>1849</v>
      </c>
      <c r="Q445" s="1" t="s">
        <v>1850</v>
      </c>
      <c r="R445" s="1" t="s">
        <v>43</v>
      </c>
      <c r="S445" s="1" t="s">
        <v>1851</v>
      </c>
      <c r="T445" s="1" t="s">
        <v>1852</v>
      </c>
      <c r="U445" s="2" t="s">
        <v>1853</v>
      </c>
      <c r="V445" s="2" t="s">
        <v>47</v>
      </c>
      <c r="W445" s="2" t="s">
        <v>111</v>
      </c>
      <c r="X445" s="2">
        <v>9.94</v>
      </c>
    </row>
    <row r="446" spans="1:24" x14ac:dyDescent="0.3">
      <c r="A446">
        <v>18349</v>
      </c>
      <c r="B446" t="s">
        <v>1854</v>
      </c>
      <c r="C446" s="3">
        <v>40776</v>
      </c>
      <c r="D446" t="s">
        <v>50</v>
      </c>
      <c r="E446">
        <v>6</v>
      </c>
      <c r="F446" s="3">
        <f ca="1">40776+(RANDBETWEEN(1,10))</f>
        <v>40784</v>
      </c>
      <c r="G446" t="s">
        <v>76</v>
      </c>
      <c r="H446" t="s">
        <v>77</v>
      </c>
      <c r="I446" t="s">
        <v>28</v>
      </c>
      <c r="J446">
        <v>36158.815000000002</v>
      </c>
      <c r="K446">
        <v>7.0000000000000007E-2</v>
      </c>
      <c r="L446">
        <v>0.55000000000000004</v>
      </c>
      <c r="M446">
        <v>51.45</v>
      </c>
      <c r="N446">
        <v>21099.435000000001</v>
      </c>
      <c r="O446" s="1" t="s">
        <v>87</v>
      </c>
      <c r="P446" s="1" t="s">
        <v>687</v>
      </c>
      <c r="Q446" s="1" t="s">
        <v>688</v>
      </c>
      <c r="R446" s="1" t="s">
        <v>398</v>
      </c>
      <c r="S446" s="1" t="s">
        <v>689</v>
      </c>
      <c r="T446" s="1" t="s">
        <v>690</v>
      </c>
      <c r="U446" s="2" t="s">
        <v>1855</v>
      </c>
      <c r="V446" s="2" t="s">
        <v>36</v>
      </c>
      <c r="W446" s="2" t="s">
        <v>142</v>
      </c>
      <c r="X446" s="2">
        <v>7127.68</v>
      </c>
    </row>
    <row r="447" spans="1:24" x14ac:dyDescent="0.3">
      <c r="A447">
        <v>18350</v>
      </c>
      <c r="B447" t="s">
        <v>1856</v>
      </c>
      <c r="C447" s="3">
        <v>41527</v>
      </c>
      <c r="D447" t="s">
        <v>50</v>
      </c>
      <c r="E447">
        <v>7</v>
      </c>
      <c r="F447" s="3">
        <f ca="1">41530+(RANDBETWEEN(1,10))</f>
        <v>41533</v>
      </c>
      <c r="G447" t="s">
        <v>156</v>
      </c>
      <c r="H447" t="s">
        <v>27</v>
      </c>
      <c r="I447" t="s">
        <v>28</v>
      </c>
      <c r="J447">
        <v>577.88499999999999</v>
      </c>
      <c r="K447">
        <v>7.0000000000000007E-2</v>
      </c>
      <c r="L447">
        <v>0.39</v>
      </c>
      <c r="M447">
        <v>19.145</v>
      </c>
      <c r="N447">
        <v>291.33999999999997</v>
      </c>
      <c r="O447" s="1" t="s">
        <v>87</v>
      </c>
      <c r="P447" s="1" t="s">
        <v>1857</v>
      </c>
      <c r="Q447" s="1" t="s">
        <v>1858</v>
      </c>
      <c r="R447" s="1" t="s">
        <v>497</v>
      </c>
      <c r="S447" s="1" t="s">
        <v>1859</v>
      </c>
      <c r="T447" s="1" t="s">
        <v>1860</v>
      </c>
      <c r="U447" s="2" t="s">
        <v>1861</v>
      </c>
      <c r="V447" s="2" t="s">
        <v>47</v>
      </c>
      <c r="W447" s="2" t="s">
        <v>74</v>
      </c>
      <c r="X447" s="2">
        <v>79.94</v>
      </c>
    </row>
    <row r="448" spans="1:24" x14ac:dyDescent="0.3">
      <c r="A448">
        <v>18351</v>
      </c>
      <c r="B448" t="s">
        <v>1862</v>
      </c>
      <c r="C448" s="3">
        <v>41104</v>
      </c>
      <c r="D448" t="s">
        <v>39</v>
      </c>
      <c r="E448">
        <v>6</v>
      </c>
      <c r="F448" s="3">
        <f ca="1">41107+(RANDBETWEEN(1,10))</f>
        <v>41117</v>
      </c>
      <c r="G448" t="s">
        <v>26</v>
      </c>
      <c r="H448" t="s">
        <v>27</v>
      </c>
      <c r="I448" t="s">
        <v>28</v>
      </c>
      <c r="J448">
        <v>292.60000000000002</v>
      </c>
      <c r="K448">
        <v>0.06</v>
      </c>
      <c r="L448">
        <v>0.38</v>
      </c>
      <c r="M448">
        <v>22.61</v>
      </c>
      <c r="N448">
        <v>31.148250000000001</v>
      </c>
      <c r="O448" s="1" t="s">
        <v>64</v>
      </c>
      <c r="P448" s="1" t="s">
        <v>1863</v>
      </c>
      <c r="Q448" s="1" t="s">
        <v>1864</v>
      </c>
      <c r="R448" s="1" t="s">
        <v>67</v>
      </c>
      <c r="S448" s="1" t="s">
        <v>1865</v>
      </c>
      <c r="T448" s="1" t="s">
        <v>1866</v>
      </c>
      <c r="U448" s="2" t="s">
        <v>1867</v>
      </c>
      <c r="V448" s="2" t="s">
        <v>47</v>
      </c>
      <c r="W448" s="2" t="s">
        <v>111</v>
      </c>
      <c r="X448" s="2">
        <v>50.68</v>
      </c>
    </row>
    <row r="449" spans="1:24" x14ac:dyDescent="0.3">
      <c r="A449">
        <v>18352</v>
      </c>
      <c r="B449" t="s">
        <v>1862</v>
      </c>
      <c r="C449" s="3">
        <v>41104</v>
      </c>
      <c r="D449" t="s">
        <v>39</v>
      </c>
      <c r="E449">
        <v>7</v>
      </c>
      <c r="F449" s="3">
        <f ca="1">41106+(RANDBETWEEN(1,10))</f>
        <v>41115</v>
      </c>
      <c r="G449" t="s">
        <v>26</v>
      </c>
      <c r="H449" t="s">
        <v>51</v>
      </c>
      <c r="I449" t="s">
        <v>28</v>
      </c>
      <c r="J449">
        <v>764.26</v>
      </c>
      <c r="K449">
        <v>0.01</v>
      </c>
      <c r="L449">
        <v>0.35</v>
      </c>
      <c r="M449">
        <v>3.4649999999999999</v>
      </c>
      <c r="N449">
        <v>527.33939999999996</v>
      </c>
      <c r="O449" s="1" t="s">
        <v>64</v>
      </c>
      <c r="P449" s="1" t="s">
        <v>1863</v>
      </c>
      <c r="Q449" s="1" t="s">
        <v>1864</v>
      </c>
      <c r="R449" s="1" t="s">
        <v>67</v>
      </c>
      <c r="S449" s="1" t="s">
        <v>1865</v>
      </c>
      <c r="T449" s="1" t="s">
        <v>1866</v>
      </c>
      <c r="U449" s="2" t="s">
        <v>1868</v>
      </c>
      <c r="V449" s="2" t="s">
        <v>36</v>
      </c>
      <c r="W449" s="2" t="s">
        <v>37</v>
      </c>
      <c r="X449" s="2">
        <v>125.965</v>
      </c>
    </row>
    <row r="450" spans="1:24" x14ac:dyDescent="0.3">
      <c r="A450">
        <v>18353</v>
      </c>
      <c r="B450" t="s">
        <v>1869</v>
      </c>
      <c r="C450" s="3">
        <v>41448</v>
      </c>
      <c r="D450" t="s">
        <v>62</v>
      </c>
      <c r="E450">
        <v>12</v>
      </c>
      <c r="F450" s="3">
        <f ca="1">41450+(RANDBETWEEN(1,10))</f>
        <v>41454</v>
      </c>
      <c r="G450" t="s">
        <v>26</v>
      </c>
      <c r="H450" t="s">
        <v>51</v>
      </c>
      <c r="I450" t="s">
        <v>52</v>
      </c>
      <c r="J450">
        <v>1623.6849999999999</v>
      </c>
      <c r="K450">
        <v>0.04</v>
      </c>
      <c r="L450">
        <v>0.54</v>
      </c>
      <c r="M450">
        <v>6.9649999999999999</v>
      </c>
      <c r="N450">
        <v>1120.34265</v>
      </c>
      <c r="O450" s="1" t="s">
        <v>225</v>
      </c>
      <c r="P450" s="1" t="s">
        <v>1786</v>
      </c>
      <c r="Q450" s="1" t="s">
        <v>1787</v>
      </c>
      <c r="R450" s="1" t="s">
        <v>228</v>
      </c>
      <c r="S450" s="1" t="s">
        <v>1788</v>
      </c>
      <c r="T450" s="1" t="s">
        <v>1789</v>
      </c>
      <c r="U450" s="2" t="s">
        <v>685</v>
      </c>
      <c r="V450" s="2" t="s">
        <v>36</v>
      </c>
      <c r="W450" s="2" t="s">
        <v>60</v>
      </c>
      <c r="X450" s="2">
        <v>138.18</v>
      </c>
    </row>
    <row r="451" spans="1:24" x14ac:dyDescent="0.3">
      <c r="A451">
        <v>18354</v>
      </c>
      <c r="B451" t="s">
        <v>1870</v>
      </c>
      <c r="C451" s="3">
        <v>40607</v>
      </c>
      <c r="D451" t="s">
        <v>62</v>
      </c>
      <c r="E451">
        <v>6</v>
      </c>
      <c r="F451" s="3">
        <f ca="1">40608+(RANDBETWEEN(1,10))</f>
        <v>40614</v>
      </c>
      <c r="G451" t="s">
        <v>26</v>
      </c>
      <c r="H451" t="s">
        <v>281</v>
      </c>
      <c r="I451" t="s">
        <v>97</v>
      </c>
      <c r="J451">
        <v>2145.2199999999998</v>
      </c>
      <c r="K451">
        <v>0.05</v>
      </c>
      <c r="L451">
        <v>0.65</v>
      </c>
      <c r="M451">
        <v>20.335000000000001</v>
      </c>
      <c r="N451">
        <v>-312.96300000000002</v>
      </c>
      <c r="O451" s="1" t="s">
        <v>64</v>
      </c>
      <c r="P451" s="1" t="s">
        <v>1871</v>
      </c>
      <c r="Q451" s="1" t="s">
        <v>1872</v>
      </c>
      <c r="R451" s="1" t="s">
        <v>67</v>
      </c>
      <c r="S451" s="1" t="s">
        <v>1873</v>
      </c>
      <c r="T451" s="1" t="s">
        <v>1874</v>
      </c>
      <c r="U451" s="2" t="s">
        <v>351</v>
      </c>
      <c r="V451" s="2" t="s">
        <v>83</v>
      </c>
      <c r="W451" s="2" t="s">
        <v>178</v>
      </c>
      <c r="X451" s="2">
        <v>376.35500000000002</v>
      </c>
    </row>
    <row r="452" spans="1:24" x14ac:dyDescent="0.3">
      <c r="A452">
        <v>18355</v>
      </c>
      <c r="B452" t="s">
        <v>1875</v>
      </c>
      <c r="C452" s="3">
        <v>41470</v>
      </c>
      <c r="D452" t="s">
        <v>50</v>
      </c>
      <c r="E452">
        <v>10</v>
      </c>
      <c r="F452" s="3">
        <f ca="1">41471+(RANDBETWEEN(1,10))</f>
        <v>41481</v>
      </c>
      <c r="G452" t="s">
        <v>76</v>
      </c>
      <c r="H452" t="s">
        <v>77</v>
      </c>
      <c r="I452" t="s">
        <v>28</v>
      </c>
      <c r="J452">
        <v>4838.7150000000001</v>
      </c>
      <c r="K452">
        <v>0.09</v>
      </c>
      <c r="L452">
        <v>0.56000000000000005</v>
      </c>
      <c r="M452">
        <v>62.475000000000001</v>
      </c>
      <c r="N452">
        <v>2053.1350000000002</v>
      </c>
      <c r="O452" s="1" t="s">
        <v>225</v>
      </c>
      <c r="P452" s="1" t="s">
        <v>883</v>
      </c>
      <c r="Q452" s="1" t="s">
        <v>884</v>
      </c>
      <c r="R452" s="1" t="s">
        <v>228</v>
      </c>
      <c r="S452" s="1" t="s">
        <v>885</v>
      </c>
      <c r="T452" s="1" t="s">
        <v>886</v>
      </c>
      <c r="U452" s="2" t="s">
        <v>881</v>
      </c>
      <c r="V452" s="2" t="s">
        <v>36</v>
      </c>
      <c r="W452" s="2" t="s">
        <v>142</v>
      </c>
      <c r="X452" s="2">
        <v>509.07499999999999</v>
      </c>
    </row>
    <row r="453" spans="1:24" x14ac:dyDescent="0.3">
      <c r="A453">
        <v>18356</v>
      </c>
      <c r="B453" t="s">
        <v>1876</v>
      </c>
      <c r="C453" s="3">
        <v>41877</v>
      </c>
      <c r="D453" t="s">
        <v>62</v>
      </c>
      <c r="E453">
        <v>11</v>
      </c>
      <c r="F453" s="3">
        <f ca="1">41879+(RANDBETWEEN(1,10))</f>
        <v>41887</v>
      </c>
      <c r="G453" t="s">
        <v>26</v>
      </c>
      <c r="H453" t="s">
        <v>27</v>
      </c>
      <c r="I453" t="s">
        <v>28</v>
      </c>
      <c r="J453">
        <v>6653.3950000000004</v>
      </c>
      <c r="K453">
        <v>0.06</v>
      </c>
      <c r="L453">
        <v>0.56000000000000005</v>
      </c>
      <c r="M453">
        <v>18.41</v>
      </c>
      <c r="N453">
        <v>-8642.3637299999991</v>
      </c>
      <c r="O453" s="1" t="s">
        <v>225</v>
      </c>
      <c r="P453" s="1" t="s">
        <v>1877</v>
      </c>
      <c r="Q453" s="1" t="s">
        <v>1878</v>
      </c>
      <c r="R453" s="1" t="s">
        <v>228</v>
      </c>
      <c r="S453" s="1" t="s">
        <v>1879</v>
      </c>
      <c r="T453" s="1" t="s">
        <v>1880</v>
      </c>
      <c r="U453" s="2" t="s">
        <v>1881</v>
      </c>
      <c r="V453" s="2" t="s">
        <v>36</v>
      </c>
      <c r="W453" s="2" t="s">
        <v>37</v>
      </c>
      <c r="X453" s="2">
        <v>720.96500000000003</v>
      </c>
    </row>
    <row r="454" spans="1:24" x14ac:dyDescent="0.3">
      <c r="A454">
        <v>18357</v>
      </c>
      <c r="B454" t="s">
        <v>1882</v>
      </c>
      <c r="C454" s="3">
        <v>41865</v>
      </c>
      <c r="D454" t="s">
        <v>39</v>
      </c>
      <c r="E454">
        <v>3</v>
      </c>
      <c r="F454" s="3">
        <f ca="1">41867+(RANDBETWEEN(1,10))</f>
        <v>41873</v>
      </c>
      <c r="G454" t="s">
        <v>26</v>
      </c>
      <c r="H454" t="s">
        <v>27</v>
      </c>
      <c r="I454" t="s">
        <v>86</v>
      </c>
      <c r="J454">
        <v>47.39</v>
      </c>
      <c r="K454">
        <v>0.04</v>
      </c>
      <c r="L454">
        <v>0.4</v>
      </c>
      <c r="M454">
        <v>21.945</v>
      </c>
      <c r="N454">
        <v>-37.937717999999997</v>
      </c>
      <c r="O454" s="1" t="s">
        <v>29</v>
      </c>
      <c r="P454" s="1" t="s">
        <v>1883</v>
      </c>
      <c r="Q454" s="1" t="s">
        <v>1884</v>
      </c>
      <c r="R454" s="1" t="s">
        <v>32</v>
      </c>
      <c r="S454" s="1" t="s">
        <v>1885</v>
      </c>
      <c r="T454" s="1" t="s">
        <v>1886</v>
      </c>
      <c r="U454" s="2" t="s">
        <v>1887</v>
      </c>
      <c r="V454" s="2" t="s">
        <v>47</v>
      </c>
      <c r="W454" s="2" t="s">
        <v>111</v>
      </c>
      <c r="X454" s="2">
        <v>11.76</v>
      </c>
    </row>
    <row r="455" spans="1:24" x14ac:dyDescent="0.3">
      <c r="A455">
        <v>18358</v>
      </c>
      <c r="B455" t="s">
        <v>1888</v>
      </c>
      <c r="C455" s="3">
        <v>41079</v>
      </c>
      <c r="D455" t="s">
        <v>148</v>
      </c>
      <c r="E455">
        <v>8</v>
      </c>
      <c r="F455" s="3">
        <f ca="1">41080+(RANDBETWEEN(1,10))</f>
        <v>41086</v>
      </c>
      <c r="G455" t="s">
        <v>26</v>
      </c>
      <c r="H455" t="s">
        <v>27</v>
      </c>
      <c r="I455" t="s">
        <v>28</v>
      </c>
      <c r="J455">
        <v>121.52</v>
      </c>
      <c r="K455">
        <v>0.03</v>
      </c>
      <c r="L455">
        <v>0.38</v>
      </c>
      <c r="M455">
        <v>18.690000000000001</v>
      </c>
      <c r="N455">
        <v>-200.31620000000001</v>
      </c>
      <c r="O455" s="1" t="s">
        <v>64</v>
      </c>
      <c r="P455" s="1" t="s">
        <v>519</v>
      </c>
      <c r="Q455" s="1" t="s">
        <v>520</v>
      </c>
      <c r="R455" s="1" t="s">
        <v>128</v>
      </c>
      <c r="S455" s="1" t="s">
        <v>521</v>
      </c>
      <c r="T455" s="1" t="s">
        <v>522</v>
      </c>
      <c r="U455" s="2" t="s">
        <v>1664</v>
      </c>
      <c r="V455" s="2" t="s">
        <v>47</v>
      </c>
      <c r="W455" s="2" t="s">
        <v>111</v>
      </c>
      <c r="X455" s="2">
        <v>14.455</v>
      </c>
    </row>
    <row r="456" spans="1:24" x14ac:dyDescent="0.3">
      <c r="A456">
        <v>18359</v>
      </c>
      <c r="B456" t="s">
        <v>1888</v>
      </c>
      <c r="C456" s="3">
        <v>41079</v>
      </c>
      <c r="D456" t="s">
        <v>148</v>
      </c>
      <c r="E456">
        <v>17</v>
      </c>
      <c r="F456" s="3">
        <f ca="1">41080+(RANDBETWEEN(1,10))</f>
        <v>41085</v>
      </c>
      <c r="G456" t="s">
        <v>26</v>
      </c>
      <c r="H456" t="s">
        <v>27</v>
      </c>
      <c r="I456" t="s">
        <v>28</v>
      </c>
      <c r="J456">
        <v>221.79499999999999</v>
      </c>
      <c r="K456">
        <v>0.1</v>
      </c>
      <c r="L456">
        <v>0.39</v>
      </c>
      <c r="M456">
        <v>1.75</v>
      </c>
      <c r="N456">
        <v>153.03854999999999</v>
      </c>
      <c r="O456" s="1" t="s">
        <v>64</v>
      </c>
      <c r="P456" s="1" t="s">
        <v>519</v>
      </c>
      <c r="Q456" s="1" t="s">
        <v>520</v>
      </c>
      <c r="R456" s="1" t="s">
        <v>128</v>
      </c>
      <c r="S456" s="1" t="s">
        <v>521</v>
      </c>
      <c r="T456" s="1" t="s">
        <v>522</v>
      </c>
      <c r="U456" s="2" t="s">
        <v>1889</v>
      </c>
      <c r="V456" s="2" t="s">
        <v>47</v>
      </c>
      <c r="W456" s="2" t="s">
        <v>203</v>
      </c>
      <c r="X456" s="2">
        <v>14.455</v>
      </c>
    </row>
    <row r="457" spans="1:24" x14ac:dyDescent="0.3">
      <c r="A457">
        <v>18360</v>
      </c>
      <c r="B457" t="s">
        <v>1888</v>
      </c>
      <c r="C457" s="3">
        <v>41079</v>
      </c>
      <c r="D457" t="s">
        <v>148</v>
      </c>
      <c r="E457">
        <v>3</v>
      </c>
      <c r="F457" s="3">
        <f ca="1">41081+(RANDBETWEEN(1,10))</f>
        <v>41088</v>
      </c>
      <c r="G457" t="s">
        <v>26</v>
      </c>
      <c r="H457" t="s">
        <v>281</v>
      </c>
      <c r="I457" t="s">
        <v>28</v>
      </c>
      <c r="J457">
        <v>189.17500000000001</v>
      </c>
      <c r="K457">
        <v>0.08</v>
      </c>
      <c r="L457">
        <v>0.57999999999999996</v>
      </c>
      <c r="M457">
        <v>16.835000000000001</v>
      </c>
      <c r="N457">
        <v>-206.48320000000001</v>
      </c>
      <c r="O457" s="1" t="s">
        <v>64</v>
      </c>
      <c r="P457" s="1" t="s">
        <v>519</v>
      </c>
      <c r="Q457" s="1" t="s">
        <v>520</v>
      </c>
      <c r="R457" s="1" t="s">
        <v>128</v>
      </c>
      <c r="S457" s="1" t="s">
        <v>521</v>
      </c>
      <c r="T457" s="1" t="s">
        <v>522</v>
      </c>
      <c r="U457" s="2" t="s">
        <v>1890</v>
      </c>
      <c r="V457" s="2" t="s">
        <v>36</v>
      </c>
      <c r="W457" s="2" t="s">
        <v>37</v>
      </c>
      <c r="X457" s="2">
        <v>73.465000000000003</v>
      </c>
    </row>
    <row r="458" spans="1:24" x14ac:dyDescent="0.3">
      <c r="A458">
        <v>18361</v>
      </c>
      <c r="B458" t="s">
        <v>1891</v>
      </c>
      <c r="C458" s="3">
        <v>40622</v>
      </c>
      <c r="D458" t="s">
        <v>148</v>
      </c>
      <c r="E458">
        <v>2</v>
      </c>
      <c r="F458" s="3">
        <f ca="1">40624+(RANDBETWEEN(1,10))</f>
        <v>40631</v>
      </c>
      <c r="G458" t="s">
        <v>26</v>
      </c>
      <c r="H458" t="s">
        <v>27</v>
      </c>
      <c r="I458" t="s">
        <v>28</v>
      </c>
      <c r="J458">
        <v>18.234999999999999</v>
      </c>
      <c r="K458">
        <v>0.06</v>
      </c>
      <c r="L458">
        <v>0.39</v>
      </c>
      <c r="M458">
        <v>1.75</v>
      </c>
      <c r="N458">
        <v>12.58215</v>
      </c>
      <c r="O458" s="1" t="s">
        <v>225</v>
      </c>
      <c r="P458" s="1" t="s">
        <v>1786</v>
      </c>
      <c r="Q458" s="1" t="s">
        <v>1787</v>
      </c>
      <c r="R458" s="1" t="s">
        <v>228</v>
      </c>
      <c r="S458" s="1" t="s">
        <v>1788</v>
      </c>
      <c r="T458" s="1" t="s">
        <v>1789</v>
      </c>
      <c r="U458" s="2" t="s">
        <v>1706</v>
      </c>
      <c r="V458" s="2" t="s">
        <v>47</v>
      </c>
      <c r="W458" s="2" t="s">
        <v>203</v>
      </c>
      <c r="X458" s="2">
        <v>9.1349999999999998</v>
      </c>
    </row>
    <row r="459" spans="1:24" x14ac:dyDescent="0.3">
      <c r="A459">
        <v>18362</v>
      </c>
      <c r="B459" t="s">
        <v>1892</v>
      </c>
      <c r="C459" s="3">
        <v>41557</v>
      </c>
      <c r="D459" t="s">
        <v>39</v>
      </c>
      <c r="E459">
        <v>19</v>
      </c>
      <c r="F459" s="3">
        <f ca="1">41558+(RANDBETWEEN(1,10))</f>
        <v>41567</v>
      </c>
      <c r="G459" t="s">
        <v>26</v>
      </c>
      <c r="H459" t="s">
        <v>27</v>
      </c>
      <c r="I459" t="s">
        <v>28</v>
      </c>
      <c r="J459">
        <v>480.97</v>
      </c>
      <c r="K459">
        <v>0.03</v>
      </c>
      <c r="L459">
        <v>0.38</v>
      </c>
      <c r="M459">
        <v>1.7150000000000001</v>
      </c>
      <c r="N459">
        <v>331.86930000000001</v>
      </c>
      <c r="O459" s="1" t="s">
        <v>29</v>
      </c>
      <c r="P459" s="1" t="s">
        <v>1893</v>
      </c>
      <c r="Q459" s="1" t="s">
        <v>1894</v>
      </c>
      <c r="R459" s="1" t="s">
        <v>32</v>
      </c>
      <c r="S459" s="1" t="s">
        <v>1895</v>
      </c>
      <c r="T459" s="1" t="s">
        <v>1896</v>
      </c>
      <c r="U459" s="2" t="s">
        <v>1897</v>
      </c>
      <c r="V459" s="2" t="s">
        <v>47</v>
      </c>
      <c r="W459" s="2" t="s">
        <v>203</v>
      </c>
      <c r="X459" s="2">
        <v>25.585000000000001</v>
      </c>
    </row>
    <row r="460" spans="1:24" x14ac:dyDescent="0.3">
      <c r="A460">
        <v>18363</v>
      </c>
      <c r="B460" t="s">
        <v>1892</v>
      </c>
      <c r="C460" s="3">
        <v>41557</v>
      </c>
      <c r="D460" t="s">
        <v>39</v>
      </c>
      <c r="E460">
        <v>12</v>
      </c>
      <c r="F460" s="3">
        <f ca="1">41558+(RANDBETWEEN(1,10))</f>
        <v>41564</v>
      </c>
      <c r="G460" t="s">
        <v>26</v>
      </c>
      <c r="H460" t="s">
        <v>96</v>
      </c>
      <c r="I460" t="s">
        <v>28</v>
      </c>
      <c r="J460">
        <v>745.57</v>
      </c>
      <c r="K460">
        <v>0.01</v>
      </c>
      <c r="L460">
        <v>0.81</v>
      </c>
      <c r="M460">
        <v>8.75</v>
      </c>
      <c r="N460">
        <v>-298.46123999999998</v>
      </c>
      <c r="O460" s="1" t="s">
        <v>29</v>
      </c>
      <c r="P460" s="1" t="s">
        <v>1893</v>
      </c>
      <c r="Q460" s="1" t="s">
        <v>1894</v>
      </c>
      <c r="R460" s="1" t="s">
        <v>32</v>
      </c>
      <c r="S460" s="1" t="s">
        <v>1895</v>
      </c>
      <c r="T460" s="1" t="s">
        <v>1896</v>
      </c>
      <c r="U460" s="2" t="s">
        <v>1282</v>
      </c>
      <c r="V460" s="2" t="s">
        <v>36</v>
      </c>
      <c r="W460" s="2" t="s">
        <v>37</v>
      </c>
      <c r="X460" s="2">
        <v>73.465000000000003</v>
      </c>
    </row>
    <row r="461" spans="1:24" x14ac:dyDescent="0.3">
      <c r="A461">
        <v>18364</v>
      </c>
      <c r="B461" t="s">
        <v>1898</v>
      </c>
      <c r="C461" s="3">
        <v>41053</v>
      </c>
      <c r="D461" t="s">
        <v>25</v>
      </c>
      <c r="E461">
        <v>2</v>
      </c>
      <c r="F461" s="3">
        <f ca="1">41055+(RANDBETWEEN(1,10))</f>
        <v>41057</v>
      </c>
      <c r="G461" t="s">
        <v>26</v>
      </c>
      <c r="H461" t="s">
        <v>51</v>
      </c>
      <c r="I461" t="s">
        <v>28</v>
      </c>
      <c r="J461">
        <v>96.495000000000005</v>
      </c>
      <c r="K461">
        <v>0.08</v>
      </c>
      <c r="L461">
        <v>0.49</v>
      </c>
      <c r="M461">
        <v>6.9649999999999999</v>
      </c>
      <c r="N461">
        <v>-103.985</v>
      </c>
      <c r="O461" s="1" t="s">
        <v>40</v>
      </c>
      <c r="P461" s="1" t="s">
        <v>1899</v>
      </c>
      <c r="Q461" s="1" t="s">
        <v>1900</v>
      </c>
      <c r="R461" s="1" t="s">
        <v>43</v>
      </c>
      <c r="S461" s="1" t="s">
        <v>1901</v>
      </c>
      <c r="T461" s="1" t="s">
        <v>1902</v>
      </c>
      <c r="U461" s="2" t="s">
        <v>1903</v>
      </c>
      <c r="V461" s="2" t="s">
        <v>36</v>
      </c>
      <c r="W461" s="2" t="s">
        <v>60</v>
      </c>
      <c r="X461" s="2">
        <v>50.68</v>
      </c>
    </row>
    <row r="462" spans="1:24" x14ac:dyDescent="0.3">
      <c r="A462">
        <v>18365</v>
      </c>
      <c r="B462" t="s">
        <v>1904</v>
      </c>
      <c r="C462" s="3">
        <v>41886</v>
      </c>
      <c r="D462" t="s">
        <v>62</v>
      </c>
      <c r="E462">
        <v>17</v>
      </c>
      <c r="F462" s="3">
        <f ca="1">41887+(RANDBETWEEN(1,10))</f>
        <v>41888</v>
      </c>
      <c r="G462" t="s">
        <v>26</v>
      </c>
      <c r="H462" t="s">
        <v>27</v>
      </c>
      <c r="I462" t="s">
        <v>97</v>
      </c>
      <c r="J462">
        <v>1359.61</v>
      </c>
      <c r="K462">
        <v>0</v>
      </c>
      <c r="L462">
        <v>0.78</v>
      </c>
      <c r="M462">
        <v>22.75</v>
      </c>
      <c r="N462">
        <v>-270.7054</v>
      </c>
      <c r="O462" s="1" t="s">
        <v>29</v>
      </c>
      <c r="P462" s="1" t="s">
        <v>1367</v>
      </c>
      <c r="Q462" s="1" t="s">
        <v>1368</v>
      </c>
      <c r="R462" s="1" t="s">
        <v>32</v>
      </c>
      <c r="S462" s="1" t="s">
        <v>1369</v>
      </c>
      <c r="T462" s="1" t="s">
        <v>1370</v>
      </c>
      <c r="U462" s="2" t="s">
        <v>1138</v>
      </c>
      <c r="V462" s="2" t="s">
        <v>36</v>
      </c>
      <c r="W462" s="2" t="s">
        <v>60</v>
      </c>
      <c r="X462" s="2">
        <v>73.394999999999996</v>
      </c>
    </row>
    <row r="463" spans="1:24" x14ac:dyDescent="0.3">
      <c r="A463">
        <v>18366</v>
      </c>
      <c r="B463" t="s">
        <v>1904</v>
      </c>
      <c r="C463" s="3">
        <v>41886</v>
      </c>
      <c r="D463" t="s">
        <v>62</v>
      </c>
      <c r="E463">
        <v>12</v>
      </c>
      <c r="F463" s="3">
        <f ca="1">41888+(RANDBETWEEN(1,10))</f>
        <v>41898</v>
      </c>
      <c r="G463" t="s">
        <v>26</v>
      </c>
      <c r="H463" t="s">
        <v>27</v>
      </c>
      <c r="I463" t="s">
        <v>97</v>
      </c>
      <c r="J463">
        <v>208.42500000000001</v>
      </c>
      <c r="K463">
        <v>7.0000000000000007E-2</v>
      </c>
      <c r="L463">
        <v>0.38</v>
      </c>
      <c r="M463">
        <v>19.215</v>
      </c>
      <c r="N463">
        <v>-211.29640000000001</v>
      </c>
      <c r="O463" s="1" t="s">
        <v>29</v>
      </c>
      <c r="P463" s="1" t="s">
        <v>1367</v>
      </c>
      <c r="Q463" s="1" t="s">
        <v>1368</v>
      </c>
      <c r="R463" s="1" t="s">
        <v>32</v>
      </c>
      <c r="S463" s="1" t="s">
        <v>1369</v>
      </c>
      <c r="T463" s="1" t="s">
        <v>1370</v>
      </c>
      <c r="U463" s="2" t="s">
        <v>236</v>
      </c>
      <c r="V463" s="2" t="s">
        <v>47</v>
      </c>
      <c r="W463" s="2" t="s">
        <v>74</v>
      </c>
      <c r="X463" s="2">
        <v>17.43</v>
      </c>
    </row>
    <row r="464" spans="1:24" x14ac:dyDescent="0.3">
      <c r="A464">
        <v>18367</v>
      </c>
      <c r="B464" t="s">
        <v>1905</v>
      </c>
      <c r="C464" s="3">
        <v>41851</v>
      </c>
      <c r="D464" t="s">
        <v>62</v>
      </c>
      <c r="E464">
        <v>10</v>
      </c>
      <c r="F464" s="3">
        <f ca="1">41854+(RANDBETWEEN(1,10))</f>
        <v>41859</v>
      </c>
      <c r="G464" t="s">
        <v>26</v>
      </c>
      <c r="H464" t="s">
        <v>51</v>
      </c>
      <c r="I464" t="s">
        <v>52</v>
      </c>
      <c r="J464">
        <v>81.025000000000006</v>
      </c>
      <c r="K464">
        <v>0.02</v>
      </c>
      <c r="L464">
        <v>0.55000000000000004</v>
      </c>
      <c r="M464">
        <v>6.9649999999999999</v>
      </c>
      <c r="N464">
        <v>-102.23976</v>
      </c>
      <c r="O464" s="1" t="s">
        <v>40</v>
      </c>
      <c r="P464" s="1" t="s">
        <v>1906</v>
      </c>
      <c r="Q464" s="1" t="s">
        <v>1907</v>
      </c>
      <c r="R464" s="1" t="s">
        <v>220</v>
      </c>
      <c r="S464" s="1" t="s">
        <v>1908</v>
      </c>
      <c r="T464" s="1" t="s">
        <v>1909</v>
      </c>
      <c r="U464" s="2" t="s">
        <v>1910</v>
      </c>
      <c r="V464" s="2" t="s">
        <v>36</v>
      </c>
      <c r="W464" s="2" t="s">
        <v>60</v>
      </c>
      <c r="X464" s="2">
        <v>7.42</v>
      </c>
    </row>
    <row r="465" spans="1:24" x14ac:dyDescent="0.3">
      <c r="A465">
        <v>18368</v>
      </c>
      <c r="B465" t="s">
        <v>1905</v>
      </c>
      <c r="C465" s="3">
        <v>41851</v>
      </c>
      <c r="D465" t="s">
        <v>62</v>
      </c>
      <c r="E465">
        <v>2</v>
      </c>
      <c r="F465" s="3">
        <f ca="1">41853+(RANDBETWEEN(1,10))</f>
        <v>41860</v>
      </c>
      <c r="G465" t="s">
        <v>26</v>
      </c>
      <c r="H465" t="s">
        <v>27</v>
      </c>
      <c r="I465" t="s">
        <v>52</v>
      </c>
      <c r="J465">
        <v>90.545000000000002</v>
      </c>
      <c r="K465">
        <v>0.08</v>
      </c>
      <c r="L465">
        <v>0.36</v>
      </c>
      <c r="M465">
        <v>39.375</v>
      </c>
      <c r="N465">
        <v>-118.32744</v>
      </c>
      <c r="O465" s="1" t="s">
        <v>40</v>
      </c>
      <c r="P465" s="1" t="s">
        <v>1906</v>
      </c>
      <c r="Q465" s="1" t="s">
        <v>1907</v>
      </c>
      <c r="R465" s="1" t="s">
        <v>220</v>
      </c>
      <c r="S465" s="1" t="s">
        <v>1908</v>
      </c>
      <c r="T465" s="1" t="s">
        <v>1909</v>
      </c>
      <c r="U465" s="2" t="s">
        <v>1911</v>
      </c>
      <c r="V465" s="2" t="s">
        <v>47</v>
      </c>
      <c r="W465" s="2" t="s">
        <v>74</v>
      </c>
      <c r="X465" s="2">
        <v>39.69</v>
      </c>
    </row>
    <row r="466" spans="1:24" x14ac:dyDescent="0.3">
      <c r="A466">
        <v>18369</v>
      </c>
      <c r="B466" t="s">
        <v>1905</v>
      </c>
      <c r="C466" s="3">
        <v>41851</v>
      </c>
      <c r="D466" t="s">
        <v>62</v>
      </c>
      <c r="E466">
        <v>6</v>
      </c>
      <c r="F466" s="3">
        <f ca="1">41852+(RANDBETWEEN(1,10))</f>
        <v>41855</v>
      </c>
      <c r="G466" t="s">
        <v>156</v>
      </c>
      <c r="H466" t="s">
        <v>27</v>
      </c>
      <c r="I466" t="s">
        <v>52</v>
      </c>
      <c r="J466">
        <v>1014.405</v>
      </c>
      <c r="K466">
        <v>0.04</v>
      </c>
      <c r="L466">
        <v>0.38</v>
      </c>
      <c r="M466">
        <v>20.335000000000001</v>
      </c>
      <c r="N466">
        <v>699.93944999999997</v>
      </c>
      <c r="O466" s="1" t="s">
        <v>40</v>
      </c>
      <c r="P466" s="1" t="s">
        <v>1906</v>
      </c>
      <c r="Q466" s="1" t="s">
        <v>1907</v>
      </c>
      <c r="R466" s="1" t="s">
        <v>220</v>
      </c>
      <c r="S466" s="1" t="s">
        <v>1908</v>
      </c>
      <c r="T466" s="1" t="s">
        <v>1909</v>
      </c>
      <c r="U466" s="2" t="s">
        <v>1912</v>
      </c>
      <c r="V466" s="2" t="s">
        <v>47</v>
      </c>
      <c r="W466" s="2" t="s">
        <v>74</v>
      </c>
      <c r="X466" s="2">
        <v>171.185</v>
      </c>
    </row>
    <row r="467" spans="1:24" x14ac:dyDescent="0.3">
      <c r="A467">
        <v>18370</v>
      </c>
      <c r="B467" t="s">
        <v>1913</v>
      </c>
      <c r="C467" s="3">
        <v>41231</v>
      </c>
      <c r="D467" t="s">
        <v>50</v>
      </c>
      <c r="E467">
        <v>10</v>
      </c>
      <c r="F467" s="3">
        <f ca="1">41232+(RANDBETWEEN(1,10))</f>
        <v>41241</v>
      </c>
      <c r="G467" t="s">
        <v>26</v>
      </c>
      <c r="H467" t="s">
        <v>27</v>
      </c>
      <c r="I467" t="s">
        <v>86</v>
      </c>
      <c r="J467">
        <v>92.68</v>
      </c>
      <c r="K467">
        <v>0.04</v>
      </c>
      <c r="L467">
        <v>0.39</v>
      </c>
      <c r="M467">
        <v>1.75</v>
      </c>
      <c r="N467">
        <v>-59.182200000000002</v>
      </c>
      <c r="O467" s="1" t="s">
        <v>53</v>
      </c>
      <c r="P467" s="1" t="s">
        <v>1914</v>
      </c>
      <c r="Q467" s="1" t="s">
        <v>1915</v>
      </c>
      <c r="R467" s="1" t="s">
        <v>56</v>
      </c>
      <c r="S467" s="1" t="s">
        <v>1916</v>
      </c>
      <c r="T467" s="1" t="s">
        <v>1917</v>
      </c>
      <c r="U467" s="2" t="s">
        <v>1726</v>
      </c>
      <c r="V467" s="2" t="s">
        <v>47</v>
      </c>
      <c r="W467" s="2" t="s">
        <v>203</v>
      </c>
      <c r="X467" s="2">
        <v>9.1349999999999998</v>
      </c>
    </row>
    <row r="468" spans="1:24" x14ac:dyDescent="0.3">
      <c r="A468">
        <v>18371</v>
      </c>
      <c r="B468" t="s">
        <v>1913</v>
      </c>
      <c r="C468" s="3">
        <v>41231</v>
      </c>
      <c r="D468" t="s">
        <v>50</v>
      </c>
      <c r="E468">
        <v>28</v>
      </c>
      <c r="F468" s="3">
        <f ca="1">41232+(RANDBETWEEN(1,10))</f>
        <v>41233</v>
      </c>
      <c r="G468" t="s">
        <v>26</v>
      </c>
      <c r="H468" t="s">
        <v>96</v>
      </c>
      <c r="I468" t="s">
        <v>86</v>
      </c>
      <c r="J468">
        <v>617.85500000000002</v>
      </c>
      <c r="K468">
        <v>0.01</v>
      </c>
      <c r="L468">
        <v>0.6</v>
      </c>
      <c r="M468">
        <v>3.36</v>
      </c>
      <c r="N468">
        <v>-405.83269999999999</v>
      </c>
      <c r="O468" s="1" t="s">
        <v>53</v>
      </c>
      <c r="P468" s="1" t="s">
        <v>1914</v>
      </c>
      <c r="Q468" s="1" t="s">
        <v>1915</v>
      </c>
      <c r="R468" s="1" t="s">
        <v>56</v>
      </c>
      <c r="S468" s="1" t="s">
        <v>1916</v>
      </c>
      <c r="T468" s="1" t="s">
        <v>1917</v>
      </c>
      <c r="U468" s="2" t="s">
        <v>1918</v>
      </c>
      <c r="V468" s="2" t="s">
        <v>47</v>
      </c>
      <c r="W468" s="2" t="s">
        <v>104</v>
      </c>
      <c r="X468" s="2">
        <v>20.93</v>
      </c>
    </row>
    <row r="469" spans="1:24" x14ac:dyDescent="0.3">
      <c r="A469">
        <v>18372</v>
      </c>
      <c r="B469" t="s">
        <v>1919</v>
      </c>
      <c r="C469" s="3">
        <v>41155</v>
      </c>
      <c r="D469" t="s">
        <v>39</v>
      </c>
      <c r="E469">
        <v>2</v>
      </c>
      <c r="F469" s="3">
        <f ca="1">41157+(RANDBETWEEN(1,10))</f>
        <v>41161</v>
      </c>
      <c r="G469" t="s">
        <v>156</v>
      </c>
      <c r="H469" t="s">
        <v>27</v>
      </c>
      <c r="I469" t="s">
        <v>28</v>
      </c>
      <c r="J469">
        <v>2805.7750000000001</v>
      </c>
      <c r="K469">
        <v>0.1</v>
      </c>
      <c r="L469">
        <v>0.35</v>
      </c>
      <c r="M469">
        <v>69.965000000000003</v>
      </c>
      <c r="N469">
        <v>224.87219999999999</v>
      </c>
      <c r="O469" s="1" t="s">
        <v>29</v>
      </c>
      <c r="P469" s="1" t="s">
        <v>1920</v>
      </c>
      <c r="Q469" s="1" t="s">
        <v>1921</v>
      </c>
      <c r="R469" s="1" t="s">
        <v>675</v>
      </c>
      <c r="S469" s="1" t="s">
        <v>1922</v>
      </c>
      <c r="T469" s="1" t="s">
        <v>1923</v>
      </c>
      <c r="U469" s="2" t="s">
        <v>1352</v>
      </c>
      <c r="V469" s="2" t="s">
        <v>47</v>
      </c>
      <c r="W469" s="2" t="s">
        <v>111</v>
      </c>
      <c r="X469" s="2">
        <v>1473.43</v>
      </c>
    </row>
    <row r="470" spans="1:24" x14ac:dyDescent="0.3">
      <c r="A470">
        <v>18373</v>
      </c>
      <c r="B470" t="s">
        <v>1919</v>
      </c>
      <c r="C470" s="3">
        <v>41155</v>
      </c>
      <c r="D470" t="s">
        <v>39</v>
      </c>
      <c r="E470">
        <v>7</v>
      </c>
      <c r="F470" s="3">
        <f ca="1">41156+(RANDBETWEEN(1,10))</f>
        <v>41160</v>
      </c>
      <c r="G470" t="s">
        <v>76</v>
      </c>
      <c r="H470" t="s">
        <v>77</v>
      </c>
      <c r="I470" t="s">
        <v>28</v>
      </c>
      <c r="J470">
        <v>6274.8</v>
      </c>
      <c r="K470">
        <v>0.03</v>
      </c>
      <c r="L470">
        <v>0.55000000000000004</v>
      </c>
      <c r="M470">
        <v>151.62</v>
      </c>
      <c r="N470">
        <v>-354.95600000000002</v>
      </c>
      <c r="O470" s="1" t="s">
        <v>29</v>
      </c>
      <c r="P470" s="1" t="s">
        <v>1920</v>
      </c>
      <c r="Q470" s="1" t="s">
        <v>1921</v>
      </c>
      <c r="R470" s="1" t="s">
        <v>675</v>
      </c>
      <c r="S470" s="1" t="s">
        <v>1922</v>
      </c>
      <c r="T470" s="1" t="s">
        <v>1923</v>
      </c>
      <c r="U470" s="2" t="s">
        <v>1924</v>
      </c>
      <c r="V470" s="2" t="s">
        <v>83</v>
      </c>
      <c r="W470" s="2" t="s">
        <v>84</v>
      </c>
      <c r="X470" s="2">
        <v>853.93</v>
      </c>
    </row>
    <row r="471" spans="1:24" x14ac:dyDescent="0.3">
      <c r="A471">
        <v>18374</v>
      </c>
      <c r="B471" t="s">
        <v>1925</v>
      </c>
      <c r="C471" s="3">
        <v>41621</v>
      </c>
      <c r="D471" t="s">
        <v>50</v>
      </c>
      <c r="E471">
        <v>7</v>
      </c>
      <c r="F471" s="3">
        <f ca="1">41622+(RANDBETWEEN(1,10))</f>
        <v>41626</v>
      </c>
      <c r="G471" t="s">
        <v>76</v>
      </c>
      <c r="H471" t="s">
        <v>258</v>
      </c>
      <c r="I471" t="s">
        <v>28</v>
      </c>
      <c r="J471">
        <v>22171.1</v>
      </c>
      <c r="K471">
        <v>0.04</v>
      </c>
      <c r="L471">
        <v>0.62</v>
      </c>
      <c r="M471">
        <v>155.92500000000001</v>
      </c>
      <c r="N471">
        <v>12192.81</v>
      </c>
      <c r="O471" s="1" t="s">
        <v>29</v>
      </c>
      <c r="P471" s="1" t="s">
        <v>1926</v>
      </c>
      <c r="Q471" s="1" t="s">
        <v>1927</v>
      </c>
      <c r="R471" s="1" t="s">
        <v>32</v>
      </c>
      <c r="S471" s="1" t="s">
        <v>1928</v>
      </c>
      <c r="T471" s="1" t="s">
        <v>1929</v>
      </c>
      <c r="U471" s="2" t="s">
        <v>1930</v>
      </c>
      <c r="V471" s="2" t="s">
        <v>83</v>
      </c>
      <c r="W471" s="2" t="s">
        <v>298</v>
      </c>
      <c r="X471" s="2">
        <v>3083.43</v>
      </c>
    </row>
    <row r="472" spans="1:24" x14ac:dyDescent="0.3">
      <c r="A472">
        <v>18375</v>
      </c>
      <c r="B472" t="s">
        <v>1925</v>
      </c>
      <c r="C472" s="3">
        <v>41621</v>
      </c>
      <c r="D472" t="s">
        <v>50</v>
      </c>
      <c r="E472">
        <v>2</v>
      </c>
      <c r="F472" s="3">
        <f ca="1">41623+(RANDBETWEEN(1,10))</f>
        <v>41625</v>
      </c>
      <c r="G472" t="s">
        <v>26</v>
      </c>
      <c r="H472" t="s">
        <v>51</v>
      </c>
      <c r="I472" t="s">
        <v>28</v>
      </c>
      <c r="J472">
        <v>44.064999999999998</v>
      </c>
      <c r="K472">
        <v>0.09</v>
      </c>
      <c r="L472">
        <v>0.42</v>
      </c>
      <c r="M472">
        <v>18.41</v>
      </c>
      <c r="N472">
        <v>30.40485</v>
      </c>
      <c r="O472" s="1" t="s">
        <v>29</v>
      </c>
      <c r="P472" s="1" t="s">
        <v>1926</v>
      </c>
      <c r="Q472" s="1" t="s">
        <v>1927</v>
      </c>
      <c r="R472" s="1" t="s">
        <v>32</v>
      </c>
      <c r="S472" s="1" t="s">
        <v>1928</v>
      </c>
      <c r="T472" s="1" t="s">
        <v>1929</v>
      </c>
      <c r="U472" s="2" t="s">
        <v>1931</v>
      </c>
      <c r="V472" s="2" t="s">
        <v>83</v>
      </c>
      <c r="W472" s="2" t="s">
        <v>178</v>
      </c>
      <c r="X472" s="2">
        <v>19.145</v>
      </c>
    </row>
    <row r="473" spans="1:24" x14ac:dyDescent="0.3">
      <c r="A473">
        <v>18376</v>
      </c>
      <c r="B473" t="s">
        <v>1925</v>
      </c>
      <c r="C473" s="3">
        <v>41621</v>
      </c>
      <c r="D473" t="s">
        <v>50</v>
      </c>
      <c r="E473">
        <v>15</v>
      </c>
      <c r="F473" s="3">
        <f ca="1">41623+(RANDBETWEEN(1,10))</f>
        <v>41624</v>
      </c>
      <c r="G473" t="s">
        <v>156</v>
      </c>
      <c r="H473" t="s">
        <v>27</v>
      </c>
      <c r="I473" t="s">
        <v>28</v>
      </c>
      <c r="J473">
        <v>377.40499999999997</v>
      </c>
      <c r="K473">
        <v>0.01</v>
      </c>
      <c r="L473">
        <v>0.36</v>
      </c>
      <c r="M473">
        <v>30.59</v>
      </c>
      <c r="N473">
        <v>-219.8</v>
      </c>
      <c r="O473" s="1" t="s">
        <v>53</v>
      </c>
      <c r="P473" s="1" t="s">
        <v>1932</v>
      </c>
      <c r="Q473" s="1" t="s">
        <v>1933</v>
      </c>
      <c r="R473" s="1" t="s">
        <v>56</v>
      </c>
      <c r="S473" s="1" t="s">
        <v>1934</v>
      </c>
      <c r="T473" s="1" t="s">
        <v>1935</v>
      </c>
      <c r="U473" s="2" t="s">
        <v>578</v>
      </c>
      <c r="V473" s="2" t="s">
        <v>47</v>
      </c>
      <c r="W473" s="2" t="s">
        <v>74</v>
      </c>
      <c r="X473" s="2">
        <v>22.68</v>
      </c>
    </row>
    <row r="474" spans="1:24" x14ac:dyDescent="0.3">
      <c r="A474">
        <v>18377</v>
      </c>
      <c r="B474" t="s">
        <v>1936</v>
      </c>
      <c r="C474" s="3">
        <v>41524</v>
      </c>
      <c r="D474" t="s">
        <v>50</v>
      </c>
      <c r="E474">
        <v>8</v>
      </c>
      <c r="F474" s="3">
        <f ca="1">41526+(RANDBETWEEN(1,10))</f>
        <v>41529</v>
      </c>
      <c r="G474" t="s">
        <v>26</v>
      </c>
      <c r="H474" t="s">
        <v>27</v>
      </c>
      <c r="I474" t="s">
        <v>86</v>
      </c>
      <c r="J474">
        <v>84.665000000000006</v>
      </c>
      <c r="K474">
        <v>0.02</v>
      </c>
      <c r="L474">
        <v>0.36</v>
      </c>
      <c r="M474">
        <v>1.75</v>
      </c>
      <c r="N474">
        <v>58.418849999999999</v>
      </c>
      <c r="O474" s="1" t="s">
        <v>40</v>
      </c>
      <c r="P474" s="1" t="s">
        <v>1937</v>
      </c>
      <c r="Q474" s="1" t="s">
        <v>1938</v>
      </c>
      <c r="R474" s="1" t="s">
        <v>43</v>
      </c>
      <c r="S474" s="1" t="s">
        <v>1194</v>
      </c>
      <c r="T474" s="1" t="s">
        <v>1195</v>
      </c>
      <c r="U474" s="2" t="s">
        <v>1939</v>
      </c>
      <c r="V474" s="2" t="s">
        <v>47</v>
      </c>
      <c r="W474" s="2" t="s">
        <v>203</v>
      </c>
      <c r="X474" s="2">
        <v>10.08</v>
      </c>
    </row>
    <row r="475" spans="1:24" x14ac:dyDescent="0.3">
      <c r="A475">
        <v>18378</v>
      </c>
      <c r="B475" t="s">
        <v>1940</v>
      </c>
      <c r="C475" s="3">
        <v>41203</v>
      </c>
      <c r="D475" t="s">
        <v>25</v>
      </c>
      <c r="E475">
        <v>6</v>
      </c>
      <c r="F475" s="3">
        <f ca="1">41208+(RANDBETWEEN(1,10))</f>
        <v>41213</v>
      </c>
      <c r="G475" t="s">
        <v>26</v>
      </c>
      <c r="H475" t="s">
        <v>96</v>
      </c>
      <c r="I475" t="s">
        <v>52</v>
      </c>
      <c r="J475">
        <v>51.87</v>
      </c>
      <c r="K475">
        <v>0.04</v>
      </c>
      <c r="L475">
        <v>0.81</v>
      </c>
      <c r="M475">
        <v>17.5</v>
      </c>
      <c r="N475">
        <v>-227.29140000000001</v>
      </c>
      <c r="O475" s="1" t="s">
        <v>40</v>
      </c>
      <c r="P475" s="1" t="s">
        <v>1941</v>
      </c>
      <c r="Q475" s="1" t="s">
        <v>1942</v>
      </c>
      <c r="R475" s="1" t="s">
        <v>43</v>
      </c>
      <c r="S475" s="1" t="s">
        <v>1943</v>
      </c>
      <c r="T475" s="1" t="s">
        <v>1944</v>
      </c>
      <c r="U475" s="2" t="s">
        <v>1945</v>
      </c>
      <c r="V475" s="2" t="s">
        <v>47</v>
      </c>
      <c r="W475" s="2" t="s">
        <v>94</v>
      </c>
      <c r="X475" s="2">
        <v>7.63</v>
      </c>
    </row>
    <row r="476" spans="1:24" x14ac:dyDescent="0.3">
      <c r="A476">
        <v>18379</v>
      </c>
      <c r="B476" t="s">
        <v>1940</v>
      </c>
      <c r="C476" s="3">
        <v>41203</v>
      </c>
      <c r="D476" t="s">
        <v>25</v>
      </c>
      <c r="E476">
        <v>13</v>
      </c>
      <c r="F476" s="3">
        <f ca="1">41212+(RANDBETWEEN(1,10))</f>
        <v>41213</v>
      </c>
      <c r="G476" t="s">
        <v>76</v>
      </c>
      <c r="H476" t="s">
        <v>258</v>
      </c>
      <c r="I476" t="s">
        <v>52</v>
      </c>
      <c r="J476">
        <v>7890.68</v>
      </c>
      <c r="K476">
        <v>0.02</v>
      </c>
      <c r="L476">
        <v>0.77</v>
      </c>
      <c r="M476">
        <v>243.74</v>
      </c>
      <c r="N476">
        <v>-2845.70496</v>
      </c>
      <c r="O476" s="1" t="s">
        <v>40</v>
      </c>
      <c r="P476" s="1" t="s">
        <v>1941</v>
      </c>
      <c r="Q476" s="1" t="s">
        <v>1942</v>
      </c>
      <c r="R476" s="1" t="s">
        <v>43</v>
      </c>
      <c r="S476" s="1" t="s">
        <v>1943</v>
      </c>
      <c r="T476" s="1" t="s">
        <v>1944</v>
      </c>
      <c r="U476" s="2" t="s">
        <v>1233</v>
      </c>
      <c r="V476" s="2" t="s">
        <v>83</v>
      </c>
      <c r="W476" s="2" t="s">
        <v>263</v>
      </c>
      <c r="X476" s="2">
        <v>765.625</v>
      </c>
    </row>
    <row r="477" spans="1:24" x14ac:dyDescent="0.3">
      <c r="A477">
        <v>18380</v>
      </c>
      <c r="B477" t="s">
        <v>1946</v>
      </c>
      <c r="C477" s="3">
        <v>41935</v>
      </c>
      <c r="D477" t="s">
        <v>25</v>
      </c>
      <c r="E477">
        <v>16</v>
      </c>
      <c r="F477" s="3">
        <f ca="1">41935+(RANDBETWEEN(1,10))</f>
        <v>41944</v>
      </c>
      <c r="G477" t="s">
        <v>26</v>
      </c>
      <c r="H477" t="s">
        <v>96</v>
      </c>
      <c r="I477" t="s">
        <v>28</v>
      </c>
      <c r="J477">
        <v>264.67</v>
      </c>
      <c r="K477">
        <v>0.04</v>
      </c>
      <c r="L477">
        <v>0.36</v>
      </c>
      <c r="M477">
        <v>5.32</v>
      </c>
      <c r="N477">
        <v>38.661000000000001</v>
      </c>
      <c r="O477" s="1" t="s">
        <v>225</v>
      </c>
      <c r="P477" s="1" t="s">
        <v>1947</v>
      </c>
      <c r="Q477" s="1" t="s">
        <v>1948</v>
      </c>
      <c r="R477" s="1" t="s">
        <v>228</v>
      </c>
      <c r="S477" s="1" t="s">
        <v>1949</v>
      </c>
      <c r="T477" s="1" t="s">
        <v>1950</v>
      </c>
      <c r="U477" s="2" t="s">
        <v>1951</v>
      </c>
      <c r="V477" s="2" t="s">
        <v>47</v>
      </c>
      <c r="W477" s="2" t="s">
        <v>74</v>
      </c>
      <c r="X477" s="2">
        <v>16.555</v>
      </c>
    </row>
    <row r="478" spans="1:24" x14ac:dyDescent="0.3">
      <c r="A478">
        <v>18381</v>
      </c>
      <c r="B478" t="s">
        <v>1952</v>
      </c>
      <c r="C478" s="3">
        <v>41175</v>
      </c>
      <c r="D478" t="s">
        <v>25</v>
      </c>
      <c r="E478">
        <v>12</v>
      </c>
      <c r="F478" s="3">
        <f ca="1">41177+(RANDBETWEEN(1,10))</f>
        <v>41180</v>
      </c>
      <c r="G478" t="s">
        <v>26</v>
      </c>
      <c r="H478" t="s">
        <v>51</v>
      </c>
      <c r="I478" t="s">
        <v>28</v>
      </c>
      <c r="J478">
        <v>1677.655</v>
      </c>
      <c r="K478">
        <v>0.08</v>
      </c>
      <c r="L478">
        <v>0.55000000000000004</v>
      </c>
      <c r="M478">
        <v>6.9649999999999999</v>
      </c>
      <c r="N478">
        <v>884.31</v>
      </c>
      <c r="O478" s="1" t="s">
        <v>87</v>
      </c>
      <c r="P478" s="1" t="s">
        <v>1953</v>
      </c>
      <c r="Q478" s="1" t="s">
        <v>1954</v>
      </c>
      <c r="R478" s="1" t="s">
        <v>646</v>
      </c>
      <c r="S478" s="1" t="s">
        <v>1955</v>
      </c>
      <c r="T478" s="1" t="s">
        <v>1956</v>
      </c>
      <c r="U478" s="2" t="s">
        <v>1957</v>
      </c>
      <c r="V478" s="2" t="s">
        <v>36</v>
      </c>
      <c r="W478" s="2" t="s">
        <v>60</v>
      </c>
      <c r="X478" s="2">
        <v>143.36000000000001</v>
      </c>
    </row>
    <row r="479" spans="1:24" x14ac:dyDescent="0.3">
      <c r="A479">
        <v>18382</v>
      </c>
      <c r="B479" t="s">
        <v>1958</v>
      </c>
      <c r="C479" s="3">
        <v>41032</v>
      </c>
      <c r="D479" t="s">
        <v>62</v>
      </c>
      <c r="E479">
        <v>1</v>
      </c>
      <c r="F479" s="3">
        <f ca="1">41033+(RANDBETWEEN(1,10))</f>
        <v>41043</v>
      </c>
      <c r="G479" t="s">
        <v>76</v>
      </c>
      <c r="H479" t="s">
        <v>77</v>
      </c>
      <c r="I479" t="s">
        <v>52</v>
      </c>
      <c r="J479">
        <v>610.29499999999996</v>
      </c>
      <c r="K479">
        <v>0.05</v>
      </c>
      <c r="L479">
        <v>0.55000000000000004</v>
      </c>
      <c r="M479">
        <v>210</v>
      </c>
      <c r="N479">
        <v>-750.8655</v>
      </c>
      <c r="O479" s="1" t="s">
        <v>29</v>
      </c>
      <c r="P479" s="1" t="s">
        <v>1959</v>
      </c>
      <c r="Q479" s="1" t="s">
        <v>1960</v>
      </c>
      <c r="R479" s="1" t="s">
        <v>32</v>
      </c>
      <c r="S479" s="1" t="s">
        <v>1961</v>
      </c>
      <c r="T479" s="1" t="s">
        <v>1962</v>
      </c>
      <c r="U479" s="2" t="s">
        <v>1963</v>
      </c>
      <c r="V479" s="2" t="s">
        <v>83</v>
      </c>
      <c r="W479" s="2" t="s">
        <v>263</v>
      </c>
      <c r="X479" s="2">
        <v>557.58500000000004</v>
      </c>
    </row>
    <row r="480" spans="1:24" x14ac:dyDescent="0.3">
      <c r="A480">
        <v>18383</v>
      </c>
      <c r="B480" t="s">
        <v>1958</v>
      </c>
      <c r="C480" s="3">
        <v>41032</v>
      </c>
      <c r="D480" t="s">
        <v>62</v>
      </c>
      <c r="E480">
        <v>11</v>
      </c>
      <c r="F480" s="3">
        <f ca="1">41034+(RANDBETWEEN(1,10))</f>
        <v>41041</v>
      </c>
      <c r="G480" t="s">
        <v>26</v>
      </c>
      <c r="H480" t="s">
        <v>51</v>
      </c>
      <c r="I480" t="s">
        <v>52</v>
      </c>
      <c r="J480">
        <v>1212.645</v>
      </c>
      <c r="K480">
        <v>0.01</v>
      </c>
      <c r="L480">
        <v>0.56999999999999995</v>
      </c>
      <c r="M480">
        <v>4.375</v>
      </c>
      <c r="N480">
        <v>829.99350000000004</v>
      </c>
      <c r="O480" s="1" t="s">
        <v>29</v>
      </c>
      <c r="P480" s="1" t="s">
        <v>1959</v>
      </c>
      <c r="Q480" s="1" t="s">
        <v>1960</v>
      </c>
      <c r="R480" s="1" t="s">
        <v>32</v>
      </c>
      <c r="S480" s="1" t="s">
        <v>1961</v>
      </c>
      <c r="T480" s="1" t="s">
        <v>1962</v>
      </c>
      <c r="U480" s="2" t="s">
        <v>1964</v>
      </c>
      <c r="V480" s="2" t="s">
        <v>36</v>
      </c>
      <c r="W480" s="2" t="s">
        <v>37</v>
      </c>
      <c r="X480" s="2">
        <v>125.965</v>
      </c>
    </row>
    <row r="481" spans="1:24" x14ac:dyDescent="0.3">
      <c r="A481">
        <v>18384</v>
      </c>
      <c r="B481" t="s">
        <v>1965</v>
      </c>
      <c r="C481" s="3">
        <v>41563</v>
      </c>
      <c r="D481" t="s">
        <v>39</v>
      </c>
      <c r="E481">
        <v>15</v>
      </c>
      <c r="F481" s="3">
        <f ca="1">41565+(RANDBETWEEN(1,10))</f>
        <v>41574</v>
      </c>
      <c r="G481" t="s">
        <v>76</v>
      </c>
      <c r="H481" t="s">
        <v>77</v>
      </c>
      <c r="I481" t="s">
        <v>97</v>
      </c>
      <c r="J481">
        <v>14554.33</v>
      </c>
      <c r="K481">
        <v>0.05</v>
      </c>
      <c r="L481">
        <v>0.59</v>
      </c>
      <c r="M481">
        <v>81.165000000000006</v>
      </c>
      <c r="N481">
        <v>57163.449000000001</v>
      </c>
      <c r="O481" s="1" t="s">
        <v>87</v>
      </c>
      <c r="P481" s="1" t="s">
        <v>1966</v>
      </c>
      <c r="Q481" s="1" t="s">
        <v>1967</v>
      </c>
      <c r="R481" s="1" t="s">
        <v>398</v>
      </c>
      <c r="S481" s="1" t="s">
        <v>1968</v>
      </c>
      <c r="T481" s="1" t="s">
        <v>1969</v>
      </c>
      <c r="U481" s="2" t="s">
        <v>1970</v>
      </c>
      <c r="V481" s="2" t="s">
        <v>47</v>
      </c>
      <c r="W481" s="2" t="s">
        <v>71</v>
      </c>
      <c r="X481" s="2">
        <v>979.33500000000004</v>
      </c>
    </row>
    <row r="482" spans="1:24" x14ac:dyDescent="0.3">
      <c r="A482">
        <v>18385</v>
      </c>
      <c r="B482" t="s">
        <v>1965</v>
      </c>
      <c r="C482" s="3">
        <v>41563</v>
      </c>
      <c r="D482" t="s">
        <v>39</v>
      </c>
      <c r="E482">
        <v>18</v>
      </c>
      <c r="F482" s="3">
        <f ca="1">41564+(RANDBETWEEN(1,10))</f>
        <v>41567</v>
      </c>
      <c r="G482" t="s">
        <v>26</v>
      </c>
      <c r="H482" t="s">
        <v>27</v>
      </c>
      <c r="I482" t="s">
        <v>97</v>
      </c>
      <c r="J482">
        <v>3649.2750000000001</v>
      </c>
      <c r="K482">
        <v>0.02</v>
      </c>
      <c r="L482">
        <v>0.55000000000000004</v>
      </c>
      <c r="M482">
        <v>31.465</v>
      </c>
      <c r="N482">
        <v>3409.7678999999998</v>
      </c>
      <c r="O482" s="1" t="s">
        <v>87</v>
      </c>
      <c r="P482" s="1" t="s">
        <v>1966</v>
      </c>
      <c r="Q482" s="1" t="s">
        <v>1967</v>
      </c>
      <c r="R482" s="1" t="s">
        <v>398</v>
      </c>
      <c r="S482" s="1" t="s">
        <v>1968</v>
      </c>
      <c r="T482" s="1" t="s">
        <v>1969</v>
      </c>
      <c r="U482" s="2" t="s">
        <v>511</v>
      </c>
      <c r="V482" s="2" t="s">
        <v>36</v>
      </c>
      <c r="W482" s="2" t="s">
        <v>37</v>
      </c>
      <c r="X482" s="2">
        <v>230.965</v>
      </c>
    </row>
    <row r="483" spans="1:24" x14ac:dyDescent="0.3">
      <c r="A483">
        <v>18386</v>
      </c>
      <c r="B483" t="s">
        <v>1971</v>
      </c>
      <c r="C483" s="3">
        <v>41539</v>
      </c>
      <c r="D483" t="s">
        <v>148</v>
      </c>
      <c r="E483">
        <v>17</v>
      </c>
      <c r="F483" s="3">
        <f ca="1">41540+(RANDBETWEEN(1,10))</f>
        <v>41541</v>
      </c>
      <c r="G483" t="s">
        <v>26</v>
      </c>
      <c r="H483" t="s">
        <v>27</v>
      </c>
      <c r="I483" t="s">
        <v>86</v>
      </c>
      <c r="J483">
        <v>401.66</v>
      </c>
      <c r="K483">
        <v>0.04</v>
      </c>
      <c r="L483">
        <v>0.37</v>
      </c>
      <c r="M483">
        <v>33.39</v>
      </c>
      <c r="N483">
        <v>-662.65499999999997</v>
      </c>
      <c r="O483" s="1" t="s">
        <v>53</v>
      </c>
      <c r="P483" s="1" t="s">
        <v>1972</v>
      </c>
      <c r="Q483" s="1" t="s">
        <v>1973</v>
      </c>
      <c r="R483" s="1" t="s">
        <v>100</v>
      </c>
      <c r="S483" s="1" t="s">
        <v>1974</v>
      </c>
      <c r="T483" s="1" t="s">
        <v>1975</v>
      </c>
      <c r="U483" s="2" t="s">
        <v>272</v>
      </c>
      <c r="V483" s="2" t="s">
        <v>47</v>
      </c>
      <c r="W483" s="2" t="s">
        <v>74</v>
      </c>
      <c r="X483" s="2">
        <v>22.68</v>
      </c>
    </row>
    <row r="484" spans="1:24" x14ac:dyDescent="0.3">
      <c r="A484">
        <v>18387</v>
      </c>
      <c r="B484" t="s">
        <v>1971</v>
      </c>
      <c r="C484" s="3">
        <v>41539</v>
      </c>
      <c r="D484" t="s">
        <v>148</v>
      </c>
      <c r="E484">
        <v>16</v>
      </c>
      <c r="F484" s="3">
        <f ca="1">41539+(RANDBETWEEN(1,10))</f>
        <v>41548</v>
      </c>
      <c r="G484" t="s">
        <v>156</v>
      </c>
      <c r="H484" t="s">
        <v>27</v>
      </c>
      <c r="I484" t="s">
        <v>86</v>
      </c>
      <c r="J484">
        <v>827.75</v>
      </c>
      <c r="K484">
        <v>0.09</v>
      </c>
      <c r="L484">
        <v>0.57999999999999996</v>
      </c>
      <c r="M484">
        <v>37.380000000000003</v>
      </c>
      <c r="N484">
        <v>-650.29999999999995</v>
      </c>
      <c r="O484" s="1" t="s">
        <v>53</v>
      </c>
      <c r="P484" s="1" t="s">
        <v>1972</v>
      </c>
      <c r="Q484" s="1" t="s">
        <v>1973</v>
      </c>
      <c r="R484" s="1" t="s">
        <v>100</v>
      </c>
      <c r="S484" s="1" t="s">
        <v>1974</v>
      </c>
      <c r="T484" s="1" t="s">
        <v>1975</v>
      </c>
      <c r="U484" s="2" t="s">
        <v>543</v>
      </c>
      <c r="V484" s="2" t="s">
        <v>47</v>
      </c>
      <c r="W484" s="2" t="s">
        <v>119</v>
      </c>
      <c r="X484" s="2">
        <v>53.97</v>
      </c>
    </row>
    <row r="485" spans="1:24" x14ac:dyDescent="0.3">
      <c r="A485">
        <v>18388</v>
      </c>
      <c r="B485" t="s">
        <v>1976</v>
      </c>
      <c r="C485" s="3">
        <v>41260</v>
      </c>
      <c r="D485" t="s">
        <v>50</v>
      </c>
      <c r="E485">
        <v>23</v>
      </c>
      <c r="F485" s="3">
        <f ca="1">41262+(RANDBETWEEN(1,10))</f>
        <v>41268</v>
      </c>
      <c r="G485" t="s">
        <v>26</v>
      </c>
      <c r="H485" t="s">
        <v>27</v>
      </c>
      <c r="I485" t="s">
        <v>28</v>
      </c>
      <c r="J485">
        <v>1419.46</v>
      </c>
      <c r="K485">
        <v>0.08</v>
      </c>
      <c r="L485">
        <v>0.37</v>
      </c>
      <c r="M485">
        <v>31.605</v>
      </c>
      <c r="N485">
        <v>216.66749999999999</v>
      </c>
      <c r="O485" s="1" t="s">
        <v>40</v>
      </c>
      <c r="P485" s="1" t="s">
        <v>957</v>
      </c>
      <c r="Q485" s="1" t="s">
        <v>958</v>
      </c>
      <c r="R485" s="1" t="s">
        <v>220</v>
      </c>
      <c r="S485" s="1" t="s">
        <v>959</v>
      </c>
      <c r="T485" s="1" t="s">
        <v>960</v>
      </c>
      <c r="U485" s="2" t="s">
        <v>482</v>
      </c>
      <c r="V485" s="2" t="s">
        <v>47</v>
      </c>
      <c r="W485" s="2" t="s">
        <v>74</v>
      </c>
      <c r="X485" s="2">
        <v>66.394999999999996</v>
      </c>
    </row>
    <row r="486" spans="1:24" x14ac:dyDescent="0.3">
      <c r="A486">
        <v>18389</v>
      </c>
      <c r="B486" t="s">
        <v>1977</v>
      </c>
      <c r="C486" s="3">
        <v>41662</v>
      </c>
      <c r="D486" t="s">
        <v>39</v>
      </c>
      <c r="E486">
        <v>9</v>
      </c>
      <c r="F486" s="3">
        <f ca="1">41663+(RANDBETWEEN(1,10))</f>
        <v>41668</v>
      </c>
      <c r="G486" t="s">
        <v>26</v>
      </c>
      <c r="H486" t="s">
        <v>51</v>
      </c>
      <c r="I486" t="s">
        <v>86</v>
      </c>
      <c r="J486">
        <v>2113.58</v>
      </c>
      <c r="K486">
        <v>0.1</v>
      </c>
      <c r="L486">
        <v>0.39</v>
      </c>
      <c r="M486">
        <v>4.375</v>
      </c>
      <c r="N486">
        <v>2686.6770000000001</v>
      </c>
      <c r="O486" s="1" t="s">
        <v>87</v>
      </c>
      <c r="P486" s="1" t="s">
        <v>931</v>
      </c>
      <c r="Q486" s="1" t="s">
        <v>932</v>
      </c>
      <c r="R486" s="1" t="s">
        <v>646</v>
      </c>
      <c r="S486" s="1" t="s">
        <v>933</v>
      </c>
      <c r="T486" s="1" t="s">
        <v>934</v>
      </c>
      <c r="U486" s="2" t="s">
        <v>1978</v>
      </c>
      <c r="V486" s="2" t="s">
        <v>36</v>
      </c>
      <c r="W486" s="2" t="s">
        <v>37</v>
      </c>
      <c r="X486" s="2">
        <v>300.96499999999997</v>
      </c>
    </row>
    <row r="487" spans="1:24" x14ac:dyDescent="0.3">
      <c r="A487">
        <v>18390</v>
      </c>
      <c r="B487" t="s">
        <v>1977</v>
      </c>
      <c r="C487" s="3">
        <v>41662</v>
      </c>
      <c r="D487" t="s">
        <v>39</v>
      </c>
      <c r="E487">
        <v>2</v>
      </c>
      <c r="F487" s="3">
        <f ca="1">41663+(RANDBETWEEN(1,10))</f>
        <v>41669</v>
      </c>
      <c r="G487" t="s">
        <v>26</v>
      </c>
      <c r="H487" t="s">
        <v>27</v>
      </c>
      <c r="I487" t="s">
        <v>86</v>
      </c>
      <c r="J487">
        <v>145.42500000000001</v>
      </c>
      <c r="K487">
        <v>0.09</v>
      </c>
      <c r="L487">
        <v>0.78</v>
      </c>
      <c r="M487">
        <v>22.75</v>
      </c>
      <c r="N487">
        <v>324.76499999999999</v>
      </c>
      <c r="O487" s="1" t="s">
        <v>29</v>
      </c>
      <c r="P487" s="1" t="s">
        <v>1979</v>
      </c>
      <c r="Q487" s="1" t="s">
        <v>1980</v>
      </c>
      <c r="R487" s="1" t="s">
        <v>32</v>
      </c>
      <c r="S487" s="1" t="s">
        <v>1981</v>
      </c>
      <c r="T487" s="1" t="s">
        <v>1982</v>
      </c>
      <c r="U487" s="2" t="s">
        <v>1138</v>
      </c>
      <c r="V487" s="2" t="s">
        <v>36</v>
      </c>
      <c r="W487" s="2" t="s">
        <v>60</v>
      </c>
      <c r="X487" s="2">
        <v>73.394999999999996</v>
      </c>
    </row>
    <row r="488" spans="1:24" x14ac:dyDescent="0.3">
      <c r="A488">
        <v>18391</v>
      </c>
      <c r="B488" t="s">
        <v>1977</v>
      </c>
      <c r="C488" s="3">
        <v>41662</v>
      </c>
      <c r="D488" t="s">
        <v>39</v>
      </c>
      <c r="E488">
        <v>3</v>
      </c>
      <c r="F488" s="3">
        <f ca="1">41664+(RANDBETWEEN(1,10))</f>
        <v>41668</v>
      </c>
      <c r="G488" t="s">
        <v>26</v>
      </c>
      <c r="H488" t="s">
        <v>27</v>
      </c>
      <c r="I488" t="s">
        <v>86</v>
      </c>
      <c r="J488">
        <v>1488.55</v>
      </c>
      <c r="K488">
        <v>0.01</v>
      </c>
      <c r="L488">
        <v>0.55000000000000004</v>
      </c>
      <c r="M488">
        <v>13.65</v>
      </c>
      <c r="N488">
        <v>-144.501</v>
      </c>
      <c r="O488" s="1" t="s">
        <v>29</v>
      </c>
      <c r="P488" s="1" t="s">
        <v>1979</v>
      </c>
      <c r="Q488" s="1" t="s">
        <v>1980</v>
      </c>
      <c r="R488" s="1" t="s">
        <v>32</v>
      </c>
      <c r="S488" s="1" t="s">
        <v>1981</v>
      </c>
      <c r="T488" s="1" t="s">
        <v>1982</v>
      </c>
      <c r="U488" s="2" t="s">
        <v>1983</v>
      </c>
      <c r="V488" s="2" t="s">
        <v>36</v>
      </c>
      <c r="W488" s="2" t="s">
        <v>37</v>
      </c>
      <c r="X488" s="2">
        <v>545.96500000000003</v>
      </c>
    </row>
    <row r="489" spans="1:24" x14ac:dyDescent="0.3">
      <c r="A489">
        <v>18392</v>
      </c>
      <c r="B489" t="s">
        <v>1984</v>
      </c>
      <c r="C489" s="3">
        <v>41758</v>
      </c>
      <c r="D489" t="s">
        <v>25</v>
      </c>
      <c r="E489">
        <v>4</v>
      </c>
      <c r="F489" s="3">
        <f ca="1">41767+(RANDBETWEEN(1,10))</f>
        <v>41777</v>
      </c>
      <c r="G489" t="s">
        <v>76</v>
      </c>
      <c r="H489" t="s">
        <v>258</v>
      </c>
      <c r="I489" t="s">
        <v>28</v>
      </c>
      <c r="J489">
        <v>3363.15</v>
      </c>
      <c r="K489">
        <v>0.1</v>
      </c>
      <c r="L489">
        <v>0.59</v>
      </c>
      <c r="M489">
        <v>146.685</v>
      </c>
      <c r="N489">
        <v>345.625</v>
      </c>
      <c r="O489" s="1" t="s">
        <v>87</v>
      </c>
      <c r="P489" s="1" t="s">
        <v>1378</v>
      </c>
      <c r="Q489" s="1" t="s">
        <v>1379</v>
      </c>
      <c r="R489" s="1" t="s">
        <v>398</v>
      </c>
      <c r="S489" s="1" t="s">
        <v>1380</v>
      </c>
      <c r="T489" s="1" t="s">
        <v>1381</v>
      </c>
      <c r="U489" s="2" t="s">
        <v>1985</v>
      </c>
      <c r="V489" s="2" t="s">
        <v>83</v>
      </c>
      <c r="W489" s="2" t="s">
        <v>298</v>
      </c>
      <c r="X489" s="2">
        <v>913.43</v>
      </c>
    </row>
    <row r="490" spans="1:24" x14ac:dyDescent="0.3">
      <c r="A490">
        <v>18393</v>
      </c>
      <c r="B490" t="s">
        <v>1986</v>
      </c>
      <c r="C490" s="3">
        <v>41067</v>
      </c>
      <c r="D490" t="s">
        <v>62</v>
      </c>
      <c r="E490">
        <v>14</v>
      </c>
      <c r="F490" s="3">
        <f ca="1">41070+(RANDBETWEEN(1,10))</f>
        <v>41075</v>
      </c>
      <c r="G490" t="s">
        <v>156</v>
      </c>
      <c r="H490" t="s">
        <v>27</v>
      </c>
      <c r="I490" t="s">
        <v>86</v>
      </c>
      <c r="J490">
        <v>2791.67</v>
      </c>
      <c r="K490">
        <v>0.02</v>
      </c>
      <c r="L490">
        <v>0.59</v>
      </c>
      <c r="M490">
        <v>13.965</v>
      </c>
      <c r="N490">
        <v>1926.2523000000001</v>
      </c>
      <c r="O490" s="1" t="s">
        <v>40</v>
      </c>
      <c r="P490" s="1" t="s">
        <v>1987</v>
      </c>
      <c r="Q490" s="1" t="s">
        <v>1988</v>
      </c>
      <c r="R490" s="1" t="s">
        <v>43</v>
      </c>
      <c r="S490" s="1" t="s">
        <v>1989</v>
      </c>
      <c r="T490" s="1" t="s">
        <v>1990</v>
      </c>
      <c r="U490" s="2" t="s">
        <v>1991</v>
      </c>
      <c r="V490" s="2" t="s">
        <v>36</v>
      </c>
      <c r="W490" s="2" t="s">
        <v>37</v>
      </c>
      <c r="X490" s="2">
        <v>230.965</v>
      </c>
    </row>
    <row r="491" spans="1:24" x14ac:dyDescent="0.3">
      <c r="A491">
        <v>18394</v>
      </c>
      <c r="B491" t="s">
        <v>1992</v>
      </c>
      <c r="C491" s="3">
        <v>40641</v>
      </c>
      <c r="D491" t="s">
        <v>25</v>
      </c>
      <c r="E491">
        <v>12</v>
      </c>
      <c r="F491" s="3">
        <f ca="1">40645+(RANDBETWEEN(1,10))</f>
        <v>40650</v>
      </c>
      <c r="G491" t="s">
        <v>26</v>
      </c>
      <c r="H491" t="s">
        <v>51</v>
      </c>
      <c r="I491" t="s">
        <v>52</v>
      </c>
      <c r="J491">
        <v>1730.7149999999999</v>
      </c>
      <c r="K491">
        <v>0.06</v>
      </c>
      <c r="L491">
        <v>0.42</v>
      </c>
      <c r="M491">
        <v>6.9649999999999999</v>
      </c>
      <c r="N491">
        <v>1194.19335</v>
      </c>
      <c r="O491" s="1" t="s">
        <v>87</v>
      </c>
      <c r="P491" s="1" t="s">
        <v>1993</v>
      </c>
      <c r="Q491" s="1" t="s">
        <v>1994</v>
      </c>
      <c r="R491" s="1" t="s">
        <v>90</v>
      </c>
      <c r="S491" s="1" t="s">
        <v>1995</v>
      </c>
      <c r="T491" s="1" t="s">
        <v>1996</v>
      </c>
      <c r="U491" s="2" t="s">
        <v>1997</v>
      </c>
      <c r="V491" s="2" t="s">
        <v>36</v>
      </c>
      <c r="W491" s="2" t="s">
        <v>60</v>
      </c>
      <c r="X491" s="2">
        <v>143.39500000000001</v>
      </c>
    </row>
    <row r="492" spans="1:24" x14ac:dyDescent="0.3">
      <c r="A492">
        <v>18395</v>
      </c>
      <c r="B492" t="s">
        <v>1998</v>
      </c>
      <c r="C492" s="3">
        <v>40683</v>
      </c>
      <c r="D492" t="s">
        <v>50</v>
      </c>
      <c r="E492">
        <v>14</v>
      </c>
      <c r="F492" s="3">
        <f ca="1">40684+(RANDBETWEEN(1,10))</f>
        <v>40688</v>
      </c>
      <c r="G492" t="s">
        <v>156</v>
      </c>
      <c r="H492" t="s">
        <v>27</v>
      </c>
      <c r="I492" t="s">
        <v>86</v>
      </c>
      <c r="J492">
        <v>2737</v>
      </c>
      <c r="K492">
        <v>0.01</v>
      </c>
      <c r="L492">
        <v>0.56000000000000005</v>
      </c>
      <c r="M492">
        <v>31.465</v>
      </c>
      <c r="N492">
        <v>1389.402</v>
      </c>
      <c r="O492" s="1" t="s">
        <v>40</v>
      </c>
      <c r="P492" s="1" t="s">
        <v>1412</v>
      </c>
      <c r="Q492" s="1" t="s">
        <v>1413</v>
      </c>
      <c r="R492" s="1" t="s">
        <v>43</v>
      </c>
      <c r="S492" s="1" t="s">
        <v>1414</v>
      </c>
      <c r="T492" s="1" t="s">
        <v>1415</v>
      </c>
      <c r="U492" s="2">
        <v>5180</v>
      </c>
      <c r="V492" s="2" t="s">
        <v>36</v>
      </c>
      <c r="W492" s="2" t="s">
        <v>37</v>
      </c>
      <c r="X492" s="2">
        <v>230.965</v>
      </c>
    </row>
    <row r="493" spans="1:24" x14ac:dyDescent="0.3">
      <c r="A493">
        <v>18396</v>
      </c>
      <c r="B493" t="s">
        <v>1999</v>
      </c>
      <c r="C493" s="3">
        <v>41231</v>
      </c>
      <c r="D493" t="s">
        <v>39</v>
      </c>
      <c r="E493">
        <v>26</v>
      </c>
      <c r="F493" s="3">
        <f ca="1">41233+(RANDBETWEEN(1,10))</f>
        <v>41241</v>
      </c>
      <c r="G493" t="s">
        <v>26</v>
      </c>
      <c r="H493" t="s">
        <v>51</v>
      </c>
      <c r="I493" t="s">
        <v>86</v>
      </c>
      <c r="J493">
        <v>2109.59</v>
      </c>
      <c r="K493">
        <v>0.03</v>
      </c>
      <c r="L493">
        <v>0.46</v>
      </c>
      <c r="M493">
        <v>6.9649999999999999</v>
      </c>
      <c r="N493">
        <v>1455.6170999999999</v>
      </c>
      <c r="O493" s="1" t="s">
        <v>64</v>
      </c>
      <c r="P493" s="1" t="s">
        <v>1702</v>
      </c>
      <c r="Q493" s="1" t="s">
        <v>1703</v>
      </c>
      <c r="R493" s="1" t="s">
        <v>67</v>
      </c>
      <c r="S493" s="1" t="s">
        <v>1704</v>
      </c>
      <c r="T493" s="1" t="s">
        <v>1705</v>
      </c>
      <c r="U493" s="2" t="s">
        <v>1595</v>
      </c>
      <c r="V493" s="2" t="s">
        <v>36</v>
      </c>
      <c r="W493" s="2" t="s">
        <v>60</v>
      </c>
      <c r="X493" s="2">
        <v>80.430000000000007</v>
      </c>
    </row>
    <row r="494" spans="1:24" x14ac:dyDescent="0.3">
      <c r="A494">
        <v>18397</v>
      </c>
      <c r="B494" t="s">
        <v>1999</v>
      </c>
      <c r="C494" s="3">
        <v>41231</v>
      </c>
      <c r="D494" t="s">
        <v>39</v>
      </c>
      <c r="E494">
        <v>35</v>
      </c>
      <c r="F494" s="3">
        <f ca="1">41233+(RANDBETWEEN(1,10))</f>
        <v>41237</v>
      </c>
      <c r="G494" t="s">
        <v>26</v>
      </c>
      <c r="H494" t="s">
        <v>96</v>
      </c>
      <c r="I494" t="s">
        <v>86</v>
      </c>
      <c r="J494">
        <v>455.91</v>
      </c>
      <c r="K494">
        <v>0.02</v>
      </c>
      <c r="L494">
        <v>0.39</v>
      </c>
      <c r="M494">
        <v>2.4849999999999999</v>
      </c>
      <c r="N494">
        <v>314.5779</v>
      </c>
      <c r="O494" s="1" t="s">
        <v>64</v>
      </c>
      <c r="P494" s="1" t="s">
        <v>1702</v>
      </c>
      <c r="Q494" s="1" t="s">
        <v>1703</v>
      </c>
      <c r="R494" s="1" t="s">
        <v>67</v>
      </c>
      <c r="S494" s="1" t="s">
        <v>1704</v>
      </c>
      <c r="T494" s="1" t="s">
        <v>1705</v>
      </c>
      <c r="U494" s="2" t="s">
        <v>2000</v>
      </c>
      <c r="V494" s="2" t="s">
        <v>47</v>
      </c>
      <c r="W494" s="2" t="s">
        <v>176</v>
      </c>
      <c r="X494" s="2">
        <v>13.23</v>
      </c>
    </row>
    <row r="495" spans="1:24" x14ac:dyDescent="0.3">
      <c r="A495">
        <v>18398</v>
      </c>
      <c r="B495" t="s">
        <v>1999</v>
      </c>
      <c r="C495" s="3">
        <v>41231</v>
      </c>
      <c r="D495" t="s">
        <v>39</v>
      </c>
      <c r="E495">
        <v>9</v>
      </c>
      <c r="F495" s="3">
        <f ca="1">41231+(RANDBETWEEN(1,10))</f>
        <v>41234</v>
      </c>
      <c r="G495" t="s">
        <v>26</v>
      </c>
      <c r="H495" t="s">
        <v>27</v>
      </c>
      <c r="I495" t="s">
        <v>86</v>
      </c>
      <c r="J495">
        <v>1151.71</v>
      </c>
      <c r="K495">
        <v>0.03</v>
      </c>
      <c r="L495">
        <v>0.56999999999999995</v>
      </c>
      <c r="M495">
        <v>28.77</v>
      </c>
      <c r="N495">
        <v>121.429</v>
      </c>
      <c r="O495" s="1" t="s">
        <v>64</v>
      </c>
      <c r="P495" s="1" t="s">
        <v>1702</v>
      </c>
      <c r="Q495" s="1" t="s">
        <v>1703</v>
      </c>
      <c r="R495" s="1" t="s">
        <v>67</v>
      </c>
      <c r="S495" s="1" t="s">
        <v>1704</v>
      </c>
      <c r="T495" s="1" t="s">
        <v>1705</v>
      </c>
      <c r="U495" s="2" t="s">
        <v>2001</v>
      </c>
      <c r="V495" s="2" t="s">
        <v>47</v>
      </c>
      <c r="W495" s="2" t="s">
        <v>119</v>
      </c>
      <c r="X495" s="2">
        <v>121.66</v>
      </c>
    </row>
    <row r="496" spans="1:24" x14ac:dyDescent="0.3">
      <c r="A496">
        <v>18399</v>
      </c>
      <c r="B496" t="s">
        <v>1999</v>
      </c>
      <c r="C496" s="3">
        <v>41231</v>
      </c>
      <c r="D496" t="s">
        <v>39</v>
      </c>
      <c r="E496">
        <v>9</v>
      </c>
      <c r="F496" s="3">
        <f ca="1">41233+(RANDBETWEEN(1,10))</f>
        <v>41243</v>
      </c>
      <c r="G496" t="s">
        <v>26</v>
      </c>
      <c r="H496" t="s">
        <v>27</v>
      </c>
      <c r="I496" t="s">
        <v>86</v>
      </c>
      <c r="J496">
        <v>1813.0350000000001</v>
      </c>
      <c r="K496">
        <v>0.04</v>
      </c>
      <c r="L496">
        <v>0.56000000000000005</v>
      </c>
      <c r="M496">
        <v>19.704999999999998</v>
      </c>
      <c r="N496">
        <v>60.560499999999998</v>
      </c>
      <c r="O496" s="1" t="s">
        <v>64</v>
      </c>
      <c r="P496" s="1" t="s">
        <v>1702</v>
      </c>
      <c r="Q496" s="1" t="s">
        <v>1703</v>
      </c>
      <c r="R496" s="1" t="s">
        <v>67</v>
      </c>
      <c r="S496" s="1" t="s">
        <v>1704</v>
      </c>
      <c r="T496" s="1" t="s">
        <v>1705</v>
      </c>
      <c r="U496" s="2">
        <v>2190</v>
      </c>
      <c r="V496" s="2" t="s">
        <v>36</v>
      </c>
      <c r="W496" s="2" t="s">
        <v>37</v>
      </c>
      <c r="X496" s="2">
        <v>230.965</v>
      </c>
    </row>
    <row r="497" spans="1:24" x14ac:dyDescent="0.3">
      <c r="A497">
        <v>18400</v>
      </c>
      <c r="B497" t="s">
        <v>2002</v>
      </c>
      <c r="C497" s="3">
        <v>40635</v>
      </c>
      <c r="D497" t="s">
        <v>39</v>
      </c>
      <c r="E497">
        <v>4</v>
      </c>
      <c r="F497" s="3">
        <f ca="1">40637+(RANDBETWEEN(1,10))</f>
        <v>40639</v>
      </c>
      <c r="G497" t="s">
        <v>26</v>
      </c>
      <c r="H497" t="s">
        <v>27</v>
      </c>
      <c r="I497" t="s">
        <v>97</v>
      </c>
      <c r="J497">
        <v>1249.22</v>
      </c>
      <c r="K497">
        <v>0.04</v>
      </c>
      <c r="L497">
        <v>0.56000000000000005</v>
      </c>
      <c r="M497">
        <v>3.4649999999999999</v>
      </c>
      <c r="N497">
        <v>861.96180000000004</v>
      </c>
      <c r="O497" s="1" t="s">
        <v>53</v>
      </c>
      <c r="P497" s="1" t="s">
        <v>2003</v>
      </c>
      <c r="Q497" s="1" t="s">
        <v>2004</v>
      </c>
      <c r="R497" s="1" t="s">
        <v>440</v>
      </c>
      <c r="S497" s="1" t="s">
        <v>2005</v>
      </c>
      <c r="T497" s="1" t="s">
        <v>2006</v>
      </c>
      <c r="U497" s="2" t="s">
        <v>2007</v>
      </c>
      <c r="V497" s="2" t="s">
        <v>47</v>
      </c>
      <c r="W497" s="2" t="s">
        <v>71</v>
      </c>
      <c r="X497" s="2">
        <v>315.83999999999997</v>
      </c>
    </row>
    <row r="498" spans="1:24" x14ac:dyDescent="0.3">
      <c r="A498">
        <v>18401</v>
      </c>
      <c r="B498" t="s">
        <v>2002</v>
      </c>
      <c r="C498" s="3">
        <v>40635</v>
      </c>
      <c r="D498" t="s">
        <v>39</v>
      </c>
      <c r="E498">
        <v>3</v>
      </c>
      <c r="F498" s="3">
        <f ca="1">40637+(RANDBETWEEN(1,10))</f>
        <v>40643</v>
      </c>
      <c r="G498" t="s">
        <v>156</v>
      </c>
      <c r="H498" t="s">
        <v>27</v>
      </c>
      <c r="I498" t="s">
        <v>97</v>
      </c>
      <c r="J498">
        <v>476.56</v>
      </c>
      <c r="K498">
        <v>0.09</v>
      </c>
      <c r="L498">
        <v>0.37</v>
      </c>
      <c r="M498">
        <v>20.51</v>
      </c>
      <c r="N498">
        <v>328.82639999999998</v>
      </c>
      <c r="O498" s="1" t="s">
        <v>53</v>
      </c>
      <c r="P498" s="1" t="s">
        <v>2003</v>
      </c>
      <c r="Q498" s="1" t="s">
        <v>2004</v>
      </c>
      <c r="R498" s="1" t="s">
        <v>440</v>
      </c>
      <c r="S498" s="1" t="s">
        <v>2005</v>
      </c>
      <c r="T498" s="1" t="s">
        <v>2006</v>
      </c>
      <c r="U498" s="2" t="s">
        <v>2008</v>
      </c>
      <c r="V498" s="2" t="s">
        <v>47</v>
      </c>
      <c r="W498" s="2" t="s">
        <v>74</v>
      </c>
      <c r="X498" s="2">
        <v>167.65</v>
      </c>
    </row>
    <row r="499" spans="1:24" x14ac:dyDescent="0.3">
      <c r="A499">
        <v>18402</v>
      </c>
      <c r="B499" t="s">
        <v>2009</v>
      </c>
      <c r="C499" s="3">
        <v>41676</v>
      </c>
      <c r="D499" t="s">
        <v>50</v>
      </c>
      <c r="E499">
        <v>8</v>
      </c>
      <c r="F499" s="3">
        <f ca="1">41676+(RANDBETWEEN(1,10))</f>
        <v>41684</v>
      </c>
      <c r="G499" t="s">
        <v>26</v>
      </c>
      <c r="H499" t="s">
        <v>27</v>
      </c>
      <c r="I499" t="s">
        <v>28</v>
      </c>
      <c r="J499">
        <v>687.22500000000002</v>
      </c>
      <c r="K499">
        <v>0.03</v>
      </c>
      <c r="L499">
        <v>0.39</v>
      </c>
      <c r="M499">
        <v>10.465</v>
      </c>
      <c r="N499">
        <v>474.18525</v>
      </c>
      <c r="O499" s="1" t="s">
        <v>64</v>
      </c>
      <c r="P499" s="1" t="s">
        <v>2010</v>
      </c>
      <c r="Q499" s="1" t="s">
        <v>2011</v>
      </c>
      <c r="R499" s="1" t="s">
        <v>128</v>
      </c>
      <c r="S499" s="1" t="s">
        <v>2012</v>
      </c>
      <c r="T499" s="1" t="s">
        <v>2013</v>
      </c>
      <c r="U499" s="2" t="s">
        <v>1757</v>
      </c>
      <c r="V499" s="2" t="s">
        <v>47</v>
      </c>
      <c r="W499" s="2" t="s">
        <v>111</v>
      </c>
      <c r="X499" s="2">
        <v>87.325000000000003</v>
      </c>
    </row>
    <row r="500" spans="1:24" x14ac:dyDescent="0.3">
      <c r="A500">
        <v>18403</v>
      </c>
      <c r="B500" t="s">
        <v>2009</v>
      </c>
      <c r="C500" s="3">
        <v>41676</v>
      </c>
      <c r="D500" t="s">
        <v>50</v>
      </c>
      <c r="E500">
        <v>13</v>
      </c>
      <c r="F500" s="3">
        <f ca="1">41676+(RANDBETWEEN(1,10))</f>
        <v>41686</v>
      </c>
      <c r="G500" t="s">
        <v>26</v>
      </c>
      <c r="H500" t="s">
        <v>27</v>
      </c>
      <c r="I500" t="s">
        <v>28</v>
      </c>
      <c r="J500">
        <v>314.93</v>
      </c>
      <c r="K500">
        <v>0</v>
      </c>
      <c r="L500">
        <v>0.36</v>
      </c>
      <c r="M500">
        <v>20.51</v>
      </c>
      <c r="N500">
        <v>-267.89</v>
      </c>
      <c r="O500" s="1" t="s">
        <v>64</v>
      </c>
      <c r="P500" s="1" t="s">
        <v>2010</v>
      </c>
      <c r="Q500" s="1" t="s">
        <v>2011</v>
      </c>
      <c r="R500" s="1" t="s">
        <v>128</v>
      </c>
      <c r="S500" s="1" t="s">
        <v>2012</v>
      </c>
      <c r="T500" s="1" t="s">
        <v>2013</v>
      </c>
      <c r="U500" s="2" t="s">
        <v>2014</v>
      </c>
      <c r="V500" s="2" t="s">
        <v>47</v>
      </c>
      <c r="W500" s="2" t="s">
        <v>74</v>
      </c>
      <c r="X500" s="2">
        <v>22.68</v>
      </c>
    </row>
    <row r="501" spans="1:24" x14ac:dyDescent="0.3">
      <c r="A501">
        <v>18404</v>
      </c>
      <c r="B501" t="s">
        <v>2015</v>
      </c>
      <c r="C501" s="3">
        <v>40650</v>
      </c>
      <c r="D501" t="s">
        <v>62</v>
      </c>
      <c r="E501">
        <v>6</v>
      </c>
      <c r="F501" s="3">
        <f ca="1">40651+(RANDBETWEEN(1,10))</f>
        <v>40658</v>
      </c>
      <c r="G501" t="s">
        <v>26</v>
      </c>
      <c r="H501" t="s">
        <v>27</v>
      </c>
      <c r="I501" t="s">
        <v>86</v>
      </c>
      <c r="J501">
        <v>1129.6949999999999</v>
      </c>
      <c r="K501">
        <v>0.06</v>
      </c>
      <c r="L501">
        <v>0.74</v>
      </c>
      <c r="M501">
        <v>14</v>
      </c>
      <c r="N501">
        <v>-48.195</v>
      </c>
      <c r="O501" s="1" t="s">
        <v>225</v>
      </c>
      <c r="P501" s="1" t="s">
        <v>2016</v>
      </c>
      <c r="Q501" s="1" t="s">
        <v>2017</v>
      </c>
      <c r="R501" s="1" t="s">
        <v>391</v>
      </c>
      <c r="S501" s="1" t="s">
        <v>2018</v>
      </c>
      <c r="T501" s="1" t="s">
        <v>2019</v>
      </c>
      <c r="U501" s="2" t="s">
        <v>2020</v>
      </c>
      <c r="V501" s="2" t="s">
        <v>36</v>
      </c>
      <c r="W501" s="2" t="s">
        <v>60</v>
      </c>
      <c r="X501" s="2">
        <v>195.79</v>
      </c>
    </row>
    <row r="502" spans="1:24" x14ac:dyDescent="0.3">
      <c r="A502">
        <v>18405</v>
      </c>
      <c r="B502" t="s">
        <v>2015</v>
      </c>
      <c r="C502" s="3">
        <v>40650</v>
      </c>
      <c r="D502" t="s">
        <v>62</v>
      </c>
      <c r="E502">
        <v>11</v>
      </c>
      <c r="F502" s="3">
        <f ca="1">40650+(RANDBETWEEN(1,10))</f>
        <v>40655</v>
      </c>
      <c r="G502" t="s">
        <v>26</v>
      </c>
      <c r="H502" t="s">
        <v>27</v>
      </c>
      <c r="I502" t="s">
        <v>86</v>
      </c>
      <c r="J502">
        <v>227.815</v>
      </c>
      <c r="K502">
        <v>7.0000000000000007E-2</v>
      </c>
      <c r="L502">
        <v>0.39</v>
      </c>
      <c r="M502">
        <v>1.75</v>
      </c>
      <c r="N502">
        <v>157.19235</v>
      </c>
      <c r="O502" s="1" t="s">
        <v>225</v>
      </c>
      <c r="P502" s="1" t="s">
        <v>2016</v>
      </c>
      <c r="Q502" s="1" t="s">
        <v>2017</v>
      </c>
      <c r="R502" s="1" t="s">
        <v>391</v>
      </c>
      <c r="S502" s="1" t="s">
        <v>2018</v>
      </c>
      <c r="T502" s="1" t="s">
        <v>2019</v>
      </c>
      <c r="U502" s="2" t="s">
        <v>2021</v>
      </c>
      <c r="V502" s="2" t="s">
        <v>47</v>
      </c>
      <c r="W502" s="2" t="s">
        <v>203</v>
      </c>
      <c r="X502" s="2">
        <v>22.05</v>
      </c>
    </row>
    <row r="503" spans="1:24" x14ac:dyDescent="0.3">
      <c r="A503">
        <v>18406</v>
      </c>
      <c r="B503" t="s">
        <v>2022</v>
      </c>
      <c r="C503" s="3">
        <v>41474</v>
      </c>
      <c r="D503" t="s">
        <v>62</v>
      </c>
      <c r="E503">
        <v>13</v>
      </c>
      <c r="F503" s="3">
        <f ca="1">41474+(RANDBETWEEN(1,10))</f>
        <v>41482</v>
      </c>
      <c r="G503" t="s">
        <v>76</v>
      </c>
      <c r="H503" t="s">
        <v>77</v>
      </c>
      <c r="I503" t="s">
        <v>28</v>
      </c>
      <c r="J503">
        <v>4146.87</v>
      </c>
      <c r="K503">
        <v>7.0000000000000007E-2</v>
      </c>
      <c r="L503">
        <v>0.56999999999999995</v>
      </c>
      <c r="M503">
        <v>260.22500000000002</v>
      </c>
      <c r="N503">
        <v>-6181.0349999999999</v>
      </c>
      <c r="O503" s="1" t="s">
        <v>64</v>
      </c>
      <c r="P503" s="1" t="s">
        <v>2023</v>
      </c>
      <c r="Q503" s="1" t="s">
        <v>2024</v>
      </c>
      <c r="R503" s="1" t="s">
        <v>67</v>
      </c>
      <c r="S503" s="1" t="s">
        <v>2025</v>
      </c>
      <c r="T503" s="1" t="s">
        <v>2026</v>
      </c>
      <c r="U503" s="2" t="s">
        <v>1560</v>
      </c>
      <c r="V503" s="2" t="s">
        <v>83</v>
      </c>
      <c r="W503" s="2" t="s">
        <v>84</v>
      </c>
      <c r="X503" s="2">
        <v>335.82499999999999</v>
      </c>
    </row>
    <row r="504" spans="1:24" x14ac:dyDescent="0.3">
      <c r="A504">
        <v>18407</v>
      </c>
      <c r="B504" t="s">
        <v>2027</v>
      </c>
      <c r="C504" s="3">
        <v>41474</v>
      </c>
      <c r="D504" t="s">
        <v>39</v>
      </c>
      <c r="E504">
        <v>14</v>
      </c>
      <c r="F504" s="3">
        <f ca="1">41475+(RANDBETWEEN(1,10))</f>
        <v>41476</v>
      </c>
      <c r="G504" t="s">
        <v>156</v>
      </c>
      <c r="H504" t="s">
        <v>51</v>
      </c>
      <c r="I504" t="s">
        <v>28</v>
      </c>
      <c r="J504">
        <v>664.19500000000005</v>
      </c>
      <c r="K504">
        <v>0.05</v>
      </c>
      <c r="L504">
        <v>0.6</v>
      </c>
      <c r="M504">
        <v>10.99</v>
      </c>
      <c r="N504">
        <v>-80.212999999999994</v>
      </c>
      <c r="O504" s="1" t="s">
        <v>40</v>
      </c>
      <c r="P504" s="1" t="s">
        <v>2028</v>
      </c>
      <c r="Q504" s="1" t="s">
        <v>2029</v>
      </c>
      <c r="R504" s="1" t="s">
        <v>43</v>
      </c>
      <c r="S504" s="1" t="s">
        <v>2030</v>
      </c>
      <c r="T504" s="1" t="s">
        <v>2031</v>
      </c>
      <c r="U504" s="2" t="s">
        <v>536</v>
      </c>
      <c r="V504" s="2" t="s">
        <v>47</v>
      </c>
      <c r="W504" s="2" t="s">
        <v>94</v>
      </c>
      <c r="X504" s="2">
        <v>45.43</v>
      </c>
    </row>
    <row r="505" spans="1:24" x14ac:dyDescent="0.3">
      <c r="A505">
        <v>18408</v>
      </c>
      <c r="B505" t="s">
        <v>2032</v>
      </c>
      <c r="C505" s="3">
        <v>41237</v>
      </c>
      <c r="D505" t="s">
        <v>50</v>
      </c>
      <c r="E505">
        <v>21</v>
      </c>
      <c r="F505" s="3">
        <f ca="1">41239+(RANDBETWEEN(1,10))</f>
        <v>41244</v>
      </c>
      <c r="G505" t="s">
        <v>26</v>
      </c>
      <c r="H505" t="s">
        <v>27</v>
      </c>
      <c r="I505" t="s">
        <v>86</v>
      </c>
      <c r="J505">
        <v>2432.7449999999999</v>
      </c>
      <c r="K505">
        <v>0</v>
      </c>
      <c r="L505">
        <v>0.64</v>
      </c>
      <c r="M505">
        <v>22.75</v>
      </c>
      <c r="N505">
        <v>-1643.0539125</v>
      </c>
      <c r="O505" s="1" t="s">
        <v>53</v>
      </c>
      <c r="P505" s="1" t="s">
        <v>1914</v>
      </c>
      <c r="Q505" s="1" t="s">
        <v>1915</v>
      </c>
      <c r="R505" s="1" t="s">
        <v>56</v>
      </c>
      <c r="S505" s="1" t="s">
        <v>1916</v>
      </c>
      <c r="T505" s="1" t="s">
        <v>1917</v>
      </c>
      <c r="U505" s="2" t="s">
        <v>2033</v>
      </c>
      <c r="V505" s="2" t="s">
        <v>36</v>
      </c>
      <c r="W505" s="2" t="s">
        <v>60</v>
      </c>
      <c r="X505" s="2">
        <v>108.43</v>
      </c>
    </row>
    <row r="506" spans="1:24" x14ac:dyDescent="0.3">
      <c r="A506">
        <v>18409</v>
      </c>
      <c r="B506" t="s">
        <v>2034</v>
      </c>
      <c r="C506" s="3">
        <v>40773</v>
      </c>
      <c r="D506" t="s">
        <v>39</v>
      </c>
      <c r="E506">
        <v>3</v>
      </c>
      <c r="F506" s="3">
        <f ca="1">40774+(RANDBETWEEN(1,10))</f>
        <v>40776</v>
      </c>
      <c r="G506" t="s">
        <v>26</v>
      </c>
      <c r="H506" t="s">
        <v>27</v>
      </c>
      <c r="I506" t="s">
        <v>97</v>
      </c>
      <c r="J506">
        <v>68.88</v>
      </c>
      <c r="K506">
        <v>0.01</v>
      </c>
      <c r="L506">
        <v>0.36</v>
      </c>
      <c r="M506">
        <v>26.11</v>
      </c>
      <c r="N506">
        <v>-64.673699999999997</v>
      </c>
      <c r="O506" s="1" t="s">
        <v>225</v>
      </c>
      <c r="P506" s="1" t="s">
        <v>1792</v>
      </c>
      <c r="Q506" s="1" t="s">
        <v>1793</v>
      </c>
      <c r="R506" s="1" t="s">
        <v>228</v>
      </c>
      <c r="S506" s="1" t="s">
        <v>1794</v>
      </c>
      <c r="T506" s="1" t="s">
        <v>548</v>
      </c>
      <c r="U506" s="2" t="s">
        <v>2035</v>
      </c>
      <c r="V506" s="2" t="s">
        <v>47</v>
      </c>
      <c r="W506" s="2" t="s">
        <v>111</v>
      </c>
      <c r="X506" s="2">
        <v>19.04</v>
      </c>
    </row>
    <row r="507" spans="1:24" x14ac:dyDescent="0.3">
      <c r="A507">
        <v>18410</v>
      </c>
      <c r="B507" t="s">
        <v>2034</v>
      </c>
      <c r="C507" s="3">
        <v>40773</v>
      </c>
      <c r="D507" t="s">
        <v>39</v>
      </c>
      <c r="E507">
        <v>18</v>
      </c>
      <c r="F507" s="3">
        <f ca="1">40775+(RANDBETWEEN(1,10))</f>
        <v>40778</v>
      </c>
      <c r="G507" t="s">
        <v>76</v>
      </c>
      <c r="H507" t="s">
        <v>77</v>
      </c>
      <c r="I507" t="s">
        <v>97</v>
      </c>
      <c r="J507">
        <v>34295.94</v>
      </c>
      <c r="K507">
        <v>0.02</v>
      </c>
      <c r="L507">
        <v>0.35</v>
      </c>
      <c r="M507">
        <v>171.5</v>
      </c>
      <c r="N507">
        <v>-1336.4441999999999</v>
      </c>
      <c r="O507" s="1" t="s">
        <v>225</v>
      </c>
      <c r="P507" s="1" t="s">
        <v>1792</v>
      </c>
      <c r="Q507" s="1" t="s">
        <v>1793</v>
      </c>
      <c r="R507" s="1" t="s">
        <v>228</v>
      </c>
      <c r="S507" s="1" t="s">
        <v>1794</v>
      </c>
      <c r="T507" s="1" t="s">
        <v>548</v>
      </c>
      <c r="U507" s="2" t="s">
        <v>2036</v>
      </c>
      <c r="V507" s="2" t="s">
        <v>36</v>
      </c>
      <c r="W507" s="2" t="s">
        <v>1327</v>
      </c>
      <c r="X507" s="2">
        <v>1924.9649999999999</v>
      </c>
    </row>
    <row r="508" spans="1:24" x14ac:dyDescent="0.3">
      <c r="A508">
        <v>18411</v>
      </c>
      <c r="B508" t="s">
        <v>2034</v>
      </c>
      <c r="C508" s="3">
        <v>40773</v>
      </c>
      <c r="D508" t="s">
        <v>39</v>
      </c>
      <c r="E508">
        <v>7</v>
      </c>
      <c r="F508" s="3">
        <f ca="1">40774+(RANDBETWEEN(1,10))</f>
        <v>40781</v>
      </c>
      <c r="G508" t="s">
        <v>156</v>
      </c>
      <c r="H508" t="s">
        <v>51</v>
      </c>
      <c r="I508" t="s">
        <v>97</v>
      </c>
      <c r="J508">
        <v>539.38499999999999</v>
      </c>
      <c r="K508">
        <v>0.03</v>
      </c>
      <c r="L508">
        <v>0.59</v>
      </c>
      <c r="M508">
        <v>19.355</v>
      </c>
      <c r="N508">
        <v>43.926400000000001</v>
      </c>
      <c r="O508" s="1" t="s">
        <v>225</v>
      </c>
      <c r="P508" s="1" t="s">
        <v>1792</v>
      </c>
      <c r="Q508" s="1" t="s">
        <v>1793</v>
      </c>
      <c r="R508" s="1" t="s">
        <v>228</v>
      </c>
      <c r="S508" s="1" t="s">
        <v>1794</v>
      </c>
      <c r="T508" s="1" t="s">
        <v>548</v>
      </c>
      <c r="U508" s="2" t="s">
        <v>2037</v>
      </c>
      <c r="V508" s="2" t="s">
        <v>47</v>
      </c>
      <c r="W508" s="2" t="s">
        <v>104</v>
      </c>
      <c r="X508" s="2">
        <v>77.034999999999997</v>
      </c>
    </row>
    <row r="509" spans="1:24" x14ac:dyDescent="0.3">
      <c r="A509">
        <v>18412</v>
      </c>
      <c r="B509" t="s">
        <v>2034</v>
      </c>
      <c r="C509" s="3">
        <v>40773</v>
      </c>
      <c r="D509" t="s">
        <v>39</v>
      </c>
      <c r="E509">
        <v>7</v>
      </c>
      <c r="F509" s="3">
        <f ca="1">40775+(RANDBETWEEN(1,10))</f>
        <v>40778</v>
      </c>
      <c r="G509" t="s">
        <v>26</v>
      </c>
      <c r="H509" t="s">
        <v>27</v>
      </c>
      <c r="I509" t="s">
        <v>97</v>
      </c>
      <c r="J509">
        <v>850.39499999999998</v>
      </c>
      <c r="K509">
        <v>0.09</v>
      </c>
      <c r="L509">
        <v>0.56999999999999995</v>
      </c>
      <c r="M509">
        <v>28.77</v>
      </c>
      <c r="N509">
        <v>158.6634</v>
      </c>
      <c r="O509" s="1" t="s">
        <v>225</v>
      </c>
      <c r="P509" s="1" t="s">
        <v>1792</v>
      </c>
      <c r="Q509" s="1" t="s">
        <v>1793</v>
      </c>
      <c r="R509" s="1" t="s">
        <v>228</v>
      </c>
      <c r="S509" s="1" t="s">
        <v>1794</v>
      </c>
      <c r="T509" s="1" t="s">
        <v>548</v>
      </c>
      <c r="U509" s="2" t="s">
        <v>2001</v>
      </c>
      <c r="V509" s="2" t="s">
        <v>47</v>
      </c>
      <c r="W509" s="2" t="s">
        <v>119</v>
      </c>
      <c r="X509" s="2">
        <v>121.66</v>
      </c>
    </row>
    <row r="510" spans="1:24" x14ac:dyDescent="0.3">
      <c r="A510">
        <v>18413</v>
      </c>
      <c r="B510" t="s">
        <v>2038</v>
      </c>
      <c r="C510" s="3">
        <v>40825</v>
      </c>
      <c r="D510" t="s">
        <v>39</v>
      </c>
      <c r="E510">
        <v>21</v>
      </c>
      <c r="F510" s="3">
        <f ca="1">40825+(RANDBETWEEN(1,10))</f>
        <v>40834</v>
      </c>
      <c r="G510" t="s">
        <v>26</v>
      </c>
      <c r="H510" t="s">
        <v>27</v>
      </c>
      <c r="I510" t="s">
        <v>28</v>
      </c>
      <c r="J510">
        <v>299.74</v>
      </c>
      <c r="K510">
        <v>0</v>
      </c>
      <c r="L510">
        <v>0.37</v>
      </c>
      <c r="M510">
        <v>24.535</v>
      </c>
      <c r="N510">
        <v>-893.09114999999997</v>
      </c>
      <c r="O510" s="1" t="s">
        <v>225</v>
      </c>
      <c r="P510" s="1" t="s">
        <v>2039</v>
      </c>
      <c r="Q510" s="1" t="s">
        <v>2040</v>
      </c>
      <c r="R510" s="1" t="s">
        <v>228</v>
      </c>
      <c r="S510" s="1" t="s">
        <v>2041</v>
      </c>
      <c r="T510" s="1" t="s">
        <v>2042</v>
      </c>
      <c r="U510" s="2" t="s">
        <v>2043</v>
      </c>
      <c r="V510" s="2" t="s">
        <v>47</v>
      </c>
      <c r="W510" s="2" t="s">
        <v>111</v>
      </c>
      <c r="X510" s="2">
        <v>13.615</v>
      </c>
    </row>
    <row r="511" spans="1:24" x14ac:dyDescent="0.3">
      <c r="A511">
        <v>18414</v>
      </c>
      <c r="B511" t="s">
        <v>2038</v>
      </c>
      <c r="C511" s="3">
        <v>40825</v>
      </c>
      <c r="D511" t="s">
        <v>39</v>
      </c>
      <c r="E511">
        <v>22</v>
      </c>
      <c r="F511" s="3">
        <f ca="1">40827+(RANDBETWEEN(1,10))</f>
        <v>40834</v>
      </c>
      <c r="G511" t="s">
        <v>76</v>
      </c>
      <c r="H511" t="s">
        <v>77</v>
      </c>
      <c r="I511" t="s">
        <v>28</v>
      </c>
      <c r="J511">
        <v>8778.5249999999996</v>
      </c>
      <c r="K511">
        <v>0.09</v>
      </c>
      <c r="L511">
        <v>0.64</v>
      </c>
      <c r="M511">
        <v>105</v>
      </c>
      <c r="N511">
        <v>259.01679999999999</v>
      </c>
      <c r="O511" s="1" t="s">
        <v>225</v>
      </c>
      <c r="P511" s="1" t="s">
        <v>2039</v>
      </c>
      <c r="Q511" s="1" t="s">
        <v>2040</v>
      </c>
      <c r="R511" s="1" t="s">
        <v>228</v>
      </c>
      <c r="S511" s="1" t="s">
        <v>2041</v>
      </c>
      <c r="T511" s="1" t="s">
        <v>2042</v>
      </c>
      <c r="U511" s="2" t="s">
        <v>2044</v>
      </c>
      <c r="V511" s="2" t="s">
        <v>83</v>
      </c>
      <c r="W511" s="2" t="s">
        <v>84</v>
      </c>
      <c r="X511" s="2">
        <v>423.43</v>
      </c>
    </row>
    <row r="512" spans="1:24" x14ac:dyDescent="0.3">
      <c r="A512">
        <v>18415</v>
      </c>
      <c r="B512" t="s">
        <v>2038</v>
      </c>
      <c r="C512" s="3">
        <v>40825</v>
      </c>
      <c r="D512" t="s">
        <v>39</v>
      </c>
      <c r="E512">
        <v>8</v>
      </c>
      <c r="F512" s="3">
        <f ca="1">40826+(RANDBETWEEN(1,10))</f>
        <v>40834</v>
      </c>
      <c r="G512" t="s">
        <v>26</v>
      </c>
      <c r="H512" t="s">
        <v>27</v>
      </c>
      <c r="I512" t="s">
        <v>28</v>
      </c>
      <c r="J512">
        <v>789.67</v>
      </c>
      <c r="K512">
        <v>0.1</v>
      </c>
      <c r="L512">
        <v>0.4</v>
      </c>
      <c r="M512">
        <v>20.16</v>
      </c>
      <c r="N512">
        <v>382.98680000000002</v>
      </c>
      <c r="O512" s="1" t="s">
        <v>225</v>
      </c>
      <c r="P512" s="1" t="s">
        <v>2039</v>
      </c>
      <c r="Q512" s="1" t="s">
        <v>2040</v>
      </c>
      <c r="R512" s="1" t="s">
        <v>228</v>
      </c>
      <c r="S512" s="1" t="s">
        <v>2041</v>
      </c>
      <c r="T512" s="1" t="s">
        <v>2042</v>
      </c>
      <c r="U512" s="2" t="s">
        <v>2045</v>
      </c>
      <c r="V512" s="2" t="s">
        <v>47</v>
      </c>
      <c r="W512" s="2" t="s">
        <v>74</v>
      </c>
      <c r="X512" s="2">
        <v>108.43</v>
      </c>
    </row>
    <row r="513" spans="1:24" x14ac:dyDescent="0.3">
      <c r="A513">
        <v>18416</v>
      </c>
      <c r="B513" t="s">
        <v>2046</v>
      </c>
      <c r="C513" s="3">
        <v>40805</v>
      </c>
      <c r="D513" t="s">
        <v>39</v>
      </c>
      <c r="E513">
        <v>16</v>
      </c>
      <c r="F513" s="3">
        <f ca="1">40806+(RANDBETWEEN(1,10))</f>
        <v>40815</v>
      </c>
      <c r="G513" t="s">
        <v>26</v>
      </c>
      <c r="H513" t="s">
        <v>51</v>
      </c>
      <c r="I513" t="s">
        <v>28</v>
      </c>
      <c r="J513">
        <v>1260.105</v>
      </c>
      <c r="K513">
        <v>0</v>
      </c>
      <c r="L513">
        <v>0.55000000000000004</v>
      </c>
      <c r="M513">
        <v>10.045</v>
      </c>
      <c r="N513">
        <v>73.835999999999999</v>
      </c>
      <c r="O513" s="1" t="s">
        <v>40</v>
      </c>
      <c r="P513" s="1" t="s">
        <v>2047</v>
      </c>
      <c r="Q513" s="1" t="s">
        <v>2048</v>
      </c>
      <c r="R513" s="1" t="s">
        <v>43</v>
      </c>
      <c r="S513" s="1" t="s">
        <v>2049</v>
      </c>
      <c r="T513" s="1" t="s">
        <v>2050</v>
      </c>
      <c r="U513" s="2" t="s">
        <v>2051</v>
      </c>
      <c r="V513" s="2" t="s">
        <v>47</v>
      </c>
      <c r="W513" s="2" t="s">
        <v>104</v>
      </c>
      <c r="X513" s="2">
        <v>76.930000000000007</v>
      </c>
    </row>
    <row r="514" spans="1:24" x14ac:dyDescent="0.3">
      <c r="A514">
        <v>18417</v>
      </c>
      <c r="B514" t="s">
        <v>2052</v>
      </c>
      <c r="C514" s="3">
        <v>40651</v>
      </c>
      <c r="D514" t="s">
        <v>148</v>
      </c>
      <c r="E514">
        <v>4</v>
      </c>
      <c r="F514" s="3">
        <f ca="1">40652+(RANDBETWEEN(1,10))</f>
        <v>40662</v>
      </c>
      <c r="G514" t="s">
        <v>26</v>
      </c>
      <c r="H514" t="s">
        <v>27</v>
      </c>
      <c r="I514" t="s">
        <v>97</v>
      </c>
      <c r="J514">
        <v>3830.1550000000002</v>
      </c>
      <c r="K514">
        <v>0.1</v>
      </c>
      <c r="L514">
        <v>0.48</v>
      </c>
      <c r="M514">
        <v>25.13</v>
      </c>
      <c r="N514">
        <v>483.06299999999999</v>
      </c>
      <c r="O514" s="1" t="s">
        <v>40</v>
      </c>
      <c r="P514" s="1" t="s">
        <v>2053</v>
      </c>
      <c r="Q514" s="1" t="s">
        <v>2054</v>
      </c>
      <c r="R514" s="1" t="s">
        <v>43</v>
      </c>
      <c r="S514" s="1" t="s">
        <v>2055</v>
      </c>
      <c r="T514" s="1" t="s">
        <v>2056</v>
      </c>
      <c r="U514" s="2" t="s">
        <v>2057</v>
      </c>
      <c r="V514" s="2" t="s">
        <v>36</v>
      </c>
      <c r="W514" s="2" t="s">
        <v>60</v>
      </c>
      <c r="X514" s="2">
        <v>1053.395</v>
      </c>
    </row>
    <row r="515" spans="1:24" x14ac:dyDescent="0.3">
      <c r="A515">
        <v>18418</v>
      </c>
      <c r="B515" t="s">
        <v>2052</v>
      </c>
      <c r="C515" s="3">
        <v>40651</v>
      </c>
      <c r="D515" t="s">
        <v>148</v>
      </c>
      <c r="E515">
        <v>10</v>
      </c>
      <c r="F515" s="3">
        <f ca="1">40653+(RANDBETWEEN(1,10))</f>
        <v>40661</v>
      </c>
      <c r="G515" t="s">
        <v>26</v>
      </c>
      <c r="H515" t="s">
        <v>96</v>
      </c>
      <c r="I515" t="s">
        <v>97</v>
      </c>
      <c r="J515">
        <v>1364.895</v>
      </c>
      <c r="K515">
        <v>0.06</v>
      </c>
      <c r="L515">
        <v>0.53</v>
      </c>
      <c r="M515">
        <v>10.64</v>
      </c>
      <c r="N515">
        <v>136.059</v>
      </c>
      <c r="O515" s="1" t="s">
        <v>53</v>
      </c>
      <c r="P515" s="1" t="s">
        <v>2058</v>
      </c>
      <c r="Q515" s="1" t="s">
        <v>2059</v>
      </c>
      <c r="R515" s="1" t="s">
        <v>440</v>
      </c>
      <c r="S515" s="1" t="s">
        <v>2060</v>
      </c>
      <c r="T515" s="1" t="s">
        <v>2061</v>
      </c>
      <c r="U515" s="2" t="s">
        <v>1089</v>
      </c>
      <c r="V515" s="2" t="s">
        <v>83</v>
      </c>
      <c r="W515" s="2" t="s">
        <v>178</v>
      </c>
      <c r="X515" s="2">
        <v>139.61500000000001</v>
      </c>
    </row>
    <row r="516" spans="1:24" x14ac:dyDescent="0.3">
      <c r="A516">
        <v>18419</v>
      </c>
      <c r="B516" t="s">
        <v>2062</v>
      </c>
      <c r="C516" s="3">
        <v>40888</v>
      </c>
      <c r="D516" t="s">
        <v>148</v>
      </c>
      <c r="E516">
        <v>17</v>
      </c>
      <c r="F516" s="3">
        <f ca="1">40890+(RANDBETWEEN(1,10))</f>
        <v>40896</v>
      </c>
      <c r="G516" t="s">
        <v>26</v>
      </c>
      <c r="H516" t="s">
        <v>51</v>
      </c>
      <c r="I516" t="s">
        <v>28</v>
      </c>
      <c r="J516">
        <v>910.03499999999997</v>
      </c>
      <c r="K516">
        <v>0.05</v>
      </c>
      <c r="L516">
        <v>0.46</v>
      </c>
      <c r="M516">
        <v>13.055</v>
      </c>
      <c r="N516">
        <v>4083.1979999999999</v>
      </c>
      <c r="O516" s="1" t="s">
        <v>40</v>
      </c>
      <c r="P516" s="1" t="s">
        <v>2047</v>
      </c>
      <c r="Q516" s="1" t="s">
        <v>2048</v>
      </c>
      <c r="R516" s="1" t="s">
        <v>43</v>
      </c>
      <c r="S516" s="1" t="s">
        <v>2049</v>
      </c>
      <c r="T516" s="1" t="s">
        <v>2050</v>
      </c>
      <c r="U516" s="2" t="s">
        <v>2063</v>
      </c>
      <c r="V516" s="2" t="s">
        <v>83</v>
      </c>
      <c r="W516" s="2" t="s">
        <v>178</v>
      </c>
      <c r="X516" s="2">
        <v>54.88</v>
      </c>
    </row>
    <row r="517" spans="1:24" x14ac:dyDescent="0.3">
      <c r="A517">
        <v>18420</v>
      </c>
      <c r="B517" t="s">
        <v>2062</v>
      </c>
      <c r="C517" s="3">
        <v>40888</v>
      </c>
      <c r="D517" t="s">
        <v>148</v>
      </c>
      <c r="E517">
        <v>18</v>
      </c>
      <c r="F517" s="3">
        <f ca="1">40889+(RANDBETWEEN(1,10))</f>
        <v>40896</v>
      </c>
      <c r="G517" t="s">
        <v>26</v>
      </c>
      <c r="H517" t="s">
        <v>51</v>
      </c>
      <c r="I517" t="s">
        <v>28</v>
      </c>
      <c r="J517">
        <v>958.26499999999999</v>
      </c>
      <c r="K517">
        <v>0</v>
      </c>
      <c r="L517">
        <v>0.39</v>
      </c>
      <c r="M517">
        <v>31.465</v>
      </c>
      <c r="N517">
        <v>-142.1147</v>
      </c>
      <c r="O517" s="1" t="s">
        <v>40</v>
      </c>
      <c r="P517" s="1" t="s">
        <v>2047</v>
      </c>
      <c r="Q517" s="1" t="s">
        <v>2048</v>
      </c>
      <c r="R517" s="1" t="s">
        <v>43</v>
      </c>
      <c r="S517" s="1" t="s">
        <v>2049</v>
      </c>
      <c r="T517" s="1" t="s">
        <v>2050</v>
      </c>
      <c r="U517" s="2" t="s">
        <v>2064</v>
      </c>
      <c r="V517" s="2" t="s">
        <v>83</v>
      </c>
      <c r="W517" s="2" t="s">
        <v>178</v>
      </c>
      <c r="X517" s="2">
        <v>52.43</v>
      </c>
    </row>
    <row r="518" spans="1:24" x14ac:dyDescent="0.3">
      <c r="A518">
        <v>18421</v>
      </c>
      <c r="B518" t="s">
        <v>2062</v>
      </c>
      <c r="C518" s="3">
        <v>40888</v>
      </c>
      <c r="D518" t="s">
        <v>148</v>
      </c>
      <c r="E518">
        <v>1</v>
      </c>
      <c r="F518" s="3">
        <f ca="1">40889+(RANDBETWEEN(1,10))</f>
        <v>40891</v>
      </c>
      <c r="G518" t="s">
        <v>26</v>
      </c>
      <c r="H518" t="s">
        <v>27</v>
      </c>
      <c r="I518" t="s">
        <v>28</v>
      </c>
      <c r="J518">
        <v>156.16999999999999</v>
      </c>
      <c r="K518">
        <v>0.02</v>
      </c>
      <c r="L518">
        <v>0.36</v>
      </c>
      <c r="M518">
        <v>46.41</v>
      </c>
      <c r="N518">
        <v>-1029.2940000000001</v>
      </c>
      <c r="O518" s="1" t="s">
        <v>40</v>
      </c>
      <c r="P518" s="1" t="s">
        <v>2047</v>
      </c>
      <c r="Q518" s="1" t="s">
        <v>2048</v>
      </c>
      <c r="R518" s="1" t="s">
        <v>43</v>
      </c>
      <c r="S518" s="1" t="s">
        <v>2049</v>
      </c>
      <c r="T518" s="1" t="s">
        <v>2050</v>
      </c>
      <c r="U518" s="2" t="s">
        <v>2065</v>
      </c>
      <c r="V518" s="2" t="s">
        <v>47</v>
      </c>
      <c r="W518" s="2" t="s">
        <v>74</v>
      </c>
      <c r="X518" s="2">
        <v>135.66</v>
      </c>
    </row>
    <row r="519" spans="1:24" x14ac:dyDescent="0.3">
      <c r="A519">
        <v>18422</v>
      </c>
      <c r="B519" t="s">
        <v>2066</v>
      </c>
      <c r="C519" s="3">
        <v>41525</v>
      </c>
      <c r="D519" t="s">
        <v>39</v>
      </c>
      <c r="E519">
        <v>8</v>
      </c>
      <c r="F519" s="3">
        <f ca="1">41526+(RANDBETWEEN(1,10))</f>
        <v>41529</v>
      </c>
      <c r="G519" t="s">
        <v>26</v>
      </c>
      <c r="H519" t="s">
        <v>27</v>
      </c>
      <c r="I519" t="s">
        <v>97</v>
      </c>
      <c r="J519">
        <v>588.70000000000005</v>
      </c>
      <c r="K519">
        <v>0.08</v>
      </c>
      <c r="L519">
        <v>0.78</v>
      </c>
      <c r="M519">
        <v>22.75</v>
      </c>
      <c r="N519">
        <v>-475.93</v>
      </c>
      <c r="O519" s="1" t="s">
        <v>53</v>
      </c>
      <c r="P519" s="1" t="s">
        <v>2067</v>
      </c>
      <c r="Q519" s="1" t="s">
        <v>2068</v>
      </c>
      <c r="R519" s="1" t="s">
        <v>56</v>
      </c>
      <c r="S519" s="1" t="s">
        <v>2069</v>
      </c>
      <c r="T519" s="1" t="s">
        <v>2070</v>
      </c>
      <c r="U519" s="2" t="s">
        <v>1138</v>
      </c>
      <c r="V519" s="2" t="s">
        <v>36</v>
      </c>
      <c r="W519" s="2" t="s">
        <v>60</v>
      </c>
      <c r="X519" s="2">
        <v>73.394999999999996</v>
      </c>
    </row>
    <row r="520" spans="1:24" x14ac:dyDescent="0.3">
      <c r="A520">
        <v>18423</v>
      </c>
      <c r="B520" t="s">
        <v>2066</v>
      </c>
      <c r="C520" s="3">
        <v>41525</v>
      </c>
      <c r="D520" t="s">
        <v>39</v>
      </c>
      <c r="E520">
        <v>10</v>
      </c>
      <c r="F520" s="3">
        <f ca="1">41526+(RANDBETWEEN(1,10))</f>
        <v>41532</v>
      </c>
      <c r="G520" t="s">
        <v>76</v>
      </c>
      <c r="H520" t="s">
        <v>77</v>
      </c>
      <c r="I520" t="s">
        <v>97</v>
      </c>
      <c r="J520">
        <v>7923.4750000000004</v>
      </c>
      <c r="K520">
        <v>0</v>
      </c>
      <c r="L520">
        <v>0.72</v>
      </c>
      <c r="M520">
        <v>100.31</v>
      </c>
      <c r="N520">
        <v>1049.58</v>
      </c>
      <c r="O520" s="1" t="s">
        <v>53</v>
      </c>
      <c r="P520" s="1" t="s">
        <v>2067</v>
      </c>
      <c r="Q520" s="1" t="s">
        <v>2068</v>
      </c>
      <c r="R520" s="1" t="s">
        <v>56</v>
      </c>
      <c r="S520" s="1" t="s">
        <v>2069</v>
      </c>
      <c r="T520" s="1" t="s">
        <v>2070</v>
      </c>
      <c r="U520" s="2" t="s">
        <v>2071</v>
      </c>
      <c r="V520" s="2" t="s">
        <v>47</v>
      </c>
      <c r="W520" s="2" t="s">
        <v>119</v>
      </c>
      <c r="X520" s="2">
        <v>787.57</v>
      </c>
    </row>
    <row r="521" spans="1:24" x14ac:dyDescent="0.3">
      <c r="A521">
        <v>18424</v>
      </c>
      <c r="B521" t="s">
        <v>2072</v>
      </c>
      <c r="C521" s="3">
        <v>41707</v>
      </c>
      <c r="D521" t="s">
        <v>62</v>
      </c>
      <c r="E521">
        <v>9</v>
      </c>
      <c r="F521" s="3">
        <f ca="1">41709+(RANDBETWEEN(1,10))</f>
        <v>41714</v>
      </c>
      <c r="G521" t="s">
        <v>156</v>
      </c>
      <c r="H521" t="s">
        <v>281</v>
      </c>
      <c r="I521" t="s">
        <v>97</v>
      </c>
      <c r="J521">
        <v>1328.74</v>
      </c>
      <c r="K521">
        <v>0.06</v>
      </c>
      <c r="L521">
        <v>0.75</v>
      </c>
      <c r="M521">
        <v>55.65</v>
      </c>
      <c r="N521">
        <v>-1062.67</v>
      </c>
      <c r="O521" s="1" t="s">
        <v>87</v>
      </c>
      <c r="P521" s="1" t="s">
        <v>1222</v>
      </c>
      <c r="Q521" s="1" t="s">
        <v>1223</v>
      </c>
      <c r="R521" s="1" t="s">
        <v>497</v>
      </c>
      <c r="S521" s="1" t="s">
        <v>1224</v>
      </c>
      <c r="T521" s="1" t="s">
        <v>1225</v>
      </c>
      <c r="U521" s="2" t="s">
        <v>2073</v>
      </c>
      <c r="V521" s="2" t="s">
        <v>83</v>
      </c>
      <c r="W521" s="2" t="s">
        <v>178</v>
      </c>
      <c r="X521" s="2">
        <v>151.58500000000001</v>
      </c>
    </row>
    <row r="522" spans="1:24" x14ac:dyDescent="0.3">
      <c r="A522">
        <v>18425</v>
      </c>
      <c r="B522" t="s">
        <v>2072</v>
      </c>
      <c r="C522" s="3">
        <v>41707</v>
      </c>
      <c r="D522" t="s">
        <v>62</v>
      </c>
      <c r="E522">
        <v>2</v>
      </c>
      <c r="F522" s="3">
        <f ca="1">41709+(RANDBETWEEN(1,10))</f>
        <v>41716</v>
      </c>
      <c r="G522" t="s">
        <v>26</v>
      </c>
      <c r="H522" t="s">
        <v>27</v>
      </c>
      <c r="I522" t="s">
        <v>97</v>
      </c>
      <c r="J522">
        <v>755.65</v>
      </c>
      <c r="K522">
        <v>0.04</v>
      </c>
      <c r="L522">
        <v>0.55000000000000004</v>
      </c>
      <c r="M522">
        <v>31.465</v>
      </c>
      <c r="N522">
        <v>-924.96249999999998</v>
      </c>
      <c r="O522" s="1" t="s">
        <v>87</v>
      </c>
      <c r="P522" s="1" t="s">
        <v>1222</v>
      </c>
      <c r="Q522" s="1" t="s">
        <v>1223</v>
      </c>
      <c r="R522" s="1" t="s">
        <v>497</v>
      </c>
      <c r="S522" s="1" t="s">
        <v>1224</v>
      </c>
      <c r="T522" s="1" t="s">
        <v>1225</v>
      </c>
      <c r="U522" s="2" t="s">
        <v>187</v>
      </c>
      <c r="V522" s="2" t="s">
        <v>36</v>
      </c>
      <c r="W522" s="2" t="s">
        <v>37</v>
      </c>
      <c r="X522" s="2">
        <v>440.96499999999997</v>
      </c>
    </row>
    <row r="523" spans="1:24" x14ac:dyDescent="0.3">
      <c r="A523">
        <v>18426</v>
      </c>
      <c r="B523" t="s">
        <v>2074</v>
      </c>
      <c r="C523" s="3">
        <v>40923</v>
      </c>
      <c r="D523" t="s">
        <v>62</v>
      </c>
      <c r="E523">
        <v>3</v>
      </c>
      <c r="F523" s="3">
        <f ca="1">40923+(RANDBETWEEN(1,10))</f>
        <v>40924</v>
      </c>
      <c r="G523" t="s">
        <v>26</v>
      </c>
      <c r="H523" t="s">
        <v>27</v>
      </c>
      <c r="I523" t="s">
        <v>97</v>
      </c>
      <c r="J523">
        <v>78.61</v>
      </c>
      <c r="K523">
        <v>0.02</v>
      </c>
      <c r="L523">
        <v>0.37</v>
      </c>
      <c r="M523">
        <v>28.664999999999999</v>
      </c>
      <c r="N523">
        <v>224.09100000000001</v>
      </c>
      <c r="O523" s="1" t="s">
        <v>53</v>
      </c>
      <c r="P523" s="1" t="s">
        <v>2058</v>
      </c>
      <c r="Q523" s="1" t="s">
        <v>2059</v>
      </c>
      <c r="R523" s="1" t="s">
        <v>440</v>
      </c>
      <c r="S523" s="1" t="s">
        <v>2060</v>
      </c>
      <c r="T523" s="1" t="s">
        <v>2061</v>
      </c>
      <c r="U523" s="2" t="s">
        <v>474</v>
      </c>
      <c r="V523" s="2" t="s">
        <v>47</v>
      </c>
      <c r="W523" s="2" t="s">
        <v>74</v>
      </c>
      <c r="X523" s="2">
        <v>22.68</v>
      </c>
    </row>
    <row r="524" spans="1:24" x14ac:dyDescent="0.3">
      <c r="A524">
        <v>18427</v>
      </c>
      <c r="B524" t="s">
        <v>2074</v>
      </c>
      <c r="C524" s="3">
        <v>40923</v>
      </c>
      <c r="D524" t="s">
        <v>62</v>
      </c>
      <c r="E524">
        <v>11</v>
      </c>
      <c r="F524" s="3">
        <f ca="1">40924+(RANDBETWEEN(1,10))</f>
        <v>40930</v>
      </c>
      <c r="G524" t="s">
        <v>26</v>
      </c>
      <c r="H524" t="s">
        <v>27</v>
      </c>
      <c r="I524" t="s">
        <v>97</v>
      </c>
      <c r="J524">
        <v>3603.7049999999999</v>
      </c>
      <c r="K524">
        <v>0.06</v>
      </c>
      <c r="L524">
        <v>0.56000000000000005</v>
      </c>
      <c r="M524">
        <v>14.805</v>
      </c>
      <c r="N524">
        <v>-405.86700000000002</v>
      </c>
      <c r="O524" s="1" t="s">
        <v>87</v>
      </c>
      <c r="P524" s="1" t="s">
        <v>2075</v>
      </c>
      <c r="Q524" s="1" t="s">
        <v>2076</v>
      </c>
      <c r="R524" s="1" t="s">
        <v>398</v>
      </c>
      <c r="S524" s="1" t="s">
        <v>2077</v>
      </c>
      <c r="T524" s="1" t="s">
        <v>2078</v>
      </c>
      <c r="U524" s="2">
        <v>282</v>
      </c>
      <c r="V524" s="2" t="s">
        <v>36</v>
      </c>
      <c r="W524" s="2" t="s">
        <v>37</v>
      </c>
      <c r="X524" s="2">
        <v>405.96499999999997</v>
      </c>
    </row>
    <row r="525" spans="1:24" x14ac:dyDescent="0.3">
      <c r="A525">
        <v>18428</v>
      </c>
      <c r="B525" t="s">
        <v>2079</v>
      </c>
      <c r="C525" s="3">
        <v>40667</v>
      </c>
      <c r="D525" t="s">
        <v>39</v>
      </c>
      <c r="E525">
        <v>9</v>
      </c>
      <c r="F525" s="3">
        <f ca="1">40670+(RANDBETWEEN(1,10))</f>
        <v>40674</v>
      </c>
      <c r="G525" t="s">
        <v>156</v>
      </c>
      <c r="H525" t="s">
        <v>27</v>
      </c>
      <c r="I525" t="s">
        <v>52</v>
      </c>
      <c r="J525">
        <v>5359.585</v>
      </c>
      <c r="K525">
        <v>0.05</v>
      </c>
      <c r="L525">
        <v>0.55000000000000004</v>
      </c>
      <c r="M525">
        <v>69.965000000000003</v>
      </c>
      <c r="N525">
        <v>3300.5</v>
      </c>
      <c r="O525" s="1" t="s">
        <v>64</v>
      </c>
      <c r="P525" s="1" t="s">
        <v>2080</v>
      </c>
      <c r="Q525" s="1" t="s">
        <v>2081</v>
      </c>
      <c r="R525" s="1" t="s">
        <v>128</v>
      </c>
      <c r="S525" s="1" t="s">
        <v>2082</v>
      </c>
      <c r="T525" s="1" t="s">
        <v>2083</v>
      </c>
      <c r="U525" s="2" t="s">
        <v>721</v>
      </c>
      <c r="V525" s="2" t="s">
        <v>47</v>
      </c>
      <c r="W525" s="2" t="s">
        <v>119</v>
      </c>
      <c r="X525" s="2">
        <v>624.64499999999998</v>
      </c>
    </row>
    <row r="526" spans="1:24" x14ac:dyDescent="0.3">
      <c r="A526">
        <v>18429</v>
      </c>
      <c r="B526" t="s">
        <v>2084</v>
      </c>
      <c r="C526" s="3">
        <v>41507</v>
      </c>
      <c r="D526" t="s">
        <v>39</v>
      </c>
      <c r="E526">
        <v>11</v>
      </c>
      <c r="F526" s="3">
        <f ca="1">41509+(RANDBETWEEN(1,10))</f>
        <v>41510</v>
      </c>
      <c r="G526" t="s">
        <v>76</v>
      </c>
      <c r="H526" t="s">
        <v>77</v>
      </c>
      <c r="I526" t="s">
        <v>52</v>
      </c>
      <c r="J526">
        <v>6482.84</v>
      </c>
      <c r="K526">
        <v>0.03</v>
      </c>
      <c r="L526">
        <v>0.62</v>
      </c>
      <c r="M526">
        <v>105</v>
      </c>
      <c r="N526">
        <v>2928.4612000000002</v>
      </c>
      <c r="O526" s="1" t="s">
        <v>29</v>
      </c>
      <c r="P526" s="1" t="s">
        <v>2085</v>
      </c>
      <c r="Q526" s="1" t="s">
        <v>2086</v>
      </c>
      <c r="R526" s="1" t="s">
        <v>32</v>
      </c>
      <c r="S526" s="1" t="s">
        <v>2087</v>
      </c>
      <c r="T526" s="1" t="s">
        <v>2088</v>
      </c>
      <c r="U526" s="2" t="s">
        <v>2089</v>
      </c>
      <c r="V526" s="2" t="s">
        <v>83</v>
      </c>
      <c r="W526" s="2" t="s">
        <v>84</v>
      </c>
      <c r="X526" s="2">
        <v>563.42999999999995</v>
      </c>
    </row>
    <row r="527" spans="1:24" x14ac:dyDescent="0.3">
      <c r="A527">
        <v>18430</v>
      </c>
      <c r="B527" t="s">
        <v>2084</v>
      </c>
      <c r="C527" s="3">
        <v>41507</v>
      </c>
      <c r="D527" t="s">
        <v>39</v>
      </c>
      <c r="E527">
        <v>4</v>
      </c>
      <c r="F527" s="3">
        <f ca="1">41508+(RANDBETWEEN(1,10))</f>
        <v>41517</v>
      </c>
      <c r="G527" t="s">
        <v>26</v>
      </c>
      <c r="H527" t="s">
        <v>51</v>
      </c>
      <c r="I527" t="s">
        <v>52</v>
      </c>
      <c r="J527">
        <v>554.89</v>
      </c>
      <c r="K527">
        <v>7.0000000000000007E-2</v>
      </c>
      <c r="L527">
        <v>0.44</v>
      </c>
      <c r="M527">
        <v>6.9649999999999999</v>
      </c>
      <c r="N527">
        <v>65.319800000000001</v>
      </c>
      <c r="O527" s="1" t="s">
        <v>29</v>
      </c>
      <c r="P527" s="1" t="s">
        <v>2085</v>
      </c>
      <c r="Q527" s="1" t="s">
        <v>2086</v>
      </c>
      <c r="R527" s="1" t="s">
        <v>32</v>
      </c>
      <c r="S527" s="1" t="s">
        <v>2087</v>
      </c>
      <c r="T527" s="1" t="s">
        <v>2088</v>
      </c>
      <c r="U527" s="2" t="s">
        <v>1469</v>
      </c>
      <c r="V527" s="2" t="s">
        <v>36</v>
      </c>
      <c r="W527" s="2" t="s">
        <v>60</v>
      </c>
      <c r="X527" s="2">
        <v>143.43</v>
      </c>
    </row>
    <row r="528" spans="1:24" x14ac:dyDescent="0.3">
      <c r="A528">
        <v>18431</v>
      </c>
      <c r="B528" t="s">
        <v>2090</v>
      </c>
      <c r="C528" s="3">
        <v>41296</v>
      </c>
      <c r="D528" t="s">
        <v>25</v>
      </c>
      <c r="E528">
        <v>10</v>
      </c>
      <c r="F528" s="3">
        <f ca="1">41298+(RANDBETWEEN(1,10))</f>
        <v>41301</v>
      </c>
      <c r="G528" t="s">
        <v>26</v>
      </c>
      <c r="H528" t="s">
        <v>27</v>
      </c>
      <c r="I528" t="s">
        <v>52</v>
      </c>
      <c r="J528">
        <v>2217.7049999999999</v>
      </c>
      <c r="K528">
        <v>0.1</v>
      </c>
      <c r="L528">
        <v>0.73</v>
      </c>
      <c r="M528">
        <v>24.08</v>
      </c>
      <c r="N528">
        <v>472.57560000000001</v>
      </c>
      <c r="O528" s="1" t="s">
        <v>225</v>
      </c>
      <c r="P528" s="1" t="s">
        <v>1786</v>
      </c>
      <c r="Q528" s="1" t="s">
        <v>1787</v>
      </c>
      <c r="R528" s="1" t="s">
        <v>228</v>
      </c>
      <c r="S528" s="1" t="s">
        <v>1788</v>
      </c>
      <c r="T528" s="1" t="s">
        <v>1789</v>
      </c>
      <c r="U528" s="2" t="s">
        <v>2091</v>
      </c>
      <c r="V528" s="2" t="s">
        <v>47</v>
      </c>
      <c r="W528" s="2" t="s">
        <v>119</v>
      </c>
      <c r="X528" s="2">
        <v>227.43</v>
      </c>
    </row>
    <row r="529" spans="1:24" x14ac:dyDescent="0.3">
      <c r="A529">
        <v>18432</v>
      </c>
      <c r="B529" t="s">
        <v>2092</v>
      </c>
      <c r="C529" s="3">
        <v>41900</v>
      </c>
      <c r="D529" t="s">
        <v>50</v>
      </c>
      <c r="E529">
        <v>15</v>
      </c>
      <c r="F529" s="3">
        <f ca="1">41900+(RANDBETWEEN(1,10))</f>
        <v>41906</v>
      </c>
      <c r="G529" t="s">
        <v>26</v>
      </c>
      <c r="H529" t="s">
        <v>27</v>
      </c>
      <c r="I529" t="s">
        <v>97</v>
      </c>
      <c r="J529">
        <v>357.38499999999999</v>
      </c>
      <c r="K529">
        <v>0.06</v>
      </c>
      <c r="L529">
        <v>0.37</v>
      </c>
      <c r="M529">
        <v>29.4</v>
      </c>
      <c r="N529">
        <v>-61.054000000000002</v>
      </c>
      <c r="O529" s="1" t="s">
        <v>87</v>
      </c>
      <c r="P529" s="1" t="s">
        <v>2093</v>
      </c>
      <c r="Q529" s="1" t="s">
        <v>2094</v>
      </c>
      <c r="R529" s="1" t="s">
        <v>90</v>
      </c>
      <c r="S529" s="1" t="s">
        <v>2095</v>
      </c>
      <c r="T529" s="1" t="s">
        <v>2096</v>
      </c>
      <c r="U529" s="2" t="s">
        <v>2097</v>
      </c>
      <c r="V529" s="2" t="s">
        <v>47</v>
      </c>
      <c r="W529" s="2" t="s">
        <v>74</v>
      </c>
      <c r="X529" s="2">
        <v>22.68</v>
      </c>
    </row>
    <row r="530" spans="1:24" x14ac:dyDescent="0.3">
      <c r="A530">
        <v>18433</v>
      </c>
      <c r="B530" t="s">
        <v>2092</v>
      </c>
      <c r="C530" s="3">
        <v>41900</v>
      </c>
      <c r="D530" t="s">
        <v>50</v>
      </c>
      <c r="E530">
        <v>24</v>
      </c>
      <c r="F530" s="3">
        <f ca="1">41902+(RANDBETWEEN(1,10))</f>
        <v>41908</v>
      </c>
      <c r="G530" t="s">
        <v>26</v>
      </c>
      <c r="H530" t="s">
        <v>27</v>
      </c>
      <c r="I530" t="s">
        <v>97</v>
      </c>
      <c r="J530">
        <v>1300.4949999999999</v>
      </c>
      <c r="K530">
        <v>0.06</v>
      </c>
      <c r="L530">
        <v>0.59</v>
      </c>
      <c r="M530">
        <v>18.934999999999999</v>
      </c>
      <c r="N530">
        <v>192.63300000000001</v>
      </c>
      <c r="O530" s="1" t="s">
        <v>87</v>
      </c>
      <c r="P530" s="1" t="s">
        <v>2093</v>
      </c>
      <c r="Q530" s="1" t="s">
        <v>2094</v>
      </c>
      <c r="R530" s="1" t="s">
        <v>90</v>
      </c>
      <c r="S530" s="1" t="s">
        <v>2095</v>
      </c>
      <c r="T530" s="1" t="s">
        <v>2096</v>
      </c>
      <c r="U530" s="2" t="s">
        <v>2098</v>
      </c>
      <c r="V530" s="2" t="s">
        <v>47</v>
      </c>
      <c r="W530" s="2" t="s">
        <v>119</v>
      </c>
      <c r="X530" s="2">
        <v>53.97</v>
      </c>
    </row>
    <row r="531" spans="1:24" x14ac:dyDescent="0.3">
      <c r="A531">
        <v>18434</v>
      </c>
      <c r="B531" t="s">
        <v>2099</v>
      </c>
      <c r="C531" s="3">
        <v>41709</v>
      </c>
      <c r="D531" t="s">
        <v>25</v>
      </c>
      <c r="E531">
        <v>2</v>
      </c>
      <c r="F531" s="3">
        <f ca="1">41711+(RANDBETWEEN(1,10))</f>
        <v>41717</v>
      </c>
      <c r="G531" t="s">
        <v>76</v>
      </c>
      <c r="H531" t="s">
        <v>77</v>
      </c>
      <c r="I531" t="s">
        <v>28</v>
      </c>
      <c r="J531">
        <v>16587.13</v>
      </c>
      <c r="K531">
        <v>0.08</v>
      </c>
      <c r="L531">
        <v>0.56999999999999995</v>
      </c>
      <c r="M531">
        <v>103.95</v>
      </c>
      <c r="N531">
        <v>-12169.00755</v>
      </c>
      <c r="O531" s="1" t="s">
        <v>64</v>
      </c>
      <c r="P531" s="1" t="s">
        <v>432</v>
      </c>
      <c r="Q531" s="1" t="s">
        <v>433</v>
      </c>
      <c r="R531" s="1" t="s">
        <v>67</v>
      </c>
      <c r="S531" s="1" t="s">
        <v>434</v>
      </c>
      <c r="T531" s="1" t="s">
        <v>435</v>
      </c>
      <c r="U531" s="2" t="s">
        <v>2100</v>
      </c>
      <c r="V531" s="2" t="s">
        <v>36</v>
      </c>
      <c r="W531" s="2" t="s">
        <v>142</v>
      </c>
      <c r="X531" s="2">
        <v>8925.49</v>
      </c>
    </row>
    <row r="532" spans="1:24" x14ac:dyDescent="0.3">
      <c r="A532">
        <v>18435</v>
      </c>
      <c r="B532" t="s">
        <v>2099</v>
      </c>
      <c r="C532" s="3">
        <v>41709</v>
      </c>
      <c r="D532" t="s">
        <v>25</v>
      </c>
      <c r="E532">
        <v>2</v>
      </c>
      <c r="F532" s="3">
        <f ca="1">41716+(RANDBETWEEN(1,10))</f>
        <v>41720</v>
      </c>
      <c r="G532" t="s">
        <v>156</v>
      </c>
      <c r="H532" t="s">
        <v>27</v>
      </c>
      <c r="I532" t="s">
        <v>28</v>
      </c>
      <c r="J532">
        <v>395.08</v>
      </c>
      <c r="K532">
        <v>0.05</v>
      </c>
      <c r="L532">
        <v>0.36</v>
      </c>
      <c r="M532">
        <v>17.010000000000002</v>
      </c>
      <c r="N532">
        <v>272.60520000000002</v>
      </c>
      <c r="O532" s="1" t="s">
        <v>64</v>
      </c>
      <c r="P532" s="1" t="s">
        <v>432</v>
      </c>
      <c r="Q532" s="1" t="s">
        <v>433</v>
      </c>
      <c r="R532" s="1" t="s">
        <v>67</v>
      </c>
      <c r="S532" s="1" t="s">
        <v>434</v>
      </c>
      <c r="T532" s="1" t="s">
        <v>435</v>
      </c>
      <c r="U532" s="2" t="s">
        <v>1690</v>
      </c>
      <c r="V532" s="2" t="s">
        <v>47</v>
      </c>
      <c r="W532" s="2" t="s">
        <v>74</v>
      </c>
      <c r="X532" s="2">
        <v>195.93</v>
      </c>
    </row>
    <row r="533" spans="1:24" x14ac:dyDescent="0.3">
      <c r="A533">
        <v>18436</v>
      </c>
      <c r="B533" t="s">
        <v>2101</v>
      </c>
      <c r="C533" s="3">
        <v>40970</v>
      </c>
      <c r="D533" t="s">
        <v>148</v>
      </c>
      <c r="E533">
        <v>1</v>
      </c>
      <c r="F533" s="3">
        <f ca="1">40971+(RANDBETWEEN(1,10))</f>
        <v>40980</v>
      </c>
      <c r="G533" t="s">
        <v>26</v>
      </c>
      <c r="H533" t="s">
        <v>27</v>
      </c>
      <c r="I533" t="s">
        <v>52</v>
      </c>
      <c r="J533">
        <v>73.36</v>
      </c>
      <c r="K533">
        <v>0.09</v>
      </c>
      <c r="L533">
        <v>0.37</v>
      </c>
      <c r="M533">
        <v>33.39</v>
      </c>
      <c r="N533">
        <v>-86.59</v>
      </c>
      <c r="O533" s="1" t="s">
        <v>64</v>
      </c>
      <c r="P533" s="1" t="s">
        <v>1075</v>
      </c>
      <c r="Q533" s="1" t="s">
        <v>1076</v>
      </c>
      <c r="R533" s="1" t="s">
        <v>67</v>
      </c>
      <c r="S533" s="1" t="s">
        <v>1077</v>
      </c>
      <c r="T533" s="1" t="s">
        <v>1078</v>
      </c>
      <c r="U533" s="2" t="s">
        <v>838</v>
      </c>
      <c r="V533" s="2" t="s">
        <v>47</v>
      </c>
      <c r="W533" s="2" t="s">
        <v>74</v>
      </c>
      <c r="X533" s="2">
        <v>66.394999999999996</v>
      </c>
    </row>
    <row r="534" spans="1:24" x14ac:dyDescent="0.3">
      <c r="A534">
        <v>18437</v>
      </c>
      <c r="B534" t="s">
        <v>2102</v>
      </c>
      <c r="C534" s="3">
        <v>40632</v>
      </c>
      <c r="D534" t="s">
        <v>25</v>
      </c>
      <c r="E534">
        <v>10</v>
      </c>
      <c r="F534" s="3">
        <f ca="1">40636+(RANDBETWEEN(1,10))</f>
        <v>40640</v>
      </c>
      <c r="G534" t="s">
        <v>26</v>
      </c>
      <c r="H534" t="s">
        <v>96</v>
      </c>
      <c r="I534" t="s">
        <v>52</v>
      </c>
      <c r="J534">
        <v>197.4</v>
      </c>
      <c r="K534">
        <v>7.0000000000000007E-2</v>
      </c>
      <c r="L534">
        <v>0.6</v>
      </c>
      <c r="M534">
        <v>3.36</v>
      </c>
      <c r="N534">
        <v>114.905</v>
      </c>
      <c r="O534" s="1" t="s">
        <v>40</v>
      </c>
      <c r="P534" s="1" t="s">
        <v>2103</v>
      </c>
      <c r="Q534" s="1" t="s">
        <v>2104</v>
      </c>
      <c r="R534" s="1" t="s">
        <v>43</v>
      </c>
      <c r="S534" s="1" t="s">
        <v>2105</v>
      </c>
      <c r="T534" s="1" t="s">
        <v>2106</v>
      </c>
      <c r="U534" s="2" t="s">
        <v>1918</v>
      </c>
      <c r="V534" s="2" t="s">
        <v>47</v>
      </c>
      <c r="W534" s="2" t="s">
        <v>104</v>
      </c>
      <c r="X534" s="2">
        <v>20.93</v>
      </c>
    </row>
    <row r="535" spans="1:24" x14ac:dyDescent="0.3">
      <c r="A535">
        <v>18438</v>
      </c>
      <c r="B535" t="s">
        <v>2102</v>
      </c>
      <c r="C535" s="3">
        <v>40632</v>
      </c>
      <c r="D535" t="s">
        <v>25</v>
      </c>
      <c r="E535">
        <v>6</v>
      </c>
      <c r="F535" s="3">
        <f ca="1">40637+(RANDBETWEEN(1,10))</f>
        <v>40641</v>
      </c>
      <c r="G535" t="s">
        <v>26</v>
      </c>
      <c r="H535" t="s">
        <v>27</v>
      </c>
      <c r="I535" t="s">
        <v>52</v>
      </c>
      <c r="J535">
        <v>901.32</v>
      </c>
      <c r="K535">
        <v>0.01</v>
      </c>
      <c r="L535">
        <v>0.7</v>
      </c>
      <c r="M535">
        <v>14</v>
      </c>
      <c r="N535">
        <v>180.565</v>
      </c>
      <c r="O535" s="1" t="s">
        <v>40</v>
      </c>
      <c r="P535" s="1" t="s">
        <v>2107</v>
      </c>
      <c r="Q535" s="1" t="s">
        <v>2108</v>
      </c>
      <c r="R535" s="1" t="s">
        <v>43</v>
      </c>
      <c r="S535" s="1" t="s">
        <v>2109</v>
      </c>
      <c r="T535" s="1" t="s">
        <v>2110</v>
      </c>
      <c r="U535" s="2" t="s">
        <v>2111</v>
      </c>
      <c r="V535" s="2" t="s">
        <v>36</v>
      </c>
      <c r="W535" s="2" t="s">
        <v>60</v>
      </c>
      <c r="X535" s="2">
        <v>139.93</v>
      </c>
    </row>
    <row r="536" spans="1:24" x14ac:dyDescent="0.3">
      <c r="A536">
        <v>18439</v>
      </c>
      <c r="B536" t="s">
        <v>2112</v>
      </c>
      <c r="C536" s="3">
        <v>41389</v>
      </c>
      <c r="D536" t="s">
        <v>62</v>
      </c>
      <c r="E536">
        <v>2</v>
      </c>
      <c r="F536" s="3">
        <f ca="1">41391+(RANDBETWEEN(1,10))</f>
        <v>41398</v>
      </c>
      <c r="G536" t="s">
        <v>26</v>
      </c>
      <c r="H536" t="s">
        <v>27</v>
      </c>
      <c r="I536" t="s">
        <v>52</v>
      </c>
      <c r="J536">
        <v>49.91</v>
      </c>
      <c r="K536">
        <v>0.05</v>
      </c>
      <c r="L536">
        <v>0.36</v>
      </c>
      <c r="M536">
        <v>23.835000000000001</v>
      </c>
      <c r="N536">
        <v>-101.71</v>
      </c>
      <c r="O536" s="1" t="s">
        <v>40</v>
      </c>
      <c r="P536" s="1" t="s">
        <v>1739</v>
      </c>
      <c r="Q536" s="1" t="s">
        <v>1740</v>
      </c>
      <c r="R536" s="1" t="s">
        <v>43</v>
      </c>
      <c r="S536" s="1" t="s">
        <v>1741</v>
      </c>
      <c r="T536" s="1" t="s">
        <v>1742</v>
      </c>
      <c r="U536" s="2" t="s">
        <v>2113</v>
      </c>
      <c r="V536" s="2" t="s">
        <v>47</v>
      </c>
      <c r="W536" s="2" t="s">
        <v>74</v>
      </c>
      <c r="X536" s="2">
        <v>22.68</v>
      </c>
    </row>
    <row r="537" spans="1:24" x14ac:dyDescent="0.3">
      <c r="A537">
        <v>18440</v>
      </c>
      <c r="B537" t="s">
        <v>2114</v>
      </c>
      <c r="C537" s="3">
        <v>41252</v>
      </c>
      <c r="D537" t="s">
        <v>50</v>
      </c>
      <c r="E537">
        <v>14</v>
      </c>
      <c r="F537" s="3">
        <f ca="1">41254+(RANDBETWEEN(1,10))</f>
        <v>41261</v>
      </c>
      <c r="G537" t="s">
        <v>76</v>
      </c>
      <c r="H537" t="s">
        <v>77</v>
      </c>
      <c r="I537" t="s">
        <v>52</v>
      </c>
      <c r="J537">
        <v>23232.23</v>
      </c>
      <c r="K537">
        <v>0.09</v>
      </c>
      <c r="L537">
        <v>0.6</v>
      </c>
      <c r="M537">
        <v>91</v>
      </c>
      <c r="N537">
        <v>16030.2387</v>
      </c>
      <c r="O537" s="1" t="s">
        <v>64</v>
      </c>
      <c r="P537" s="1" t="s">
        <v>2115</v>
      </c>
      <c r="Q537" s="1" t="s">
        <v>2116</v>
      </c>
      <c r="R537" s="1" t="s">
        <v>128</v>
      </c>
      <c r="S537" s="1" t="s">
        <v>2117</v>
      </c>
      <c r="T537" s="1" t="s">
        <v>1313</v>
      </c>
      <c r="U537" s="2" t="s">
        <v>1670</v>
      </c>
      <c r="V537" s="2" t="s">
        <v>83</v>
      </c>
      <c r="W537" s="2" t="s">
        <v>84</v>
      </c>
      <c r="X537" s="2">
        <v>1753.43</v>
      </c>
    </row>
    <row r="538" spans="1:24" x14ac:dyDescent="0.3">
      <c r="A538">
        <v>18441</v>
      </c>
      <c r="B538" t="s">
        <v>2118</v>
      </c>
      <c r="C538" s="3">
        <v>41396</v>
      </c>
      <c r="D538" t="s">
        <v>62</v>
      </c>
      <c r="E538">
        <v>13</v>
      </c>
      <c r="F538" s="3">
        <f ca="1">41397+(RANDBETWEEN(1,10))</f>
        <v>41401</v>
      </c>
      <c r="G538" t="s">
        <v>26</v>
      </c>
      <c r="H538" t="s">
        <v>27</v>
      </c>
      <c r="I538" t="s">
        <v>28</v>
      </c>
      <c r="J538">
        <v>8382.9549999999999</v>
      </c>
      <c r="K538">
        <v>0.01</v>
      </c>
      <c r="L538">
        <v>0.6</v>
      </c>
      <c r="M538">
        <v>69.965000000000003</v>
      </c>
      <c r="N538">
        <v>4592.1329999999998</v>
      </c>
      <c r="O538" s="1" t="s">
        <v>87</v>
      </c>
      <c r="P538" s="1" t="s">
        <v>2119</v>
      </c>
      <c r="Q538" s="1" t="s">
        <v>2120</v>
      </c>
      <c r="R538" s="1" t="s">
        <v>90</v>
      </c>
      <c r="S538" s="1" t="s">
        <v>2121</v>
      </c>
      <c r="T538" s="1" t="s">
        <v>2122</v>
      </c>
      <c r="U538" s="2" t="s">
        <v>2123</v>
      </c>
      <c r="V538" s="2" t="s">
        <v>36</v>
      </c>
      <c r="W538" s="2" t="s">
        <v>37</v>
      </c>
      <c r="X538" s="2">
        <v>720.96500000000003</v>
      </c>
    </row>
    <row r="539" spans="1:24" x14ac:dyDescent="0.3">
      <c r="A539">
        <v>18442</v>
      </c>
      <c r="B539" t="s">
        <v>2118</v>
      </c>
      <c r="C539" s="3">
        <v>41396</v>
      </c>
      <c r="D539" t="s">
        <v>62</v>
      </c>
      <c r="E539">
        <v>14</v>
      </c>
      <c r="F539" s="3">
        <f ca="1">41398+(RANDBETWEEN(1,10))</f>
        <v>41406</v>
      </c>
      <c r="G539" t="s">
        <v>26</v>
      </c>
      <c r="H539" t="s">
        <v>27</v>
      </c>
      <c r="I539" t="s">
        <v>28</v>
      </c>
      <c r="J539">
        <v>7364.91</v>
      </c>
      <c r="K539">
        <v>0.09</v>
      </c>
      <c r="L539">
        <v>0.39</v>
      </c>
      <c r="M539">
        <v>69.965000000000003</v>
      </c>
      <c r="N539">
        <v>5081.7879000000003</v>
      </c>
      <c r="O539" s="1" t="s">
        <v>64</v>
      </c>
      <c r="P539" s="1" t="s">
        <v>2124</v>
      </c>
      <c r="Q539" s="1" t="s">
        <v>2125</v>
      </c>
      <c r="R539" s="1" t="s">
        <v>67</v>
      </c>
      <c r="S539" s="1" t="s">
        <v>2126</v>
      </c>
      <c r="T539" s="1" t="s">
        <v>2127</v>
      </c>
      <c r="U539" s="2" t="s">
        <v>2128</v>
      </c>
      <c r="V539" s="2" t="s">
        <v>47</v>
      </c>
      <c r="W539" s="2" t="s">
        <v>48</v>
      </c>
      <c r="X539" s="2">
        <v>570.255</v>
      </c>
    </row>
    <row r="540" spans="1:24" x14ac:dyDescent="0.3">
      <c r="A540">
        <v>18443</v>
      </c>
      <c r="B540" t="s">
        <v>2118</v>
      </c>
      <c r="C540" s="3">
        <v>41396</v>
      </c>
      <c r="D540" t="s">
        <v>62</v>
      </c>
      <c r="E540">
        <v>11</v>
      </c>
      <c r="F540" s="3">
        <f ca="1">41397+(RANDBETWEEN(1,10))</f>
        <v>41401</v>
      </c>
      <c r="G540" t="s">
        <v>26</v>
      </c>
      <c r="H540" t="s">
        <v>27</v>
      </c>
      <c r="I540" t="s">
        <v>28</v>
      </c>
      <c r="J540">
        <v>6422.8149999999996</v>
      </c>
      <c r="K540">
        <v>7.0000000000000007E-2</v>
      </c>
      <c r="L540">
        <v>0.59</v>
      </c>
      <c r="M540">
        <v>14.7</v>
      </c>
      <c r="N540">
        <v>3315.5954999999999</v>
      </c>
      <c r="O540" s="1" t="s">
        <v>29</v>
      </c>
      <c r="P540" s="1" t="s">
        <v>2129</v>
      </c>
      <c r="Q540" s="1" t="s">
        <v>2130</v>
      </c>
      <c r="R540" s="1" t="s">
        <v>32</v>
      </c>
      <c r="S540" s="1" t="s">
        <v>2131</v>
      </c>
      <c r="T540" s="1" t="s">
        <v>2132</v>
      </c>
      <c r="U540" s="2" t="s">
        <v>2133</v>
      </c>
      <c r="V540" s="2" t="s">
        <v>36</v>
      </c>
      <c r="W540" s="2" t="s">
        <v>37</v>
      </c>
      <c r="X540" s="2">
        <v>703.46500000000003</v>
      </c>
    </row>
    <row r="541" spans="1:24" x14ac:dyDescent="0.3">
      <c r="A541">
        <v>18444</v>
      </c>
      <c r="B541" t="s">
        <v>2134</v>
      </c>
      <c r="C541" s="3">
        <v>41585</v>
      </c>
      <c r="D541" t="s">
        <v>148</v>
      </c>
      <c r="E541">
        <v>35</v>
      </c>
      <c r="F541" s="3">
        <f ca="1">41586+(RANDBETWEEN(1,10))</f>
        <v>41596</v>
      </c>
      <c r="G541" t="s">
        <v>26</v>
      </c>
      <c r="H541" t="s">
        <v>27</v>
      </c>
      <c r="I541" t="s">
        <v>52</v>
      </c>
      <c r="J541">
        <v>20411.86</v>
      </c>
      <c r="K541">
        <v>0.01</v>
      </c>
      <c r="L541">
        <v>0.39</v>
      </c>
      <c r="M541">
        <v>69.965000000000003</v>
      </c>
      <c r="N541">
        <v>14084.1834</v>
      </c>
      <c r="O541" s="1" t="s">
        <v>29</v>
      </c>
      <c r="P541" s="1" t="s">
        <v>2135</v>
      </c>
      <c r="Q541" s="1" t="s">
        <v>2136</v>
      </c>
      <c r="R541" s="1" t="s">
        <v>32</v>
      </c>
      <c r="S541" s="1" t="s">
        <v>2137</v>
      </c>
      <c r="T541" s="1" t="s">
        <v>2138</v>
      </c>
      <c r="U541" s="2" t="s">
        <v>2128</v>
      </c>
      <c r="V541" s="2" t="s">
        <v>47</v>
      </c>
      <c r="W541" s="2" t="s">
        <v>48</v>
      </c>
      <c r="X541" s="2">
        <v>570.255</v>
      </c>
    </row>
    <row r="542" spans="1:24" x14ac:dyDescent="0.3">
      <c r="A542">
        <v>18445</v>
      </c>
      <c r="B542" t="s">
        <v>2139</v>
      </c>
      <c r="C542" s="3">
        <v>41033</v>
      </c>
      <c r="D542" t="s">
        <v>62</v>
      </c>
      <c r="E542">
        <v>15</v>
      </c>
      <c r="F542" s="3">
        <f ca="1">41035+(RANDBETWEEN(1,10))</f>
        <v>41037</v>
      </c>
      <c r="G542" t="s">
        <v>26</v>
      </c>
      <c r="H542" t="s">
        <v>27</v>
      </c>
      <c r="I542" t="s">
        <v>28</v>
      </c>
      <c r="J542">
        <v>153.685</v>
      </c>
      <c r="K542">
        <v>0</v>
      </c>
      <c r="L542">
        <v>0.36</v>
      </c>
      <c r="M542">
        <v>5.2149999999999999</v>
      </c>
      <c r="N542">
        <v>-309.27820000000003</v>
      </c>
      <c r="O542" s="1" t="s">
        <v>64</v>
      </c>
      <c r="P542" s="1" t="s">
        <v>2140</v>
      </c>
      <c r="Q542" s="1" t="s">
        <v>2141</v>
      </c>
      <c r="R542" s="1" t="s">
        <v>67</v>
      </c>
      <c r="S542" s="1" t="s">
        <v>2142</v>
      </c>
      <c r="T542" s="1" t="s">
        <v>2143</v>
      </c>
      <c r="U542" s="2" t="s">
        <v>1534</v>
      </c>
      <c r="V542" s="2" t="s">
        <v>47</v>
      </c>
      <c r="W542" s="2" t="s">
        <v>111</v>
      </c>
      <c r="X542" s="2">
        <v>9.73</v>
      </c>
    </row>
    <row r="543" spans="1:24" x14ac:dyDescent="0.3">
      <c r="A543">
        <v>18446</v>
      </c>
      <c r="B543" t="s">
        <v>2144</v>
      </c>
      <c r="C543" s="3">
        <v>41941</v>
      </c>
      <c r="D543" t="s">
        <v>50</v>
      </c>
      <c r="E543">
        <v>7</v>
      </c>
      <c r="F543" s="3">
        <f ca="1">41943+(RANDBETWEEN(1,10))</f>
        <v>41951</v>
      </c>
      <c r="G543" t="s">
        <v>26</v>
      </c>
      <c r="H543" t="s">
        <v>27</v>
      </c>
      <c r="I543" t="s">
        <v>52</v>
      </c>
      <c r="J543">
        <v>7542.5</v>
      </c>
      <c r="K543">
        <v>0.02</v>
      </c>
      <c r="L543">
        <v>0.4</v>
      </c>
      <c r="M543">
        <v>69.965000000000003</v>
      </c>
      <c r="N543">
        <v>4600.3615</v>
      </c>
      <c r="O543" s="1" t="s">
        <v>29</v>
      </c>
      <c r="P543" s="1" t="s">
        <v>2145</v>
      </c>
      <c r="Q543" s="1" t="s">
        <v>2146</v>
      </c>
      <c r="R543" s="1" t="s">
        <v>460</v>
      </c>
      <c r="S543" s="1" t="s">
        <v>2147</v>
      </c>
      <c r="T543" s="1" t="s">
        <v>2148</v>
      </c>
      <c r="U543" s="2" t="s">
        <v>2149</v>
      </c>
      <c r="V543" s="2" t="s">
        <v>47</v>
      </c>
      <c r="W543" s="2" t="s">
        <v>111</v>
      </c>
      <c r="X543" s="2">
        <v>1067.4649999999999</v>
      </c>
    </row>
    <row r="544" spans="1:24" x14ac:dyDescent="0.3">
      <c r="A544">
        <v>18447</v>
      </c>
      <c r="B544" t="s">
        <v>2150</v>
      </c>
      <c r="C544" s="3">
        <v>41010</v>
      </c>
      <c r="D544" t="s">
        <v>148</v>
      </c>
      <c r="E544">
        <v>3</v>
      </c>
      <c r="F544" s="3">
        <f ca="1">41011+(RANDBETWEEN(1,10))</f>
        <v>41016</v>
      </c>
      <c r="G544" t="s">
        <v>156</v>
      </c>
      <c r="H544" t="s">
        <v>27</v>
      </c>
      <c r="I544" t="s">
        <v>52</v>
      </c>
      <c r="J544">
        <v>79.484999999999999</v>
      </c>
      <c r="K544">
        <v>0.01</v>
      </c>
      <c r="L544">
        <v>0.37</v>
      </c>
      <c r="M544">
        <v>23.1</v>
      </c>
      <c r="N544">
        <v>-1447.5923</v>
      </c>
      <c r="O544" s="1" t="s">
        <v>87</v>
      </c>
      <c r="P544" s="1" t="s">
        <v>2151</v>
      </c>
      <c r="Q544" s="1" t="s">
        <v>2152</v>
      </c>
      <c r="R544" s="1" t="s">
        <v>646</v>
      </c>
      <c r="S544" s="1" t="s">
        <v>2153</v>
      </c>
      <c r="T544" s="1" t="s">
        <v>2154</v>
      </c>
      <c r="U544" s="2" t="s">
        <v>241</v>
      </c>
      <c r="V544" s="2" t="s">
        <v>47</v>
      </c>
      <c r="W544" s="2" t="s">
        <v>74</v>
      </c>
      <c r="X544" s="2">
        <v>22.68</v>
      </c>
    </row>
    <row r="545" spans="1:24" x14ac:dyDescent="0.3">
      <c r="A545">
        <v>18448</v>
      </c>
      <c r="B545" t="s">
        <v>2155</v>
      </c>
      <c r="C545" s="3">
        <v>40867</v>
      </c>
      <c r="D545" t="s">
        <v>148</v>
      </c>
      <c r="E545">
        <v>22</v>
      </c>
      <c r="F545" s="3">
        <f ca="1">40868+(RANDBETWEEN(1,10))</f>
        <v>40877</v>
      </c>
      <c r="G545" t="s">
        <v>26</v>
      </c>
      <c r="H545" t="s">
        <v>96</v>
      </c>
      <c r="I545" t="s">
        <v>52</v>
      </c>
      <c r="J545">
        <v>307.61500000000001</v>
      </c>
      <c r="K545">
        <v>0.1</v>
      </c>
      <c r="L545">
        <v>0.44</v>
      </c>
      <c r="M545">
        <v>4.2</v>
      </c>
      <c r="N545">
        <v>118.73399999999999</v>
      </c>
      <c r="O545" s="1" t="s">
        <v>64</v>
      </c>
      <c r="P545" s="1" t="s">
        <v>2156</v>
      </c>
      <c r="Q545" s="1" t="s">
        <v>2157</v>
      </c>
      <c r="R545" s="1" t="s">
        <v>67</v>
      </c>
      <c r="S545" s="1" t="s">
        <v>2158</v>
      </c>
      <c r="T545" s="1" t="s">
        <v>2159</v>
      </c>
      <c r="U545" s="2" t="s">
        <v>103</v>
      </c>
      <c r="V545" s="2" t="s">
        <v>47</v>
      </c>
      <c r="W545" s="2" t="s">
        <v>104</v>
      </c>
      <c r="X545" s="2">
        <v>14.91</v>
      </c>
    </row>
    <row r="546" spans="1:24" x14ac:dyDescent="0.3">
      <c r="A546">
        <v>18449</v>
      </c>
      <c r="B546" t="s">
        <v>2160</v>
      </c>
      <c r="C546" s="3">
        <v>41607</v>
      </c>
      <c r="D546" t="s">
        <v>39</v>
      </c>
      <c r="E546">
        <v>20</v>
      </c>
      <c r="F546" s="3">
        <f ca="1">41609+(RANDBETWEEN(1,10))</f>
        <v>41619</v>
      </c>
      <c r="G546" t="s">
        <v>26</v>
      </c>
      <c r="H546" t="s">
        <v>27</v>
      </c>
      <c r="I546" t="s">
        <v>86</v>
      </c>
      <c r="J546">
        <v>29442.105</v>
      </c>
      <c r="K546">
        <v>0.03</v>
      </c>
      <c r="L546">
        <v>0.35</v>
      </c>
      <c r="M546">
        <v>69.965000000000003</v>
      </c>
      <c r="N546">
        <v>20315.052449999999</v>
      </c>
      <c r="O546" s="1" t="s">
        <v>40</v>
      </c>
      <c r="P546" s="1" t="s">
        <v>1556</v>
      </c>
      <c r="Q546" s="1" t="s">
        <v>1557</v>
      </c>
      <c r="R546" s="1" t="s">
        <v>220</v>
      </c>
      <c r="S546" s="1" t="s">
        <v>1558</v>
      </c>
      <c r="T546" s="1" t="s">
        <v>1559</v>
      </c>
      <c r="U546" s="2" t="s">
        <v>1352</v>
      </c>
      <c r="V546" s="2" t="s">
        <v>47</v>
      </c>
      <c r="W546" s="2" t="s">
        <v>111</v>
      </c>
      <c r="X546" s="2">
        <v>1473.43</v>
      </c>
    </row>
    <row r="547" spans="1:24" x14ac:dyDescent="0.3">
      <c r="A547">
        <v>18450</v>
      </c>
      <c r="B547" t="s">
        <v>2161</v>
      </c>
      <c r="C547" s="3">
        <v>40550</v>
      </c>
      <c r="D547" t="s">
        <v>148</v>
      </c>
      <c r="E547">
        <v>1</v>
      </c>
      <c r="F547" s="3">
        <f ca="1">40551+(RANDBETWEEN(1,10))</f>
        <v>40556</v>
      </c>
      <c r="G547" t="s">
        <v>26</v>
      </c>
      <c r="H547" t="s">
        <v>27</v>
      </c>
      <c r="I547" t="s">
        <v>97</v>
      </c>
      <c r="J547">
        <v>12.355</v>
      </c>
      <c r="K547">
        <v>0.05</v>
      </c>
      <c r="L547">
        <v>0.4</v>
      </c>
      <c r="M547">
        <v>16.695</v>
      </c>
      <c r="N547">
        <v>-50.259369999999997</v>
      </c>
      <c r="O547" s="1" t="s">
        <v>87</v>
      </c>
      <c r="P547" s="1" t="s">
        <v>2162</v>
      </c>
      <c r="Q547" s="1" t="s">
        <v>2163</v>
      </c>
      <c r="R547" s="1" t="s">
        <v>398</v>
      </c>
      <c r="S547" s="1" t="s">
        <v>2164</v>
      </c>
      <c r="T547" s="1" t="s">
        <v>2165</v>
      </c>
      <c r="U547" s="2" t="s">
        <v>2166</v>
      </c>
      <c r="V547" s="2" t="s">
        <v>47</v>
      </c>
      <c r="W547" s="2" t="s">
        <v>111</v>
      </c>
      <c r="X547" s="2">
        <v>6.93</v>
      </c>
    </row>
    <row r="548" spans="1:24" x14ac:dyDescent="0.3">
      <c r="A548">
        <v>18451</v>
      </c>
      <c r="B548" t="s">
        <v>2161</v>
      </c>
      <c r="C548" s="3">
        <v>40550</v>
      </c>
      <c r="D548" t="s">
        <v>148</v>
      </c>
      <c r="E548">
        <v>1</v>
      </c>
      <c r="F548" s="3">
        <f ca="1">40551+(RANDBETWEEN(1,10))</f>
        <v>40555</v>
      </c>
      <c r="G548" t="s">
        <v>156</v>
      </c>
      <c r="H548" t="s">
        <v>63</v>
      </c>
      <c r="I548" t="s">
        <v>97</v>
      </c>
      <c r="J548">
        <v>2472.96</v>
      </c>
      <c r="K548">
        <v>7.0000000000000007E-2</v>
      </c>
      <c r="L548">
        <v>0.41</v>
      </c>
      <c r="M548">
        <v>85.715000000000003</v>
      </c>
      <c r="N548">
        <v>-10045.971600000001</v>
      </c>
      <c r="O548" s="1" t="s">
        <v>87</v>
      </c>
      <c r="P548" s="1" t="s">
        <v>2162</v>
      </c>
      <c r="Q548" s="1" t="s">
        <v>2163</v>
      </c>
      <c r="R548" s="1" t="s">
        <v>398</v>
      </c>
      <c r="S548" s="1" t="s">
        <v>2164</v>
      </c>
      <c r="T548" s="1" t="s">
        <v>2165</v>
      </c>
      <c r="U548" s="2" t="s">
        <v>1326</v>
      </c>
      <c r="V548" s="2" t="s">
        <v>36</v>
      </c>
      <c r="W548" s="2" t="s">
        <v>1327</v>
      </c>
      <c r="X548" s="2">
        <v>2449.9650000000001</v>
      </c>
    </row>
    <row r="549" spans="1:24" x14ac:dyDescent="0.3">
      <c r="A549">
        <v>18452</v>
      </c>
      <c r="B549" t="s">
        <v>2161</v>
      </c>
      <c r="C549" s="3">
        <v>40550</v>
      </c>
      <c r="D549" t="s">
        <v>148</v>
      </c>
      <c r="E549">
        <v>2</v>
      </c>
      <c r="F549" s="3">
        <f ca="1">40551+(RANDBETWEEN(1,10))</f>
        <v>40553</v>
      </c>
      <c r="G549" t="s">
        <v>26</v>
      </c>
      <c r="H549" t="s">
        <v>63</v>
      </c>
      <c r="I549" t="s">
        <v>97</v>
      </c>
      <c r="J549">
        <v>45923.745000000003</v>
      </c>
      <c r="K549">
        <v>7.0000000000000007E-2</v>
      </c>
      <c r="L549">
        <v>0.39</v>
      </c>
      <c r="M549">
        <v>85.715000000000003</v>
      </c>
      <c r="N549">
        <v>272.94260000000003</v>
      </c>
      <c r="O549" s="1" t="s">
        <v>87</v>
      </c>
      <c r="P549" s="1" t="s">
        <v>2162</v>
      </c>
      <c r="Q549" s="1" t="s">
        <v>2163</v>
      </c>
      <c r="R549" s="1" t="s">
        <v>398</v>
      </c>
      <c r="S549" s="1" t="s">
        <v>2164</v>
      </c>
      <c r="T549" s="1" t="s">
        <v>2165</v>
      </c>
      <c r="U549" s="2" t="s">
        <v>2167</v>
      </c>
      <c r="V549" s="2" t="s">
        <v>36</v>
      </c>
      <c r="W549" s="2" t="s">
        <v>142</v>
      </c>
      <c r="X549" s="2">
        <v>23740.57</v>
      </c>
    </row>
    <row r="550" spans="1:24" x14ac:dyDescent="0.3">
      <c r="A550">
        <v>18453</v>
      </c>
      <c r="B550" t="s">
        <v>2168</v>
      </c>
      <c r="C550" s="3">
        <v>40950</v>
      </c>
      <c r="D550" t="s">
        <v>39</v>
      </c>
      <c r="E550">
        <v>3</v>
      </c>
      <c r="F550" s="3">
        <f ca="1">40951+(RANDBETWEEN(1,10))</f>
        <v>40959</v>
      </c>
      <c r="G550" t="s">
        <v>26</v>
      </c>
      <c r="H550" t="s">
        <v>96</v>
      </c>
      <c r="I550" t="s">
        <v>28</v>
      </c>
      <c r="J550">
        <v>29.645</v>
      </c>
      <c r="K550">
        <v>0.05</v>
      </c>
      <c r="L550">
        <v>0.56000000000000005</v>
      </c>
      <c r="M550">
        <v>2.4500000000000002</v>
      </c>
      <c r="N550">
        <v>1.2250000000000001</v>
      </c>
      <c r="O550" s="1" t="s">
        <v>225</v>
      </c>
      <c r="P550" s="1" t="s">
        <v>595</v>
      </c>
      <c r="Q550" s="1" t="s">
        <v>596</v>
      </c>
      <c r="R550" s="1" t="s">
        <v>228</v>
      </c>
      <c r="S550" s="1" t="s">
        <v>597</v>
      </c>
      <c r="T550" s="1" t="s">
        <v>598</v>
      </c>
      <c r="U550" s="2" t="s">
        <v>443</v>
      </c>
      <c r="V550" s="2" t="s">
        <v>47</v>
      </c>
      <c r="W550" s="2" t="s">
        <v>104</v>
      </c>
      <c r="X550" s="2">
        <v>10.08</v>
      </c>
    </row>
    <row r="551" spans="1:24" x14ac:dyDescent="0.3">
      <c r="A551">
        <v>18454</v>
      </c>
      <c r="B551" t="s">
        <v>2168</v>
      </c>
      <c r="C551" s="3">
        <v>40950</v>
      </c>
      <c r="D551" t="s">
        <v>39</v>
      </c>
      <c r="E551">
        <v>1</v>
      </c>
      <c r="F551" s="3">
        <f ca="1">40952+(RANDBETWEEN(1,10))</f>
        <v>40954</v>
      </c>
      <c r="G551" t="s">
        <v>76</v>
      </c>
      <c r="H551" t="s">
        <v>77</v>
      </c>
      <c r="I551" t="s">
        <v>28</v>
      </c>
      <c r="J551">
        <v>1108.135</v>
      </c>
      <c r="K551">
        <v>0.1</v>
      </c>
      <c r="L551">
        <v>0.56000000000000005</v>
      </c>
      <c r="M551">
        <v>170.8</v>
      </c>
      <c r="N551">
        <v>-655.51499999999999</v>
      </c>
      <c r="O551" s="1" t="s">
        <v>29</v>
      </c>
      <c r="P551" s="1" t="s">
        <v>2169</v>
      </c>
      <c r="Q551" s="1" t="s">
        <v>2170</v>
      </c>
      <c r="R551" s="1" t="s">
        <v>460</v>
      </c>
      <c r="S551" s="1" t="s">
        <v>2171</v>
      </c>
      <c r="T551" s="1" t="s">
        <v>2172</v>
      </c>
      <c r="U551" s="2" t="s">
        <v>2173</v>
      </c>
      <c r="V551" s="2" t="s">
        <v>83</v>
      </c>
      <c r="W551" s="2" t="s">
        <v>84</v>
      </c>
      <c r="X551" s="2">
        <v>1021.0549999999999</v>
      </c>
    </row>
    <row r="552" spans="1:24" x14ac:dyDescent="0.3">
      <c r="A552">
        <v>18455</v>
      </c>
      <c r="B552" t="s">
        <v>2174</v>
      </c>
      <c r="C552" s="3">
        <v>41167</v>
      </c>
      <c r="D552" t="s">
        <v>148</v>
      </c>
      <c r="E552">
        <v>23</v>
      </c>
      <c r="F552" s="3">
        <f ca="1">41169+(RANDBETWEEN(1,10))</f>
        <v>41178</v>
      </c>
      <c r="G552" t="s">
        <v>26</v>
      </c>
      <c r="H552" t="s">
        <v>27</v>
      </c>
      <c r="I552" t="s">
        <v>52</v>
      </c>
      <c r="J552">
        <v>541.06500000000005</v>
      </c>
      <c r="K552">
        <v>0.01</v>
      </c>
      <c r="L552">
        <v>0.37</v>
      </c>
      <c r="M552">
        <v>31.08</v>
      </c>
      <c r="N552">
        <v>-842.73</v>
      </c>
      <c r="O552" s="1" t="s">
        <v>29</v>
      </c>
      <c r="P552" s="1" t="s">
        <v>2175</v>
      </c>
      <c r="Q552" s="1" t="s">
        <v>2176</v>
      </c>
      <c r="R552" s="1" t="s">
        <v>675</v>
      </c>
      <c r="S552" s="1" t="s">
        <v>2177</v>
      </c>
      <c r="T552" s="1" t="s">
        <v>2178</v>
      </c>
      <c r="U552" s="2" t="s">
        <v>2179</v>
      </c>
      <c r="V552" s="2" t="s">
        <v>47</v>
      </c>
      <c r="W552" s="2" t="s">
        <v>74</v>
      </c>
      <c r="X552" s="2">
        <v>22.68</v>
      </c>
    </row>
    <row r="553" spans="1:24" x14ac:dyDescent="0.3">
      <c r="A553">
        <v>18456</v>
      </c>
      <c r="B553" t="s">
        <v>2174</v>
      </c>
      <c r="C553" s="3">
        <v>41167</v>
      </c>
      <c r="D553" t="s">
        <v>148</v>
      </c>
      <c r="E553">
        <v>11</v>
      </c>
      <c r="F553" s="3">
        <f ca="1">41167+(RANDBETWEEN(1,10))</f>
        <v>41174</v>
      </c>
      <c r="G553" t="s">
        <v>156</v>
      </c>
      <c r="H553" t="s">
        <v>51</v>
      </c>
      <c r="I553" t="s">
        <v>52</v>
      </c>
      <c r="J553">
        <v>610.19000000000005</v>
      </c>
      <c r="K553">
        <v>0.06</v>
      </c>
      <c r="L553">
        <v>0.55000000000000004</v>
      </c>
      <c r="M553">
        <v>19.074999999999999</v>
      </c>
      <c r="N553">
        <v>25.515000000000001</v>
      </c>
      <c r="O553" s="1" t="s">
        <v>29</v>
      </c>
      <c r="P553" s="1" t="s">
        <v>2175</v>
      </c>
      <c r="Q553" s="1" t="s">
        <v>2176</v>
      </c>
      <c r="R553" s="1" t="s">
        <v>675</v>
      </c>
      <c r="S553" s="1" t="s">
        <v>2177</v>
      </c>
      <c r="T553" s="1" t="s">
        <v>2178</v>
      </c>
      <c r="U553" s="2" t="s">
        <v>2180</v>
      </c>
      <c r="V553" s="2" t="s">
        <v>47</v>
      </c>
      <c r="W553" s="2" t="s">
        <v>104</v>
      </c>
      <c r="X553" s="2">
        <v>55.79</v>
      </c>
    </row>
    <row r="554" spans="1:24" x14ac:dyDescent="0.3">
      <c r="A554">
        <v>18457</v>
      </c>
      <c r="B554" t="s">
        <v>2181</v>
      </c>
      <c r="C554" s="3">
        <v>41125</v>
      </c>
      <c r="D554" t="s">
        <v>62</v>
      </c>
      <c r="E554">
        <v>16</v>
      </c>
      <c r="F554" s="3">
        <f ca="1">41126+(RANDBETWEEN(1,10))</f>
        <v>41131</v>
      </c>
      <c r="G554" t="s">
        <v>26</v>
      </c>
      <c r="H554" t="s">
        <v>96</v>
      </c>
      <c r="I554" t="s">
        <v>28</v>
      </c>
      <c r="J554">
        <v>101.71</v>
      </c>
      <c r="K554">
        <v>0.09</v>
      </c>
      <c r="L554">
        <v>0.4</v>
      </c>
      <c r="M554">
        <v>3.5</v>
      </c>
      <c r="N554">
        <v>3977.694</v>
      </c>
      <c r="O554" s="1" t="s">
        <v>64</v>
      </c>
      <c r="P554" s="1" t="s">
        <v>2182</v>
      </c>
      <c r="Q554" s="1" t="s">
        <v>2183</v>
      </c>
      <c r="R554" s="1" t="s">
        <v>128</v>
      </c>
      <c r="S554" s="1" t="s">
        <v>2184</v>
      </c>
      <c r="T554" s="1" t="s">
        <v>2185</v>
      </c>
      <c r="U554" s="2" t="s">
        <v>2186</v>
      </c>
      <c r="V554" s="2" t="s">
        <v>47</v>
      </c>
      <c r="W554" s="2" t="s">
        <v>104</v>
      </c>
      <c r="X554" s="2">
        <v>6.37</v>
      </c>
    </row>
    <row r="555" spans="1:24" x14ac:dyDescent="0.3">
      <c r="A555">
        <v>18458</v>
      </c>
      <c r="B555" t="s">
        <v>2187</v>
      </c>
      <c r="C555" s="3">
        <v>41113</v>
      </c>
      <c r="D555" t="s">
        <v>25</v>
      </c>
      <c r="E555">
        <v>14</v>
      </c>
      <c r="F555" s="3">
        <f ca="1">41120+(RANDBETWEEN(1,10))</f>
        <v>41122</v>
      </c>
      <c r="G555" t="s">
        <v>26</v>
      </c>
      <c r="H555" t="s">
        <v>51</v>
      </c>
      <c r="I555" t="s">
        <v>28</v>
      </c>
      <c r="J555">
        <v>1048.53</v>
      </c>
      <c r="K555">
        <v>0.1</v>
      </c>
      <c r="L555">
        <v>0.41</v>
      </c>
      <c r="M555">
        <v>31.465</v>
      </c>
      <c r="N555">
        <v>697.55</v>
      </c>
      <c r="O555" s="1" t="s">
        <v>87</v>
      </c>
      <c r="P555" s="1" t="s">
        <v>1418</v>
      </c>
      <c r="Q555" s="1" t="s">
        <v>1419</v>
      </c>
      <c r="R555" s="1" t="s">
        <v>90</v>
      </c>
      <c r="S555" s="1" t="s">
        <v>1420</v>
      </c>
      <c r="T555" s="1" t="s">
        <v>1421</v>
      </c>
      <c r="U555" s="2" t="s">
        <v>2188</v>
      </c>
      <c r="V555" s="2" t="s">
        <v>83</v>
      </c>
      <c r="W555" s="2" t="s">
        <v>178</v>
      </c>
      <c r="X555" s="2">
        <v>77.805000000000007</v>
      </c>
    </row>
    <row r="556" spans="1:24" x14ac:dyDescent="0.3">
      <c r="A556">
        <v>18459</v>
      </c>
      <c r="B556" t="s">
        <v>2187</v>
      </c>
      <c r="C556" s="3">
        <v>41113</v>
      </c>
      <c r="D556" t="s">
        <v>25</v>
      </c>
      <c r="E556">
        <v>11</v>
      </c>
      <c r="F556" s="3">
        <f ca="1">41120+(RANDBETWEEN(1,10))</f>
        <v>41121</v>
      </c>
      <c r="G556" t="s">
        <v>26</v>
      </c>
      <c r="H556" t="s">
        <v>27</v>
      </c>
      <c r="I556" t="s">
        <v>28</v>
      </c>
      <c r="J556">
        <v>6740.335</v>
      </c>
      <c r="K556">
        <v>0.01</v>
      </c>
      <c r="L556">
        <v>0.57999999999999996</v>
      </c>
      <c r="M556">
        <v>31.465</v>
      </c>
      <c r="N556">
        <v>4650.83115</v>
      </c>
      <c r="O556" s="1" t="s">
        <v>87</v>
      </c>
      <c r="P556" s="1" t="s">
        <v>1418</v>
      </c>
      <c r="Q556" s="1" t="s">
        <v>1419</v>
      </c>
      <c r="R556" s="1" t="s">
        <v>90</v>
      </c>
      <c r="S556" s="1" t="s">
        <v>1420</v>
      </c>
      <c r="T556" s="1" t="s">
        <v>1421</v>
      </c>
      <c r="U556" s="2" t="s">
        <v>2189</v>
      </c>
      <c r="V556" s="2" t="s">
        <v>36</v>
      </c>
      <c r="W556" s="2" t="s">
        <v>37</v>
      </c>
      <c r="X556" s="2">
        <v>720.96500000000003</v>
      </c>
    </row>
    <row r="557" spans="1:24" x14ac:dyDescent="0.3">
      <c r="A557">
        <v>1846</v>
      </c>
      <c r="B557" t="s">
        <v>2190</v>
      </c>
      <c r="C557" s="3">
        <v>41863</v>
      </c>
      <c r="D557" t="s">
        <v>39</v>
      </c>
      <c r="E557">
        <v>44</v>
      </c>
      <c r="F557" s="3">
        <f ca="1">41864+(RANDBETWEEN(1,10))</f>
        <v>41869</v>
      </c>
      <c r="G557" t="s">
        <v>26</v>
      </c>
      <c r="H557" t="s">
        <v>27</v>
      </c>
      <c r="I557" t="s">
        <v>52</v>
      </c>
      <c r="J557">
        <v>63437.08</v>
      </c>
      <c r="K557">
        <v>0.05</v>
      </c>
      <c r="L557">
        <v>0.35</v>
      </c>
      <c r="M557">
        <v>69.965000000000003</v>
      </c>
      <c r="N557">
        <v>13503.971250000001</v>
      </c>
      <c r="O557" s="1" t="s">
        <v>40</v>
      </c>
      <c r="P557" s="1" t="s">
        <v>381</v>
      </c>
      <c r="Q557" s="1" t="s">
        <v>382</v>
      </c>
      <c r="R557" s="1" t="s">
        <v>220</v>
      </c>
      <c r="S557" s="1" t="s">
        <v>221</v>
      </c>
      <c r="T557" s="1" t="s">
        <v>383</v>
      </c>
      <c r="U557" s="2" t="s">
        <v>1352</v>
      </c>
      <c r="V557" s="2" t="s">
        <v>47</v>
      </c>
      <c r="W557" s="2" t="s">
        <v>111</v>
      </c>
      <c r="X557" s="2">
        <v>1473.43</v>
      </c>
    </row>
    <row r="558" spans="1:24" x14ac:dyDescent="0.3">
      <c r="A558">
        <v>18460</v>
      </c>
      <c r="B558" t="s">
        <v>2191</v>
      </c>
      <c r="C558" s="3">
        <v>40893</v>
      </c>
      <c r="D558" t="s">
        <v>39</v>
      </c>
      <c r="E558">
        <v>6</v>
      </c>
      <c r="F558" s="3">
        <f ca="1">40895+(RANDBETWEEN(1,10))</f>
        <v>40900</v>
      </c>
      <c r="G558" t="s">
        <v>76</v>
      </c>
      <c r="H558" t="s">
        <v>77</v>
      </c>
      <c r="I558" t="s">
        <v>28</v>
      </c>
      <c r="J558">
        <v>2586.7449999999999</v>
      </c>
      <c r="K558">
        <v>0.04</v>
      </c>
      <c r="L558">
        <v>0.36</v>
      </c>
      <c r="M558">
        <v>49</v>
      </c>
      <c r="N558">
        <v>1784.8540499999999</v>
      </c>
      <c r="O558" s="1" t="s">
        <v>40</v>
      </c>
      <c r="P558" s="1" t="s">
        <v>2192</v>
      </c>
      <c r="Q558" s="1" t="s">
        <v>2193</v>
      </c>
      <c r="R558" s="1" t="s">
        <v>220</v>
      </c>
      <c r="S558" s="1" t="s">
        <v>2194</v>
      </c>
      <c r="T558" s="1" t="s">
        <v>2195</v>
      </c>
      <c r="U558" s="2" t="s">
        <v>2196</v>
      </c>
      <c r="V558" s="2" t="s">
        <v>36</v>
      </c>
      <c r="W558" s="2" t="s">
        <v>142</v>
      </c>
      <c r="X558" s="2">
        <v>419.96499999999997</v>
      </c>
    </row>
    <row r="559" spans="1:24" x14ac:dyDescent="0.3">
      <c r="A559">
        <v>18461</v>
      </c>
      <c r="B559" t="s">
        <v>2197</v>
      </c>
      <c r="C559" s="3">
        <v>40764</v>
      </c>
      <c r="D559" t="s">
        <v>50</v>
      </c>
      <c r="E559">
        <v>4</v>
      </c>
      <c r="F559" s="3">
        <f ca="1">40766+(RANDBETWEEN(1,10))</f>
        <v>40775</v>
      </c>
      <c r="G559" t="s">
        <v>26</v>
      </c>
      <c r="H559" t="s">
        <v>51</v>
      </c>
      <c r="I559" t="s">
        <v>28</v>
      </c>
      <c r="J559">
        <v>417.79500000000002</v>
      </c>
      <c r="K559">
        <v>0.1</v>
      </c>
      <c r="L559">
        <v>0.57999999999999996</v>
      </c>
      <c r="M559">
        <v>31.465</v>
      </c>
      <c r="N559">
        <v>-70.779799999999994</v>
      </c>
      <c r="O559" s="1" t="s">
        <v>87</v>
      </c>
      <c r="P559" s="1" t="s">
        <v>2198</v>
      </c>
      <c r="Q559" s="1" t="s">
        <v>2199</v>
      </c>
      <c r="R559" s="1" t="s">
        <v>398</v>
      </c>
      <c r="S559" s="1" t="s">
        <v>2200</v>
      </c>
      <c r="T559" s="1" t="s">
        <v>2201</v>
      </c>
      <c r="U559" s="2" t="s">
        <v>1439</v>
      </c>
      <c r="V559" s="2" t="s">
        <v>47</v>
      </c>
      <c r="W559" s="2" t="s">
        <v>104</v>
      </c>
      <c r="X559" s="2">
        <v>108.43</v>
      </c>
    </row>
    <row r="560" spans="1:24" x14ac:dyDescent="0.3">
      <c r="A560">
        <v>18462</v>
      </c>
      <c r="B560" t="s">
        <v>2202</v>
      </c>
      <c r="C560" s="3">
        <v>40582</v>
      </c>
      <c r="D560" t="s">
        <v>50</v>
      </c>
      <c r="E560">
        <v>1</v>
      </c>
      <c r="F560" s="3">
        <f ca="1">40582+(RANDBETWEEN(1,10))</f>
        <v>40585</v>
      </c>
      <c r="G560" t="s">
        <v>156</v>
      </c>
      <c r="H560" t="s">
        <v>27</v>
      </c>
      <c r="I560" t="s">
        <v>52</v>
      </c>
      <c r="J560">
        <v>628.28499999999997</v>
      </c>
      <c r="K560">
        <v>7.0000000000000007E-2</v>
      </c>
      <c r="L560">
        <v>0.48</v>
      </c>
      <c r="M560">
        <v>69.965000000000003</v>
      </c>
      <c r="N560">
        <v>-1496.145</v>
      </c>
      <c r="O560" s="1" t="s">
        <v>87</v>
      </c>
      <c r="P560" s="1" t="s">
        <v>2203</v>
      </c>
      <c r="Q560" s="1" t="s">
        <v>2204</v>
      </c>
      <c r="R560" s="1" t="s">
        <v>90</v>
      </c>
      <c r="S560" s="1" t="s">
        <v>1811</v>
      </c>
      <c r="T560" s="1" t="s">
        <v>1812</v>
      </c>
      <c r="U560" s="2" t="s">
        <v>2205</v>
      </c>
      <c r="V560" s="2" t="s">
        <v>36</v>
      </c>
      <c r="W560" s="2" t="s">
        <v>60</v>
      </c>
      <c r="X560" s="2">
        <v>629.96500000000003</v>
      </c>
    </row>
    <row r="561" spans="1:24" x14ac:dyDescent="0.3">
      <c r="A561">
        <v>18463</v>
      </c>
      <c r="B561" t="s">
        <v>2206</v>
      </c>
      <c r="C561" s="3">
        <v>41587</v>
      </c>
      <c r="D561" t="s">
        <v>62</v>
      </c>
      <c r="E561">
        <v>26</v>
      </c>
      <c r="F561" s="3">
        <f ca="1">41589+(RANDBETWEEN(1,10))</f>
        <v>41599</v>
      </c>
      <c r="G561" t="s">
        <v>26</v>
      </c>
      <c r="H561" t="s">
        <v>51</v>
      </c>
      <c r="I561" t="s">
        <v>97</v>
      </c>
      <c r="J561">
        <v>1622.7049999999999</v>
      </c>
      <c r="K561">
        <v>0.08</v>
      </c>
      <c r="L561">
        <v>0.69</v>
      </c>
      <c r="M561">
        <v>11.095000000000001</v>
      </c>
      <c r="N561">
        <v>18.704000000000001</v>
      </c>
      <c r="O561" s="1" t="s">
        <v>40</v>
      </c>
      <c r="P561" s="1" t="s">
        <v>2207</v>
      </c>
      <c r="Q561" s="1" t="s">
        <v>2208</v>
      </c>
      <c r="R561" s="1" t="s">
        <v>43</v>
      </c>
      <c r="S561" s="1" t="s">
        <v>2209</v>
      </c>
      <c r="T561" s="1" t="s">
        <v>2210</v>
      </c>
      <c r="U561" s="2" t="s">
        <v>2211</v>
      </c>
      <c r="V561" s="2" t="s">
        <v>36</v>
      </c>
      <c r="W561" s="2" t="s">
        <v>60</v>
      </c>
      <c r="X561" s="2">
        <v>66.114999999999995</v>
      </c>
    </row>
    <row r="562" spans="1:24" x14ac:dyDescent="0.3">
      <c r="A562">
        <v>18464</v>
      </c>
      <c r="B562" t="s">
        <v>2212</v>
      </c>
      <c r="C562" s="3">
        <v>41668</v>
      </c>
      <c r="D562" t="s">
        <v>25</v>
      </c>
      <c r="E562">
        <v>4</v>
      </c>
      <c r="F562" s="3">
        <f ca="1">41673+(RANDBETWEEN(1,10))</f>
        <v>41676</v>
      </c>
      <c r="G562" t="s">
        <v>26</v>
      </c>
      <c r="H562" t="s">
        <v>96</v>
      </c>
      <c r="I562" t="s">
        <v>97</v>
      </c>
      <c r="J562">
        <v>80.605000000000004</v>
      </c>
      <c r="K562">
        <v>0.04</v>
      </c>
      <c r="L562">
        <v>0.54</v>
      </c>
      <c r="M562">
        <v>13.86</v>
      </c>
      <c r="N562">
        <v>-18.228000000000002</v>
      </c>
      <c r="O562" s="1" t="s">
        <v>87</v>
      </c>
      <c r="P562" s="1" t="s">
        <v>2162</v>
      </c>
      <c r="Q562" s="1" t="s">
        <v>2163</v>
      </c>
      <c r="R562" s="1" t="s">
        <v>398</v>
      </c>
      <c r="S562" s="1" t="s">
        <v>2164</v>
      </c>
      <c r="T562" s="1" t="s">
        <v>2165</v>
      </c>
      <c r="U562" s="2" t="s">
        <v>2213</v>
      </c>
      <c r="V562" s="2" t="s">
        <v>83</v>
      </c>
      <c r="W562" s="2" t="s">
        <v>178</v>
      </c>
      <c r="X562" s="2">
        <v>18.48</v>
      </c>
    </row>
    <row r="563" spans="1:24" x14ac:dyDescent="0.3">
      <c r="A563">
        <v>18465</v>
      </c>
      <c r="B563" t="s">
        <v>2214</v>
      </c>
      <c r="C563" s="3">
        <v>41263</v>
      </c>
      <c r="D563" t="s">
        <v>148</v>
      </c>
      <c r="E563">
        <v>3</v>
      </c>
      <c r="F563" s="3">
        <f ca="1">41264+(RANDBETWEEN(1,10))</f>
        <v>41270</v>
      </c>
      <c r="G563" t="s">
        <v>26</v>
      </c>
      <c r="H563" t="s">
        <v>27</v>
      </c>
      <c r="I563" t="s">
        <v>28</v>
      </c>
      <c r="J563">
        <v>53.375</v>
      </c>
      <c r="K563">
        <v>0.04</v>
      </c>
      <c r="L563">
        <v>0.38</v>
      </c>
      <c r="M563">
        <v>17.465</v>
      </c>
      <c r="N563">
        <v>379.84800000000001</v>
      </c>
      <c r="O563" s="1" t="s">
        <v>40</v>
      </c>
      <c r="P563" s="1" t="s">
        <v>2215</v>
      </c>
      <c r="Q563" s="1" t="s">
        <v>2216</v>
      </c>
      <c r="R563" s="1" t="s">
        <v>43</v>
      </c>
      <c r="S563" s="1" t="s">
        <v>2217</v>
      </c>
      <c r="T563" s="1" t="s">
        <v>2218</v>
      </c>
      <c r="U563" s="2" t="s">
        <v>1179</v>
      </c>
      <c r="V563" s="2" t="s">
        <v>47</v>
      </c>
      <c r="W563" s="2" t="s">
        <v>48</v>
      </c>
      <c r="X563" s="2">
        <v>15.47</v>
      </c>
    </row>
    <row r="564" spans="1:24" x14ac:dyDescent="0.3">
      <c r="A564">
        <v>18466</v>
      </c>
      <c r="B564" t="s">
        <v>2219</v>
      </c>
      <c r="C564" s="3">
        <v>41792</v>
      </c>
      <c r="D564" t="s">
        <v>50</v>
      </c>
      <c r="E564">
        <v>12</v>
      </c>
      <c r="F564" s="3">
        <f ca="1">41794+(RANDBETWEEN(1,10))</f>
        <v>41802</v>
      </c>
      <c r="G564" t="s">
        <v>26</v>
      </c>
      <c r="H564" t="s">
        <v>51</v>
      </c>
      <c r="I564" t="s">
        <v>52</v>
      </c>
      <c r="J564">
        <v>743.92499999999995</v>
      </c>
      <c r="K564">
        <v>0.05</v>
      </c>
      <c r="L564">
        <v>0.81</v>
      </c>
      <c r="M564">
        <v>11.55</v>
      </c>
      <c r="N564">
        <v>-268.73</v>
      </c>
      <c r="O564" s="1" t="s">
        <v>53</v>
      </c>
      <c r="P564" s="1" t="s">
        <v>2220</v>
      </c>
      <c r="Q564" s="1" t="s">
        <v>2221</v>
      </c>
      <c r="R564" s="1" t="s">
        <v>56</v>
      </c>
      <c r="S564" s="1" t="s">
        <v>2222</v>
      </c>
      <c r="T564" s="1" t="s">
        <v>2223</v>
      </c>
      <c r="U564" s="2" t="s">
        <v>2224</v>
      </c>
      <c r="V564" s="2" t="s">
        <v>36</v>
      </c>
      <c r="W564" s="2" t="s">
        <v>37</v>
      </c>
      <c r="X564" s="2">
        <v>73.465000000000003</v>
      </c>
    </row>
    <row r="565" spans="1:24" x14ac:dyDescent="0.3">
      <c r="A565">
        <v>18467</v>
      </c>
      <c r="B565" t="s">
        <v>2225</v>
      </c>
      <c r="C565" s="3">
        <v>40738</v>
      </c>
      <c r="D565" t="s">
        <v>25</v>
      </c>
      <c r="E565">
        <v>7</v>
      </c>
      <c r="F565" s="3">
        <f ca="1">40740+(RANDBETWEEN(1,10))</f>
        <v>40745</v>
      </c>
      <c r="G565" t="s">
        <v>26</v>
      </c>
      <c r="H565" t="s">
        <v>27</v>
      </c>
      <c r="I565" t="s">
        <v>86</v>
      </c>
      <c r="J565">
        <v>3785.39</v>
      </c>
      <c r="K565">
        <v>7.0000000000000007E-2</v>
      </c>
      <c r="L565">
        <v>0.59</v>
      </c>
      <c r="M565">
        <v>69.965000000000003</v>
      </c>
      <c r="N565">
        <v>1825.915</v>
      </c>
      <c r="O565" s="1" t="s">
        <v>87</v>
      </c>
      <c r="P565" s="1" t="s">
        <v>2226</v>
      </c>
      <c r="Q565" s="1" t="s">
        <v>2227</v>
      </c>
      <c r="R565" s="1" t="s">
        <v>646</v>
      </c>
      <c r="S565" s="1" t="s">
        <v>2228</v>
      </c>
      <c r="T565" s="1" t="s">
        <v>2229</v>
      </c>
      <c r="U565" s="2" t="s">
        <v>2230</v>
      </c>
      <c r="V565" s="2" t="s">
        <v>47</v>
      </c>
      <c r="W565" s="2" t="s">
        <v>119</v>
      </c>
      <c r="X565" s="2">
        <v>578.20000000000005</v>
      </c>
    </row>
    <row r="566" spans="1:24" x14ac:dyDescent="0.3">
      <c r="A566">
        <v>18468</v>
      </c>
      <c r="B566" t="s">
        <v>2231</v>
      </c>
      <c r="C566" s="3">
        <v>41996</v>
      </c>
      <c r="D566" t="s">
        <v>25</v>
      </c>
      <c r="E566">
        <v>5</v>
      </c>
      <c r="F566" s="3">
        <f ca="1">42000+(RANDBETWEEN(1,10))</f>
        <v>42007</v>
      </c>
      <c r="G566" t="s">
        <v>26</v>
      </c>
      <c r="H566" t="s">
        <v>27</v>
      </c>
      <c r="I566" t="s">
        <v>52</v>
      </c>
      <c r="J566">
        <v>969.88499999999999</v>
      </c>
      <c r="K566">
        <v>0.05</v>
      </c>
      <c r="L566">
        <v>0.62</v>
      </c>
      <c r="M566">
        <v>19.25</v>
      </c>
      <c r="N566">
        <v>250.25489999999999</v>
      </c>
      <c r="O566" s="1" t="s">
        <v>40</v>
      </c>
      <c r="P566" s="1" t="s">
        <v>2232</v>
      </c>
      <c r="Q566" s="1" t="s">
        <v>2233</v>
      </c>
      <c r="R566" s="1" t="s">
        <v>43</v>
      </c>
      <c r="S566" s="1" t="s">
        <v>2234</v>
      </c>
      <c r="T566" s="1" t="s">
        <v>2235</v>
      </c>
      <c r="U566" s="2" t="s">
        <v>2236</v>
      </c>
      <c r="V566" s="2" t="s">
        <v>36</v>
      </c>
      <c r="W566" s="2" t="s">
        <v>60</v>
      </c>
      <c r="X566" s="2">
        <v>188.93</v>
      </c>
    </row>
    <row r="567" spans="1:24" x14ac:dyDescent="0.3">
      <c r="A567">
        <v>18469</v>
      </c>
      <c r="B567" t="s">
        <v>2237</v>
      </c>
      <c r="C567" s="3">
        <v>41739</v>
      </c>
      <c r="D567" t="s">
        <v>25</v>
      </c>
      <c r="E567">
        <v>2</v>
      </c>
      <c r="F567" s="3">
        <f ca="1">41739+(RANDBETWEEN(1,10))</f>
        <v>41742</v>
      </c>
      <c r="G567" t="s">
        <v>26</v>
      </c>
      <c r="H567" t="s">
        <v>51</v>
      </c>
      <c r="I567" t="s">
        <v>52</v>
      </c>
      <c r="J567">
        <v>119.52500000000001</v>
      </c>
      <c r="K567">
        <v>0.01</v>
      </c>
      <c r="L567">
        <v>0.46</v>
      </c>
      <c r="M567">
        <v>13.055</v>
      </c>
      <c r="N567">
        <v>82.472250000000003</v>
      </c>
      <c r="O567" s="1" t="s">
        <v>40</v>
      </c>
      <c r="P567" s="1" t="s">
        <v>2238</v>
      </c>
      <c r="Q567" s="1" t="s">
        <v>2239</v>
      </c>
      <c r="R567" s="1" t="s">
        <v>43</v>
      </c>
      <c r="S567" s="1" t="s">
        <v>2240</v>
      </c>
      <c r="T567" s="1" t="s">
        <v>2241</v>
      </c>
      <c r="U567" s="2" t="s">
        <v>2063</v>
      </c>
      <c r="V567" s="2" t="s">
        <v>83</v>
      </c>
      <c r="W567" s="2" t="s">
        <v>178</v>
      </c>
      <c r="X567" s="2">
        <v>54.88</v>
      </c>
    </row>
    <row r="568" spans="1:24" x14ac:dyDescent="0.3">
      <c r="A568">
        <v>1847</v>
      </c>
      <c r="B568" t="s">
        <v>2190</v>
      </c>
      <c r="C568" s="3">
        <v>41863</v>
      </c>
      <c r="D568" t="s">
        <v>39</v>
      </c>
      <c r="E568">
        <v>98</v>
      </c>
      <c r="F568" s="3">
        <f ca="1">41864+(RANDBETWEEN(1,10))</f>
        <v>41866</v>
      </c>
      <c r="G568" t="s">
        <v>26</v>
      </c>
      <c r="H568" t="s">
        <v>27</v>
      </c>
      <c r="I568" t="s">
        <v>52</v>
      </c>
      <c r="J568">
        <v>11637.99</v>
      </c>
      <c r="K568">
        <v>0.1</v>
      </c>
      <c r="L568">
        <v>0.35</v>
      </c>
      <c r="M568">
        <v>10.465</v>
      </c>
      <c r="N568">
        <v>2362.4772499999999</v>
      </c>
      <c r="O568" s="1" t="s">
        <v>40</v>
      </c>
      <c r="P568" s="1" t="s">
        <v>381</v>
      </c>
      <c r="Q568" s="1" t="s">
        <v>382</v>
      </c>
      <c r="R568" s="1" t="s">
        <v>220</v>
      </c>
      <c r="S568" s="1" t="s">
        <v>221</v>
      </c>
      <c r="T568" s="1" t="s">
        <v>383</v>
      </c>
      <c r="U568" s="2" t="s">
        <v>1132</v>
      </c>
      <c r="V568" s="2" t="s">
        <v>47</v>
      </c>
      <c r="W568" s="2" t="s">
        <v>111</v>
      </c>
      <c r="X568" s="2">
        <v>131.94999999999999</v>
      </c>
    </row>
    <row r="569" spans="1:24" x14ac:dyDescent="0.3">
      <c r="A569">
        <v>18470</v>
      </c>
      <c r="B569" t="s">
        <v>2237</v>
      </c>
      <c r="C569" s="3">
        <v>41739</v>
      </c>
      <c r="D569" t="s">
        <v>25</v>
      </c>
      <c r="E569">
        <v>11</v>
      </c>
      <c r="F569" s="3">
        <f ca="1">41743+(RANDBETWEEN(1,10))</f>
        <v>41750</v>
      </c>
      <c r="G569" t="s">
        <v>156</v>
      </c>
      <c r="H569" t="s">
        <v>63</v>
      </c>
      <c r="I569" t="s">
        <v>52</v>
      </c>
      <c r="J569">
        <v>2665.32</v>
      </c>
      <c r="K569">
        <v>0.04</v>
      </c>
      <c r="L569">
        <v>0.68</v>
      </c>
      <c r="M569">
        <v>241.5</v>
      </c>
      <c r="N569">
        <v>191.093175</v>
      </c>
      <c r="O569" s="1" t="s">
        <v>40</v>
      </c>
      <c r="P569" s="1" t="s">
        <v>2238</v>
      </c>
      <c r="Q569" s="1" t="s">
        <v>2239</v>
      </c>
      <c r="R569" s="1" t="s">
        <v>43</v>
      </c>
      <c r="S569" s="1" t="s">
        <v>2240</v>
      </c>
      <c r="T569" s="1" t="s">
        <v>2241</v>
      </c>
      <c r="U569" s="2" t="s">
        <v>1152</v>
      </c>
      <c r="V569" s="2" t="s">
        <v>83</v>
      </c>
      <c r="W569" s="2" t="s">
        <v>263</v>
      </c>
      <c r="X569" s="2">
        <v>249.79499999999999</v>
      </c>
    </row>
    <row r="570" spans="1:24" x14ac:dyDescent="0.3">
      <c r="A570">
        <v>18471</v>
      </c>
      <c r="B570" t="s">
        <v>2242</v>
      </c>
      <c r="C570" s="3">
        <v>41920</v>
      </c>
      <c r="D570" t="s">
        <v>62</v>
      </c>
      <c r="E570">
        <v>3</v>
      </c>
      <c r="F570" s="3">
        <f ca="1">41922+(RANDBETWEEN(1,10))</f>
        <v>41928</v>
      </c>
      <c r="G570" t="s">
        <v>26</v>
      </c>
      <c r="H570" t="s">
        <v>27</v>
      </c>
      <c r="I570" t="s">
        <v>86</v>
      </c>
      <c r="J570">
        <v>89.6</v>
      </c>
      <c r="K570">
        <v>0.06</v>
      </c>
      <c r="L570">
        <v>0.35</v>
      </c>
      <c r="M570">
        <v>16.484999999999999</v>
      </c>
      <c r="N570">
        <v>-41.417250000000003</v>
      </c>
      <c r="O570" s="1" t="s">
        <v>53</v>
      </c>
      <c r="P570" s="1" t="s">
        <v>2243</v>
      </c>
      <c r="Q570" s="1" t="s">
        <v>2244</v>
      </c>
      <c r="R570" s="1" t="s">
        <v>56</v>
      </c>
      <c r="S570" s="1" t="s">
        <v>615</v>
      </c>
      <c r="T570" s="1" t="s">
        <v>616</v>
      </c>
      <c r="U570" s="2" t="s">
        <v>2245</v>
      </c>
      <c r="V570" s="2" t="s">
        <v>47</v>
      </c>
      <c r="W570" s="2" t="s">
        <v>111</v>
      </c>
      <c r="X570" s="2">
        <v>27.44</v>
      </c>
    </row>
    <row r="571" spans="1:24" x14ac:dyDescent="0.3">
      <c r="A571">
        <v>18472</v>
      </c>
      <c r="B571" t="s">
        <v>2246</v>
      </c>
      <c r="C571" s="3">
        <v>41592</v>
      </c>
      <c r="D571" t="s">
        <v>25</v>
      </c>
      <c r="E571">
        <v>26</v>
      </c>
      <c r="F571" s="3">
        <f ca="1">41594+(RANDBETWEEN(1,10))</f>
        <v>41603</v>
      </c>
      <c r="G571" t="s">
        <v>156</v>
      </c>
      <c r="H571" t="s">
        <v>96</v>
      </c>
      <c r="I571" t="s">
        <v>28</v>
      </c>
      <c r="J571">
        <v>419.685</v>
      </c>
      <c r="K571">
        <v>0.1</v>
      </c>
      <c r="L571">
        <v>0.85</v>
      </c>
      <c r="M571">
        <v>2.4500000000000002</v>
      </c>
      <c r="N571">
        <v>8.5820000000000007</v>
      </c>
      <c r="O571" s="1" t="s">
        <v>53</v>
      </c>
      <c r="P571" s="1" t="s">
        <v>2247</v>
      </c>
      <c r="Q571" s="1" t="s">
        <v>2248</v>
      </c>
      <c r="R571" s="1" t="s">
        <v>440</v>
      </c>
      <c r="S571" s="1" t="s">
        <v>2249</v>
      </c>
      <c r="T571" s="1" t="s">
        <v>2250</v>
      </c>
      <c r="U571" s="2" t="s">
        <v>2251</v>
      </c>
      <c r="V571" s="2" t="s">
        <v>47</v>
      </c>
      <c r="W571" s="2" t="s">
        <v>176</v>
      </c>
      <c r="X571" s="2">
        <v>16.484999999999999</v>
      </c>
    </row>
    <row r="572" spans="1:24" x14ac:dyDescent="0.3">
      <c r="A572">
        <v>18473</v>
      </c>
      <c r="B572" t="s">
        <v>2252</v>
      </c>
      <c r="C572" s="3">
        <v>41349</v>
      </c>
      <c r="D572" t="s">
        <v>25</v>
      </c>
      <c r="E572">
        <v>1</v>
      </c>
      <c r="F572" s="3">
        <f ca="1">41353+(RANDBETWEEN(1,10))</f>
        <v>41362</v>
      </c>
      <c r="G572" t="s">
        <v>26</v>
      </c>
      <c r="H572" t="s">
        <v>27</v>
      </c>
      <c r="I572" t="s">
        <v>28</v>
      </c>
      <c r="J572">
        <v>14.98</v>
      </c>
      <c r="K572">
        <v>0.03</v>
      </c>
      <c r="L572">
        <v>0.38</v>
      </c>
      <c r="M572">
        <v>5.2149999999999999</v>
      </c>
      <c r="N572">
        <v>-8.9354999999999993</v>
      </c>
      <c r="O572" s="1" t="s">
        <v>53</v>
      </c>
      <c r="P572" s="1" t="s">
        <v>2253</v>
      </c>
      <c r="Q572" s="1" t="s">
        <v>2254</v>
      </c>
      <c r="R572" s="1" t="s">
        <v>56</v>
      </c>
      <c r="S572" s="1" t="s">
        <v>2255</v>
      </c>
      <c r="T572" s="1" t="s">
        <v>2256</v>
      </c>
      <c r="U572" s="2" t="s">
        <v>1763</v>
      </c>
      <c r="V572" s="2" t="s">
        <v>47</v>
      </c>
      <c r="W572" s="2" t="s">
        <v>111</v>
      </c>
      <c r="X572" s="2">
        <v>13.3</v>
      </c>
    </row>
    <row r="573" spans="1:24" x14ac:dyDescent="0.3">
      <c r="A573">
        <v>18474</v>
      </c>
      <c r="B573" t="s">
        <v>2257</v>
      </c>
      <c r="C573" s="3">
        <v>41639</v>
      </c>
      <c r="D573" t="s">
        <v>62</v>
      </c>
      <c r="E573">
        <v>23</v>
      </c>
      <c r="F573" s="3">
        <f ca="1">41639+(RANDBETWEEN(1,10))</f>
        <v>41641</v>
      </c>
      <c r="G573" t="s">
        <v>76</v>
      </c>
      <c r="H573" t="s">
        <v>77</v>
      </c>
      <c r="I573" t="s">
        <v>97</v>
      </c>
      <c r="J573">
        <v>20631.240000000002</v>
      </c>
      <c r="K573">
        <v>7.0000000000000007E-2</v>
      </c>
      <c r="L573">
        <v>0.57999999999999996</v>
      </c>
      <c r="M573">
        <v>62.51</v>
      </c>
      <c r="N573">
        <v>14235.5556</v>
      </c>
      <c r="O573" s="1" t="s">
        <v>53</v>
      </c>
      <c r="P573" s="1" t="s">
        <v>2258</v>
      </c>
      <c r="Q573" s="1" t="s">
        <v>2259</v>
      </c>
      <c r="R573" s="1" t="s">
        <v>440</v>
      </c>
      <c r="S573" s="1" t="s">
        <v>2260</v>
      </c>
      <c r="T573" s="1" t="s">
        <v>2261</v>
      </c>
      <c r="U573" s="2" t="s">
        <v>2262</v>
      </c>
      <c r="V573" s="2" t="s">
        <v>36</v>
      </c>
      <c r="W573" s="2" t="s">
        <v>142</v>
      </c>
      <c r="X573" s="2">
        <v>927.43</v>
      </c>
    </row>
    <row r="574" spans="1:24" x14ac:dyDescent="0.3">
      <c r="A574">
        <v>18475</v>
      </c>
      <c r="B574" t="s">
        <v>2257</v>
      </c>
      <c r="C574" s="3">
        <v>41639</v>
      </c>
      <c r="D574" t="s">
        <v>62</v>
      </c>
      <c r="E574">
        <v>9</v>
      </c>
      <c r="F574" s="3">
        <f ca="1">41640+(RANDBETWEEN(1,10))</f>
        <v>41643</v>
      </c>
      <c r="G574" t="s">
        <v>156</v>
      </c>
      <c r="H574" t="s">
        <v>96</v>
      </c>
      <c r="I574" t="s">
        <v>97</v>
      </c>
      <c r="J574">
        <v>255.67500000000001</v>
      </c>
      <c r="K574">
        <v>0.06</v>
      </c>
      <c r="L574">
        <v>0.35</v>
      </c>
      <c r="M574">
        <v>5.0049999999999999</v>
      </c>
      <c r="N574">
        <v>176.41575</v>
      </c>
      <c r="O574" s="1" t="s">
        <v>53</v>
      </c>
      <c r="P574" s="1" t="s">
        <v>2258</v>
      </c>
      <c r="Q574" s="1" t="s">
        <v>2259</v>
      </c>
      <c r="R574" s="1" t="s">
        <v>440</v>
      </c>
      <c r="S574" s="1" t="s">
        <v>2260</v>
      </c>
      <c r="T574" s="1" t="s">
        <v>2261</v>
      </c>
      <c r="U574" s="2" t="s">
        <v>2263</v>
      </c>
      <c r="V574" s="2" t="s">
        <v>47</v>
      </c>
      <c r="W574" s="2" t="s">
        <v>74</v>
      </c>
      <c r="X574" s="2">
        <v>29.19</v>
      </c>
    </row>
    <row r="575" spans="1:24" x14ac:dyDescent="0.3">
      <c r="A575">
        <v>18476</v>
      </c>
      <c r="B575" t="s">
        <v>2264</v>
      </c>
      <c r="C575" s="3">
        <v>41945</v>
      </c>
      <c r="D575" t="s">
        <v>39</v>
      </c>
      <c r="E575">
        <v>36</v>
      </c>
      <c r="F575" s="3">
        <f ca="1">41946+(RANDBETWEEN(1,10))</f>
        <v>41952</v>
      </c>
      <c r="G575" t="s">
        <v>26</v>
      </c>
      <c r="H575" t="s">
        <v>27</v>
      </c>
      <c r="I575" t="s">
        <v>52</v>
      </c>
      <c r="J575">
        <v>499.90499999999997</v>
      </c>
      <c r="K575">
        <v>0.04</v>
      </c>
      <c r="L575">
        <v>0.37</v>
      </c>
      <c r="M575">
        <v>26.25</v>
      </c>
      <c r="N575">
        <v>319.60320000000002</v>
      </c>
      <c r="O575" s="1" t="s">
        <v>87</v>
      </c>
      <c r="P575" s="1" t="s">
        <v>2265</v>
      </c>
      <c r="Q575" s="1" t="s">
        <v>2266</v>
      </c>
      <c r="R575" s="1" t="s">
        <v>398</v>
      </c>
      <c r="S575" s="1" t="s">
        <v>2267</v>
      </c>
      <c r="T575" s="1" t="s">
        <v>2268</v>
      </c>
      <c r="U575" s="2" t="s">
        <v>2269</v>
      </c>
      <c r="V575" s="2" t="s">
        <v>47</v>
      </c>
      <c r="W575" s="2" t="s">
        <v>203</v>
      </c>
      <c r="X575" s="2">
        <v>13.125</v>
      </c>
    </row>
    <row r="576" spans="1:24" x14ac:dyDescent="0.3">
      <c r="A576">
        <v>18477</v>
      </c>
      <c r="B576" t="s">
        <v>2270</v>
      </c>
      <c r="C576" s="3">
        <v>41469</v>
      </c>
      <c r="D576" t="s">
        <v>25</v>
      </c>
      <c r="E576">
        <v>2</v>
      </c>
      <c r="F576" s="3">
        <f ca="1">41474+(RANDBETWEEN(1,10))</f>
        <v>41475</v>
      </c>
      <c r="G576" t="s">
        <v>26</v>
      </c>
      <c r="H576" t="s">
        <v>27</v>
      </c>
      <c r="I576" t="s">
        <v>97</v>
      </c>
      <c r="J576">
        <v>107.345</v>
      </c>
      <c r="K576">
        <v>0.1</v>
      </c>
      <c r="L576">
        <v>0.37</v>
      </c>
      <c r="M576">
        <v>14</v>
      </c>
      <c r="N576">
        <v>-165.76</v>
      </c>
      <c r="O576" s="1" t="s">
        <v>29</v>
      </c>
      <c r="P576" s="1" t="s">
        <v>2271</v>
      </c>
      <c r="Q576" s="1" t="s">
        <v>2272</v>
      </c>
      <c r="R576" s="1" t="s">
        <v>32</v>
      </c>
      <c r="S576" s="1" t="s">
        <v>2273</v>
      </c>
      <c r="T576" s="1" t="s">
        <v>2274</v>
      </c>
      <c r="U576" s="2" t="s">
        <v>1006</v>
      </c>
      <c r="V576" s="2" t="s">
        <v>36</v>
      </c>
      <c r="W576" s="2" t="s">
        <v>60</v>
      </c>
      <c r="X576" s="2">
        <v>55.93</v>
      </c>
    </row>
    <row r="577" spans="1:24" x14ac:dyDescent="0.3">
      <c r="A577">
        <v>18478</v>
      </c>
      <c r="B577" t="s">
        <v>2275</v>
      </c>
      <c r="C577" s="3">
        <v>41961</v>
      </c>
      <c r="D577" t="s">
        <v>25</v>
      </c>
      <c r="E577">
        <v>11</v>
      </c>
      <c r="F577" s="3">
        <f ca="1">41968+(RANDBETWEEN(1,10))</f>
        <v>41976</v>
      </c>
      <c r="G577" t="s">
        <v>76</v>
      </c>
      <c r="H577" t="s">
        <v>258</v>
      </c>
      <c r="I577" t="s">
        <v>28</v>
      </c>
      <c r="J577">
        <v>5570.9849999999997</v>
      </c>
      <c r="K577">
        <v>0.1</v>
      </c>
      <c r="L577">
        <v>0.71</v>
      </c>
      <c r="M577">
        <v>280.7</v>
      </c>
      <c r="N577">
        <v>1238.2025599999999</v>
      </c>
      <c r="O577" s="1" t="s">
        <v>87</v>
      </c>
      <c r="P577" s="1" t="s">
        <v>1857</v>
      </c>
      <c r="Q577" s="1" t="s">
        <v>1858</v>
      </c>
      <c r="R577" s="1" t="s">
        <v>497</v>
      </c>
      <c r="S577" s="1" t="s">
        <v>1859</v>
      </c>
      <c r="T577" s="1" t="s">
        <v>1860</v>
      </c>
      <c r="U577" s="2" t="s">
        <v>696</v>
      </c>
      <c r="V577" s="2" t="s">
        <v>83</v>
      </c>
      <c r="W577" s="2" t="s">
        <v>263</v>
      </c>
      <c r="X577" s="2">
        <v>511.17500000000001</v>
      </c>
    </row>
    <row r="578" spans="1:24" x14ac:dyDescent="0.3">
      <c r="A578">
        <v>18479</v>
      </c>
      <c r="B578" t="s">
        <v>2276</v>
      </c>
      <c r="C578" s="3">
        <v>41049</v>
      </c>
      <c r="D578" t="s">
        <v>39</v>
      </c>
      <c r="E578">
        <v>11</v>
      </c>
      <c r="F578" s="3">
        <f ca="1">41050+(RANDBETWEEN(1,10))</f>
        <v>41059</v>
      </c>
      <c r="G578" t="s">
        <v>26</v>
      </c>
      <c r="H578" t="s">
        <v>27</v>
      </c>
      <c r="I578" t="s">
        <v>28</v>
      </c>
      <c r="J578">
        <v>190.36500000000001</v>
      </c>
      <c r="K578">
        <v>0.05</v>
      </c>
      <c r="L578">
        <v>0.36</v>
      </c>
      <c r="M578">
        <v>1.75</v>
      </c>
      <c r="N578">
        <v>-110.152</v>
      </c>
      <c r="O578" s="1" t="s">
        <v>29</v>
      </c>
      <c r="P578" s="1" t="s">
        <v>2277</v>
      </c>
      <c r="Q578" s="1" t="s">
        <v>2278</v>
      </c>
      <c r="R578" s="1" t="s">
        <v>32</v>
      </c>
      <c r="S578" s="1" t="s">
        <v>2279</v>
      </c>
      <c r="T578" s="1" t="s">
        <v>2280</v>
      </c>
      <c r="U578" s="2" t="s">
        <v>2281</v>
      </c>
      <c r="V578" s="2" t="s">
        <v>47</v>
      </c>
      <c r="W578" s="2" t="s">
        <v>203</v>
      </c>
      <c r="X578" s="2">
        <v>17.184999999999999</v>
      </c>
    </row>
    <row r="579" spans="1:24" x14ac:dyDescent="0.3">
      <c r="A579">
        <v>18480</v>
      </c>
      <c r="B579" t="s">
        <v>2282</v>
      </c>
      <c r="C579" s="3">
        <v>40851</v>
      </c>
      <c r="D579" t="s">
        <v>62</v>
      </c>
      <c r="E579">
        <v>5</v>
      </c>
      <c r="F579" s="3">
        <f ca="1">40853+(RANDBETWEEN(1,10))</f>
        <v>40858</v>
      </c>
      <c r="G579" t="s">
        <v>26</v>
      </c>
      <c r="H579" t="s">
        <v>96</v>
      </c>
      <c r="I579" t="s">
        <v>28</v>
      </c>
      <c r="J579">
        <v>64.715000000000003</v>
      </c>
      <c r="K579">
        <v>0.01</v>
      </c>
      <c r="L579">
        <v>0.41</v>
      </c>
      <c r="M579">
        <v>6.51</v>
      </c>
      <c r="N579">
        <v>2.4569999999999999</v>
      </c>
      <c r="O579" s="1" t="s">
        <v>225</v>
      </c>
      <c r="P579" s="1" t="s">
        <v>2283</v>
      </c>
      <c r="Q579" s="1" t="s">
        <v>2284</v>
      </c>
      <c r="R579" s="1" t="s">
        <v>391</v>
      </c>
      <c r="S579" s="1" t="s">
        <v>2285</v>
      </c>
      <c r="T579" s="1" t="s">
        <v>2286</v>
      </c>
      <c r="U579" s="2" t="s">
        <v>2287</v>
      </c>
      <c r="V579" s="2" t="s">
        <v>47</v>
      </c>
      <c r="W579" s="2" t="s">
        <v>104</v>
      </c>
      <c r="X579" s="2">
        <v>11.41</v>
      </c>
    </row>
    <row r="580" spans="1:24" x14ac:dyDescent="0.3">
      <c r="A580">
        <v>18481</v>
      </c>
      <c r="B580" t="s">
        <v>2288</v>
      </c>
      <c r="C580" s="3">
        <v>41897</v>
      </c>
      <c r="D580" t="s">
        <v>50</v>
      </c>
      <c r="E580">
        <v>22</v>
      </c>
      <c r="F580" s="3">
        <f ca="1">41899+(RANDBETWEEN(1,10))</f>
        <v>41905</v>
      </c>
      <c r="G580" t="s">
        <v>26</v>
      </c>
      <c r="H580" t="s">
        <v>27</v>
      </c>
      <c r="I580" t="s">
        <v>97</v>
      </c>
      <c r="J580">
        <v>1701.28</v>
      </c>
      <c r="K580">
        <v>0.08</v>
      </c>
      <c r="L580">
        <v>0.55000000000000004</v>
      </c>
      <c r="M580">
        <v>15.75</v>
      </c>
      <c r="N580">
        <v>613.00260000000003</v>
      </c>
      <c r="O580" s="1" t="s">
        <v>29</v>
      </c>
      <c r="P580" s="1" t="s">
        <v>2289</v>
      </c>
      <c r="Q580" s="1" t="s">
        <v>2290</v>
      </c>
      <c r="R580" s="1" t="s">
        <v>32</v>
      </c>
      <c r="S580" s="1" t="s">
        <v>2291</v>
      </c>
      <c r="T580" s="1" t="s">
        <v>2292</v>
      </c>
      <c r="U580" s="2" t="s">
        <v>755</v>
      </c>
      <c r="V580" s="2" t="s">
        <v>47</v>
      </c>
      <c r="W580" s="2" t="s">
        <v>71</v>
      </c>
      <c r="X580" s="2">
        <v>80.430000000000007</v>
      </c>
    </row>
    <row r="581" spans="1:24" x14ac:dyDescent="0.3">
      <c r="A581">
        <v>18482</v>
      </c>
      <c r="B581" t="s">
        <v>2288</v>
      </c>
      <c r="C581" s="3">
        <v>41897</v>
      </c>
      <c r="D581" t="s">
        <v>50</v>
      </c>
      <c r="E581">
        <v>5</v>
      </c>
      <c r="F581" s="3">
        <f ca="1">41897+(RANDBETWEEN(1,10))</f>
        <v>41906</v>
      </c>
      <c r="G581" t="s">
        <v>26</v>
      </c>
      <c r="H581" t="s">
        <v>27</v>
      </c>
      <c r="I581" t="s">
        <v>97</v>
      </c>
      <c r="J581">
        <v>114.83499999999999</v>
      </c>
      <c r="K581">
        <v>0.08</v>
      </c>
      <c r="L581">
        <v>0.37</v>
      </c>
      <c r="M581">
        <v>18.899999999999999</v>
      </c>
      <c r="N581">
        <v>-77.569800000000001</v>
      </c>
      <c r="O581" s="1" t="s">
        <v>29</v>
      </c>
      <c r="P581" s="1" t="s">
        <v>2289</v>
      </c>
      <c r="Q581" s="1" t="s">
        <v>2290</v>
      </c>
      <c r="R581" s="1" t="s">
        <v>32</v>
      </c>
      <c r="S581" s="1" t="s">
        <v>2291</v>
      </c>
      <c r="T581" s="1" t="s">
        <v>2292</v>
      </c>
      <c r="U581" s="2" t="s">
        <v>1582</v>
      </c>
      <c r="V581" s="2" t="s">
        <v>47</v>
      </c>
      <c r="W581" s="2" t="s">
        <v>74</v>
      </c>
      <c r="X581" s="2">
        <v>22.68</v>
      </c>
    </row>
    <row r="582" spans="1:24" x14ac:dyDescent="0.3">
      <c r="A582">
        <v>18483</v>
      </c>
      <c r="B582" t="s">
        <v>2293</v>
      </c>
      <c r="C582" s="3">
        <v>41873</v>
      </c>
      <c r="D582" t="s">
        <v>50</v>
      </c>
      <c r="E582">
        <v>25</v>
      </c>
      <c r="F582" s="3">
        <f ca="1">41873+(RANDBETWEEN(1,10))</f>
        <v>41882</v>
      </c>
      <c r="G582" t="s">
        <v>26</v>
      </c>
      <c r="H582" t="s">
        <v>27</v>
      </c>
      <c r="I582" t="s">
        <v>28</v>
      </c>
      <c r="J582">
        <v>381.64</v>
      </c>
      <c r="K582">
        <v>0.06</v>
      </c>
      <c r="L582">
        <v>0.4</v>
      </c>
      <c r="M582">
        <v>23.52</v>
      </c>
      <c r="N582">
        <v>-308.70168000000001</v>
      </c>
      <c r="O582" s="1" t="s">
        <v>29</v>
      </c>
      <c r="P582" s="1" t="s">
        <v>2294</v>
      </c>
      <c r="Q582" s="1" t="s">
        <v>2295</v>
      </c>
      <c r="R582" s="1" t="s">
        <v>32</v>
      </c>
      <c r="S582" s="1" t="s">
        <v>2296</v>
      </c>
      <c r="T582" s="1" t="s">
        <v>2297</v>
      </c>
      <c r="U582" s="2" t="s">
        <v>2298</v>
      </c>
      <c r="V582" s="2" t="s">
        <v>47</v>
      </c>
      <c r="W582" s="2" t="s">
        <v>74</v>
      </c>
      <c r="X582" s="2">
        <v>14.98</v>
      </c>
    </row>
    <row r="583" spans="1:24" x14ac:dyDescent="0.3">
      <c r="A583">
        <v>18484</v>
      </c>
      <c r="B583" t="s">
        <v>2293</v>
      </c>
      <c r="C583" s="3">
        <v>41873</v>
      </c>
      <c r="D583" t="s">
        <v>50</v>
      </c>
      <c r="E583">
        <v>12</v>
      </c>
      <c r="F583" s="3">
        <f ca="1">41874+(RANDBETWEEN(1,10))</f>
        <v>41879</v>
      </c>
      <c r="G583" t="s">
        <v>26</v>
      </c>
      <c r="H583" t="s">
        <v>96</v>
      </c>
      <c r="I583" t="s">
        <v>28</v>
      </c>
      <c r="J583">
        <v>244.09</v>
      </c>
      <c r="K583">
        <v>7.0000000000000007E-2</v>
      </c>
      <c r="L583">
        <v>0.56000000000000005</v>
      </c>
      <c r="M583">
        <v>7.9450000000000003</v>
      </c>
      <c r="N583">
        <v>-8.3103999999999996</v>
      </c>
      <c r="O583" s="1" t="s">
        <v>29</v>
      </c>
      <c r="P583" s="1" t="s">
        <v>2294</v>
      </c>
      <c r="Q583" s="1" t="s">
        <v>2295</v>
      </c>
      <c r="R583" s="1" t="s">
        <v>32</v>
      </c>
      <c r="S583" s="1" t="s">
        <v>2296</v>
      </c>
      <c r="T583" s="1" t="s">
        <v>2297</v>
      </c>
      <c r="U583" s="2" t="s">
        <v>212</v>
      </c>
      <c r="V583" s="2" t="s">
        <v>47</v>
      </c>
      <c r="W583" s="2" t="s">
        <v>104</v>
      </c>
      <c r="X583" s="2">
        <v>20.475000000000001</v>
      </c>
    </row>
    <row r="584" spans="1:24" x14ac:dyDescent="0.3">
      <c r="A584">
        <v>18485</v>
      </c>
      <c r="B584" t="s">
        <v>2299</v>
      </c>
      <c r="C584" s="3">
        <v>41483</v>
      </c>
      <c r="D584" t="s">
        <v>25</v>
      </c>
      <c r="E584">
        <v>14</v>
      </c>
      <c r="F584" s="3">
        <f ca="1">41487+(RANDBETWEEN(1,10))</f>
        <v>41493</v>
      </c>
      <c r="G584" t="s">
        <v>26</v>
      </c>
      <c r="H584" t="s">
        <v>51</v>
      </c>
      <c r="I584" t="s">
        <v>86</v>
      </c>
      <c r="J584">
        <v>2081.9050000000002</v>
      </c>
      <c r="K584">
        <v>0.04</v>
      </c>
      <c r="L584">
        <v>0.44</v>
      </c>
      <c r="M584">
        <v>6.9649999999999999</v>
      </c>
      <c r="N584">
        <v>1436.5144499999999</v>
      </c>
      <c r="O584" s="1" t="s">
        <v>29</v>
      </c>
      <c r="P584" s="1" t="s">
        <v>2300</v>
      </c>
      <c r="Q584" s="1" t="s">
        <v>2301</v>
      </c>
      <c r="R584" s="1" t="s">
        <v>460</v>
      </c>
      <c r="S584" s="1" t="s">
        <v>2302</v>
      </c>
      <c r="T584" s="1" t="s">
        <v>2303</v>
      </c>
      <c r="U584" s="2" t="s">
        <v>1469</v>
      </c>
      <c r="V584" s="2" t="s">
        <v>36</v>
      </c>
      <c r="W584" s="2" t="s">
        <v>60</v>
      </c>
      <c r="X584" s="2">
        <v>143.43</v>
      </c>
    </row>
    <row r="585" spans="1:24" x14ac:dyDescent="0.3">
      <c r="A585">
        <v>18486</v>
      </c>
      <c r="B585" t="s">
        <v>2299</v>
      </c>
      <c r="C585" s="3">
        <v>41483</v>
      </c>
      <c r="D585" t="s">
        <v>25</v>
      </c>
      <c r="E585">
        <v>17</v>
      </c>
      <c r="F585" s="3">
        <f ca="1">41492+(RANDBETWEEN(1,10))</f>
        <v>41501</v>
      </c>
      <c r="G585" t="s">
        <v>26</v>
      </c>
      <c r="H585" t="s">
        <v>27</v>
      </c>
      <c r="I585" t="s">
        <v>86</v>
      </c>
      <c r="J585">
        <v>905.41499999999996</v>
      </c>
      <c r="K585">
        <v>0.03</v>
      </c>
      <c r="L585">
        <v>0.81</v>
      </c>
      <c r="M585">
        <v>15.855</v>
      </c>
      <c r="N585">
        <v>-381.85</v>
      </c>
      <c r="O585" s="1" t="s">
        <v>29</v>
      </c>
      <c r="P585" s="1" t="s">
        <v>2300</v>
      </c>
      <c r="Q585" s="1" t="s">
        <v>2301</v>
      </c>
      <c r="R585" s="1" t="s">
        <v>460</v>
      </c>
      <c r="S585" s="1" t="s">
        <v>2302</v>
      </c>
      <c r="T585" s="1" t="s">
        <v>2303</v>
      </c>
      <c r="U585" s="2" t="s">
        <v>2304</v>
      </c>
      <c r="V585" s="2" t="s">
        <v>47</v>
      </c>
      <c r="W585" s="2" t="s">
        <v>119</v>
      </c>
      <c r="X585" s="2">
        <v>52.99</v>
      </c>
    </row>
    <row r="586" spans="1:24" x14ac:dyDescent="0.3">
      <c r="A586">
        <v>18487</v>
      </c>
      <c r="B586" t="s">
        <v>2305</v>
      </c>
      <c r="C586" s="3">
        <v>41539</v>
      </c>
      <c r="D586" t="s">
        <v>39</v>
      </c>
      <c r="E586">
        <v>10</v>
      </c>
      <c r="F586" s="3">
        <f ca="1">41539+(RANDBETWEEN(1,10))</f>
        <v>41543</v>
      </c>
      <c r="G586" t="s">
        <v>26</v>
      </c>
      <c r="H586" t="s">
        <v>27</v>
      </c>
      <c r="I586" t="s">
        <v>97</v>
      </c>
      <c r="J586">
        <v>13643.14</v>
      </c>
      <c r="K586">
        <v>0.09</v>
      </c>
      <c r="L586">
        <v>0.56999999999999995</v>
      </c>
      <c r="M586">
        <v>39.795000000000002</v>
      </c>
      <c r="N586">
        <v>7480.48</v>
      </c>
      <c r="O586" s="1" t="s">
        <v>53</v>
      </c>
      <c r="P586" s="1" t="s">
        <v>2306</v>
      </c>
      <c r="Q586" s="1" t="s">
        <v>2307</v>
      </c>
      <c r="R586" s="1" t="s">
        <v>100</v>
      </c>
      <c r="S586" s="1" t="s">
        <v>2308</v>
      </c>
      <c r="T586" s="1" t="s">
        <v>2309</v>
      </c>
      <c r="U586" s="2" t="s">
        <v>1298</v>
      </c>
      <c r="V586" s="2" t="s">
        <v>47</v>
      </c>
      <c r="W586" s="2" t="s">
        <v>119</v>
      </c>
      <c r="X586" s="2">
        <v>1455.58</v>
      </c>
    </row>
    <row r="587" spans="1:24" x14ac:dyDescent="0.3">
      <c r="A587">
        <v>18488</v>
      </c>
      <c r="B587" t="s">
        <v>2310</v>
      </c>
      <c r="C587" s="3">
        <v>41458</v>
      </c>
      <c r="D587" t="s">
        <v>39</v>
      </c>
      <c r="E587">
        <v>2</v>
      </c>
      <c r="F587" s="3">
        <f ca="1">41459+(RANDBETWEEN(1,10))</f>
        <v>41462</v>
      </c>
      <c r="G587" t="s">
        <v>156</v>
      </c>
      <c r="H587" t="s">
        <v>27</v>
      </c>
      <c r="I587" t="s">
        <v>52</v>
      </c>
      <c r="J587">
        <v>127.75</v>
      </c>
      <c r="K587">
        <v>0.04</v>
      </c>
      <c r="L587">
        <v>0.37</v>
      </c>
      <c r="M587">
        <v>14</v>
      </c>
      <c r="N587">
        <v>-19.495000000000001</v>
      </c>
      <c r="O587" s="1" t="s">
        <v>29</v>
      </c>
      <c r="P587" s="1" t="s">
        <v>2311</v>
      </c>
      <c r="Q587" s="1" t="s">
        <v>2312</v>
      </c>
      <c r="R587" s="1" t="s">
        <v>460</v>
      </c>
      <c r="S587" s="1" t="s">
        <v>2313</v>
      </c>
      <c r="T587" s="1" t="s">
        <v>2314</v>
      </c>
      <c r="U587" s="2" t="s">
        <v>1006</v>
      </c>
      <c r="V587" s="2" t="s">
        <v>36</v>
      </c>
      <c r="W587" s="2" t="s">
        <v>60</v>
      </c>
      <c r="X587" s="2">
        <v>55.93</v>
      </c>
    </row>
    <row r="588" spans="1:24" x14ac:dyDescent="0.3">
      <c r="A588">
        <v>18489</v>
      </c>
      <c r="B588" t="s">
        <v>2310</v>
      </c>
      <c r="C588" s="3">
        <v>41458</v>
      </c>
      <c r="D588" t="s">
        <v>39</v>
      </c>
      <c r="E588">
        <v>11</v>
      </c>
      <c r="F588" s="3">
        <f ca="1">41458+(RANDBETWEEN(1,10))</f>
        <v>41465</v>
      </c>
      <c r="G588" t="s">
        <v>26</v>
      </c>
      <c r="H588" t="s">
        <v>51</v>
      </c>
      <c r="I588" t="s">
        <v>52</v>
      </c>
      <c r="J588">
        <v>380.24</v>
      </c>
      <c r="K588">
        <v>0.03</v>
      </c>
      <c r="L588">
        <v>0.45</v>
      </c>
      <c r="M588">
        <v>25.515000000000001</v>
      </c>
      <c r="N588">
        <v>-127.645</v>
      </c>
      <c r="O588" s="1" t="s">
        <v>29</v>
      </c>
      <c r="P588" s="1" t="s">
        <v>2311</v>
      </c>
      <c r="Q588" s="1" t="s">
        <v>2312</v>
      </c>
      <c r="R588" s="1" t="s">
        <v>460</v>
      </c>
      <c r="S588" s="1" t="s">
        <v>2313</v>
      </c>
      <c r="T588" s="1" t="s">
        <v>2314</v>
      </c>
      <c r="U588" s="2" t="s">
        <v>2315</v>
      </c>
      <c r="V588" s="2" t="s">
        <v>83</v>
      </c>
      <c r="W588" s="2" t="s">
        <v>178</v>
      </c>
      <c r="X588" s="2">
        <v>33.18</v>
      </c>
    </row>
    <row r="589" spans="1:24" x14ac:dyDescent="0.3">
      <c r="A589">
        <v>18490</v>
      </c>
      <c r="B589" t="s">
        <v>2316</v>
      </c>
      <c r="C589" s="3">
        <v>40845</v>
      </c>
      <c r="D589" t="s">
        <v>50</v>
      </c>
      <c r="E589">
        <v>14</v>
      </c>
      <c r="F589" s="3">
        <f ca="1">40847+(RANDBETWEEN(1,10))</f>
        <v>40849</v>
      </c>
      <c r="G589" t="s">
        <v>156</v>
      </c>
      <c r="H589" t="s">
        <v>27</v>
      </c>
      <c r="I589" t="s">
        <v>52</v>
      </c>
      <c r="J589">
        <v>286.37</v>
      </c>
      <c r="K589">
        <v>0.06</v>
      </c>
      <c r="L589">
        <v>0.36</v>
      </c>
      <c r="M589">
        <v>18.34</v>
      </c>
      <c r="N589">
        <v>-226.34828999999999</v>
      </c>
      <c r="O589" s="1" t="s">
        <v>64</v>
      </c>
      <c r="P589" s="1" t="s">
        <v>2317</v>
      </c>
      <c r="Q589" s="1" t="s">
        <v>2318</v>
      </c>
      <c r="R589" s="1" t="s">
        <v>128</v>
      </c>
      <c r="S589" s="1" t="s">
        <v>2319</v>
      </c>
      <c r="T589" s="1" t="s">
        <v>2320</v>
      </c>
      <c r="U589" s="2" t="s">
        <v>2321</v>
      </c>
      <c r="V589" s="2" t="s">
        <v>47</v>
      </c>
      <c r="W589" s="2" t="s">
        <v>111</v>
      </c>
      <c r="X589" s="2">
        <v>18.829999999999998</v>
      </c>
    </row>
    <row r="590" spans="1:24" x14ac:dyDescent="0.3">
      <c r="A590">
        <v>18491</v>
      </c>
      <c r="B590" t="s">
        <v>2316</v>
      </c>
      <c r="C590" s="3">
        <v>40845</v>
      </c>
      <c r="D590" t="s">
        <v>50</v>
      </c>
      <c r="E590">
        <v>1</v>
      </c>
      <c r="F590" s="3">
        <f ca="1">40847+(RANDBETWEEN(1,10))</f>
        <v>40854</v>
      </c>
      <c r="G590" t="s">
        <v>26</v>
      </c>
      <c r="H590" t="s">
        <v>27</v>
      </c>
      <c r="I590" t="s">
        <v>52</v>
      </c>
      <c r="J590">
        <v>46.06</v>
      </c>
      <c r="K590">
        <v>0.03</v>
      </c>
      <c r="L590">
        <v>0.38</v>
      </c>
      <c r="M590">
        <v>20.86</v>
      </c>
      <c r="N590">
        <v>-38.8962</v>
      </c>
      <c r="O590" s="1" t="s">
        <v>64</v>
      </c>
      <c r="P590" s="1" t="s">
        <v>2317</v>
      </c>
      <c r="Q590" s="1" t="s">
        <v>2318</v>
      </c>
      <c r="R590" s="1" t="s">
        <v>128</v>
      </c>
      <c r="S590" s="1" t="s">
        <v>2319</v>
      </c>
      <c r="T590" s="1" t="s">
        <v>2320</v>
      </c>
      <c r="U590" s="2" t="s">
        <v>2322</v>
      </c>
      <c r="V590" s="2" t="s">
        <v>47</v>
      </c>
      <c r="W590" s="2" t="s">
        <v>74</v>
      </c>
      <c r="X590" s="2">
        <v>25.725000000000001</v>
      </c>
    </row>
    <row r="591" spans="1:24" x14ac:dyDescent="0.3">
      <c r="A591">
        <v>18492</v>
      </c>
      <c r="B591" t="s">
        <v>2316</v>
      </c>
      <c r="C591" s="3">
        <v>40845</v>
      </c>
      <c r="D591" t="s">
        <v>50</v>
      </c>
      <c r="E591">
        <v>3</v>
      </c>
      <c r="F591" s="3">
        <f ca="1">40846+(RANDBETWEEN(1,10))</f>
        <v>40850</v>
      </c>
      <c r="G591" t="s">
        <v>26</v>
      </c>
      <c r="H591" t="s">
        <v>27</v>
      </c>
      <c r="I591" t="s">
        <v>52</v>
      </c>
      <c r="J591">
        <v>161.80500000000001</v>
      </c>
      <c r="K591">
        <v>0.02</v>
      </c>
      <c r="L591">
        <v>0.38</v>
      </c>
      <c r="M591">
        <v>4.8650000000000002</v>
      </c>
      <c r="N591">
        <v>82.399799999999999</v>
      </c>
      <c r="O591" s="1" t="s">
        <v>225</v>
      </c>
      <c r="P591" s="1" t="s">
        <v>2323</v>
      </c>
      <c r="Q591" s="1" t="s">
        <v>2324</v>
      </c>
      <c r="R591" s="1" t="s">
        <v>228</v>
      </c>
      <c r="S591" s="1" t="s">
        <v>2325</v>
      </c>
      <c r="T591" s="1" t="s">
        <v>2326</v>
      </c>
      <c r="U591" s="2" t="s">
        <v>2327</v>
      </c>
      <c r="V591" s="2" t="s">
        <v>47</v>
      </c>
      <c r="W591" s="2" t="s">
        <v>48</v>
      </c>
      <c r="X591" s="2">
        <v>54.494999999999997</v>
      </c>
    </row>
    <row r="592" spans="1:24" x14ac:dyDescent="0.3">
      <c r="A592">
        <v>18493</v>
      </c>
      <c r="B592" t="s">
        <v>2316</v>
      </c>
      <c r="C592" s="3">
        <v>40845</v>
      </c>
      <c r="D592" t="s">
        <v>50</v>
      </c>
      <c r="E592">
        <v>13</v>
      </c>
      <c r="F592" s="3">
        <f ca="1">40846+(RANDBETWEEN(1,10))</f>
        <v>40856</v>
      </c>
      <c r="G592" t="s">
        <v>26</v>
      </c>
      <c r="H592" t="s">
        <v>27</v>
      </c>
      <c r="I592" t="s">
        <v>52</v>
      </c>
      <c r="J592">
        <v>977.48</v>
      </c>
      <c r="K592">
        <v>0.02</v>
      </c>
      <c r="L592">
        <v>0.83</v>
      </c>
      <c r="M592">
        <v>40.32</v>
      </c>
      <c r="N592">
        <v>-966.39480000000003</v>
      </c>
      <c r="O592" s="1" t="s">
        <v>225</v>
      </c>
      <c r="P592" s="1" t="s">
        <v>2323</v>
      </c>
      <c r="Q592" s="1" t="s">
        <v>2324</v>
      </c>
      <c r="R592" s="1" t="s">
        <v>228</v>
      </c>
      <c r="S592" s="1" t="s">
        <v>2325</v>
      </c>
      <c r="T592" s="1" t="s">
        <v>2326</v>
      </c>
      <c r="U592" s="2" t="s">
        <v>2328</v>
      </c>
      <c r="V592" s="2" t="s">
        <v>47</v>
      </c>
      <c r="W592" s="2" t="s">
        <v>119</v>
      </c>
      <c r="X592" s="2">
        <v>73.114999999999995</v>
      </c>
    </row>
    <row r="593" spans="1:24" x14ac:dyDescent="0.3">
      <c r="A593">
        <v>18494</v>
      </c>
      <c r="B593" t="s">
        <v>2329</v>
      </c>
      <c r="C593" s="3">
        <v>40716</v>
      </c>
      <c r="D593" t="s">
        <v>148</v>
      </c>
      <c r="E593">
        <v>16</v>
      </c>
      <c r="F593" s="3">
        <f ca="1">40718+(RANDBETWEEN(1,10))</f>
        <v>40728</v>
      </c>
      <c r="G593" t="s">
        <v>26</v>
      </c>
      <c r="H593" t="s">
        <v>27</v>
      </c>
      <c r="I593" t="s">
        <v>52</v>
      </c>
      <c r="J593">
        <v>1062.5650000000001</v>
      </c>
      <c r="K593">
        <v>0.1</v>
      </c>
      <c r="L593">
        <v>0.68</v>
      </c>
      <c r="M593">
        <v>14</v>
      </c>
      <c r="N593">
        <v>-56.7</v>
      </c>
      <c r="O593" s="1" t="s">
        <v>64</v>
      </c>
      <c r="P593" s="1" t="s">
        <v>2330</v>
      </c>
      <c r="Q593" s="1" t="s">
        <v>2331</v>
      </c>
      <c r="R593" s="1" t="s">
        <v>128</v>
      </c>
      <c r="S593" s="1" t="s">
        <v>2332</v>
      </c>
      <c r="T593" s="1" t="s">
        <v>2333</v>
      </c>
      <c r="U593" s="2" t="s">
        <v>2334</v>
      </c>
      <c r="V593" s="2" t="s">
        <v>36</v>
      </c>
      <c r="W593" s="2" t="s">
        <v>60</v>
      </c>
      <c r="X593" s="2">
        <v>69.930000000000007</v>
      </c>
    </row>
    <row r="594" spans="1:24" x14ac:dyDescent="0.3">
      <c r="A594">
        <v>18495</v>
      </c>
      <c r="B594" t="s">
        <v>2329</v>
      </c>
      <c r="C594" s="3">
        <v>40716</v>
      </c>
      <c r="D594" t="s">
        <v>148</v>
      </c>
      <c r="E594">
        <v>4</v>
      </c>
      <c r="F594" s="3">
        <f ca="1">40717+(RANDBETWEEN(1,10))</f>
        <v>40724</v>
      </c>
      <c r="G594" t="s">
        <v>26</v>
      </c>
      <c r="H594" t="s">
        <v>27</v>
      </c>
      <c r="I594" t="s">
        <v>52</v>
      </c>
      <c r="J594">
        <v>38.954999999999998</v>
      </c>
      <c r="K594">
        <v>0.09</v>
      </c>
      <c r="L594">
        <v>0.36</v>
      </c>
      <c r="M594">
        <v>5.2149999999999999</v>
      </c>
      <c r="N594">
        <v>-9.4667999999999992</v>
      </c>
      <c r="O594" s="1" t="s">
        <v>29</v>
      </c>
      <c r="P594" s="1" t="s">
        <v>2335</v>
      </c>
      <c r="Q594" s="1" t="s">
        <v>2336</v>
      </c>
      <c r="R594" s="1" t="s">
        <v>32</v>
      </c>
      <c r="S594" s="1" t="s">
        <v>2337</v>
      </c>
      <c r="T594" s="1" t="s">
        <v>2338</v>
      </c>
      <c r="U594" s="2" t="s">
        <v>2339</v>
      </c>
      <c r="V594" s="2" t="s">
        <v>47</v>
      </c>
      <c r="W594" s="2" t="s">
        <v>111</v>
      </c>
      <c r="X594" s="2">
        <v>10.08</v>
      </c>
    </row>
    <row r="595" spans="1:24" x14ac:dyDescent="0.3">
      <c r="A595">
        <v>18496</v>
      </c>
      <c r="B595" t="s">
        <v>2340</v>
      </c>
      <c r="C595" s="3">
        <v>41060</v>
      </c>
      <c r="D595" t="s">
        <v>25</v>
      </c>
      <c r="E595">
        <v>7</v>
      </c>
      <c r="F595" s="3">
        <f ca="1">41064+(RANDBETWEEN(1,10))</f>
        <v>41065</v>
      </c>
      <c r="G595" t="s">
        <v>76</v>
      </c>
      <c r="H595" t="s">
        <v>258</v>
      </c>
      <c r="I595" t="s">
        <v>86</v>
      </c>
      <c r="J595">
        <v>6637.89</v>
      </c>
      <c r="K595">
        <v>7.0000000000000007E-2</v>
      </c>
      <c r="L595">
        <v>0.66</v>
      </c>
      <c r="M595">
        <v>124.845</v>
      </c>
      <c r="N595">
        <v>1163.0524499999999</v>
      </c>
      <c r="O595" s="1" t="s">
        <v>64</v>
      </c>
      <c r="P595" s="1" t="s">
        <v>2341</v>
      </c>
      <c r="Q595" s="1" t="s">
        <v>2342</v>
      </c>
      <c r="R595" s="1" t="s">
        <v>128</v>
      </c>
      <c r="S595" s="1" t="s">
        <v>2343</v>
      </c>
      <c r="T595" s="1" t="s">
        <v>2344</v>
      </c>
      <c r="U595" s="2" t="s">
        <v>1073</v>
      </c>
      <c r="V595" s="2" t="s">
        <v>83</v>
      </c>
      <c r="W595" s="2" t="s">
        <v>263</v>
      </c>
      <c r="X595" s="2">
        <v>983.43</v>
      </c>
    </row>
    <row r="596" spans="1:24" x14ac:dyDescent="0.3">
      <c r="A596">
        <v>18497</v>
      </c>
      <c r="B596" t="s">
        <v>2345</v>
      </c>
      <c r="C596" s="3">
        <v>40898</v>
      </c>
      <c r="D596" t="s">
        <v>39</v>
      </c>
      <c r="E596">
        <v>19</v>
      </c>
      <c r="F596" s="3">
        <f ca="1">40900+(RANDBETWEEN(1,10))</f>
        <v>40901</v>
      </c>
      <c r="G596" t="s">
        <v>26</v>
      </c>
      <c r="H596" t="s">
        <v>51</v>
      </c>
      <c r="I596" t="s">
        <v>28</v>
      </c>
      <c r="J596">
        <v>1018.43</v>
      </c>
      <c r="K596">
        <v>0.03</v>
      </c>
      <c r="L596">
        <v>0.42</v>
      </c>
      <c r="M596">
        <v>6.9649999999999999</v>
      </c>
      <c r="N596">
        <v>-933.40099999999995</v>
      </c>
      <c r="O596" s="1" t="s">
        <v>29</v>
      </c>
      <c r="P596" s="1" t="s">
        <v>2346</v>
      </c>
      <c r="Q596" s="1" t="s">
        <v>2347</v>
      </c>
      <c r="R596" s="1" t="s">
        <v>675</v>
      </c>
      <c r="S596" s="1" t="s">
        <v>2348</v>
      </c>
      <c r="T596" s="1" t="s">
        <v>2349</v>
      </c>
      <c r="U596" s="2" t="s">
        <v>2350</v>
      </c>
      <c r="V596" s="2" t="s">
        <v>36</v>
      </c>
      <c r="W596" s="2" t="s">
        <v>60</v>
      </c>
      <c r="X596" s="2">
        <v>53.48</v>
      </c>
    </row>
    <row r="597" spans="1:24" x14ac:dyDescent="0.3">
      <c r="A597">
        <v>18498</v>
      </c>
      <c r="B597" t="s">
        <v>2345</v>
      </c>
      <c r="C597" s="3">
        <v>40898</v>
      </c>
      <c r="D597" t="s">
        <v>39</v>
      </c>
      <c r="E597">
        <v>13</v>
      </c>
      <c r="F597" s="3">
        <f ca="1">40901+(RANDBETWEEN(1,10))</f>
        <v>40907</v>
      </c>
      <c r="G597" t="s">
        <v>26</v>
      </c>
      <c r="H597" t="s">
        <v>96</v>
      </c>
      <c r="I597" t="s">
        <v>28</v>
      </c>
      <c r="J597">
        <v>76.194999999999993</v>
      </c>
      <c r="K597">
        <v>0.09</v>
      </c>
      <c r="L597">
        <v>0.56000000000000005</v>
      </c>
      <c r="M597">
        <v>2.4500000000000002</v>
      </c>
      <c r="N597">
        <v>-42.972999999999999</v>
      </c>
      <c r="O597" s="1" t="s">
        <v>29</v>
      </c>
      <c r="P597" s="1" t="s">
        <v>2346</v>
      </c>
      <c r="Q597" s="1" t="s">
        <v>2347</v>
      </c>
      <c r="R597" s="1" t="s">
        <v>675</v>
      </c>
      <c r="S597" s="1" t="s">
        <v>2348</v>
      </c>
      <c r="T597" s="1" t="s">
        <v>2349</v>
      </c>
      <c r="U597" s="2" t="s">
        <v>873</v>
      </c>
      <c r="V597" s="2" t="s">
        <v>47</v>
      </c>
      <c r="W597" s="2" t="s">
        <v>104</v>
      </c>
      <c r="X597" s="2">
        <v>6.16</v>
      </c>
    </row>
    <row r="598" spans="1:24" x14ac:dyDescent="0.3">
      <c r="A598">
        <v>18499</v>
      </c>
      <c r="B598" t="s">
        <v>2351</v>
      </c>
      <c r="C598" s="3">
        <v>40751</v>
      </c>
      <c r="D598" t="s">
        <v>50</v>
      </c>
      <c r="E598">
        <v>7</v>
      </c>
      <c r="F598" s="3">
        <f ca="1">40753+(RANDBETWEEN(1,10))</f>
        <v>40755</v>
      </c>
      <c r="G598" t="s">
        <v>156</v>
      </c>
      <c r="H598" t="s">
        <v>27</v>
      </c>
      <c r="I598" t="s">
        <v>97</v>
      </c>
      <c r="J598">
        <v>2197.23</v>
      </c>
      <c r="K598">
        <v>0.1</v>
      </c>
      <c r="L598">
        <v>0.56999999999999995</v>
      </c>
      <c r="M598">
        <v>31.465</v>
      </c>
      <c r="N598">
        <v>11499.18</v>
      </c>
      <c r="O598" s="1" t="s">
        <v>29</v>
      </c>
      <c r="P598" s="1" t="s">
        <v>2352</v>
      </c>
      <c r="Q598" s="1" t="s">
        <v>2353</v>
      </c>
      <c r="R598" s="1" t="s">
        <v>32</v>
      </c>
      <c r="S598" s="1" t="s">
        <v>2354</v>
      </c>
      <c r="T598" s="1" t="s">
        <v>2355</v>
      </c>
      <c r="U598" s="2" t="s">
        <v>2356</v>
      </c>
      <c r="V598" s="2" t="s">
        <v>36</v>
      </c>
      <c r="W598" s="2" t="s">
        <v>37</v>
      </c>
      <c r="X598" s="2">
        <v>388.46499999999997</v>
      </c>
    </row>
    <row r="599" spans="1:24" x14ac:dyDescent="0.3">
      <c r="A599">
        <v>18500</v>
      </c>
      <c r="B599" t="s">
        <v>2357</v>
      </c>
      <c r="C599" s="3">
        <v>41549</v>
      </c>
      <c r="D599" t="s">
        <v>39</v>
      </c>
      <c r="E599">
        <v>13</v>
      </c>
      <c r="F599" s="3">
        <f ca="1">41551+(RANDBETWEEN(1,10))</f>
        <v>41560</v>
      </c>
      <c r="G599" t="s">
        <v>26</v>
      </c>
      <c r="H599" t="s">
        <v>27</v>
      </c>
      <c r="I599" t="s">
        <v>52</v>
      </c>
      <c r="J599">
        <v>258.23</v>
      </c>
      <c r="K599">
        <v>0.08</v>
      </c>
      <c r="L599">
        <v>0.68</v>
      </c>
      <c r="M599">
        <v>16.414999999999999</v>
      </c>
      <c r="N599">
        <v>-359.66699999999997</v>
      </c>
      <c r="O599" s="1" t="s">
        <v>40</v>
      </c>
      <c r="P599" s="1" t="s">
        <v>2358</v>
      </c>
      <c r="Q599" s="1" t="s">
        <v>2359</v>
      </c>
      <c r="R599" s="1" t="s">
        <v>220</v>
      </c>
      <c r="S599" s="1" t="s">
        <v>2360</v>
      </c>
      <c r="T599" s="1" t="s">
        <v>2361</v>
      </c>
      <c r="U599" s="2" t="s">
        <v>2362</v>
      </c>
      <c r="V599" s="2" t="s">
        <v>47</v>
      </c>
      <c r="W599" s="2" t="s">
        <v>119</v>
      </c>
      <c r="X599" s="2">
        <v>20.93</v>
      </c>
    </row>
    <row r="600" spans="1:24" x14ac:dyDescent="0.3">
      <c r="A600">
        <v>18501</v>
      </c>
      <c r="B600" t="s">
        <v>2363</v>
      </c>
      <c r="C600" s="3">
        <v>40938</v>
      </c>
      <c r="D600" t="s">
        <v>62</v>
      </c>
      <c r="E600">
        <v>12</v>
      </c>
      <c r="F600" s="3">
        <f ca="1">40940+(RANDBETWEEN(1,10))</f>
        <v>40942</v>
      </c>
      <c r="G600" t="s">
        <v>26</v>
      </c>
      <c r="H600" t="s">
        <v>51</v>
      </c>
      <c r="I600" t="s">
        <v>97</v>
      </c>
      <c r="J600">
        <v>1834.9449999999999</v>
      </c>
      <c r="K600">
        <v>0.1</v>
      </c>
      <c r="L600">
        <v>0.35</v>
      </c>
      <c r="M600">
        <v>4.375</v>
      </c>
      <c r="N600">
        <v>-411.404</v>
      </c>
      <c r="O600" s="1" t="s">
        <v>87</v>
      </c>
      <c r="P600" s="1" t="s">
        <v>2364</v>
      </c>
      <c r="Q600" s="1" t="s">
        <v>2365</v>
      </c>
      <c r="R600" s="1" t="s">
        <v>90</v>
      </c>
      <c r="S600" s="1" t="s">
        <v>2366</v>
      </c>
      <c r="T600" s="1" t="s">
        <v>2367</v>
      </c>
      <c r="U600" s="2" t="s">
        <v>2368</v>
      </c>
      <c r="V600" s="2" t="s">
        <v>36</v>
      </c>
      <c r="W600" s="2" t="s">
        <v>37</v>
      </c>
      <c r="X600" s="2">
        <v>195.965</v>
      </c>
    </row>
    <row r="601" spans="1:24" x14ac:dyDescent="0.3">
      <c r="A601">
        <v>18502</v>
      </c>
      <c r="B601" t="s">
        <v>2363</v>
      </c>
      <c r="C601" s="3">
        <v>40938</v>
      </c>
      <c r="D601" t="s">
        <v>62</v>
      </c>
      <c r="E601">
        <v>9</v>
      </c>
      <c r="F601" s="3">
        <f ca="1">40940+(RANDBETWEEN(1,10))</f>
        <v>40949</v>
      </c>
      <c r="G601" t="s">
        <v>26</v>
      </c>
      <c r="H601" t="s">
        <v>27</v>
      </c>
      <c r="I601" t="s">
        <v>97</v>
      </c>
      <c r="J601">
        <v>2885.75</v>
      </c>
      <c r="K601">
        <v>0.08</v>
      </c>
      <c r="L601">
        <v>0.55000000000000004</v>
      </c>
      <c r="M601">
        <v>8.75</v>
      </c>
      <c r="N601">
        <v>-261.15138000000002</v>
      </c>
      <c r="O601" s="1" t="s">
        <v>87</v>
      </c>
      <c r="P601" s="1" t="s">
        <v>2364</v>
      </c>
      <c r="Q601" s="1" t="s">
        <v>2365</v>
      </c>
      <c r="R601" s="1" t="s">
        <v>90</v>
      </c>
      <c r="S601" s="1" t="s">
        <v>2366</v>
      </c>
      <c r="T601" s="1" t="s">
        <v>2367</v>
      </c>
      <c r="U601" s="2" t="s">
        <v>2369</v>
      </c>
      <c r="V601" s="2" t="s">
        <v>36</v>
      </c>
      <c r="W601" s="2" t="s">
        <v>37</v>
      </c>
      <c r="X601" s="2">
        <v>405.96499999999997</v>
      </c>
    </row>
    <row r="602" spans="1:24" x14ac:dyDescent="0.3">
      <c r="A602">
        <v>18503</v>
      </c>
      <c r="B602" t="s">
        <v>2370</v>
      </c>
      <c r="C602" s="3">
        <v>41138</v>
      </c>
      <c r="D602" t="s">
        <v>62</v>
      </c>
      <c r="E602">
        <v>19</v>
      </c>
      <c r="F602" s="3">
        <f ca="1">41139+(RANDBETWEEN(1,10))</f>
        <v>41140</v>
      </c>
      <c r="G602" t="s">
        <v>26</v>
      </c>
      <c r="H602" t="s">
        <v>27</v>
      </c>
      <c r="I602" t="s">
        <v>52</v>
      </c>
      <c r="J602">
        <v>409.43</v>
      </c>
      <c r="K602">
        <v>0.08</v>
      </c>
      <c r="L602">
        <v>0.37</v>
      </c>
      <c r="M602">
        <v>29.4</v>
      </c>
      <c r="N602">
        <v>-386.76819999999998</v>
      </c>
      <c r="O602" s="1" t="s">
        <v>40</v>
      </c>
      <c r="P602" s="1" t="s">
        <v>2371</v>
      </c>
      <c r="Q602" s="1" t="s">
        <v>2372</v>
      </c>
      <c r="R602" s="1" t="s">
        <v>43</v>
      </c>
      <c r="S602" s="1" t="s">
        <v>2373</v>
      </c>
      <c r="T602" s="1" t="s">
        <v>2374</v>
      </c>
      <c r="U602" s="2" t="s">
        <v>2097</v>
      </c>
      <c r="V602" s="2" t="s">
        <v>47</v>
      </c>
      <c r="W602" s="2" t="s">
        <v>74</v>
      </c>
      <c r="X602" s="2">
        <v>22.68</v>
      </c>
    </row>
    <row r="603" spans="1:24" x14ac:dyDescent="0.3">
      <c r="A603">
        <v>18504</v>
      </c>
      <c r="B603" t="s">
        <v>2375</v>
      </c>
      <c r="C603" s="3">
        <v>41281</v>
      </c>
      <c r="D603" t="s">
        <v>148</v>
      </c>
      <c r="E603">
        <v>11</v>
      </c>
      <c r="F603" s="3">
        <f ca="1">41284+(RANDBETWEEN(1,10))</f>
        <v>41293</v>
      </c>
      <c r="G603" t="s">
        <v>76</v>
      </c>
      <c r="H603" t="s">
        <v>77</v>
      </c>
      <c r="I603" t="s">
        <v>97</v>
      </c>
      <c r="J603">
        <v>4609.3249999999998</v>
      </c>
      <c r="K603">
        <v>0.06</v>
      </c>
      <c r="L603">
        <v>0.74</v>
      </c>
      <c r="M603">
        <v>245.7</v>
      </c>
      <c r="N603">
        <v>24.821999999999999</v>
      </c>
      <c r="O603" s="1" t="s">
        <v>53</v>
      </c>
      <c r="P603" s="1" t="s">
        <v>2376</v>
      </c>
      <c r="Q603" s="1" t="s">
        <v>2377</v>
      </c>
      <c r="R603" s="1" t="s">
        <v>440</v>
      </c>
      <c r="S603" s="1" t="s">
        <v>2378</v>
      </c>
      <c r="T603" s="1" t="s">
        <v>2379</v>
      </c>
      <c r="U603" s="2" t="s">
        <v>358</v>
      </c>
      <c r="V603" s="2" t="s">
        <v>83</v>
      </c>
      <c r="W603" s="2" t="s">
        <v>84</v>
      </c>
      <c r="X603" s="2">
        <v>430.46499999999997</v>
      </c>
    </row>
    <row r="604" spans="1:24" x14ac:dyDescent="0.3">
      <c r="A604">
        <v>18505</v>
      </c>
      <c r="B604" t="s">
        <v>2375</v>
      </c>
      <c r="C604" s="3">
        <v>41281</v>
      </c>
      <c r="D604" t="s">
        <v>148</v>
      </c>
      <c r="E604">
        <v>2</v>
      </c>
      <c r="F604" s="3">
        <f ca="1">41282+(RANDBETWEEN(1,10))</f>
        <v>41289</v>
      </c>
      <c r="G604" t="s">
        <v>26</v>
      </c>
      <c r="H604" t="s">
        <v>51</v>
      </c>
      <c r="I604" t="s">
        <v>97</v>
      </c>
      <c r="J604">
        <v>155.64500000000001</v>
      </c>
      <c r="K604">
        <v>0.02</v>
      </c>
      <c r="L604">
        <v>0.55000000000000004</v>
      </c>
      <c r="M604">
        <v>10.045</v>
      </c>
      <c r="N604">
        <v>1621.2840000000001</v>
      </c>
      <c r="O604" s="1" t="s">
        <v>53</v>
      </c>
      <c r="P604" s="1" t="s">
        <v>2376</v>
      </c>
      <c r="Q604" s="1" t="s">
        <v>2377</v>
      </c>
      <c r="R604" s="1" t="s">
        <v>440</v>
      </c>
      <c r="S604" s="1" t="s">
        <v>2378</v>
      </c>
      <c r="T604" s="1" t="s">
        <v>2379</v>
      </c>
      <c r="U604" s="2" t="s">
        <v>2051</v>
      </c>
      <c r="V604" s="2" t="s">
        <v>47</v>
      </c>
      <c r="W604" s="2" t="s">
        <v>104</v>
      </c>
      <c r="X604" s="2">
        <v>76.930000000000007</v>
      </c>
    </row>
    <row r="605" spans="1:24" x14ac:dyDescent="0.3">
      <c r="A605">
        <v>18506</v>
      </c>
      <c r="B605" t="s">
        <v>2380</v>
      </c>
      <c r="C605" s="3">
        <v>40870</v>
      </c>
      <c r="D605" t="s">
        <v>25</v>
      </c>
      <c r="E605">
        <v>30</v>
      </c>
      <c r="F605" s="3">
        <f ca="1">40875+(RANDBETWEEN(1,10))</f>
        <v>40883</v>
      </c>
      <c r="G605" t="s">
        <v>26</v>
      </c>
      <c r="H605" t="s">
        <v>27</v>
      </c>
      <c r="I605" t="s">
        <v>28</v>
      </c>
      <c r="J605">
        <v>7180.88</v>
      </c>
      <c r="K605">
        <v>0.04</v>
      </c>
      <c r="L605">
        <v>0.4</v>
      </c>
      <c r="M605">
        <v>69.965000000000003</v>
      </c>
      <c r="N605">
        <v>51.639000000000003</v>
      </c>
      <c r="O605" s="1" t="s">
        <v>87</v>
      </c>
      <c r="P605" s="1" t="s">
        <v>2381</v>
      </c>
      <c r="Q605" s="1" t="s">
        <v>2382</v>
      </c>
      <c r="R605" s="1" t="s">
        <v>90</v>
      </c>
      <c r="S605" s="1" t="s">
        <v>2383</v>
      </c>
      <c r="T605" s="1" t="s">
        <v>2384</v>
      </c>
      <c r="U605" s="2" t="s">
        <v>2385</v>
      </c>
      <c r="V605" s="2" t="s">
        <v>47</v>
      </c>
      <c r="W605" s="2" t="s">
        <v>111</v>
      </c>
      <c r="X605" s="2">
        <v>235.48</v>
      </c>
    </row>
    <row r="606" spans="1:24" x14ac:dyDescent="0.3">
      <c r="A606">
        <v>18507</v>
      </c>
      <c r="B606" t="s">
        <v>2380</v>
      </c>
      <c r="C606" s="3">
        <v>40870</v>
      </c>
      <c r="D606" t="s">
        <v>25</v>
      </c>
      <c r="E606">
        <v>42</v>
      </c>
      <c r="F606" s="3">
        <f ca="1">40870+(RANDBETWEEN(1,10))</f>
        <v>40871</v>
      </c>
      <c r="G606" t="s">
        <v>76</v>
      </c>
      <c r="H606" t="s">
        <v>258</v>
      </c>
      <c r="I606" t="s">
        <v>28</v>
      </c>
      <c r="J606">
        <v>18532.605</v>
      </c>
      <c r="K606">
        <v>0.1</v>
      </c>
      <c r="L606">
        <v>0.69</v>
      </c>
      <c r="M606">
        <v>191.59</v>
      </c>
      <c r="N606">
        <v>2343.6419999999998</v>
      </c>
      <c r="O606" s="1" t="s">
        <v>87</v>
      </c>
      <c r="P606" s="1" t="s">
        <v>2381</v>
      </c>
      <c r="Q606" s="1" t="s">
        <v>2382</v>
      </c>
      <c r="R606" s="1" t="s">
        <v>90</v>
      </c>
      <c r="S606" s="1" t="s">
        <v>2383</v>
      </c>
      <c r="T606" s="1" t="s">
        <v>2384</v>
      </c>
      <c r="U606" s="2" t="s">
        <v>493</v>
      </c>
      <c r="V606" s="2" t="s">
        <v>83</v>
      </c>
      <c r="W606" s="2" t="s">
        <v>298</v>
      </c>
      <c r="X606" s="2">
        <v>458.43</v>
      </c>
    </row>
    <row r="607" spans="1:24" x14ac:dyDescent="0.3">
      <c r="A607">
        <v>18508</v>
      </c>
      <c r="B607" t="s">
        <v>2380</v>
      </c>
      <c r="C607" s="3">
        <v>40870</v>
      </c>
      <c r="D607" t="s">
        <v>25</v>
      </c>
      <c r="E607">
        <v>28</v>
      </c>
      <c r="F607" s="3">
        <f ca="1">40870+(RANDBETWEEN(1,10))</f>
        <v>40873</v>
      </c>
      <c r="G607" t="s">
        <v>26</v>
      </c>
      <c r="H607" t="s">
        <v>96</v>
      </c>
      <c r="I607" t="s">
        <v>28</v>
      </c>
      <c r="J607">
        <v>280.94499999999999</v>
      </c>
      <c r="K607">
        <v>0.04</v>
      </c>
      <c r="L607">
        <v>0.59</v>
      </c>
      <c r="M607">
        <v>4.375</v>
      </c>
      <c r="N607">
        <v>745.5</v>
      </c>
      <c r="O607" s="1" t="s">
        <v>87</v>
      </c>
      <c r="P607" s="1" t="s">
        <v>2381</v>
      </c>
      <c r="Q607" s="1" t="s">
        <v>2382</v>
      </c>
      <c r="R607" s="1" t="s">
        <v>90</v>
      </c>
      <c r="S607" s="1" t="s">
        <v>2383</v>
      </c>
      <c r="T607" s="1" t="s">
        <v>2384</v>
      </c>
      <c r="U607" s="2" t="s">
        <v>2386</v>
      </c>
      <c r="V607" s="2" t="s">
        <v>47</v>
      </c>
      <c r="W607" s="2" t="s">
        <v>104</v>
      </c>
      <c r="X607" s="2">
        <v>9.73</v>
      </c>
    </row>
    <row r="608" spans="1:24" x14ac:dyDescent="0.3">
      <c r="A608">
        <v>18509</v>
      </c>
      <c r="B608" t="s">
        <v>2387</v>
      </c>
      <c r="C608" s="3">
        <v>41144</v>
      </c>
      <c r="D608" t="s">
        <v>39</v>
      </c>
      <c r="E608">
        <v>22</v>
      </c>
      <c r="F608" s="3">
        <f ca="1">41146+(RANDBETWEEN(1,10))</f>
        <v>41154</v>
      </c>
      <c r="G608" t="s">
        <v>26</v>
      </c>
      <c r="H608" t="s">
        <v>27</v>
      </c>
      <c r="I608" t="s">
        <v>97</v>
      </c>
      <c r="J608">
        <v>12060.334999999999</v>
      </c>
      <c r="K608">
        <v>0.04</v>
      </c>
      <c r="L608">
        <v>0.74</v>
      </c>
      <c r="M608">
        <v>22.75</v>
      </c>
      <c r="N608">
        <v>2807.6086500000001</v>
      </c>
      <c r="O608" s="1" t="s">
        <v>40</v>
      </c>
      <c r="P608" s="1" t="s">
        <v>2388</v>
      </c>
      <c r="Q608" s="1" t="s">
        <v>2389</v>
      </c>
      <c r="R608" s="1" t="s">
        <v>220</v>
      </c>
      <c r="S608" s="1" t="s">
        <v>2390</v>
      </c>
      <c r="T608" s="1" t="s">
        <v>2391</v>
      </c>
      <c r="U608" s="2" t="s">
        <v>192</v>
      </c>
      <c r="V608" s="2" t="s">
        <v>36</v>
      </c>
      <c r="W608" s="2" t="s">
        <v>60</v>
      </c>
      <c r="X608" s="2">
        <v>533.67999999999995</v>
      </c>
    </row>
    <row r="609" spans="1:24" x14ac:dyDescent="0.3">
      <c r="A609">
        <v>18510</v>
      </c>
      <c r="B609" t="s">
        <v>2392</v>
      </c>
      <c r="C609" s="3">
        <v>41937</v>
      </c>
      <c r="D609" t="s">
        <v>25</v>
      </c>
      <c r="E609">
        <v>26</v>
      </c>
      <c r="F609" s="3">
        <f ca="1">41939+(RANDBETWEEN(1,10))</f>
        <v>41940</v>
      </c>
      <c r="G609" t="s">
        <v>26</v>
      </c>
      <c r="H609" t="s">
        <v>96</v>
      </c>
      <c r="I609" t="s">
        <v>97</v>
      </c>
      <c r="J609">
        <v>371.49</v>
      </c>
      <c r="K609">
        <v>0.06</v>
      </c>
      <c r="L609">
        <v>0.56000000000000005</v>
      </c>
      <c r="M609">
        <v>3.29</v>
      </c>
      <c r="N609">
        <v>100.485</v>
      </c>
      <c r="O609" s="1" t="s">
        <v>40</v>
      </c>
      <c r="P609" s="1" t="s">
        <v>2393</v>
      </c>
      <c r="Q609" s="1" t="s">
        <v>2394</v>
      </c>
      <c r="R609" s="1" t="s">
        <v>43</v>
      </c>
      <c r="S609" s="1" t="s">
        <v>2395</v>
      </c>
      <c r="T609" s="1" t="s">
        <v>2396</v>
      </c>
      <c r="U609" s="2" t="s">
        <v>331</v>
      </c>
      <c r="V609" s="2" t="s">
        <v>47</v>
      </c>
      <c r="W609" s="2" t="s">
        <v>104</v>
      </c>
      <c r="X609" s="2">
        <v>14.98</v>
      </c>
    </row>
    <row r="610" spans="1:24" x14ac:dyDescent="0.3">
      <c r="A610">
        <v>18511</v>
      </c>
      <c r="B610" t="s">
        <v>2397</v>
      </c>
      <c r="C610" s="3">
        <v>40811</v>
      </c>
      <c r="D610" t="s">
        <v>25</v>
      </c>
      <c r="E610">
        <v>15</v>
      </c>
      <c r="F610" s="3">
        <f ca="1">40818+(RANDBETWEEN(1,10))</f>
        <v>40825</v>
      </c>
      <c r="G610" t="s">
        <v>26</v>
      </c>
      <c r="H610" t="s">
        <v>63</v>
      </c>
      <c r="I610" t="s">
        <v>52</v>
      </c>
      <c r="J610">
        <v>3078.67</v>
      </c>
      <c r="K610">
        <v>0.09</v>
      </c>
      <c r="L610">
        <v>0.59</v>
      </c>
      <c r="M610">
        <v>171.5</v>
      </c>
      <c r="N610">
        <v>-3341.6529999999998</v>
      </c>
      <c r="O610" s="1" t="s">
        <v>40</v>
      </c>
      <c r="P610" s="1" t="s">
        <v>2398</v>
      </c>
      <c r="Q610" s="1" t="s">
        <v>2399</v>
      </c>
      <c r="R610" s="1" t="s">
        <v>43</v>
      </c>
      <c r="S610" s="1" t="s">
        <v>2400</v>
      </c>
      <c r="T610" s="1" t="s">
        <v>2401</v>
      </c>
      <c r="U610" s="2" t="s">
        <v>1546</v>
      </c>
      <c r="V610" s="2" t="s">
        <v>47</v>
      </c>
      <c r="W610" s="2" t="s">
        <v>71</v>
      </c>
      <c r="X610" s="2">
        <v>213.43</v>
      </c>
    </row>
    <row r="611" spans="1:24" x14ac:dyDescent="0.3">
      <c r="A611">
        <v>18512</v>
      </c>
      <c r="B611" t="s">
        <v>2397</v>
      </c>
      <c r="C611" s="3">
        <v>40811</v>
      </c>
      <c r="D611" t="s">
        <v>25</v>
      </c>
      <c r="E611">
        <v>12</v>
      </c>
      <c r="F611" s="3">
        <f ca="1">40813+(RANDBETWEEN(1,10))</f>
        <v>40814</v>
      </c>
      <c r="G611" t="s">
        <v>26</v>
      </c>
      <c r="H611" t="s">
        <v>51</v>
      </c>
      <c r="I611" t="s">
        <v>52</v>
      </c>
      <c r="J611">
        <v>1264.165</v>
      </c>
      <c r="K611">
        <v>0.05</v>
      </c>
      <c r="L611">
        <v>0.5</v>
      </c>
      <c r="M611">
        <v>6.9649999999999999</v>
      </c>
      <c r="N611">
        <v>768.15689999999995</v>
      </c>
      <c r="O611" s="1" t="s">
        <v>40</v>
      </c>
      <c r="P611" s="1" t="s">
        <v>2398</v>
      </c>
      <c r="Q611" s="1" t="s">
        <v>2399</v>
      </c>
      <c r="R611" s="1" t="s">
        <v>43</v>
      </c>
      <c r="S611" s="1" t="s">
        <v>2400</v>
      </c>
      <c r="T611" s="1" t="s">
        <v>2401</v>
      </c>
      <c r="U611" s="2" t="s">
        <v>124</v>
      </c>
      <c r="V611" s="2" t="s">
        <v>36</v>
      </c>
      <c r="W611" s="2" t="s">
        <v>60</v>
      </c>
      <c r="X611" s="2">
        <v>104.61499999999999</v>
      </c>
    </row>
    <row r="612" spans="1:24" x14ac:dyDescent="0.3">
      <c r="A612">
        <v>18513</v>
      </c>
      <c r="B612" t="s">
        <v>2402</v>
      </c>
      <c r="C612" s="3">
        <v>41761</v>
      </c>
      <c r="D612" t="s">
        <v>39</v>
      </c>
      <c r="E612">
        <v>7</v>
      </c>
      <c r="F612" s="3">
        <f ca="1">41762+(RANDBETWEEN(1,10))</f>
        <v>41765</v>
      </c>
      <c r="G612" t="s">
        <v>26</v>
      </c>
      <c r="H612" t="s">
        <v>27</v>
      </c>
      <c r="I612" t="s">
        <v>86</v>
      </c>
      <c r="J612">
        <v>498.54</v>
      </c>
      <c r="K612">
        <v>0</v>
      </c>
      <c r="L612">
        <v>0.37</v>
      </c>
      <c r="M612">
        <v>31.605</v>
      </c>
      <c r="N612">
        <v>183.22499999999999</v>
      </c>
      <c r="O612" s="1" t="s">
        <v>87</v>
      </c>
      <c r="P612" s="1" t="s">
        <v>2403</v>
      </c>
      <c r="Q612" s="1" t="s">
        <v>2404</v>
      </c>
      <c r="R612" s="1" t="s">
        <v>90</v>
      </c>
      <c r="S612" s="1" t="s">
        <v>2405</v>
      </c>
      <c r="T612" s="1" t="s">
        <v>2406</v>
      </c>
      <c r="U612" s="2" t="s">
        <v>482</v>
      </c>
      <c r="V612" s="2" t="s">
        <v>47</v>
      </c>
      <c r="W612" s="2" t="s">
        <v>74</v>
      </c>
      <c r="X612" s="2">
        <v>66.394999999999996</v>
      </c>
    </row>
    <row r="613" spans="1:24" x14ac:dyDescent="0.3">
      <c r="A613">
        <v>18514</v>
      </c>
      <c r="B613" t="s">
        <v>2407</v>
      </c>
      <c r="C613" s="3">
        <v>41629</v>
      </c>
      <c r="D613" t="s">
        <v>50</v>
      </c>
      <c r="E613">
        <v>19</v>
      </c>
      <c r="F613" s="3">
        <f ca="1">41631+(RANDBETWEEN(1,10))</f>
        <v>41641</v>
      </c>
      <c r="G613" t="s">
        <v>26</v>
      </c>
      <c r="H613" t="s">
        <v>96</v>
      </c>
      <c r="I613" t="s">
        <v>97</v>
      </c>
      <c r="J613">
        <v>202.02</v>
      </c>
      <c r="K613">
        <v>0</v>
      </c>
      <c r="L613">
        <v>0.45</v>
      </c>
      <c r="M613">
        <v>4.6900000000000004</v>
      </c>
      <c r="N613">
        <v>59.902500000000003</v>
      </c>
      <c r="O613" s="1" t="s">
        <v>29</v>
      </c>
      <c r="P613" s="1" t="s">
        <v>2271</v>
      </c>
      <c r="Q613" s="1" t="s">
        <v>2272</v>
      </c>
      <c r="R613" s="1" t="s">
        <v>32</v>
      </c>
      <c r="S613" s="1" t="s">
        <v>2273</v>
      </c>
      <c r="T613" s="1" t="s">
        <v>2274</v>
      </c>
      <c r="U613" s="2" t="s">
        <v>1227</v>
      </c>
      <c r="V613" s="2" t="s">
        <v>47</v>
      </c>
      <c r="W613" s="2" t="s">
        <v>104</v>
      </c>
      <c r="X613" s="2">
        <v>9.73</v>
      </c>
    </row>
    <row r="614" spans="1:24" x14ac:dyDescent="0.3">
      <c r="A614">
        <v>18515</v>
      </c>
      <c r="B614" t="s">
        <v>2408</v>
      </c>
      <c r="C614" s="3">
        <v>41348</v>
      </c>
      <c r="D614" t="s">
        <v>25</v>
      </c>
      <c r="E614">
        <v>6</v>
      </c>
      <c r="F614" s="3">
        <f ca="1">41350+(RANDBETWEEN(1,10))</f>
        <v>41351</v>
      </c>
      <c r="G614" t="s">
        <v>26</v>
      </c>
      <c r="H614" t="s">
        <v>96</v>
      </c>
      <c r="I614" t="s">
        <v>86</v>
      </c>
      <c r="J614">
        <v>258.37</v>
      </c>
      <c r="K614">
        <v>0.08</v>
      </c>
      <c r="L614">
        <v>0.52</v>
      </c>
      <c r="M614">
        <v>21.7</v>
      </c>
      <c r="N614">
        <v>72.344999999999999</v>
      </c>
      <c r="O614" s="1" t="s">
        <v>40</v>
      </c>
      <c r="P614" s="1" t="s">
        <v>2409</v>
      </c>
      <c r="Q614" s="1" t="s">
        <v>2410</v>
      </c>
      <c r="R614" s="1" t="s">
        <v>43</v>
      </c>
      <c r="S614" s="1" t="s">
        <v>2411</v>
      </c>
      <c r="T614" s="1" t="s">
        <v>2412</v>
      </c>
      <c r="U614" s="2" t="s">
        <v>2413</v>
      </c>
      <c r="V614" s="2" t="s">
        <v>83</v>
      </c>
      <c r="W614" s="2" t="s">
        <v>178</v>
      </c>
      <c r="X614" s="2">
        <v>42.244999999999997</v>
      </c>
    </row>
    <row r="615" spans="1:24" x14ac:dyDescent="0.3">
      <c r="A615">
        <v>18516</v>
      </c>
      <c r="B615" t="s">
        <v>2414</v>
      </c>
      <c r="C615" s="3">
        <v>40680</v>
      </c>
      <c r="D615" t="s">
        <v>148</v>
      </c>
      <c r="E615">
        <v>3</v>
      </c>
      <c r="F615" s="3">
        <f ca="1">40681+(RANDBETWEEN(1,10))</f>
        <v>40687</v>
      </c>
      <c r="G615" t="s">
        <v>26</v>
      </c>
      <c r="H615" t="s">
        <v>96</v>
      </c>
      <c r="I615" t="s">
        <v>28</v>
      </c>
      <c r="J615">
        <v>30.765000000000001</v>
      </c>
      <c r="K615">
        <v>0.06</v>
      </c>
      <c r="L615">
        <v>0.57999999999999996</v>
      </c>
      <c r="M615">
        <v>3.36</v>
      </c>
      <c r="N615">
        <v>-31.065999999999999</v>
      </c>
      <c r="O615" s="1" t="s">
        <v>87</v>
      </c>
      <c r="P615" s="1" t="s">
        <v>2381</v>
      </c>
      <c r="Q615" s="1" t="s">
        <v>2382</v>
      </c>
      <c r="R615" s="1" t="s">
        <v>90</v>
      </c>
      <c r="S615" s="1" t="s">
        <v>2383</v>
      </c>
      <c r="T615" s="1" t="s">
        <v>2384</v>
      </c>
      <c r="U615" s="2" t="s">
        <v>154</v>
      </c>
      <c r="V615" s="2" t="s">
        <v>47</v>
      </c>
      <c r="W615" s="2" t="s">
        <v>104</v>
      </c>
      <c r="X615" s="2">
        <v>10.29</v>
      </c>
    </row>
    <row r="616" spans="1:24" x14ac:dyDescent="0.3">
      <c r="A616">
        <v>18517</v>
      </c>
      <c r="B616" t="s">
        <v>2415</v>
      </c>
      <c r="C616" s="3">
        <v>41441</v>
      </c>
      <c r="D616" t="s">
        <v>25</v>
      </c>
      <c r="E616">
        <v>10</v>
      </c>
      <c r="F616" s="3">
        <f ca="1">41450+(RANDBETWEEN(1,10))</f>
        <v>41455</v>
      </c>
      <c r="G616" t="s">
        <v>26</v>
      </c>
      <c r="H616" t="s">
        <v>27</v>
      </c>
      <c r="I616" t="s">
        <v>28</v>
      </c>
      <c r="J616">
        <v>404.46</v>
      </c>
      <c r="K616">
        <v>0.08</v>
      </c>
      <c r="L616">
        <v>0.38</v>
      </c>
      <c r="M616">
        <v>22.645</v>
      </c>
      <c r="N616">
        <v>-785.34995000000004</v>
      </c>
      <c r="O616" s="1" t="s">
        <v>29</v>
      </c>
      <c r="P616" s="1" t="s">
        <v>2416</v>
      </c>
      <c r="Q616" s="1" t="s">
        <v>2417</v>
      </c>
      <c r="R616" s="1" t="s">
        <v>32</v>
      </c>
      <c r="S616" s="1" t="s">
        <v>2418</v>
      </c>
      <c r="T616" s="1" t="s">
        <v>2419</v>
      </c>
      <c r="U616" s="2" t="s">
        <v>2420</v>
      </c>
      <c r="V616" s="2" t="s">
        <v>47</v>
      </c>
      <c r="W616" s="2" t="s">
        <v>74</v>
      </c>
      <c r="X616" s="2">
        <v>42.98</v>
      </c>
    </row>
    <row r="617" spans="1:24" x14ac:dyDescent="0.3">
      <c r="A617">
        <v>18518</v>
      </c>
      <c r="B617" t="s">
        <v>2421</v>
      </c>
      <c r="C617" s="3">
        <v>41904</v>
      </c>
      <c r="D617" t="s">
        <v>50</v>
      </c>
      <c r="E617">
        <v>25</v>
      </c>
      <c r="F617" s="3">
        <f ca="1">41907+(RANDBETWEEN(1,10))</f>
        <v>41913</v>
      </c>
      <c r="G617" t="s">
        <v>26</v>
      </c>
      <c r="H617" t="s">
        <v>27</v>
      </c>
      <c r="I617" t="s">
        <v>97</v>
      </c>
      <c r="J617">
        <v>491.05</v>
      </c>
      <c r="K617">
        <v>0.05</v>
      </c>
      <c r="L617">
        <v>0.39</v>
      </c>
      <c r="M617">
        <v>17.535</v>
      </c>
      <c r="N617">
        <v>-333.41811999999999</v>
      </c>
      <c r="O617" s="1" t="s">
        <v>64</v>
      </c>
      <c r="P617" s="1" t="s">
        <v>2341</v>
      </c>
      <c r="Q617" s="1" t="s">
        <v>2342</v>
      </c>
      <c r="R617" s="1" t="s">
        <v>128</v>
      </c>
      <c r="S617" s="1" t="s">
        <v>2343</v>
      </c>
      <c r="T617" s="1" t="s">
        <v>2344</v>
      </c>
      <c r="U617" s="2" t="s">
        <v>2422</v>
      </c>
      <c r="V617" s="2" t="s">
        <v>47</v>
      </c>
      <c r="W617" s="2" t="s">
        <v>111</v>
      </c>
      <c r="X617" s="2">
        <v>20.09</v>
      </c>
    </row>
    <row r="618" spans="1:24" x14ac:dyDescent="0.3">
      <c r="A618">
        <v>18519</v>
      </c>
      <c r="B618" t="s">
        <v>2421</v>
      </c>
      <c r="C618" s="3">
        <v>41904</v>
      </c>
      <c r="D618" t="s">
        <v>50</v>
      </c>
      <c r="E618">
        <v>22</v>
      </c>
      <c r="F618" s="3">
        <f ca="1">41904+(RANDBETWEEN(1,10))</f>
        <v>41907</v>
      </c>
      <c r="G618" t="s">
        <v>26</v>
      </c>
      <c r="H618" t="s">
        <v>281</v>
      </c>
      <c r="I618" t="s">
        <v>97</v>
      </c>
      <c r="J618">
        <v>9266.2849999999999</v>
      </c>
      <c r="K618">
        <v>0.1</v>
      </c>
      <c r="L618" t="s">
        <v>182</v>
      </c>
      <c r="M618">
        <v>44.274999999999999</v>
      </c>
      <c r="N618">
        <v>4391.9441999999999</v>
      </c>
      <c r="O618" s="1" t="s">
        <v>40</v>
      </c>
      <c r="P618" s="1" t="s">
        <v>2423</v>
      </c>
      <c r="Q618" s="1" t="s">
        <v>2424</v>
      </c>
      <c r="R618" s="1" t="s">
        <v>220</v>
      </c>
      <c r="S618" s="1" t="s">
        <v>2425</v>
      </c>
      <c r="T618" s="1" t="s">
        <v>2426</v>
      </c>
      <c r="U618" s="2" t="s">
        <v>1695</v>
      </c>
      <c r="V618" s="2" t="s">
        <v>83</v>
      </c>
      <c r="W618" s="2" t="s">
        <v>84</v>
      </c>
      <c r="X618" s="2">
        <v>448.84</v>
      </c>
    </row>
    <row r="619" spans="1:24" x14ac:dyDescent="0.3">
      <c r="A619">
        <v>18520</v>
      </c>
      <c r="B619" t="s">
        <v>2427</v>
      </c>
      <c r="C619" s="3">
        <v>41935</v>
      </c>
      <c r="D619" t="s">
        <v>148</v>
      </c>
      <c r="E619">
        <v>18</v>
      </c>
      <c r="F619" s="3">
        <f ca="1">41936+(RANDBETWEEN(1,10))</f>
        <v>41941</v>
      </c>
      <c r="G619" t="s">
        <v>156</v>
      </c>
      <c r="H619" t="s">
        <v>27</v>
      </c>
      <c r="I619" t="s">
        <v>28</v>
      </c>
      <c r="J619">
        <v>253.22499999999999</v>
      </c>
      <c r="K619">
        <v>7.0000000000000007E-2</v>
      </c>
      <c r="L619">
        <v>0.36</v>
      </c>
      <c r="M619">
        <v>19.04</v>
      </c>
      <c r="N619">
        <v>-412.7235</v>
      </c>
      <c r="O619" s="1" t="s">
        <v>225</v>
      </c>
      <c r="P619" s="1" t="s">
        <v>2428</v>
      </c>
      <c r="Q619" s="1" t="s">
        <v>2429</v>
      </c>
      <c r="R619" s="1" t="s">
        <v>228</v>
      </c>
      <c r="S619" s="1" t="s">
        <v>2430</v>
      </c>
      <c r="T619" s="1" t="s">
        <v>2431</v>
      </c>
      <c r="U619" s="2" t="s">
        <v>2432</v>
      </c>
      <c r="V619" s="2" t="s">
        <v>47</v>
      </c>
      <c r="W619" s="2" t="s">
        <v>111</v>
      </c>
      <c r="X619" s="2">
        <v>13.335000000000001</v>
      </c>
    </row>
    <row r="620" spans="1:24" x14ac:dyDescent="0.3">
      <c r="A620">
        <v>18521</v>
      </c>
      <c r="B620" t="s">
        <v>2433</v>
      </c>
      <c r="C620" s="3">
        <v>40869</v>
      </c>
      <c r="D620" t="s">
        <v>39</v>
      </c>
      <c r="E620">
        <v>23</v>
      </c>
      <c r="F620" s="3">
        <f ca="1">40869+(RANDBETWEEN(1,10))</f>
        <v>40871</v>
      </c>
      <c r="G620" t="s">
        <v>26</v>
      </c>
      <c r="H620" t="s">
        <v>96</v>
      </c>
      <c r="I620" t="s">
        <v>28</v>
      </c>
      <c r="J620">
        <v>774.34</v>
      </c>
      <c r="K620">
        <v>7.0000000000000007E-2</v>
      </c>
      <c r="L620">
        <v>0.39</v>
      </c>
      <c r="M620">
        <v>7.21</v>
      </c>
      <c r="N620">
        <v>534.29459999999995</v>
      </c>
      <c r="O620" s="1" t="s">
        <v>87</v>
      </c>
      <c r="P620" s="1" t="s">
        <v>2434</v>
      </c>
      <c r="Q620" s="1" t="s">
        <v>2435</v>
      </c>
      <c r="R620" s="1" t="s">
        <v>90</v>
      </c>
      <c r="S620" s="1" t="s">
        <v>2436</v>
      </c>
      <c r="T620" s="1" t="s">
        <v>2437</v>
      </c>
      <c r="U620" s="2" t="s">
        <v>2438</v>
      </c>
      <c r="V620" s="2" t="s">
        <v>47</v>
      </c>
      <c r="W620" s="2" t="s">
        <v>74</v>
      </c>
      <c r="X620" s="2">
        <v>35.21</v>
      </c>
    </row>
    <row r="621" spans="1:24" x14ac:dyDescent="0.3">
      <c r="A621">
        <v>18522</v>
      </c>
      <c r="B621" t="s">
        <v>2433</v>
      </c>
      <c r="C621" s="3">
        <v>40869</v>
      </c>
      <c r="D621" t="s">
        <v>39</v>
      </c>
      <c r="E621">
        <v>29</v>
      </c>
      <c r="F621" s="3">
        <f ca="1">40870+(RANDBETWEEN(1,10))</f>
        <v>40880</v>
      </c>
      <c r="G621" t="s">
        <v>26</v>
      </c>
      <c r="H621" t="s">
        <v>96</v>
      </c>
      <c r="I621" t="s">
        <v>28</v>
      </c>
      <c r="J621">
        <v>163.27500000000001</v>
      </c>
      <c r="K621">
        <v>7.0000000000000007E-2</v>
      </c>
      <c r="L621">
        <v>0.59</v>
      </c>
      <c r="M621">
        <v>5.4950000000000001</v>
      </c>
      <c r="N621">
        <v>25.024999999999999</v>
      </c>
      <c r="O621" s="1" t="s">
        <v>87</v>
      </c>
      <c r="P621" s="1" t="s">
        <v>2434</v>
      </c>
      <c r="Q621" s="1" t="s">
        <v>2435</v>
      </c>
      <c r="R621" s="1" t="s">
        <v>90</v>
      </c>
      <c r="S621" s="1" t="s">
        <v>2436</v>
      </c>
      <c r="T621" s="1" t="s">
        <v>2437</v>
      </c>
      <c r="U621" s="2" t="s">
        <v>2439</v>
      </c>
      <c r="V621" s="2" t="s">
        <v>47</v>
      </c>
      <c r="W621" s="2" t="s">
        <v>104</v>
      </c>
      <c r="X621" s="2">
        <v>5.88</v>
      </c>
    </row>
    <row r="622" spans="1:24" x14ac:dyDescent="0.3">
      <c r="A622">
        <v>18523</v>
      </c>
      <c r="B622" t="s">
        <v>2440</v>
      </c>
      <c r="C622" s="3">
        <v>41247</v>
      </c>
      <c r="D622" t="s">
        <v>39</v>
      </c>
      <c r="E622">
        <v>15</v>
      </c>
      <c r="F622" s="3">
        <f ca="1">41248+(RANDBETWEEN(1,10))</f>
        <v>41250</v>
      </c>
      <c r="G622" t="s">
        <v>26</v>
      </c>
      <c r="H622" t="s">
        <v>27</v>
      </c>
      <c r="I622" t="s">
        <v>97</v>
      </c>
      <c r="J622">
        <v>629.29999999999995</v>
      </c>
      <c r="K622">
        <v>0.06</v>
      </c>
      <c r="L622">
        <v>0.43</v>
      </c>
      <c r="M622">
        <v>18.059999999999999</v>
      </c>
      <c r="N622">
        <v>370.17750000000001</v>
      </c>
      <c r="O622" s="1" t="s">
        <v>53</v>
      </c>
      <c r="P622" s="1" t="s">
        <v>2441</v>
      </c>
      <c r="Q622" s="1" t="s">
        <v>2442</v>
      </c>
      <c r="R622" s="1" t="s">
        <v>440</v>
      </c>
      <c r="S622" s="1" t="s">
        <v>2443</v>
      </c>
      <c r="T622" s="1" t="s">
        <v>2444</v>
      </c>
      <c r="U622" s="2" t="s">
        <v>2445</v>
      </c>
      <c r="V622" s="2" t="s">
        <v>83</v>
      </c>
      <c r="W622" s="2" t="s">
        <v>178</v>
      </c>
      <c r="X622" s="2">
        <v>44.03</v>
      </c>
    </row>
    <row r="623" spans="1:24" x14ac:dyDescent="0.3">
      <c r="A623">
        <v>18524</v>
      </c>
      <c r="B623" t="s">
        <v>2440</v>
      </c>
      <c r="C623" s="3">
        <v>41247</v>
      </c>
      <c r="D623" t="s">
        <v>39</v>
      </c>
      <c r="E623">
        <v>14</v>
      </c>
      <c r="F623" s="3">
        <f ca="1">41249+(RANDBETWEEN(1,10))</f>
        <v>41254</v>
      </c>
      <c r="G623" t="s">
        <v>26</v>
      </c>
      <c r="H623" t="s">
        <v>51</v>
      </c>
      <c r="I623" t="s">
        <v>97</v>
      </c>
      <c r="J623">
        <v>728.84</v>
      </c>
      <c r="K623">
        <v>0.05</v>
      </c>
      <c r="L623">
        <v>0.49</v>
      </c>
      <c r="M623">
        <v>17.5</v>
      </c>
      <c r="N623">
        <v>502.89960000000002</v>
      </c>
      <c r="O623" s="1" t="s">
        <v>53</v>
      </c>
      <c r="P623" s="1" t="s">
        <v>2441</v>
      </c>
      <c r="Q623" s="1" t="s">
        <v>2442</v>
      </c>
      <c r="R623" s="1" t="s">
        <v>440</v>
      </c>
      <c r="S623" s="1" t="s">
        <v>2443</v>
      </c>
      <c r="T623" s="1" t="s">
        <v>2444</v>
      </c>
      <c r="U623" s="2" t="s">
        <v>830</v>
      </c>
      <c r="V623" s="2" t="s">
        <v>83</v>
      </c>
      <c r="W623" s="2" t="s">
        <v>178</v>
      </c>
      <c r="X623" s="2">
        <v>50.19</v>
      </c>
    </row>
    <row r="624" spans="1:24" x14ac:dyDescent="0.3">
      <c r="A624">
        <v>18525</v>
      </c>
      <c r="B624" t="s">
        <v>2446</v>
      </c>
      <c r="C624" s="3">
        <v>41351</v>
      </c>
      <c r="D624" t="s">
        <v>50</v>
      </c>
      <c r="E624">
        <v>12</v>
      </c>
      <c r="F624" s="3">
        <f ca="1">41352+(RANDBETWEEN(1,10))</f>
        <v>41354</v>
      </c>
      <c r="G624" t="s">
        <v>26</v>
      </c>
      <c r="H624" t="s">
        <v>27</v>
      </c>
      <c r="I624" t="s">
        <v>97</v>
      </c>
      <c r="J624">
        <v>374.39499999999998</v>
      </c>
      <c r="K624">
        <v>0.03</v>
      </c>
      <c r="L624">
        <v>0.57999999999999996</v>
      </c>
      <c r="M624">
        <v>12.25</v>
      </c>
      <c r="N624">
        <v>1944.4949999999999</v>
      </c>
      <c r="O624" s="1" t="s">
        <v>40</v>
      </c>
      <c r="P624" s="1" t="s">
        <v>2388</v>
      </c>
      <c r="Q624" s="1" t="s">
        <v>2389</v>
      </c>
      <c r="R624" s="1" t="s">
        <v>220</v>
      </c>
      <c r="S624" s="1" t="s">
        <v>2390</v>
      </c>
      <c r="T624" s="1" t="s">
        <v>2391</v>
      </c>
      <c r="U624" s="2" t="s">
        <v>2447</v>
      </c>
      <c r="V624" s="2" t="s">
        <v>47</v>
      </c>
      <c r="W624" s="2" t="s">
        <v>71</v>
      </c>
      <c r="X624" s="2">
        <v>30.344999999999999</v>
      </c>
    </row>
    <row r="625" spans="1:24" x14ac:dyDescent="0.3">
      <c r="A625">
        <v>18526</v>
      </c>
      <c r="B625" t="s">
        <v>2446</v>
      </c>
      <c r="C625" s="3">
        <v>41351</v>
      </c>
      <c r="D625" t="s">
        <v>50</v>
      </c>
      <c r="E625">
        <v>6</v>
      </c>
      <c r="F625" s="3">
        <f ca="1">41353+(RANDBETWEEN(1,10))</f>
        <v>41356</v>
      </c>
      <c r="G625" t="s">
        <v>26</v>
      </c>
      <c r="H625" t="s">
        <v>27</v>
      </c>
      <c r="I625" t="s">
        <v>97</v>
      </c>
      <c r="J625">
        <v>1557.43</v>
      </c>
      <c r="K625">
        <v>0.01</v>
      </c>
      <c r="L625">
        <v>0.79</v>
      </c>
      <c r="M625">
        <v>14</v>
      </c>
      <c r="N625">
        <v>-168.02099999999999</v>
      </c>
      <c r="O625" s="1" t="s">
        <v>40</v>
      </c>
      <c r="P625" s="1" t="s">
        <v>2388</v>
      </c>
      <c r="Q625" s="1" t="s">
        <v>2389</v>
      </c>
      <c r="R625" s="1" t="s">
        <v>220</v>
      </c>
      <c r="S625" s="1" t="s">
        <v>2390</v>
      </c>
      <c r="T625" s="1" t="s">
        <v>2391</v>
      </c>
      <c r="U625" s="2" t="s">
        <v>2448</v>
      </c>
      <c r="V625" s="2" t="s">
        <v>36</v>
      </c>
      <c r="W625" s="2" t="s">
        <v>60</v>
      </c>
      <c r="X625" s="2">
        <v>258.93</v>
      </c>
    </row>
    <row r="626" spans="1:24" x14ac:dyDescent="0.3">
      <c r="A626">
        <v>18527</v>
      </c>
      <c r="B626" t="s">
        <v>2446</v>
      </c>
      <c r="C626" s="3">
        <v>41351</v>
      </c>
      <c r="D626" t="s">
        <v>50</v>
      </c>
      <c r="E626">
        <v>4</v>
      </c>
      <c r="F626" s="3">
        <f ca="1">41353+(RANDBETWEEN(1,10))</f>
        <v>41359</v>
      </c>
      <c r="G626" t="s">
        <v>26</v>
      </c>
      <c r="H626" t="s">
        <v>51</v>
      </c>
      <c r="I626" t="s">
        <v>97</v>
      </c>
      <c r="J626">
        <v>410.27</v>
      </c>
      <c r="K626">
        <v>0.08</v>
      </c>
      <c r="L626">
        <v>0.44</v>
      </c>
      <c r="M626">
        <v>13.72</v>
      </c>
      <c r="N626">
        <v>-984.20910000000003</v>
      </c>
      <c r="O626" s="1" t="s">
        <v>40</v>
      </c>
      <c r="P626" s="1" t="s">
        <v>2388</v>
      </c>
      <c r="Q626" s="1" t="s">
        <v>2389</v>
      </c>
      <c r="R626" s="1" t="s">
        <v>220</v>
      </c>
      <c r="S626" s="1" t="s">
        <v>2390</v>
      </c>
      <c r="T626" s="1" t="s">
        <v>2391</v>
      </c>
      <c r="U626" s="2" t="s">
        <v>449</v>
      </c>
      <c r="V626" s="2" t="s">
        <v>83</v>
      </c>
      <c r="W626" s="2" t="s">
        <v>178</v>
      </c>
      <c r="X626" s="2">
        <v>108.255</v>
      </c>
    </row>
    <row r="627" spans="1:24" x14ac:dyDescent="0.3">
      <c r="A627">
        <v>18528</v>
      </c>
      <c r="B627" t="s">
        <v>2446</v>
      </c>
      <c r="C627" s="3">
        <v>41351</v>
      </c>
      <c r="D627" t="s">
        <v>50</v>
      </c>
      <c r="E627">
        <v>5</v>
      </c>
      <c r="F627" s="3">
        <f ca="1">41351+(RANDBETWEEN(1,10))</f>
        <v>41354</v>
      </c>
      <c r="G627" t="s">
        <v>76</v>
      </c>
      <c r="H627" t="s">
        <v>77</v>
      </c>
      <c r="I627" t="s">
        <v>97</v>
      </c>
      <c r="J627">
        <v>1489.39</v>
      </c>
      <c r="K627">
        <v>0.1</v>
      </c>
      <c r="L627">
        <v>0.36</v>
      </c>
      <c r="M627">
        <v>49</v>
      </c>
      <c r="N627">
        <v>821.39400000000001</v>
      </c>
      <c r="O627" s="1" t="s">
        <v>40</v>
      </c>
      <c r="P627" s="1" t="s">
        <v>2388</v>
      </c>
      <c r="Q627" s="1" t="s">
        <v>2389</v>
      </c>
      <c r="R627" s="1" t="s">
        <v>220</v>
      </c>
      <c r="S627" s="1" t="s">
        <v>2390</v>
      </c>
      <c r="T627" s="1" t="s">
        <v>2391</v>
      </c>
      <c r="U627" s="2" t="s">
        <v>2449</v>
      </c>
      <c r="V627" s="2" t="s">
        <v>36</v>
      </c>
      <c r="W627" s="2" t="s">
        <v>142</v>
      </c>
      <c r="X627" s="2">
        <v>318.39499999999998</v>
      </c>
    </row>
    <row r="628" spans="1:24" x14ac:dyDescent="0.3">
      <c r="A628">
        <v>18529</v>
      </c>
      <c r="B628" t="s">
        <v>2450</v>
      </c>
      <c r="C628" s="3">
        <v>40688</v>
      </c>
      <c r="D628" t="s">
        <v>39</v>
      </c>
      <c r="E628">
        <v>8</v>
      </c>
      <c r="F628" s="3">
        <f ca="1">40690+(RANDBETWEEN(1,10))</f>
        <v>40700</v>
      </c>
      <c r="G628" t="s">
        <v>26</v>
      </c>
      <c r="H628" t="s">
        <v>27</v>
      </c>
      <c r="I628" t="s">
        <v>97</v>
      </c>
      <c r="J628">
        <v>88.795000000000002</v>
      </c>
      <c r="K628">
        <v>0.01</v>
      </c>
      <c r="L628">
        <v>0.37</v>
      </c>
      <c r="M628">
        <v>1.7150000000000001</v>
      </c>
      <c r="N628">
        <v>61.268549999999998</v>
      </c>
      <c r="O628" s="1" t="s">
        <v>40</v>
      </c>
      <c r="P628" s="1" t="s">
        <v>2451</v>
      </c>
      <c r="Q628" s="1" t="s">
        <v>2452</v>
      </c>
      <c r="R628" s="1" t="s">
        <v>43</v>
      </c>
      <c r="S628" s="1" t="s">
        <v>2453</v>
      </c>
      <c r="T628" s="1" t="s">
        <v>2454</v>
      </c>
      <c r="U628" s="2" t="s">
        <v>2455</v>
      </c>
      <c r="V628" s="2" t="s">
        <v>47</v>
      </c>
      <c r="W628" s="2" t="s">
        <v>203</v>
      </c>
      <c r="X628" s="2">
        <v>11.025</v>
      </c>
    </row>
    <row r="629" spans="1:24" x14ac:dyDescent="0.3">
      <c r="A629">
        <v>18530</v>
      </c>
      <c r="B629" t="s">
        <v>2456</v>
      </c>
      <c r="C629" s="3">
        <v>41250</v>
      </c>
      <c r="D629" t="s">
        <v>148</v>
      </c>
      <c r="E629">
        <v>1</v>
      </c>
      <c r="F629" s="3">
        <f ca="1">41252+(RANDBETWEEN(1,10))</f>
        <v>41255</v>
      </c>
      <c r="G629" t="s">
        <v>76</v>
      </c>
      <c r="H629" t="s">
        <v>77</v>
      </c>
      <c r="I629" t="s">
        <v>86</v>
      </c>
      <c r="J629">
        <v>375.16500000000002</v>
      </c>
      <c r="K629">
        <v>0.01</v>
      </c>
      <c r="L629">
        <v>0.56999999999999995</v>
      </c>
      <c r="M629">
        <v>54.81</v>
      </c>
      <c r="N629">
        <v>-175.08750000000001</v>
      </c>
      <c r="O629" s="1" t="s">
        <v>53</v>
      </c>
      <c r="P629" s="1" t="s">
        <v>2457</v>
      </c>
      <c r="Q629" s="1" t="s">
        <v>2458</v>
      </c>
      <c r="R629" s="1" t="s">
        <v>56</v>
      </c>
      <c r="S629" s="1" t="s">
        <v>2459</v>
      </c>
      <c r="T629" s="1" t="s">
        <v>2460</v>
      </c>
      <c r="U629" s="2" t="s">
        <v>2461</v>
      </c>
      <c r="V629" s="2" t="s">
        <v>47</v>
      </c>
      <c r="W629" s="2" t="s">
        <v>71</v>
      </c>
      <c r="X629" s="2">
        <v>353.43</v>
      </c>
    </row>
    <row r="630" spans="1:24" x14ac:dyDescent="0.3">
      <c r="A630">
        <v>18531</v>
      </c>
      <c r="B630" t="s">
        <v>2456</v>
      </c>
      <c r="C630" s="3">
        <v>41250</v>
      </c>
      <c r="D630" t="s">
        <v>148</v>
      </c>
      <c r="E630">
        <v>6</v>
      </c>
      <c r="F630" s="3">
        <f ca="1">41251+(RANDBETWEEN(1,10))</f>
        <v>41256</v>
      </c>
      <c r="G630" t="s">
        <v>76</v>
      </c>
      <c r="H630" t="s">
        <v>77</v>
      </c>
      <c r="I630" t="s">
        <v>86</v>
      </c>
      <c r="J630">
        <v>1899.03</v>
      </c>
      <c r="K630">
        <v>0.08</v>
      </c>
      <c r="L630">
        <v>0.66</v>
      </c>
      <c r="M630">
        <v>147</v>
      </c>
      <c r="N630">
        <v>-545.19500000000005</v>
      </c>
      <c r="O630" s="1" t="s">
        <v>53</v>
      </c>
      <c r="P630" s="1" t="s">
        <v>2457</v>
      </c>
      <c r="Q630" s="1" t="s">
        <v>2458</v>
      </c>
      <c r="R630" s="1" t="s">
        <v>56</v>
      </c>
      <c r="S630" s="1" t="s">
        <v>2459</v>
      </c>
      <c r="T630" s="1" t="s">
        <v>2460</v>
      </c>
      <c r="U630" s="2" t="s">
        <v>2462</v>
      </c>
      <c r="V630" s="2" t="s">
        <v>83</v>
      </c>
      <c r="W630" s="2" t="s">
        <v>84</v>
      </c>
      <c r="X630" s="2">
        <v>314.96499999999997</v>
      </c>
    </row>
    <row r="631" spans="1:24" x14ac:dyDescent="0.3">
      <c r="A631">
        <v>18532</v>
      </c>
      <c r="B631" t="s">
        <v>2463</v>
      </c>
      <c r="C631" s="3">
        <v>41034</v>
      </c>
      <c r="D631" t="s">
        <v>148</v>
      </c>
      <c r="E631">
        <v>5</v>
      </c>
      <c r="F631" s="3">
        <f ca="1">41035+(RANDBETWEEN(1,10))</f>
        <v>41041</v>
      </c>
      <c r="G631" t="s">
        <v>26</v>
      </c>
      <c r="H631" t="s">
        <v>27</v>
      </c>
      <c r="I631" t="s">
        <v>86</v>
      </c>
      <c r="J631">
        <v>104.825</v>
      </c>
      <c r="K631">
        <v>0.06</v>
      </c>
      <c r="L631">
        <v>0.35</v>
      </c>
      <c r="M631">
        <v>18.55</v>
      </c>
      <c r="N631">
        <v>-100.905</v>
      </c>
      <c r="O631" s="1" t="s">
        <v>40</v>
      </c>
      <c r="P631" s="1" t="s">
        <v>1814</v>
      </c>
      <c r="Q631" s="1" t="s">
        <v>1815</v>
      </c>
      <c r="R631" s="1" t="s">
        <v>220</v>
      </c>
      <c r="S631" s="1" t="s">
        <v>1816</v>
      </c>
      <c r="T631" s="1" t="s">
        <v>1817</v>
      </c>
      <c r="U631" s="2" t="s">
        <v>2464</v>
      </c>
      <c r="V631" s="2" t="s">
        <v>47</v>
      </c>
      <c r="W631" s="2" t="s">
        <v>48</v>
      </c>
      <c r="X631" s="2">
        <v>19.53</v>
      </c>
    </row>
    <row r="632" spans="1:24" x14ac:dyDescent="0.3">
      <c r="A632">
        <v>18533</v>
      </c>
      <c r="B632" t="s">
        <v>2465</v>
      </c>
      <c r="C632" s="3">
        <v>41604</v>
      </c>
      <c r="D632" t="s">
        <v>25</v>
      </c>
      <c r="E632">
        <v>14</v>
      </c>
      <c r="F632" s="3">
        <f ca="1">41609+(RANDBETWEEN(1,10))</f>
        <v>41611</v>
      </c>
      <c r="G632" t="s">
        <v>26</v>
      </c>
      <c r="H632" t="s">
        <v>27</v>
      </c>
      <c r="I632" t="s">
        <v>52</v>
      </c>
      <c r="J632">
        <v>234.60499999999999</v>
      </c>
      <c r="K632">
        <v>0.01</v>
      </c>
      <c r="L632">
        <v>0.35</v>
      </c>
      <c r="M632">
        <v>18.934999999999999</v>
      </c>
      <c r="N632">
        <v>234.67500000000001</v>
      </c>
      <c r="O632" s="1" t="s">
        <v>29</v>
      </c>
      <c r="P632" s="1" t="s">
        <v>2466</v>
      </c>
      <c r="Q632" s="1" t="s">
        <v>2467</v>
      </c>
      <c r="R632" s="1" t="s">
        <v>32</v>
      </c>
      <c r="S632" s="1" t="s">
        <v>2468</v>
      </c>
      <c r="T632" s="1" t="s">
        <v>2469</v>
      </c>
      <c r="U632" s="2" t="s">
        <v>231</v>
      </c>
      <c r="V632" s="2" t="s">
        <v>47</v>
      </c>
      <c r="W632" s="2" t="s">
        <v>111</v>
      </c>
      <c r="X632" s="2">
        <v>14.84</v>
      </c>
    </row>
    <row r="633" spans="1:24" x14ac:dyDescent="0.3">
      <c r="A633">
        <v>18534</v>
      </c>
      <c r="B633" t="s">
        <v>2470</v>
      </c>
      <c r="C633" s="3">
        <v>41076</v>
      </c>
      <c r="D633" t="s">
        <v>25</v>
      </c>
      <c r="E633">
        <v>17</v>
      </c>
      <c r="F633" s="3">
        <f ca="1">41078+(RANDBETWEEN(1,10))</f>
        <v>41079</v>
      </c>
      <c r="G633" t="s">
        <v>26</v>
      </c>
      <c r="H633" t="s">
        <v>27</v>
      </c>
      <c r="I633" t="s">
        <v>97</v>
      </c>
      <c r="J633">
        <v>174.37</v>
      </c>
      <c r="K633">
        <v>0.1</v>
      </c>
      <c r="L633">
        <v>0.37</v>
      </c>
      <c r="M633">
        <v>1.7150000000000001</v>
      </c>
      <c r="N633">
        <v>120.31529999999999</v>
      </c>
      <c r="O633" s="1" t="s">
        <v>87</v>
      </c>
      <c r="P633" s="1" t="s">
        <v>2471</v>
      </c>
      <c r="Q633" s="1" t="s">
        <v>2472</v>
      </c>
      <c r="R633" s="1" t="s">
        <v>646</v>
      </c>
      <c r="S633" s="1" t="s">
        <v>2473</v>
      </c>
      <c r="T633" s="1" t="s">
        <v>2474</v>
      </c>
      <c r="U633" s="2" t="s">
        <v>2455</v>
      </c>
      <c r="V633" s="2" t="s">
        <v>47</v>
      </c>
      <c r="W633" s="2" t="s">
        <v>203</v>
      </c>
      <c r="X633" s="2">
        <v>11.025</v>
      </c>
    </row>
    <row r="634" spans="1:24" x14ac:dyDescent="0.3">
      <c r="A634">
        <v>18535</v>
      </c>
      <c r="B634" t="s">
        <v>2470</v>
      </c>
      <c r="C634" s="3">
        <v>41076</v>
      </c>
      <c r="D634" t="s">
        <v>25</v>
      </c>
      <c r="E634">
        <v>13</v>
      </c>
      <c r="F634" s="3">
        <f ca="1">41083+(RANDBETWEEN(1,10))</f>
        <v>41091</v>
      </c>
      <c r="G634" t="s">
        <v>26</v>
      </c>
      <c r="H634" t="s">
        <v>27</v>
      </c>
      <c r="I634" t="s">
        <v>97</v>
      </c>
      <c r="J634">
        <v>7344.9250000000002</v>
      </c>
      <c r="K634">
        <v>0.05</v>
      </c>
      <c r="L634">
        <v>0.56999999999999995</v>
      </c>
      <c r="M634">
        <v>14.7</v>
      </c>
      <c r="N634">
        <v>5067.9982499999996</v>
      </c>
      <c r="O634" s="1" t="s">
        <v>87</v>
      </c>
      <c r="P634" s="1" t="s">
        <v>2471</v>
      </c>
      <c r="Q634" s="1" t="s">
        <v>2472</v>
      </c>
      <c r="R634" s="1" t="s">
        <v>646</v>
      </c>
      <c r="S634" s="1" t="s">
        <v>2473</v>
      </c>
      <c r="T634" s="1" t="s">
        <v>2474</v>
      </c>
      <c r="U634" s="2" t="s">
        <v>2475</v>
      </c>
      <c r="V634" s="2" t="s">
        <v>36</v>
      </c>
      <c r="W634" s="2" t="s">
        <v>37</v>
      </c>
      <c r="X634" s="2">
        <v>685.96500000000003</v>
      </c>
    </row>
    <row r="635" spans="1:24" x14ac:dyDescent="0.3">
      <c r="A635">
        <v>18536</v>
      </c>
      <c r="B635" t="s">
        <v>2476</v>
      </c>
      <c r="C635" s="3">
        <v>40729</v>
      </c>
      <c r="D635" t="s">
        <v>25</v>
      </c>
      <c r="E635">
        <v>2</v>
      </c>
      <c r="F635" s="3">
        <f ca="1">40734+(RANDBETWEEN(1,10))</f>
        <v>40739</v>
      </c>
      <c r="G635" t="s">
        <v>26</v>
      </c>
      <c r="H635" t="s">
        <v>27</v>
      </c>
      <c r="I635" t="s">
        <v>97</v>
      </c>
      <c r="J635">
        <v>69.510000000000005</v>
      </c>
      <c r="K635">
        <v>0.01</v>
      </c>
      <c r="L635">
        <v>0.35</v>
      </c>
      <c r="M635">
        <v>21.98</v>
      </c>
      <c r="N635">
        <v>-54.095999999999997</v>
      </c>
      <c r="O635" s="1" t="s">
        <v>29</v>
      </c>
      <c r="P635" s="1" t="s">
        <v>2477</v>
      </c>
      <c r="Q635" s="1" t="s">
        <v>2478</v>
      </c>
      <c r="R635" s="1" t="s">
        <v>32</v>
      </c>
      <c r="S635" s="1" t="s">
        <v>2479</v>
      </c>
      <c r="T635" s="1" t="s">
        <v>2480</v>
      </c>
      <c r="U635" s="2" t="s">
        <v>2481</v>
      </c>
      <c r="V635" s="2" t="s">
        <v>47</v>
      </c>
      <c r="W635" s="2" t="s">
        <v>111</v>
      </c>
      <c r="X635" s="2">
        <v>31.08</v>
      </c>
    </row>
    <row r="636" spans="1:24" x14ac:dyDescent="0.3">
      <c r="A636">
        <v>18537</v>
      </c>
      <c r="B636" t="s">
        <v>2476</v>
      </c>
      <c r="C636" s="3">
        <v>40729</v>
      </c>
      <c r="D636" t="s">
        <v>25</v>
      </c>
      <c r="E636">
        <v>8</v>
      </c>
      <c r="F636" s="3">
        <f ca="1">40738+(RANDBETWEEN(1,10))</f>
        <v>40746</v>
      </c>
      <c r="G636" t="s">
        <v>26</v>
      </c>
      <c r="H636" t="s">
        <v>27</v>
      </c>
      <c r="I636" t="s">
        <v>97</v>
      </c>
      <c r="J636">
        <v>81.41</v>
      </c>
      <c r="K636">
        <v>0.06</v>
      </c>
      <c r="L636">
        <v>0.36</v>
      </c>
      <c r="M636">
        <v>3.4649999999999999</v>
      </c>
      <c r="N636">
        <v>56.172899999999998</v>
      </c>
      <c r="O636" s="1" t="s">
        <v>29</v>
      </c>
      <c r="P636" s="1" t="s">
        <v>2477</v>
      </c>
      <c r="Q636" s="1" t="s">
        <v>2478</v>
      </c>
      <c r="R636" s="1" t="s">
        <v>32</v>
      </c>
      <c r="S636" s="1" t="s">
        <v>2479</v>
      </c>
      <c r="T636" s="1" t="s">
        <v>2480</v>
      </c>
      <c r="U636" s="2" t="s">
        <v>2482</v>
      </c>
      <c r="V636" s="2" t="s">
        <v>47</v>
      </c>
      <c r="W636" s="2" t="s">
        <v>203</v>
      </c>
      <c r="X636" s="2">
        <v>10.08</v>
      </c>
    </row>
    <row r="637" spans="1:24" x14ac:dyDescent="0.3">
      <c r="A637">
        <v>18538</v>
      </c>
      <c r="B637" t="s">
        <v>2483</v>
      </c>
      <c r="C637" s="3">
        <v>41786</v>
      </c>
      <c r="D637" t="s">
        <v>50</v>
      </c>
      <c r="E637">
        <v>12</v>
      </c>
      <c r="F637" s="3">
        <f ca="1">41788+(RANDBETWEEN(1,10))</f>
        <v>41797</v>
      </c>
      <c r="G637" t="s">
        <v>156</v>
      </c>
      <c r="H637" t="s">
        <v>27</v>
      </c>
      <c r="I637" t="s">
        <v>97</v>
      </c>
      <c r="J637">
        <v>163.27500000000001</v>
      </c>
      <c r="K637">
        <v>0.04</v>
      </c>
      <c r="L637">
        <v>0.37</v>
      </c>
      <c r="M637">
        <v>19.145</v>
      </c>
      <c r="N637">
        <v>-2864.54</v>
      </c>
      <c r="O637" s="1" t="s">
        <v>64</v>
      </c>
      <c r="P637" s="1" t="s">
        <v>2484</v>
      </c>
      <c r="Q637" s="1" t="s">
        <v>2485</v>
      </c>
      <c r="R637" s="1" t="s">
        <v>128</v>
      </c>
      <c r="S637" s="1" t="s">
        <v>2486</v>
      </c>
      <c r="T637" s="1" t="s">
        <v>2487</v>
      </c>
      <c r="U637" s="2" t="s">
        <v>879</v>
      </c>
      <c r="V637" s="2" t="s">
        <v>47</v>
      </c>
      <c r="W637" s="2" t="s">
        <v>111</v>
      </c>
      <c r="X637" s="2">
        <v>12.53</v>
      </c>
    </row>
    <row r="638" spans="1:24" x14ac:dyDescent="0.3">
      <c r="A638">
        <v>18539</v>
      </c>
      <c r="B638" t="s">
        <v>2483</v>
      </c>
      <c r="C638" s="3">
        <v>41786</v>
      </c>
      <c r="D638" t="s">
        <v>50</v>
      </c>
      <c r="E638">
        <v>8</v>
      </c>
      <c r="F638" s="3">
        <f ca="1">41788+(RANDBETWEEN(1,10))</f>
        <v>41795</v>
      </c>
      <c r="G638" t="s">
        <v>76</v>
      </c>
      <c r="H638" t="s">
        <v>77</v>
      </c>
      <c r="I638" t="s">
        <v>97</v>
      </c>
      <c r="J638">
        <v>6075.4049999999997</v>
      </c>
      <c r="K638">
        <v>0.03</v>
      </c>
      <c r="L638">
        <v>0.59</v>
      </c>
      <c r="M638">
        <v>224.7</v>
      </c>
      <c r="N638">
        <v>-2534.1329999999998</v>
      </c>
      <c r="O638" s="1" t="s">
        <v>64</v>
      </c>
      <c r="P638" s="1" t="s">
        <v>2484</v>
      </c>
      <c r="Q638" s="1" t="s">
        <v>2485</v>
      </c>
      <c r="R638" s="1" t="s">
        <v>128</v>
      </c>
      <c r="S638" s="1" t="s">
        <v>2486</v>
      </c>
      <c r="T638" s="1" t="s">
        <v>2487</v>
      </c>
      <c r="U638" s="2" t="s">
        <v>2488</v>
      </c>
      <c r="V638" s="2" t="s">
        <v>83</v>
      </c>
      <c r="W638" s="2" t="s">
        <v>84</v>
      </c>
      <c r="X638" s="2">
        <v>758.1</v>
      </c>
    </row>
    <row r="639" spans="1:24" x14ac:dyDescent="0.3">
      <c r="A639">
        <v>18540</v>
      </c>
      <c r="B639" t="s">
        <v>2489</v>
      </c>
      <c r="C639" s="3">
        <v>40628</v>
      </c>
      <c r="D639" t="s">
        <v>62</v>
      </c>
      <c r="E639">
        <v>10</v>
      </c>
      <c r="F639" s="3">
        <f ca="1">40630+(RANDBETWEEN(1,10))</f>
        <v>40637</v>
      </c>
      <c r="G639" t="s">
        <v>26</v>
      </c>
      <c r="H639" t="s">
        <v>96</v>
      </c>
      <c r="I639" t="s">
        <v>28</v>
      </c>
      <c r="J639">
        <v>231.42</v>
      </c>
      <c r="K639">
        <v>0.08</v>
      </c>
      <c r="L639">
        <v>0.48</v>
      </c>
      <c r="M639">
        <v>5.25</v>
      </c>
      <c r="N639">
        <v>-2106.3139999999999</v>
      </c>
      <c r="O639" s="1" t="s">
        <v>225</v>
      </c>
      <c r="P639" s="1" t="s">
        <v>2490</v>
      </c>
      <c r="Q639" s="1" t="s">
        <v>2491</v>
      </c>
      <c r="R639" s="1" t="s">
        <v>228</v>
      </c>
      <c r="S639" s="1" t="s">
        <v>2492</v>
      </c>
      <c r="T639" s="1" t="s">
        <v>2493</v>
      </c>
      <c r="U639" s="2" t="s">
        <v>2494</v>
      </c>
      <c r="V639" s="2" t="s">
        <v>47</v>
      </c>
      <c r="W639" s="2" t="s">
        <v>104</v>
      </c>
      <c r="X639" s="2">
        <v>23.38</v>
      </c>
    </row>
    <row r="640" spans="1:24" x14ac:dyDescent="0.3">
      <c r="A640">
        <v>18541</v>
      </c>
      <c r="B640" t="s">
        <v>2495</v>
      </c>
      <c r="C640" s="3">
        <v>41792</v>
      </c>
      <c r="D640" t="s">
        <v>25</v>
      </c>
      <c r="E640">
        <v>15</v>
      </c>
      <c r="F640" s="3">
        <f ca="1">41797+(RANDBETWEEN(1,10))</f>
        <v>41798</v>
      </c>
      <c r="G640" t="s">
        <v>26</v>
      </c>
      <c r="H640" t="s">
        <v>27</v>
      </c>
      <c r="I640" t="s">
        <v>28</v>
      </c>
      <c r="J640">
        <v>122.57</v>
      </c>
      <c r="K640">
        <v>0</v>
      </c>
      <c r="L640">
        <v>0.43</v>
      </c>
      <c r="M640">
        <v>18.655000000000001</v>
      </c>
      <c r="N640">
        <v>-423.22</v>
      </c>
      <c r="O640" s="1" t="s">
        <v>64</v>
      </c>
      <c r="P640" s="1" t="s">
        <v>2496</v>
      </c>
      <c r="Q640" s="1" t="s">
        <v>2497</v>
      </c>
      <c r="R640" s="1" t="s">
        <v>128</v>
      </c>
      <c r="S640" s="1" t="s">
        <v>2498</v>
      </c>
      <c r="T640" s="1" t="s">
        <v>2499</v>
      </c>
      <c r="U640" s="2" t="s">
        <v>2500</v>
      </c>
      <c r="V640" s="2" t="s">
        <v>83</v>
      </c>
      <c r="W640" s="2" t="s">
        <v>178</v>
      </c>
      <c r="X640" s="2">
        <v>7.28</v>
      </c>
    </row>
    <row r="641" spans="1:24" x14ac:dyDescent="0.3">
      <c r="A641">
        <v>18542</v>
      </c>
      <c r="B641" t="s">
        <v>2495</v>
      </c>
      <c r="C641" s="3">
        <v>41792</v>
      </c>
      <c r="D641" t="s">
        <v>25</v>
      </c>
      <c r="E641">
        <v>15</v>
      </c>
      <c r="F641" s="3">
        <f ca="1">41797+(RANDBETWEEN(1,10))</f>
        <v>41800</v>
      </c>
      <c r="G641" t="s">
        <v>26</v>
      </c>
      <c r="H641" t="s">
        <v>281</v>
      </c>
      <c r="I641" t="s">
        <v>28</v>
      </c>
      <c r="J641">
        <v>9879.1350000000002</v>
      </c>
      <c r="K641">
        <v>0.03</v>
      </c>
      <c r="L641">
        <v>0.37</v>
      </c>
      <c r="M641">
        <v>48.965000000000003</v>
      </c>
      <c r="N641">
        <v>6816.6031499999999</v>
      </c>
      <c r="O641" s="1" t="s">
        <v>64</v>
      </c>
      <c r="P641" s="1" t="s">
        <v>2501</v>
      </c>
      <c r="Q641" s="1" t="s">
        <v>2502</v>
      </c>
      <c r="R641" s="1" t="s">
        <v>67</v>
      </c>
      <c r="S641" s="1" t="s">
        <v>2503</v>
      </c>
      <c r="T641" s="1" t="s">
        <v>2504</v>
      </c>
      <c r="U641" s="2" t="s">
        <v>2505</v>
      </c>
      <c r="V641" s="2" t="s">
        <v>36</v>
      </c>
      <c r="W641" s="2" t="s">
        <v>142</v>
      </c>
      <c r="X641" s="2">
        <v>714.35</v>
      </c>
    </row>
    <row r="642" spans="1:24" x14ac:dyDescent="0.3">
      <c r="A642">
        <v>18543</v>
      </c>
      <c r="B642" t="s">
        <v>2495</v>
      </c>
      <c r="C642" s="3">
        <v>41792</v>
      </c>
      <c r="D642" t="s">
        <v>25</v>
      </c>
      <c r="E642">
        <v>18</v>
      </c>
      <c r="F642" s="3">
        <f ca="1">41792+(RANDBETWEEN(1,10))</f>
        <v>41800</v>
      </c>
      <c r="G642" t="s">
        <v>76</v>
      </c>
      <c r="H642" t="s">
        <v>77</v>
      </c>
      <c r="I642" t="s">
        <v>28</v>
      </c>
      <c r="J642">
        <v>16848.23</v>
      </c>
      <c r="K642">
        <v>0.1</v>
      </c>
      <c r="L642">
        <v>0.59</v>
      </c>
      <c r="M642">
        <v>81.165000000000006</v>
      </c>
      <c r="N642">
        <v>11625.278700000001</v>
      </c>
      <c r="O642" s="1" t="s">
        <v>29</v>
      </c>
      <c r="P642" s="1" t="s">
        <v>2506</v>
      </c>
      <c r="Q642" s="1" t="s">
        <v>2507</v>
      </c>
      <c r="R642" s="1" t="s">
        <v>675</v>
      </c>
      <c r="S642" s="1" t="s">
        <v>2508</v>
      </c>
      <c r="T642" s="1" t="s">
        <v>2509</v>
      </c>
      <c r="U642" s="2" t="s">
        <v>1970</v>
      </c>
      <c r="V642" s="2" t="s">
        <v>47</v>
      </c>
      <c r="W642" s="2" t="s">
        <v>71</v>
      </c>
      <c r="X642" s="2">
        <v>979.33500000000004</v>
      </c>
    </row>
    <row r="643" spans="1:24" x14ac:dyDescent="0.3">
      <c r="A643">
        <v>18544</v>
      </c>
      <c r="B643" t="s">
        <v>2510</v>
      </c>
      <c r="C643" s="3">
        <v>41917</v>
      </c>
      <c r="D643" t="s">
        <v>62</v>
      </c>
      <c r="E643">
        <v>2</v>
      </c>
      <c r="F643" s="3">
        <f ca="1">41917+(RANDBETWEEN(1,10))</f>
        <v>41922</v>
      </c>
      <c r="G643" t="s">
        <v>26</v>
      </c>
      <c r="H643" t="s">
        <v>27</v>
      </c>
      <c r="I643" t="s">
        <v>86</v>
      </c>
      <c r="J643">
        <v>145.91499999999999</v>
      </c>
      <c r="K643">
        <v>0.02</v>
      </c>
      <c r="L643">
        <v>0.37</v>
      </c>
      <c r="M643">
        <v>46.13</v>
      </c>
      <c r="N643">
        <v>-107.58825</v>
      </c>
      <c r="O643" s="1" t="s">
        <v>40</v>
      </c>
      <c r="P643" s="1" t="s">
        <v>723</v>
      </c>
      <c r="Q643" s="1" t="s">
        <v>724</v>
      </c>
      <c r="R643" s="1" t="s">
        <v>43</v>
      </c>
      <c r="S643" s="1" t="s">
        <v>725</v>
      </c>
      <c r="T643" s="1" t="s">
        <v>726</v>
      </c>
      <c r="U643" s="2" t="s">
        <v>197</v>
      </c>
      <c r="V643" s="2" t="s">
        <v>47</v>
      </c>
      <c r="W643" s="2" t="s">
        <v>111</v>
      </c>
      <c r="X643" s="2">
        <v>55.965000000000003</v>
      </c>
    </row>
    <row r="644" spans="1:24" x14ac:dyDescent="0.3">
      <c r="A644">
        <v>18545</v>
      </c>
      <c r="B644" t="s">
        <v>2510</v>
      </c>
      <c r="C644" s="3">
        <v>41917</v>
      </c>
      <c r="D644" t="s">
        <v>62</v>
      </c>
      <c r="E644">
        <v>13</v>
      </c>
      <c r="F644" s="3">
        <f ca="1">41918+(RANDBETWEEN(1,10))</f>
        <v>41923</v>
      </c>
      <c r="G644" t="s">
        <v>26</v>
      </c>
      <c r="H644" t="s">
        <v>27</v>
      </c>
      <c r="I644" t="s">
        <v>86</v>
      </c>
      <c r="J644">
        <v>5213.74</v>
      </c>
      <c r="K644">
        <v>0</v>
      </c>
      <c r="L644">
        <v>0.57999999999999996</v>
      </c>
      <c r="M644">
        <v>26.914999999999999</v>
      </c>
      <c r="N644">
        <v>2101.4594999999999</v>
      </c>
      <c r="O644" s="1" t="s">
        <v>40</v>
      </c>
      <c r="P644" s="1" t="s">
        <v>723</v>
      </c>
      <c r="Q644" s="1" t="s">
        <v>724</v>
      </c>
      <c r="R644" s="1" t="s">
        <v>43</v>
      </c>
      <c r="S644" s="1" t="s">
        <v>725</v>
      </c>
      <c r="T644" s="1" t="s">
        <v>726</v>
      </c>
      <c r="U644" s="2" t="s">
        <v>2511</v>
      </c>
      <c r="V644" s="2" t="s">
        <v>36</v>
      </c>
      <c r="W644" s="2" t="s">
        <v>37</v>
      </c>
      <c r="X644" s="2">
        <v>440.96499999999997</v>
      </c>
    </row>
    <row r="645" spans="1:24" x14ac:dyDescent="0.3">
      <c r="A645">
        <v>18546</v>
      </c>
      <c r="B645" t="s">
        <v>2512</v>
      </c>
      <c r="C645" s="3">
        <v>41982</v>
      </c>
      <c r="D645" t="s">
        <v>50</v>
      </c>
      <c r="E645">
        <v>14</v>
      </c>
      <c r="F645" s="3">
        <f ca="1">41984+(RANDBETWEEN(1,10))</f>
        <v>41986</v>
      </c>
      <c r="G645" t="s">
        <v>26</v>
      </c>
      <c r="H645" t="s">
        <v>27</v>
      </c>
      <c r="I645" t="s">
        <v>28</v>
      </c>
      <c r="J645">
        <v>322.94499999999999</v>
      </c>
      <c r="K645">
        <v>0.09</v>
      </c>
      <c r="L645">
        <v>0.37</v>
      </c>
      <c r="M645">
        <v>21</v>
      </c>
      <c r="N645">
        <v>-72.617999999999995</v>
      </c>
      <c r="O645" s="1" t="s">
        <v>53</v>
      </c>
      <c r="P645" s="1" t="s">
        <v>2513</v>
      </c>
      <c r="Q645" s="1" t="s">
        <v>2514</v>
      </c>
      <c r="R645" s="1" t="s">
        <v>440</v>
      </c>
      <c r="S645" s="1" t="s">
        <v>2515</v>
      </c>
      <c r="T645" s="1" t="s">
        <v>2516</v>
      </c>
      <c r="U645" s="2" t="s">
        <v>2517</v>
      </c>
      <c r="V645" s="2" t="s">
        <v>47</v>
      </c>
      <c r="W645" s="2" t="s">
        <v>74</v>
      </c>
      <c r="X645" s="2">
        <v>22.68</v>
      </c>
    </row>
    <row r="646" spans="1:24" x14ac:dyDescent="0.3">
      <c r="A646">
        <v>18547</v>
      </c>
      <c r="B646" t="s">
        <v>2512</v>
      </c>
      <c r="C646" s="3">
        <v>41982</v>
      </c>
      <c r="D646" t="s">
        <v>50</v>
      </c>
      <c r="E646">
        <v>12</v>
      </c>
      <c r="F646" s="3">
        <f ca="1">41984+(RANDBETWEEN(1,10))</f>
        <v>41994</v>
      </c>
      <c r="G646" t="s">
        <v>156</v>
      </c>
      <c r="H646" t="s">
        <v>27</v>
      </c>
      <c r="I646" t="s">
        <v>28</v>
      </c>
      <c r="J646">
        <v>174.19499999999999</v>
      </c>
      <c r="K646">
        <v>0.1</v>
      </c>
      <c r="L646">
        <v>0.38</v>
      </c>
      <c r="M646">
        <v>5.2149999999999999</v>
      </c>
      <c r="N646">
        <v>106.483104</v>
      </c>
      <c r="O646" s="1" t="s">
        <v>87</v>
      </c>
      <c r="P646" s="1" t="s">
        <v>2518</v>
      </c>
      <c r="Q646" s="1" t="s">
        <v>2519</v>
      </c>
      <c r="R646" s="1" t="s">
        <v>646</v>
      </c>
      <c r="S646" s="1" t="s">
        <v>2520</v>
      </c>
      <c r="T646" s="1" t="s">
        <v>2521</v>
      </c>
      <c r="U646" s="2" t="s">
        <v>1763</v>
      </c>
      <c r="V646" s="2" t="s">
        <v>47</v>
      </c>
      <c r="W646" s="2" t="s">
        <v>111</v>
      </c>
      <c r="X646" s="2">
        <v>13.3</v>
      </c>
    </row>
    <row r="647" spans="1:24" x14ac:dyDescent="0.3">
      <c r="A647">
        <v>18548</v>
      </c>
      <c r="B647" t="s">
        <v>2522</v>
      </c>
      <c r="C647" s="3">
        <v>41655</v>
      </c>
      <c r="D647" t="s">
        <v>148</v>
      </c>
      <c r="E647">
        <v>8</v>
      </c>
      <c r="F647" s="3">
        <f ca="1">41656+(RANDBETWEEN(1,10))</f>
        <v>41661</v>
      </c>
      <c r="G647" t="s">
        <v>26</v>
      </c>
      <c r="H647" t="s">
        <v>96</v>
      </c>
      <c r="I647" t="s">
        <v>86</v>
      </c>
      <c r="J647">
        <v>103.11</v>
      </c>
      <c r="K647">
        <v>0</v>
      </c>
      <c r="L647">
        <v>0.56000000000000005</v>
      </c>
      <c r="M647">
        <v>17.5</v>
      </c>
      <c r="N647">
        <v>-425.53699999999998</v>
      </c>
      <c r="O647" s="1" t="s">
        <v>87</v>
      </c>
      <c r="P647" s="1" t="s">
        <v>1053</v>
      </c>
      <c r="Q647" s="1" t="s">
        <v>1054</v>
      </c>
      <c r="R647" s="1" t="s">
        <v>90</v>
      </c>
      <c r="S647" s="1" t="s">
        <v>1055</v>
      </c>
      <c r="T647" s="1" t="s">
        <v>1056</v>
      </c>
      <c r="U647" s="2" t="s">
        <v>2523</v>
      </c>
      <c r="V647" s="2" t="s">
        <v>47</v>
      </c>
      <c r="W647" s="2" t="s">
        <v>104</v>
      </c>
      <c r="X647" s="2">
        <v>11.48</v>
      </c>
    </row>
    <row r="648" spans="1:24" x14ac:dyDescent="0.3">
      <c r="A648">
        <v>18549</v>
      </c>
      <c r="B648" t="s">
        <v>2524</v>
      </c>
      <c r="C648" s="3">
        <v>40941</v>
      </c>
      <c r="D648" t="s">
        <v>62</v>
      </c>
      <c r="E648">
        <v>6</v>
      </c>
      <c r="F648" s="3">
        <f ca="1">40941+(RANDBETWEEN(1,10))</f>
        <v>40946</v>
      </c>
      <c r="G648" t="s">
        <v>26</v>
      </c>
      <c r="H648" t="s">
        <v>96</v>
      </c>
      <c r="I648" t="s">
        <v>97</v>
      </c>
      <c r="J648">
        <v>66.674999999999997</v>
      </c>
      <c r="K648">
        <v>7.0000000000000007E-2</v>
      </c>
      <c r="L648">
        <v>0.4</v>
      </c>
      <c r="M648">
        <v>4.7249999999999996</v>
      </c>
      <c r="N648">
        <v>21.49</v>
      </c>
      <c r="O648" s="1" t="s">
        <v>64</v>
      </c>
      <c r="P648" s="1" t="s">
        <v>2525</v>
      </c>
      <c r="Q648" s="1" t="s">
        <v>2526</v>
      </c>
      <c r="R648" s="1" t="s">
        <v>128</v>
      </c>
      <c r="S648" s="1" t="s">
        <v>2527</v>
      </c>
      <c r="T648" s="1" t="s">
        <v>2528</v>
      </c>
      <c r="U648" s="2" t="s">
        <v>2529</v>
      </c>
      <c r="V648" s="2" t="s">
        <v>47</v>
      </c>
      <c r="W648" s="2" t="s">
        <v>176</v>
      </c>
      <c r="X648" s="2">
        <v>11.515000000000001</v>
      </c>
    </row>
    <row r="649" spans="1:24" x14ac:dyDescent="0.3">
      <c r="A649">
        <v>18550</v>
      </c>
      <c r="B649" t="s">
        <v>2530</v>
      </c>
      <c r="C649" s="3">
        <v>41180</v>
      </c>
      <c r="D649" t="s">
        <v>25</v>
      </c>
      <c r="E649">
        <v>17</v>
      </c>
      <c r="F649" s="3">
        <f ca="1">41182+(RANDBETWEEN(1,10))</f>
        <v>41185</v>
      </c>
      <c r="G649" t="s">
        <v>156</v>
      </c>
      <c r="H649" t="s">
        <v>27</v>
      </c>
      <c r="I649" t="s">
        <v>97</v>
      </c>
      <c r="J649">
        <v>1790.25</v>
      </c>
      <c r="K649">
        <v>0.04</v>
      </c>
      <c r="L649">
        <v>0.42</v>
      </c>
      <c r="M649">
        <v>29.925000000000001</v>
      </c>
      <c r="N649">
        <v>1235.2725</v>
      </c>
      <c r="O649" s="1" t="s">
        <v>87</v>
      </c>
      <c r="P649" s="1" t="s">
        <v>2531</v>
      </c>
      <c r="Q649" s="1" t="s">
        <v>2532</v>
      </c>
      <c r="R649" s="1" t="s">
        <v>90</v>
      </c>
      <c r="S649" s="1" t="s">
        <v>2533</v>
      </c>
      <c r="T649" s="1" t="s">
        <v>2534</v>
      </c>
      <c r="U649" s="2" t="s">
        <v>2535</v>
      </c>
      <c r="V649" s="2" t="s">
        <v>83</v>
      </c>
      <c r="W649" s="2" t="s">
        <v>178</v>
      </c>
      <c r="X649" s="2">
        <v>102.13</v>
      </c>
    </row>
    <row r="650" spans="1:24" x14ac:dyDescent="0.3">
      <c r="A650">
        <v>18551</v>
      </c>
      <c r="B650" t="s">
        <v>2536</v>
      </c>
      <c r="C650" s="3">
        <v>40796</v>
      </c>
      <c r="D650" t="s">
        <v>50</v>
      </c>
      <c r="E650">
        <v>6</v>
      </c>
      <c r="F650" s="3">
        <f ca="1">40796+(RANDBETWEEN(1,10))</f>
        <v>40804</v>
      </c>
      <c r="G650" t="s">
        <v>26</v>
      </c>
      <c r="H650" t="s">
        <v>27</v>
      </c>
      <c r="I650" t="s">
        <v>28</v>
      </c>
      <c r="J650">
        <v>2194.64</v>
      </c>
      <c r="K650">
        <v>0</v>
      </c>
      <c r="L650">
        <v>0.56999999999999995</v>
      </c>
      <c r="M650">
        <v>8.75</v>
      </c>
      <c r="N650">
        <v>569.33100000000002</v>
      </c>
      <c r="O650" s="1" t="s">
        <v>53</v>
      </c>
      <c r="P650" s="1" t="s">
        <v>2537</v>
      </c>
      <c r="Q650" s="1" t="s">
        <v>2538</v>
      </c>
      <c r="R650" s="1" t="s">
        <v>100</v>
      </c>
      <c r="S650" s="1" t="s">
        <v>2539</v>
      </c>
      <c r="T650" s="1" t="s">
        <v>2540</v>
      </c>
      <c r="U650" s="2">
        <v>6160</v>
      </c>
      <c r="V650" s="2" t="s">
        <v>36</v>
      </c>
      <c r="W650" s="2" t="s">
        <v>37</v>
      </c>
      <c r="X650" s="2">
        <v>405.96499999999997</v>
      </c>
    </row>
    <row r="651" spans="1:24" x14ac:dyDescent="0.3">
      <c r="A651">
        <v>18552</v>
      </c>
      <c r="B651" t="s">
        <v>2536</v>
      </c>
      <c r="C651" s="3">
        <v>40796</v>
      </c>
      <c r="D651" t="s">
        <v>50</v>
      </c>
      <c r="E651">
        <v>17</v>
      </c>
      <c r="F651" s="3">
        <f ca="1">40797+(RANDBETWEEN(1,10))</f>
        <v>40805</v>
      </c>
      <c r="G651" t="s">
        <v>26</v>
      </c>
      <c r="H651" t="s">
        <v>27</v>
      </c>
      <c r="I651" t="s">
        <v>28</v>
      </c>
      <c r="J651">
        <v>385.66500000000002</v>
      </c>
      <c r="K651">
        <v>0.02</v>
      </c>
      <c r="L651">
        <v>0.36</v>
      </c>
      <c r="M651">
        <v>20.265000000000001</v>
      </c>
      <c r="N651">
        <v>-236.215</v>
      </c>
      <c r="O651" s="1" t="s">
        <v>40</v>
      </c>
      <c r="P651" s="1" t="s">
        <v>2541</v>
      </c>
      <c r="Q651" s="1" t="s">
        <v>2542</v>
      </c>
      <c r="R651" s="1" t="s">
        <v>43</v>
      </c>
      <c r="S651" s="1" t="s">
        <v>2543</v>
      </c>
      <c r="T651" s="1" t="s">
        <v>2544</v>
      </c>
      <c r="U651" s="2" t="s">
        <v>2545</v>
      </c>
      <c r="V651" s="2" t="s">
        <v>47</v>
      </c>
      <c r="W651" s="2" t="s">
        <v>74</v>
      </c>
      <c r="X651" s="2">
        <v>20.93</v>
      </c>
    </row>
    <row r="652" spans="1:24" x14ac:dyDescent="0.3">
      <c r="A652">
        <v>18553</v>
      </c>
      <c r="B652" t="s">
        <v>2546</v>
      </c>
      <c r="C652" s="3">
        <v>41328</v>
      </c>
      <c r="D652" t="s">
        <v>148</v>
      </c>
      <c r="E652">
        <v>8</v>
      </c>
      <c r="F652" s="3">
        <f ca="1">41330+(RANDBETWEEN(1,10))</f>
        <v>41331</v>
      </c>
      <c r="G652" t="s">
        <v>26</v>
      </c>
      <c r="H652" t="s">
        <v>27</v>
      </c>
      <c r="I652" t="s">
        <v>52</v>
      </c>
      <c r="J652">
        <v>366.73</v>
      </c>
      <c r="K652">
        <v>0.01</v>
      </c>
      <c r="L652">
        <v>0.35</v>
      </c>
      <c r="M652">
        <v>5.2149999999999999</v>
      </c>
      <c r="N652">
        <v>229.23599999999999</v>
      </c>
      <c r="O652" s="1" t="s">
        <v>53</v>
      </c>
      <c r="P652" s="1" t="s">
        <v>2547</v>
      </c>
      <c r="Q652" s="1" t="s">
        <v>2548</v>
      </c>
      <c r="R652" s="1" t="s">
        <v>100</v>
      </c>
      <c r="S652" s="1" t="s">
        <v>2549</v>
      </c>
      <c r="T652" s="1" t="s">
        <v>2550</v>
      </c>
      <c r="U652" s="2" t="s">
        <v>2551</v>
      </c>
      <c r="V652" s="2" t="s">
        <v>47</v>
      </c>
      <c r="W652" s="2" t="s">
        <v>111</v>
      </c>
      <c r="X652" s="2">
        <v>45.395000000000003</v>
      </c>
    </row>
    <row r="653" spans="1:24" x14ac:dyDescent="0.3">
      <c r="A653">
        <v>18554</v>
      </c>
      <c r="B653" t="s">
        <v>2552</v>
      </c>
      <c r="C653" s="3">
        <v>41393</v>
      </c>
      <c r="D653" t="s">
        <v>148</v>
      </c>
      <c r="E653">
        <v>3</v>
      </c>
      <c r="F653" s="3">
        <f ca="1">41395+(RANDBETWEEN(1,10))</f>
        <v>41403</v>
      </c>
      <c r="G653" t="s">
        <v>26</v>
      </c>
      <c r="H653" t="s">
        <v>27</v>
      </c>
      <c r="I653" t="s">
        <v>86</v>
      </c>
      <c r="J653">
        <v>66.64</v>
      </c>
      <c r="K653">
        <v>0.04</v>
      </c>
      <c r="L653">
        <v>0.36</v>
      </c>
      <c r="M653">
        <v>18.2</v>
      </c>
      <c r="N653">
        <v>-84.105000000000004</v>
      </c>
      <c r="O653" s="1" t="s">
        <v>225</v>
      </c>
      <c r="P653" s="1" t="s">
        <v>1175</v>
      </c>
      <c r="Q653" s="1" t="s">
        <v>1176</v>
      </c>
      <c r="R653" s="1" t="s">
        <v>228</v>
      </c>
      <c r="S653" s="1" t="s">
        <v>1177</v>
      </c>
      <c r="T653" s="1" t="s">
        <v>1178</v>
      </c>
      <c r="U653" s="2" t="s">
        <v>2553</v>
      </c>
      <c r="V653" s="2" t="s">
        <v>47</v>
      </c>
      <c r="W653" s="2" t="s">
        <v>74</v>
      </c>
      <c r="X653" s="2">
        <v>20.93</v>
      </c>
    </row>
    <row r="654" spans="1:24" x14ac:dyDescent="0.3">
      <c r="A654">
        <v>18555</v>
      </c>
      <c r="B654" t="s">
        <v>2554</v>
      </c>
      <c r="C654" s="3">
        <v>40640</v>
      </c>
      <c r="D654" t="s">
        <v>148</v>
      </c>
      <c r="E654">
        <v>4</v>
      </c>
      <c r="F654" s="3">
        <f ca="1">40641+(RANDBETWEEN(1,10))</f>
        <v>40648</v>
      </c>
      <c r="G654" t="s">
        <v>156</v>
      </c>
      <c r="H654" t="s">
        <v>51</v>
      </c>
      <c r="I654" t="s">
        <v>86</v>
      </c>
      <c r="J654">
        <v>244.86</v>
      </c>
      <c r="K654">
        <v>0.06</v>
      </c>
      <c r="L654">
        <v>0.47</v>
      </c>
      <c r="M654">
        <v>31.465</v>
      </c>
      <c r="N654">
        <v>133.21</v>
      </c>
      <c r="O654" s="1" t="s">
        <v>40</v>
      </c>
      <c r="P654" s="1" t="s">
        <v>1937</v>
      </c>
      <c r="Q654" s="1" t="s">
        <v>1938</v>
      </c>
      <c r="R654" s="1" t="s">
        <v>43</v>
      </c>
      <c r="S654" s="1" t="s">
        <v>1194</v>
      </c>
      <c r="T654" s="1" t="s">
        <v>1195</v>
      </c>
      <c r="U654" s="2" t="s">
        <v>1320</v>
      </c>
      <c r="V654" s="2" t="s">
        <v>83</v>
      </c>
      <c r="W654" s="2" t="s">
        <v>178</v>
      </c>
      <c r="X654" s="2">
        <v>61.844999999999999</v>
      </c>
    </row>
    <row r="655" spans="1:24" x14ac:dyDescent="0.3">
      <c r="A655">
        <v>18556</v>
      </c>
      <c r="B655" t="s">
        <v>2555</v>
      </c>
      <c r="C655" s="3">
        <v>41054</v>
      </c>
      <c r="D655" t="s">
        <v>62</v>
      </c>
      <c r="E655">
        <v>12</v>
      </c>
      <c r="F655" s="3">
        <f ca="1">41056+(RANDBETWEEN(1,10))</f>
        <v>41059</v>
      </c>
      <c r="G655" t="s">
        <v>26</v>
      </c>
      <c r="H655" t="s">
        <v>51</v>
      </c>
      <c r="I655" t="s">
        <v>97</v>
      </c>
      <c r="J655">
        <v>331.17</v>
      </c>
      <c r="K655">
        <v>7.0000000000000007E-2</v>
      </c>
      <c r="L655">
        <v>0.74</v>
      </c>
      <c r="M655">
        <v>8.33</v>
      </c>
      <c r="N655">
        <v>-223.16</v>
      </c>
      <c r="O655" s="1" t="s">
        <v>225</v>
      </c>
      <c r="P655" s="1" t="s">
        <v>2556</v>
      </c>
      <c r="Q655" s="1" t="s">
        <v>2557</v>
      </c>
      <c r="R655" s="1" t="s">
        <v>391</v>
      </c>
      <c r="S655" s="1" t="s">
        <v>2558</v>
      </c>
      <c r="T655" s="1" t="s">
        <v>2559</v>
      </c>
      <c r="U655" s="2" t="s">
        <v>152</v>
      </c>
      <c r="V655" s="2" t="s">
        <v>36</v>
      </c>
      <c r="W655" s="2" t="s">
        <v>60</v>
      </c>
      <c r="X655" s="2">
        <v>29.12</v>
      </c>
    </row>
    <row r="656" spans="1:24" x14ac:dyDescent="0.3">
      <c r="A656">
        <v>18557</v>
      </c>
      <c r="B656" t="s">
        <v>2555</v>
      </c>
      <c r="C656" s="3">
        <v>41054</v>
      </c>
      <c r="D656" t="s">
        <v>62</v>
      </c>
      <c r="E656">
        <v>4</v>
      </c>
      <c r="F656" s="3">
        <f ca="1">41055+(RANDBETWEEN(1,10))</f>
        <v>41065</v>
      </c>
      <c r="G656" t="s">
        <v>26</v>
      </c>
      <c r="H656" t="s">
        <v>51</v>
      </c>
      <c r="I656" t="s">
        <v>97</v>
      </c>
      <c r="J656">
        <v>649.88</v>
      </c>
      <c r="K656">
        <v>0.04</v>
      </c>
      <c r="L656">
        <v>0.55000000000000004</v>
      </c>
      <c r="M656">
        <v>6.9649999999999999</v>
      </c>
      <c r="N656">
        <v>31.324999999999999</v>
      </c>
      <c r="O656" s="1" t="s">
        <v>225</v>
      </c>
      <c r="P656" s="1" t="s">
        <v>2556</v>
      </c>
      <c r="Q656" s="1" t="s">
        <v>2557</v>
      </c>
      <c r="R656" s="1" t="s">
        <v>391</v>
      </c>
      <c r="S656" s="1" t="s">
        <v>2558</v>
      </c>
      <c r="T656" s="1" t="s">
        <v>2559</v>
      </c>
      <c r="U656" s="2" t="s">
        <v>2560</v>
      </c>
      <c r="V656" s="2" t="s">
        <v>36</v>
      </c>
      <c r="W656" s="2" t="s">
        <v>60</v>
      </c>
      <c r="X656" s="2">
        <v>158.16499999999999</v>
      </c>
    </row>
    <row r="657" spans="1:24" x14ac:dyDescent="0.3">
      <c r="A657">
        <v>18558</v>
      </c>
      <c r="B657" t="s">
        <v>2555</v>
      </c>
      <c r="C657" s="3">
        <v>41054</v>
      </c>
      <c r="D657" t="s">
        <v>62</v>
      </c>
      <c r="E657">
        <v>1</v>
      </c>
      <c r="F657" s="3">
        <f ca="1">41055+(RANDBETWEEN(1,10))</f>
        <v>41056</v>
      </c>
      <c r="G657" t="s">
        <v>26</v>
      </c>
      <c r="H657" t="s">
        <v>27</v>
      </c>
      <c r="I657" t="s">
        <v>97</v>
      </c>
      <c r="J657">
        <v>30.94</v>
      </c>
      <c r="K657">
        <v>0.05</v>
      </c>
      <c r="L657">
        <v>0.37</v>
      </c>
      <c r="M657">
        <v>24.22</v>
      </c>
      <c r="N657">
        <v>-52.5</v>
      </c>
      <c r="O657" s="1" t="s">
        <v>225</v>
      </c>
      <c r="P657" s="1" t="s">
        <v>2556</v>
      </c>
      <c r="Q657" s="1" t="s">
        <v>2557</v>
      </c>
      <c r="R657" s="1" t="s">
        <v>391</v>
      </c>
      <c r="S657" s="1" t="s">
        <v>2558</v>
      </c>
      <c r="T657" s="1" t="s">
        <v>2559</v>
      </c>
      <c r="U657" s="2" t="s">
        <v>2561</v>
      </c>
      <c r="V657" s="2" t="s">
        <v>47</v>
      </c>
      <c r="W657" s="2" t="s">
        <v>74</v>
      </c>
      <c r="X657" s="2">
        <v>23.38</v>
      </c>
    </row>
    <row r="658" spans="1:24" x14ac:dyDescent="0.3">
      <c r="A658">
        <v>18559</v>
      </c>
      <c r="B658" t="s">
        <v>2555</v>
      </c>
      <c r="C658" s="3">
        <v>41054</v>
      </c>
      <c r="D658" t="s">
        <v>62</v>
      </c>
      <c r="E658">
        <v>12</v>
      </c>
      <c r="F658" s="3">
        <f ca="1">41055+(RANDBETWEEN(1,10))</f>
        <v>41060</v>
      </c>
      <c r="G658" t="s">
        <v>26</v>
      </c>
      <c r="H658" t="s">
        <v>27</v>
      </c>
      <c r="I658" t="s">
        <v>97</v>
      </c>
      <c r="J658">
        <v>6341.8950000000004</v>
      </c>
      <c r="K658">
        <v>0.02</v>
      </c>
      <c r="L658">
        <v>0.59</v>
      </c>
      <c r="M658">
        <v>17.465</v>
      </c>
      <c r="N658">
        <v>4375.9075499999999</v>
      </c>
      <c r="O658" s="1" t="s">
        <v>225</v>
      </c>
      <c r="P658" s="1" t="s">
        <v>2556</v>
      </c>
      <c r="Q658" s="1" t="s">
        <v>2557</v>
      </c>
      <c r="R658" s="1" t="s">
        <v>391</v>
      </c>
      <c r="S658" s="1" t="s">
        <v>2558</v>
      </c>
      <c r="T658" s="1" t="s">
        <v>2559</v>
      </c>
      <c r="U658" s="2">
        <v>5165</v>
      </c>
      <c r="V658" s="2" t="s">
        <v>36</v>
      </c>
      <c r="W658" s="2" t="s">
        <v>37</v>
      </c>
      <c r="X658" s="2">
        <v>615.96500000000003</v>
      </c>
    </row>
    <row r="659" spans="1:24" x14ac:dyDescent="0.3">
      <c r="A659">
        <v>18560</v>
      </c>
      <c r="B659" t="s">
        <v>2562</v>
      </c>
      <c r="C659" s="3">
        <v>41248</v>
      </c>
      <c r="D659" t="s">
        <v>50</v>
      </c>
      <c r="E659">
        <v>5</v>
      </c>
      <c r="F659" s="3">
        <f ca="1">41248+(RANDBETWEEN(1,10))</f>
        <v>41258</v>
      </c>
      <c r="G659" t="s">
        <v>26</v>
      </c>
      <c r="H659" t="s">
        <v>51</v>
      </c>
      <c r="I659" t="s">
        <v>28</v>
      </c>
      <c r="J659">
        <v>146.58000000000001</v>
      </c>
      <c r="K659">
        <v>0.01</v>
      </c>
      <c r="L659">
        <v>0.77</v>
      </c>
      <c r="M659">
        <v>9.9049999999999994</v>
      </c>
      <c r="N659">
        <v>-450.55500000000001</v>
      </c>
      <c r="O659" s="1" t="s">
        <v>87</v>
      </c>
      <c r="P659" s="1" t="s">
        <v>1697</v>
      </c>
      <c r="Q659" s="1" t="s">
        <v>1698</v>
      </c>
      <c r="R659" s="1" t="s">
        <v>90</v>
      </c>
      <c r="S659" s="1" t="s">
        <v>1699</v>
      </c>
      <c r="T659" s="1" t="s">
        <v>1700</v>
      </c>
      <c r="U659" s="2" t="s">
        <v>2563</v>
      </c>
      <c r="V659" s="2" t="s">
        <v>36</v>
      </c>
      <c r="W659" s="2" t="s">
        <v>60</v>
      </c>
      <c r="X659" s="2">
        <v>28.42</v>
      </c>
    </row>
    <row r="660" spans="1:24" x14ac:dyDescent="0.3">
      <c r="A660">
        <v>18561</v>
      </c>
      <c r="B660" t="s">
        <v>2562</v>
      </c>
      <c r="C660" s="3">
        <v>41248</v>
      </c>
      <c r="D660" t="s">
        <v>50</v>
      </c>
      <c r="E660">
        <v>19</v>
      </c>
      <c r="F660" s="3">
        <f ca="1">41250+(RANDBETWEEN(1,10))</f>
        <v>41260</v>
      </c>
      <c r="G660" t="s">
        <v>26</v>
      </c>
      <c r="H660" t="s">
        <v>27</v>
      </c>
      <c r="I660" t="s">
        <v>28</v>
      </c>
      <c r="J660">
        <v>427.98</v>
      </c>
      <c r="K660">
        <v>0.05</v>
      </c>
      <c r="L660">
        <v>0.37</v>
      </c>
      <c r="M660">
        <v>30.555</v>
      </c>
      <c r="N660">
        <v>2968.3919999999998</v>
      </c>
      <c r="O660" s="1" t="s">
        <v>87</v>
      </c>
      <c r="P660" s="1" t="s">
        <v>1697</v>
      </c>
      <c r="Q660" s="1" t="s">
        <v>1698</v>
      </c>
      <c r="R660" s="1" t="s">
        <v>90</v>
      </c>
      <c r="S660" s="1" t="s">
        <v>1699</v>
      </c>
      <c r="T660" s="1" t="s">
        <v>1700</v>
      </c>
      <c r="U660" s="2" t="s">
        <v>2564</v>
      </c>
      <c r="V660" s="2" t="s">
        <v>47</v>
      </c>
      <c r="W660" s="2" t="s">
        <v>74</v>
      </c>
      <c r="X660" s="2">
        <v>22.68</v>
      </c>
    </row>
    <row r="661" spans="1:24" x14ac:dyDescent="0.3">
      <c r="A661">
        <v>18562</v>
      </c>
      <c r="B661" t="s">
        <v>2565</v>
      </c>
      <c r="C661" s="3">
        <v>40656</v>
      </c>
      <c r="D661" t="s">
        <v>62</v>
      </c>
      <c r="E661">
        <v>1</v>
      </c>
      <c r="F661" s="3">
        <f ca="1">40656+(RANDBETWEEN(1,10))</f>
        <v>40660</v>
      </c>
      <c r="G661" t="s">
        <v>26</v>
      </c>
      <c r="H661" t="s">
        <v>27</v>
      </c>
      <c r="I661" t="s">
        <v>28</v>
      </c>
      <c r="J661">
        <v>10.744999999999999</v>
      </c>
      <c r="K661">
        <v>0.08</v>
      </c>
      <c r="L661">
        <v>0.38</v>
      </c>
      <c r="M661">
        <v>1.7150000000000001</v>
      </c>
      <c r="N661">
        <v>134.42099999999999</v>
      </c>
      <c r="O661" s="1" t="s">
        <v>225</v>
      </c>
      <c r="P661" s="1" t="s">
        <v>2490</v>
      </c>
      <c r="Q661" s="1" t="s">
        <v>2491</v>
      </c>
      <c r="R661" s="1" t="s">
        <v>228</v>
      </c>
      <c r="S661" s="1" t="s">
        <v>2492</v>
      </c>
      <c r="T661" s="1" t="s">
        <v>2493</v>
      </c>
      <c r="U661" s="2" t="s">
        <v>2566</v>
      </c>
      <c r="V661" s="2" t="s">
        <v>47</v>
      </c>
      <c r="W661" s="2" t="s">
        <v>203</v>
      </c>
      <c r="X661" s="2">
        <v>10.115</v>
      </c>
    </row>
    <row r="662" spans="1:24" x14ac:dyDescent="0.3">
      <c r="A662">
        <v>18563</v>
      </c>
      <c r="B662" t="s">
        <v>2567</v>
      </c>
      <c r="C662" s="3">
        <v>41898</v>
      </c>
      <c r="D662" t="s">
        <v>62</v>
      </c>
      <c r="E662">
        <v>21</v>
      </c>
      <c r="F662" s="3">
        <f ca="1">41900+(RANDBETWEEN(1,10))</f>
        <v>41908</v>
      </c>
      <c r="G662" t="s">
        <v>26</v>
      </c>
      <c r="H662" t="s">
        <v>63</v>
      </c>
      <c r="I662" t="s">
        <v>28</v>
      </c>
      <c r="J662">
        <v>407.68</v>
      </c>
      <c r="K662">
        <v>0.09</v>
      </c>
      <c r="L662">
        <v>0.6</v>
      </c>
      <c r="M662">
        <v>171.5</v>
      </c>
      <c r="N662">
        <v>-103.194</v>
      </c>
      <c r="O662" s="1" t="s">
        <v>64</v>
      </c>
      <c r="P662" s="1" t="s">
        <v>1215</v>
      </c>
      <c r="Q662" s="1" t="s">
        <v>1216</v>
      </c>
      <c r="R662" s="1" t="s">
        <v>67</v>
      </c>
      <c r="S662" s="1" t="s">
        <v>1217</v>
      </c>
      <c r="T662" s="1" t="s">
        <v>1218</v>
      </c>
      <c r="U662" s="2" t="s">
        <v>919</v>
      </c>
      <c r="V662" s="2" t="s">
        <v>47</v>
      </c>
      <c r="W662" s="2" t="s">
        <v>71</v>
      </c>
      <c r="X662" s="2">
        <v>15.68</v>
      </c>
    </row>
    <row r="663" spans="1:24" x14ac:dyDescent="0.3">
      <c r="A663">
        <v>18564</v>
      </c>
      <c r="B663" t="s">
        <v>2567</v>
      </c>
      <c r="C663" s="3">
        <v>41898</v>
      </c>
      <c r="D663" t="s">
        <v>62</v>
      </c>
      <c r="E663">
        <v>13</v>
      </c>
      <c r="F663" s="3">
        <f ca="1">41900+(RANDBETWEEN(1,10))</f>
        <v>41910</v>
      </c>
      <c r="G663" t="s">
        <v>156</v>
      </c>
      <c r="H663" t="s">
        <v>27</v>
      </c>
      <c r="I663" t="s">
        <v>28</v>
      </c>
      <c r="J663">
        <v>142.44999999999999</v>
      </c>
      <c r="K663">
        <v>0.04</v>
      </c>
      <c r="L663">
        <v>0.39</v>
      </c>
      <c r="M663">
        <v>1.75</v>
      </c>
      <c r="N663">
        <v>221.97</v>
      </c>
      <c r="O663" s="1" t="s">
        <v>64</v>
      </c>
      <c r="P663" s="1" t="s">
        <v>1215</v>
      </c>
      <c r="Q663" s="1" t="s">
        <v>1216</v>
      </c>
      <c r="R663" s="1" t="s">
        <v>67</v>
      </c>
      <c r="S663" s="1" t="s">
        <v>1217</v>
      </c>
      <c r="T663" s="1" t="s">
        <v>1218</v>
      </c>
      <c r="U663" s="2" t="s">
        <v>1706</v>
      </c>
      <c r="V663" s="2" t="s">
        <v>47</v>
      </c>
      <c r="W663" s="2" t="s">
        <v>203</v>
      </c>
      <c r="X663" s="2">
        <v>9.1349999999999998</v>
      </c>
    </row>
    <row r="664" spans="1:24" x14ac:dyDescent="0.3">
      <c r="A664">
        <v>18565</v>
      </c>
      <c r="B664" t="s">
        <v>2568</v>
      </c>
      <c r="C664" s="3">
        <v>41326</v>
      </c>
      <c r="D664" t="s">
        <v>25</v>
      </c>
      <c r="E664">
        <v>12</v>
      </c>
      <c r="F664" s="3">
        <f ca="1">41332+(RANDBETWEEN(1,10))</f>
        <v>41341</v>
      </c>
      <c r="G664" t="s">
        <v>156</v>
      </c>
      <c r="H664" t="s">
        <v>281</v>
      </c>
      <c r="I664" t="s">
        <v>52</v>
      </c>
      <c r="J664">
        <v>1196.895</v>
      </c>
      <c r="K664">
        <v>0.04</v>
      </c>
      <c r="L664">
        <v>0.57999999999999996</v>
      </c>
      <c r="M664">
        <v>48.965000000000003</v>
      </c>
      <c r="N664">
        <v>-483.07</v>
      </c>
      <c r="O664" s="1" t="s">
        <v>225</v>
      </c>
      <c r="P664" s="1" t="s">
        <v>2569</v>
      </c>
      <c r="Q664" s="1" t="s">
        <v>2570</v>
      </c>
      <c r="R664" s="1" t="s">
        <v>228</v>
      </c>
      <c r="S664" s="1" t="s">
        <v>2571</v>
      </c>
      <c r="T664" s="1" t="s">
        <v>2572</v>
      </c>
      <c r="U664" s="2" t="s">
        <v>2573</v>
      </c>
      <c r="V664" s="2" t="s">
        <v>47</v>
      </c>
      <c r="W664" s="2" t="s">
        <v>119</v>
      </c>
      <c r="X664" s="2">
        <v>98.98</v>
      </c>
    </row>
    <row r="665" spans="1:24" x14ac:dyDescent="0.3">
      <c r="A665">
        <v>18566</v>
      </c>
      <c r="B665" t="s">
        <v>2574</v>
      </c>
      <c r="C665" s="3">
        <v>40820</v>
      </c>
      <c r="D665" t="s">
        <v>50</v>
      </c>
      <c r="E665">
        <v>9</v>
      </c>
      <c r="F665" s="3">
        <f ca="1">40822+(RANDBETWEEN(1,10))</f>
        <v>40823</v>
      </c>
      <c r="G665" t="s">
        <v>26</v>
      </c>
      <c r="H665" t="s">
        <v>63</v>
      </c>
      <c r="I665" t="s">
        <v>86</v>
      </c>
      <c r="J665">
        <v>1963.71</v>
      </c>
      <c r="K665">
        <v>0.02</v>
      </c>
      <c r="L665">
        <v>0.59</v>
      </c>
      <c r="M665">
        <v>171.5</v>
      </c>
      <c r="N665">
        <v>-2086.9380000000001</v>
      </c>
      <c r="O665" s="1" t="s">
        <v>87</v>
      </c>
      <c r="P665" s="1" t="s">
        <v>2575</v>
      </c>
      <c r="Q665" s="1" t="s">
        <v>2576</v>
      </c>
      <c r="R665" s="1" t="s">
        <v>398</v>
      </c>
      <c r="S665" s="1" t="s">
        <v>2577</v>
      </c>
      <c r="T665" s="1" t="s">
        <v>2578</v>
      </c>
      <c r="U665" s="2" t="s">
        <v>1546</v>
      </c>
      <c r="V665" s="2" t="s">
        <v>47</v>
      </c>
      <c r="W665" s="2" t="s">
        <v>71</v>
      </c>
      <c r="X665" s="2">
        <v>213.43</v>
      </c>
    </row>
    <row r="666" spans="1:24" x14ac:dyDescent="0.3">
      <c r="A666">
        <v>18567</v>
      </c>
      <c r="B666" t="s">
        <v>2574</v>
      </c>
      <c r="C666" s="3">
        <v>40820</v>
      </c>
      <c r="D666" t="s">
        <v>50</v>
      </c>
      <c r="E666">
        <v>9</v>
      </c>
      <c r="F666" s="3">
        <f ca="1">40822+(RANDBETWEEN(1,10))</f>
        <v>40832</v>
      </c>
      <c r="G666" t="s">
        <v>26</v>
      </c>
      <c r="H666" t="s">
        <v>27</v>
      </c>
      <c r="I666" t="s">
        <v>86</v>
      </c>
      <c r="J666">
        <v>40020.154999999999</v>
      </c>
      <c r="K666">
        <v>0.02</v>
      </c>
      <c r="L666">
        <v>0.35</v>
      </c>
      <c r="M666">
        <v>69.965000000000003</v>
      </c>
      <c r="N666">
        <v>27613.906950000001</v>
      </c>
      <c r="O666" s="1" t="s">
        <v>87</v>
      </c>
      <c r="P666" s="1" t="s">
        <v>2575</v>
      </c>
      <c r="Q666" s="1" t="s">
        <v>2576</v>
      </c>
      <c r="R666" s="1" t="s">
        <v>398</v>
      </c>
      <c r="S666" s="1" t="s">
        <v>2577</v>
      </c>
      <c r="T666" s="1" t="s">
        <v>2578</v>
      </c>
      <c r="U666" s="2" t="s">
        <v>2579</v>
      </c>
      <c r="V666" s="2" t="s">
        <v>47</v>
      </c>
      <c r="W666" s="2" t="s">
        <v>111</v>
      </c>
      <c r="X666" s="2">
        <v>4448.4650000000001</v>
      </c>
    </row>
    <row r="667" spans="1:24" x14ac:dyDescent="0.3">
      <c r="A667">
        <v>18568</v>
      </c>
      <c r="B667" t="s">
        <v>2574</v>
      </c>
      <c r="C667" s="3">
        <v>40820</v>
      </c>
      <c r="D667" t="s">
        <v>50</v>
      </c>
      <c r="E667">
        <v>19</v>
      </c>
      <c r="F667" s="3">
        <f ca="1">40822+(RANDBETWEEN(1,10))</f>
        <v>40832</v>
      </c>
      <c r="G667" t="s">
        <v>156</v>
      </c>
      <c r="H667" t="s">
        <v>27</v>
      </c>
      <c r="I667" t="s">
        <v>86</v>
      </c>
      <c r="J667">
        <v>11302.34</v>
      </c>
      <c r="K667">
        <v>0.05</v>
      </c>
      <c r="L667">
        <v>0.6</v>
      </c>
      <c r="M667">
        <v>31.465</v>
      </c>
      <c r="N667">
        <v>5410.3341600000003</v>
      </c>
      <c r="O667" s="1" t="s">
        <v>87</v>
      </c>
      <c r="P667" s="1" t="s">
        <v>2575</v>
      </c>
      <c r="Q667" s="1" t="s">
        <v>2576</v>
      </c>
      <c r="R667" s="1" t="s">
        <v>398</v>
      </c>
      <c r="S667" s="1" t="s">
        <v>2577</v>
      </c>
      <c r="T667" s="1" t="s">
        <v>2578</v>
      </c>
      <c r="U667" s="2" t="s">
        <v>2580</v>
      </c>
      <c r="V667" s="2" t="s">
        <v>36</v>
      </c>
      <c r="W667" s="2" t="s">
        <v>37</v>
      </c>
      <c r="X667" s="2">
        <v>720.96500000000003</v>
      </c>
    </row>
    <row r="668" spans="1:24" x14ac:dyDescent="0.3">
      <c r="A668">
        <v>18569</v>
      </c>
      <c r="B668" t="s">
        <v>2581</v>
      </c>
      <c r="C668" s="3">
        <v>41754</v>
      </c>
      <c r="D668" t="s">
        <v>62</v>
      </c>
      <c r="E668">
        <v>2</v>
      </c>
      <c r="F668" s="3">
        <f ca="1">41754+(RANDBETWEEN(1,10))</f>
        <v>41763</v>
      </c>
      <c r="G668" t="s">
        <v>26</v>
      </c>
      <c r="H668" t="s">
        <v>27</v>
      </c>
      <c r="I668" t="s">
        <v>52</v>
      </c>
      <c r="J668">
        <v>2383.3249999999998</v>
      </c>
      <c r="K668">
        <v>0.09</v>
      </c>
      <c r="L668">
        <v>0.56999999999999995</v>
      </c>
      <c r="M668">
        <v>69.965000000000003</v>
      </c>
      <c r="N668">
        <v>1030.365</v>
      </c>
      <c r="O668" s="1" t="s">
        <v>29</v>
      </c>
      <c r="P668" s="1" t="s">
        <v>2582</v>
      </c>
      <c r="Q668" s="1" t="s">
        <v>2583</v>
      </c>
      <c r="R668" s="1" t="s">
        <v>32</v>
      </c>
      <c r="S668" s="1" t="s">
        <v>2584</v>
      </c>
      <c r="T668" s="1" t="s">
        <v>2585</v>
      </c>
      <c r="U668" s="2" t="s">
        <v>572</v>
      </c>
      <c r="V668" s="2" t="s">
        <v>47</v>
      </c>
      <c r="W668" s="2" t="s">
        <v>71</v>
      </c>
      <c r="X668" s="2">
        <v>1271.375</v>
      </c>
    </row>
    <row r="669" spans="1:24" x14ac:dyDescent="0.3">
      <c r="A669">
        <v>18570</v>
      </c>
      <c r="B669" t="s">
        <v>2581</v>
      </c>
      <c r="C669" s="3">
        <v>41754</v>
      </c>
      <c r="D669" t="s">
        <v>62</v>
      </c>
      <c r="E669">
        <v>6</v>
      </c>
      <c r="F669" s="3">
        <f ca="1">41756+(RANDBETWEEN(1,10))</f>
        <v>41760</v>
      </c>
      <c r="G669" t="s">
        <v>26</v>
      </c>
      <c r="H669" t="s">
        <v>27</v>
      </c>
      <c r="I669" t="s">
        <v>52</v>
      </c>
      <c r="J669">
        <v>454.09</v>
      </c>
      <c r="K669">
        <v>0.02</v>
      </c>
      <c r="L669">
        <v>0.49</v>
      </c>
      <c r="M669">
        <v>36.715000000000003</v>
      </c>
      <c r="N669">
        <v>-36.4</v>
      </c>
      <c r="O669" s="1" t="s">
        <v>29</v>
      </c>
      <c r="P669" s="1" t="s">
        <v>2582</v>
      </c>
      <c r="Q669" s="1" t="s">
        <v>2583</v>
      </c>
      <c r="R669" s="1" t="s">
        <v>32</v>
      </c>
      <c r="S669" s="1" t="s">
        <v>2584</v>
      </c>
      <c r="T669" s="1" t="s">
        <v>2585</v>
      </c>
      <c r="U669" s="2" t="s">
        <v>2586</v>
      </c>
      <c r="V669" s="2" t="s">
        <v>83</v>
      </c>
      <c r="W669" s="2" t="s">
        <v>178</v>
      </c>
      <c r="X669" s="2">
        <v>69.930000000000007</v>
      </c>
    </row>
    <row r="670" spans="1:24" x14ac:dyDescent="0.3">
      <c r="A670">
        <v>18571</v>
      </c>
      <c r="B670" t="s">
        <v>2581</v>
      </c>
      <c r="C670" s="3">
        <v>41754</v>
      </c>
      <c r="D670" t="s">
        <v>62</v>
      </c>
      <c r="E670">
        <v>4</v>
      </c>
      <c r="F670" s="3">
        <f ca="1">41755+(RANDBETWEEN(1,10))</f>
        <v>41764</v>
      </c>
      <c r="G670" t="s">
        <v>26</v>
      </c>
      <c r="H670" t="s">
        <v>96</v>
      </c>
      <c r="I670" t="s">
        <v>52</v>
      </c>
      <c r="J670">
        <v>115.64</v>
      </c>
      <c r="K670">
        <v>0.09</v>
      </c>
      <c r="L670">
        <v>0.43</v>
      </c>
      <c r="M670">
        <v>3.36</v>
      </c>
      <c r="N670">
        <v>79.791600000000003</v>
      </c>
      <c r="O670" s="1" t="s">
        <v>29</v>
      </c>
      <c r="P670" s="1" t="s">
        <v>2582</v>
      </c>
      <c r="Q670" s="1" t="s">
        <v>2583</v>
      </c>
      <c r="R670" s="1" t="s">
        <v>32</v>
      </c>
      <c r="S670" s="1" t="s">
        <v>2584</v>
      </c>
      <c r="T670" s="1" t="s">
        <v>2585</v>
      </c>
      <c r="U670" s="2" t="s">
        <v>2587</v>
      </c>
      <c r="V670" s="2" t="s">
        <v>83</v>
      </c>
      <c r="W670" s="2" t="s">
        <v>178</v>
      </c>
      <c r="X670" s="2">
        <v>29.19</v>
      </c>
    </row>
    <row r="671" spans="1:24" x14ac:dyDescent="0.3">
      <c r="A671">
        <v>18572</v>
      </c>
      <c r="B671" t="s">
        <v>2588</v>
      </c>
      <c r="C671" s="3">
        <v>41049</v>
      </c>
      <c r="D671" t="s">
        <v>25</v>
      </c>
      <c r="E671">
        <v>5</v>
      </c>
      <c r="F671" s="3">
        <f ca="1">41049+(RANDBETWEEN(1,10))</f>
        <v>41059</v>
      </c>
      <c r="G671" t="s">
        <v>156</v>
      </c>
      <c r="H671" t="s">
        <v>27</v>
      </c>
      <c r="I671" t="s">
        <v>28</v>
      </c>
      <c r="J671">
        <v>875.56</v>
      </c>
      <c r="K671">
        <v>0.02</v>
      </c>
      <c r="L671">
        <v>0.37</v>
      </c>
      <c r="M671">
        <v>25.305</v>
      </c>
      <c r="N671">
        <v>604.13639999999998</v>
      </c>
      <c r="O671" s="1" t="s">
        <v>29</v>
      </c>
      <c r="P671" s="1" t="s">
        <v>2589</v>
      </c>
      <c r="Q671" s="1" t="s">
        <v>2590</v>
      </c>
      <c r="R671" s="1" t="s">
        <v>460</v>
      </c>
      <c r="S671" s="1" t="s">
        <v>2591</v>
      </c>
      <c r="T671" s="1" t="s">
        <v>2592</v>
      </c>
      <c r="U671" s="2" t="s">
        <v>2593</v>
      </c>
      <c r="V671" s="2" t="s">
        <v>47</v>
      </c>
      <c r="W671" s="2" t="s">
        <v>74</v>
      </c>
      <c r="X671" s="2">
        <v>168.14</v>
      </c>
    </row>
    <row r="672" spans="1:24" x14ac:dyDescent="0.3">
      <c r="A672">
        <v>18573</v>
      </c>
      <c r="B672" t="s">
        <v>2594</v>
      </c>
      <c r="C672" s="3">
        <v>41263</v>
      </c>
      <c r="D672" t="s">
        <v>50</v>
      </c>
      <c r="E672">
        <v>19</v>
      </c>
      <c r="F672" s="3">
        <f ca="1">41264+(RANDBETWEEN(1,10))</f>
        <v>41274</v>
      </c>
      <c r="G672" t="s">
        <v>76</v>
      </c>
      <c r="H672" t="s">
        <v>77</v>
      </c>
      <c r="I672" t="s">
        <v>52</v>
      </c>
      <c r="J672">
        <v>4018.3150000000001</v>
      </c>
      <c r="K672">
        <v>0.03</v>
      </c>
      <c r="L672">
        <v>0.56000000000000005</v>
      </c>
      <c r="M672">
        <v>113.435</v>
      </c>
      <c r="N672">
        <v>-660.1875</v>
      </c>
      <c r="O672" s="1" t="s">
        <v>40</v>
      </c>
      <c r="P672" s="1" t="s">
        <v>2595</v>
      </c>
      <c r="Q672" s="1" t="s">
        <v>2596</v>
      </c>
      <c r="R672" s="1" t="s">
        <v>220</v>
      </c>
      <c r="S672" s="1" t="s">
        <v>2425</v>
      </c>
      <c r="T672" s="1" t="s">
        <v>2426</v>
      </c>
      <c r="U672" s="2" t="s">
        <v>1410</v>
      </c>
      <c r="V672" s="2" t="s">
        <v>83</v>
      </c>
      <c r="W672" s="2" t="s">
        <v>84</v>
      </c>
      <c r="X672" s="2">
        <v>213.11500000000001</v>
      </c>
    </row>
    <row r="673" spans="1:24" x14ac:dyDescent="0.3">
      <c r="A673">
        <v>18574</v>
      </c>
      <c r="B673" t="s">
        <v>2597</v>
      </c>
      <c r="C673" s="3">
        <v>41869</v>
      </c>
      <c r="D673" t="s">
        <v>148</v>
      </c>
      <c r="E673">
        <v>18</v>
      </c>
      <c r="F673" s="3">
        <f ca="1">41869+(RANDBETWEEN(1,10))</f>
        <v>41874</v>
      </c>
      <c r="G673" t="s">
        <v>26</v>
      </c>
      <c r="H673" t="s">
        <v>63</v>
      </c>
      <c r="I673" t="s">
        <v>86</v>
      </c>
      <c r="J673">
        <v>381.71</v>
      </c>
      <c r="K673">
        <v>0.02</v>
      </c>
      <c r="L673">
        <v>0.6</v>
      </c>
      <c r="M673">
        <v>171.5</v>
      </c>
      <c r="N673">
        <v>-2437.6925999999999</v>
      </c>
      <c r="O673" s="1" t="s">
        <v>40</v>
      </c>
      <c r="P673" s="1" t="s">
        <v>1987</v>
      </c>
      <c r="Q673" s="1" t="s">
        <v>1988</v>
      </c>
      <c r="R673" s="1" t="s">
        <v>43</v>
      </c>
      <c r="S673" s="1" t="s">
        <v>1989</v>
      </c>
      <c r="T673" s="1" t="s">
        <v>1990</v>
      </c>
      <c r="U673" s="2" t="s">
        <v>919</v>
      </c>
      <c r="V673" s="2" t="s">
        <v>47</v>
      </c>
      <c r="W673" s="2" t="s">
        <v>71</v>
      </c>
      <c r="X673" s="2">
        <v>15.68</v>
      </c>
    </row>
    <row r="674" spans="1:24" x14ac:dyDescent="0.3">
      <c r="A674">
        <v>18575</v>
      </c>
      <c r="B674" t="s">
        <v>2597</v>
      </c>
      <c r="C674" s="3">
        <v>41869</v>
      </c>
      <c r="D674" t="s">
        <v>148</v>
      </c>
      <c r="E674">
        <v>17</v>
      </c>
      <c r="F674" s="3">
        <f ca="1">41871+(RANDBETWEEN(1,10))</f>
        <v>41873</v>
      </c>
      <c r="G674" t="s">
        <v>26</v>
      </c>
      <c r="H674" t="s">
        <v>27</v>
      </c>
      <c r="I674" t="s">
        <v>86</v>
      </c>
      <c r="J674">
        <v>1277.22</v>
      </c>
      <c r="K674">
        <v>7.0000000000000007E-2</v>
      </c>
      <c r="L674">
        <v>0.38</v>
      </c>
      <c r="M674">
        <v>52.85</v>
      </c>
      <c r="N674">
        <v>-200.49136799999999</v>
      </c>
      <c r="O674" s="1" t="s">
        <v>29</v>
      </c>
      <c r="P674" s="1" t="s">
        <v>2598</v>
      </c>
      <c r="Q674" s="1" t="s">
        <v>2599</v>
      </c>
      <c r="R674" s="1" t="s">
        <v>460</v>
      </c>
      <c r="S674" s="1" t="s">
        <v>2600</v>
      </c>
      <c r="T674" s="1" t="s">
        <v>2601</v>
      </c>
      <c r="U674" s="2" t="s">
        <v>2602</v>
      </c>
      <c r="V674" s="2" t="s">
        <v>47</v>
      </c>
      <c r="W674" s="2" t="s">
        <v>111</v>
      </c>
      <c r="X674" s="2">
        <v>78.33</v>
      </c>
    </row>
    <row r="675" spans="1:24" x14ac:dyDescent="0.3">
      <c r="A675">
        <v>18576</v>
      </c>
      <c r="B675" t="s">
        <v>2597</v>
      </c>
      <c r="C675" s="3">
        <v>41869</v>
      </c>
      <c r="D675" t="s">
        <v>148</v>
      </c>
      <c r="E675">
        <v>18</v>
      </c>
      <c r="F675" s="3">
        <f ca="1">41870+(RANDBETWEEN(1,10))</f>
        <v>41878</v>
      </c>
      <c r="G675" t="s">
        <v>156</v>
      </c>
      <c r="H675" t="s">
        <v>27</v>
      </c>
      <c r="I675" t="s">
        <v>86</v>
      </c>
      <c r="J675">
        <v>1895.6</v>
      </c>
      <c r="K675">
        <v>0.03</v>
      </c>
      <c r="L675">
        <v>0.51</v>
      </c>
      <c r="M675">
        <v>19.25</v>
      </c>
      <c r="N675">
        <v>1183.7887599999999</v>
      </c>
      <c r="O675" s="1" t="s">
        <v>29</v>
      </c>
      <c r="P675" s="1" t="s">
        <v>2598</v>
      </c>
      <c r="Q675" s="1" t="s">
        <v>2599</v>
      </c>
      <c r="R675" s="1" t="s">
        <v>460</v>
      </c>
      <c r="S675" s="1" t="s">
        <v>2600</v>
      </c>
      <c r="T675" s="1" t="s">
        <v>2601</v>
      </c>
      <c r="U675" s="2" t="s">
        <v>2603</v>
      </c>
      <c r="V675" s="2" t="s">
        <v>36</v>
      </c>
      <c r="W675" s="2" t="s">
        <v>60</v>
      </c>
      <c r="X675" s="2">
        <v>104.965</v>
      </c>
    </row>
    <row r="676" spans="1:24" x14ac:dyDescent="0.3">
      <c r="A676">
        <v>18577</v>
      </c>
      <c r="B676" t="s">
        <v>2604</v>
      </c>
      <c r="C676" s="3">
        <v>40976</v>
      </c>
      <c r="D676" t="s">
        <v>148</v>
      </c>
      <c r="E676">
        <v>2</v>
      </c>
      <c r="F676" s="3">
        <f ca="1">40976+(RANDBETWEEN(1,10))</f>
        <v>40984</v>
      </c>
      <c r="G676" t="s">
        <v>26</v>
      </c>
      <c r="H676" t="s">
        <v>27</v>
      </c>
      <c r="I676" t="s">
        <v>28</v>
      </c>
      <c r="J676">
        <v>717.745</v>
      </c>
      <c r="K676">
        <v>0</v>
      </c>
      <c r="L676">
        <v>0.56999999999999995</v>
      </c>
      <c r="M676">
        <v>8.75</v>
      </c>
      <c r="N676">
        <v>-630.70699999999999</v>
      </c>
      <c r="O676" s="1" t="s">
        <v>40</v>
      </c>
      <c r="P676" s="1" t="s">
        <v>2605</v>
      </c>
      <c r="Q676" s="1" t="s">
        <v>2606</v>
      </c>
      <c r="R676" s="1" t="s">
        <v>220</v>
      </c>
      <c r="S676" s="1" t="s">
        <v>2607</v>
      </c>
      <c r="T676" s="1" t="s">
        <v>2608</v>
      </c>
      <c r="U676" s="2">
        <v>6160</v>
      </c>
      <c r="V676" s="2" t="s">
        <v>36</v>
      </c>
      <c r="W676" s="2" t="s">
        <v>37</v>
      </c>
      <c r="X676" s="2">
        <v>405.96499999999997</v>
      </c>
    </row>
    <row r="677" spans="1:24" x14ac:dyDescent="0.3">
      <c r="A677">
        <v>18578</v>
      </c>
      <c r="B677" t="s">
        <v>2609</v>
      </c>
      <c r="C677" s="3">
        <v>41349</v>
      </c>
      <c r="D677" t="s">
        <v>50</v>
      </c>
      <c r="E677">
        <v>7</v>
      </c>
      <c r="F677" s="3">
        <f ca="1">41349+(RANDBETWEEN(1,10))</f>
        <v>41351</v>
      </c>
      <c r="G677" t="s">
        <v>26</v>
      </c>
      <c r="H677" t="s">
        <v>27</v>
      </c>
      <c r="I677" t="s">
        <v>86</v>
      </c>
      <c r="J677">
        <v>378.45499999999998</v>
      </c>
      <c r="K677">
        <v>0.1</v>
      </c>
      <c r="L677">
        <v>0.6</v>
      </c>
      <c r="M677">
        <v>39.375</v>
      </c>
      <c r="N677">
        <v>-548.66</v>
      </c>
      <c r="O677" s="1" t="s">
        <v>29</v>
      </c>
      <c r="P677" s="1" t="s">
        <v>1883</v>
      </c>
      <c r="Q677" s="1" t="s">
        <v>1884</v>
      </c>
      <c r="R677" s="1" t="s">
        <v>32</v>
      </c>
      <c r="S677" s="1" t="s">
        <v>1885</v>
      </c>
      <c r="T677" s="1" t="s">
        <v>1886</v>
      </c>
      <c r="U677" s="2" t="s">
        <v>742</v>
      </c>
      <c r="V677" s="2" t="s">
        <v>47</v>
      </c>
      <c r="W677" s="2" t="s">
        <v>119</v>
      </c>
      <c r="X677" s="2">
        <v>54.95</v>
      </c>
    </row>
    <row r="678" spans="1:24" x14ac:dyDescent="0.3">
      <c r="A678">
        <v>18579</v>
      </c>
      <c r="B678" t="s">
        <v>2610</v>
      </c>
      <c r="C678" s="3">
        <v>41087</v>
      </c>
      <c r="D678" t="s">
        <v>50</v>
      </c>
      <c r="E678">
        <v>4</v>
      </c>
      <c r="F678" s="3">
        <f ca="1">41088+(RANDBETWEEN(1,10))</f>
        <v>41092</v>
      </c>
      <c r="G678" t="s">
        <v>26</v>
      </c>
      <c r="H678" t="s">
        <v>51</v>
      </c>
      <c r="I678" t="s">
        <v>86</v>
      </c>
      <c r="J678">
        <v>286.54500000000002</v>
      </c>
      <c r="K678">
        <v>0.08</v>
      </c>
      <c r="L678">
        <v>0.57999999999999996</v>
      </c>
      <c r="M678">
        <v>31.465</v>
      </c>
      <c r="N678">
        <v>-119.30800000000001</v>
      </c>
      <c r="O678" s="1" t="s">
        <v>53</v>
      </c>
      <c r="P678" s="1" t="s">
        <v>2611</v>
      </c>
      <c r="Q678" s="1" t="s">
        <v>2612</v>
      </c>
      <c r="R678" s="1" t="s">
        <v>56</v>
      </c>
      <c r="S678" s="1" t="s">
        <v>2613</v>
      </c>
      <c r="T678" s="1" t="s">
        <v>2614</v>
      </c>
      <c r="U678" s="2" t="s">
        <v>2615</v>
      </c>
      <c r="V678" s="2" t="s">
        <v>47</v>
      </c>
      <c r="W678" s="2" t="s">
        <v>104</v>
      </c>
      <c r="X678" s="2">
        <v>70.525000000000006</v>
      </c>
    </row>
    <row r="679" spans="1:24" x14ac:dyDescent="0.3">
      <c r="A679">
        <v>18580</v>
      </c>
      <c r="B679" t="s">
        <v>2610</v>
      </c>
      <c r="C679" s="3">
        <v>41087</v>
      </c>
      <c r="D679" t="s">
        <v>50</v>
      </c>
      <c r="E679">
        <v>8</v>
      </c>
      <c r="F679" s="3">
        <f ca="1">41088+(RANDBETWEEN(1,10))</f>
        <v>41089</v>
      </c>
      <c r="G679" t="s">
        <v>26</v>
      </c>
      <c r="H679" t="s">
        <v>96</v>
      </c>
      <c r="I679" t="s">
        <v>86</v>
      </c>
      <c r="J679">
        <v>1985.165</v>
      </c>
      <c r="K679">
        <v>0.03</v>
      </c>
      <c r="L679">
        <v>0.85</v>
      </c>
      <c r="M679">
        <v>3.4649999999999999</v>
      </c>
      <c r="N679">
        <v>-692.10680000000002</v>
      </c>
      <c r="O679" s="1" t="s">
        <v>53</v>
      </c>
      <c r="P679" s="1" t="s">
        <v>2616</v>
      </c>
      <c r="Q679" s="1" t="s">
        <v>2617</v>
      </c>
      <c r="R679" s="1" t="s">
        <v>100</v>
      </c>
      <c r="S679" s="1" t="s">
        <v>2618</v>
      </c>
      <c r="T679" s="1" t="s">
        <v>2619</v>
      </c>
      <c r="U679" s="2" t="s">
        <v>678</v>
      </c>
      <c r="V679" s="2" t="s">
        <v>36</v>
      </c>
      <c r="W679" s="2" t="s">
        <v>37</v>
      </c>
      <c r="X679" s="2">
        <v>300.96499999999997</v>
      </c>
    </row>
    <row r="680" spans="1:24" x14ac:dyDescent="0.3">
      <c r="A680">
        <v>18581</v>
      </c>
      <c r="B680" t="s">
        <v>2620</v>
      </c>
      <c r="C680" s="3">
        <v>41724</v>
      </c>
      <c r="D680" t="s">
        <v>148</v>
      </c>
      <c r="E680">
        <v>10</v>
      </c>
      <c r="F680" s="3">
        <f ca="1">41726+(RANDBETWEEN(1,10))</f>
        <v>41730</v>
      </c>
      <c r="G680" t="s">
        <v>26</v>
      </c>
      <c r="H680" t="s">
        <v>51</v>
      </c>
      <c r="I680" t="s">
        <v>97</v>
      </c>
      <c r="J680">
        <v>927.01</v>
      </c>
      <c r="K680">
        <v>7.0000000000000007E-2</v>
      </c>
      <c r="L680">
        <v>0.4</v>
      </c>
      <c r="M680">
        <v>6.9649999999999999</v>
      </c>
      <c r="N680">
        <v>8100.6030000000001</v>
      </c>
      <c r="O680" s="1" t="s">
        <v>53</v>
      </c>
      <c r="P680" s="1" t="s">
        <v>2621</v>
      </c>
      <c r="Q680" s="1" t="s">
        <v>2622</v>
      </c>
      <c r="R680" s="1" t="s">
        <v>56</v>
      </c>
      <c r="S680" s="1" t="s">
        <v>2623</v>
      </c>
      <c r="T680" s="1" t="s">
        <v>2624</v>
      </c>
      <c r="U680" s="2" t="s">
        <v>1109</v>
      </c>
      <c r="V680" s="2" t="s">
        <v>36</v>
      </c>
      <c r="W680" s="2" t="s">
        <v>60</v>
      </c>
      <c r="X680" s="2">
        <v>99.68</v>
      </c>
    </row>
    <row r="681" spans="1:24" x14ac:dyDescent="0.3">
      <c r="A681">
        <v>18582</v>
      </c>
      <c r="B681" t="s">
        <v>2620</v>
      </c>
      <c r="C681" s="3">
        <v>41724</v>
      </c>
      <c r="D681" t="s">
        <v>148</v>
      </c>
      <c r="E681">
        <v>3</v>
      </c>
      <c r="F681" s="3">
        <f ca="1">41725+(RANDBETWEEN(1,10))</f>
        <v>41729</v>
      </c>
      <c r="G681" t="s">
        <v>76</v>
      </c>
      <c r="H681" t="s">
        <v>77</v>
      </c>
      <c r="I681" t="s">
        <v>97</v>
      </c>
      <c r="J681">
        <v>262.36</v>
      </c>
      <c r="K681">
        <v>0.05</v>
      </c>
      <c r="L681">
        <v>0.61</v>
      </c>
      <c r="M681">
        <v>157.5</v>
      </c>
      <c r="N681">
        <v>3.633</v>
      </c>
      <c r="O681" s="1" t="s">
        <v>53</v>
      </c>
      <c r="P681" s="1" t="s">
        <v>2621</v>
      </c>
      <c r="Q681" s="1" t="s">
        <v>2622</v>
      </c>
      <c r="R681" s="1" t="s">
        <v>56</v>
      </c>
      <c r="S681" s="1" t="s">
        <v>2623</v>
      </c>
      <c r="T681" s="1" t="s">
        <v>2624</v>
      </c>
      <c r="U681" s="2" t="s">
        <v>2625</v>
      </c>
      <c r="V681" s="2" t="s">
        <v>47</v>
      </c>
      <c r="W681" s="2" t="s">
        <v>119</v>
      </c>
      <c r="X681" s="2">
        <v>73.430000000000007</v>
      </c>
    </row>
    <row r="682" spans="1:24" x14ac:dyDescent="0.3">
      <c r="A682">
        <v>18583</v>
      </c>
      <c r="B682" t="s">
        <v>2626</v>
      </c>
      <c r="C682" s="3">
        <v>41721</v>
      </c>
      <c r="D682" t="s">
        <v>50</v>
      </c>
      <c r="E682">
        <v>5</v>
      </c>
      <c r="F682" s="3">
        <f ca="1">41723+(RANDBETWEEN(1,10))</f>
        <v>41726</v>
      </c>
      <c r="G682" t="s">
        <v>26</v>
      </c>
      <c r="H682" t="s">
        <v>51</v>
      </c>
      <c r="I682" t="s">
        <v>28</v>
      </c>
      <c r="J682">
        <v>263.62</v>
      </c>
      <c r="K682">
        <v>0.06</v>
      </c>
      <c r="L682">
        <v>0.46</v>
      </c>
      <c r="M682">
        <v>13.055</v>
      </c>
      <c r="N682">
        <v>181.89779999999999</v>
      </c>
      <c r="O682" s="1" t="s">
        <v>87</v>
      </c>
      <c r="P682" s="1" t="s">
        <v>2627</v>
      </c>
      <c r="Q682" s="1" t="s">
        <v>2628</v>
      </c>
      <c r="R682" s="1" t="s">
        <v>398</v>
      </c>
      <c r="S682" s="1" t="s">
        <v>2629</v>
      </c>
      <c r="T682" s="1" t="s">
        <v>2630</v>
      </c>
      <c r="U682" s="2" t="s">
        <v>2063</v>
      </c>
      <c r="V682" s="2" t="s">
        <v>83</v>
      </c>
      <c r="W682" s="2" t="s">
        <v>178</v>
      </c>
      <c r="X682" s="2">
        <v>54.88</v>
      </c>
    </row>
    <row r="683" spans="1:24" x14ac:dyDescent="0.3">
      <c r="A683">
        <v>18584</v>
      </c>
      <c r="B683" t="s">
        <v>2631</v>
      </c>
      <c r="C683" s="3">
        <v>41035</v>
      </c>
      <c r="D683" t="s">
        <v>148</v>
      </c>
      <c r="E683">
        <v>5</v>
      </c>
      <c r="F683" s="3">
        <f ca="1">41038+(RANDBETWEEN(1,10))</f>
        <v>41043</v>
      </c>
      <c r="G683" t="s">
        <v>26</v>
      </c>
      <c r="H683" t="s">
        <v>96</v>
      </c>
      <c r="I683" t="s">
        <v>28</v>
      </c>
      <c r="J683">
        <v>79.415000000000006</v>
      </c>
      <c r="K683">
        <v>0.1</v>
      </c>
      <c r="L683">
        <v>0.52</v>
      </c>
      <c r="M683">
        <v>2.4849999999999999</v>
      </c>
      <c r="N683">
        <v>30.31</v>
      </c>
      <c r="O683" s="1" t="s">
        <v>87</v>
      </c>
      <c r="P683" s="1" t="s">
        <v>2632</v>
      </c>
      <c r="Q683" s="1" t="s">
        <v>2633</v>
      </c>
      <c r="R683" s="1" t="s">
        <v>398</v>
      </c>
      <c r="S683" s="1" t="s">
        <v>2634</v>
      </c>
      <c r="T683" s="1" t="s">
        <v>2635</v>
      </c>
      <c r="U683" s="2" t="s">
        <v>2636</v>
      </c>
      <c r="V683" s="2" t="s">
        <v>47</v>
      </c>
      <c r="W683" s="2" t="s">
        <v>104</v>
      </c>
      <c r="X683" s="2">
        <v>16.940000000000001</v>
      </c>
    </row>
    <row r="684" spans="1:24" x14ac:dyDescent="0.3">
      <c r="A684">
        <v>18585</v>
      </c>
      <c r="B684" t="s">
        <v>2631</v>
      </c>
      <c r="C684" s="3">
        <v>41035</v>
      </c>
      <c r="D684" t="s">
        <v>148</v>
      </c>
      <c r="E684">
        <v>16</v>
      </c>
      <c r="F684" s="3">
        <f ca="1">41036+(RANDBETWEEN(1,10))</f>
        <v>41038</v>
      </c>
      <c r="G684" t="s">
        <v>26</v>
      </c>
      <c r="H684" t="s">
        <v>51</v>
      </c>
      <c r="I684" t="s">
        <v>28</v>
      </c>
      <c r="J684">
        <v>1924.6849999999999</v>
      </c>
      <c r="K684">
        <v>0.05</v>
      </c>
      <c r="L684">
        <v>0.56000000000000005</v>
      </c>
      <c r="M684">
        <v>31.465</v>
      </c>
      <c r="N684">
        <v>684.18</v>
      </c>
      <c r="O684" s="1" t="s">
        <v>87</v>
      </c>
      <c r="P684" s="1" t="s">
        <v>2632</v>
      </c>
      <c r="Q684" s="1" t="s">
        <v>2633</v>
      </c>
      <c r="R684" s="1" t="s">
        <v>398</v>
      </c>
      <c r="S684" s="1" t="s">
        <v>2634</v>
      </c>
      <c r="T684" s="1" t="s">
        <v>2635</v>
      </c>
      <c r="U684" s="2" t="s">
        <v>741</v>
      </c>
      <c r="V684" s="2" t="s">
        <v>47</v>
      </c>
      <c r="W684" s="2" t="s">
        <v>104</v>
      </c>
      <c r="X684" s="2">
        <v>121.03</v>
      </c>
    </row>
    <row r="685" spans="1:24" x14ac:dyDescent="0.3">
      <c r="A685">
        <v>18586</v>
      </c>
      <c r="B685" t="s">
        <v>2637</v>
      </c>
      <c r="C685" s="3">
        <v>41277</v>
      </c>
      <c r="D685" t="s">
        <v>148</v>
      </c>
      <c r="E685">
        <v>11</v>
      </c>
      <c r="F685" s="3">
        <f ca="1">41278+(RANDBETWEEN(1,10))</f>
        <v>41281</v>
      </c>
      <c r="G685" t="s">
        <v>26</v>
      </c>
      <c r="H685" t="s">
        <v>96</v>
      </c>
      <c r="I685" t="s">
        <v>28</v>
      </c>
      <c r="J685">
        <v>1460.585</v>
      </c>
      <c r="K685">
        <v>0.06</v>
      </c>
      <c r="L685">
        <v>0.38</v>
      </c>
      <c r="M685">
        <v>17.78</v>
      </c>
      <c r="N685">
        <v>1007.8036499999999</v>
      </c>
      <c r="O685" s="1" t="s">
        <v>53</v>
      </c>
      <c r="P685" s="1" t="s">
        <v>1069</v>
      </c>
      <c r="Q685" s="1" t="s">
        <v>1070</v>
      </c>
      <c r="R685" s="1" t="s">
        <v>440</v>
      </c>
      <c r="S685" s="1" t="s">
        <v>1071</v>
      </c>
      <c r="T685" s="1" t="s">
        <v>1072</v>
      </c>
      <c r="U685" s="2" t="s">
        <v>2638</v>
      </c>
      <c r="V685" s="2" t="s">
        <v>47</v>
      </c>
      <c r="W685" s="2" t="s">
        <v>74</v>
      </c>
      <c r="X685" s="2">
        <v>132.79</v>
      </c>
    </row>
    <row r="686" spans="1:24" x14ac:dyDescent="0.3">
      <c r="A686">
        <v>18587</v>
      </c>
      <c r="B686" t="s">
        <v>2639</v>
      </c>
      <c r="C686" s="3">
        <v>41077</v>
      </c>
      <c r="D686" t="s">
        <v>39</v>
      </c>
      <c r="E686">
        <v>7</v>
      </c>
      <c r="F686" s="3">
        <f ca="1">41078+(RANDBETWEEN(1,10))</f>
        <v>41081</v>
      </c>
      <c r="G686" t="s">
        <v>26</v>
      </c>
      <c r="H686" t="s">
        <v>27</v>
      </c>
      <c r="I686" t="s">
        <v>28</v>
      </c>
      <c r="J686">
        <v>1413.37</v>
      </c>
      <c r="K686">
        <v>0.01</v>
      </c>
      <c r="L686">
        <v>0.56000000000000005</v>
      </c>
      <c r="M686">
        <v>46.27</v>
      </c>
      <c r="N686">
        <v>471.91199999999998</v>
      </c>
      <c r="O686" s="1" t="s">
        <v>87</v>
      </c>
      <c r="P686" s="1" t="s">
        <v>2640</v>
      </c>
      <c r="Q686" s="1" t="s">
        <v>2641</v>
      </c>
      <c r="R686" s="1" t="s">
        <v>90</v>
      </c>
      <c r="S686" s="1" t="s">
        <v>2642</v>
      </c>
      <c r="T686" s="1" t="s">
        <v>2643</v>
      </c>
      <c r="U686" s="2" t="s">
        <v>2644</v>
      </c>
      <c r="V686" s="2" t="s">
        <v>47</v>
      </c>
      <c r="W686" s="2" t="s">
        <v>71</v>
      </c>
      <c r="X686" s="2">
        <v>199.36</v>
      </c>
    </row>
    <row r="687" spans="1:24" x14ac:dyDescent="0.3">
      <c r="A687">
        <v>18588</v>
      </c>
      <c r="B687" t="s">
        <v>2639</v>
      </c>
      <c r="C687" s="3">
        <v>41077</v>
      </c>
      <c r="D687" t="s">
        <v>39</v>
      </c>
      <c r="E687">
        <v>1</v>
      </c>
      <c r="F687" s="3">
        <f ca="1">41078+(RANDBETWEEN(1,10))</f>
        <v>41079</v>
      </c>
      <c r="G687" t="s">
        <v>26</v>
      </c>
      <c r="H687" t="s">
        <v>63</v>
      </c>
      <c r="I687" t="s">
        <v>28</v>
      </c>
      <c r="J687">
        <v>1070.3699999999999</v>
      </c>
      <c r="K687">
        <v>0.05</v>
      </c>
      <c r="L687">
        <v>0.8</v>
      </c>
      <c r="M687">
        <v>122.5</v>
      </c>
      <c r="N687">
        <v>-650.27200000000005</v>
      </c>
      <c r="O687" s="1" t="s">
        <v>87</v>
      </c>
      <c r="P687" s="1" t="s">
        <v>2640</v>
      </c>
      <c r="Q687" s="1" t="s">
        <v>2641</v>
      </c>
      <c r="R687" s="1" t="s">
        <v>90</v>
      </c>
      <c r="S687" s="1" t="s">
        <v>2642</v>
      </c>
      <c r="T687" s="1" t="s">
        <v>2643</v>
      </c>
      <c r="U687" s="2" t="s">
        <v>2645</v>
      </c>
      <c r="V687" s="2" t="s">
        <v>47</v>
      </c>
      <c r="W687" s="2" t="s">
        <v>119</v>
      </c>
      <c r="X687" s="2">
        <v>978.18</v>
      </c>
    </row>
    <row r="688" spans="1:24" x14ac:dyDescent="0.3">
      <c r="A688">
        <v>18589</v>
      </c>
      <c r="B688" t="s">
        <v>2646</v>
      </c>
      <c r="C688" s="3">
        <v>41061</v>
      </c>
      <c r="D688" t="s">
        <v>25</v>
      </c>
      <c r="E688">
        <v>8</v>
      </c>
      <c r="F688" s="3">
        <f ca="1">41063+(RANDBETWEEN(1,10))</f>
        <v>41068</v>
      </c>
      <c r="G688" t="s">
        <v>26</v>
      </c>
      <c r="H688" t="s">
        <v>27</v>
      </c>
      <c r="I688" t="s">
        <v>52</v>
      </c>
      <c r="J688">
        <v>1017.485</v>
      </c>
      <c r="K688">
        <v>0.03</v>
      </c>
      <c r="L688">
        <v>0.6</v>
      </c>
      <c r="M688">
        <v>19.215</v>
      </c>
      <c r="N688">
        <v>589.38599999999997</v>
      </c>
      <c r="O688" s="1" t="s">
        <v>64</v>
      </c>
      <c r="P688" s="1" t="s">
        <v>2647</v>
      </c>
      <c r="Q688" s="1" t="s">
        <v>2648</v>
      </c>
      <c r="R688" s="1" t="s">
        <v>128</v>
      </c>
      <c r="S688" s="1" t="s">
        <v>2649</v>
      </c>
      <c r="T688" s="1" t="s">
        <v>2650</v>
      </c>
      <c r="U688" s="2" t="s">
        <v>2651</v>
      </c>
      <c r="V688" s="2" t="s">
        <v>47</v>
      </c>
      <c r="W688" s="2" t="s">
        <v>119</v>
      </c>
      <c r="X688" s="2">
        <v>121.66</v>
      </c>
    </row>
    <row r="689" spans="1:24" x14ac:dyDescent="0.3">
      <c r="A689">
        <v>18590</v>
      </c>
      <c r="B689" t="s">
        <v>2646</v>
      </c>
      <c r="C689" s="3">
        <v>41061</v>
      </c>
      <c r="D689" t="s">
        <v>25</v>
      </c>
      <c r="E689">
        <v>14</v>
      </c>
      <c r="F689" s="3">
        <f ca="1">41068+(RANDBETWEEN(1,10))</f>
        <v>41074</v>
      </c>
      <c r="G689" t="s">
        <v>76</v>
      </c>
      <c r="H689" t="s">
        <v>258</v>
      </c>
      <c r="I689" t="s">
        <v>52</v>
      </c>
      <c r="J689">
        <v>24846.92</v>
      </c>
      <c r="K689">
        <v>0</v>
      </c>
      <c r="L689">
        <v>0.66</v>
      </c>
      <c r="M689">
        <v>145.04</v>
      </c>
      <c r="N689">
        <v>17144.374800000001</v>
      </c>
      <c r="O689" s="1" t="s">
        <v>225</v>
      </c>
      <c r="P689" s="1" t="s">
        <v>2652</v>
      </c>
      <c r="Q689" s="1" t="s">
        <v>2653</v>
      </c>
      <c r="R689" s="1" t="s">
        <v>391</v>
      </c>
      <c r="S689" s="1" t="s">
        <v>2285</v>
      </c>
      <c r="T689" s="1" t="s">
        <v>2286</v>
      </c>
      <c r="U689" s="2" t="s">
        <v>2654</v>
      </c>
      <c r="V689" s="2" t="s">
        <v>83</v>
      </c>
      <c r="W689" s="2" t="s">
        <v>298</v>
      </c>
      <c r="X689" s="2">
        <v>1753.43</v>
      </c>
    </row>
    <row r="690" spans="1:24" x14ac:dyDescent="0.3">
      <c r="A690">
        <v>18591</v>
      </c>
      <c r="B690" t="s">
        <v>2655</v>
      </c>
      <c r="C690" s="3">
        <v>41226</v>
      </c>
      <c r="D690" t="s">
        <v>50</v>
      </c>
      <c r="E690">
        <v>37</v>
      </c>
      <c r="F690" s="3">
        <f ca="1">41227+(RANDBETWEEN(1,10))</f>
        <v>41237</v>
      </c>
      <c r="G690" t="s">
        <v>26</v>
      </c>
      <c r="H690" t="s">
        <v>281</v>
      </c>
      <c r="I690" t="s">
        <v>86</v>
      </c>
      <c r="J690">
        <v>9910.39</v>
      </c>
      <c r="K690">
        <v>7.0000000000000007E-2</v>
      </c>
      <c r="L690">
        <v>0.74</v>
      </c>
      <c r="M690">
        <v>168.7</v>
      </c>
      <c r="N690">
        <v>828.58299999999997</v>
      </c>
      <c r="O690" s="1" t="s">
        <v>40</v>
      </c>
      <c r="P690" s="1" t="s">
        <v>2656</v>
      </c>
      <c r="Q690" s="1" t="s">
        <v>2657</v>
      </c>
      <c r="R690" s="1" t="s">
        <v>43</v>
      </c>
      <c r="S690" s="1" t="s">
        <v>2658</v>
      </c>
      <c r="T690" s="1" t="s">
        <v>2659</v>
      </c>
      <c r="U690" s="2" t="s">
        <v>2660</v>
      </c>
      <c r="V690" s="2" t="s">
        <v>83</v>
      </c>
      <c r="W690" s="2" t="s">
        <v>178</v>
      </c>
      <c r="X690" s="2">
        <v>278.32</v>
      </c>
    </row>
    <row r="691" spans="1:24" x14ac:dyDescent="0.3">
      <c r="A691">
        <v>18592</v>
      </c>
      <c r="B691" t="s">
        <v>2655</v>
      </c>
      <c r="C691" s="3">
        <v>41226</v>
      </c>
      <c r="D691" t="s">
        <v>50</v>
      </c>
      <c r="E691">
        <v>31</v>
      </c>
      <c r="F691" s="3">
        <f ca="1">41227+(RANDBETWEEN(1,10))</f>
        <v>41228</v>
      </c>
      <c r="G691" t="s">
        <v>76</v>
      </c>
      <c r="H691" t="s">
        <v>258</v>
      </c>
      <c r="I691" t="s">
        <v>86</v>
      </c>
      <c r="J691">
        <v>16783.025000000001</v>
      </c>
      <c r="K691">
        <v>0</v>
      </c>
      <c r="L691">
        <v>0.69</v>
      </c>
      <c r="M691">
        <v>181.72</v>
      </c>
      <c r="N691">
        <v>136.4769</v>
      </c>
      <c r="O691" s="1" t="s">
        <v>40</v>
      </c>
      <c r="P691" s="1" t="s">
        <v>2656</v>
      </c>
      <c r="Q691" s="1" t="s">
        <v>2657</v>
      </c>
      <c r="R691" s="1" t="s">
        <v>43</v>
      </c>
      <c r="S691" s="1" t="s">
        <v>2658</v>
      </c>
      <c r="T691" s="1" t="s">
        <v>2659</v>
      </c>
      <c r="U691" s="2" t="s">
        <v>2661</v>
      </c>
      <c r="V691" s="2" t="s">
        <v>83</v>
      </c>
      <c r="W691" s="2" t="s">
        <v>263</v>
      </c>
      <c r="X691" s="2">
        <v>510.93</v>
      </c>
    </row>
    <row r="692" spans="1:24" x14ac:dyDescent="0.3">
      <c r="A692">
        <v>18593</v>
      </c>
      <c r="B692" t="s">
        <v>2662</v>
      </c>
      <c r="C692" s="3">
        <v>40991</v>
      </c>
      <c r="D692" t="s">
        <v>39</v>
      </c>
      <c r="E692">
        <v>7</v>
      </c>
      <c r="F692" s="3">
        <f ca="1">40992+(RANDBETWEEN(1,10))</f>
        <v>41002</v>
      </c>
      <c r="G692" t="s">
        <v>26</v>
      </c>
      <c r="H692" t="s">
        <v>27</v>
      </c>
      <c r="I692" t="s">
        <v>28</v>
      </c>
      <c r="J692">
        <v>170.66</v>
      </c>
      <c r="K692">
        <v>0</v>
      </c>
      <c r="L692">
        <v>0.37</v>
      </c>
      <c r="M692">
        <v>27.51</v>
      </c>
      <c r="N692">
        <v>-356.47500000000002</v>
      </c>
      <c r="O692" s="1" t="s">
        <v>64</v>
      </c>
      <c r="P692" s="1" t="s">
        <v>2663</v>
      </c>
      <c r="Q692" s="1" t="s">
        <v>2664</v>
      </c>
      <c r="R692" s="1" t="s">
        <v>67</v>
      </c>
      <c r="S692" s="1" t="s">
        <v>2665</v>
      </c>
      <c r="T692" s="1" t="s">
        <v>2666</v>
      </c>
      <c r="U692" s="2" t="s">
        <v>2667</v>
      </c>
      <c r="V692" s="2" t="s">
        <v>47</v>
      </c>
      <c r="W692" s="2" t="s">
        <v>74</v>
      </c>
      <c r="X692" s="2">
        <v>22.68</v>
      </c>
    </row>
    <row r="693" spans="1:24" x14ac:dyDescent="0.3">
      <c r="A693">
        <v>18594</v>
      </c>
      <c r="B693" t="s">
        <v>2668</v>
      </c>
      <c r="C693" s="3">
        <v>41918</v>
      </c>
      <c r="D693" t="s">
        <v>39</v>
      </c>
      <c r="E693">
        <v>8</v>
      </c>
      <c r="F693" s="3">
        <f ca="1">41920+(RANDBETWEEN(1,10))</f>
        <v>41930</v>
      </c>
      <c r="G693" t="s">
        <v>26</v>
      </c>
      <c r="H693" t="s">
        <v>27</v>
      </c>
      <c r="I693" t="s">
        <v>28</v>
      </c>
      <c r="J693">
        <v>207.16499999999999</v>
      </c>
      <c r="K693">
        <v>0.04</v>
      </c>
      <c r="L693">
        <v>0.39</v>
      </c>
      <c r="M693">
        <v>21.175000000000001</v>
      </c>
      <c r="N693">
        <v>-148.60300000000001</v>
      </c>
      <c r="O693" s="1" t="s">
        <v>40</v>
      </c>
      <c r="P693" s="1" t="s">
        <v>1348</v>
      </c>
      <c r="Q693" s="1" t="s">
        <v>1349</v>
      </c>
      <c r="R693" s="1" t="s">
        <v>220</v>
      </c>
      <c r="S693" s="1" t="s">
        <v>1350</v>
      </c>
      <c r="T693" s="1" t="s">
        <v>1351</v>
      </c>
      <c r="U693" s="2" t="s">
        <v>2669</v>
      </c>
      <c r="V693" s="2" t="s">
        <v>47</v>
      </c>
      <c r="W693" s="2" t="s">
        <v>111</v>
      </c>
      <c r="X693" s="2">
        <v>24.85</v>
      </c>
    </row>
    <row r="694" spans="1:24" x14ac:dyDescent="0.3">
      <c r="A694">
        <v>18595</v>
      </c>
      <c r="B694" t="s">
        <v>2670</v>
      </c>
      <c r="C694" s="3">
        <v>41771</v>
      </c>
      <c r="D694" t="s">
        <v>148</v>
      </c>
      <c r="E694">
        <v>3</v>
      </c>
      <c r="F694" s="3">
        <f ca="1">41773+(RANDBETWEEN(1,10))</f>
        <v>41776</v>
      </c>
      <c r="G694" t="s">
        <v>26</v>
      </c>
      <c r="H694" t="s">
        <v>27</v>
      </c>
      <c r="I694" t="s">
        <v>52</v>
      </c>
      <c r="J694">
        <v>71.435000000000002</v>
      </c>
      <c r="K694">
        <v>0.08</v>
      </c>
      <c r="L694">
        <v>0.37</v>
      </c>
      <c r="M694">
        <v>23.59</v>
      </c>
      <c r="N694">
        <v>-110.705</v>
      </c>
      <c r="O694" s="1" t="s">
        <v>225</v>
      </c>
      <c r="P694" s="1" t="s">
        <v>1128</v>
      </c>
      <c r="Q694" s="1" t="s">
        <v>1129</v>
      </c>
      <c r="R694" s="1" t="s">
        <v>391</v>
      </c>
      <c r="S694" s="1" t="s">
        <v>1130</v>
      </c>
      <c r="T694" s="1" t="s">
        <v>1131</v>
      </c>
      <c r="U694" s="2" t="s">
        <v>2671</v>
      </c>
      <c r="V694" s="2" t="s">
        <v>47</v>
      </c>
      <c r="W694" s="2" t="s">
        <v>74</v>
      </c>
      <c r="X694" s="2">
        <v>22.68</v>
      </c>
    </row>
    <row r="695" spans="1:24" x14ac:dyDescent="0.3">
      <c r="A695">
        <v>18596</v>
      </c>
      <c r="B695" t="s">
        <v>2670</v>
      </c>
      <c r="C695" s="3">
        <v>41771</v>
      </c>
      <c r="D695" t="s">
        <v>148</v>
      </c>
      <c r="E695">
        <v>15</v>
      </c>
      <c r="F695" s="3">
        <f ca="1">41771+(RANDBETWEEN(1,10))</f>
        <v>41778</v>
      </c>
      <c r="G695" t="s">
        <v>156</v>
      </c>
      <c r="H695" t="s">
        <v>96</v>
      </c>
      <c r="I695" t="s">
        <v>52</v>
      </c>
      <c r="J695">
        <v>139.54499999999999</v>
      </c>
      <c r="K695">
        <v>0.1</v>
      </c>
      <c r="L695">
        <v>0.45</v>
      </c>
      <c r="M695">
        <v>4.6900000000000004</v>
      </c>
      <c r="N695">
        <v>-8.4</v>
      </c>
      <c r="O695" s="1" t="s">
        <v>225</v>
      </c>
      <c r="P695" s="1" t="s">
        <v>1128</v>
      </c>
      <c r="Q695" s="1" t="s">
        <v>1129</v>
      </c>
      <c r="R695" s="1" t="s">
        <v>391</v>
      </c>
      <c r="S695" s="1" t="s">
        <v>1130</v>
      </c>
      <c r="T695" s="1" t="s">
        <v>1131</v>
      </c>
      <c r="U695" s="2" t="s">
        <v>1227</v>
      </c>
      <c r="V695" s="2" t="s">
        <v>47</v>
      </c>
      <c r="W695" s="2" t="s">
        <v>104</v>
      </c>
      <c r="X695" s="2">
        <v>9.73</v>
      </c>
    </row>
    <row r="696" spans="1:24" x14ac:dyDescent="0.3">
      <c r="A696">
        <v>18597</v>
      </c>
      <c r="B696" t="s">
        <v>2670</v>
      </c>
      <c r="C696" s="3">
        <v>41771</v>
      </c>
      <c r="D696" t="s">
        <v>148</v>
      </c>
      <c r="E696">
        <v>10</v>
      </c>
      <c r="F696" s="3">
        <f ca="1">41774+(RANDBETWEEN(1,10))</f>
        <v>41782</v>
      </c>
      <c r="G696" t="s">
        <v>26</v>
      </c>
      <c r="H696" t="s">
        <v>96</v>
      </c>
      <c r="I696" t="s">
        <v>52</v>
      </c>
      <c r="J696">
        <v>91.525000000000006</v>
      </c>
      <c r="K696">
        <v>0.05</v>
      </c>
      <c r="L696">
        <v>0.39</v>
      </c>
      <c r="M696">
        <v>2.8</v>
      </c>
      <c r="N696">
        <v>63.152250000000002</v>
      </c>
      <c r="O696" s="1" t="s">
        <v>225</v>
      </c>
      <c r="P696" s="1" t="s">
        <v>1128</v>
      </c>
      <c r="Q696" s="1" t="s">
        <v>1129</v>
      </c>
      <c r="R696" s="1" t="s">
        <v>391</v>
      </c>
      <c r="S696" s="1" t="s">
        <v>1130</v>
      </c>
      <c r="T696" s="1" t="s">
        <v>1131</v>
      </c>
      <c r="U696" s="2" t="s">
        <v>2672</v>
      </c>
      <c r="V696" s="2" t="s">
        <v>47</v>
      </c>
      <c r="W696" s="2" t="s">
        <v>176</v>
      </c>
      <c r="X696" s="2">
        <v>9.17</v>
      </c>
    </row>
    <row r="697" spans="1:24" x14ac:dyDescent="0.3">
      <c r="A697">
        <v>18598</v>
      </c>
      <c r="B697" t="s">
        <v>2673</v>
      </c>
      <c r="C697" s="3">
        <v>41436</v>
      </c>
      <c r="D697" t="s">
        <v>39</v>
      </c>
      <c r="E697">
        <v>9</v>
      </c>
      <c r="F697" s="3">
        <f ca="1">41436+(RANDBETWEEN(1,10))</f>
        <v>41445</v>
      </c>
      <c r="G697" t="s">
        <v>156</v>
      </c>
      <c r="H697" t="s">
        <v>51</v>
      </c>
      <c r="I697" t="s">
        <v>97</v>
      </c>
      <c r="J697">
        <v>925.05</v>
      </c>
      <c r="K697">
        <v>0.06</v>
      </c>
      <c r="L697">
        <v>0.4</v>
      </c>
      <c r="M697">
        <v>6.9649999999999999</v>
      </c>
      <c r="N697">
        <v>-2643.991</v>
      </c>
      <c r="O697" s="1" t="s">
        <v>225</v>
      </c>
      <c r="P697" s="1" t="s">
        <v>805</v>
      </c>
      <c r="Q697" s="1" t="s">
        <v>806</v>
      </c>
      <c r="R697" s="1" t="s">
        <v>228</v>
      </c>
      <c r="S697" s="1" t="s">
        <v>807</v>
      </c>
      <c r="T697" s="1" t="s">
        <v>808</v>
      </c>
      <c r="U697" s="2" t="s">
        <v>1109</v>
      </c>
      <c r="V697" s="2" t="s">
        <v>36</v>
      </c>
      <c r="W697" s="2" t="s">
        <v>60</v>
      </c>
      <c r="X697" s="2">
        <v>99.68</v>
      </c>
    </row>
    <row r="698" spans="1:24" x14ac:dyDescent="0.3">
      <c r="A698">
        <v>18599</v>
      </c>
      <c r="B698" t="s">
        <v>2674</v>
      </c>
      <c r="C698" s="3">
        <v>41822</v>
      </c>
      <c r="D698" t="s">
        <v>50</v>
      </c>
      <c r="E698">
        <v>7</v>
      </c>
      <c r="F698" s="3">
        <f ca="1">41823+(RANDBETWEEN(1,10))</f>
        <v>41828</v>
      </c>
      <c r="G698" t="s">
        <v>26</v>
      </c>
      <c r="H698" t="s">
        <v>27</v>
      </c>
      <c r="I698" t="s">
        <v>28</v>
      </c>
      <c r="J698">
        <v>149.66</v>
      </c>
      <c r="K698">
        <v>0.04</v>
      </c>
      <c r="L698">
        <v>0.39</v>
      </c>
      <c r="M698">
        <v>1.75</v>
      </c>
      <c r="N698">
        <v>103.2654</v>
      </c>
      <c r="O698" s="1" t="s">
        <v>87</v>
      </c>
      <c r="P698" s="1" t="s">
        <v>846</v>
      </c>
      <c r="Q698" s="1" t="s">
        <v>847</v>
      </c>
      <c r="R698" s="1" t="s">
        <v>90</v>
      </c>
      <c r="S698" s="1" t="s">
        <v>848</v>
      </c>
      <c r="T698" s="1" t="s">
        <v>849</v>
      </c>
      <c r="U698" s="2" t="s">
        <v>2675</v>
      </c>
      <c r="V698" s="2" t="s">
        <v>47</v>
      </c>
      <c r="W698" s="2" t="s">
        <v>203</v>
      </c>
      <c r="X698" s="2">
        <v>22.05</v>
      </c>
    </row>
    <row r="699" spans="1:24" x14ac:dyDescent="0.3">
      <c r="A699">
        <v>18600</v>
      </c>
      <c r="B699" t="s">
        <v>2676</v>
      </c>
      <c r="C699" s="3">
        <v>41871</v>
      </c>
      <c r="D699" t="s">
        <v>62</v>
      </c>
      <c r="E699">
        <v>21</v>
      </c>
      <c r="F699" s="3">
        <f ca="1">41872+(RANDBETWEEN(1,10))</f>
        <v>41873</v>
      </c>
      <c r="G699" t="s">
        <v>26</v>
      </c>
      <c r="H699" t="s">
        <v>27</v>
      </c>
      <c r="I699" t="s">
        <v>52</v>
      </c>
      <c r="J699">
        <v>2960.16</v>
      </c>
      <c r="K699">
        <v>0.08</v>
      </c>
      <c r="L699" t="s">
        <v>182</v>
      </c>
      <c r="M699">
        <v>21.77</v>
      </c>
      <c r="N699">
        <v>1572.94256</v>
      </c>
      <c r="O699" s="1" t="s">
        <v>225</v>
      </c>
      <c r="P699" s="1" t="s">
        <v>1140</v>
      </c>
      <c r="Q699" s="1" t="s">
        <v>1141</v>
      </c>
      <c r="R699" s="1" t="s">
        <v>228</v>
      </c>
      <c r="S699" s="1" t="s">
        <v>1142</v>
      </c>
      <c r="T699" s="1" t="s">
        <v>1143</v>
      </c>
      <c r="U699" s="2" t="s">
        <v>824</v>
      </c>
      <c r="V699" s="2" t="s">
        <v>47</v>
      </c>
      <c r="W699" s="2" t="s">
        <v>119</v>
      </c>
      <c r="X699" s="2">
        <v>149.66</v>
      </c>
    </row>
    <row r="700" spans="1:24" x14ac:dyDescent="0.3">
      <c r="A700">
        <v>18601</v>
      </c>
      <c r="B700" t="s">
        <v>2676</v>
      </c>
      <c r="C700" s="3">
        <v>41871</v>
      </c>
      <c r="D700" t="s">
        <v>62</v>
      </c>
      <c r="E700">
        <v>6</v>
      </c>
      <c r="F700" s="3">
        <f ca="1">41874+(RANDBETWEEN(1,10))</f>
        <v>41878</v>
      </c>
      <c r="G700" t="s">
        <v>26</v>
      </c>
      <c r="H700" t="s">
        <v>27</v>
      </c>
      <c r="I700" t="s">
        <v>52</v>
      </c>
      <c r="J700">
        <v>215.14500000000001</v>
      </c>
      <c r="K700">
        <v>0.04</v>
      </c>
      <c r="L700">
        <v>0.35</v>
      </c>
      <c r="M700">
        <v>20.16</v>
      </c>
      <c r="N700">
        <v>-10.135719999999999</v>
      </c>
      <c r="O700" s="1" t="s">
        <v>225</v>
      </c>
      <c r="P700" s="1" t="s">
        <v>2677</v>
      </c>
      <c r="Q700" s="1" t="s">
        <v>2678</v>
      </c>
      <c r="R700" s="1" t="s">
        <v>228</v>
      </c>
      <c r="S700" s="1" t="s">
        <v>2679</v>
      </c>
      <c r="T700" s="1" t="s">
        <v>2680</v>
      </c>
      <c r="U700" s="2" t="s">
        <v>2681</v>
      </c>
      <c r="V700" s="2" t="s">
        <v>47</v>
      </c>
      <c r="W700" s="2" t="s">
        <v>48</v>
      </c>
      <c r="X700" s="2">
        <v>34.229999999999997</v>
      </c>
    </row>
    <row r="701" spans="1:24" x14ac:dyDescent="0.3">
      <c r="A701">
        <v>18602</v>
      </c>
      <c r="B701" t="s">
        <v>2676</v>
      </c>
      <c r="C701" s="3">
        <v>41871</v>
      </c>
      <c r="D701" t="s">
        <v>62</v>
      </c>
      <c r="E701">
        <v>2</v>
      </c>
      <c r="F701" s="3">
        <f ca="1">41872+(RANDBETWEEN(1,10))</f>
        <v>41874</v>
      </c>
      <c r="G701" t="s">
        <v>26</v>
      </c>
      <c r="H701" t="s">
        <v>51</v>
      </c>
      <c r="I701" t="s">
        <v>52</v>
      </c>
      <c r="J701">
        <v>83.754999999999995</v>
      </c>
      <c r="K701">
        <v>0</v>
      </c>
      <c r="L701">
        <v>0.45</v>
      </c>
      <c r="M701">
        <v>25.515000000000001</v>
      </c>
      <c r="N701">
        <v>-25.70288</v>
      </c>
      <c r="O701" s="1" t="s">
        <v>225</v>
      </c>
      <c r="P701" s="1" t="s">
        <v>2677</v>
      </c>
      <c r="Q701" s="1" t="s">
        <v>2678</v>
      </c>
      <c r="R701" s="1" t="s">
        <v>228</v>
      </c>
      <c r="S701" s="1" t="s">
        <v>2679</v>
      </c>
      <c r="T701" s="1" t="s">
        <v>2680</v>
      </c>
      <c r="U701" s="2" t="s">
        <v>2315</v>
      </c>
      <c r="V701" s="2" t="s">
        <v>83</v>
      </c>
      <c r="W701" s="2" t="s">
        <v>178</v>
      </c>
      <c r="X701" s="2">
        <v>33.18</v>
      </c>
    </row>
    <row r="702" spans="1:24" x14ac:dyDescent="0.3">
      <c r="A702">
        <v>18603</v>
      </c>
      <c r="B702" t="s">
        <v>2676</v>
      </c>
      <c r="C702" s="3">
        <v>41871</v>
      </c>
      <c r="D702" t="s">
        <v>62</v>
      </c>
      <c r="E702">
        <v>20</v>
      </c>
      <c r="F702" s="3">
        <f ca="1">41873+(RANDBETWEEN(1,10))</f>
        <v>41881</v>
      </c>
      <c r="G702" t="s">
        <v>26</v>
      </c>
      <c r="H702" t="s">
        <v>27</v>
      </c>
      <c r="I702" t="s">
        <v>52</v>
      </c>
      <c r="J702">
        <v>6475.63</v>
      </c>
      <c r="K702">
        <v>0.05</v>
      </c>
      <c r="L702">
        <v>0.56999999999999995</v>
      </c>
      <c r="M702">
        <v>31.465</v>
      </c>
      <c r="N702">
        <v>4327.2689039999996</v>
      </c>
      <c r="O702" s="1" t="s">
        <v>225</v>
      </c>
      <c r="P702" s="1" t="s">
        <v>2677</v>
      </c>
      <c r="Q702" s="1" t="s">
        <v>2678</v>
      </c>
      <c r="R702" s="1" t="s">
        <v>228</v>
      </c>
      <c r="S702" s="1" t="s">
        <v>2679</v>
      </c>
      <c r="T702" s="1" t="s">
        <v>2680</v>
      </c>
      <c r="U702" s="2" t="s">
        <v>2356</v>
      </c>
      <c r="V702" s="2" t="s">
        <v>36</v>
      </c>
      <c r="W702" s="2" t="s">
        <v>37</v>
      </c>
      <c r="X702" s="2">
        <v>388.46499999999997</v>
      </c>
    </row>
    <row r="703" spans="1:24" x14ac:dyDescent="0.3">
      <c r="A703">
        <v>18604</v>
      </c>
      <c r="B703" t="s">
        <v>2682</v>
      </c>
      <c r="C703" s="3">
        <v>41822</v>
      </c>
      <c r="D703" t="s">
        <v>25</v>
      </c>
      <c r="E703">
        <v>1</v>
      </c>
      <c r="F703" s="3">
        <f ca="1">41826+(RANDBETWEEN(1,10))</f>
        <v>41836</v>
      </c>
      <c r="G703" t="s">
        <v>26</v>
      </c>
      <c r="H703" t="s">
        <v>51</v>
      </c>
      <c r="I703" t="s">
        <v>97</v>
      </c>
      <c r="J703">
        <v>49.594999999999999</v>
      </c>
      <c r="K703">
        <v>7.0000000000000007E-2</v>
      </c>
      <c r="L703">
        <v>0.59</v>
      </c>
      <c r="M703">
        <v>31.465</v>
      </c>
      <c r="N703">
        <v>-90.748559999999998</v>
      </c>
      <c r="O703" s="1" t="s">
        <v>87</v>
      </c>
      <c r="P703" s="1" t="s">
        <v>2683</v>
      </c>
      <c r="Q703" s="1" t="s">
        <v>2684</v>
      </c>
      <c r="R703" s="1" t="s">
        <v>646</v>
      </c>
      <c r="S703" s="1" t="s">
        <v>2685</v>
      </c>
      <c r="T703" s="1" t="s">
        <v>2686</v>
      </c>
      <c r="U703" s="2" t="s">
        <v>2687</v>
      </c>
      <c r="V703" s="2" t="s">
        <v>47</v>
      </c>
      <c r="W703" s="2" t="s">
        <v>104</v>
      </c>
      <c r="X703" s="2">
        <v>40.81</v>
      </c>
    </row>
    <row r="704" spans="1:24" x14ac:dyDescent="0.3">
      <c r="A704">
        <v>18605</v>
      </c>
      <c r="B704" t="s">
        <v>2688</v>
      </c>
      <c r="C704" s="3">
        <v>41553</v>
      </c>
      <c r="D704" t="s">
        <v>50</v>
      </c>
      <c r="E704">
        <v>19</v>
      </c>
      <c r="F704" s="3">
        <f ca="1">41555+(RANDBETWEEN(1,10))</f>
        <v>41562</v>
      </c>
      <c r="G704" t="s">
        <v>26</v>
      </c>
      <c r="H704" t="s">
        <v>27</v>
      </c>
      <c r="I704" t="s">
        <v>52</v>
      </c>
      <c r="J704">
        <v>684.98500000000001</v>
      </c>
      <c r="K704">
        <v>0.04</v>
      </c>
      <c r="L704">
        <v>0.4</v>
      </c>
      <c r="M704">
        <v>17.920000000000002</v>
      </c>
      <c r="N704">
        <v>80.596599999999995</v>
      </c>
      <c r="O704" s="1" t="s">
        <v>87</v>
      </c>
      <c r="P704" s="1" t="s">
        <v>2689</v>
      </c>
      <c r="Q704" s="1" t="s">
        <v>2690</v>
      </c>
      <c r="R704" s="1" t="s">
        <v>398</v>
      </c>
      <c r="S704" s="1" t="s">
        <v>2691</v>
      </c>
      <c r="T704" s="1" t="s">
        <v>2692</v>
      </c>
      <c r="U704" s="2" t="s">
        <v>2693</v>
      </c>
      <c r="V704" s="2" t="s">
        <v>47</v>
      </c>
      <c r="W704" s="2" t="s">
        <v>74</v>
      </c>
      <c r="X704" s="2">
        <v>34.965000000000003</v>
      </c>
    </row>
    <row r="705" spans="1:24" x14ac:dyDescent="0.3">
      <c r="A705">
        <v>18606</v>
      </c>
      <c r="B705" t="s">
        <v>2694</v>
      </c>
      <c r="C705" s="3">
        <v>41422</v>
      </c>
      <c r="D705" t="s">
        <v>50</v>
      </c>
      <c r="E705">
        <v>2</v>
      </c>
      <c r="F705" s="3">
        <f ca="1">41424+(RANDBETWEEN(1,10))</f>
        <v>41428</v>
      </c>
      <c r="G705" t="s">
        <v>26</v>
      </c>
      <c r="H705" t="s">
        <v>27</v>
      </c>
      <c r="I705" t="s">
        <v>28</v>
      </c>
      <c r="J705">
        <v>20.65</v>
      </c>
      <c r="K705">
        <v>0.01</v>
      </c>
      <c r="L705">
        <v>0.36</v>
      </c>
      <c r="M705">
        <v>1.75</v>
      </c>
      <c r="N705">
        <v>4.62</v>
      </c>
      <c r="O705" s="1" t="s">
        <v>87</v>
      </c>
      <c r="P705" s="1" t="s">
        <v>2695</v>
      </c>
      <c r="Q705" s="1" t="s">
        <v>2696</v>
      </c>
      <c r="R705" s="1" t="s">
        <v>646</v>
      </c>
      <c r="S705" s="1" t="s">
        <v>2697</v>
      </c>
      <c r="T705" s="1" t="s">
        <v>2698</v>
      </c>
      <c r="U705" s="2" t="s">
        <v>363</v>
      </c>
      <c r="V705" s="2" t="s">
        <v>47</v>
      </c>
      <c r="W705" s="2" t="s">
        <v>203</v>
      </c>
      <c r="X705" s="2">
        <v>10.08</v>
      </c>
    </row>
    <row r="706" spans="1:24" x14ac:dyDescent="0.3">
      <c r="A706">
        <v>18607</v>
      </c>
      <c r="B706" t="s">
        <v>2699</v>
      </c>
      <c r="C706" s="3">
        <v>41285</v>
      </c>
      <c r="D706" t="s">
        <v>62</v>
      </c>
      <c r="E706">
        <v>13</v>
      </c>
      <c r="F706" s="3">
        <f ca="1">41287+(RANDBETWEEN(1,10))</f>
        <v>41290</v>
      </c>
      <c r="G706" t="s">
        <v>76</v>
      </c>
      <c r="H706" t="s">
        <v>258</v>
      </c>
      <c r="I706" t="s">
        <v>86</v>
      </c>
      <c r="J706">
        <v>6069.875</v>
      </c>
      <c r="K706">
        <v>0.01</v>
      </c>
      <c r="L706">
        <v>0.69</v>
      </c>
      <c r="M706">
        <v>191.59</v>
      </c>
      <c r="N706">
        <v>-3576.8110000000001</v>
      </c>
      <c r="O706" s="1" t="s">
        <v>87</v>
      </c>
      <c r="P706" s="1" t="s">
        <v>2700</v>
      </c>
      <c r="Q706" s="1" t="s">
        <v>2701</v>
      </c>
      <c r="R706" s="1" t="s">
        <v>497</v>
      </c>
      <c r="S706" s="1" t="s">
        <v>2702</v>
      </c>
      <c r="T706" s="1" t="s">
        <v>2703</v>
      </c>
      <c r="U706" s="2" t="s">
        <v>493</v>
      </c>
      <c r="V706" s="2" t="s">
        <v>83</v>
      </c>
      <c r="W706" s="2" t="s">
        <v>298</v>
      </c>
      <c r="X706" s="2">
        <v>458.43</v>
      </c>
    </row>
    <row r="707" spans="1:24" x14ac:dyDescent="0.3">
      <c r="A707">
        <v>18608</v>
      </c>
      <c r="B707" t="s">
        <v>2699</v>
      </c>
      <c r="C707" s="3">
        <v>41285</v>
      </c>
      <c r="D707" t="s">
        <v>62</v>
      </c>
      <c r="E707">
        <v>6</v>
      </c>
      <c r="F707" s="3">
        <f ca="1">41285+(RANDBETWEEN(1,10))</f>
        <v>41293</v>
      </c>
      <c r="G707" t="s">
        <v>26</v>
      </c>
      <c r="H707" t="s">
        <v>27</v>
      </c>
      <c r="I707" t="s">
        <v>86</v>
      </c>
      <c r="J707">
        <v>692.02</v>
      </c>
      <c r="K707">
        <v>0.02</v>
      </c>
      <c r="L707">
        <v>0.74</v>
      </c>
      <c r="M707">
        <v>14</v>
      </c>
      <c r="N707">
        <v>-69.656999999999996</v>
      </c>
      <c r="O707" s="1" t="s">
        <v>87</v>
      </c>
      <c r="P707" s="1" t="s">
        <v>2700</v>
      </c>
      <c r="Q707" s="1" t="s">
        <v>2701</v>
      </c>
      <c r="R707" s="1" t="s">
        <v>497</v>
      </c>
      <c r="S707" s="1" t="s">
        <v>2702</v>
      </c>
      <c r="T707" s="1" t="s">
        <v>2703</v>
      </c>
      <c r="U707" s="2" t="s">
        <v>2704</v>
      </c>
      <c r="V707" s="2" t="s">
        <v>36</v>
      </c>
      <c r="W707" s="2" t="s">
        <v>60</v>
      </c>
      <c r="X707" s="2">
        <v>108.395</v>
      </c>
    </row>
    <row r="708" spans="1:24" x14ac:dyDescent="0.3">
      <c r="A708">
        <v>18609</v>
      </c>
      <c r="B708" t="s">
        <v>2705</v>
      </c>
      <c r="C708" s="3">
        <v>41679</v>
      </c>
      <c r="D708" t="s">
        <v>25</v>
      </c>
      <c r="E708">
        <v>1</v>
      </c>
      <c r="F708" s="3">
        <f ca="1">41683+(RANDBETWEEN(1,10))</f>
        <v>41688</v>
      </c>
      <c r="G708" t="s">
        <v>26</v>
      </c>
      <c r="H708" t="s">
        <v>27</v>
      </c>
      <c r="I708" t="s">
        <v>86</v>
      </c>
      <c r="J708">
        <v>667.8</v>
      </c>
      <c r="K708">
        <v>0.1</v>
      </c>
      <c r="L708">
        <v>0.71</v>
      </c>
      <c r="M708">
        <v>69.965000000000003</v>
      </c>
      <c r="N708">
        <v>-1116.57</v>
      </c>
      <c r="O708" s="1" t="s">
        <v>225</v>
      </c>
      <c r="P708" s="1" t="s">
        <v>2706</v>
      </c>
      <c r="Q708" s="1" t="s">
        <v>2707</v>
      </c>
      <c r="R708" s="1" t="s">
        <v>228</v>
      </c>
      <c r="S708" s="1" t="s">
        <v>2708</v>
      </c>
      <c r="T708" s="1" t="s">
        <v>2709</v>
      </c>
      <c r="U708" s="2" t="s">
        <v>624</v>
      </c>
      <c r="V708" s="2" t="s">
        <v>47</v>
      </c>
      <c r="W708" s="2" t="s">
        <v>119</v>
      </c>
      <c r="X708" s="2">
        <v>676.09500000000003</v>
      </c>
    </row>
    <row r="709" spans="1:24" x14ac:dyDescent="0.3">
      <c r="A709">
        <v>18610</v>
      </c>
      <c r="B709" t="s">
        <v>2710</v>
      </c>
      <c r="C709" s="3">
        <v>40966</v>
      </c>
      <c r="D709" t="s">
        <v>25</v>
      </c>
      <c r="E709">
        <v>5</v>
      </c>
      <c r="F709" s="3">
        <f ca="1">40966+(RANDBETWEEN(1,10))</f>
        <v>40968</v>
      </c>
      <c r="G709" t="s">
        <v>26</v>
      </c>
      <c r="H709" t="s">
        <v>27</v>
      </c>
      <c r="I709" t="s">
        <v>28</v>
      </c>
      <c r="J709">
        <v>127.89</v>
      </c>
      <c r="K709">
        <v>0.08</v>
      </c>
      <c r="L709">
        <v>0.39</v>
      </c>
      <c r="M709">
        <v>21.175000000000001</v>
      </c>
      <c r="N709">
        <v>1455.4322999999999</v>
      </c>
      <c r="O709" s="1" t="s">
        <v>64</v>
      </c>
      <c r="P709" s="1" t="s">
        <v>2711</v>
      </c>
      <c r="Q709" s="1" t="s">
        <v>2712</v>
      </c>
      <c r="R709" s="1" t="s">
        <v>128</v>
      </c>
      <c r="S709" s="1" t="s">
        <v>2713</v>
      </c>
      <c r="T709" s="1" t="s">
        <v>2714</v>
      </c>
      <c r="U709" s="2" t="s">
        <v>2669</v>
      </c>
      <c r="V709" s="2" t="s">
        <v>47</v>
      </c>
      <c r="W709" s="2" t="s">
        <v>111</v>
      </c>
      <c r="X709" s="2">
        <v>24.85</v>
      </c>
    </row>
    <row r="710" spans="1:24" x14ac:dyDescent="0.3">
      <c r="A710">
        <v>18611</v>
      </c>
      <c r="B710" t="s">
        <v>2715</v>
      </c>
      <c r="C710" s="3">
        <v>40551</v>
      </c>
      <c r="D710" t="s">
        <v>39</v>
      </c>
      <c r="E710">
        <v>4</v>
      </c>
      <c r="F710" s="3">
        <f ca="1">40551+(RANDBETWEEN(1,10))</f>
        <v>40553</v>
      </c>
      <c r="G710" t="s">
        <v>26</v>
      </c>
      <c r="H710" t="s">
        <v>27</v>
      </c>
      <c r="I710" t="s">
        <v>97</v>
      </c>
      <c r="J710">
        <v>56.244999999999997</v>
      </c>
      <c r="K710">
        <v>7.0000000000000007E-2</v>
      </c>
      <c r="L710">
        <v>0.39</v>
      </c>
      <c r="M710">
        <v>3.4649999999999999</v>
      </c>
      <c r="N710">
        <v>38.357199999999999</v>
      </c>
      <c r="O710" s="1" t="s">
        <v>64</v>
      </c>
      <c r="P710" s="1" t="s">
        <v>2716</v>
      </c>
      <c r="Q710" s="1" t="s">
        <v>2717</v>
      </c>
      <c r="R710" s="1" t="s">
        <v>67</v>
      </c>
      <c r="S710" s="1" t="s">
        <v>2718</v>
      </c>
      <c r="T710" s="1" t="s">
        <v>2719</v>
      </c>
      <c r="U710" s="2" t="s">
        <v>2720</v>
      </c>
      <c r="V710" s="2" t="s">
        <v>47</v>
      </c>
      <c r="W710" s="2" t="s">
        <v>203</v>
      </c>
      <c r="X710" s="2">
        <v>14.455</v>
      </c>
    </row>
    <row r="711" spans="1:24" x14ac:dyDescent="0.3">
      <c r="A711">
        <v>18612</v>
      </c>
      <c r="B711" t="s">
        <v>2715</v>
      </c>
      <c r="C711" s="3">
        <v>40551</v>
      </c>
      <c r="D711" t="s">
        <v>39</v>
      </c>
      <c r="E711">
        <v>1</v>
      </c>
      <c r="F711" s="3">
        <f ca="1">40551+(RANDBETWEEN(1,10))</f>
        <v>40555</v>
      </c>
      <c r="G711" t="s">
        <v>26</v>
      </c>
      <c r="H711" t="s">
        <v>51</v>
      </c>
      <c r="I711" t="s">
        <v>97</v>
      </c>
      <c r="J711">
        <v>88.41</v>
      </c>
      <c r="K711">
        <v>0.03</v>
      </c>
      <c r="L711">
        <v>0.44</v>
      </c>
      <c r="M711">
        <v>31.465</v>
      </c>
      <c r="N711">
        <v>61.002899999999997</v>
      </c>
      <c r="O711" s="1" t="s">
        <v>64</v>
      </c>
      <c r="P711" s="1" t="s">
        <v>2716</v>
      </c>
      <c r="Q711" s="1" t="s">
        <v>2717</v>
      </c>
      <c r="R711" s="1" t="s">
        <v>67</v>
      </c>
      <c r="S711" s="1" t="s">
        <v>2718</v>
      </c>
      <c r="T711" s="1" t="s">
        <v>2719</v>
      </c>
      <c r="U711" s="2" t="s">
        <v>2721</v>
      </c>
      <c r="V711" s="2" t="s">
        <v>83</v>
      </c>
      <c r="W711" s="2" t="s">
        <v>178</v>
      </c>
      <c r="X711" s="2">
        <v>79.52</v>
      </c>
    </row>
    <row r="712" spans="1:24" x14ac:dyDescent="0.3">
      <c r="A712">
        <v>18613</v>
      </c>
      <c r="B712" t="s">
        <v>2722</v>
      </c>
      <c r="C712" s="3">
        <v>41057</v>
      </c>
      <c r="D712" t="s">
        <v>50</v>
      </c>
      <c r="E712">
        <v>11</v>
      </c>
      <c r="F712" s="3">
        <f ca="1">41059+(RANDBETWEEN(1,10))</f>
        <v>41064</v>
      </c>
      <c r="G712" t="s">
        <v>26</v>
      </c>
      <c r="H712" t="s">
        <v>51</v>
      </c>
      <c r="I712" t="s">
        <v>28</v>
      </c>
      <c r="J712">
        <v>328.19499999999999</v>
      </c>
      <c r="K712">
        <v>7.0000000000000007E-2</v>
      </c>
      <c r="L712">
        <v>0.49</v>
      </c>
      <c r="M712">
        <v>6.9649999999999999</v>
      </c>
      <c r="N712">
        <v>129.815</v>
      </c>
      <c r="O712" s="1" t="s">
        <v>53</v>
      </c>
      <c r="P712" s="1" t="s">
        <v>1932</v>
      </c>
      <c r="Q712" s="1" t="s">
        <v>1933</v>
      </c>
      <c r="R712" s="1" t="s">
        <v>56</v>
      </c>
      <c r="S712" s="1" t="s">
        <v>1934</v>
      </c>
      <c r="T712" s="1" t="s">
        <v>1935</v>
      </c>
      <c r="U712" s="2" t="s">
        <v>2723</v>
      </c>
      <c r="V712" s="2" t="s">
        <v>36</v>
      </c>
      <c r="W712" s="2" t="s">
        <v>60</v>
      </c>
      <c r="X712" s="2">
        <v>29.75</v>
      </c>
    </row>
    <row r="713" spans="1:24" x14ac:dyDescent="0.3">
      <c r="A713">
        <v>18614</v>
      </c>
      <c r="B713" t="s">
        <v>2724</v>
      </c>
      <c r="C713" s="3">
        <v>41682</v>
      </c>
      <c r="D713" t="s">
        <v>62</v>
      </c>
      <c r="E713">
        <v>11</v>
      </c>
      <c r="F713" s="3">
        <f ca="1">41683+(RANDBETWEEN(1,10))</f>
        <v>41692</v>
      </c>
      <c r="G713" t="s">
        <v>156</v>
      </c>
      <c r="H713" t="s">
        <v>96</v>
      </c>
      <c r="I713" t="s">
        <v>28</v>
      </c>
      <c r="J713">
        <v>572.77499999999998</v>
      </c>
      <c r="K713">
        <v>0.01</v>
      </c>
      <c r="L713">
        <v>0.46</v>
      </c>
      <c r="M713">
        <v>18.55</v>
      </c>
      <c r="N713">
        <v>358.85500000000002</v>
      </c>
      <c r="O713" s="1" t="s">
        <v>40</v>
      </c>
      <c r="P713" s="1" t="s">
        <v>2725</v>
      </c>
      <c r="Q713" s="1" t="s">
        <v>2726</v>
      </c>
      <c r="R713" s="1" t="s">
        <v>43</v>
      </c>
      <c r="S713" s="1" t="s">
        <v>2727</v>
      </c>
      <c r="T713" s="1" t="s">
        <v>2728</v>
      </c>
      <c r="U713" s="2" t="s">
        <v>2729</v>
      </c>
      <c r="V713" s="2" t="s">
        <v>83</v>
      </c>
      <c r="W713" s="2" t="s">
        <v>178</v>
      </c>
      <c r="X713" s="2">
        <v>49.7</v>
      </c>
    </row>
    <row r="714" spans="1:24" x14ac:dyDescent="0.3">
      <c r="A714">
        <v>18615</v>
      </c>
      <c r="B714" t="s">
        <v>2730</v>
      </c>
      <c r="C714" s="3">
        <v>41701</v>
      </c>
      <c r="D714" t="s">
        <v>62</v>
      </c>
      <c r="E714">
        <v>5</v>
      </c>
      <c r="F714" s="3">
        <f ca="1">41702+(RANDBETWEEN(1,10))</f>
        <v>41707</v>
      </c>
      <c r="G714" t="s">
        <v>26</v>
      </c>
      <c r="H714" t="s">
        <v>51</v>
      </c>
      <c r="I714" t="s">
        <v>28</v>
      </c>
      <c r="J714">
        <v>397.81</v>
      </c>
      <c r="K714">
        <v>0.05</v>
      </c>
      <c r="L714">
        <v>0.44</v>
      </c>
      <c r="M714">
        <v>31.465</v>
      </c>
      <c r="N714">
        <v>76.86</v>
      </c>
      <c r="O714" s="1" t="s">
        <v>87</v>
      </c>
      <c r="P714" s="1" t="s">
        <v>2731</v>
      </c>
      <c r="Q714" s="1" t="s">
        <v>2732</v>
      </c>
      <c r="R714" s="1" t="s">
        <v>398</v>
      </c>
      <c r="S714" s="1" t="s">
        <v>2733</v>
      </c>
      <c r="T714" s="1" t="s">
        <v>735</v>
      </c>
      <c r="U714" s="2" t="s">
        <v>2721</v>
      </c>
      <c r="V714" s="2" t="s">
        <v>83</v>
      </c>
      <c r="W714" s="2" t="s">
        <v>178</v>
      </c>
      <c r="X714" s="2">
        <v>79.52</v>
      </c>
    </row>
    <row r="715" spans="1:24" x14ac:dyDescent="0.3">
      <c r="A715">
        <v>18616</v>
      </c>
      <c r="B715" t="s">
        <v>2730</v>
      </c>
      <c r="C715" s="3">
        <v>41701</v>
      </c>
      <c r="D715" t="s">
        <v>62</v>
      </c>
      <c r="E715">
        <v>12</v>
      </c>
      <c r="F715" s="3">
        <f ca="1">41703+(RANDBETWEEN(1,10))</f>
        <v>41708</v>
      </c>
      <c r="G715" t="s">
        <v>156</v>
      </c>
      <c r="H715" t="s">
        <v>27</v>
      </c>
      <c r="I715" t="s">
        <v>28</v>
      </c>
      <c r="J715">
        <v>2290.19</v>
      </c>
      <c r="K715">
        <v>7.0000000000000007E-2</v>
      </c>
      <c r="L715">
        <v>0.56000000000000005</v>
      </c>
      <c r="M715">
        <v>31.465</v>
      </c>
      <c r="N715">
        <v>1580.2311</v>
      </c>
      <c r="O715" s="1" t="s">
        <v>87</v>
      </c>
      <c r="P715" s="1" t="s">
        <v>2731</v>
      </c>
      <c r="Q715" s="1" t="s">
        <v>2732</v>
      </c>
      <c r="R715" s="1" t="s">
        <v>398</v>
      </c>
      <c r="S715" s="1" t="s">
        <v>2733</v>
      </c>
      <c r="T715" s="1" t="s">
        <v>735</v>
      </c>
      <c r="U715" s="2">
        <v>5180</v>
      </c>
      <c r="V715" s="2" t="s">
        <v>36</v>
      </c>
      <c r="W715" s="2" t="s">
        <v>37</v>
      </c>
      <c r="X715" s="2">
        <v>230.965</v>
      </c>
    </row>
    <row r="716" spans="1:24" x14ac:dyDescent="0.3">
      <c r="A716">
        <v>18617</v>
      </c>
      <c r="B716" t="s">
        <v>2734</v>
      </c>
      <c r="C716" s="3">
        <v>41357</v>
      </c>
      <c r="D716" t="s">
        <v>148</v>
      </c>
      <c r="E716">
        <v>13</v>
      </c>
      <c r="F716" s="3">
        <f ca="1">41359+(RANDBETWEEN(1,10))</f>
        <v>41364</v>
      </c>
      <c r="G716" t="s">
        <v>26</v>
      </c>
      <c r="H716" t="s">
        <v>27</v>
      </c>
      <c r="I716" t="s">
        <v>52</v>
      </c>
      <c r="J716">
        <v>256.72500000000002</v>
      </c>
      <c r="K716">
        <v>0.01</v>
      </c>
      <c r="L716">
        <v>0.35</v>
      </c>
      <c r="M716">
        <v>18.55</v>
      </c>
      <c r="N716">
        <v>-292.81</v>
      </c>
      <c r="O716" s="1" t="s">
        <v>87</v>
      </c>
      <c r="P716" s="1" t="s">
        <v>2735</v>
      </c>
      <c r="Q716" s="1" t="s">
        <v>2736</v>
      </c>
      <c r="R716" s="1" t="s">
        <v>646</v>
      </c>
      <c r="S716" s="1" t="s">
        <v>2737</v>
      </c>
      <c r="T716" s="1" t="s">
        <v>2738</v>
      </c>
      <c r="U716" s="2" t="s">
        <v>2464</v>
      </c>
      <c r="V716" s="2" t="s">
        <v>47</v>
      </c>
      <c r="W716" s="2" t="s">
        <v>48</v>
      </c>
      <c r="X716" s="2">
        <v>19.53</v>
      </c>
    </row>
    <row r="717" spans="1:24" x14ac:dyDescent="0.3">
      <c r="A717">
        <v>18618</v>
      </c>
      <c r="B717" t="s">
        <v>2739</v>
      </c>
      <c r="C717" s="3">
        <v>41914</v>
      </c>
      <c r="D717" t="s">
        <v>62</v>
      </c>
      <c r="E717">
        <v>12</v>
      </c>
      <c r="F717" s="3">
        <f ca="1">41915+(RANDBETWEEN(1,10))</f>
        <v>41925</v>
      </c>
      <c r="G717" t="s">
        <v>76</v>
      </c>
      <c r="H717" t="s">
        <v>77</v>
      </c>
      <c r="I717" t="s">
        <v>28</v>
      </c>
      <c r="J717">
        <v>2972.2</v>
      </c>
      <c r="K717">
        <v>0.04</v>
      </c>
      <c r="L717">
        <v>0.41</v>
      </c>
      <c r="M717">
        <v>210</v>
      </c>
      <c r="N717">
        <v>-1824.97</v>
      </c>
      <c r="O717" s="1" t="s">
        <v>29</v>
      </c>
      <c r="P717" s="1" t="s">
        <v>1203</v>
      </c>
      <c r="Q717" s="1" t="s">
        <v>1204</v>
      </c>
      <c r="R717" s="1" t="s">
        <v>32</v>
      </c>
      <c r="S717" s="1" t="s">
        <v>1205</v>
      </c>
      <c r="T717" s="1" t="s">
        <v>1206</v>
      </c>
      <c r="U717" s="2" t="s">
        <v>287</v>
      </c>
      <c r="V717" s="2" t="s">
        <v>47</v>
      </c>
      <c r="W717" s="2" t="s">
        <v>71</v>
      </c>
      <c r="X717" s="2">
        <v>240.83500000000001</v>
      </c>
    </row>
    <row r="718" spans="1:24" x14ac:dyDescent="0.3">
      <c r="A718">
        <v>18619</v>
      </c>
      <c r="B718" t="s">
        <v>2739</v>
      </c>
      <c r="C718" s="3">
        <v>41914</v>
      </c>
      <c r="D718" t="s">
        <v>62</v>
      </c>
      <c r="E718">
        <v>17</v>
      </c>
      <c r="F718" s="3">
        <f ca="1">41916+(RANDBETWEEN(1,10))</f>
        <v>41921</v>
      </c>
      <c r="G718" t="s">
        <v>26</v>
      </c>
      <c r="H718" t="s">
        <v>27</v>
      </c>
      <c r="I718" t="s">
        <v>28</v>
      </c>
      <c r="J718">
        <v>353.36</v>
      </c>
      <c r="K718">
        <v>0.08</v>
      </c>
      <c r="L718">
        <v>0.4</v>
      </c>
      <c r="M718">
        <v>18.725000000000001</v>
      </c>
      <c r="N718">
        <v>-250.14500000000001</v>
      </c>
      <c r="O718" s="1" t="s">
        <v>29</v>
      </c>
      <c r="P718" s="1" t="s">
        <v>1203</v>
      </c>
      <c r="Q718" s="1" t="s">
        <v>1204</v>
      </c>
      <c r="R718" s="1" t="s">
        <v>32</v>
      </c>
      <c r="S718" s="1" t="s">
        <v>1205</v>
      </c>
      <c r="T718" s="1" t="s">
        <v>1206</v>
      </c>
      <c r="U718" s="2" t="s">
        <v>2740</v>
      </c>
      <c r="V718" s="2" t="s">
        <v>47</v>
      </c>
      <c r="W718" s="2" t="s">
        <v>74</v>
      </c>
      <c r="X718" s="2">
        <v>20.93</v>
      </c>
    </row>
    <row r="719" spans="1:24" x14ac:dyDescent="0.3">
      <c r="A719">
        <v>1862</v>
      </c>
      <c r="B719" t="s">
        <v>2741</v>
      </c>
      <c r="C719" s="3">
        <v>41805</v>
      </c>
      <c r="D719" t="s">
        <v>50</v>
      </c>
      <c r="E719">
        <v>53</v>
      </c>
      <c r="F719" s="3">
        <f ca="1">41807+(RANDBETWEEN(1,10))</f>
        <v>41815</v>
      </c>
      <c r="G719" t="s">
        <v>26</v>
      </c>
      <c r="H719" t="s">
        <v>63</v>
      </c>
      <c r="I719" t="s">
        <v>52</v>
      </c>
      <c r="J719">
        <v>3975.16</v>
      </c>
      <c r="K719">
        <v>7.0000000000000007E-2</v>
      </c>
      <c r="L719">
        <v>0.84</v>
      </c>
      <c r="M719">
        <v>122.5</v>
      </c>
      <c r="N719">
        <v>-3755.395</v>
      </c>
      <c r="O719" s="1" t="s">
        <v>87</v>
      </c>
      <c r="P719" s="1" t="s">
        <v>88</v>
      </c>
      <c r="Q719" s="1" t="s">
        <v>89</v>
      </c>
      <c r="R719" s="1" t="s">
        <v>90</v>
      </c>
      <c r="S719" s="1" t="s">
        <v>91</v>
      </c>
      <c r="T719" s="1" t="s">
        <v>92</v>
      </c>
      <c r="U719" s="2" t="s">
        <v>2742</v>
      </c>
      <c r="V719" s="2" t="s">
        <v>47</v>
      </c>
      <c r="W719" s="2" t="s">
        <v>119</v>
      </c>
      <c r="X719" s="2">
        <v>71.19</v>
      </c>
    </row>
    <row r="720" spans="1:24" x14ac:dyDescent="0.3">
      <c r="A720">
        <v>18620</v>
      </c>
      <c r="B720" t="s">
        <v>2739</v>
      </c>
      <c r="C720" s="3">
        <v>41914</v>
      </c>
      <c r="D720" t="s">
        <v>62</v>
      </c>
      <c r="E720">
        <v>17</v>
      </c>
      <c r="F720" s="3">
        <f ca="1">41916+(RANDBETWEEN(1,10))</f>
        <v>41917</v>
      </c>
      <c r="G720" t="s">
        <v>26</v>
      </c>
      <c r="H720" t="s">
        <v>63</v>
      </c>
      <c r="I720" t="s">
        <v>28</v>
      </c>
      <c r="J720">
        <v>17173.134999999998</v>
      </c>
      <c r="K720">
        <v>0.04</v>
      </c>
      <c r="L720">
        <v>0.52</v>
      </c>
      <c r="M720">
        <v>85.715000000000003</v>
      </c>
      <c r="N720">
        <v>9968.5949999999993</v>
      </c>
      <c r="O720" s="1" t="s">
        <v>40</v>
      </c>
      <c r="P720" s="1" t="s">
        <v>2743</v>
      </c>
      <c r="Q720" s="1" t="s">
        <v>2744</v>
      </c>
      <c r="R720" s="1" t="s">
        <v>43</v>
      </c>
      <c r="S720" s="1" t="s">
        <v>1989</v>
      </c>
      <c r="T720" s="1" t="s">
        <v>2745</v>
      </c>
      <c r="U720" s="2" t="s">
        <v>70</v>
      </c>
      <c r="V720" s="2" t="s">
        <v>47</v>
      </c>
      <c r="W720" s="2" t="s">
        <v>71</v>
      </c>
      <c r="X720" s="2">
        <v>1052.2750000000001</v>
      </c>
    </row>
    <row r="721" spans="1:24" x14ac:dyDescent="0.3">
      <c r="A721">
        <v>18621</v>
      </c>
      <c r="B721" t="s">
        <v>2739</v>
      </c>
      <c r="C721" s="3">
        <v>41914</v>
      </c>
      <c r="D721" t="s">
        <v>62</v>
      </c>
      <c r="E721">
        <v>25</v>
      </c>
      <c r="F721" s="3">
        <f ca="1">41916+(RANDBETWEEN(1,10))</f>
        <v>41922</v>
      </c>
      <c r="G721" t="s">
        <v>26</v>
      </c>
      <c r="H721" t="s">
        <v>27</v>
      </c>
      <c r="I721" t="s">
        <v>28</v>
      </c>
      <c r="J721">
        <v>500.185</v>
      </c>
      <c r="K721">
        <v>0.04</v>
      </c>
      <c r="L721">
        <v>0.36</v>
      </c>
      <c r="M721">
        <v>18.795000000000002</v>
      </c>
      <c r="N721">
        <v>-331.87</v>
      </c>
      <c r="O721" s="1" t="s">
        <v>40</v>
      </c>
      <c r="P721" s="1" t="s">
        <v>2743</v>
      </c>
      <c r="Q721" s="1" t="s">
        <v>2744</v>
      </c>
      <c r="R721" s="1" t="s">
        <v>43</v>
      </c>
      <c r="S721" s="1" t="s">
        <v>1989</v>
      </c>
      <c r="T721" s="1" t="s">
        <v>2745</v>
      </c>
      <c r="U721" s="2" t="s">
        <v>728</v>
      </c>
      <c r="V721" s="2" t="s">
        <v>47</v>
      </c>
      <c r="W721" s="2" t="s">
        <v>74</v>
      </c>
      <c r="X721" s="2">
        <v>20.23</v>
      </c>
    </row>
    <row r="722" spans="1:24" x14ac:dyDescent="0.3">
      <c r="A722">
        <v>18622</v>
      </c>
      <c r="B722" t="s">
        <v>2746</v>
      </c>
      <c r="C722" s="3">
        <v>41865</v>
      </c>
      <c r="D722" t="s">
        <v>148</v>
      </c>
      <c r="E722">
        <v>4</v>
      </c>
      <c r="F722" s="3">
        <f ca="1">41867+(RANDBETWEEN(1,10))</f>
        <v>41875</v>
      </c>
      <c r="G722" t="s">
        <v>26</v>
      </c>
      <c r="H722" t="s">
        <v>51</v>
      </c>
      <c r="I722" t="s">
        <v>86</v>
      </c>
      <c r="J722">
        <v>31.01</v>
      </c>
      <c r="K722">
        <v>0.02</v>
      </c>
      <c r="L722">
        <v>0.53</v>
      </c>
      <c r="M722">
        <v>14.28</v>
      </c>
      <c r="N722">
        <v>-22.764559999999999</v>
      </c>
      <c r="O722" s="1" t="s">
        <v>87</v>
      </c>
      <c r="P722" s="1" t="s">
        <v>1053</v>
      </c>
      <c r="Q722" s="1" t="s">
        <v>1054</v>
      </c>
      <c r="R722" s="1" t="s">
        <v>90</v>
      </c>
      <c r="S722" s="1" t="s">
        <v>1055</v>
      </c>
      <c r="T722" s="1" t="s">
        <v>1056</v>
      </c>
      <c r="U722" s="2" t="s">
        <v>2747</v>
      </c>
      <c r="V722" s="2" t="s">
        <v>83</v>
      </c>
      <c r="W722" s="2" t="s">
        <v>178</v>
      </c>
      <c r="X722" s="2">
        <v>6.09</v>
      </c>
    </row>
    <row r="723" spans="1:24" x14ac:dyDescent="0.3">
      <c r="A723">
        <v>18623</v>
      </c>
      <c r="B723" t="s">
        <v>2748</v>
      </c>
      <c r="C723" s="3">
        <v>40741</v>
      </c>
      <c r="D723" t="s">
        <v>148</v>
      </c>
      <c r="E723">
        <v>14</v>
      </c>
      <c r="F723" s="3">
        <f ca="1">40743+(RANDBETWEEN(1,10))</f>
        <v>40747</v>
      </c>
      <c r="G723" t="s">
        <v>156</v>
      </c>
      <c r="H723" t="s">
        <v>27</v>
      </c>
      <c r="I723" t="s">
        <v>28</v>
      </c>
      <c r="J723">
        <v>1569.645</v>
      </c>
      <c r="K723">
        <v>0.02</v>
      </c>
      <c r="L723">
        <v>0.39</v>
      </c>
      <c r="M723">
        <v>69.965000000000003</v>
      </c>
      <c r="N723">
        <v>-191.20500000000001</v>
      </c>
      <c r="O723" s="1" t="s">
        <v>225</v>
      </c>
      <c r="P723" s="1" t="s">
        <v>470</v>
      </c>
      <c r="Q723" s="1" t="s">
        <v>471</v>
      </c>
      <c r="R723" s="1" t="s">
        <v>228</v>
      </c>
      <c r="S723" s="1" t="s">
        <v>472</v>
      </c>
      <c r="T723" s="1" t="s">
        <v>473</v>
      </c>
      <c r="U723" s="2" t="s">
        <v>2749</v>
      </c>
      <c r="V723" s="2" t="s">
        <v>47</v>
      </c>
      <c r="W723" s="2" t="s">
        <v>203</v>
      </c>
      <c r="X723" s="2">
        <v>106.855</v>
      </c>
    </row>
    <row r="724" spans="1:24" x14ac:dyDescent="0.3">
      <c r="A724">
        <v>18624</v>
      </c>
      <c r="B724" t="s">
        <v>2750</v>
      </c>
      <c r="C724" s="3">
        <v>41471</v>
      </c>
      <c r="D724" t="s">
        <v>62</v>
      </c>
      <c r="E724">
        <v>9</v>
      </c>
      <c r="F724" s="3">
        <f ca="1">41473+(RANDBETWEEN(1,10))</f>
        <v>41478</v>
      </c>
      <c r="G724" t="s">
        <v>26</v>
      </c>
      <c r="H724" t="s">
        <v>51</v>
      </c>
      <c r="I724" t="s">
        <v>86</v>
      </c>
      <c r="J724">
        <v>1310.9949999999999</v>
      </c>
      <c r="K724">
        <v>0.04</v>
      </c>
      <c r="L724">
        <v>0.59</v>
      </c>
      <c r="M724">
        <v>31.465</v>
      </c>
      <c r="N724">
        <v>541.97500000000002</v>
      </c>
      <c r="O724" s="1" t="s">
        <v>40</v>
      </c>
      <c r="P724" s="1" t="s">
        <v>2751</v>
      </c>
      <c r="Q724" s="1" t="s">
        <v>2752</v>
      </c>
      <c r="R724" s="1" t="s">
        <v>43</v>
      </c>
      <c r="S724" s="1" t="s">
        <v>2753</v>
      </c>
      <c r="T724" s="1" t="s">
        <v>2754</v>
      </c>
      <c r="U724" s="2" t="s">
        <v>2755</v>
      </c>
      <c r="V724" s="2" t="s">
        <v>47</v>
      </c>
      <c r="W724" s="2" t="s">
        <v>104</v>
      </c>
      <c r="X724" s="2">
        <v>143.39500000000001</v>
      </c>
    </row>
    <row r="725" spans="1:24" x14ac:dyDescent="0.3">
      <c r="A725">
        <v>18625</v>
      </c>
      <c r="B725" t="s">
        <v>2756</v>
      </c>
      <c r="C725" s="3">
        <v>40815</v>
      </c>
      <c r="D725" t="s">
        <v>50</v>
      </c>
      <c r="E725">
        <v>3</v>
      </c>
      <c r="F725" s="3">
        <f ca="1">40816+(RANDBETWEEN(1,10))</f>
        <v>40821</v>
      </c>
      <c r="G725" t="s">
        <v>26</v>
      </c>
      <c r="H725" t="s">
        <v>27</v>
      </c>
      <c r="I725" t="s">
        <v>28</v>
      </c>
      <c r="J725">
        <v>85.82</v>
      </c>
      <c r="K725">
        <v>0.02</v>
      </c>
      <c r="L725">
        <v>0.56000000000000005</v>
      </c>
      <c r="M725">
        <v>18.234999999999999</v>
      </c>
      <c r="N725">
        <v>27.09</v>
      </c>
      <c r="O725" s="1" t="s">
        <v>53</v>
      </c>
      <c r="P725" s="1" t="s">
        <v>2757</v>
      </c>
      <c r="Q725" s="1" t="s">
        <v>2758</v>
      </c>
      <c r="R725" s="1" t="s">
        <v>100</v>
      </c>
      <c r="S725" s="1" t="s">
        <v>2759</v>
      </c>
      <c r="T725" s="1" t="s">
        <v>2760</v>
      </c>
      <c r="U725" s="2" t="s">
        <v>256</v>
      </c>
      <c r="V725" s="2" t="s">
        <v>83</v>
      </c>
      <c r="W725" s="2" t="s">
        <v>178</v>
      </c>
      <c r="X725" s="2">
        <v>25.83</v>
      </c>
    </row>
    <row r="726" spans="1:24" x14ac:dyDescent="0.3">
      <c r="A726">
        <v>18626</v>
      </c>
      <c r="B726" t="s">
        <v>2761</v>
      </c>
      <c r="C726" s="3">
        <v>40970</v>
      </c>
      <c r="D726" t="s">
        <v>62</v>
      </c>
      <c r="E726">
        <v>5</v>
      </c>
      <c r="F726" s="3">
        <f ca="1">40972+(RANDBETWEEN(1,10))</f>
        <v>40976</v>
      </c>
      <c r="G726" t="s">
        <v>26</v>
      </c>
      <c r="H726" t="s">
        <v>27</v>
      </c>
      <c r="I726" t="s">
        <v>97</v>
      </c>
      <c r="J726">
        <v>179.79499999999999</v>
      </c>
      <c r="K726">
        <v>0.09</v>
      </c>
      <c r="L726">
        <v>0.59</v>
      </c>
      <c r="M726">
        <v>26.11</v>
      </c>
      <c r="N726">
        <v>-202.46799999999999</v>
      </c>
      <c r="O726" s="1" t="s">
        <v>53</v>
      </c>
      <c r="P726" s="1" t="s">
        <v>2762</v>
      </c>
      <c r="Q726" s="1" t="s">
        <v>2763</v>
      </c>
      <c r="R726" s="1" t="s">
        <v>100</v>
      </c>
      <c r="S726" s="1" t="s">
        <v>2764</v>
      </c>
      <c r="T726" s="1" t="s">
        <v>2765</v>
      </c>
      <c r="U726" s="2" t="s">
        <v>2766</v>
      </c>
      <c r="V726" s="2" t="s">
        <v>47</v>
      </c>
      <c r="W726" s="2" t="s">
        <v>119</v>
      </c>
      <c r="X726" s="2">
        <v>38.15</v>
      </c>
    </row>
    <row r="727" spans="1:24" x14ac:dyDescent="0.3">
      <c r="A727">
        <v>18627</v>
      </c>
      <c r="B727" t="s">
        <v>2767</v>
      </c>
      <c r="C727" s="3">
        <v>41569</v>
      </c>
      <c r="D727" t="s">
        <v>62</v>
      </c>
      <c r="E727">
        <v>2</v>
      </c>
      <c r="F727" s="3">
        <f ca="1">41570+(RANDBETWEEN(1,10))</f>
        <v>41572</v>
      </c>
      <c r="G727" t="s">
        <v>76</v>
      </c>
      <c r="H727" t="s">
        <v>258</v>
      </c>
      <c r="I727" t="s">
        <v>28</v>
      </c>
      <c r="J727">
        <v>1120.385</v>
      </c>
      <c r="K727">
        <v>7.0000000000000007E-2</v>
      </c>
      <c r="L727">
        <v>0.75</v>
      </c>
      <c r="M727">
        <v>137.375</v>
      </c>
      <c r="N727">
        <v>-1468.593126</v>
      </c>
      <c r="O727" s="1" t="s">
        <v>64</v>
      </c>
      <c r="P727" s="1" t="s">
        <v>2716</v>
      </c>
      <c r="Q727" s="1" t="s">
        <v>2717</v>
      </c>
      <c r="R727" s="1" t="s">
        <v>67</v>
      </c>
      <c r="S727" s="1" t="s">
        <v>2718</v>
      </c>
      <c r="T727" s="1" t="s">
        <v>2719</v>
      </c>
      <c r="U727" s="2" t="s">
        <v>342</v>
      </c>
      <c r="V727" s="2" t="s">
        <v>83</v>
      </c>
      <c r="W727" s="2" t="s">
        <v>263</v>
      </c>
      <c r="X727" s="2">
        <v>528.42999999999995</v>
      </c>
    </row>
    <row r="728" spans="1:24" x14ac:dyDescent="0.3">
      <c r="A728">
        <v>18628</v>
      </c>
      <c r="B728" t="s">
        <v>2768</v>
      </c>
      <c r="C728" s="3">
        <v>40667</v>
      </c>
      <c r="D728" t="s">
        <v>148</v>
      </c>
      <c r="E728">
        <v>13</v>
      </c>
      <c r="F728" s="3">
        <f ca="1">40669+(RANDBETWEEN(1,10))</f>
        <v>40676</v>
      </c>
      <c r="G728" t="s">
        <v>26</v>
      </c>
      <c r="H728" t="s">
        <v>27</v>
      </c>
      <c r="I728" t="s">
        <v>28</v>
      </c>
      <c r="J728">
        <v>233.27500000000001</v>
      </c>
      <c r="K728">
        <v>7.0000000000000007E-2</v>
      </c>
      <c r="L728">
        <v>0.39</v>
      </c>
      <c r="M728">
        <v>19.704999999999998</v>
      </c>
      <c r="N728">
        <v>-407.20925</v>
      </c>
      <c r="O728" s="1" t="s">
        <v>53</v>
      </c>
      <c r="P728" s="1" t="s">
        <v>2769</v>
      </c>
      <c r="Q728" s="1" t="s">
        <v>2770</v>
      </c>
      <c r="R728" s="1" t="s">
        <v>440</v>
      </c>
      <c r="S728" s="1" t="s">
        <v>2771</v>
      </c>
      <c r="T728" s="1" t="s">
        <v>2772</v>
      </c>
      <c r="U728" s="2" t="s">
        <v>2773</v>
      </c>
      <c r="V728" s="2" t="s">
        <v>47</v>
      </c>
      <c r="W728" s="2" t="s">
        <v>111</v>
      </c>
      <c r="X728" s="2">
        <v>18.690000000000001</v>
      </c>
    </row>
    <row r="729" spans="1:24" x14ac:dyDescent="0.3">
      <c r="A729">
        <v>18629</v>
      </c>
      <c r="B729" t="s">
        <v>2768</v>
      </c>
      <c r="C729" s="3">
        <v>40667</v>
      </c>
      <c r="D729" t="s">
        <v>148</v>
      </c>
      <c r="E729">
        <v>18</v>
      </c>
      <c r="F729" s="3">
        <f ca="1">40668+(RANDBETWEEN(1,10))</f>
        <v>40674</v>
      </c>
      <c r="G729" t="s">
        <v>76</v>
      </c>
      <c r="H729" t="s">
        <v>77</v>
      </c>
      <c r="I729" t="s">
        <v>28</v>
      </c>
      <c r="J729">
        <v>10269.56</v>
      </c>
      <c r="K729">
        <v>0.03</v>
      </c>
      <c r="L729">
        <v>0.62</v>
      </c>
      <c r="M729">
        <v>105</v>
      </c>
      <c r="N729">
        <v>4567.1499999999996</v>
      </c>
      <c r="O729" s="1" t="s">
        <v>53</v>
      </c>
      <c r="P729" s="1" t="s">
        <v>2769</v>
      </c>
      <c r="Q729" s="1" t="s">
        <v>2770</v>
      </c>
      <c r="R729" s="1" t="s">
        <v>440</v>
      </c>
      <c r="S729" s="1" t="s">
        <v>2771</v>
      </c>
      <c r="T729" s="1" t="s">
        <v>2772</v>
      </c>
      <c r="U729" s="2" t="s">
        <v>2089</v>
      </c>
      <c r="V729" s="2" t="s">
        <v>83</v>
      </c>
      <c r="W729" s="2" t="s">
        <v>84</v>
      </c>
      <c r="X729" s="2">
        <v>563.42999999999995</v>
      </c>
    </row>
    <row r="730" spans="1:24" x14ac:dyDescent="0.3">
      <c r="A730">
        <v>1863</v>
      </c>
      <c r="B730" t="s">
        <v>2774</v>
      </c>
      <c r="C730" s="3">
        <v>40588</v>
      </c>
      <c r="D730" t="s">
        <v>25</v>
      </c>
      <c r="E730">
        <v>4</v>
      </c>
      <c r="F730" s="3">
        <f ca="1">40590+(RANDBETWEEN(1,10))</f>
        <v>40591</v>
      </c>
      <c r="G730" t="s">
        <v>26</v>
      </c>
      <c r="H730" t="s">
        <v>281</v>
      </c>
      <c r="I730" t="s">
        <v>97</v>
      </c>
      <c r="J730">
        <v>898.69500000000005</v>
      </c>
      <c r="K730">
        <v>0.04</v>
      </c>
      <c r="L730">
        <v>0.64</v>
      </c>
      <c r="M730">
        <v>42.805</v>
      </c>
      <c r="N730">
        <v>407.77204999999998</v>
      </c>
      <c r="O730" s="1" t="s">
        <v>225</v>
      </c>
      <c r="P730" s="1" t="s">
        <v>347</v>
      </c>
      <c r="Q730" s="1" t="s">
        <v>348</v>
      </c>
      <c r="R730" s="1" t="s">
        <v>228</v>
      </c>
      <c r="S730" s="1" t="s">
        <v>349</v>
      </c>
      <c r="T730" s="1" t="s">
        <v>350</v>
      </c>
      <c r="U730" s="2" t="s">
        <v>2775</v>
      </c>
      <c r="V730" s="2" t="s">
        <v>83</v>
      </c>
      <c r="W730" s="2" t="s">
        <v>178</v>
      </c>
      <c r="X730" s="2">
        <v>212.27500000000001</v>
      </c>
    </row>
    <row r="731" spans="1:24" x14ac:dyDescent="0.3">
      <c r="A731">
        <v>18630</v>
      </c>
      <c r="B731" t="s">
        <v>2768</v>
      </c>
      <c r="C731" s="3">
        <v>40667</v>
      </c>
      <c r="D731" t="s">
        <v>148</v>
      </c>
      <c r="E731">
        <v>15</v>
      </c>
      <c r="F731" s="3">
        <f ca="1">40667+(RANDBETWEEN(1,10))</f>
        <v>40669</v>
      </c>
      <c r="G731" t="s">
        <v>156</v>
      </c>
      <c r="H731" t="s">
        <v>27</v>
      </c>
      <c r="I731" t="s">
        <v>28</v>
      </c>
      <c r="J731">
        <v>3069.08</v>
      </c>
      <c r="K731">
        <v>0.04</v>
      </c>
      <c r="L731">
        <v>0.56000000000000005</v>
      </c>
      <c r="M731">
        <v>19.704999999999998</v>
      </c>
      <c r="N731">
        <v>2117.6651999999999</v>
      </c>
      <c r="O731" s="1" t="s">
        <v>53</v>
      </c>
      <c r="P731" s="1" t="s">
        <v>2769</v>
      </c>
      <c r="Q731" s="1" t="s">
        <v>2770</v>
      </c>
      <c r="R731" s="1" t="s">
        <v>440</v>
      </c>
      <c r="S731" s="1" t="s">
        <v>2771</v>
      </c>
      <c r="T731" s="1" t="s">
        <v>2772</v>
      </c>
      <c r="U731" s="2">
        <v>2190</v>
      </c>
      <c r="V731" s="2" t="s">
        <v>36</v>
      </c>
      <c r="W731" s="2" t="s">
        <v>37</v>
      </c>
      <c r="X731" s="2">
        <v>230.965</v>
      </c>
    </row>
    <row r="732" spans="1:24" x14ac:dyDescent="0.3">
      <c r="A732">
        <v>18631</v>
      </c>
      <c r="B732" t="s">
        <v>2776</v>
      </c>
      <c r="C732" s="3">
        <v>41687</v>
      </c>
      <c r="D732" t="s">
        <v>39</v>
      </c>
      <c r="E732">
        <v>5</v>
      </c>
      <c r="F732" s="3">
        <f ca="1">41689+(RANDBETWEEN(1,10))</f>
        <v>41698</v>
      </c>
      <c r="G732" t="s">
        <v>26</v>
      </c>
      <c r="H732" t="s">
        <v>27</v>
      </c>
      <c r="I732" t="s">
        <v>97</v>
      </c>
      <c r="J732">
        <v>2268.3850000000002</v>
      </c>
      <c r="K732">
        <v>0.06</v>
      </c>
      <c r="L732">
        <v>0.55000000000000004</v>
      </c>
      <c r="M732">
        <v>13.65</v>
      </c>
      <c r="N732">
        <v>1499.652</v>
      </c>
      <c r="O732" s="1" t="s">
        <v>29</v>
      </c>
      <c r="P732" s="1" t="s">
        <v>968</v>
      </c>
      <c r="Q732" s="1" t="s">
        <v>969</v>
      </c>
      <c r="R732" s="1" t="s">
        <v>32</v>
      </c>
      <c r="S732" s="1" t="s">
        <v>970</v>
      </c>
      <c r="T732" s="1" t="s">
        <v>971</v>
      </c>
      <c r="U732" s="2" t="s">
        <v>1983</v>
      </c>
      <c r="V732" s="2" t="s">
        <v>36</v>
      </c>
      <c r="W732" s="2" t="s">
        <v>37</v>
      </c>
      <c r="X732" s="2">
        <v>545.96500000000003</v>
      </c>
    </row>
    <row r="733" spans="1:24" x14ac:dyDescent="0.3">
      <c r="A733">
        <v>18632</v>
      </c>
      <c r="B733" t="s">
        <v>2777</v>
      </c>
      <c r="C733" s="3">
        <v>41819</v>
      </c>
      <c r="D733" t="s">
        <v>25</v>
      </c>
      <c r="E733">
        <v>17</v>
      </c>
      <c r="F733" s="3">
        <f ca="1">41823+(RANDBETWEEN(1,10))</f>
        <v>41833</v>
      </c>
      <c r="G733" t="s">
        <v>26</v>
      </c>
      <c r="H733" t="s">
        <v>27</v>
      </c>
      <c r="I733" t="s">
        <v>28</v>
      </c>
      <c r="J733">
        <v>9625.14</v>
      </c>
      <c r="K733">
        <v>0.1</v>
      </c>
      <c r="L733">
        <v>0.4</v>
      </c>
      <c r="M733">
        <v>69.965000000000003</v>
      </c>
      <c r="N733">
        <v>6641.3465999999999</v>
      </c>
      <c r="O733" s="1" t="s">
        <v>87</v>
      </c>
      <c r="P733" s="1" t="s">
        <v>2778</v>
      </c>
      <c r="Q733" s="1" t="s">
        <v>2779</v>
      </c>
      <c r="R733" s="1" t="s">
        <v>398</v>
      </c>
      <c r="S733" s="1" t="s">
        <v>2780</v>
      </c>
      <c r="T733" s="1" t="s">
        <v>2781</v>
      </c>
      <c r="U733" s="2" t="s">
        <v>2782</v>
      </c>
      <c r="V733" s="2" t="s">
        <v>47</v>
      </c>
      <c r="W733" s="2" t="s">
        <v>111</v>
      </c>
      <c r="X733" s="2">
        <v>580.92999999999995</v>
      </c>
    </row>
    <row r="734" spans="1:24" x14ac:dyDescent="0.3">
      <c r="A734">
        <v>18633</v>
      </c>
      <c r="B734" t="s">
        <v>2783</v>
      </c>
      <c r="C734" s="3">
        <v>41415</v>
      </c>
      <c r="D734" t="s">
        <v>148</v>
      </c>
      <c r="E734">
        <v>5</v>
      </c>
      <c r="F734" s="3">
        <f ca="1">41415+(RANDBETWEEN(1,10))</f>
        <v>41421</v>
      </c>
      <c r="G734" t="s">
        <v>26</v>
      </c>
      <c r="H734" t="s">
        <v>51</v>
      </c>
      <c r="I734" t="s">
        <v>52</v>
      </c>
      <c r="J734">
        <v>457.1</v>
      </c>
      <c r="K734">
        <v>0.02</v>
      </c>
      <c r="L734">
        <v>0.5</v>
      </c>
      <c r="M734">
        <v>31.465</v>
      </c>
      <c r="N734">
        <v>315.399</v>
      </c>
      <c r="O734" s="1" t="s">
        <v>53</v>
      </c>
      <c r="P734" s="1" t="s">
        <v>2784</v>
      </c>
      <c r="Q734" s="1" t="s">
        <v>2785</v>
      </c>
      <c r="R734" s="1" t="s">
        <v>56</v>
      </c>
      <c r="S734" s="1" t="s">
        <v>2786</v>
      </c>
      <c r="T734" s="1" t="s">
        <v>2787</v>
      </c>
      <c r="U734" s="2" t="s">
        <v>2788</v>
      </c>
      <c r="V734" s="2" t="s">
        <v>83</v>
      </c>
      <c r="W734" s="2" t="s">
        <v>178</v>
      </c>
      <c r="X734" s="2">
        <v>88.83</v>
      </c>
    </row>
    <row r="735" spans="1:24" x14ac:dyDescent="0.3">
      <c r="A735">
        <v>18634</v>
      </c>
      <c r="B735" t="s">
        <v>2783</v>
      </c>
      <c r="C735" s="3">
        <v>41415</v>
      </c>
      <c r="D735" t="s">
        <v>148</v>
      </c>
      <c r="E735">
        <v>7</v>
      </c>
      <c r="F735" s="3">
        <f ca="1">41415+(RANDBETWEEN(1,10))</f>
        <v>41422</v>
      </c>
      <c r="G735" t="s">
        <v>26</v>
      </c>
      <c r="H735" t="s">
        <v>51</v>
      </c>
      <c r="I735" t="s">
        <v>52</v>
      </c>
      <c r="J735">
        <v>562.20500000000004</v>
      </c>
      <c r="K735">
        <v>0.02</v>
      </c>
      <c r="L735">
        <v>0.59</v>
      </c>
      <c r="M735">
        <v>31.465</v>
      </c>
      <c r="N735">
        <v>-69.72</v>
      </c>
      <c r="O735" s="1" t="s">
        <v>53</v>
      </c>
      <c r="P735" s="1" t="s">
        <v>2784</v>
      </c>
      <c r="Q735" s="1" t="s">
        <v>2785</v>
      </c>
      <c r="R735" s="1" t="s">
        <v>56</v>
      </c>
      <c r="S735" s="1" t="s">
        <v>2786</v>
      </c>
      <c r="T735" s="1" t="s">
        <v>2787</v>
      </c>
      <c r="U735" s="2" t="s">
        <v>2789</v>
      </c>
      <c r="V735" s="2" t="s">
        <v>47</v>
      </c>
      <c r="W735" s="2" t="s">
        <v>104</v>
      </c>
      <c r="X735" s="2">
        <v>74.83</v>
      </c>
    </row>
    <row r="736" spans="1:24" x14ac:dyDescent="0.3">
      <c r="A736">
        <v>18635</v>
      </c>
      <c r="B736" t="s">
        <v>2790</v>
      </c>
      <c r="C736" s="3">
        <v>40816</v>
      </c>
      <c r="D736" t="s">
        <v>62</v>
      </c>
      <c r="E736">
        <v>21</v>
      </c>
      <c r="F736" s="3">
        <f ca="1">40816+(RANDBETWEEN(1,10))</f>
        <v>40821</v>
      </c>
      <c r="G736" t="s">
        <v>26</v>
      </c>
      <c r="H736" t="s">
        <v>51</v>
      </c>
      <c r="I736" t="s">
        <v>28</v>
      </c>
      <c r="J736">
        <v>1552.81</v>
      </c>
      <c r="K736">
        <v>0.04</v>
      </c>
      <c r="L736">
        <v>0.59</v>
      </c>
      <c r="M736">
        <v>31.465</v>
      </c>
      <c r="N736">
        <v>-180.81</v>
      </c>
      <c r="O736" s="1" t="s">
        <v>53</v>
      </c>
      <c r="P736" s="1" t="s">
        <v>2791</v>
      </c>
      <c r="Q736" s="1" t="s">
        <v>2792</v>
      </c>
      <c r="R736" s="1" t="s">
        <v>100</v>
      </c>
      <c r="S736" s="1" t="s">
        <v>2793</v>
      </c>
      <c r="T736" s="1" t="s">
        <v>2794</v>
      </c>
      <c r="U736" s="2" t="s">
        <v>2789</v>
      </c>
      <c r="V736" s="2" t="s">
        <v>47</v>
      </c>
      <c r="W736" s="2" t="s">
        <v>104</v>
      </c>
      <c r="X736" s="2">
        <v>74.83</v>
      </c>
    </row>
    <row r="737" spans="1:24" x14ac:dyDescent="0.3">
      <c r="A737">
        <v>18636</v>
      </c>
      <c r="B737" t="s">
        <v>2795</v>
      </c>
      <c r="C737" s="3">
        <v>40575</v>
      </c>
      <c r="D737" t="s">
        <v>25</v>
      </c>
      <c r="E737">
        <v>4</v>
      </c>
      <c r="F737" s="3">
        <f ca="1">40580+(RANDBETWEEN(1,10))</f>
        <v>40588</v>
      </c>
      <c r="G737" t="s">
        <v>26</v>
      </c>
      <c r="H737" t="s">
        <v>27</v>
      </c>
      <c r="I737" t="s">
        <v>28</v>
      </c>
      <c r="J737">
        <v>45.674999999999997</v>
      </c>
      <c r="K737">
        <v>0.01</v>
      </c>
      <c r="L737">
        <v>0.37</v>
      </c>
      <c r="M737">
        <v>1.75</v>
      </c>
      <c r="N737">
        <v>31.515750000000001</v>
      </c>
      <c r="O737" s="1" t="s">
        <v>87</v>
      </c>
      <c r="P737" s="1" t="s">
        <v>2778</v>
      </c>
      <c r="Q737" s="1" t="s">
        <v>2779</v>
      </c>
      <c r="R737" s="1" t="s">
        <v>398</v>
      </c>
      <c r="S737" s="1" t="s">
        <v>2780</v>
      </c>
      <c r="T737" s="1" t="s">
        <v>2781</v>
      </c>
      <c r="U737" s="2" t="s">
        <v>377</v>
      </c>
      <c r="V737" s="2" t="s">
        <v>47</v>
      </c>
      <c r="W737" s="2" t="s">
        <v>203</v>
      </c>
      <c r="X737" s="2">
        <v>10.78</v>
      </c>
    </row>
    <row r="738" spans="1:24" x14ac:dyDescent="0.3">
      <c r="A738">
        <v>18637</v>
      </c>
      <c r="B738" t="s">
        <v>2796</v>
      </c>
      <c r="C738" s="3">
        <v>41192</v>
      </c>
      <c r="D738" t="s">
        <v>148</v>
      </c>
      <c r="E738">
        <v>18</v>
      </c>
      <c r="F738" s="3">
        <f ca="1">41194+(RANDBETWEEN(1,10))</f>
        <v>41199</v>
      </c>
      <c r="G738" t="s">
        <v>26</v>
      </c>
      <c r="H738" t="s">
        <v>96</v>
      </c>
      <c r="I738" t="s">
        <v>86</v>
      </c>
      <c r="J738">
        <v>451.15</v>
      </c>
      <c r="K738">
        <v>7.0000000000000007E-2</v>
      </c>
      <c r="L738">
        <v>0.42</v>
      </c>
      <c r="M738">
        <v>14</v>
      </c>
      <c r="N738">
        <v>45.563000000000002</v>
      </c>
      <c r="O738" s="1" t="s">
        <v>87</v>
      </c>
      <c r="P738" s="1" t="s">
        <v>2797</v>
      </c>
      <c r="Q738" s="1" t="s">
        <v>2798</v>
      </c>
      <c r="R738" s="1" t="s">
        <v>90</v>
      </c>
      <c r="S738" s="1" t="s">
        <v>2799</v>
      </c>
      <c r="T738" s="1" t="s">
        <v>2800</v>
      </c>
      <c r="U738" s="2" t="s">
        <v>2801</v>
      </c>
      <c r="V738" s="2" t="s">
        <v>83</v>
      </c>
      <c r="W738" s="2" t="s">
        <v>178</v>
      </c>
      <c r="X738" s="2">
        <v>26.565000000000001</v>
      </c>
    </row>
    <row r="739" spans="1:24" x14ac:dyDescent="0.3">
      <c r="A739">
        <v>18638</v>
      </c>
      <c r="B739" t="s">
        <v>2802</v>
      </c>
      <c r="C739" s="3">
        <v>40961</v>
      </c>
      <c r="D739" t="s">
        <v>148</v>
      </c>
      <c r="E739">
        <v>13</v>
      </c>
      <c r="F739" s="3">
        <f ca="1">40962+(RANDBETWEEN(1,10))</f>
        <v>40966</v>
      </c>
      <c r="G739" t="s">
        <v>26</v>
      </c>
      <c r="H739" t="s">
        <v>27</v>
      </c>
      <c r="I739" t="s">
        <v>86</v>
      </c>
      <c r="J739">
        <v>295.95999999999998</v>
      </c>
      <c r="K739">
        <v>0.05</v>
      </c>
      <c r="L739">
        <v>0.36</v>
      </c>
      <c r="M739">
        <v>18.445</v>
      </c>
      <c r="N739">
        <v>-277.9665</v>
      </c>
      <c r="O739" s="1" t="s">
        <v>225</v>
      </c>
      <c r="P739" s="1" t="s">
        <v>2803</v>
      </c>
      <c r="Q739" s="1" t="s">
        <v>2804</v>
      </c>
      <c r="R739" s="1" t="s">
        <v>228</v>
      </c>
      <c r="S739" s="1" t="s">
        <v>2805</v>
      </c>
      <c r="T739" s="1" t="s">
        <v>2806</v>
      </c>
      <c r="U739" s="2" t="s">
        <v>588</v>
      </c>
      <c r="V739" s="2" t="s">
        <v>47</v>
      </c>
      <c r="W739" s="2" t="s">
        <v>111</v>
      </c>
      <c r="X739" s="2">
        <v>22.89</v>
      </c>
    </row>
    <row r="740" spans="1:24" x14ac:dyDescent="0.3">
      <c r="A740">
        <v>18639</v>
      </c>
      <c r="B740" t="s">
        <v>2807</v>
      </c>
      <c r="C740" s="3">
        <v>41571</v>
      </c>
      <c r="D740" t="s">
        <v>25</v>
      </c>
      <c r="E740">
        <v>21</v>
      </c>
      <c r="F740" s="3">
        <f ca="1">41576+(RANDBETWEEN(1,10))</f>
        <v>41579</v>
      </c>
      <c r="G740" t="s">
        <v>76</v>
      </c>
      <c r="H740" t="s">
        <v>258</v>
      </c>
      <c r="I740" t="s">
        <v>97</v>
      </c>
      <c r="J740">
        <v>10387.615</v>
      </c>
      <c r="K740">
        <v>0.06</v>
      </c>
      <c r="L740">
        <v>0.64</v>
      </c>
      <c r="M740">
        <v>153.125</v>
      </c>
      <c r="N740">
        <v>-1336.8343387</v>
      </c>
      <c r="O740" s="1" t="s">
        <v>64</v>
      </c>
      <c r="P740" s="1" t="s">
        <v>2716</v>
      </c>
      <c r="Q740" s="1" t="s">
        <v>2717</v>
      </c>
      <c r="R740" s="1" t="s">
        <v>67</v>
      </c>
      <c r="S740" s="1" t="s">
        <v>2718</v>
      </c>
      <c r="T740" s="1" t="s">
        <v>2719</v>
      </c>
      <c r="U740" s="2" t="s">
        <v>262</v>
      </c>
      <c r="V740" s="2" t="s">
        <v>83</v>
      </c>
      <c r="W740" s="2" t="s">
        <v>263</v>
      </c>
      <c r="X740" s="2">
        <v>512.19000000000005</v>
      </c>
    </row>
    <row r="741" spans="1:24" x14ac:dyDescent="0.3">
      <c r="A741">
        <v>18640</v>
      </c>
      <c r="B741" t="s">
        <v>2808</v>
      </c>
      <c r="C741" s="3">
        <v>40662</v>
      </c>
      <c r="D741" t="s">
        <v>148</v>
      </c>
      <c r="E741">
        <v>7</v>
      </c>
      <c r="F741" s="3">
        <f ca="1">40663+(RANDBETWEEN(1,10))</f>
        <v>40665</v>
      </c>
      <c r="G741" t="s">
        <v>26</v>
      </c>
      <c r="H741" t="s">
        <v>27</v>
      </c>
      <c r="I741" t="s">
        <v>52</v>
      </c>
      <c r="J741">
        <v>2486.2600000000002</v>
      </c>
      <c r="K741">
        <v>0.08</v>
      </c>
      <c r="L741">
        <v>0.59</v>
      </c>
      <c r="M741">
        <v>26.914999999999999</v>
      </c>
      <c r="N741">
        <v>1311.1875</v>
      </c>
      <c r="O741" s="1" t="s">
        <v>29</v>
      </c>
      <c r="P741" s="1" t="s">
        <v>2085</v>
      </c>
      <c r="Q741" s="1" t="s">
        <v>2086</v>
      </c>
      <c r="R741" s="1" t="s">
        <v>32</v>
      </c>
      <c r="S741" s="1" t="s">
        <v>2087</v>
      </c>
      <c r="T741" s="1" t="s">
        <v>2088</v>
      </c>
      <c r="U741" s="2" t="s">
        <v>2809</v>
      </c>
      <c r="V741" s="2" t="s">
        <v>36</v>
      </c>
      <c r="W741" s="2" t="s">
        <v>37</v>
      </c>
      <c r="X741" s="2">
        <v>440.96499999999997</v>
      </c>
    </row>
    <row r="742" spans="1:24" x14ac:dyDescent="0.3">
      <c r="A742">
        <v>18641</v>
      </c>
      <c r="B742" t="s">
        <v>2810</v>
      </c>
      <c r="C742" s="3">
        <v>41714</v>
      </c>
      <c r="D742" t="s">
        <v>62</v>
      </c>
      <c r="E742">
        <v>2</v>
      </c>
      <c r="F742" s="3">
        <f ca="1">41715+(RANDBETWEEN(1,10))</f>
        <v>41717</v>
      </c>
      <c r="G742" t="s">
        <v>26</v>
      </c>
      <c r="H742" t="s">
        <v>281</v>
      </c>
      <c r="I742" t="s">
        <v>52</v>
      </c>
      <c r="J742">
        <v>887.95</v>
      </c>
      <c r="K742">
        <v>0.02</v>
      </c>
      <c r="L742">
        <v>0.36</v>
      </c>
      <c r="M742">
        <v>24.885000000000002</v>
      </c>
      <c r="N742">
        <v>173.07499999999999</v>
      </c>
      <c r="O742" s="1" t="s">
        <v>53</v>
      </c>
      <c r="P742" s="1" t="s">
        <v>1720</v>
      </c>
      <c r="Q742" s="1" t="s">
        <v>1721</v>
      </c>
      <c r="R742" s="1" t="s">
        <v>56</v>
      </c>
      <c r="S742" s="1" t="s">
        <v>1722</v>
      </c>
      <c r="T742" s="1" t="s">
        <v>1723</v>
      </c>
      <c r="U742" s="2" t="s">
        <v>2811</v>
      </c>
      <c r="V742" s="2" t="s">
        <v>36</v>
      </c>
      <c r="W742" s="2" t="s">
        <v>142</v>
      </c>
      <c r="X742" s="2">
        <v>423.39499999999998</v>
      </c>
    </row>
    <row r="743" spans="1:24" x14ac:dyDescent="0.3">
      <c r="A743">
        <v>18642</v>
      </c>
      <c r="B743" t="s">
        <v>2812</v>
      </c>
      <c r="C743" s="3">
        <v>40630</v>
      </c>
      <c r="D743" t="s">
        <v>148</v>
      </c>
      <c r="E743">
        <v>11</v>
      </c>
      <c r="F743" s="3">
        <f ca="1">40631+(RANDBETWEEN(1,10))</f>
        <v>40638</v>
      </c>
      <c r="G743" t="s">
        <v>26</v>
      </c>
      <c r="H743" t="s">
        <v>27</v>
      </c>
      <c r="I743" t="s">
        <v>86</v>
      </c>
      <c r="J743">
        <v>270.2</v>
      </c>
      <c r="K743">
        <v>0.05</v>
      </c>
      <c r="L743">
        <v>0.37</v>
      </c>
      <c r="M743">
        <v>24.254999999999999</v>
      </c>
      <c r="N743">
        <v>-8.2319999999999993</v>
      </c>
      <c r="O743" s="1" t="s">
        <v>53</v>
      </c>
      <c r="P743" s="1" t="s">
        <v>2813</v>
      </c>
      <c r="Q743" s="1" t="s">
        <v>2814</v>
      </c>
      <c r="R743" s="1" t="s">
        <v>56</v>
      </c>
      <c r="S743" s="1" t="s">
        <v>2815</v>
      </c>
      <c r="T743" s="1" t="s">
        <v>2816</v>
      </c>
      <c r="U743" s="2" t="s">
        <v>2817</v>
      </c>
      <c r="V743" s="2" t="s">
        <v>47</v>
      </c>
      <c r="W743" s="2" t="s">
        <v>74</v>
      </c>
      <c r="X743" s="2">
        <v>23.38</v>
      </c>
    </row>
    <row r="744" spans="1:24" x14ac:dyDescent="0.3">
      <c r="A744">
        <v>18643</v>
      </c>
      <c r="B744" t="s">
        <v>2818</v>
      </c>
      <c r="C744" s="3">
        <v>40924</v>
      </c>
      <c r="D744" t="s">
        <v>50</v>
      </c>
      <c r="E744">
        <v>8</v>
      </c>
      <c r="F744" s="3">
        <f ca="1">40926+(RANDBETWEEN(1,10))</f>
        <v>40928</v>
      </c>
      <c r="G744" t="s">
        <v>26</v>
      </c>
      <c r="H744" t="s">
        <v>96</v>
      </c>
      <c r="I744" t="s">
        <v>86</v>
      </c>
      <c r="J744">
        <v>107.24</v>
      </c>
      <c r="K744">
        <v>0.08</v>
      </c>
      <c r="L744">
        <v>0.37</v>
      </c>
      <c r="M744">
        <v>4.55</v>
      </c>
      <c r="N744">
        <v>70.862399999999994</v>
      </c>
      <c r="O744" s="1" t="s">
        <v>87</v>
      </c>
      <c r="P744" s="1" t="s">
        <v>2819</v>
      </c>
      <c r="Q744" s="1" t="s">
        <v>2820</v>
      </c>
      <c r="R744" s="1" t="s">
        <v>646</v>
      </c>
      <c r="S744" s="1" t="s">
        <v>2821</v>
      </c>
      <c r="T744" s="1" t="s">
        <v>2822</v>
      </c>
      <c r="U744" s="2" t="s">
        <v>2823</v>
      </c>
      <c r="V744" s="2" t="s">
        <v>47</v>
      </c>
      <c r="W744" s="2" t="s">
        <v>74</v>
      </c>
      <c r="X744" s="2">
        <v>14</v>
      </c>
    </row>
    <row r="745" spans="1:24" x14ac:dyDescent="0.3">
      <c r="A745">
        <v>18644</v>
      </c>
      <c r="B745" t="s">
        <v>2818</v>
      </c>
      <c r="C745" s="3">
        <v>40924</v>
      </c>
      <c r="D745" t="s">
        <v>50</v>
      </c>
      <c r="E745">
        <v>1</v>
      </c>
      <c r="F745" s="3">
        <f ca="1">40925+(RANDBETWEEN(1,10))</f>
        <v>40929</v>
      </c>
      <c r="G745" t="s">
        <v>26</v>
      </c>
      <c r="H745" t="s">
        <v>27</v>
      </c>
      <c r="I745" t="s">
        <v>86</v>
      </c>
      <c r="J745">
        <v>28.98</v>
      </c>
      <c r="K745">
        <v>0.06</v>
      </c>
      <c r="L745">
        <v>0.36</v>
      </c>
      <c r="M745">
        <v>30.59</v>
      </c>
      <c r="N745">
        <v>-104.81100000000001</v>
      </c>
      <c r="O745" s="1" t="s">
        <v>87</v>
      </c>
      <c r="P745" s="1" t="s">
        <v>2819</v>
      </c>
      <c r="Q745" s="1" t="s">
        <v>2820</v>
      </c>
      <c r="R745" s="1" t="s">
        <v>646</v>
      </c>
      <c r="S745" s="1" t="s">
        <v>2821</v>
      </c>
      <c r="T745" s="1" t="s">
        <v>2822</v>
      </c>
      <c r="U745" s="2" t="s">
        <v>578</v>
      </c>
      <c r="V745" s="2" t="s">
        <v>47</v>
      </c>
      <c r="W745" s="2" t="s">
        <v>74</v>
      </c>
      <c r="X745" s="2">
        <v>22.68</v>
      </c>
    </row>
    <row r="746" spans="1:24" x14ac:dyDescent="0.3">
      <c r="A746">
        <v>18645</v>
      </c>
      <c r="B746" t="s">
        <v>2824</v>
      </c>
      <c r="C746" s="3">
        <v>40905</v>
      </c>
      <c r="D746" t="s">
        <v>39</v>
      </c>
      <c r="E746">
        <v>15</v>
      </c>
      <c r="F746" s="3">
        <f ca="1">40907+(RANDBETWEEN(1,10))</f>
        <v>40914</v>
      </c>
      <c r="G746" t="s">
        <v>76</v>
      </c>
      <c r="H746" t="s">
        <v>258</v>
      </c>
      <c r="I746" t="s">
        <v>97</v>
      </c>
      <c r="J746">
        <v>6120.415</v>
      </c>
      <c r="K746">
        <v>7.0000000000000007E-2</v>
      </c>
      <c r="L746">
        <v>0.35</v>
      </c>
      <c r="M746">
        <v>58.8</v>
      </c>
      <c r="N746">
        <v>4223.0863499999996</v>
      </c>
      <c r="O746" s="1" t="s">
        <v>53</v>
      </c>
      <c r="P746" s="1" t="s">
        <v>2306</v>
      </c>
      <c r="Q746" s="1" t="s">
        <v>2307</v>
      </c>
      <c r="R746" s="1" t="s">
        <v>100</v>
      </c>
      <c r="S746" s="1" t="s">
        <v>2308</v>
      </c>
      <c r="T746" s="1" t="s">
        <v>2309</v>
      </c>
      <c r="U746" s="2" t="s">
        <v>2825</v>
      </c>
      <c r="V746" s="2" t="s">
        <v>36</v>
      </c>
      <c r="W746" s="2" t="s">
        <v>142</v>
      </c>
      <c r="X746" s="2">
        <v>419.96499999999997</v>
      </c>
    </row>
    <row r="747" spans="1:24" x14ac:dyDescent="0.3">
      <c r="A747">
        <v>18646</v>
      </c>
      <c r="B747" t="s">
        <v>2826</v>
      </c>
      <c r="C747" s="3">
        <v>41894</v>
      </c>
      <c r="D747" t="s">
        <v>25</v>
      </c>
      <c r="E747">
        <v>24</v>
      </c>
      <c r="F747" s="3">
        <f ca="1">41899+(RANDBETWEEN(1,10))</f>
        <v>41903</v>
      </c>
      <c r="G747" t="s">
        <v>26</v>
      </c>
      <c r="H747" t="s">
        <v>27</v>
      </c>
      <c r="I747" t="s">
        <v>28</v>
      </c>
      <c r="J747">
        <v>527.73</v>
      </c>
      <c r="K747">
        <v>0.09</v>
      </c>
      <c r="L747">
        <v>0.37</v>
      </c>
      <c r="M747">
        <v>23.59</v>
      </c>
      <c r="N747">
        <v>-117.747</v>
      </c>
      <c r="O747" s="1" t="s">
        <v>87</v>
      </c>
      <c r="P747" s="1" t="s">
        <v>2381</v>
      </c>
      <c r="Q747" s="1" t="s">
        <v>2382</v>
      </c>
      <c r="R747" s="1" t="s">
        <v>90</v>
      </c>
      <c r="S747" s="1" t="s">
        <v>2383</v>
      </c>
      <c r="T747" s="1" t="s">
        <v>2384</v>
      </c>
      <c r="U747" s="2" t="s">
        <v>2671</v>
      </c>
      <c r="V747" s="2" t="s">
        <v>47</v>
      </c>
      <c r="W747" s="2" t="s">
        <v>74</v>
      </c>
      <c r="X747" s="2">
        <v>22.68</v>
      </c>
    </row>
    <row r="748" spans="1:24" x14ac:dyDescent="0.3">
      <c r="A748">
        <v>18647</v>
      </c>
      <c r="B748" t="s">
        <v>2826</v>
      </c>
      <c r="C748" s="3">
        <v>41894</v>
      </c>
      <c r="D748" t="s">
        <v>25</v>
      </c>
      <c r="E748">
        <v>25</v>
      </c>
      <c r="F748" s="3">
        <f ca="1">41901+(RANDBETWEEN(1,10))</f>
        <v>41902</v>
      </c>
      <c r="G748" t="s">
        <v>26</v>
      </c>
      <c r="H748" t="s">
        <v>27</v>
      </c>
      <c r="I748" t="s">
        <v>28</v>
      </c>
      <c r="J748">
        <v>1320.0250000000001</v>
      </c>
      <c r="K748">
        <v>0.01</v>
      </c>
      <c r="L748">
        <v>0.43</v>
      </c>
      <c r="M748">
        <v>46.62</v>
      </c>
      <c r="N748">
        <v>-3.4790000000000001</v>
      </c>
      <c r="O748" s="1" t="s">
        <v>53</v>
      </c>
      <c r="P748" s="1" t="s">
        <v>2827</v>
      </c>
      <c r="Q748" s="1" t="s">
        <v>2828</v>
      </c>
      <c r="R748" s="1" t="s">
        <v>100</v>
      </c>
      <c r="S748" s="1" t="s">
        <v>2829</v>
      </c>
      <c r="T748" s="1" t="s">
        <v>2830</v>
      </c>
      <c r="U748" s="2" t="s">
        <v>1840</v>
      </c>
      <c r="V748" s="2" t="s">
        <v>47</v>
      </c>
      <c r="W748" s="2" t="s">
        <v>71</v>
      </c>
      <c r="X748" s="2">
        <v>51.835000000000001</v>
      </c>
    </row>
    <row r="749" spans="1:24" x14ac:dyDescent="0.3">
      <c r="A749">
        <v>18648</v>
      </c>
      <c r="B749" t="s">
        <v>2826</v>
      </c>
      <c r="C749" s="3">
        <v>41894</v>
      </c>
      <c r="D749" t="s">
        <v>25</v>
      </c>
      <c r="E749">
        <v>8</v>
      </c>
      <c r="F749" s="3">
        <f ca="1">41901+(RANDBETWEEN(1,10))</f>
        <v>41905</v>
      </c>
      <c r="G749" t="s">
        <v>26</v>
      </c>
      <c r="H749" t="s">
        <v>51</v>
      </c>
      <c r="I749" t="s">
        <v>28</v>
      </c>
      <c r="J749">
        <v>550.02499999999998</v>
      </c>
      <c r="K749">
        <v>7.0000000000000007E-2</v>
      </c>
      <c r="L749">
        <v>0.49</v>
      </c>
      <c r="M749">
        <v>23.344999999999999</v>
      </c>
      <c r="N749">
        <v>-281.95089999999999</v>
      </c>
      <c r="O749" s="1" t="s">
        <v>53</v>
      </c>
      <c r="P749" s="1" t="s">
        <v>2827</v>
      </c>
      <c r="Q749" s="1" t="s">
        <v>2828</v>
      </c>
      <c r="R749" s="1" t="s">
        <v>100</v>
      </c>
      <c r="S749" s="1" t="s">
        <v>2829</v>
      </c>
      <c r="T749" s="1" t="s">
        <v>2830</v>
      </c>
      <c r="U749" s="2" t="s">
        <v>2831</v>
      </c>
      <c r="V749" s="2" t="s">
        <v>83</v>
      </c>
      <c r="W749" s="2" t="s">
        <v>178</v>
      </c>
      <c r="X749" s="2">
        <v>70.84</v>
      </c>
    </row>
    <row r="750" spans="1:24" x14ac:dyDescent="0.3">
      <c r="A750">
        <v>18649</v>
      </c>
      <c r="B750" t="s">
        <v>2832</v>
      </c>
      <c r="C750" s="3">
        <v>41608</v>
      </c>
      <c r="D750" t="s">
        <v>39</v>
      </c>
      <c r="E750">
        <v>34</v>
      </c>
      <c r="F750" s="3">
        <f ca="1">41609+(RANDBETWEEN(1,10))</f>
        <v>41612</v>
      </c>
      <c r="G750" t="s">
        <v>26</v>
      </c>
      <c r="H750" t="s">
        <v>27</v>
      </c>
      <c r="I750" t="s">
        <v>86</v>
      </c>
      <c r="J750">
        <v>5251.0150000000003</v>
      </c>
      <c r="K750">
        <v>0.05</v>
      </c>
      <c r="L750">
        <v>0.39</v>
      </c>
      <c r="M750">
        <v>10.465</v>
      </c>
      <c r="N750">
        <v>3623.2003500000001</v>
      </c>
      <c r="O750" s="1" t="s">
        <v>53</v>
      </c>
      <c r="P750" s="1" t="s">
        <v>2833</v>
      </c>
      <c r="Q750" s="1" t="s">
        <v>2834</v>
      </c>
      <c r="R750" s="1" t="s">
        <v>440</v>
      </c>
      <c r="S750" s="1" t="s">
        <v>2835</v>
      </c>
      <c r="T750" s="1" t="s">
        <v>2836</v>
      </c>
      <c r="U750" s="2" t="s">
        <v>2837</v>
      </c>
      <c r="V750" s="2" t="s">
        <v>47</v>
      </c>
      <c r="W750" s="2" t="s">
        <v>111</v>
      </c>
      <c r="X750" s="2">
        <v>151.935</v>
      </c>
    </row>
    <row r="751" spans="1:24" x14ac:dyDescent="0.3">
      <c r="A751">
        <v>18650</v>
      </c>
      <c r="B751" t="s">
        <v>2838</v>
      </c>
      <c r="C751" s="3">
        <v>41227</v>
      </c>
      <c r="D751" t="s">
        <v>50</v>
      </c>
      <c r="E751">
        <v>24</v>
      </c>
      <c r="F751" s="3">
        <f ca="1">41228+(RANDBETWEEN(1,10))</f>
        <v>41238</v>
      </c>
      <c r="G751" t="s">
        <v>76</v>
      </c>
      <c r="H751" t="s">
        <v>258</v>
      </c>
      <c r="I751" t="s">
        <v>52</v>
      </c>
      <c r="J751">
        <v>22153.634999999998</v>
      </c>
      <c r="K751">
        <v>0.09</v>
      </c>
      <c r="L751">
        <v>0.78</v>
      </c>
      <c r="M751">
        <v>286.93</v>
      </c>
      <c r="N751">
        <v>1611.0694599999999</v>
      </c>
      <c r="O751" s="1" t="s">
        <v>29</v>
      </c>
      <c r="P751" s="1" t="s">
        <v>2839</v>
      </c>
      <c r="Q751" s="1" t="s">
        <v>2840</v>
      </c>
      <c r="R751" s="1" t="s">
        <v>32</v>
      </c>
      <c r="S751" s="1" t="s">
        <v>1060</v>
      </c>
      <c r="T751" s="1" t="s">
        <v>1061</v>
      </c>
      <c r="U751" s="2" t="s">
        <v>1073</v>
      </c>
      <c r="V751" s="2" t="s">
        <v>83</v>
      </c>
      <c r="W751" s="2" t="s">
        <v>263</v>
      </c>
      <c r="X751" s="2">
        <v>983.43</v>
      </c>
    </row>
    <row r="752" spans="1:24" x14ac:dyDescent="0.3">
      <c r="A752">
        <v>18651</v>
      </c>
      <c r="B752" t="s">
        <v>2841</v>
      </c>
      <c r="C752" s="3">
        <v>41885</v>
      </c>
      <c r="D752" t="s">
        <v>50</v>
      </c>
      <c r="E752">
        <v>13</v>
      </c>
      <c r="F752" s="3">
        <f ca="1">41887+(RANDBETWEEN(1,10))</f>
        <v>41894</v>
      </c>
      <c r="G752" t="s">
        <v>26</v>
      </c>
      <c r="H752" t="s">
        <v>27</v>
      </c>
      <c r="I752" t="s">
        <v>97</v>
      </c>
      <c r="J752">
        <v>4232.2700000000004</v>
      </c>
      <c r="K752">
        <v>0.02</v>
      </c>
      <c r="L752">
        <v>0.4</v>
      </c>
      <c r="M752">
        <v>69.965000000000003</v>
      </c>
      <c r="N752">
        <v>2796.8598000000002</v>
      </c>
      <c r="O752" s="1" t="s">
        <v>87</v>
      </c>
      <c r="P752" s="1" t="s">
        <v>2842</v>
      </c>
      <c r="Q752" s="1" t="s">
        <v>2843</v>
      </c>
      <c r="R752" s="1" t="s">
        <v>398</v>
      </c>
      <c r="S752" s="1" t="s">
        <v>2733</v>
      </c>
      <c r="T752" s="1" t="s">
        <v>2844</v>
      </c>
      <c r="U752" s="2" t="s">
        <v>2845</v>
      </c>
      <c r="V752" s="2" t="s">
        <v>47</v>
      </c>
      <c r="W752" s="2" t="s">
        <v>48</v>
      </c>
      <c r="X752" s="2">
        <v>316.68</v>
      </c>
    </row>
    <row r="753" spans="1:24" x14ac:dyDescent="0.3">
      <c r="A753">
        <v>18652</v>
      </c>
      <c r="B753" t="s">
        <v>2846</v>
      </c>
      <c r="C753" s="3">
        <v>40810</v>
      </c>
      <c r="D753" t="s">
        <v>148</v>
      </c>
      <c r="E753">
        <v>20</v>
      </c>
      <c r="F753" s="3">
        <f ca="1">40812+(RANDBETWEEN(1,10))</f>
        <v>40814</v>
      </c>
      <c r="G753" t="s">
        <v>76</v>
      </c>
      <c r="H753" t="s">
        <v>77</v>
      </c>
      <c r="I753" t="s">
        <v>28</v>
      </c>
      <c r="J753">
        <v>4807.1450000000004</v>
      </c>
      <c r="K753">
        <v>7.0000000000000007E-2</v>
      </c>
      <c r="L753">
        <v>0.73</v>
      </c>
      <c r="M753">
        <v>105</v>
      </c>
      <c r="N753">
        <v>-780.32500000000005</v>
      </c>
      <c r="O753" s="1" t="s">
        <v>64</v>
      </c>
      <c r="P753" s="1" t="s">
        <v>2140</v>
      </c>
      <c r="Q753" s="1" t="s">
        <v>2141</v>
      </c>
      <c r="R753" s="1" t="s">
        <v>67</v>
      </c>
      <c r="S753" s="1" t="s">
        <v>2142</v>
      </c>
      <c r="T753" s="1" t="s">
        <v>2143</v>
      </c>
      <c r="U753" s="2" t="s">
        <v>2847</v>
      </c>
      <c r="V753" s="2" t="s">
        <v>83</v>
      </c>
      <c r="W753" s="2" t="s">
        <v>84</v>
      </c>
      <c r="X753" s="2">
        <v>248.43</v>
      </c>
    </row>
    <row r="754" spans="1:24" x14ac:dyDescent="0.3">
      <c r="A754">
        <v>18653</v>
      </c>
      <c r="B754" t="s">
        <v>2848</v>
      </c>
      <c r="C754" s="3">
        <v>41077</v>
      </c>
      <c r="D754" t="s">
        <v>25</v>
      </c>
      <c r="E754">
        <v>3</v>
      </c>
      <c r="F754" s="3">
        <f ca="1">41079+(RANDBETWEEN(1,10))</f>
        <v>41088</v>
      </c>
      <c r="G754" t="s">
        <v>26</v>
      </c>
      <c r="H754" t="s">
        <v>51</v>
      </c>
      <c r="I754" t="s">
        <v>86</v>
      </c>
      <c r="J754">
        <v>87.78</v>
      </c>
      <c r="K754">
        <v>0.09</v>
      </c>
      <c r="L754">
        <v>0.52</v>
      </c>
      <c r="M754">
        <v>6.9649999999999999</v>
      </c>
      <c r="N754">
        <v>-47.628</v>
      </c>
      <c r="O754" s="1" t="s">
        <v>87</v>
      </c>
      <c r="P754" s="1" t="s">
        <v>2849</v>
      </c>
      <c r="Q754" s="1" t="s">
        <v>2850</v>
      </c>
      <c r="R754" s="1" t="s">
        <v>398</v>
      </c>
      <c r="S754" s="1" t="s">
        <v>2851</v>
      </c>
      <c r="T754" s="1" t="s">
        <v>2852</v>
      </c>
      <c r="U754" s="2" t="s">
        <v>2853</v>
      </c>
      <c r="V754" s="2" t="s">
        <v>36</v>
      </c>
      <c r="W754" s="2" t="s">
        <v>60</v>
      </c>
      <c r="X754" s="2">
        <v>29.155000000000001</v>
      </c>
    </row>
    <row r="755" spans="1:24" x14ac:dyDescent="0.3">
      <c r="A755">
        <v>18654</v>
      </c>
      <c r="B755" t="s">
        <v>2848</v>
      </c>
      <c r="C755" s="3">
        <v>41077</v>
      </c>
      <c r="D755" t="s">
        <v>25</v>
      </c>
      <c r="E755">
        <v>11</v>
      </c>
      <c r="F755" s="3">
        <f ca="1">41081+(RANDBETWEEN(1,10))</f>
        <v>41082</v>
      </c>
      <c r="G755" t="s">
        <v>26</v>
      </c>
      <c r="H755" t="s">
        <v>27</v>
      </c>
      <c r="I755" t="s">
        <v>86</v>
      </c>
      <c r="J755">
        <v>593.88</v>
      </c>
      <c r="K755">
        <v>0.08</v>
      </c>
      <c r="L755">
        <v>0.38</v>
      </c>
      <c r="M755">
        <v>4.8650000000000002</v>
      </c>
      <c r="N755">
        <v>409.77719999999999</v>
      </c>
      <c r="O755" s="1" t="s">
        <v>87</v>
      </c>
      <c r="P755" s="1" t="s">
        <v>2849</v>
      </c>
      <c r="Q755" s="1" t="s">
        <v>2850</v>
      </c>
      <c r="R755" s="1" t="s">
        <v>398</v>
      </c>
      <c r="S755" s="1" t="s">
        <v>2851</v>
      </c>
      <c r="T755" s="1" t="s">
        <v>2852</v>
      </c>
      <c r="U755" s="2" t="s">
        <v>2854</v>
      </c>
      <c r="V755" s="2" t="s">
        <v>47</v>
      </c>
      <c r="W755" s="2" t="s">
        <v>48</v>
      </c>
      <c r="X755" s="2">
        <v>54.844999999999999</v>
      </c>
    </row>
    <row r="756" spans="1:24" x14ac:dyDescent="0.3">
      <c r="A756">
        <v>18655</v>
      </c>
      <c r="B756" t="s">
        <v>2855</v>
      </c>
      <c r="C756" s="3">
        <v>40917</v>
      </c>
      <c r="D756" t="s">
        <v>39</v>
      </c>
      <c r="E756">
        <v>8</v>
      </c>
      <c r="F756" s="3">
        <f ca="1">40917+(RANDBETWEEN(1,10))</f>
        <v>40925</v>
      </c>
      <c r="G756" t="s">
        <v>76</v>
      </c>
      <c r="H756" t="s">
        <v>77</v>
      </c>
      <c r="I756" t="s">
        <v>52</v>
      </c>
      <c r="J756">
        <v>14150.885</v>
      </c>
      <c r="K756">
        <v>0.03</v>
      </c>
      <c r="L756">
        <v>0.38</v>
      </c>
      <c r="M756">
        <v>98.49</v>
      </c>
      <c r="N756">
        <v>-272.14600000000002</v>
      </c>
      <c r="O756" s="1" t="s">
        <v>29</v>
      </c>
      <c r="P756" s="1" t="s">
        <v>2466</v>
      </c>
      <c r="Q756" s="1" t="s">
        <v>2467</v>
      </c>
      <c r="R756" s="1" t="s">
        <v>32</v>
      </c>
      <c r="S756" s="1" t="s">
        <v>2468</v>
      </c>
      <c r="T756" s="1" t="s">
        <v>2469</v>
      </c>
      <c r="U756" s="2" t="s">
        <v>720</v>
      </c>
      <c r="V756" s="2" t="s">
        <v>36</v>
      </c>
      <c r="W756" s="2" t="s">
        <v>142</v>
      </c>
      <c r="X756" s="2">
        <v>1753.43</v>
      </c>
    </row>
    <row r="757" spans="1:24" x14ac:dyDescent="0.3">
      <c r="A757">
        <v>18656</v>
      </c>
      <c r="B757" t="s">
        <v>2856</v>
      </c>
      <c r="C757" s="3">
        <v>41171</v>
      </c>
      <c r="D757" t="s">
        <v>148</v>
      </c>
      <c r="E757">
        <v>4</v>
      </c>
      <c r="F757" s="3">
        <f ca="1">41173+(RANDBETWEEN(1,10))</f>
        <v>41175</v>
      </c>
      <c r="G757" t="s">
        <v>26</v>
      </c>
      <c r="H757" t="s">
        <v>63</v>
      </c>
      <c r="I757" t="s">
        <v>28</v>
      </c>
      <c r="J757">
        <v>139.30000000000001</v>
      </c>
      <c r="K757">
        <v>0.06</v>
      </c>
      <c r="L757">
        <v>0.6</v>
      </c>
      <c r="M757">
        <v>171.5</v>
      </c>
      <c r="N757">
        <v>-1314.74</v>
      </c>
      <c r="O757" s="1" t="s">
        <v>87</v>
      </c>
      <c r="P757" s="1" t="s">
        <v>1261</v>
      </c>
      <c r="Q757" s="1" t="s">
        <v>1262</v>
      </c>
      <c r="R757" s="1" t="s">
        <v>497</v>
      </c>
      <c r="S757" s="1" t="s">
        <v>1263</v>
      </c>
      <c r="T757" s="1" t="s">
        <v>1264</v>
      </c>
      <c r="U757" s="2" t="s">
        <v>919</v>
      </c>
      <c r="V757" s="2" t="s">
        <v>47</v>
      </c>
      <c r="W757" s="2" t="s">
        <v>71</v>
      </c>
      <c r="X757" s="2">
        <v>15.68</v>
      </c>
    </row>
    <row r="758" spans="1:24" x14ac:dyDescent="0.3">
      <c r="A758">
        <v>18657</v>
      </c>
      <c r="B758" t="s">
        <v>2857</v>
      </c>
      <c r="C758" s="3">
        <v>41331</v>
      </c>
      <c r="D758" t="s">
        <v>62</v>
      </c>
      <c r="E758">
        <v>3</v>
      </c>
      <c r="F758" s="3">
        <f ca="1">41332+(RANDBETWEEN(1,10))</f>
        <v>41334</v>
      </c>
      <c r="G758" t="s">
        <v>26</v>
      </c>
      <c r="H758" t="s">
        <v>51</v>
      </c>
      <c r="I758" t="s">
        <v>28</v>
      </c>
      <c r="J758">
        <v>76.545000000000002</v>
      </c>
      <c r="K758">
        <v>0.08</v>
      </c>
      <c r="L758">
        <v>0.68</v>
      </c>
      <c r="M758">
        <v>12.32</v>
      </c>
      <c r="N758">
        <v>-139.09</v>
      </c>
      <c r="O758" s="1" t="s">
        <v>29</v>
      </c>
      <c r="P758" s="1" t="s">
        <v>2858</v>
      </c>
      <c r="Q758" s="1" t="s">
        <v>2859</v>
      </c>
      <c r="R758" s="1" t="s">
        <v>460</v>
      </c>
      <c r="S758" s="1" t="s">
        <v>2860</v>
      </c>
      <c r="T758" s="1" t="s">
        <v>2861</v>
      </c>
      <c r="U758" s="2" t="s">
        <v>2862</v>
      </c>
      <c r="V758" s="2" t="s">
        <v>36</v>
      </c>
      <c r="W758" s="2" t="s">
        <v>60</v>
      </c>
      <c r="X758" s="2">
        <v>25.48</v>
      </c>
    </row>
    <row r="759" spans="1:24" x14ac:dyDescent="0.3">
      <c r="A759">
        <v>18658</v>
      </c>
      <c r="B759" t="s">
        <v>2857</v>
      </c>
      <c r="C759" s="3">
        <v>41331</v>
      </c>
      <c r="D759" t="s">
        <v>62</v>
      </c>
      <c r="E759">
        <v>6</v>
      </c>
      <c r="F759" s="3">
        <f ca="1">41331+(RANDBETWEEN(1,10))</f>
        <v>41336</v>
      </c>
      <c r="G759" t="s">
        <v>156</v>
      </c>
      <c r="H759" t="s">
        <v>27</v>
      </c>
      <c r="I759" t="s">
        <v>28</v>
      </c>
      <c r="J759">
        <v>309.61</v>
      </c>
      <c r="K759">
        <v>0</v>
      </c>
      <c r="L759">
        <v>0.56000000000000005</v>
      </c>
      <c r="M759">
        <v>32.795000000000002</v>
      </c>
      <c r="N759">
        <v>-280.7</v>
      </c>
      <c r="O759" s="1" t="s">
        <v>29</v>
      </c>
      <c r="P759" s="1" t="s">
        <v>2858</v>
      </c>
      <c r="Q759" s="1" t="s">
        <v>2859</v>
      </c>
      <c r="R759" s="1" t="s">
        <v>460</v>
      </c>
      <c r="S759" s="1" t="s">
        <v>2860</v>
      </c>
      <c r="T759" s="1" t="s">
        <v>2861</v>
      </c>
      <c r="U759" s="2" t="s">
        <v>2863</v>
      </c>
      <c r="V759" s="2" t="s">
        <v>47</v>
      </c>
      <c r="W759" s="2" t="s">
        <v>119</v>
      </c>
      <c r="X759" s="2">
        <v>49.104999999999997</v>
      </c>
    </row>
    <row r="760" spans="1:24" x14ac:dyDescent="0.3">
      <c r="A760">
        <v>18659</v>
      </c>
      <c r="B760" t="s">
        <v>2864</v>
      </c>
      <c r="C760" s="3">
        <v>40805</v>
      </c>
      <c r="D760" t="s">
        <v>62</v>
      </c>
      <c r="E760">
        <v>14</v>
      </c>
      <c r="F760" s="3">
        <f ca="1">40805+(RANDBETWEEN(1,10))</f>
        <v>40807</v>
      </c>
      <c r="G760" t="s">
        <v>26</v>
      </c>
      <c r="H760" t="s">
        <v>27</v>
      </c>
      <c r="I760" t="s">
        <v>86</v>
      </c>
      <c r="J760">
        <v>1502.655</v>
      </c>
      <c r="K760">
        <v>0.08</v>
      </c>
      <c r="L760">
        <v>0.75</v>
      </c>
      <c r="M760">
        <v>14</v>
      </c>
      <c r="N760">
        <v>-157.745</v>
      </c>
      <c r="O760" s="1" t="s">
        <v>87</v>
      </c>
      <c r="P760" s="1" t="s">
        <v>2865</v>
      </c>
      <c r="Q760" s="1" t="s">
        <v>2866</v>
      </c>
      <c r="R760" s="1" t="s">
        <v>398</v>
      </c>
      <c r="S760" s="1" t="s">
        <v>2867</v>
      </c>
      <c r="T760" s="1" t="s">
        <v>2868</v>
      </c>
      <c r="U760" s="2" t="s">
        <v>216</v>
      </c>
      <c r="V760" s="2" t="s">
        <v>36</v>
      </c>
      <c r="W760" s="2" t="s">
        <v>60</v>
      </c>
      <c r="X760" s="2">
        <v>107.55500000000001</v>
      </c>
    </row>
    <row r="761" spans="1:24" x14ac:dyDescent="0.3">
      <c r="A761">
        <v>18660</v>
      </c>
      <c r="B761" t="s">
        <v>2864</v>
      </c>
      <c r="C761" s="3">
        <v>40805</v>
      </c>
      <c r="D761" t="s">
        <v>62</v>
      </c>
      <c r="E761">
        <v>3</v>
      </c>
      <c r="F761" s="3">
        <f ca="1">40807+(RANDBETWEEN(1,10))</f>
        <v>40808</v>
      </c>
      <c r="G761" t="s">
        <v>26</v>
      </c>
      <c r="H761" t="s">
        <v>27</v>
      </c>
      <c r="I761" t="s">
        <v>86</v>
      </c>
      <c r="J761">
        <v>156.31</v>
      </c>
      <c r="K761">
        <v>0.05</v>
      </c>
      <c r="L761">
        <v>0.57999999999999996</v>
      </c>
      <c r="M761">
        <v>12.25</v>
      </c>
      <c r="N761">
        <v>-29.855</v>
      </c>
      <c r="O761" s="1" t="s">
        <v>64</v>
      </c>
      <c r="P761" s="1" t="s">
        <v>2869</v>
      </c>
      <c r="Q761" s="1" t="s">
        <v>2870</v>
      </c>
      <c r="R761" s="1" t="s">
        <v>128</v>
      </c>
      <c r="S761" s="1" t="s">
        <v>521</v>
      </c>
      <c r="T761" s="1" t="s">
        <v>522</v>
      </c>
      <c r="U761" s="2" t="s">
        <v>2871</v>
      </c>
      <c r="V761" s="2" t="s">
        <v>47</v>
      </c>
      <c r="W761" s="2" t="s">
        <v>71</v>
      </c>
      <c r="X761" s="2">
        <v>50.96</v>
      </c>
    </row>
    <row r="762" spans="1:24" x14ac:dyDescent="0.3">
      <c r="A762">
        <v>18661</v>
      </c>
      <c r="B762" t="s">
        <v>2864</v>
      </c>
      <c r="C762" s="3">
        <v>40805</v>
      </c>
      <c r="D762" t="s">
        <v>62</v>
      </c>
      <c r="E762">
        <v>5</v>
      </c>
      <c r="F762" s="3">
        <f ca="1">40807+(RANDBETWEEN(1,10))</f>
        <v>40813</v>
      </c>
      <c r="G762" t="s">
        <v>26</v>
      </c>
      <c r="H762" t="s">
        <v>63</v>
      </c>
      <c r="I762" t="s">
        <v>86</v>
      </c>
      <c r="J762">
        <v>5669.8249999999998</v>
      </c>
      <c r="K762">
        <v>0</v>
      </c>
      <c r="L762">
        <v>0.5</v>
      </c>
      <c r="M762">
        <v>40.74</v>
      </c>
      <c r="N762">
        <v>1000.825</v>
      </c>
      <c r="O762" s="1" t="s">
        <v>64</v>
      </c>
      <c r="P762" s="1" t="s">
        <v>2869</v>
      </c>
      <c r="Q762" s="1" t="s">
        <v>2870</v>
      </c>
      <c r="R762" s="1" t="s">
        <v>128</v>
      </c>
      <c r="S762" s="1" t="s">
        <v>521</v>
      </c>
      <c r="T762" s="1" t="s">
        <v>522</v>
      </c>
      <c r="U762" s="2" t="s">
        <v>2872</v>
      </c>
      <c r="V762" s="2" t="s">
        <v>36</v>
      </c>
      <c r="W762" s="2" t="s">
        <v>1327</v>
      </c>
      <c r="X762" s="2">
        <v>1049.9649999999999</v>
      </c>
    </row>
    <row r="763" spans="1:24" x14ac:dyDescent="0.3">
      <c r="A763">
        <v>18662</v>
      </c>
      <c r="B763" t="s">
        <v>2873</v>
      </c>
      <c r="C763" s="3">
        <v>40676</v>
      </c>
      <c r="D763" t="s">
        <v>148</v>
      </c>
      <c r="E763">
        <v>12</v>
      </c>
      <c r="F763" s="3">
        <f ca="1">40677+(RANDBETWEEN(1,10))</f>
        <v>40685</v>
      </c>
      <c r="G763" t="s">
        <v>26</v>
      </c>
      <c r="H763" t="s">
        <v>51</v>
      </c>
      <c r="I763" t="s">
        <v>28</v>
      </c>
      <c r="J763">
        <v>2023.84</v>
      </c>
      <c r="K763">
        <v>0.01</v>
      </c>
      <c r="L763">
        <v>0.8</v>
      </c>
      <c r="M763">
        <v>17.5</v>
      </c>
      <c r="N763">
        <v>-201.39349999999999</v>
      </c>
      <c r="O763" s="1" t="s">
        <v>40</v>
      </c>
      <c r="P763" s="1" t="s">
        <v>2874</v>
      </c>
      <c r="Q763" s="1" t="s">
        <v>2875</v>
      </c>
      <c r="R763" s="1" t="s">
        <v>43</v>
      </c>
      <c r="S763" s="1" t="s">
        <v>576</v>
      </c>
      <c r="T763" s="1" t="s">
        <v>577</v>
      </c>
      <c r="U763" s="2" t="s">
        <v>2876</v>
      </c>
      <c r="V763" s="2" t="s">
        <v>36</v>
      </c>
      <c r="W763" s="2" t="s">
        <v>37</v>
      </c>
      <c r="X763" s="2">
        <v>195.965</v>
      </c>
    </row>
    <row r="764" spans="1:24" x14ac:dyDescent="0.3">
      <c r="A764">
        <v>18663</v>
      </c>
      <c r="B764" t="s">
        <v>2873</v>
      </c>
      <c r="C764" s="3">
        <v>40676</v>
      </c>
      <c r="D764" t="s">
        <v>148</v>
      </c>
      <c r="E764">
        <v>12</v>
      </c>
      <c r="F764" s="3">
        <f ca="1">40677+(RANDBETWEEN(1,10))</f>
        <v>40685</v>
      </c>
      <c r="G764" t="s">
        <v>26</v>
      </c>
      <c r="H764" t="s">
        <v>51</v>
      </c>
      <c r="I764" t="s">
        <v>28</v>
      </c>
      <c r="J764">
        <v>596.57500000000005</v>
      </c>
      <c r="K764">
        <v>0.06</v>
      </c>
      <c r="L764">
        <v>0.56000000000000005</v>
      </c>
      <c r="M764">
        <v>26.565000000000001</v>
      </c>
      <c r="N764">
        <v>-236.565</v>
      </c>
      <c r="O764" s="1" t="s">
        <v>29</v>
      </c>
      <c r="P764" s="1" t="s">
        <v>2839</v>
      </c>
      <c r="Q764" s="1" t="s">
        <v>2840</v>
      </c>
      <c r="R764" s="1" t="s">
        <v>32</v>
      </c>
      <c r="S764" s="1" t="s">
        <v>1060</v>
      </c>
      <c r="T764" s="1" t="s">
        <v>1061</v>
      </c>
      <c r="U764" s="2" t="s">
        <v>2877</v>
      </c>
      <c r="V764" s="2" t="s">
        <v>47</v>
      </c>
      <c r="W764" s="2" t="s">
        <v>94</v>
      </c>
      <c r="X764" s="2">
        <v>48.65</v>
      </c>
    </row>
    <row r="765" spans="1:24" x14ac:dyDescent="0.3">
      <c r="A765">
        <v>18664</v>
      </c>
      <c r="B765" t="s">
        <v>2873</v>
      </c>
      <c r="C765" s="3">
        <v>40676</v>
      </c>
      <c r="D765" t="s">
        <v>148</v>
      </c>
      <c r="E765">
        <v>3</v>
      </c>
      <c r="F765" s="3">
        <f ca="1">40677+(RANDBETWEEN(1,10))</f>
        <v>40680</v>
      </c>
      <c r="G765" t="s">
        <v>26</v>
      </c>
      <c r="H765" t="s">
        <v>27</v>
      </c>
      <c r="I765" t="s">
        <v>28</v>
      </c>
      <c r="J765">
        <v>1805.58</v>
      </c>
      <c r="K765">
        <v>0.03</v>
      </c>
      <c r="L765">
        <v>0.39</v>
      </c>
      <c r="M765">
        <v>69.965000000000003</v>
      </c>
      <c r="N765">
        <v>1025.99</v>
      </c>
      <c r="O765" s="1" t="s">
        <v>225</v>
      </c>
      <c r="P765" s="1" t="s">
        <v>2878</v>
      </c>
      <c r="Q765" s="1" t="s">
        <v>2879</v>
      </c>
      <c r="R765" s="1" t="s">
        <v>391</v>
      </c>
      <c r="S765" s="1" t="s">
        <v>2880</v>
      </c>
      <c r="T765" s="1" t="s">
        <v>2881</v>
      </c>
      <c r="U765" s="2" t="s">
        <v>2128</v>
      </c>
      <c r="V765" s="2" t="s">
        <v>47</v>
      </c>
      <c r="W765" s="2" t="s">
        <v>48</v>
      </c>
      <c r="X765" s="2">
        <v>570.255</v>
      </c>
    </row>
    <row r="766" spans="1:24" x14ac:dyDescent="0.3">
      <c r="A766">
        <v>18665</v>
      </c>
      <c r="B766" t="s">
        <v>2873</v>
      </c>
      <c r="C766" s="3">
        <v>40676</v>
      </c>
      <c r="D766" t="s">
        <v>148</v>
      </c>
      <c r="E766">
        <v>2</v>
      </c>
      <c r="F766" s="3">
        <f ca="1">40678+(RANDBETWEEN(1,10))</f>
        <v>40688</v>
      </c>
      <c r="G766" t="s">
        <v>26</v>
      </c>
      <c r="H766" t="s">
        <v>27</v>
      </c>
      <c r="I766" t="s">
        <v>28</v>
      </c>
      <c r="J766">
        <v>87.71</v>
      </c>
      <c r="K766">
        <v>0.01</v>
      </c>
      <c r="L766">
        <v>0.35</v>
      </c>
      <c r="M766">
        <v>20.02</v>
      </c>
      <c r="N766">
        <v>-23.135000000000002</v>
      </c>
      <c r="O766" s="1" t="s">
        <v>40</v>
      </c>
      <c r="P766" s="1" t="s">
        <v>2882</v>
      </c>
      <c r="Q766" s="1" t="s">
        <v>2883</v>
      </c>
      <c r="R766" s="1" t="s">
        <v>43</v>
      </c>
      <c r="S766" s="1" t="s">
        <v>2884</v>
      </c>
      <c r="T766" s="1" t="s">
        <v>2885</v>
      </c>
      <c r="U766" s="2" t="s">
        <v>2886</v>
      </c>
      <c r="V766" s="2" t="s">
        <v>47</v>
      </c>
      <c r="W766" s="2" t="s">
        <v>48</v>
      </c>
      <c r="X766" s="2">
        <v>40.53</v>
      </c>
    </row>
    <row r="767" spans="1:24" x14ac:dyDescent="0.3">
      <c r="A767">
        <v>18666</v>
      </c>
      <c r="B767" t="s">
        <v>2887</v>
      </c>
      <c r="C767" s="3">
        <v>41584</v>
      </c>
      <c r="D767" t="s">
        <v>62</v>
      </c>
      <c r="E767">
        <v>17</v>
      </c>
      <c r="F767" s="3">
        <f ca="1">41585+(RANDBETWEEN(1,10))</f>
        <v>41595</v>
      </c>
      <c r="G767" t="s">
        <v>26</v>
      </c>
      <c r="H767" t="s">
        <v>96</v>
      </c>
      <c r="I767" t="s">
        <v>28</v>
      </c>
      <c r="J767">
        <v>453.495</v>
      </c>
      <c r="K767">
        <v>0.08</v>
      </c>
      <c r="L767">
        <v>0.52</v>
      </c>
      <c r="M767">
        <v>12.88</v>
      </c>
      <c r="N767">
        <v>11.648</v>
      </c>
      <c r="O767" s="1" t="s">
        <v>53</v>
      </c>
      <c r="P767" s="1" t="s">
        <v>2537</v>
      </c>
      <c r="Q767" s="1" t="s">
        <v>2538</v>
      </c>
      <c r="R767" s="1" t="s">
        <v>100</v>
      </c>
      <c r="S767" s="1" t="s">
        <v>2539</v>
      </c>
      <c r="T767" s="1" t="s">
        <v>2540</v>
      </c>
      <c r="U767" s="2" t="s">
        <v>2888</v>
      </c>
      <c r="V767" s="2" t="s">
        <v>83</v>
      </c>
      <c r="W767" s="2" t="s">
        <v>178</v>
      </c>
      <c r="X767" s="2">
        <v>26.95</v>
      </c>
    </row>
    <row r="768" spans="1:24" x14ac:dyDescent="0.3">
      <c r="A768">
        <v>18667</v>
      </c>
      <c r="B768" t="s">
        <v>2889</v>
      </c>
      <c r="C768" s="3">
        <v>40651</v>
      </c>
      <c r="D768" t="s">
        <v>62</v>
      </c>
      <c r="E768">
        <v>6</v>
      </c>
      <c r="F768" s="3">
        <f ca="1">40652+(RANDBETWEEN(1,10))</f>
        <v>40656</v>
      </c>
      <c r="G768" t="s">
        <v>76</v>
      </c>
      <c r="H768" t="s">
        <v>77</v>
      </c>
      <c r="I768" t="s">
        <v>28</v>
      </c>
      <c r="J768">
        <v>2776.8649999999998</v>
      </c>
      <c r="K768">
        <v>0.02</v>
      </c>
      <c r="L768">
        <v>0.78</v>
      </c>
      <c r="M768">
        <v>105</v>
      </c>
      <c r="N768">
        <v>317.66699999999997</v>
      </c>
      <c r="O768" s="1" t="s">
        <v>53</v>
      </c>
      <c r="P768" s="1" t="s">
        <v>2890</v>
      </c>
      <c r="Q768" s="1" t="s">
        <v>2891</v>
      </c>
      <c r="R768" s="1" t="s">
        <v>440</v>
      </c>
      <c r="S768" s="1" t="s">
        <v>2892</v>
      </c>
      <c r="T768" s="1" t="s">
        <v>2893</v>
      </c>
      <c r="U768" s="2" t="s">
        <v>2894</v>
      </c>
      <c r="V768" s="2" t="s">
        <v>83</v>
      </c>
      <c r="W768" s="2" t="s">
        <v>84</v>
      </c>
      <c r="X768" s="2">
        <v>458.43</v>
      </c>
    </row>
    <row r="769" spans="1:24" x14ac:dyDescent="0.3">
      <c r="A769">
        <v>18668</v>
      </c>
      <c r="B769" t="s">
        <v>2895</v>
      </c>
      <c r="C769" s="3">
        <v>41237</v>
      </c>
      <c r="D769" t="s">
        <v>50</v>
      </c>
      <c r="E769">
        <v>3</v>
      </c>
      <c r="F769" s="3">
        <f ca="1">41239+(RANDBETWEEN(1,10))</f>
        <v>41241</v>
      </c>
      <c r="G769" t="s">
        <v>26</v>
      </c>
      <c r="H769" t="s">
        <v>96</v>
      </c>
      <c r="I769" t="s">
        <v>52</v>
      </c>
      <c r="J769">
        <v>46.97</v>
      </c>
      <c r="K769">
        <v>0</v>
      </c>
      <c r="L769">
        <v>0.52</v>
      </c>
      <c r="M769">
        <v>2.4500000000000002</v>
      </c>
      <c r="N769">
        <v>252.37799999999999</v>
      </c>
      <c r="O769" s="1" t="s">
        <v>87</v>
      </c>
      <c r="P769" s="1" t="s">
        <v>1424</v>
      </c>
      <c r="Q769" s="1" t="s">
        <v>1425</v>
      </c>
      <c r="R769" s="1" t="s">
        <v>646</v>
      </c>
      <c r="S769" s="1" t="s">
        <v>1426</v>
      </c>
      <c r="T769" s="1" t="s">
        <v>1427</v>
      </c>
      <c r="U769" s="2" t="s">
        <v>2896</v>
      </c>
      <c r="V769" s="2" t="s">
        <v>47</v>
      </c>
      <c r="W769" s="2" t="s">
        <v>104</v>
      </c>
      <c r="X769" s="2">
        <v>13.93</v>
      </c>
    </row>
    <row r="770" spans="1:24" x14ac:dyDescent="0.3">
      <c r="A770">
        <v>18669</v>
      </c>
      <c r="B770" t="s">
        <v>2897</v>
      </c>
      <c r="C770" s="3">
        <v>41517</v>
      </c>
      <c r="D770" t="s">
        <v>39</v>
      </c>
      <c r="E770">
        <v>5</v>
      </c>
      <c r="F770" s="3">
        <f ca="1">41518+(RANDBETWEEN(1,10))</f>
        <v>41519</v>
      </c>
      <c r="G770" t="s">
        <v>26</v>
      </c>
      <c r="H770" t="s">
        <v>27</v>
      </c>
      <c r="I770" t="s">
        <v>97</v>
      </c>
      <c r="J770">
        <v>1925.07</v>
      </c>
      <c r="K770">
        <v>0.04</v>
      </c>
      <c r="L770">
        <v>0.57999999999999996</v>
      </c>
      <c r="M770">
        <v>26.914999999999999</v>
      </c>
      <c r="N770">
        <v>-189.72953999999999</v>
      </c>
      <c r="O770" s="1" t="s">
        <v>87</v>
      </c>
      <c r="P770" s="1" t="s">
        <v>1472</v>
      </c>
      <c r="Q770" s="1" t="s">
        <v>1473</v>
      </c>
      <c r="R770" s="1" t="s">
        <v>90</v>
      </c>
      <c r="S770" s="1" t="s">
        <v>1474</v>
      </c>
      <c r="T770" s="1" t="s">
        <v>1475</v>
      </c>
      <c r="U770" s="2" t="s">
        <v>2511</v>
      </c>
      <c r="V770" s="2" t="s">
        <v>36</v>
      </c>
      <c r="W770" s="2" t="s">
        <v>37</v>
      </c>
      <c r="X770" s="2">
        <v>440.96499999999997</v>
      </c>
    </row>
    <row r="771" spans="1:24" x14ac:dyDescent="0.3">
      <c r="A771">
        <v>1867</v>
      </c>
      <c r="B771" t="s">
        <v>2898</v>
      </c>
      <c r="C771" s="3">
        <v>41195</v>
      </c>
      <c r="D771" t="s">
        <v>50</v>
      </c>
      <c r="E771">
        <v>40</v>
      </c>
      <c r="F771" s="3">
        <f ca="1">41197+(RANDBETWEEN(1,10))</f>
        <v>41201</v>
      </c>
      <c r="G771" t="s">
        <v>26</v>
      </c>
      <c r="H771" t="s">
        <v>51</v>
      </c>
      <c r="I771" t="s">
        <v>52</v>
      </c>
      <c r="J771">
        <v>6184.3249999999998</v>
      </c>
      <c r="K771">
        <v>7.0000000000000007E-2</v>
      </c>
      <c r="L771">
        <v>0.44</v>
      </c>
      <c r="M771">
        <v>6.9649999999999999</v>
      </c>
      <c r="N771">
        <v>913.89200000000005</v>
      </c>
      <c r="O771" s="1" t="s">
        <v>40</v>
      </c>
      <c r="P771" s="1" t="s">
        <v>2899</v>
      </c>
      <c r="Q771" s="1" t="s">
        <v>2900</v>
      </c>
      <c r="R771" s="1" t="s">
        <v>220</v>
      </c>
      <c r="S771" s="1" t="s">
        <v>221</v>
      </c>
      <c r="T771" s="1" t="s">
        <v>2901</v>
      </c>
      <c r="U771" s="2" t="s">
        <v>2902</v>
      </c>
      <c r="V771" s="2" t="s">
        <v>36</v>
      </c>
      <c r="W771" s="2" t="s">
        <v>60</v>
      </c>
      <c r="X771" s="2">
        <v>153.93</v>
      </c>
    </row>
    <row r="772" spans="1:24" x14ac:dyDescent="0.3">
      <c r="A772">
        <v>18670</v>
      </c>
      <c r="B772" t="s">
        <v>2897</v>
      </c>
      <c r="C772" s="3">
        <v>41517</v>
      </c>
      <c r="D772" t="s">
        <v>39</v>
      </c>
      <c r="E772">
        <v>25</v>
      </c>
      <c r="F772" s="3">
        <f ca="1">41519+(RANDBETWEEN(1,10))</f>
        <v>41523</v>
      </c>
      <c r="G772" t="s">
        <v>26</v>
      </c>
      <c r="H772" t="s">
        <v>27</v>
      </c>
      <c r="I772" t="s">
        <v>97</v>
      </c>
      <c r="J772">
        <v>328.72</v>
      </c>
      <c r="K772">
        <v>0.03</v>
      </c>
      <c r="L772">
        <v>0.37</v>
      </c>
      <c r="M772">
        <v>1.75</v>
      </c>
      <c r="N772">
        <v>226.8168</v>
      </c>
      <c r="O772" s="1" t="s">
        <v>225</v>
      </c>
      <c r="P772" s="1" t="s">
        <v>2903</v>
      </c>
      <c r="Q772" s="1" t="s">
        <v>2904</v>
      </c>
      <c r="R772" s="1" t="s">
        <v>391</v>
      </c>
      <c r="S772" s="1" t="s">
        <v>2905</v>
      </c>
      <c r="T772" s="1" t="s">
        <v>2906</v>
      </c>
      <c r="U772" s="2" t="s">
        <v>2907</v>
      </c>
      <c r="V772" s="2" t="s">
        <v>47</v>
      </c>
      <c r="W772" s="2" t="s">
        <v>203</v>
      </c>
      <c r="X772" s="2">
        <v>13.125</v>
      </c>
    </row>
    <row r="773" spans="1:24" x14ac:dyDescent="0.3">
      <c r="A773">
        <v>18671</v>
      </c>
      <c r="B773" t="s">
        <v>2897</v>
      </c>
      <c r="C773" s="3">
        <v>41517</v>
      </c>
      <c r="D773" t="s">
        <v>39</v>
      </c>
      <c r="E773">
        <v>1</v>
      </c>
      <c r="F773" s="3">
        <f ca="1">41519+(RANDBETWEEN(1,10))</f>
        <v>41525</v>
      </c>
      <c r="G773" t="s">
        <v>156</v>
      </c>
      <c r="H773" t="s">
        <v>27</v>
      </c>
      <c r="I773" t="s">
        <v>97</v>
      </c>
      <c r="J773">
        <v>57.854999999999997</v>
      </c>
      <c r="K773">
        <v>7.0000000000000007E-2</v>
      </c>
      <c r="L773">
        <v>0.38</v>
      </c>
      <c r="M773">
        <v>22.645</v>
      </c>
      <c r="N773">
        <v>-15.2516</v>
      </c>
      <c r="O773" s="1" t="s">
        <v>225</v>
      </c>
      <c r="P773" s="1" t="s">
        <v>2903</v>
      </c>
      <c r="Q773" s="1" t="s">
        <v>2904</v>
      </c>
      <c r="R773" s="1" t="s">
        <v>391</v>
      </c>
      <c r="S773" s="1" t="s">
        <v>2905</v>
      </c>
      <c r="T773" s="1" t="s">
        <v>2906</v>
      </c>
      <c r="U773" s="2" t="s">
        <v>2420</v>
      </c>
      <c r="V773" s="2" t="s">
        <v>47</v>
      </c>
      <c r="W773" s="2" t="s">
        <v>74</v>
      </c>
      <c r="X773" s="2">
        <v>42.98</v>
      </c>
    </row>
    <row r="774" spans="1:24" x14ac:dyDescent="0.3">
      <c r="A774">
        <v>18672</v>
      </c>
      <c r="B774" t="s">
        <v>2897</v>
      </c>
      <c r="C774" s="3">
        <v>41517</v>
      </c>
      <c r="D774" t="s">
        <v>39</v>
      </c>
      <c r="E774">
        <v>15</v>
      </c>
      <c r="F774" s="3">
        <f ca="1">41518+(RANDBETWEEN(1,10))</f>
        <v>41523</v>
      </c>
      <c r="G774" t="s">
        <v>26</v>
      </c>
      <c r="H774" t="s">
        <v>27</v>
      </c>
      <c r="I774" t="s">
        <v>97</v>
      </c>
      <c r="J774">
        <v>7442.75</v>
      </c>
      <c r="K774">
        <v>0.01</v>
      </c>
      <c r="L774">
        <v>0.57999999999999996</v>
      </c>
      <c r="M774">
        <v>31.465</v>
      </c>
      <c r="N774">
        <v>5135.4975000000004</v>
      </c>
      <c r="O774" s="1" t="s">
        <v>225</v>
      </c>
      <c r="P774" s="1" t="s">
        <v>2903</v>
      </c>
      <c r="Q774" s="1" t="s">
        <v>2904</v>
      </c>
      <c r="R774" s="1" t="s">
        <v>391</v>
      </c>
      <c r="S774" s="1" t="s">
        <v>2905</v>
      </c>
      <c r="T774" s="1" t="s">
        <v>2906</v>
      </c>
      <c r="U774" s="2" t="s">
        <v>1265</v>
      </c>
      <c r="V774" s="2" t="s">
        <v>36</v>
      </c>
      <c r="W774" s="2" t="s">
        <v>37</v>
      </c>
      <c r="X774" s="2">
        <v>545.96500000000003</v>
      </c>
    </row>
    <row r="775" spans="1:24" x14ac:dyDescent="0.3">
      <c r="A775">
        <v>18673</v>
      </c>
      <c r="B775" t="s">
        <v>2908</v>
      </c>
      <c r="C775" s="3">
        <v>41719</v>
      </c>
      <c r="D775" t="s">
        <v>50</v>
      </c>
      <c r="E775">
        <v>4</v>
      </c>
      <c r="F775" s="3">
        <f ca="1">41721+(RANDBETWEEN(1,10))</f>
        <v>41729</v>
      </c>
      <c r="G775" t="s">
        <v>26</v>
      </c>
      <c r="H775" t="s">
        <v>281</v>
      </c>
      <c r="I775" t="s">
        <v>28</v>
      </c>
      <c r="J775">
        <v>108.36</v>
      </c>
      <c r="K775">
        <v>0.09</v>
      </c>
      <c r="L775">
        <v>0.59</v>
      </c>
      <c r="M775">
        <v>22.75</v>
      </c>
      <c r="N775">
        <v>-250.04</v>
      </c>
      <c r="O775" s="1" t="s">
        <v>29</v>
      </c>
      <c r="P775" s="1" t="s">
        <v>2909</v>
      </c>
      <c r="Q775" s="1" t="s">
        <v>2910</v>
      </c>
      <c r="R775" s="1" t="s">
        <v>32</v>
      </c>
      <c r="S775" s="1" t="s">
        <v>2911</v>
      </c>
      <c r="T775" s="1" t="s">
        <v>2912</v>
      </c>
      <c r="U775" s="2" t="s">
        <v>2913</v>
      </c>
      <c r="V775" s="2" t="s">
        <v>47</v>
      </c>
      <c r="W775" s="2" t="s">
        <v>119</v>
      </c>
      <c r="X775" s="2">
        <v>27.93</v>
      </c>
    </row>
    <row r="776" spans="1:24" x14ac:dyDescent="0.3">
      <c r="A776">
        <v>18674</v>
      </c>
      <c r="B776" t="s">
        <v>2914</v>
      </c>
      <c r="C776" s="3">
        <v>42001</v>
      </c>
      <c r="D776" t="s">
        <v>50</v>
      </c>
      <c r="E776">
        <v>15</v>
      </c>
      <c r="F776" s="3">
        <f ca="1">42003+(RANDBETWEEN(1,10))</f>
        <v>42006</v>
      </c>
      <c r="G776" t="s">
        <v>26</v>
      </c>
      <c r="H776" t="s">
        <v>27</v>
      </c>
      <c r="I776" t="s">
        <v>86</v>
      </c>
      <c r="J776">
        <v>3704.2249999999999</v>
      </c>
      <c r="K776">
        <v>0.02</v>
      </c>
      <c r="L776">
        <v>0.4</v>
      </c>
      <c r="M776">
        <v>69.965000000000003</v>
      </c>
      <c r="N776">
        <v>2555.91525</v>
      </c>
      <c r="O776" s="1" t="s">
        <v>87</v>
      </c>
      <c r="P776" s="1" t="s">
        <v>2226</v>
      </c>
      <c r="Q776" s="1" t="s">
        <v>2227</v>
      </c>
      <c r="R776" s="1" t="s">
        <v>646</v>
      </c>
      <c r="S776" s="1" t="s">
        <v>2228</v>
      </c>
      <c r="T776" s="1" t="s">
        <v>2229</v>
      </c>
      <c r="U776" s="2" t="s">
        <v>2385</v>
      </c>
      <c r="V776" s="2" t="s">
        <v>47</v>
      </c>
      <c r="W776" s="2" t="s">
        <v>111</v>
      </c>
      <c r="X776" s="2">
        <v>235.48</v>
      </c>
    </row>
    <row r="777" spans="1:24" x14ac:dyDescent="0.3">
      <c r="A777">
        <v>18675</v>
      </c>
      <c r="B777" t="s">
        <v>2915</v>
      </c>
      <c r="C777" s="3">
        <v>40816</v>
      </c>
      <c r="D777" t="s">
        <v>62</v>
      </c>
      <c r="E777">
        <v>13</v>
      </c>
      <c r="F777" s="3">
        <f ca="1">40818+(RANDBETWEEN(1,10))</f>
        <v>40820</v>
      </c>
      <c r="G777" t="s">
        <v>26</v>
      </c>
      <c r="H777" t="s">
        <v>27</v>
      </c>
      <c r="I777" t="s">
        <v>28</v>
      </c>
      <c r="J777">
        <v>283.01</v>
      </c>
      <c r="K777">
        <v>0.08</v>
      </c>
      <c r="L777">
        <v>0.37</v>
      </c>
      <c r="M777">
        <v>26.215</v>
      </c>
      <c r="N777">
        <v>-417.62</v>
      </c>
      <c r="O777" s="1" t="s">
        <v>29</v>
      </c>
      <c r="P777" s="1" t="s">
        <v>661</v>
      </c>
      <c r="Q777" s="1" t="s">
        <v>662</v>
      </c>
      <c r="R777" s="1" t="s">
        <v>32</v>
      </c>
      <c r="S777" s="1" t="s">
        <v>663</v>
      </c>
      <c r="T777" s="1" t="s">
        <v>664</v>
      </c>
      <c r="U777" s="2" t="s">
        <v>2916</v>
      </c>
      <c r="V777" s="2" t="s">
        <v>47</v>
      </c>
      <c r="W777" s="2" t="s">
        <v>74</v>
      </c>
      <c r="X777" s="2">
        <v>22.68</v>
      </c>
    </row>
    <row r="778" spans="1:24" x14ac:dyDescent="0.3">
      <c r="A778">
        <v>18676</v>
      </c>
      <c r="B778" t="s">
        <v>2917</v>
      </c>
      <c r="C778" s="3">
        <v>40978</v>
      </c>
      <c r="D778" t="s">
        <v>50</v>
      </c>
      <c r="E778">
        <v>12</v>
      </c>
      <c r="F778" s="3">
        <f ca="1">40979+(RANDBETWEEN(1,10))</f>
        <v>40986</v>
      </c>
      <c r="G778" t="s">
        <v>26</v>
      </c>
      <c r="H778" t="s">
        <v>96</v>
      </c>
      <c r="I778" t="s">
        <v>28</v>
      </c>
      <c r="J778">
        <v>269.32499999999999</v>
      </c>
      <c r="K778">
        <v>0</v>
      </c>
      <c r="L778">
        <v>0.36</v>
      </c>
      <c r="M778">
        <v>10.64</v>
      </c>
      <c r="N778">
        <v>-4633.2341999999999</v>
      </c>
      <c r="O778" s="1" t="s">
        <v>40</v>
      </c>
      <c r="P778" s="1" t="s">
        <v>476</v>
      </c>
      <c r="Q778" s="1" t="s">
        <v>477</v>
      </c>
      <c r="R778" s="1" t="s">
        <v>220</v>
      </c>
      <c r="S778" s="1" t="s">
        <v>478</v>
      </c>
      <c r="T778" s="1" t="s">
        <v>479</v>
      </c>
      <c r="U778" s="2" t="s">
        <v>2918</v>
      </c>
      <c r="V778" s="2" t="s">
        <v>47</v>
      </c>
      <c r="W778" s="2" t="s">
        <v>74</v>
      </c>
      <c r="X778" s="2">
        <v>20.58</v>
      </c>
    </row>
    <row r="779" spans="1:24" x14ac:dyDescent="0.3">
      <c r="A779">
        <v>18677</v>
      </c>
      <c r="B779" t="s">
        <v>2919</v>
      </c>
      <c r="C779" s="3">
        <v>41736</v>
      </c>
      <c r="D779" t="s">
        <v>39</v>
      </c>
      <c r="E779">
        <v>1</v>
      </c>
      <c r="F779" s="3">
        <f ca="1">41737+(RANDBETWEEN(1,10))</f>
        <v>41738</v>
      </c>
      <c r="G779" t="s">
        <v>26</v>
      </c>
      <c r="H779" t="s">
        <v>96</v>
      </c>
      <c r="I779" t="s">
        <v>97</v>
      </c>
      <c r="J779">
        <v>18.2</v>
      </c>
      <c r="K779">
        <v>0.02</v>
      </c>
      <c r="L779">
        <v>0.8</v>
      </c>
      <c r="M779">
        <v>2.4500000000000002</v>
      </c>
      <c r="N779">
        <v>-27.895</v>
      </c>
      <c r="O779" s="1" t="s">
        <v>87</v>
      </c>
      <c r="P779" s="1" t="s">
        <v>991</v>
      </c>
      <c r="Q779" s="1" t="s">
        <v>992</v>
      </c>
      <c r="R779" s="1" t="s">
        <v>90</v>
      </c>
      <c r="S779" s="1" t="s">
        <v>993</v>
      </c>
      <c r="T779" s="1" t="s">
        <v>994</v>
      </c>
      <c r="U779" s="2" t="s">
        <v>1308</v>
      </c>
      <c r="V779" s="2" t="s">
        <v>47</v>
      </c>
      <c r="W779" s="2" t="s">
        <v>176</v>
      </c>
      <c r="X779" s="2">
        <v>16.484999999999999</v>
      </c>
    </row>
    <row r="780" spans="1:24" x14ac:dyDescent="0.3">
      <c r="A780">
        <v>18678</v>
      </c>
      <c r="B780" t="s">
        <v>2920</v>
      </c>
      <c r="C780" s="3">
        <v>40959</v>
      </c>
      <c r="D780" t="s">
        <v>25</v>
      </c>
      <c r="E780">
        <v>4</v>
      </c>
      <c r="F780" s="3">
        <f ca="1">40963+(RANDBETWEEN(1,10))</f>
        <v>40969</v>
      </c>
      <c r="G780" t="s">
        <v>26</v>
      </c>
      <c r="H780" t="s">
        <v>96</v>
      </c>
      <c r="I780" t="s">
        <v>28</v>
      </c>
      <c r="J780">
        <v>42.49</v>
      </c>
      <c r="K780">
        <v>0.04</v>
      </c>
      <c r="L780">
        <v>0.57999999999999996</v>
      </c>
      <c r="M780">
        <v>2.4500000000000002</v>
      </c>
      <c r="N780">
        <v>-100.79300000000001</v>
      </c>
      <c r="O780" s="1" t="s">
        <v>225</v>
      </c>
      <c r="P780" s="1" t="s">
        <v>2490</v>
      </c>
      <c r="Q780" s="1" t="s">
        <v>2491</v>
      </c>
      <c r="R780" s="1" t="s">
        <v>228</v>
      </c>
      <c r="S780" s="1" t="s">
        <v>2492</v>
      </c>
      <c r="T780" s="1" t="s">
        <v>2493</v>
      </c>
      <c r="U780" s="2" t="s">
        <v>2921</v>
      </c>
      <c r="V780" s="2" t="s">
        <v>47</v>
      </c>
      <c r="W780" s="2" t="s">
        <v>104</v>
      </c>
      <c r="X780" s="2">
        <v>10.29</v>
      </c>
    </row>
    <row r="781" spans="1:24" x14ac:dyDescent="0.3">
      <c r="A781">
        <v>18679</v>
      </c>
      <c r="B781" t="s">
        <v>2922</v>
      </c>
      <c r="C781" s="3">
        <v>41826</v>
      </c>
      <c r="D781" t="s">
        <v>50</v>
      </c>
      <c r="E781">
        <v>14</v>
      </c>
      <c r="F781" s="3">
        <f ca="1">41827+(RANDBETWEEN(1,10))</f>
        <v>41833</v>
      </c>
      <c r="G781" t="s">
        <v>26</v>
      </c>
      <c r="H781" t="s">
        <v>51</v>
      </c>
      <c r="I781" t="s">
        <v>52</v>
      </c>
      <c r="J781">
        <v>420.14</v>
      </c>
      <c r="K781">
        <v>0.09</v>
      </c>
      <c r="L781">
        <v>0.43</v>
      </c>
      <c r="M781">
        <v>29.89</v>
      </c>
      <c r="N781">
        <v>-420.16296</v>
      </c>
      <c r="O781" s="1" t="s">
        <v>53</v>
      </c>
      <c r="P781" s="1" t="s">
        <v>2923</v>
      </c>
      <c r="Q781" s="1" t="s">
        <v>2924</v>
      </c>
      <c r="R781" s="1" t="s">
        <v>56</v>
      </c>
      <c r="S781" s="1" t="s">
        <v>2786</v>
      </c>
      <c r="T781" s="1" t="s">
        <v>2787</v>
      </c>
      <c r="U781" s="2" t="s">
        <v>2925</v>
      </c>
      <c r="V781" s="2" t="s">
        <v>83</v>
      </c>
      <c r="W781" s="2" t="s">
        <v>178</v>
      </c>
      <c r="X781" s="2">
        <v>30.625</v>
      </c>
    </row>
    <row r="782" spans="1:24" x14ac:dyDescent="0.3">
      <c r="A782">
        <v>1868</v>
      </c>
      <c r="B782" t="s">
        <v>2926</v>
      </c>
      <c r="C782" s="3">
        <v>41644</v>
      </c>
      <c r="D782" t="s">
        <v>39</v>
      </c>
      <c r="E782">
        <v>36</v>
      </c>
      <c r="F782" s="3">
        <f ca="1">41647+(RANDBETWEEN(1,10))</f>
        <v>41654</v>
      </c>
      <c r="G782" t="s">
        <v>26</v>
      </c>
      <c r="H782" t="s">
        <v>96</v>
      </c>
      <c r="I782" t="s">
        <v>52</v>
      </c>
      <c r="J782">
        <v>589.67999999999995</v>
      </c>
      <c r="K782">
        <v>0.06</v>
      </c>
      <c r="L782">
        <v>0.39</v>
      </c>
      <c r="M782">
        <v>3.08</v>
      </c>
      <c r="N782">
        <v>76.468000000000004</v>
      </c>
      <c r="O782" s="1" t="s">
        <v>53</v>
      </c>
      <c r="P782" s="1" t="s">
        <v>2927</v>
      </c>
      <c r="Q782" s="1" t="s">
        <v>2928</v>
      </c>
      <c r="R782" s="1" t="s">
        <v>100</v>
      </c>
      <c r="S782" s="1" t="s">
        <v>101</v>
      </c>
      <c r="T782" s="1" t="s">
        <v>2929</v>
      </c>
      <c r="U782" s="2" t="s">
        <v>1743</v>
      </c>
      <c r="V782" s="2" t="s">
        <v>47</v>
      </c>
      <c r="W782" s="2" t="s">
        <v>74</v>
      </c>
      <c r="X782" s="2">
        <v>16.66</v>
      </c>
    </row>
    <row r="783" spans="1:24" x14ac:dyDescent="0.3">
      <c r="A783">
        <v>18680</v>
      </c>
      <c r="B783" t="s">
        <v>2930</v>
      </c>
      <c r="C783" s="3">
        <v>40998</v>
      </c>
      <c r="D783" t="s">
        <v>25</v>
      </c>
      <c r="E783">
        <v>7</v>
      </c>
      <c r="F783" s="3">
        <f ca="1">41002+(RANDBETWEEN(1,10))</f>
        <v>41009</v>
      </c>
      <c r="G783" t="s">
        <v>26</v>
      </c>
      <c r="H783" t="s">
        <v>27</v>
      </c>
      <c r="I783" t="s">
        <v>97</v>
      </c>
      <c r="J783">
        <v>297.85000000000002</v>
      </c>
      <c r="K783">
        <v>0.09</v>
      </c>
      <c r="L783">
        <v>0.35</v>
      </c>
      <c r="M783">
        <v>5.2149999999999999</v>
      </c>
      <c r="N783">
        <v>205.51650000000001</v>
      </c>
      <c r="O783" s="1" t="s">
        <v>53</v>
      </c>
      <c r="P783" s="1" t="s">
        <v>2306</v>
      </c>
      <c r="Q783" s="1" t="s">
        <v>2307</v>
      </c>
      <c r="R783" s="1" t="s">
        <v>100</v>
      </c>
      <c r="S783" s="1" t="s">
        <v>2308</v>
      </c>
      <c r="T783" s="1" t="s">
        <v>2309</v>
      </c>
      <c r="U783" s="2" t="s">
        <v>2551</v>
      </c>
      <c r="V783" s="2" t="s">
        <v>47</v>
      </c>
      <c r="W783" s="2" t="s">
        <v>111</v>
      </c>
      <c r="X783" s="2">
        <v>45.395000000000003</v>
      </c>
    </row>
    <row r="784" spans="1:24" x14ac:dyDescent="0.3">
      <c r="A784">
        <v>18681</v>
      </c>
      <c r="B784" t="s">
        <v>2930</v>
      </c>
      <c r="C784" s="3">
        <v>40998</v>
      </c>
      <c r="D784" t="s">
        <v>25</v>
      </c>
      <c r="E784">
        <v>8</v>
      </c>
      <c r="F784" s="3">
        <f ca="1">41005+(RANDBETWEEN(1,10))</f>
        <v>41008</v>
      </c>
      <c r="G784" t="s">
        <v>26</v>
      </c>
      <c r="H784" t="s">
        <v>27</v>
      </c>
      <c r="I784" t="s">
        <v>97</v>
      </c>
      <c r="J784">
        <v>629.68499999999995</v>
      </c>
      <c r="K784">
        <v>0.01</v>
      </c>
      <c r="L784">
        <v>0.83</v>
      </c>
      <c r="M784">
        <v>40.32</v>
      </c>
      <c r="N784">
        <v>-859.67</v>
      </c>
      <c r="O784" s="1" t="s">
        <v>53</v>
      </c>
      <c r="P784" s="1" t="s">
        <v>2306</v>
      </c>
      <c r="Q784" s="1" t="s">
        <v>2307</v>
      </c>
      <c r="R784" s="1" t="s">
        <v>100</v>
      </c>
      <c r="S784" s="1" t="s">
        <v>2308</v>
      </c>
      <c r="T784" s="1" t="s">
        <v>2309</v>
      </c>
      <c r="U784" s="2" t="s">
        <v>2328</v>
      </c>
      <c r="V784" s="2" t="s">
        <v>47</v>
      </c>
      <c r="W784" s="2" t="s">
        <v>119</v>
      </c>
      <c r="X784" s="2">
        <v>73.114999999999995</v>
      </c>
    </row>
    <row r="785" spans="1:24" x14ac:dyDescent="0.3">
      <c r="A785">
        <v>18682</v>
      </c>
      <c r="B785" t="s">
        <v>2931</v>
      </c>
      <c r="C785" s="3">
        <v>41377</v>
      </c>
      <c r="D785" t="s">
        <v>50</v>
      </c>
      <c r="E785">
        <v>11</v>
      </c>
      <c r="F785" s="3">
        <f ca="1">41378+(RANDBETWEEN(1,10))</f>
        <v>41388</v>
      </c>
      <c r="G785" t="s">
        <v>26</v>
      </c>
      <c r="H785" t="s">
        <v>27</v>
      </c>
      <c r="I785" t="s">
        <v>97</v>
      </c>
      <c r="J785">
        <v>110.25</v>
      </c>
      <c r="K785">
        <v>0.01</v>
      </c>
      <c r="L785">
        <v>0.36</v>
      </c>
      <c r="M785">
        <v>1.75</v>
      </c>
      <c r="N785">
        <v>76.072500000000005</v>
      </c>
      <c r="O785" s="1" t="s">
        <v>225</v>
      </c>
      <c r="P785" s="1" t="s">
        <v>2932</v>
      </c>
      <c r="Q785" s="1" t="s">
        <v>2933</v>
      </c>
      <c r="R785" s="1" t="s">
        <v>391</v>
      </c>
      <c r="S785" s="1" t="s">
        <v>2934</v>
      </c>
      <c r="T785" s="1" t="s">
        <v>2935</v>
      </c>
      <c r="U785" s="2" t="s">
        <v>363</v>
      </c>
      <c r="V785" s="2" t="s">
        <v>47</v>
      </c>
      <c r="W785" s="2" t="s">
        <v>203</v>
      </c>
      <c r="X785" s="2">
        <v>10.08</v>
      </c>
    </row>
    <row r="786" spans="1:24" x14ac:dyDescent="0.3">
      <c r="A786">
        <v>18683</v>
      </c>
      <c r="B786" t="s">
        <v>2936</v>
      </c>
      <c r="C786" s="3">
        <v>41986</v>
      </c>
      <c r="D786" t="s">
        <v>62</v>
      </c>
      <c r="E786">
        <v>2</v>
      </c>
      <c r="F786" s="3">
        <f ca="1">41988+(RANDBETWEEN(1,10))</f>
        <v>41994</v>
      </c>
      <c r="G786" t="s">
        <v>76</v>
      </c>
      <c r="H786" t="s">
        <v>258</v>
      </c>
      <c r="I786" t="s">
        <v>52</v>
      </c>
      <c r="J786">
        <v>237.86</v>
      </c>
      <c r="K786">
        <v>0.04</v>
      </c>
      <c r="L786">
        <v>0.65</v>
      </c>
      <c r="M786">
        <v>159.285</v>
      </c>
      <c r="N786">
        <v>-148.72872000000001</v>
      </c>
      <c r="O786" s="1" t="s">
        <v>64</v>
      </c>
      <c r="P786" s="1" t="s">
        <v>2937</v>
      </c>
      <c r="Q786" s="1" t="s">
        <v>2938</v>
      </c>
      <c r="R786" s="1" t="s">
        <v>67</v>
      </c>
      <c r="S786" s="1" t="s">
        <v>2939</v>
      </c>
      <c r="T786" s="1" t="s">
        <v>2940</v>
      </c>
      <c r="U786" s="2" t="s">
        <v>1566</v>
      </c>
      <c r="V786" s="2" t="s">
        <v>83</v>
      </c>
      <c r="W786" s="2" t="s">
        <v>263</v>
      </c>
      <c r="X786" s="2">
        <v>111.16</v>
      </c>
    </row>
    <row r="787" spans="1:24" x14ac:dyDescent="0.3">
      <c r="A787">
        <v>18684</v>
      </c>
      <c r="B787" t="s">
        <v>2941</v>
      </c>
      <c r="C787" s="3">
        <v>40799</v>
      </c>
      <c r="D787" t="s">
        <v>62</v>
      </c>
      <c r="E787">
        <v>13</v>
      </c>
      <c r="F787" s="3">
        <f ca="1">40800+(RANDBETWEEN(1,10))</f>
        <v>40803</v>
      </c>
      <c r="G787" t="s">
        <v>26</v>
      </c>
      <c r="H787" t="s">
        <v>27</v>
      </c>
      <c r="I787" t="s">
        <v>28</v>
      </c>
      <c r="J787">
        <v>2535.9949999999999</v>
      </c>
      <c r="K787">
        <v>0.04</v>
      </c>
      <c r="L787">
        <v>0.55000000000000004</v>
      </c>
      <c r="M787">
        <v>31.465</v>
      </c>
      <c r="N787">
        <v>-1172.6434999999999</v>
      </c>
      <c r="O787" s="1" t="s">
        <v>64</v>
      </c>
      <c r="P787" s="1" t="s">
        <v>2942</v>
      </c>
      <c r="Q787" s="1" t="s">
        <v>2943</v>
      </c>
      <c r="R787" s="1" t="s">
        <v>67</v>
      </c>
      <c r="S787" s="1" t="s">
        <v>2944</v>
      </c>
      <c r="T787" s="1" t="s">
        <v>2945</v>
      </c>
      <c r="U787" s="2" t="s">
        <v>511</v>
      </c>
      <c r="V787" s="2" t="s">
        <v>36</v>
      </c>
      <c r="W787" s="2" t="s">
        <v>37</v>
      </c>
      <c r="X787" s="2">
        <v>230.965</v>
      </c>
    </row>
    <row r="788" spans="1:24" x14ac:dyDescent="0.3">
      <c r="A788">
        <v>18685</v>
      </c>
      <c r="B788" t="s">
        <v>2946</v>
      </c>
      <c r="C788" s="3">
        <v>41630</v>
      </c>
      <c r="D788" t="s">
        <v>62</v>
      </c>
      <c r="E788">
        <v>24</v>
      </c>
      <c r="F788" s="3">
        <f ca="1">41632+(RANDBETWEEN(1,10))</f>
        <v>41635</v>
      </c>
      <c r="G788" t="s">
        <v>76</v>
      </c>
      <c r="H788" t="s">
        <v>258</v>
      </c>
      <c r="I788" t="s">
        <v>97</v>
      </c>
      <c r="J788">
        <v>11806.06</v>
      </c>
      <c r="K788">
        <v>7.0000000000000007E-2</v>
      </c>
      <c r="L788">
        <v>0.76</v>
      </c>
      <c r="M788">
        <v>102.235</v>
      </c>
      <c r="N788">
        <v>-758.25775024999996</v>
      </c>
      <c r="O788" s="1" t="s">
        <v>87</v>
      </c>
      <c r="P788" s="1" t="s">
        <v>2947</v>
      </c>
      <c r="Q788" s="1" t="s">
        <v>2948</v>
      </c>
      <c r="R788" s="1" t="s">
        <v>646</v>
      </c>
      <c r="S788" s="1" t="s">
        <v>2949</v>
      </c>
      <c r="T788" s="1" t="s">
        <v>2950</v>
      </c>
      <c r="U788" s="2" t="s">
        <v>1724</v>
      </c>
      <c r="V788" s="2" t="s">
        <v>83</v>
      </c>
      <c r="W788" s="2" t="s">
        <v>263</v>
      </c>
      <c r="X788" s="2">
        <v>627.51499999999999</v>
      </c>
    </row>
    <row r="789" spans="1:24" x14ac:dyDescent="0.3">
      <c r="A789">
        <v>18686</v>
      </c>
      <c r="B789" t="s">
        <v>2946</v>
      </c>
      <c r="C789" s="3">
        <v>41630</v>
      </c>
      <c r="D789" t="s">
        <v>62</v>
      </c>
      <c r="E789">
        <v>13</v>
      </c>
      <c r="F789" s="3">
        <f ca="1">41631+(RANDBETWEEN(1,10))</f>
        <v>41641</v>
      </c>
      <c r="G789" t="s">
        <v>26</v>
      </c>
      <c r="H789" t="s">
        <v>27</v>
      </c>
      <c r="I789" t="s">
        <v>97</v>
      </c>
      <c r="J789">
        <v>544.91499999999996</v>
      </c>
      <c r="K789">
        <v>0.06</v>
      </c>
      <c r="L789">
        <v>0.35</v>
      </c>
      <c r="M789">
        <v>20.02</v>
      </c>
      <c r="N789">
        <v>179.13</v>
      </c>
      <c r="O789" s="1" t="s">
        <v>87</v>
      </c>
      <c r="P789" s="1" t="s">
        <v>2951</v>
      </c>
      <c r="Q789" s="1" t="s">
        <v>2952</v>
      </c>
      <c r="R789" s="1" t="s">
        <v>90</v>
      </c>
      <c r="S789" s="1" t="s">
        <v>2953</v>
      </c>
      <c r="T789" s="1" t="s">
        <v>2954</v>
      </c>
      <c r="U789" s="2" t="s">
        <v>2886</v>
      </c>
      <c r="V789" s="2" t="s">
        <v>47</v>
      </c>
      <c r="W789" s="2" t="s">
        <v>48</v>
      </c>
      <c r="X789" s="2">
        <v>40.53</v>
      </c>
    </row>
    <row r="790" spans="1:24" x14ac:dyDescent="0.3">
      <c r="A790">
        <v>18687</v>
      </c>
      <c r="B790" t="s">
        <v>2955</v>
      </c>
      <c r="C790" s="3">
        <v>41018</v>
      </c>
      <c r="D790" t="s">
        <v>148</v>
      </c>
      <c r="E790">
        <v>1</v>
      </c>
      <c r="F790" s="3">
        <f ca="1">41019+(RANDBETWEEN(1,10))</f>
        <v>41025</v>
      </c>
      <c r="G790" t="s">
        <v>26</v>
      </c>
      <c r="H790" t="s">
        <v>27</v>
      </c>
      <c r="I790" t="s">
        <v>28</v>
      </c>
      <c r="J790">
        <v>111.02</v>
      </c>
      <c r="K790">
        <v>0.08</v>
      </c>
      <c r="L790">
        <v>0.75</v>
      </c>
      <c r="M790">
        <v>19.25</v>
      </c>
      <c r="N790">
        <v>2035.7819999999999</v>
      </c>
      <c r="O790" s="1" t="s">
        <v>225</v>
      </c>
      <c r="P790" s="1" t="s">
        <v>2956</v>
      </c>
      <c r="Q790" s="1" t="s">
        <v>2957</v>
      </c>
      <c r="R790" s="1" t="s">
        <v>228</v>
      </c>
      <c r="S790" s="1" t="s">
        <v>2958</v>
      </c>
      <c r="T790" s="1" t="s">
        <v>2959</v>
      </c>
      <c r="U790" s="2" t="s">
        <v>2960</v>
      </c>
      <c r="V790" s="2" t="s">
        <v>36</v>
      </c>
      <c r="W790" s="2" t="s">
        <v>60</v>
      </c>
      <c r="X790" s="2">
        <v>115.43</v>
      </c>
    </row>
    <row r="791" spans="1:24" x14ac:dyDescent="0.3">
      <c r="A791">
        <v>18688</v>
      </c>
      <c r="B791" t="s">
        <v>2961</v>
      </c>
      <c r="C791" s="3">
        <v>41644</v>
      </c>
      <c r="D791" t="s">
        <v>25</v>
      </c>
      <c r="E791">
        <v>1</v>
      </c>
      <c r="F791" s="3">
        <f ca="1">41651+(RANDBETWEEN(1,10))</f>
        <v>41655</v>
      </c>
      <c r="G791" t="s">
        <v>26</v>
      </c>
      <c r="H791" t="s">
        <v>27</v>
      </c>
      <c r="I791" t="s">
        <v>28</v>
      </c>
      <c r="J791">
        <v>36.715000000000003</v>
      </c>
      <c r="K791">
        <v>0.05</v>
      </c>
      <c r="L791">
        <v>0.4</v>
      </c>
      <c r="M791">
        <v>31.29</v>
      </c>
      <c r="N791">
        <v>-113.59516000000001</v>
      </c>
      <c r="O791" s="1" t="s">
        <v>87</v>
      </c>
      <c r="P791" s="1" t="s">
        <v>2962</v>
      </c>
      <c r="Q791" s="1" t="s">
        <v>2963</v>
      </c>
      <c r="R791" s="1" t="s">
        <v>398</v>
      </c>
      <c r="S791" s="1" t="s">
        <v>2964</v>
      </c>
      <c r="T791" s="1" t="s">
        <v>2965</v>
      </c>
      <c r="U791" s="2" t="s">
        <v>2966</v>
      </c>
      <c r="V791" s="2" t="s">
        <v>47</v>
      </c>
      <c r="W791" s="2" t="s">
        <v>111</v>
      </c>
      <c r="X791" s="2">
        <v>28.14</v>
      </c>
    </row>
    <row r="792" spans="1:24" x14ac:dyDescent="0.3">
      <c r="A792">
        <v>18689</v>
      </c>
      <c r="B792" t="s">
        <v>2961</v>
      </c>
      <c r="C792" s="3">
        <v>41644</v>
      </c>
      <c r="D792" t="s">
        <v>25</v>
      </c>
      <c r="E792">
        <v>5</v>
      </c>
      <c r="F792" s="3">
        <f ca="1">41651+(RANDBETWEEN(1,10))</f>
        <v>41661</v>
      </c>
      <c r="G792" t="s">
        <v>26</v>
      </c>
      <c r="H792" t="s">
        <v>27</v>
      </c>
      <c r="I792" t="s">
        <v>28</v>
      </c>
      <c r="J792">
        <v>91.875</v>
      </c>
      <c r="K792">
        <v>0.01</v>
      </c>
      <c r="L792">
        <v>0.36</v>
      </c>
      <c r="M792">
        <v>1.75</v>
      </c>
      <c r="N792">
        <v>63.393749999999997</v>
      </c>
      <c r="O792" s="1" t="s">
        <v>87</v>
      </c>
      <c r="P792" s="1" t="s">
        <v>2962</v>
      </c>
      <c r="Q792" s="1" t="s">
        <v>2963</v>
      </c>
      <c r="R792" s="1" t="s">
        <v>398</v>
      </c>
      <c r="S792" s="1" t="s">
        <v>2964</v>
      </c>
      <c r="T792" s="1" t="s">
        <v>2965</v>
      </c>
      <c r="U792" s="2" t="s">
        <v>1158</v>
      </c>
      <c r="V792" s="2" t="s">
        <v>47</v>
      </c>
      <c r="W792" s="2" t="s">
        <v>203</v>
      </c>
      <c r="X792" s="2">
        <v>17.184999999999999</v>
      </c>
    </row>
    <row r="793" spans="1:24" x14ac:dyDescent="0.3">
      <c r="A793">
        <v>18690</v>
      </c>
      <c r="B793" t="s">
        <v>2961</v>
      </c>
      <c r="C793" s="3">
        <v>41644</v>
      </c>
      <c r="D793" t="s">
        <v>25</v>
      </c>
      <c r="E793">
        <v>2</v>
      </c>
      <c r="F793" s="3">
        <f ca="1">41649+(RANDBETWEEN(1,10))</f>
        <v>41653</v>
      </c>
      <c r="G793" t="s">
        <v>26</v>
      </c>
      <c r="H793" t="s">
        <v>96</v>
      </c>
      <c r="I793" t="s">
        <v>28</v>
      </c>
      <c r="J793">
        <v>79.8</v>
      </c>
      <c r="K793">
        <v>7.0000000000000007E-2</v>
      </c>
      <c r="L793">
        <v>0.55000000000000004</v>
      </c>
      <c r="M793">
        <v>8.26</v>
      </c>
      <c r="N793">
        <v>-18.575199999999999</v>
      </c>
      <c r="O793" s="1" t="s">
        <v>87</v>
      </c>
      <c r="P793" s="1" t="s">
        <v>2962</v>
      </c>
      <c r="Q793" s="1" t="s">
        <v>2963</v>
      </c>
      <c r="R793" s="1" t="s">
        <v>398</v>
      </c>
      <c r="S793" s="1" t="s">
        <v>2964</v>
      </c>
      <c r="T793" s="1" t="s">
        <v>2965</v>
      </c>
      <c r="U793" s="2" t="s">
        <v>2967</v>
      </c>
      <c r="V793" s="2" t="s">
        <v>47</v>
      </c>
      <c r="W793" s="2" t="s">
        <v>104</v>
      </c>
      <c r="X793" s="2">
        <v>40.424999999999997</v>
      </c>
    </row>
    <row r="794" spans="1:24" x14ac:dyDescent="0.3">
      <c r="A794">
        <v>18691</v>
      </c>
      <c r="B794" t="s">
        <v>2968</v>
      </c>
      <c r="C794" s="3">
        <v>41666</v>
      </c>
      <c r="D794" t="s">
        <v>39</v>
      </c>
      <c r="E794">
        <v>4</v>
      </c>
      <c r="F794" s="3">
        <f ca="1">41667+(RANDBETWEEN(1,10))</f>
        <v>41674</v>
      </c>
      <c r="G794" t="s">
        <v>26</v>
      </c>
      <c r="H794" t="s">
        <v>51</v>
      </c>
      <c r="I794" t="s">
        <v>28</v>
      </c>
      <c r="J794">
        <v>499.52</v>
      </c>
      <c r="K794">
        <v>0</v>
      </c>
      <c r="L794">
        <v>0.45</v>
      </c>
      <c r="M794">
        <v>6.9649999999999999</v>
      </c>
      <c r="N794">
        <v>274.67160000000001</v>
      </c>
      <c r="O794" s="1" t="s">
        <v>87</v>
      </c>
      <c r="P794" s="1" t="s">
        <v>1567</v>
      </c>
      <c r="Q794" s="1" t="s">
        <v>1568</v>
      </c>
      <c r="R794" s="1" t="s">
        <v>646</v>
      </c>
      <c r="S794" s="1" t="s">
        <v>1569</v>
      </c>
      <c r="T794" s="1" t="s">
        <v>1570</v>
      </c>
      <c r="U794" s="2" t="s">
        <v>2969</v>
      </c>
      <c r="V794" s="2" t="s">
        <v>36</v>
      </c>
      <c r="W794" s="2" t="s">
        <v>60</v>
      </c>
      <c r="X794" s="2">
        <v>118.93</v>
      </c>
    </row>
    <row r="795" spans="1:24" x14ac:dyDescent="0.3">
      <c r="A795">
        <v>18692</v>
      </c>
      <c r="B795" t="s">
        <v>2970</v>
      </c>
      <c r="C795" s="3">
        <v>41753</v>
      </c>
      <c r="D795" t="s">
        <v>50</v>
      </c>
      <c r="E795">
        <v>2</v>
      </c>
      <c r="F795" s="3">
        <f ca="1">41756+(RANDBETWEEN(1,10))</f>
        <v>41761</v>
      </c>
      <c r="G795" t="s">
        <v>26</v>
      </c>
      <c r="H795" t="s">
        <v>27</v>
      </c>
      <c r="I795" t="s">
        <v>86</v>
      </c>
      <c r="J795">
        <v>55.37</v>
      </c>
      <c r="K795">
        <v>0.02</v>
      </c>
      <c r="L795">
        <v>0.37</v>
      </c>
      <c r="M795">
        <v>25.795000000000002</v>
      </c>
      <c r="N795">
        <v>-90.825000000000003</v>
      </c>
      <c r="O795" s="1" t="s">
        <v>53</v>
      </c>
      <c r="P795" s="1" t="s">
        <v>2971</v>
      </c>
      <c r="Q795" s="1" t="s">
        <v>2972</v>
      </c>
      <c r="R795" s="1" t="s">
        <v>440</v>
      </c>
      <c r="S795" s="1" t="s">
        <v>2973</v>
      </c>
      <c r="T795" s="1" t="s">
        <v>2974</v>
      </c>
      <c r="U795" s="2" t="s">
        <v>2975</v>
      </c>
      <c r="V795" s="2" t="s">
        <v>47</v>
      </c>
      <c r="W795" s="2" t="s">
        <v>74</v>
      </c>
      <c r="X795" s="2">
        <v>22.68</v>
      </c>
    </row>
    <row r="796" spans="1:24" x14ac:dyDescent="0.3">
      <c r="A796">
        <v>18693</v>
      </c>
      <c r="B796" t="s">
        <v>2976</v>
      </c>
      <c r="C796" s="3">
        <v>40840</v>
      </c>
      <c r="D796" t="s">
        <v>62</v>
      </c>
      <c r="E796">
        <v>1</v>
      </c>
      <c r="F796" s="3">
        <f ca="1">40840+(RANDBETWEEN(1,10))</f>
        <v>40841</v>
      </c>
      <c r="G796" t="s">
        <v>26</v>
      </c>
      <c r="H796" t="s">
        <v>96</v>
      </c>
      <c r="I796" t="s">
        <v>97</v>
      </c>
      <c r="J796">
        <v>10.955</v>
      </c>
      <c r="K796">
        <v>0.04</v>
      </c>
      <c r="L796">
        <v>0.82</v>
      </c>
      <c r="M796">
        <v>6.72</v>
      </c>
      <c r="N796">
        <v>-28.728000000000002</v>
      </c>
      <c r="O796" s="1" t="s">
        <v>29</v>
      </c>
      <c r="P796" s="1" t="s">
        <v>968</v>
      </c>
      <c r="Q796" s="1" t="s">
        <v>969</v>
      </c>
      <c r="R796" s="1" t="s">
        <v>32</v>
      </c>
      <c r="S796" s="1" t="s">
        <v>970</v>
      </c>
      <c r="T796" s="1" t="s">
        <v>971</v>
      </c>
      <c r="U796" s="2" t="s">
        <v>2977</v>
      </c>
      <c r="V796" s="2" t="s">
        <v>47</v>
      </c>
      <c r="W796" s="2" t="s">
        <v>94</v>
      </c>
      <c r="X796" s="2">
        <v>8.82</v>
      </c>
    </row>
    <row r="797" spans="1:24" x14ac:dyDescent="0.3">
      <c r="A797">
        <v>18694</v>
      </c>
      <c r="B797" t="s">
        <v>2978</v>
      </c>
      <c r="C797" s="3">
        <v>40672</v>
      </c>
      <c r="D797" t="s">
        <v>62</v>
      </c>
      <c r="E797">
        <v>9</v>
      </c>
      <c r="F797" s="3">
        <f ca="1">40672+(RANDBETWEEN(1,10))</f>
        <v>40679</v>
      </c>
      <c r="G797" t="s">
        <v>26</v>
      </c>
      <c r="H797" t="s">
        <v>27</v>
      </c>
      <c r="I797" t="s">
        <v>52</v>
      </c>
      <c r="J797">
        <v>209.26499999999999</v>
      </c>
      <c r="K797">
        <v>0.05</v>
      </c>
      <c r="L797">
        <v>0.37</v>
      </c>
      <c r="M797">
        <v>30.555</v>
      </c>
      <c r="N797">
        <v>-422.065</v>
      </c>
      <c r="O797" s="1" t="s">
        <v>40</v>
      </c>
      <c r="P797" s="1" t="s">
        <v>1836</v>
      </c>
      <c r="Q797" s="1" t="s">
        <v>1837</v>
      </c>
      <c r="R797" s="1" t="s">
        <v>220</v>
      </c>
      <c r="S797" s="1" t="s">
        <v>1838</v>
      </c>
      <c r="T797" s="1" t="s">
        <v>1839</v>
      </c>
      <c r="U797" s="2" t="s">
        <v>2564</v>
      </c>
      <c r="V797" s="2" t="s">
        <v>47</v>
      </c>
      <c r="W797" s="2" t="s">
        <v>74</v>
      </c>
      <c r="X797" s="2">
        <v>22.68</v>
      </c>
    </row>
    <row r="798" spans="1:24" x14ac:dyDescent="0.3">
      <c r="A798">
        <v>18695</v>
      </c>
      <c r="B798" t="s">
        <v>2979</v>
      </c>
      <c r="C798" s="3">
        <v>41953</v>
      </c>
      <c r="D798" t="s">
        <v>25</v>
      </c>
      <c r="E798">
        <v>14</v>
      </c>
      <c r="F798" s="3">
        <f ca="1">41957+(RANDBETWEEN(1,10))</f>
        <v>41961</v>
      </c>
      <c r="G798" t="s">
        <v>26</v>
      </c>
      <c r="H798" t="s">
        <v>27</v>
      </c>
      <c r="I798" t="s">
        <v>28</v>
      </c>
      <c r="J798">
        <v>15012.34</v>
      </c>
      <c r="K798">
        <v>0.04</v>
      </c>
      <c r="L798">
        <v>0.38</v>
      </c>
      <c r="M798">
        <v>69.965000000000003</v>
      </c>
      <c r="N798">
        <v>10358.5146</v>
      </c>
      <c r="O798" s="1" t="s">
        <v>87</v>
      </c>
      <c r="P798" s="1" t="s">
        <v>2980</v>
      </c>
      <c r="Q798" s="1" t="s">
        <v>2981</v>
      </c>
      <c r="R798" s="1" t="s">
        <v>646</v>
      </c>
      <c r="S798" s="1" t="s">
        <v>2982</v>
      </c>
      <c r="T798" s="1" t="s">
        <v>2686</v>
      </c>
      <c r="U798" s="2" t="s">
        <v>1457</v>
      </c>
      <c r="V798" s="2" t="s">
        <v>47</v>
      </c>
      <c r="W798" s="2" t="s">
        <v>111</v>
      </c>
      <c r="X798" s="2">
        <v>1105.93</v>
      </c>
    </row>
    <row r="799" spans="1:24" x14ac:dyDescent="0.3">
      <c r="A799">
        <v>18696</v>
      </c>
      <c r="B799" t="s">
        <v>2983</v>
      </c>
      <c r="C799" s="3">
        <v>40760</v>
      </c>
      <c r="D799" t="s">
        <v>148</v>
      </c>
      <c r="E799">
        <v>20</v>
      </c>
      <c r="F799" s="3">
        <f ca="1">40761+(RANDBETWEEN(1,10))</f>
        <v>40762</v>
      </c>
      <c r="G799" t="s">
        <v>76</v>
      </c>
      <c r="H799" t="s">
        <v>258</v>
      </c>
      <c r="I799" t="s">
        <v>28</v>
      </c>
      <c r="J799">
        <v>27440.14</v>
      </c>
      <c r="K799">
        <v>0.08</v>
      </c>
      <c r="L799">
        <v>0.71</v>
      </c>
      <c r="M799">
        <v>148.82</v>
      </c>
      <c r="N799">
        <v>10611.903399999999</v>
      </c>
      <c r="O799" s="1" t="s">
        <v>87</v>
      </c>
      <c r="P799" s="1" t="s">
        <v>1027</v>
      </c>
      <c r="Q799" s="1" t="s">
        <v>1028</v>
      </c>
      <c r="R799" s="1" t="s">
        <v>398</v>
      </c>
      <c r="S799" s="1" t="s">
        <v>1029</v>
      </c>
      <c r="T799" s="1" t="s">
        <v>1030</v>
      </c>
      <c r="U799" s="2" t="s">
        <v>2984</v>
      </c>
      <c r="V799" s="2" t="s">
        <v>83</v>
      </c>
      <c r="W799" s="2" t="s">
        <v>263</v>
      </c>
      <c r="X799" s="2">
        <v>1403.43</v>
      </c>
    </row>
    <row r="800" spans="1:24" x14ac:dyDescent="0.3">
      <c r="A800">
        <v>18697</v>
      </c>
      <c r="B800" t="s">
        <v>2985</v>
      </c>
      <c r="C800" s="3">
        <v>41436</v>
      </c>
      <c r="D800" t="s">
        <v>62</v>
      </c>
      <c r="E800">
        <v>3</v>
      </c>
      <c r="F800" s="3">
        <f ca="1">41438+(RANDBETWEEN(1,10))</f>
        <v>41440</v>
      </c>
      <c r="G800" t="s">
        <v>76</v>
      </c>
      <c r="H800" t="s">
        <v>77</v>
      </c>
      <c r="I800" t="s">
        <v>52</v>
      </c>
      <c r="J800">
        <v>1018.15</v>
      </c>
      <c r="K800">
        <v>0.02</v>
      </c>
      <c r="L800">
        <v>0.66</v>
      </c>
      <c r="M800">
        <v>147</v>
      </c>
      <c r="N800">
        <v>3128.58</v>
      </c>
      <c r="O800" s="1" t="s">
        <v>225</v>
      </c>
      <c r="P800" s="1" t="s">
        <v>2986</v>
      </c>
      <c r="Q800" s="1" t="s">
        <v>2987</v>
      </c>
      <c r="R800" s="1" t="s">
        <v>228</v>
      </c>
      <c r="S800" s="1" t="s">
        <v>2988</v>
      </c>
      <c r="T800" s="1" t="s">
        <v>2989</v>
      </c>
      <c r="U800" s="2" t="s">
        <v>2462</v>
      </c>
      <c r="V800" s="2" t="s">
        <v>83</v>
      </c>
      <c r="W800" s="2" t="s">
        <v>84</v>
      </c>
      <c r="X800" s="2">
        <v>314.96499999999997</v>
      </c>
    </row>
    <row r="801" spans="1:24" x14ac:dyDescent="0.3">
      <c r="A801">
        <v>18698</v>
      </c>
      <c r="B801" t="s">
        <v>2985</v>
      </c>
      <c r="C801" s="3">
        <v>41436</v>
      </c>
      <c r="D801" t="s">
        <v>62</v>
      </c>
      <c r="E801">
        <v>11</v>
      </c>
      <c r="F801" s="3">
        <f ca="1">41439+(RANDBETWEEN(1,10))</f>
        <v>41440</v>
      </c>
      <c r="G801" t="s">
        <v>26</v>
      </c>
      <c r="H801" t="s">
        <v>51</v>
      </c>
      <c r="I801" t="s">
        <v>52</v>
      </c>
      <c r="J801">
        <v>352.94</v>
      </c>
      <c r="K801">
        <v>0.06</v>
      </c>
      <c r="L801">
        <v>0.56000000000000005</v>
      </c>
      <c r="M801">
        <v>13.93</v>
      </c>
      <c r="N801">
        <v>638.82000000000005</v>
      </c>
      <c r="O801" s="1" t="s">
        <v>225</v>
      </c>
      <c r="P801" s="1" t="s">
        <v>2986</v>
      </c>
      <c r="Q801" s="1" t="s">
        <v>2987</v>
      </c>
      <c r="R801" s="1" t="s">
        <v>228</v>
      </c>
      <c r="S801" s="1" t="s">
        <v>2988</v>
      </c>
      <c r="T801" s="1" t="s">
        <v>2989</v>
      </c>
      <c r="U801" s="2" t="s">
        <v>93</v>
      </c>
      <c r="V801" s="2" t="s">
        <v>47</v>
      </c>
      <c r="W801" s="2" t="s">
        <v>94</v>
      </c>
      <c r="X801" s="2">
        <v>32.585000000000001</v>
      </c>
    </row>
    <row r="802" spans="1:24" x14ac:dyDescent="0.3">
      <c r="A802">
        <v>18699</v>
      </c>
      <c r="B802" t="s">
        <v>2990</v>
      </c>
      <c r="C802" s="3">
        <v>41872</v>
      </c>
      <c r="D802" t="s">
        <v>62</v>
      </c>
      <c r="E802">
        <v>13</v>
      </c>
      <c r="F802" s="3">
        <f ca="1">41872+(RANDBETWEEN(1,10))</f>
        <v>41879</v>
      </c>
      <c r="G802" t="s">
        <v>26</v>
      </c>
      <c r="H802" t="s">
        <v>51</v>
      </c>
      <c r="I802" t="s">
        <v>86</v>
      </c>
      <c r="J802">
        <v>1513.365</v>
      </c>
      <c r="K802">
        <v>7.0000000000000007E-2</v>
      </c>
      <c r="L802">
        <v>0.43</v>
      </c>
      <c r="M802">
        <v>6.9649999999999999</v>
      </c>
      <c r="N802">
        <v>1044.2218499999999</v>
      </c>
      <c r="O802" s="1" t="s">
        <v>29</v>
      </c>
      <c r="P802" s="1" t="s">
        <v>2991</v>
      </c>
      <c r="Q802" s="1" t="s">
        <v>2992</v>
      </c>
      <c r="R802" s="1" t="s">
        <v>32</v>
      </c>
      <c r="S802" s="1" t="s">
        <v>2993</v>
      </c>
      <c r="T802" s="1" t="s">
        <v>2994</v>
      </c>
      <c r="U802" s="2" t="s">
        <v>2995</v>
      </c>
      <c r="V802" s="2" t="s">
        <v>36</v>
      </c>
      <c r="W802" s="2" t="s">
        <v>60</v>
      </c>
      <c r="X802" s="2">
        <v>123.935</v>
      </c>
    </row>
    <row r="803" spans="1:24" x14ac:dyDescent="0.3">
      <c r="A803">
        <v>18700</v>
      </c>
      <c r="B803" t="s">
        <v>2990</v>
      </c>
      <c r="C803" s="3">
        <v>41872</v>
      </c>
      <c r="D803" t="s">
        <v>62</v>
      </c>
      <c r="E803">
        <v>5</v>
      </c>
      <c r="F803" s="3">
        <f ca="1">41874+(RANDBETWEEN(1,10))</f>
        <v>41884</v>
      </c>
      <c r="G803" t="s">
        <v>156</v>
      </c>
      <c r="H803" t="s">
        <v>27</v>
      </c>
      <c r="I803" t="s">
        <v>86</v>
      </c>
      <c r="J803">
        <v>1907.29</v>
      </c>
      <c r="K803">
        <v>0.06</v>
      </c>
      <c r="L803">
        <v>0.56000000000000005</v>
      </c>
      <c r="M803">
        <v>20.965</v>
      </c>
      <c r="N803">
        <v>-184.771356</v>
      </c>
      <c r="O803" s="1" t="s">
        <v>53</v>
      </c>
      <c r="P803" s="1" t="s">
        <v>2996</v>
      </c>
      <c r="Q803" s="1" t="s">
        <v>2997</v>
      </c>
      <c r="R803" s="1" t="s">
        <v>56</v>
      </c>
      <c r="S803" s="1" t="s">
        <v>2998</v>
      </c>
      <c r="T803" s="1" t="s">
        <v>2999</v>
      </c>
      <c r="U803" s="2" t="s">
        <v>3000</v>
      </c>
      <c r="V803" s="2" t="s">
        <v>36</v>
      </c>
      <c r="W803" s="2" t="s">
        <v>37</v>
      </c>
      <c r="X803" s="2">
        <v>440.96499999999997</v>
      </c>
    </row>
    <row r="804" spans="1:24" x14ac:dyDescent="0.3">
      <c r="A804">
        <v>18701</v>
      </c>
      <c r="B804" t="s">
        <v>2990</v>
      </c>
      <c r="C804" s="3">
        <v>41872</v>
      </c>
      <c r="D804" t="s">
        <v>62</v>
      </c>
      <c r="E804">
        <v>11</v>
      </c>
      <c r="F804" s="3">
        <f ca="1">41874+(RANDBETWEEN(1,10))</f>
        <v>41876</v>
      </c>
      <c r="G804" t="s">
        <v>26</v>
      </c>
      <c r="H804" t="s">
        <v>27</v>
      </c>
      <c r="I804" t="s">
        <v>86</v>
      </c>
      <c r="J804">
        <v>222.39</v>
      </c>
      <c r="K804">
        <v>0.05</v>
      </c>
      <c r="L804">
        <v>0.4</v>
      </c>
      <c r="M804">
        <v>19.565000000000001</v>
      </c>
      <c r="N804">
        <v>-96.269306</v>
      </c>
      <c r="O804" s="1" t="s">
        <v>53</v>
      </c>
      <c r="P804" s="1" t="s">
        <v>3001</v>
      </c>
      <c r="Q804" s="1" t="s">
        <v>3002</v>
      </c>
      <c r="R804" s="1" t="s">
        <v>440</v>
      </c>
      <c r="S804" s="1" t="s">
        <v>3003</v>
      </c>
      <c r="T804" s="1" t="s">
        <v>3004</v>
      </c>
      <c r="U804" s="2" t="s">
        <v>3005</v>
      </c>
      <c r="V804" s="2" t="s">
        <v>47</v>
      </c>
      <c r="W804" s="2" t="s">
        <v>111</v>
      </c>
      <c r="X804" s="2">
        <v>20.3</v>
      </c>
    </row>
    <row r="805" spans="1:24" x14ac:dyDescent="0.3">
      <c r="A805">
        <v>18702</v>
      </c>
      <c r="B805" t="s">
        <v>3006</v>
      </c>
      <c r="C805" s="3">
        <v>40863</v>
      </c>
      <c r="D805" t="s">
        <v>62</v>
      </c>
      <c r="E805">
        <v>19</v>
      </c>
      <c r="F805" s="3">
        <f ca="1">40863+(RANDBETWEEN(1,10))</f>
        <v>40869</v>
      </c>
      <c r="G805" t="s">
        <v>26</v>
      </c>
      <c r="H805" t="s">
        <v>96</v>
      </c>
      <c r="I805" t="s">
        <v>28</v>
      </c>
      <c r="J805">
        <v>508.76</v>
      </c>
      <c r="K805">
        <v>0.1</v>
      </c>
      <c r="L805">
        <v>0.38</v>
      </c>
      <c r="M805">
        <v>5.915</v>
      </c>
      <c r="N805">
        <v>351.0444</v>
      </c>
      <c r="O805" s="1" t="s">
        <v>225</v>
      </c>
      <c r="P805" s="1" t="s">
        <v>3007</v>
      </c>
      <c r="Q805" s="1" t="s">
        <v>3008</v>
      </c>
      <c r="R805" s="1" t="s">
        <v>228</v>
      </c>
      <c r="S805" s="1" t="s">
        <v>3009</v>
      </c>
      <c r="T805" s="1" t="s">
        <v>548</v>
      </c>
      <c r="U805" s="2" t="s">
        <v>3010</v>
      </c>
      <c r="V805" s="2" t="s">
        <v>47</v>
      </c>
      <c r="W805" s="2" t="s">
        <v>74</v>
      </c>
      <c r="X805" s="2">
        <v>28.594999999999999</v>
      </c>
    </row>
    <row r="806" spans="1:24" x14ac:dyDescent="0.3">
      <c r="A806">
        <v>18703</v>
      </c>
      <c r="B806" t="s">
        <v>3006</v>
      </c>
      <c r="C806" s="3">
        <v>40863</v>
      </c>
      <c r="D806" t="s">
        <v>62</v>
      </c>
      <c r="E806">
        <v>38</v>
      </c>
      <c r="F806" s="3">
        <f ca="1">40865+(RANDBETWEEN(1,10))</f>
        <v>40866</v>
      </c>
      <c r="G806" t="s">
        <v>26</v>
      </c>
      <c r="H806" t="s">
        <v>27</v>
      </c>
      <c r="I806" t="s">
        <v>28</v>
      </c>
      <c r="J806">
        <v>12657.82</v>
      </c>
      <c r="K806">
        <v>0.03</v>
      </c>
      <c r="L806">
        <v>0.56999999999999995</v>
      </c>
      <c r="M806">
        <v>8.75</v>
      </c>
      <c r="N806">
        <v>8733.8958000000002</v>
      </c>
      <c r="O806" s="1" t="s">
        <v>225</v>
      </c>
      <c r="P806" s="1" t="s">
        <v>3007</v>
      </c>
      <c r="Q806" s="1" t="s">
        <v>3008</v>
      </c>
      <c r="R806" s="1" t="s">
        <v>228</v>
      </c>
      <c r="S806" s="1" t="s">
        <v>3009</v>
      </c>
      <c r="T806" s="1" t="s">
        <v>548</v>
      </c>
      <c r="U806" s="2" t="s">
        <v>3011</v>
      </c>
      <c r="V806" s="2" t="s">
        <v>36</v>
      </c>
      <c r="W806" s="2" t="s">
        <v>37</v>
      </c>
      <c r="X806" s="2">
        <v>388.46499999999997</v>
      </c>
    </row>
    <row r="807" spans="1:24" x14ac:dyDescent="0.3">
      <c r="A807">
        <v>18704</v>
      </c>
      <c r="B807" t="s">
        <v>3012</v>
      </c>
      <c r="C807" s="3">
        <v>41130</v>
      </c>
      <c r="D807" t="s">
        <v>62</v>
      </c>
      <c r="E807">
        <v>5</v>
      </c>
      <c r="F807" s="3">
        <f ca="1">41132+(RANDBETWEEN(1,10))</f>
        <v>41135</v>
      </c>
      <c r="G807" t="s">
        <v>26</v>
      </c>
      <c r="H807" t="s">
        <v>96</v>
      </c>
      <c r="I807" t="s">
        <v>28</v>
      </c>
      <c r="J807">
        <v>173.98500000000001</v>
      </c>
      <c r="K807">
        <v>7.0000000000000007E-2</v>
      </c>
      <c r="L807">
        <v>0.38</v>
      </c>
      <c r="M807">
        <v>6.2649999999999997</v>
      </c>
      <c r="N807">
        <v>120.04965</v>
      </c>
      <c r="O807" s="1" t="s">
        <v>53</v>
      </c>
      <c r="P807" s="1" t="s">
        <v>3013</v>
      </c>
      <c r="Q807" s="1" t="s">
        <v>3014</v>
      </c>
      <c r="R807" s="1" t="s">
        <v>440</v>
      </c>
      <c r="S807" s="1" t="s">
        <v>3015</v>
      </c>
      <c r="T807" s="1" t="s">
        <v>3016</v>
      </c>
      <c r="U807" s="2" t="s">
        <v>3017</v>
      </c>
      <c r="V807" s="2" t="s">
        <v>47</v>
      </c>
      <c r="W807" s="2" t="s">
        <v>74</v>
      </c>
      <c r="X807" s="2">
        <v>36.085000000000001</v>
      </c>
    </row>
    <row r="808" spans="1:24" x14ac:dyDescent="0.3">
      <c r="A808">
        <v>18705</v>
      </c>
      <c r="B808" t="s">
        <v>3018</v>
      </c>
      <c r="C808" s="3">
        <v>41053</v>
      </c>
      <c r="D808" t="s">
        <v>50</v>
      </c>
      <c r="E808">
        <v>11</v>
      </c>
      <c r="F808" s="3">
        <f ca="1">41056+(RANDBETWEEN(1,10))</f>
        <v>41063</v>
      </c>
      <c r="G808" t="s">
        <v>26</v>
      </c>
      <c r="H808" t="s">
        <v>96</v>
      </c>
      <c r="I808" t="s">
        <v>28</v>
      </c>
      <c r="J808">
        <v>136.85</v>
      </c>
      <c r="K808">
        <v>0.1</v>
      </c>
      <c r="L808">
        <v>0.83</v>
      </c>
      <c r="M808">
        <v>4.62</v>
      </c>
      <c r="N808">
        <v>-111.825</v>
      </c>
      <c r="O808" s="1" t="s">
        <v>87</v>
      </c>
      <c r="P808" s="1" t="s">
        <v>3019</v>
      </c>
      <c r="Q808" s="1" t="s">
        <v>3020</v>
      </c>
      <c r="R808" s="1" t="s">
        <v>398</v>
      </c>
      <c r="S808" s="1" t="s">
        <v>3021</v>
      </c>
      <c r="T808" s="1" t="s">
        <v>3022</v>
      </c>
      <c r="U808" s="2" t="s">
        <v>3023</v>
      </c>
      <c r="V808" s="2" t="s">
        <v>47</v>
      </c>
      <c r="W808" s="2" t="s">
        <v>94</v>
      </c>
      <c r="X808" s="2">
        <v>12.88</v>
      </c>
    </row>
    <row r="809" spans="1:24" x14ac:dyDescent="0.3">
      <c r="A809">
        <v>18706</v>
      </c>
      <c r="B809" t="s">
        <v>3024</v>
      </c>
      <c r="C809" s="3">
        <v>41330</v>
      </c>
      <c r="D809" t="s">
        <v>25</v>
      </c>
      <c r="E809">
        <v>1</v>
      </c>
      <c r="F809" s="3">
        <f ca="1">41332+(RANDBETWEEN(1,10))</f>
        <v>41342</v>
      </c>
      <c r="G809" t="s">
        <v>156</v>
      </c>
      <c r="H809" t="s">
        <v>27</v>
      </c>
      <c r="I809" t="s">
        <v>28</v>
      </c>
      <c r="J809">
        <v>35.770000000000003</v>
      </c>
      <c r="K809">
        <v>0.04</v>
      </c>
      <c r="L809">
        <v>0.36</v>
      </c>
      <c r="M809">
        <v>30.59</v>
      </c>
      <c r="N809">
        <v>-57.33</v>
      </c>
      <c r="O809" s="1" t="s">
        <v>64</v>
      </c>
      <c r="P809" s="1" t="s">
        <v>3025</v>
      </c>
      <c r="Q809" s="1" t="s">
        <v>3026</v>
      </c>
      <c r="R809" s="1" t="s">
        <v>128</v>
      </c>
      <c r="S809" s="1" t="s">
        <v>487</v>
      </c>
      <c r="T809" s="1" t="s">
        <v>488</v>
      </c>
      <c r="U809" s="2" t="s">
        <v>578</v>
      </c>
      <c r="V809" s="2" t="s">
        <v>47</v>
      </c>
      <c r="W809" s="2" t="s">
        <v>74</v>
      </c>
      <c r="X809" s="2">
        <v>22.68</v>
      </c>
    </row>
    <row r="810" spans="1:24" x14ac:dyDescent="0.3">
      <c r="A810">
        <v>18707</v>
      </c>
      <c r="B810" t="s">
        <v>3024</v>
      </c>
      <c r="C810" s="3">
        <v>41330</v>
      </c>
      <c r="D810" t="s">
        <v>25</v>
      </c>
      <c r="E810">
        <v>8</v>
      </c>
      <c r="F810" s="3">
        <f ca="1">41333+(RANDBETWEEN(1,10))</f>
        <v>41334</v>
      </c>
      <c r="G810" t="s">
        <v>76</v>
      </c>
      <c r="H810" t="s">
        <v>77</v>
      </c>
      <c r="I810" t="s">
        <v>28</v>
      </c>
      <c r="J810">
        <v>7806.085</v>
      </c>
      <c r="K810">
        <v>0.09</v>
      </c>
      <c r="L810">
        <v>0.56000000000000005</v>
      </c>
      <c r="M810">
        <v>226.55500000000001</v>
      </c>
      <c r="N810">
        <v>2671.6550000000002</v>
      </c>
      <c r="O810" s="1" t="s">
        <v>29</v>
      </c>
      <c r="P810" s="1" t="s">
        <v>3027</v>
      </c>
      <c r="Q810" s="1" t="s">
        <v>3028</v>
      </c>
      <c r="R810" s="1" t="s">
        <v>32</v>
      </c>
      <c r="S810" s="1" t="s">
        <v>3029</v>
      </c>
      <c r="T810" s="1" t="s">
        <v>3030</v>
      </c>
      <c r="U810" s="2" t="s">
        <v>3031</v>
      </c>
      <c r="V810" s="2" t="s">
        <v>83</v>
      </c>
      <c r="W810" s="2" t="s">
        <v>84</v>
      </c>
      <c r="X810" s="2">
        <v>1053.43</v>
      </c>
    </row>
    <row r="811" spans="1:24" x14ac:dyDescent="0.3">
      <c r="A811">
        <v>18708</v>
      </c>
      <c r="B811" t="s">
        <v>3032</v>
      </c>
      <c r="C811" s="3">
        <v>41202</v>
      </c>
      <c r="D811" t="s">
        <v>25</v>
      </c>
      <c r="E811">
        <v>6</v>
      </c>
      <c r="F811" s="3">
        <f ca="1">41202+(RANDBETWEEN(1,10))</f>
        <v>41212</v>
      </c>
      <c r="G811" t="s">
        <v>26</v>
      </c>
      <c r="H811" t="s">
        <v>63</v>
      </c>
      <c r="I811" t="s">
        <v>28</v>
      </c>
      <c r="J811">
        <v>1603.175</v>
      </c>
      <c r="K811">
        <v>7.0000000000000007E-2</v>
      </c>
      <c r="L811">
        <v>0.54</v>
      </c>
      <c r="M811">
        <v>69.825000000000003</v>
      </c>
      <c r="N811">
        <v>180.48099999999999</v>
      </c>
      <c r="O811" s="1" t="s">
        <v>87</v>
      </c>
      <c r="P811" s="1" t="s">
        <v>3033</v>
      </c>
      <c r="Q811" s="1" t="s">
        <v>3034</v>
      </c>
      <c r="R811" s="1" t="s">
        <v>90</v>
      </c>
      <c r="S811" s="1" t="s">
        <v>3035</v>
      </c>
      <c r="T811" s="1" t="s">
        <v>3036</v>
      </c>
      <c r="U811" s="2" t="s">
        <v>3037</v>
      </c>
      <c r="V811" s="2" t="s">
        <v>47</v>
      </c>
      <c r="W811" s="2" t="s">
        <v>71</v>
      </c>
      <c r="X811" s="2">
        <v>268.52</v>
      </c>
    </row>
    <row r="812" spans="1:24" x14ac:dyDescent="0.3">
      <c r="A812">
        <v>18709</v>
      </c>
      <c r="B812" t="s">
        <v>3032</v>
      </c>
      <c r="C812" s="3">
        <v>41202</v>
      </c>
      <c r="D812" t="s">
        <v>25</v>
      </c>
      <c r="E812">
        <v>21</v>
      </c>
      <c r="F812" s="3">
        <f ca="1">41207+(RANDBETWEEN(1,10))</f>
        <v>41210</v>
      </c>
      <c r="G812" t="s">
        <v>26</v>
      </c>
      <c r="H812" t="s">
        <v>27</v>
      </c>
      <c r="I812" t="s">
        <v>28</v>
      </c>
      <c r="J812">
        <v>458.78</v>
      </c>
      <c r="K812">
        <v>0</v>
      </c>
      <c r="L812">
        <v>0.36</v>
      </c>
      <c r="M812">
        <v>27.86</v>
      </c>
      <c r="N812">
        <v>-704.2518</v>
      </c>
      <c r="O812" s="1" t="s">
        <v>53</v>
      </c>
      <c r="P812" s="1" t="s">
        <v>3038</v>
      </c>
      <c r="Q812" s="1" t="s">
        <v>3039</v>
      </c>
      <c r="R812" s="1" t="s">
        <v>100</v>
      </c>
      <c r="S812" s="1" t="s">
        <v>3040</v>
      </c>
      <c r="T812" s="1" t="s">
        <v>3041</v>
      </c>
      <c r="U812" s="2" t="s">
        <v>3042</v>
      </c>
      <c r="V812" s="2" t="s">
        <v>47</v>
      </c>
      <c r="W812" s="2" t="s">
        <v>74</v>
      </c>
      <c r="X812" s="2">
        <v>20.23</v>
      </c>
    </row>
    <row r="813" spans="1:24" x14ac:dyDescent="0.3">
      <c r="A813">
        <v>18710</v>
      </c>
      <c r="B813" t="s">
        <v>3043</v>
      </c>
      <c r="C813" s="3">
        <v>41895</v>
      </c>
      <c r="D813" t="s">
        <v>148</v>
      </c>
      <c r="E813">
        <v>16</v>
      </c>
      <c r="F813" s="3">
        <f ca="1">41896+(RANDBETWEEN(1,10))</f>
        <v>41903</v>
      </c>
      <c r="G813" t="s">
        <v>26</v>
      </c>
      <c r="H813" t="s">
        <v>27</v>
      </c>
      <c r="I813" t="s">
        <v>28</v>
      </c>
      <c r="J813">
        <v>8037.47</v>
      </c>
      <c r="K813">
        <v>0</v>
      </c>
      <c r="L813">
        <v>0.56000000000000005</v>
      </c>
      <c r="M813">
        <v>69.965000000000003</v>
      </c>
      <c r="N813">
        <v>3856.8096</v>
      </c>
      <c r="O813" s="1" t="s">
        <v>225</v>
      </c>
      <c r="P813" s="1" t="s">
        <v>3044</v>
      </c>
      <c r="Q813" s="1" t="s">
        <v>3045</v>
      </c>
      <c r="R813" s="1" t="s">
        <v>391</v>
      </c>
      <c r="S813" s="1" t="s">
        <v>3046</v>
      </c>
      <c r="T813" s="1" t="s">
        <v>3047</v>
      </c>
      <c r="U813" s="2" t="s">
        <v>3048</v>
      </c>
      <c r="V813" s="2" t="s">
        <v>47</v>
      </c>
      <c r="W813" s="2" t="s">
        <v>119</v>
      </c>
      <c r="X813" s="2">
        <v>500.01</v>
      </c>
    </row>
    <row r="814" spans="1:24" x14ac:dyDescent="0.3">
      <c r="A814">
        <v>18711</v>
      </c>
      <c r="B814" t="s">
        <v>3049</v>
      </c>
      <c r="C814" s="3">
        <v>41745</v>
      </c>
      <c r="D814" t="s">
        <v>39</v>
      </c>
      <c r="E814">
        <v>3</v>
      </c>
      <c r="F814" s="3">
        <f ca="1">41747+(RANDBETWEEN(1,10))</f>
        <v>41757</v>
      </c>
      <c r="G814" t="s">
        <v>26</v>
      </c>
      <c r="H814" t="s">
        <v>96</v>
      </c>
      <c r="I814" t="s">
        <v>28</v>
      </c>
      <c r="J814">
        <v>83.65</v>
      </c>
      <c r="K814">
        <v>0.06</v>
      </c>
      <c r="L814">
        <v>0.52</v>
      </c>
      <c r="M814">
        <v>12.88</v>
      </c>
      <c r="N814">
        <v>57.718499999999999</v>
      </c>
      <c r="O814" s="1" t="s">
        <v>53</v>
      </c>
      <c r="P814" s="1" t="s">
        <v>1932</v>
      </c>
      <c r="Q814" s="1" t="s">
        <v>1933</v>
      </c>
      <c r="R814" s="1" t="s">
        <v>56</v>
      </c>
      <c r="S814" s="1" t="s">
        <v>1934</v>
      </c>
      <c r="T814" s="1" t="s">
        <v>1935</v>
      </c>
      <c r="U814" s="2" t="s">
        <v>2888</v>
      </c>
      <c r="V814" s="2" t="s">
        <v>83</v>
      </c>
      <c r="W814" s="2" t="s">
        <v>178</v>
      </c>
      <c r="X814" s="2">
        <v>26.95</v>
      </c>
    </row>
    <row r="815" spans="1:24" x14ac:dyDescent="0.3">
      <c r="A815">
        <v>18712</v>
      </c>
      <c r="B815" t="s">
        <v>3050</v>
      </c>
      <c r="C815" s="3">
        <v>41222</v>
      </c>
      <c r="D815" t="s">
        <v>39</v>
      </c>
      <c r="E815">
        <v>4</v>
      </c>
      <c r="F815" s="3">
        <f ca="1">41224+(RANDBETWEEN(1,10))</f>
        <v>41228</v>
      </c>
      <c r="G815" t="s">
        <v>156</v>
      </c>
      <c r="H815" t="s">
        <v>27</v>
      </c>
      <c r="I815" t="s">
        <v>86</v>
      </c>
      <c r="J815">
        <v>115.29</v>
      </c>
      <c r="K815">
        <v>0.1</v>
      </c>
      <c r="L815">
        <v>0.36</v>
      </c>
      <c r="M815">
        <v>26.11</v>
      </c>
      <c r="N815">
        <v>-253.34960000000001</v>
      </c>
      <c r="O815" s="1" t="s">
        <v>29</v>
      </c>
      <c r="P815" s="1" t="s">
        <v>3051</v>
      </c>
      <c r="Q815" s="1" t="s">
        <v>3052</v>
      </c>
      <c r="R815" s="1" t="s">
        <v>460</v>
      </c>
      <c r="S815" s="1" t="s">
        <v>3053</v>
      </c>
      <c r="T815" s="1" t="s">
        <v>3054</v>
      </c>
      <c r="U815" s="2" t="s">
        <v>2035</v>
      </c>
      <c r="V815" s="2" t="s">
        <v>47</v>
      </c>
      <c r="W815" s="2" t="s">
        <v>111</v>
      </c>
      <c r="X815" s="2">
        <v>19.04</v>
      </c>
    </row>
    <row r="816" spans="1:24" x14ac:dyDescent="0.3">
      <c r="A816">
        <v>18713</v>
      </c>
      <c r="B816" t="s">
        <v>3055</v>
      </c>
      <c r="C816" s="3">
        <v>41134</v>
      </c>
      <c r="D816" t="s">
        <v>62</v>
      </c>
      <c r="E816">
        <v>2</v>
      </c>
      <c r="F816" s="3">
        <f ca="1">41136+(RANDBETWEEN(1,10))</f>
        <v>41143</v>
      </c>
      <c r="G816" t="s">
        <v>26</v>
      </c>
      <c r="H816" t="s">
        <v>96</v>
      </c>
      <c r="I816" t="s">
        <v>28</v>
      </c>
      <c r="J816">
        <v>22.4</v>
      </c>
      <c r="K816">
        <v>0</v>
      </c>
      <c r="L816">
        <v>0.56000000000000005</v>
      </c>
      <c r="M816">
        <v>2.4500000000000002</v>
      </c>
      <c r="N816">
        <v>-4.0221999999999998</v>
      </c>
      <c r="O816" s="1" t="s">
        <v>225</v>
      </c>
      <c r="P816" s="1" t="s">
        <v>3056</v>
      </c>
      <c r="Q816" s="1" t="s">
        <v>3057</v>
      </c>
      <c r="R816" s="1" t="s">
        <v>228</v>
      </c>
      <c r="S816" s="1" t="s">
        <v>2805</v>
      </c>
      <c r="T816" s="1" t="s">
        <v>3058</v>
      </c>
      <c r="U816" s="2" t="s">
        <v>3059</v>
      </c>
      <c r="V816" s="2" t="s">
        <v>47</v>
      </c>
      <c r="W816" s="2" t="s">
        <v>104</v>
      </c>
      <c r="X816" s="2">
        <v>10.08</v>
      </c>
    </row>
    <row r="817" spans="1:24" x14ac:dyDescent="0.3">
      <c r="A817">
        <v>18714</v>
      </c>
      <c r="B817" t="s">
        <v>3060</v>
      </c>
      <c r="C817" s="3">
        <v>41576</v>
      </c>
      <c r="D817" t="s">
        <v>25</v>
      </c>
      <c r="E817">
        <v>1</v>
      </c>
      <c r="F817" s="3">
        <f ca="1">41576+(RANDBETWEEN(1,10))</f>
        <v>41581</v>
      </c>
      <c r="G817" t="s">
        <v>76</v>
      </c>
      <c r="H817" t="s">
        <v>258</v>
      </c>
      <c r="I817" t="s">
        <v>52</v>
      </c>
      <c r="J817">
        <v>827.22500000000002</v>
      </c>
      <c r="K817">
        <v>0.1</v>
      </c>
      <c r="L817">
        <v>0.62</v>
      </c>
      <c r="M817">
        <v>226.31</v>
      </c>
      <c r="N817">
        <v>-1277.3376000000001</v>
      </c>
      <c r="O817" s="1" t="s">
        <v>87</v>
      </c>
      <c r="P817" s="1" t="s">
        <v>3061</v>
      </c>
      <c r="Q817" s="1" t="s">
        <v>3062</v>
      </c>
      <c r="R817" s="1" t="s">
        <v>90</v>
      </c>
      <c r="S817" s="1" t="s">
        <v>3063</v>
      </c>
      <c r="T817" s="1" t="s">
        <v>3064</v>
      </c>
      <c r="U817" s="2" t="s">
        <v>1292</v>
      </c>
      <c r="V817" s="2" t="s">
        <v>83</v>
      </c>
      <c r="W817" s="2" t="s">
        <v>298</v>
      </c>
      <c r="X817" s="2">
        <v>773.43</v>
      </c>
    </row>
    <row r="818" spans="1:24" x14ac:dyDescent="0.3">
      <c r="A818">
        <v>18715</v>
      </c>
      <c r="B818" t="s">
        <v>3060</v>
      </c>
      <c r="C818" s="3">
        <v>41576</v>
      </c>
      <c r="D818" t="s">
        <v>25</v>
      </c>
      <c r="E818">
        <v>12</v>
      </c>
      <c r="F818" s="3">
        <f ca="1">41581+(RANDBETWEEN(1,10))</f>
        <v>41583</v>
      </c>
      <c r="G818" t="s">
        <v>26</v>
      </c>
      <c r="H818" t="s">
        <v>27</v>
      </c>
      <c r="I818" t="s">
        <v>52</v>
      </c>
      <c r="J818">
        <v>1644.335</v>
      </c>
      <c r="K818">
        <v>0.06</v>
      </c>
      <c r="L818">
        <v>0.36</v>
      </c>
      <c r="M818">
        <v>46.41</v>
      </c>
      <c r="N818">
        <v>711.33019999999999</v>
      </c>
      <c r="O818" s="1" t="s">
        <v>87</v>
      </c>
      <c r="P818" s="1" t="s">
        <v>3061</v>
      </c>
      <c r="Q818" s="1" t="s">
        <v>3062</v>
      </c>
      <c r="R818" s="1" t="s">
        <v>90</v>
      </c>
      <c r="S818" s="1" t="s">
        <v>3063</v>
      </c>
      <c r="T818" s="1" t="s">
        <v>3064</v>
      </c>
      <c r="U818" s="2" t="s">
        <v>2065</v>
      </c>
      <c r="V818" s="2" t="s">
        <v>47</v>
      </c>
      <c r="W818" s="2" t="s">
        <v>74</v>
      </c>
      <c r="X818" s="2">
        <v>135.66</v>
      </c>
    </row>
    <row r="819" spans="1:24" x14ac:dyDescent="0.3">
      <c r="A819">
        <v>18716</v>
      </c>
      <c r="B819" t="s">
        <v>3065</v>
      </c>
      <c r="C819" s="3">
        <v>40996</v>
      </c>
      <c r="D819" t="s">
        <v>50</v>
      </c>
      <c r="E819">
        <v>1</v>
      </c>
      <c r="F819" s="3">
        <f ca="1">40998+(RANDBETWEEN(1,10))</f>
        <v>41001</v>
      </c>
      <c r="G819" t="s">
        <v>26</v>
      </c>
      <c r="H819" t="s">
        <v>96</v>
      </c>
      <c r="I819" t="s">
        <v>86</v>
      </c>
      <c r="J819">
        <v>139.26499999999999</v>
      </c>
      <c r="K819">
        <v>0.06</v>
      </c>
      <c r="L819">
        <v>0.46</v>
      </c>
      <c r="M819">
        <v>14.945</v>
      </c>
      <c r="N819">
        <v>-133.97999999999999</v>
      </c>
      <c r="O819" s="1" t="s">
        <v>53</v>
      </c>
      <c r="P819" s="1" t="s">
        <v>3066</v>
      </c>
      <c r="Q819" s="1" t="s">
        <v>3067</v>
      </c>
      <c r="R819" s="1" t="s">
        <v>440</v>
      </c>
      <c r="S819" s="1" t="s">
        <v>3068</v>
      </c>
      <c r="T819" s="1" t="s">
        <v>3069</v>
      </c>
      <c r="U819" s="2" t="s">
        <v>3070</v>
      </c>
      <c r="V819" s="2" t="s">
        <v>47</v>
      </c>
      <c r="W819" s="2" t="s">
        <v>104</v>
      </c>
      <c r="X819" s="2">
        <v>131.04</v>
      </c>
    </row>
    <row r="820" spans="1:24" x14ac:dyDescent="0.3">
      <c r="A820">
        <v>18717</v>
      </c>
      <c r="B820" t="s">
        <v>3071</v>
      </c>
      <c r="C820" s="3">
        <v>41750</v>
      </c>
      <c r="D820" t="s">
        <v>39</v>
      </c>
      <c r="E820">
        <v>2</v>
      </c>
      <c r="F820" s="3">
        <f ca="1">41751+(RANDBETWEEN(1,10))</f>
        <v>41755</v>
      </c>
      <c r="G820" t="s">
        <v>26</v>
      </c>
      <c r="H820" t="s">
        <v>27</v>
      </c>
      <c r="I820" t="s">
        <v>28</v>
      </c>
      <c r="J820">
        <v>786.66</v>
      </c>
      <c r="K820">
        <v>0.01</v>
      </c>
      <c r="L820">
        <v>0.59</v>
      </c>
      <c r="M820">
        <v>30.8</v>
      </c>
      <c r="N820">
        <v>-1102.6015</v>
      </c>
      <c r="O820" s="1" t="s">
        <v>225</v>
      </c>
      <c r="P820" s="1" t="s">
        <v>3072</v>
      </c>
      <c r="Q820" s="1" t="s">
        <v>3073</v>
      </c>
      <c r="R820" s="1" t="s">
        <v>228</v>
      </c>
      <c r="S820" s="1" t="s">
        <v>1794</v>
      </c>
      <c r="T820" s="1" t="s">
        <v>548</v>
      </c>
      <c r="U820" s="2" t="s">
        <v>1548</v>
      </c>
      <c r="V820" s="2" t="s">
        <v>36</v>
      </c>
      <c r="W820" s="2" t="s">
        <v>37</v>
      </c>
      <c r="X820" s="2">
        <v>440.96499999999997</v>
      </c>
    </row>
    <row r="821" spans="1:24" x14ac:dyDescent="0.3">
      <c r="A821">
        <v>18718</v>
      </c>
      <c r="B821" t="s">
        <v>3074</v>
      </c>
      <c r="C821" s="3">
        <v>41769</v>
      </c>
      <c r="D821" t="s">
        <v>50</v>
      </c>
      <c r="E821">
        <v>15</v>
      </c>
      <c r="F821" s="3">
        <f ca="1">41770+(RANDBETWEEN(1,10))</f>
        <v>41776</v>
      </c>
      <c r="G821" t="s">
        <v>26</v>
      </c>
      <c r="H821" t="s">
        <v>51</v>
      </c>
      <c r="I821" t="s">
        <v>28</v>
      </c>
      <c r="J821">
        <v>2323.65</v>
      </c>
      <c r="K821">
        <v>7.0000000000000007E-2</v>
      </c>
      <c r="L821">
        <v>0.55000000000000004</v>
      </c>
      <c r="M821">
        <v>4.375</v>
      </c>
      <c r="N821">
        <v>1603.3185000000001</v>
      </c>
      <c r="O821" s="1" t="s">
        <v>87</v>
      </c>
      <c r="P821" s="1" t="s">
        <v>2980</v>
      </c>
      <c r="Q821" s="1" t="s">
        <v>2981</v>
      </c>
      <c r="R821" s="1" t="s">
        <v>646</v>
      </c>
      <c r="S821" s="1" t="s">
        <v>2982</v>
      </c>
      <c r="T821" s="1" t="s">
        <v>2686</v>
      </c>
      <c r="U821" s="2" t="s">
        <v>3075</v>
      </c>
      <c r="V821" s="2" t="s">
        <v>36</v>
      </c>
      <c r="W821" s="2" t="s">
        <v>37</v>
      </c>
      <c r="X821" s="2">
        <v>195.965</v>
      </c>
    </row>
    <row r="822" spans="1:24" x14ac:dyDescent="0.3">
      <c r="A822">
        <v>18719</v>
      </c>
      <c r="B822" t="s">
        <v>3076</v>
      </c>
      <c r="C822" s="3">
        <v>41511</v>
      </c>
      <c r="D822" t="s">
        <v>62</v>
      </c>
      <c r="E822">
        <v>18</v>
      </c>
      <c r="F822" s="3">
        <f ca="1">41513+(RANDBETWEEN(1,10))</f>
        <v>41520</v>
      </c>
      <c r="G822" t="s">
        <v>156</v>
      </c>
      <c r="H822" t="s">
        <v>281</v>
      </c>
      <c r="I822" t="s">
        <v>97</v>
      </c>
      <c r="J822">
        <v>8338.0149999999994</v>
      </c>
      <c r="K822">
        <v>0.04</v>
      </c>
      <c r="L822" t="s">
        <v>182</v>
      </c>
      <c r="M822">
        <v>44.274999999999999</v>
      </c>
      <c r="N822">
        <v>5753.2303499999998</v>
      </c>
      <c r="O822" s="1" t="s">
        <v>225</v>
      </c>
      <c r="P822" s="1" t="s">
        <v>912</v>
      </c>
      <c r="Q822" s="1" t="s">
        <v>913</v>
      </c>
      <c r="R822" s="1" t="s">
        <v>228</v>
      </c>
      <c r="S822" s="1" t="s">
        <v>914</v>
      </c>
      <c r="T822" s="1" t="s">
        <v>915</v>
      </c>
      <c r="U822" s="2" t="s">
        <v>1695</v>
      </c>
      <c r="V822" s="2" t="s">
        <v>83</v>
      </c>
      <c r="W822" s="2" t="s">
        <v>84</v>
      </c>
      <c r="X822" s="2">
        <v>448.84</v>
      </c>
    </row>
    <row r="823" spans="1:24" x14ac:dyDescent="0.3">
      <c r="A823">
        <v>18720</v>
      </c>
      <c r="B823" t="s">
        <v>3077</v>
      </c>
      <c r="C823" s="3">
        <v>40705</v>
      </c>
      <c r="D823" t="s">
        <v>39</v>
      </c>
      <c r="E823">
        <v>5</v>
      </c>
      <c r="F823" s="3">
        <f ca="1">40706+(RANDBETWEEN(1,10))</f>
        <v>40714</v>
      </c>
      <c r="G823" t="s">
        <v>26</v>
      </c>
      <c r="H823" t="s">
        <v>27</v>
      </c>
      <c r="I823" t="s">
        <v>28</v>
      </c>
      <c r="J823">
        <v>711.51499999999999</v>
      </c>
      <c r="K823">
        <v>0.01</v>
      </c>
      <c r="L823">
        <v>0.7</v>
      </c>
      <c r="M823">
        <v>14</v>
      </c>
      <c r="N823">
        <v>-107.828</v>
      </c>
      <c r="O823" s="1" t="s">
        <v>225</v>
      </c>
      <c r="P823" s="1" t="s">
        <v>3078</v>
      </c>
      <c r="Q823" s="1" t="s">
        <v>3079</v>
      </c>
      <c r="R823" s="1" t="s">
        <v>228</v>
      </c>
      <c r="S823" s="1" t="s">
        <v>3080</v>
      </c>
      <c r="T823" s="1" t="s">
        <v>598</v>
      </c>
      <c r="U823" s="2" t="s">
        <v>2111</v>
      </c>
      <c r="V823" s="2" t="s">
        <v>36</v>
      </c>
      <c r="W823" s="2" t="s">
        <v>60</v>
      </c>
      <c r="X823" s="2">
        <v>139.93</v>
      </c>
    </row>
    <row r="824" spans="1:24" x14ac:dyDescent="0.3">
      <c r="A824">
        <v>18721</v>
      </c>
      <c r="B824" t="s">
        <v>3081</v>
      </c>
      <c r="C824" s="3">
        <v>41334</v>
      </c>
      <c r="D824" t="s">
        <v>50</v>
      </c>
      <c r="E824">
        <v>7</v>
      </c>
      <c r="F824" s="3">
        <f ca="1">41337+(RANDBETWEEN(1,10))</f>
        <v>41345</v>
      </c>
      <c r="G824" t="s">
        <v>26</v>
      </c>
      <c r="H824" t="s">
        <v>96</v>
      </c>
      <c r="I824" t="s">
        <v>86</v>
      </c>
      <c r="J824">
        <v>196.80500000000001</v>
      </c>
      <c r="K824">
        <v>0.05</v>
      </c>
      <c r="L824">
        <v>0.4</v>
      </c>
      <c r="M824">
        <v>10.045</v>
      </c>
      <c r="N824">
        <v>108.5</v>
      </c>
      <c r="O824" s="1" t="s">
        <v>87</v>
      </c>
      <c r="P824" s="1" t="s">
        <v>2226</v>
      </c>
      <c r="Q824" s="1" t="s">
        <v>2227</v>
      </c>
      <c r="R824" s="1" t="s">
        <v>646</v>
      </c>
      <c r="S824" s="1" t="s">
        <v>2228</v>
      </c>
      <c r="T824" s="1" t="s">
        <v>2229</v>
      </c>
      <c r="U824" s="2" t="s">
        <v>1846</v>
      </c>
      <c r="V824" s="2" t="s">
        <v>47</v>
      </c>
      <c r="W824" s="2" t="s">
        <v>74</v>
      </c>
      <c r="X824" s="2">
        <v>28.035</v>
      </c>
    </row>
    <row r="825" spans="1:24" x14ac:dyDescent="0.3">
      <c r="A825">
        <v>18722</v>
      </c>
      <c r="B825" t="s">
        <v>3082</v>
      </c>
      <c r="C825" s="3">
        <v>41238</v>
      </c>
      <c r="D825" t="s">
        <v>25</v>
      </c>
      <c r="E825">
        <v>10</v>
      </c>
      <c r="F825" s="3">
        <f ca="1">41245+(RANDBETWEEN(1,10))</f>
        <v>41247</v>
      </c>
      <c r="G825" t="s">
        <v>26</v>
      </c>
      <c r="H825" t="s">
        <v>27</v>
      </c>
      <c r="I825" t="s">
        <v>28</v>
      </c>
      <c r="J825">
        <v>2625.1750000000002</v>
      </c>
      <c r="K825">
        <v>0.05</v>
      </c>
      <c r="L825">
        <v>0.65</v>
      </c>
      <c r="M825">
        <v>50.82</v>
      </c>
      <c r="N825">
        <v>154.78399999999999</v>
      </c>
      <c r="O825" s="1" t="s">
        <v>29</v>
      </c>
      <c r="P825" s="1" t="s">
        <v>3083</v>
      </c>
      <c r="Q825" s="1" t="s">
        <v>3084</v>
      </c>
      <c r="R825" s="1" t="s">
        <v>460</v>
      </c>
      <c r="S825" s="1" t="s">
        <v>3085</v>
      </c>
      <c r="T825" s="1" t="s">
        <v>3086</v>
      </c>
      <c r="U825" s="2" t="s">
        <v>2448</v>
      </c>
      <c r="V825" s="2" t="s">
        <v>36</v>
      </c>
      <c r="W825" s="2" t="s">
        <v>60</v>
      </c>
      <c r="X825" s="2">
        <v>258.93</v>
      </c>
    </row>
    <row r="826" spans="1:24" x14ac:dyDescent="0.3">
      <c r="A826">
        <v>18723</v>
      </c>
      <c r="B826" t="s">
        <v>3082</v>
      </c>
      <c r="C826" s="3">
        <v>41238</v>
      </c>
      <c r="D826" t="s">
        <v>25</v>
      </c>
      <c r="E826">
        <v>12</v>
      </c>
      <c r="F826" s="3">
        <f ca="1">41240+(RANDBETWEEN(1,10))</f>
        <v>41247</v>
      </c>
      <c r="G826" t="s">
        <v>26</v>
      </c>
      <c r="H826" t="s">
        <v>27</v>
      </c>
      <c r="I826" t="s">
        <v>28</v>
      </c>
      <c r="J826">
        <v>6199.9</v>
      </c>
      <c r="K826">
        <v>0.03</v>
      </c>
      <c r="L826">
        <v>0.73</v>
      </c>
      <c r="M826">
        <v>69.965000000000003</v>
      </c>
      <c r="N826">
        <v>504.96600000000001</v>
      </c>
      <c r="O826" s="1" t="s">
        <v>64</v>
      </c>
      <c r="P826" s="1" t="s">
        <v>3087</v>
      </c>
      <c r="Q826" s="1" t="s">
        <v>3088</v>
      </c>
      <c r="R826" s="1" t="s">
        <v>128</v>
      </c>
      <c r="S826" s="1" t="s">
        <v>3089</v>
      </c>
      <c r="T826" s="1" t="s">
        <v>3090</v>
      </c>
      <c r="U826" s="2" t="s">
        <v>1828</v>
      </c>
      <c r="V826" s="2" t="s">
        <v>47</v>
      </c>
      <c r="W826" s="2" t="s">
        <v>119</v>
      </c>
      <c r="X826" s="2">
        <v>492.97500000000002</v>
      </c>
    </row>
    <row r="827" spans="1:24" x14ac:dyDescent="0.3">
      <c r="A827">
        <v>18724</v>
      </c>
      <c r="B827" t="s">
        <v>3082</v>
      </c>
      <c r="C827" s="3">
        <v>41238</v>
      </c>
      <c r="D827" t="s">
        <v>25</v>
      </c>
      <c r="E827">
        <v>7</v>
      </c>
      <c r="F827" s="3">
        <f ca="1">41240+(RANDBETWEEN(1,10))</f>
        <v>41244</v>
      </c>
      <c r="G827" t="s">
        <v>26</v>
      </c>
      <c r="H827" t="s">
        <v>51</v>
      </c>
      <c r="I827" t="s">
        <v>28</v>
      </c>
      <c r="J827">
        <v>75.704999999999998</v>
      </c>
      <c r="K827">
        <v>0.06</v>
      </c>
      <c r="L827">
        <v>0.57999999999999996</v>
      </c>
      <c r="M827">
        <v>12.25</v>
      </c>
      <c r="N827">
        <v>15.029</v>
      </c>
      <c r="O827" s="1" t="s">
        <v>53</v>
      </c>
      <c r="P827" s="1" t="s">
        <v>3091</v>
      </c>
      <c r="Q827" s="1" t="s">
        <v>3092</v>
      </c>
      <c r="R827" s="1" t="s">
        <v>100</v>
      </c>
      <c r="S827" s="1" t="s">
        <v>491</v>
      </c>
      <c r="T827" s="1" t="s">
        <v>492</v>
      </c>
      <c r="U827" s="2" t="s">
        <v>935</v>
      </c>
      <c r="V827" s="2" t="s">
        <v>47</v>
      </c>
      <c r="W827" s="2" t="s">
        <v>104</v>
      </c>
      <c r="X827" s="2">
        <v>9.59</v>
      </c>
    </row>
    <row r="828" spans="1:24" x14ac:dyDescent="0.3">
      <c r="A828">
        <v>18725</v>
      </c>
      <c r="B828" t="s">
        <v>3093</v>
      </c>
      <c r="C828" s="3">
        <v>41559</v>
      </c>
      <c r="D828" t="s">
        <v>39</v>
      </c>
      <c r="E828">
        <v>4</v>
      </c>
      <c r="F828" s="3">
        <f ca="1">41559+(RANDBETWEEN(1,10))</f>
        <v>41564</v>
      </c>
      <c r="G828" t="s">
        <v>156</v>
      </c>
      <c r="H828" t="s">
        <v>27</v>
      </c>
      <c r="I828" t="s">
        <v>97</v>
      </c>
      <c r="J828">
        <v>593.88</v>
      </c>
      <c r="K828">
        <v>0.03</v>
      </c>
      <c r="L828">
        <v>0.56999999999999995</v>
      </c>
      <c r="M828">
        <v>18.655000000000001</v>
      </c>
      <c r="N828">
        <v>-404.25</v>
      </c>
      <c r="O828" s="1" t="s">
        <v>29</v>
      </c>
      <c r="P828" s="1" t="s">
        <v>3094</v>
      </c>
      <c r="Q828" s="1" t="s">
        <v>3095</v>
      </c>
      <c r="R828" s="1" t="s">
        <v>675</v>
      </c>
      <c r="S828" s="1" t="s">
        <v>3096</v>
      </c>
      <c r="T828" s="1" t="s">
        <v>3097</v>
      </c>
      <c r="U828" s="2" t="s">
        <v>1712</v>
      </c>
      <c r="V828" s="2" t="s">
        <v>47</v>
      </c>
      <c r="W828" s="2" t="s">
        <v>71</v>
      </c>
      <c r="X828" s="2">
        <v>143.43</v>
      </c>
    </row>
    <row r="829" spans="1:24" x14ac:dyDescent="0.3">
      <c r="A829">
        <v>18726</v>
      </c>
      <c r="B829" t="s">
        <v>3093</v>
      </c>
      <c r="C829" s="3">
        <v>41559</v>
      </c>
      <c r="D829" t="s">
        <v>39</v>
      </c>
      <c r="E829">
        <v>5</v>
      </c>
      <c r="F829" s="3">
        <f ca="1">41561+(RANDBETWEEN(1,10))</f>
        <v>41566</v>
      </c>
      <c r="G829" t="s">
        <v>26</v>
      </c>
      <c r="H829" t="s">
        <v>27</v>
      </c>
      <c r="I829" t="s">
        <v>97</v>
      </c>
      <c r="J829">
        <v>53.55</v>
      </c>
      <c r="K829">
        <v>0.09</v>
      </c>
      <c r="L829">
        <v>0.37</v>
      </c>
      <c r="M829">
        <v>3.4649999999999999</v>
      </c>
      <c r="N829">
        <v>843.78</v>
      </c>
      <c r="O829" s="1" t="s">
        <v>29</v>
      </c>
      <c r="P829" s="1" t="s">
        <v>3094</v>
      </c>
      <c r="Q829" s="1" t="s">
        <v>3095</v>
      </c>
      <c r="R829" s="1" t="s">
        <v>675</v>
      </c>
      <c r="S829" s="1" t="s">
        <v>3096</v>
      </c>
      <c r="T829" s="1" t="s">
        <v>3097</v>
      </c>
      <c r="U829" s="2" t="s">
        <v>796</v>
      </c>
      <c r="V829" s="2" t="s">
        <v>47</v>
      </c>
      <c r="W829" s="2" t="s">
        <v>203</v>
      </c>
      <c r="X829" s="2">
        <v>10.78</v>
      </c>
    </row>
    <row r="830" spans="1:24" x14ac:dyDescent="0.3">
      <c r="A830">
        <v>18727</v>
      </c>
      <c r="B830" t="s">
        <v>3098</v>
      </c>
      <c r="C830" s="3">
        <v>41433</v>
      </c>
      <c r="D830" t="s">
        <v>50</v>
      </c>
      <c r="E830">
        <v>20</v>
      </c>
      <c r="F830" s="3">
        <f ca="1">41435+(RANDBETWEEN(1,10))</f>
        <v>41437</v>
      </c>
      <c r="G830" t="s">
        <v>26</v>
      </c>
      <c r="H830" t="s">
        <v>51</v>
      </c>
      <c r="I830" t="s">
        <v>28</v>
      </c>
      <c r="J830">
        <v>1965.2850000000001</v>
      </c>
      <c r="K830">
        <v>7.0000000000000007E-2</v>
      </c>
      <c r="L830">
        <v>0.4</v>
      </c>
      <c r="M830">
        <v>6.9649999999999999</v>
      </c>
      <c r="N830">
        <v>-115.15</v>
      </c>
      <c r="O830" s="1" t="s">
        <v>29</v>
      </c>
      <c r="P830" s="1" t="s">
        <v>3099</v>
      </c>
      <c r="Q830" s="1" t="s">
        <v>3100</v>
      </c>
      <c r="R830" s="1" t="s">
        <v>32</v>
      </c>
      <c r="S830" s="1" t="s">
        <v>3101</v>
      </c>
      <c r="T830" s="1" t="s">
        <v>3102</v>
      </c>
      <c r="U830" s="2" t="s">
        <v>1109</v>
      </c>
      <c r="V830" s="2" t="s">
        <v>36</v>
      </c>
      <c r="W830" s="2" t="s">
        <v>60</v>
      </c>
      <c r="X830" s="2">
        <v>99.68</v>
      </c>
    </row>
    <row r="831" spans="1:24" x14ac:dyDescent="0.3">
      <c r="A831">
        <v>18728</v>
      </c>
      <c r="B831" t="s">
        <v>3103</v>
      </c>
      <c r="C831" s="3">
        <v>40689</v>
      </c>
      <c r="D831" t="s">
        <v>50</v>
      </c>
      <c r="E831">
        <v>15</v>
      </c>
      <c r="F831" s="3">
        <f ca="1">40690+(RANDBETWEEN(1,10))</f>
        <v>40692</v>
      </c>
      <c r="G831" t="s">
        <v>76</v>
      </c>
      <c r="H831" t="s">
        <v>77</v>
      </c>
      <c r="I831" t="s">
        <v>52</v>
      </c>
      <c r="J831">
        <v>18967.935000000001</v>
      </c>
      <c r="K831">
        <v>0.01</v>
      </c>
      <c r="L831" t="s">
        <v>182</v>
      </c>
      <c r="M831">
        <v>210</v>
      </c>
      <c r="N831">
        <v>13087.87515</v>
      </c>
      <c r="O831" s="1" t="s">
        <v>87</v>
      </c>
      <c r="P831" s="1" t="s">
        <v>3104</v>
      </c>
      <c r="Q831" s="1" t="s">
        <v>3105</v>
      </c>
      <c r="R831" s="1" t="s">
        <v>646</v>
      </c>
      <c r="S831" s="1" t="s">
        <v>3106</v>
      </c>
      <c r="T831" s="1" t="s">
        <v>3107</v>
      </c>
      <c r="U831" s="2" t="s">
        <v>3108</v>
      </c>
      <c r="V831" s="2" t="s">
        <v>83</v>
      </c>
      <c r="W831" s="2" t="s">
        <v>263</v>
      </c>
      <c r="X831" s="2">
        <v>1223.075</v>
      </c>
    </row>
    <row r="832" spans="1:24" x14ac:dyDescent="0.3">
      <c r="A832">
        <v>18729</v>
      </c>
      <c r="B832" t="s">
        <v>3109</v>
      </c>
      <c r="C832" s="3">
        <v>41375</v>
      </c>
      <c r="D832" t="s">
        <v>148</v>
      </c>
      <c r="E832">
        <v>11</v>
      </c>
      <c r="F832" s="3">
        <f ca="1">41377+(RANDBETWEEN(1,10))</f>
        <v>41381</v>
      </c>
      <c r="G832" t="s">
        <v>156</v>
      </c>
      <c r="H832" t="s">
        <v>27</v>
      </c>
      <c r="I832" t="s">
        <v>28</v>
      </c>
      <c r="J832">
        <v>3871.3150000000001</v>
      </c>
      <c r="K832">
        <v>0.05</v>
      </c>
      <c r="L832">
        <v>0.56999999999999995</v>
      </c>
      <c r="M832">
        <v>20.965</v>
      </c>
      <c r="N832">
        <v>2671.2073500000001</v>
      </c>
      <c r="O832" s="1" t="s">
        <v>64</v>
      </c>
      <c r="P832" s="1" t="s">
        <v>432</v>
      </c>
      <c r="Q832" s="1" t="s">
        <v>433</v>
      </c>
      <c r="R832" s="1" t="s">
        <v>67</v>
      </c>
      <c r="S832" s="1" t="s">
        <v>434</v>
      </c>
      <c r="T832" s="1" t="s">
        <v>435</v>
      </c>
      <c r="U832" s="2">
        <v>2160</v>
      </c>
      <c r="V832" s="2" t="s">
        <v>36</v>
      </c>
      <c r="W832" s="2" t="s">
        <v>37</v>
      </c>
      <c r="X832" s="2">
        <v>405.96499999999997</v>
      </c>
    </row>
    <row r="833" spans="1:24" x14ac:dyDescent="0.3">
      <c r="A833">
        <v>18730</v>
      </c>
      <c r="B833" t="s">
        <v>3110</v>
      </c>
      <c r="C833" s="3">
        <v>41845</v>
      </c>
      <c r="D833" t="s">
        <v>50</v>
      </c>
      <c r="E833">
        <v>11</v>
      </c>
      <c r="F833" s="3">
        <f ca="1">41847+(RANDBETWEEN(1,10))</f>
        <v>41851</v>
      </c>
      <c r="G833" t="s">
        <v>26</v>
      </c>
      <c r="H833" t="s">
        <v>27</v>
      </c>
      <c r="I833" t="s">
        <v>28</v>
      </c>
      <c r="J833">
        <v>2155.1950000000002</v>
      </c>
      <c r="K833">
        <v>0.08</v>
      </c>
      <c r="L833">
        <v>0.56000000000000005</v>
      </c>
      <c r="M833">
        <v>31.465</v>
      </c>
      <c r="N833">
        <v>477.93900000000002</v>
      </c>
      <c r="O833" s="1" t="s">
        <v>40</v>
      </c>
      <c r="P833" s="1" t="s">
        <v>3111</v>
      </c>
      <c r="Q833" s="1" t="s">
        <v>3112</v>
      </c>
      <c r="R833" s="1" t="s">
        <v>43</v>
      </c>
      <c r="S833" s="1" t="s">
        <v>3113</v>
      </c>
      <c r="T833" s="1" t="s">
        <v>3114</v>
      </c>
      <c r="U833" s="2">
        <v>5180</v>
      </c>
      <c r="V833" s="2" t="s">
        <v>36</v>
      </c>
      <c r="W833" s="2" t="s">
        <v>37</v>
      </c>
      <c r="X833" s="2">
        <v>230.965</v>
      </c>
    </row>
    <row r="834" spans="1:24" x14ac:dyDescent="0.3">
      <c r="A834">
        <v>18731</v>
      </c>
      <c r="B834" t="s">
        <v>3115</v>
      </c>
      <c r="C834" s="3">
        <v>41579</v>
      </c>
      <c r="D834" t="s">
        <v>39</v>
      </c>
      <c r="E834">
        <v>31</v>
      </c>
      <c r="F834" s="3">
        <f ca="1">41580+(RANDBETWEEN(1,10))</f>
        <v>41587</v>
      </c>
      <c r="G834" t="s">
        <v>76</v>
      </c>
      <c r="H834" t="s">
        <v>77</v>
      </c>
      <c r="I834" t="s">
        <v>52</v>
      </c>
      <c r="J834">
        <v>14266.84</v>
      </c>
      <c r="K834">
        <v>0</v>
      </c>
      <c r="L834">
        <v>0.64</v>
      </c>
      <c r="M834">
        <v>105</v>
      </c>
      <c r="N834">
        <v>488.12610000000001</v>
      </c>
      <c r="O834" s="1" t="s">
        <v>225</v>
      </c>
      <c r="P834" s="1" t="s">
        <v>3116</v>
      </c>
      <c r="Q834" s="1" t="s">
        <v>3117</v>
      </c>
      <c r="R834" s="1" t="s">
        <v>228</v>
      </c>
      <c r="S834" s="1" t="s">
        <v>1879</v>
      </c>
      <c r="T834" s="1" t="s">
        <v>1880</v>
      </c>
      <c r="U834" s="2" t="s">
        <v>2044</v>
      </c>
      <c r="V834" s="2" t="s">
        <v>83</v>
      </c>
      <c r="W834" s="2" t="s">
        <v>84</v>
      </c>
      <c r="X834" s="2">
        <v>423.43</v>
      </c>
    </row>
    <row r="835" spans="1:24" x14ac:dyDescent="0.3">
      <c r="A835">
        <v>18732</v>
      </c>
      <c r="B835" t="s">
        <v>3115</v>
      </c>
      <c r="C835" s="3">
        <v>41579</v>
      </c>
      <c r="D835" t="s">
        <v>39</v>
      </c>
      <c r="E835">
        <v>12</v>
      </c>
      <c r="F835" s="3">
        <f ca="1">41580+(RANDBETWEEN(1,10))</f>
        <v>41581</v>
      </c>
      <c r="G835" t="s">
        <v>26</v>
      </c>
      <c r="H835" t="s">
        <v>63</v>
      </c>
      <c r="I835" t="s">
        <v>52</v>
      </c>
      <c r="J835">
        <v>8154.1949999999997</v>
      </c>
      <c r="K835">
        <v>0.1</v>
      </c>
      <c r="L835">
        <v>0.59</v>
      </c>
      <c r="M835">
        <v>74.234999999999999</v>
      </c>
      <c r="N835">
        <v>3031.0371</v>
      </c>
      <c r="O835" s="1" t="s">
        <v>225</v>
      </c>
      <c r="P835" s="1" t="s">
        <v>3116</v>
      </c>
      <c r="Q835" s="1" t="s">
        <v>3117</v>
      </c>
      <c r="R835" s="1" t="s">
        <v>228</v>
      </c>
      <c r="S835" s="1" t="s">
        <v>1879</v>
      </c>
      <c r="T835" s="1" t="s">
        <v>1880</v>
      </c>
      <c r="U835" s="2" t="s">
        <v>3118</v>
      </c>
      <c r="V835" s="2" t="s">
        <v>83</v>
      </c>
      <c r="W835" s="2" t="s">
        <v>178</v>
      </c>
      <c r="X835" s="2">
        <v>734.44</v>
      </c>
    </row>
    <row r="836" spans="1:24" x14ac:dyDescent="0.3">
      <c r="A836">
        <v>18733</v>
      </c>
      <c r="B836" t="s">
        <v>3119</v>
      </c>
      <c r="C836" s="3">
        <v>40697</v>
      </c>
      <c r="D836" t="s">
        <v>148</v>
      </c>
      <c r="E836">
        <v>9</v>
      </c>
      <c r="F836" s="3">
        <f ca="1">40699+(RANDBETWEEN(1,10))</f>
        <v>40706</v>
      </c>
      <c r="G836" t="s">
        <v>26</v>
      </c>
      <c r="H836" t="s">
        <v>27</v>
      </c>
      <c r="I836" t="s">
        <v>97</v>
      </c>
      <c r="J836">
        <v>3435.7750000000001</v>
      </c>
      <c r="K836">
        <v>0.03</v>
      </c>
      <c r="L836">
        <v>0.57999999999999996</v>
      </c>
      <c r="M836">
        <v>26.914999999999999</v>
      </c>
      <c r="N836">
        <v>1753.3530000000001</v>
      </c>
      <c r="O836" s="1" t="s">
        <v>53</v>
      </c>
      <c r="P836" s="1" t="s">
        <v>2306</v>
      </c>
      <c r="Q836" s="1" t="s">
        <v>2307</v>
      </c>
      <c r="R836" s="1" t="s">
        <v>100</v>
      </c>
      <c r="S836" s="1" t="s">
        <v>2308</v>
      </c>
      <c r="T836" s="1" t="s">
        <v>2309</v>
      </c>
      <c r="U836" s="2" t="s">
        <v>2511</v>
      </c>
      <c r="V836" s="2" t="s">
        <v>36</v>
      </c>
      <c r="W836" s="2" t="s">
        <v>37</v>
      </c>
      <c r="X836" s="2">
        <v>440.96499999999997</v>
      </c>
    </row>
    <row r="837" spans="1:24" x14ac:dyDescent="0.3">
      <c r="A837">
        <v>18734</v>
      </c>
      <c r="B837" t="s">
        <v>3120</v>
      </c>
      <c r="C837" s="3">
        <v>41463</v>
      </c>
      <c r="D837" t="s">
        <v>50</v>
      </c>
      <c r="E837">
        <v>2</v>
      </c>
      <c r="F837" s="3">
        <f ca="1">41465+(RANDBETWEEN(1,10))</f>
        <v>41467</v>
      </c>
      <c r="G837" t="s">
        <v>26</v>
      </c>
      <c r="H837" t="s">
        <v>27</v>
      </c>
      <c r="I837" t="s">
        <v>97</v>
      </c>
      <c r="J837">
        <v>59.395000000000003</v>
      </c>
      <c r="K837">
        <v>0.1</v>
      </c>
      <c r="L837">
        <v>0.39</v>
      </c>
      <c r="M837">
        <v>10.465</v>
      </c>
      <c r="N837">
        <v>-10.66625</v>
      </c>
      <c r="O837" s="1" t="s">
        <v>225</v>
      </c>
      <c r="P837" s="1" t="s">
        <v>2903</v>
      </c>
      <c r="Q837" s="1" t="s">
        <v>2904</v>
      </c>
      <c r="R837" s="1" t="s">
        <v>391</v>
      </c>
      <c r="S837" s="1" t="s">
        <v>2905</v>
      </c>
      <c r="T837" s="1" t="s">
        <v>2906</v>
      </c>
      <c r="U837" s="2" t="s">
        <v>618</v>
      </c>
      <c r="V837" s="2" t="s">
        <v>47</v>
      </c>
      <c r="W837" s="2" t="s">
        <v>111</v>
      </c>
      <c r="X837" s="2">
        <v>30.414999999999999</v>
      </c>
    </row>
    <row r="838" spans="1:24" x14ac:dyDescent="0.3">
      <c r="A838">
        <v>18735</v>
      </c>
      <c r="B838" t="s">
        <v>3121</v>
      </c>
      <c r="C838" s="3">
        <v>40573</v>
      </c>
      <c r="D838" t="s">
        <v>62</v>
      </c>
      <c r="E838">
        <v>11</v>
      </c>
      <c r="F838" s="3">
        <f ca="1">40575+(RANDBETWEEN(1,10))</f>
        <v>40583</v>
      </c>
      <c r="G838" t="s">
        <v>26</v>
      </c>
      <c r="H838" t="s">
        <v>51</v>
      </c>
      <c r="I838" t="s">
        <v>28</v>
      </c>
      <c r="J838">
        <v>1178.24</v>
      </c>
      <c r="K838">
        <v>0.1</v>
      </c>
      <c r="L838">
        <v>0.42</v>
      </c>
      <c r="M838">
        <v>6.9649999999999999</v>
      </c>
      <c r="N838">
        <v>812.98559999999998</v>
      </c>
      <c r="O838" s="1" t="s">
        <v>29</v>
      </c>
      <c r="P838" s="1" t="s">
        <v>757</v>
      </c>
      <c r="Q838" s="1" t="s">
        <v>758</v>
      </c>
      <c r="R838" s="1" t="s">
        <v>675</v>
      </c>
      <c r="S838" s="1" t="s">
        <v>759</v>
      </c>
      <c r="T838" s="1" t="s">
        <v>760</v>
      </c>
      <c r="U838" s="2" t="s">
        <v>1226</v>
      </c>
      <c r="V838" s="2" t="s">
        <v>36</v>
      </c>
      <c r="W838" s="2" t="s">
        <v>60</v>
      </c>
      <c r="X838" s="2">
        <v>111.23</v>
      </c>
    </row>
    <row r="839" spans="1:24" x14ac:dyDescent="0.3">
      <c r="A839">
        <v>18736</v>
      </c>
      <c r="B839" t="s">
        <v>3122</v>
      </c>
      <c r="C839" s="3">
        <v>40794</v>
      </c>
      <c r="D839" t="s">
        <v>25</v>
      </c>
      <c r="E839">
        <v>17</v>
      </c>
      <c r="F839" s="3">
        <f ca="1">40801+(RANDBETWEEN(1,10))</f>
        <v>40805</v>
      </c>
      <c r="G839" t="s">
        <v>156</v>
      </c>
      <c r="H839" t="s">
        <v>27</v>
      </c>
      <c r="I839" t="s">
        <v>86</v>
      </c>
      <c r="J839">
        <v>332.85</v>
      </c>
      <c r="K839">
        <v>0.09</v>
      </c>
      <c r="L839">
        <v>0.38</v>
      </c>
      <c r="M839">
        <v>10.465</v>
      </c>
      <c r="N839">
        <v>33.201000000000001</v>
      </c>
      <c r="O839" s="1" t="s">
        <v>29</v>
      </c>
      <c r="P839" s="1" t="s">
        <v>2598</v>
      </c>
      <c r="Q839" s="1" t="s">
        <v>2599</v>
      </c>
      <c r="R839" s="1" t="s">
        <v>460</v>
      </c>
      <c r="S839" s="1" t="s">
        <v>2600</v>
      </c>
      <c r="T839" s="1" t="s">
        <v>2601</v>
      </c>
      <c r="U839" s="2" t="s">
        <v>1125</v>
      </c>
      <c r="V839" s="2" t="s">
        <v>47</v>
      </c>
      <c r="W839" s="2" t="s">
        <v>111</v>
      </c>
      <c r="X839" s="2">
        <v>18.690000000000001</v>
      </c>
    </row>
    <row r="840" spans="1:24" x14ac:dyDescent="0.3">
      <c r="A840">
        <v>18737</v>
      </c>
      <c r="B840" t="s">
        <v>3122</v>
      </c>
      <c r="C840" s="3">
        <v>40794</v>
      </c>
      <c r="D840" t="s">
        <v>25</v>
      </c>
      <c r="E840">
        <v>5</v>
      </c>
      <c r="F840" s="3">
        <f ca="1">40801+(RANDBETWEEN(1,10))</f>
        <v>40802</v>
      </c>
      <c r="G840" t="s">
        <v>76</v>
      </c>
      <c r="H840" t="s">
        <v>258</v>
      </c>
      <c r="I840" t="s">
        <v>86</v>
      </c>
      <c r="J840">
        <v>2571.59</v>
      </c>
      <c r="K840">
        <v>7.0000000000000007E-2</v>
      </c>
      <c r="L840">
        <v>0.65</v>
      </c>
      <c r="M840">
        <v>187.18</v>
      </c>
      <c r="N840">
        <v>-922.77499999999998</v>
      </c>
      <c r="O840" s="1" t="s">
        <v>29</v>
      </c>
      <c r="P840" s="1" t="s">
        <v>2598</v>
      </c>
      <c r="Q840" s="1" t="s">
        <v>2599</v>
      </c>
      <c r="R840" s="1" t="s">
        <v>460</v>
      </c>
      <c r="S840" s="1" t="s">
        <v>2600</v>
      </c>
      <c r="T840" s="1" t="s">
        <v>2601</v>
      </c>
      <c r="U840" s="2" t="s">
        <v>3123</v>
      </c>
      <c r="V840" s="2" t="s">
        <v>83</v>
      </c>
      <c r="W840" s="2" t="s">
        <v>298</v>
      </c>
      <c r="X840" s="2">
        <v>493.43</v>
      </c>
    </row>
    <row r="841" spans="1:24" x14ac:dyDescent="0.3">
      <c r="A841">
        <v>18738</v>
      </c>
      <c r="B841" t="s">
        <v>3122</v>
      </c>
      <c r="C841" s="3">
        <v>40794</v>
      </c>
      <c r="D841" t="s">
        <v>25</v>
      </c>
      <c r="E841">
        <v>11</v>
      </c>
      <c r="F841" s="3">
        <f ca="1">40801+(RANDBETWEEN(1,10))</f>
        <v>40804</v>
      </c>
      <c r="G841" t="s">
        <v>26</v>
      </c>
      <c r="H841" t="s">
        <v>27</v>
      </c>
      <c r="I841" t="s">
        <v>86</v>
      </c>
      <c r="J841">
        <v>6590.0450000000001</v>
      </c>
      <c r="K841">
        <v>0.06</v>
      </c>
      <c r="L841">
        <v>0.56000000000000005</v>
      </c>
      <c r="M841">
        <v>18.41</v>
      </c>
      <c r="N841">
        <v>3115.6334999999999</v>
      </c>
      <c r="O841" s="1" t="s">
        <v>29</v>
      </c>
      <c r="P841" s="1" t="s">
        <v>2598</v>
      </c>
      <c r="Q841" s="1" t="s">
        <v>2599</v>
      </c>
      <c r="R841" s="1" t="s">
        <v>460</v>
      </c>
      <c r="S841" s="1" t="s">
        <v>2600</v>
      </c>
      <c r="T841" s="1" t="s">
        <v>2601</v>
      </c>
      <c r="U841" s="2" t="s">
        <v>1881</v>
      </c>
      <c r="V841" s="2" t="s">
        <v>36</v>
      </c>
      <c r="W841" s="2" t="s">
        <v>37</v>
      </c>
      <c r="X841" s="2">
        <v>720.96500000000003</v>
      </c>
    </row>
    <row r="842" spans="1:24" x14ac:dyDescent="0.3">
      <c r="A842">
        <v>18739</v>
      </c>
      <c r="B842" t="s">
        <v>3124</v>
      </c>
      <c r="C842" s="3">
        <v>41002</v>
      </c>
      <c r="D842" t="s">
        <v>39</v>
      </c>
      <c r="E842">
        <v>2</v>
      </c>
      <c r="F842" s="3">
        <f ca="1">41004+(RANDBETWEEN(1,10))</f>
        <v>41011</v>
      </c>
      <c r="G842" t="s">
        <v>26</v>
      </c>
      <c r="H842" t="s">
        <v>27</v>
      </c>
      <c r="I842" t="s">
        <v>52</v>
      </c>
      <c r="J842">
        <v>911.96</v>
      </c>
      <c r="K842">
        <v>0.08</v>
      </c>
      <c r="L842">
        <v>0.55000000000000004</v>
      </c>
      <c r="M842">
        <v>3.4649999999999999</v>
      </c>
      <c r="N842">
        <v>629.25239999999997</v>
      </c>
      <c r="O842" s="1" t="s">
        <v>53</v>
      </c>
      <c r="P842" s="1" t="s">
        <v>737</v>
      </c>
      <c r="Q842" s="1" t="s">
        <v>738</v>
      </c>
      <c r="R842" s="1" t="s">
        <v>440</v>
      </c>
      <c r="S842" s="1" t="s">
        <v>739</v>
      </c>
      <c r="T842" s="1" t="s">
        <v>740</v>
      </c>
      <c r="U842" s="2" t="s">
        <v>3125</v>
      </c>
      <c r="V842" s="2" t="s">
        <v>47</v>
      </c>
      <c r="W842" s="2" t="s">
        <v>71</v>
      </c>
      <c r="X842" s="2">
        <v>458.92</v>
      </c>
    </row>
    <row r="843" spans="1:24" x14ac:dyDescent="0.3">
      <c r="A843">
        <v>18740</v>
      </c>
      <c r="B843" t="s">
        <v>3124</v>
      </c>
      <c r="C843" s="3">
        <v>41002</v>
      </c>
      <c r="D843" t="s">
        <v>39</v>
      </c>
      <c r="E843">
        <v>7</v>
      </c>
      <c r="F843" s="3">
        <f ca="1">41003+(RANDBETWEEN(1,10))</f>
        <v>41010</v>
      </c>
      <c r="G843" t="s">
        <v>156</v>
      </c>
      <c r="H843" t="s">
        <v>27</v>
      </c>
      <c r="I843" t="s">
        <v>52</v>
      </c>
      <c r="J843">
        <v>4233.2150000000001</v>
      </c>
      <c r="K843">
        <v>0.03</v>
      </c>
      <c r="L843">
        <v>0.59</v>
      </c>
      <c r="M843">
        <v>14.7</v>
      </c>
      <c r="N843">
        <v>2920.9183499999999</v>
      </c>
      <c r="O843" s="1" t="s">
        <v>53</v>
      </c>
      <c r="P843" s="1" t="s">
        <v>737</v>
      </c>
      <c r="Q843" s="1" t="s">
        <v>738</v>
      </c>
      <c r="R843" s="1" t="s">
        <v>440</v>
      </c>
      <c r="S843" s="1" t="s">
        <v>739</v>
      </c>
      <c r="T843" s="1" t="s">
        <v>740</v>
      </c>
      <c r="U843" s="2" t="s">
        <v>2133</v>
      </c>
      <c r="V843" s="2" t="s">
        <v>36</v>
      </c>
      <c r="W843" s="2" t="s">
        <v>37</v>
      </c>
      <c r="X843" s="2">
        <v>703.46500000000003</v>
      </c>
    </row>
    <row r="844" spans="1:24" x14ac:dyDescent="0.3">
      <c r="A844">
        <v>18741</v>
      </c>
      <c r="B844" t="s">
        <v>3126</v>
      </c>
      <c r="C844" s="3">
        <v>41268</v>
      </c>
      <c r="D844" t="s">
        <v>62</v>
      </c>
      <c r="E844">
        <v>16</v>
      </c>
      <c r="F844" s="3">
        <f ca="1">41269+(RANDBETWEEN(1,10))</f>
        <v>41273</v>
      </c>
      <c r="G844" t="s">
        <v>26</v>
      </c>
      <c r="H844" t="s">
        <v>281</v>
      </c>
      <c r="I844" t="s">
        <v>97</v>
      </c>
      <c r="J844">
        <v>4830.8050000000003</v>
      </c>
      <c r="K844">
        <v>7.0000000000000007E-2</v>
      </c>
      <c r="L844">
        <v>0.74</v>
      </c>
      <c r="M844">
        <v>196.7</v>
      </c>
      <c r="N844">
        <v>-2535.4524999999999</v>
      </c>
      <c r="O844" s="1" t="s">
        <v>29</v>
      </c>
      <c r="P844" s="1" t="s">
        <v>3127</v>
      </c>
      <c r="Q844" s="1" t="s">
        <v>3128</v>
      </c>
      <c r="R844" s="1" t="s">
        <v>32</v>
      </c>
      <c r="S844" s="1" t="s">
        <v>3129</v>
      </c>
      <c r="T844" s="1" t="s">
        <v>3130</v>
      </c>
      <c r="U844" s="2" t="s">
        <v>3131</v>
      </c>
      <c r="V844" s="2" t="s">
        <v>83</v>
      </c>
      <c r="W844" s="2" t="s">
        <v>178</v>
      </c>
      <c r="X844" s="2">
        <v>318.43</v>
      </c>
    </row>
    <row r="845" spans="1:24" x14ac:dyDescent="0.3">
      <c r="A845">
        <v>18742</v>
      </c>
      <c r="B845" t="s">
        <v>3126</v>
      </c>
      <c r="C845" s="3">
        <v>41268</v>
      </c>
      <c r="D845" t="s">
        <v>62</v>
      </c>
      <c r="E845">
        <v>21</v>
      </c>
      <c r="F845" s="3">
        <f ca="1">41270+(RANDBETWEEN(1,10))</f>
        <v>41276</v>
      </c>
      <c r="G845" t="s">
        <v>76</v>
      </c>
      <c r="H845" t="s">
        <v>258</v>
      </c>
      <c r="I845" t="s">
        <v>97</v>
      </c>
      <c r="J845">
        <v>15018.184999999999</v>
      </c>
      <c r="K845">
        <v>0.1</v>
      </c>
      <c r="L845">
        <v>0.77</v>
      </c>
      <c r="M845">
        <v>243.74</v>
      </c>
      <c r="N845">
        <v>-3080.9992499999998</v>
      </c>
      <c r="O845" s="1" t="s">
        <v>29</v>
      </c>
      <c r="P845" s="1" t="s">
        <v>3127</v>
      </c>
      <c r="Q845" s="1" t="s">
        <v>3128</v>
      </c>
      <c r="R845" s="1" t="s">
        <v>32</v>
      </c>
      <c r="S845" s="1" t="s">
        <v>3129</v>
      </c>
      <c r="T845" s="1" t="s">
        <v>3130</v>
      </c>
      <c r="U845" s="2" t="s">
        <v>1233</v>
      </c>
      <c r="V845" s="2" t="s">
        <v>83</v>
      </c>
      <c r="W845" s="2" t="s">
        <v>263</v>
      </c>
      <c r="X845" s="2">
        <v>765.625</v>
      </c>
    </row>
    <row r="846" spans="1:24" x14ac:dyDescent="0.3">
      <c r="A846">
        <v>18743</v>
      </c>
      <c r="B846" t="s">
        <v>3126</v>
      </c>
      <c r="C846" s="3">
        <v>41268</v>
      </c>
      <c r="D846" t="s">
        <v>62</v>
      </c>
      <c r="E846">
        <v>8</v>
      </c>
      <c r="F846" s="3">
        <f ca="1">41270+(RANDBETWEEN(1,10))</f>
        <v>41279</v>
      </c>
      <c r="G846" t="s">
        <v>76</v>
      </c>
      <c r="H846" t="s">
        <v>258</v>
      </c>
      <c r="I846" t="s">
        <v>97</v>
      </c>
      <c r="J846">
        <v>3763.7249999999999</v>
      </c>
      <c r="K846">
        <v>0.08</v>
      </c>
      <c r="L846">
        <v>0.77</v>
      </c>
      <c r="M846">
        <v>126.315</v>
      </c>
      <c r="N846">
        <v>-797.65</v>
      </c>
      <c r="O846" s="1" t="s">
        <v>87</v>
      </c>
      <c r="P846" s="1" t="s">
        <v>3132</v>
      </c>
      <c r="Q846" s="1" t="s">
        <v>3133</v>
      </c>
      <c r="R846" s="1" t="s">
        <v>497</v>
      </c>
      <c r="S846" s="1" t="s">
        <v>3134</v>
      </c>
      <c r="T846" s="1" t="s">
        <v>3135</v>
      </c>
      <c r="U846" s="2" t="s">
        <v>3136</v>
      </c>
      <c r="V846" s="2" t="s">
        <v>83</v>
      </c>
      <c r="W846" s="2" t="s">
        <v>298</v>
      </c>
      <c r="X846" s="2">
        <v>493.43</v>
      </c>
    </row>
    <row r="847" spans="1:24" x14ac:dyDescent="0.3">
      <c r="A847">
        <v>18744</v>
      </c>
      <c r="B847" t="s">
        <v>3137</v>
      </c>
      <c r="C847" s="3">
        <v>41326</v>
      </c>
      <c r="D847" t="s">
        <v>148</v>
      </c>
      <c r="E847">
        <v>2</v>
      </c>
      <c r="F847" s="3">
        <f ca="1">41328+(RANDBETWEEN(1,10))</f>
        <v>41335</v>
      </c>
      <c r="G847" t="s">
        <v>26</v>
      </c>
      <c r="H847" t="s">
        <v>51</v>
      </c>
      <c r="I847" t="s">
        <v>28</v>
      </c>
      <c r="J847">
        <v>525.55999999999995</v>
      </c>
      <c r="K847">
        <v>0.04</v>
      </c>
      <c r="L847">
        <v>0.39</v>
      </c>
      <c r="M847">
        <v>4.375</v>
      </c>
      <c r="N847">
        <v>-212.32749999999999</v>
      </c>
      <c r="O847" s="1" t="s">
        <v>29</v>
      </c>
      <c r="P847" s="1" t="s">
        <v>3138</v>
      </c>
      <c r="Q847" s="1" t="s">
        <v>3139</v>
      </c>
      <c r="R847" s="1" t="s">
        <v>32</v>
      </c>
      <c r="S847" s="1" t="s">
        <v>3140</v>
      </c>
      <c r="T847" s="1" t="s">
        <v>3141</v>
      </c>
      <c r="U847" s="2" t="s">
        <v>1978</v>
      </c>
      <c r="V847" s="2" t="s">
        <v>36</v>
      </c>
      <c r="W847" s="2" t="s">
        <v>37</v>
      </c>
      <c r="X847" s="2">
        <v>300.96499999999997</v>
      </c>
    </row>
    <row r="848" spans="1:24" x14ac:dyDescent="0.3">
      <c r="A848">
        <v>18745</v>
      </c>
      <c r="B848" t="s">
        <v>3137</v>
      </c>
      <c r="C848" s="3">
        <v>41326</v>
      </c>
      <c r="D848" t="s">
        <v>148</v>
      </c>
      <c r="E848">
        <v>11</v>
      </c>
      <c r="F848" s="3">
        <f ca="1">41329+(RANDBETWEEN(1,10))</f>
        <v>41338</v>
      </c>
      <c r="G848" t="s">
        <v>26</v>
      </c>
      <c r="H848" t="s">
        <v>281</v>
      </c>
      <c r="I848" t="s">
        <v>28</v>
      </c>
      <c r="J848">
        <v>272.47500000000002</v>
      </c>
      <c r="K848">
        <v>0.05</v>
      </c>
      <c r="L848">
        <v>0.6</v>
      </c>
      <c r="M848">
        <v>17.605</v>
      </c>
      <c r="N848">
        <v>-378.64749999999998</v>
      </c>
      <c r="O848" s="1" t="s">
        <v>29</v>
      </c>
      <c r="P848" s="1" t="s">
        <v>3138</v>
      </c>
      <c r="Q848" s="1" t="s">
        <v>3139</v>
      </c>
      <c r="R848" s="1" t="s">
        <v>32</v>
      </c>
      <c r="S848" s="1" t="s">
        <v>3140</v>
      </c>
      <c r="T848" s="1" t="s">
        <v>3141</v>
      </c>
      <c r="U848" s="2" t="s">
        <v>408</v>
      </c>
      <c r="V848" s="2" t="s">
        <v>36</v>
      </c>
      <c r="W848" s="2" t="s">
        <v>37</v>
      </c>
      <c r="X848" s="2">
        <v>27.965</v>
      </c>
    </row>
    <row r="849" spans="1:24" x14ac:dyDescent="0.3">
      <c r="A849">
        <v>18746</v>
      </c>
      <c r="B849" t="s">
        <v>3137</v>
      </c>
      <c r="C849" s="3">
        <v>41326</v>
      </c>
      <c r="D849" t="s">
        <v>148</v>
      </c>
      <c r="E849">
        <v>1</v>
      </c>
      <c r="F849" s="3">
        <f ca="1">41327+(RANDBETWEEN(1,10))</f>
        <v>41329</v>
      </c>
      <c r="G849" t="s">
        <v>26</v>
      </c>
      <c r="H849" t="s">
        <v>27</v>
      </c>
      <c r="I849" t="s">
        <v>28</v>
      </c>
      <c r="J849">
        <v>655.20000000000005</v>
      </c>
      <c r="K849">
        <v>0.01</v>
      </c>
      <c r="L849">
        <v>0.56000000000000005</v>
      </c>
      <c r="M849">
        <v>18.41</v>
      </c>
      <c r="N849">
        <v>-2788.6705000000002</v>
      </c>
      <c r="O849" s="1" t="s">
        <v>29</v>
      </c>
      <c r="P849" s="1" t="s">
        <v>3138</v>
      </c>
      <c r="Q849" s="1" t="s">
        <v>3139</v>
      </c>
      <c r="R849" s="1" t="s">
        <v>32</v>
      </c>
      <c r="S849" s="1" t="s">
        <v>3140</v>
      </c>
      <c r="T849" s="1" t="s">
        <v>3141</v>
      </c>
      <c r="U849" s="2" t="s">
        <v>1881</v>
      </c>
      <c r="V849" s="2" t="s">
        <v>36</v>
      </c>
      <c r="W849" s="2" t="s">
        <v>37</v>
      </c>
      <c r="X849" s="2">
        <v>720.96500000000003</v>
      </c>
    </row>
    <row r="850" spans="1:24" x14ac:dyDescent="0.3">
      <c r="A850">
        <v>18747</v>
      </c>
      <c r="B850" t="s">
        <v>3142</v>
      </c>
      <c r="C850" s="3">
        <v>41191</v>
      </c>
      <c r="D850" t="s">
        <v>25</v>
      </c>
      <c r="E850">
        <v>18</v>
      </c>
      <c r="F850" s="3">
        <f ca="1">41193+(RANDBETWEEN(1,10))</f>
        <v>41196</v>
      </c>
      <c r="G850" t="s">
        <v>26</v>
      </c>
      <c r="H850" t="s">
        <v>281</v>
      </c>
      <c r="I850" t="s">
        <v>52</v>
      </c>
      <c r="J850">
        <v>702.24</v>
      </c>
      <c r="K850">
        <v>0.03</v>
      </c>
      <c r="L850">
        <v>0.42</v>
      </c>
      <c r="M850">
        <v>21.42</v>
      </c>
      <c r="N850">
        <v>-46.116</v>
      </c>
      <c r="O850" s="1" t="s">
        <v>29</v>
      </c>
      <c r="P850" s="1" t="s">
        <v>3143</v>
      </c>
      <c r="Q850" s="1" t="s">
        <v>3144</v>
      </c>
      <c r="R850" s="1" t="s">
        <v>32</v>
      </c>
      <c r="S850" s="1" t="s">
        <v>3145</v>
      </c>
      <c r="T850" s="1" t="s">
        <v>3146</v>
      </c>
      <c r="U850" s="2" t="s">
        <v>3147</v>
      </c>
      <c r="V850" s="2" t="s">
        <v>47</v>
      </c>
      <c r="W850" s="2" t="s">
        <v>71</v>
      </c>
      <c r="X850" s="2">
        <v>39.655000000000001</v>
      </c>
    </row>
    <row r="851" spans="1:24" x14ac:dyDescent="0.3">
      <c r="A851">
        <v>18748</v>
      </c>
      <c r="B851" t="s">
        <v>3142</v>
      </c>
      <c r="C851" s="3">
        <v>41191</v>
      </c>
      <c r="D851" t="s">
        <v>25</v>
      </c>
      <c r="E851">
        <v>23</v>
      </c>
      <c r="F851" s="3">
        <f ca="1">41198+(RANDBETWEEN(1,10))</f>
        <v>41208</v>
      </c>
      <c r="G851" t="s">
        <v>26</v>
      </c>
      <c r="H851" t="s">
        <v>27</v>
      </c>
      <c r="I851" t="s">
        <v>52</v>
      </c>
      <c r="J851">
        <v>11298.035</v>
      </c>
      <c r="K851">
        <v>0.08</v>
      </c>
      <c r="L851">
        <v>0.73</v>
      </c>
      <c r="M851">
        <v>69.965000000000003</v>
      </c>
      <c r="N851">
        <v>386.19</v>
      </c>
      <c r="O851" s="1" t="s">
        <v>87</v>
      </c>
      <c r="P851" s="1" t="s">
        <v>3148</v>
      </c>
      <c r="Q851" s="1" t="s">
        <v>3149</v>
      </c>
      <c r="R851" s="1" t="s">
        <v>646</v>
      </c>
      <c r="S851" s="1" t="s">
        <v>3150</v>
      </c>
      <c r="T851" s="1" t="s">
        <v>3151</v>
      </c>
      <c r="U851" s="2" t="s">
        <v>1828</v>
      </c>
      <c r="V851" s="2" t="s">
        <v>47</v>
      </c>
      <c r="W851" s="2" t="s">
        <v>119</v>
      </c>
      <c r="X851" s="2">
        <v>492.97500000000002</v>
      </c>
    </row>
    <row r="852" spans="1:24" x14ac:dyDescent="0.3">
      <c r="A852">
        <v>18749</v>
      </c>
      <c r="B852" t="s">
        <v>3152</v>
      </c>
      <c r="C852" s="3">
        <v>41936</v>
      </c>
      <c r="D852" t="s">
        <v>62</v>
      </c>
      <c r="E852">
        <v>3</v>
      </c>
      <c r="F852" s="3">
        <f ca="1">41938+(RANDBETWEEN(1,10))</f>
        <v>41939</v>
      </c>
      <c r="G852" t="s">
        <v>156</v>
      </c>
      <c r="H852" t="s">
        <v>27</v>
      </c>
      <c r="I852" t="s">
        <v>28</v>
      </c>
      <c r="J852">
        <v>94.99</v>
      </c>
      <c r="K852">
        <v>0.01</v>
      </c>
      <c r="L852">
        <v>0.6</v>
      </c>
      <c r="M852">
        <v>18.27</v>
      </c>
      <c r="N852">
        <v>82.299000000000007</v>
      </c>
      <c r="O852" s="1" t="s">
        <v>40</v>
      </c>
      <c r="P852" s="1" t="s">
        <v>3153</v>
      </c>
      <c r="Q852" s="1" t="s">
        <v>3154</v>
      </c>
      <c r="R852" s="1" t="s">
        <v>43</v>
      </c>
      <c r="S852" s="1" t="s">
        <v>1505</v>
      </c>
      <c r="T852" s="1" t="s">
        <v>2374</v>
      </c>
      <c r="U852" s="2" t="s">
        <v>995</v>
      </c>
      <c r="V852" s="2" t="s">
        <v>83</v>
      </c>
      <c r="W852" s="2" t="s">
        <v>178</v>
      </c>
      <c r="X852" s="2">
        <v>21.84</v>
      </c>
    </row>
    <row r="853" spans="1:24" x14ac:dyDescent="0.3">
      <c r="A853">
        <v>18750</v>
      </c>
      <c r="B853" t="s">
        <v>3155</v>
      </c>
      <c r="C853" s="3">
        <v>40936</v>
      </c>
      <c r="D853" t="s">
        <v>25</v>
      </c>
      <c r="E853">
        <v>12</v>
      </c>
      <c r="F853" s="3">
        <f ca="1">40943+(RANDBETWEEN(1,10))</f>
        <v>40946</v>
      </c>
      <c r="G853" t="s">
        <v>26</v>
      </c>
      <c r="H853" t="s">
        <v>281</v>
      </c>
      <c r="I853" t="s">
        <v>97</v>
      </c>
      <c r="J853">
        <v>4368.1400000000003</v>
      </c>
      <c r="K853">
        <v>7.0000000000000007E-2</v>
      </c>
      <c r="L853">
        <v>0.65</v>
      </c>
      <c r="M853">
        <v>20.335000000000001</v>
      </c>
      <c r="N853">
        <v>3014.0165999999999</v>
      </c>
      <c r="O853" s="1" t="s">
        <v>29</v>
      </c>
      <c r="P853" s="1" t="s">
        <v>997</v>
      </c>
      <c r="Q853" s="1" t="s">
        <v>998</v>
      </c>
      <c r="R853" s="1" t="s">
        <v>32</v>
      </c>
      <c r="S853" s="1" t="s">
        <v>999</v>
      </c>
      <c r="T853" s="1" t="s">
        <v>1000</v>
      </c>
      <c r="U853" s="2" t="s">
        <v>351</v>
      </c>
      <c r="V853" s="2" t="s">
        <v>83</v>
      </c>
      <c r="W853" s="2" t="s">
        <v>178</v>
      </c>
      <c r="X853" s="2">
        <v>376.35500000000002</v>
      </c>
    </row>
    <row r="854" spans="1:24" x14ac:dyDescent="0.3">
      <c r="A854">
        <v>18751</v>
      </c>
      <c r="B854" t="s">
        <v>3155</v>
      </c>
      <c r="C854" s="3">
        <v>40936</v>
      </c>
      <c r="D854" t="s">
        <v>25</v>
      </c>
      <c r="E854">
        <v>7</v>
      </c>
      <c r="F854" s="3">
        <f ca="1">40943+(RANDBETWEEN(1,10))</f>
        <v>40951</v>
      </c>
      <c r="G854" t="s">
        <v>26</v>
      </c>
      <c r="H854" t="s">
        <v>96</v>
      </c>
      <c r="I854" t="s">
        <v>97</v>
      </c>
      <c r="J854">
        <v>57.96</v>
      </c>
      <c r="K854">
        <v>0.09</v>
      </c>
      <c r="L854">
        <v>0.38</v>
      </c>
      <c r="M854">
        <v>24.815000000000001</v>
      </c>
      <c r="N854">
        <v>-650.69619999999998</v>
      </c>
      <c r="O854" s="1" t="s">
        <v>29</v>
      </c>
      <c r="P854" s="1" t="s">
        <v>997</v>
      </c>
      <c r="Q854" s="1" t="s">
        <v>998</v>
      </c>
      <c r="R854" s="1" t="s">
        <v>32</v>
      </c>
      <c r="S854" s="1" t="s">
        <v>999</v>
      </c>
      <c r="T854" s="1" t="s">
        <v>1000</v>
      </c>
      <c r="U854" s="2" t="s">
        <v>117</v>
      </c>
      <c r="V854" s="2" t="s">
        <v>47</v>
      </c>
      <c r="W854" s="2" t="s">
        <v>74</v>
      </c>
      <c r="X854" s="2">
        <v>7.63</v>
      </c>
    </row>
    <row r="855" spans="1:24" x14ac:dyDescent="0.3">
      <c r="A855">
        <v>18752</v>
      </c>
      <c r="B855" t="s">
        <v>3156</v>
      </c>
      <c r="C855" s="3">
        <v>41651</v>
      </c>
      <c r="D855" t="s">
        <v>25</v>
      </c>
      <c r="E855">
        <v>8</v>
      </c>
      <c r="F855" s="3">
        <f ca="1">41658+(RANDBETWEEN(1,10))</f>
        <v>41664</v>
      </c>
      <c r="G855" t="s">
        <v>26</v>
      </c>
      <c r="H855" t="s">
        <v>51</v>
      </c>
      <c r="I855" t="s">
        <v>52</v>
      </c>
      <c r="J855">
        <v>242.79499999999999</v>
      </c>
      <c r="K855">
        <v>0.05</v>
      </c>
      <c r="L855">
        <v>0.43</v>
      </c>
      <c r="M855">
        <v>14.664999999999999</v>
      </c>
      <c r="N855">
        <v>97.196399999999997</v>
      </c>
      <c r="O855" s="1" t="s">
        <v>29</v>
      </c>
      <c r="P855" s="1" t="s">
        <v>661</v>
      </c>
      <c r="Q855" s="1" t="s">
        <v>662</v>
      </c>
      <c r="R855" s="1" t="s">
        <v>32</v>
      </c>
      <c r="S855" s="1" t="s">
        <v>663</v>
      </c>
      <c r="T855" s="1" t="s">
        <v>664</v>
      </c>
      <c r="U855" s="2" t="s">
        <v>3157</v>
      </c>
      <c r="V855" s="2" t="s">
        <v>83</v>
      </c>
      <c r="W855" s="2" t="s">
        <v>178</v>
      </c>
      <c r="X855" s="2">
        <v>31.43</v>
      </c>
    </row>
    <row r="856" spans="1:24" x14ac:dyDescent="0.3">
      <c r="A856">
        <v>18753</v>
      </c>
      <c r="B856" t="s">
        <v>3158</v>
      </c>
      <c r="C856" s="3">
        <v>41840</v>
      </c>
      <c r="D856" t="s">
        <v>25</v>
      </c>
      <c r="E856">
        <v>7</v>
      </c>
      <c r="F856" s="3">
        <f ca="1">41847+(RANDBETWEEN(1,10))</f>
        <v>41856</v>
      </c>
      <c r="G856" t="s">
        <v>26</v>
      </c>
      <c r="H856" t="s">
        <v>27</v>
      </c>
      <c r="I856" t="s">
        <v>86</v>
      </c>
      <c r="J856">
        <v>108.815</v>
      </c>
      <c r="K856">
        <v>0.01</v>
      </c>
      <c r="L856">
        <v>0.39</v>
      </c>
      <c r="M856">
        <v>1.75</v>
      </c>
      <c r="N856">
        <v>75.082350000000005</v>
      </c>
      <c r="O856" s="1" t="s">
        <v>29</v>
      </c>
      <c r="P856" s="1" t="s">
        <v>1883</v>
      </c>
      <c r="Q856" s="1" t="s">
        <v>1884</v>
      </c>
      <c r="R856" s="1" t="s">
        <v>32</v>
      </c>
      <c r="S856" s="1" t="s">
        <v>1885</v>
      </c>
      <c r="T856" s="1" t="s">
        <v>1886</v>
      </c>
      <c r="U856" s="2" t="s">
        <v>1889</v>
      </c>
      <c r="V856" s="2" t="s">
        <v>47</v>
      </c>
      <c r="W856" s="2" t="s">
        <v>203</v>
      </c>
      <c r="X856" s="2">
        <v>14.455</v>
      </c>
    </row>
    <row r="857" spans="1:24" x14ac:dyDescent="0.3">
      <c r="A857">
        <v>18754</v>
      </c>
      <c r="B857" t="s">
        <v>3158</v>
      </c>
      <c r="C857" s="3">
        <v>41840</v>
      </c>
      <c r="D857" t="s">
        <v>25</v>
      </c>
      <c r="E857">
        <v>4</v>
      </c>
      <c r="F857" s="3">
        <f ca="1">41849+(RANDBETWEEN(1,10))</f>
        <v>41857</v>
      </c>
      <c r="G857" t="s">
        <v>26</v>
      </c>
      <c r="H857" t="s">
        <v>63</v>
      </c>
      <c r="I857" t="s">
        <v>86</v>
      </c>
      <c r="J857">
        <v>3044.65</v>
      </c>
      <c r="K857">
        <v>0.04</v>
      </c>
      <c r="L857">
        <v>0.59</v>
      </c>
      <c r="M857">
        <v>74.234999999999999</v>
      </c>
      <c r="N857">
        <v>2100.8085000000001</v>
      </c>
      <c r="O857" s="1" t="s">
        <v>29</v>
      </c>
      <c r="P857" s="1" t="s">
        <v>1883</v>
      </c>
      <c r="Q857" s="1" t="s">
        <v>1884</v>
      </c>
      <c r="R857" s="1" t="s">
        <v>32</v>
      </c>
      <c r="S857" s="1" t="s">
        <v>1885</v>
      </c>
      <c r="T857" s="1" t="s">
        <v>1886</v>
      </c>
      <c r="U857" s="2" t="s">
        <v>3118</v>
      </c>
      <c r="V857" s="2" t="s">
        <v>83</v>
      </c>
      <c r="W857" s="2" t="s">
        <v>178</v>
      </c>
      <c r="X857" s="2">
        <v>734.44</v>
      </c>
    </row>
    <row r="858" spans="1:24" x14ac:dyDescent="0.3">
      <c r="A858">
        <v>18755</v>
      </c>
      <c r="B858" t="s">
        <v>3159</v>
      </c>
      <c r="C858" s="3">
        <v>41647</v>
      </c>
      <c r="D858" t="s">
        <v>25</v>
      </c>
      <c r="E858">
        <v>3</v>
      </c>
      <c r="F858" s="3">
        <f ca="1">41652+(RANDBETWEEN(1,10))</f>
        <v>41661</v>
      </c>
      <c r="G858" t="s">
        <v>26</v>
      </c>
      <c r="H858" t="s">
        <v>96</v>
      </c>
      <c r="I858" t="s">
        <v>28</v>
      </c>
      <c r="J858">
        <v>46.69</v>
      </c>
      <c r="K858">
        <v>0.01</v>
      </c>
      <c r="L858">
        <v>0.35</v>
      </c>
      <c r="M858">
        <v>10.395</v>
      </c>
      <c r="N858">
        <v>-30.553599999999999</v>
      </c>
      <c r="O858" s="1" t="s">
        <v>64</v>
      </c>
      <c r="P858" s="1" t="s">
        <v>3160</v>
      </c>
      <c r="Q858" s="1" t="s">
        <v>3161</v>
      </c>
      <c r="R858" s="1" t="s">
        <v>128</v>
      </c>
      <c r="S858" s="1" t="s">
        <v>3162</v>
      </c>
      <c r="T858" s="1" t="s">
        <v>3163</v>
      </c>
      <c r="U858" s="2" t="s">
        <v>3164</v>
      </c>
      <c r="V858" s="2" t="s">
        <v>47</v>
      </c>
      <c r="W858" s="2" t="s">
        <v>74</v>
      </c>
      <c r="X858" s="2">
        <v>13.93</v>
      </c>
    </row>
    <row r="859" spans="1:24" x14ac:dyDescent="0.3">
      <c r="A859">
        <v>18756</v>
      </c>
      <c r="B859" t="s">
        <v>3165</v>
      </c>
      <c r="C859" s="3">
        <v>40992</v>
      </c>
      <c r="D859" t="s">
        <v>50</v>
      </c>
      <c r="E859">
        <v>4</v>
      </c>
      <c r="F859" s="3">
        <f ca="1">40993+(RANDBETWEEN(1,10))</f>
        <v>40997</v>
      </c>
      <c r="G859" t="s">
        <v>156</v>
      </c>
      <c r="H859" t="s">
        <v>27</v>
      </c>
      <c r="I859" t="s">
        <v>28</v>
      </c>
      <c r="J859">
        <v>284.62</v>
      </c>
      <c r="K859">
        <v>0.1</v>
      </c>
      <c r="L859">
        <v>0.66</v>
      </c>
      <c r="M859">
        <v>18.97</v>
      </c>
      <c r="N859">
        <v>-94.78</v>
      </c>
      <c r="O859" s="1" t="s">
        <v>29</v>
      </c>
      <c r="P859" s="1" t="s">
        <v>661</v>
      </c>
      <c r="Q859" s="1" t="s">
        <v>662</v>
      </c>
      <c r="R859" s="1" t="s">
        <v>32</v>
      </c>
      <c r="S859" s="1" t="s">
        <v>663</v>
      </c>
      <c r="T859" s="1" t="s">
        <v>664</v>
      </c>
      <c r="U859" s="2" t="s">
        <v>118</v>
      </c>
      <c r="V859" s="2" t="s">
        <v>47</v>
      </c>
      <c r="W859" s="2" t="s">
        <v>119</v>
      </c>
      <c r="X859" s="2">
        <v>73.430000000000007</v>
      </c>
    </row>
    <row r="860" spans="1:24" x14ac:dyDescent="0.3">
      <c r="A860">
        <v>18757</v>
      </c>
      <c r="B860" t="s">
        <v>3166</v>
      </c>
      <c r="C860" s="3">
        <v>40744</v>
      </c>
      <c r="D860" t="s">
        <v>50</v>
      </c>
      <c r="E860">
        <v>10</v>
      </c>
      <c r="F860" s="3">
        <f ca="1">40746+(RANDBETWEEN(1,10))</f>
        <v>40754</v>
      </c>
      <c r="G860" t="s">
        <v>26</v>
      </c>
      <c r="H860" t="s">
        <v>27</v>
      </c>
      <c r="I860" t="s">
        <v>52</v>
      </c>
      <c r="J860">
        <v>233.48500000000001</v>
      </c>
      <c r="K860">
        <v>0.02</v>
      </c>
      <c r="L860">
        <v>0.37</v>
      </c>
      <c r="M860">
        <v>23.1</v>
      </c>
      <c r="N860">
        <v>-322.17500000000001</v>
      </c>
      <c r="O860" s="1" t="s">
        <v>64</v>
      </c>
      <c r="P860" s="1" t="s">
        <v>3167</v>
      </c>
      <c r="Q860" s="1" t="s">
        <v>3168</v>
      </c>
      <c r="R860" s="1" t="s">
        <v>128</v>
      </c>
      <c r="S860" s="1" t="s">
        <v>3169</v>
      </c>
      <c r="T860" s="1" t="s">
        <v>3170</v>
      </c>
      <c r="U860" s="2" t="s">
        <v>241</v>
      </c>
      <c r="V860" s="2" t="s">
        <v>47</v>
      </c>
      <c r="W860" s="2" t="s">
        <v>74</v>
      </c>
      <c r="X860" s="2">
        <v>22.68</v>
      </c>
    </row>
    <row r="861" spans="1:24" x14ac:dyDescent="0.3">
      <c r="A861">
        <v>18758</v>
      </c>
      <c r="B861" t="s">
        <v>3166</v>
      </c>
      <c r="C861" s="3">
        <v>40744</v>
      </c>
      <c r="D861" t="s">
        <v>50</v>
      </c>
      <c r="E861">
        <v>5</v>
      </c>
      <c r="F861" s="3">
        <f ca="1">40745+(RANDBETWEEN(1,10))</f>
        <v>40749</v>
      </c>
      <c r="G861" t="s">
        <v>26</v>
      </c>
      <c r="H861" t="s">
        <v>27</v>
      </c>
      <c r="I861" t="s">
        <v>52</v>
      </c>
      <c r="J861">
        <v>305.06</v>
      </c>
      <c r="K861">
        <v>0.04</v>
      </c>
      <c r="L861">
        <v>0.57999999999999996</v>
      </c>
      <c r="M861">
        <v>17.36</v>
      </c>
      <c r="N861">
        <v>21.385000000000002</v>
      </c>
      <c r="O861" s="1" t="s">
        <v>64</v>
      </c>
      <c r="P861" s="1" t="s">
        <v>3167</v>
      </c>
      <c r="Q861" s="1" t="s">
        <v>3168</v>
      </c>
      <c r="R861" s="1" t="s">
        <v>128</v>
      </c>
      <c r="S861" s="1" t="s">
        <v>3169</v>
      </c>
      <c r="T861" s="1" t="s">
        <v>3170</v>
      </c>
      <c r="U861" s="2" t="s">
        <v>1341</v>
      </c>
      <c r="V861" s="2" t="s">
        <v>47</v>
      </c>
      <c r="W861" s="2" t="s">
        <v>119</v>
      </c>
      <c r="X861" s="2">
        <v>60.024999999999999</v>
      </c>
    </row>
    <row r="862" spans="1:24" x14ac:dyDescent="0.3">
      <c r="A862">
        <v>18759</v>
      </c>
      <c r="B862" t="s">
        <v>3171</v>
      </c>
      <c r="C862" s="3">
        <v>41350</v>
      </c>
      <c r="D862" t="s">
        <v>62</v>
      </c>
      <c r="E862">
        <v>1</v>
      </c>
      <c r="F862" s="3">
        <f ca="1">41352+(RANDBETWEEN(1,10))</f>
        <v>41357</v>
      </c>
      <c r="G862" t="s">
        <v>26</v>
      </c>
      <c r="H862" t="s">
        <v>63</v>
      </c>
      <c r="I862" t="s">
        <v>86</v>
      </c>
      <c r="J862">
        <v>1550.395</v>
      </c>
      <c r="K862">
        <v>0.08</v>
      </c>
      <c r="L862">
        <v>0.52</v>
      </c>
      <c r="M862">
        <v>85.715000000000003</v>
      </c>
      <c r="N862">
        <v>-7084.2764999999999</v>
      </c>
      <c r="O862" s="1" t="s">
        <v>29</v>
      </c>
      <c r="P862" s="1" t="s">
        <v>3172</v>
      </c>
      <c r="Q862" s="1" t="s">
        <v>3173</v>
      </c>
      <c r="R862" s="1" t="s">
        <v>32</v>
      </c>
      <c r="S862" s="1" t="s">
        <v>3174</v>
      </c>
      <c r="T862" s="1" t="s">
        <v>3175</v>
      </c>
      <c r="U862" s="2" t="s">
        <v>1480</v>
      </c>
      <c r="V862" s="2" t="s">
        <v>36</v>
      </c>
      <c r="W862" s="2" t="s">
        <v>1327</v>
      </c>
      <c r="X862" s="2">
        <v>1574.9649999999999</v>
      </c>
    </row>
    <row r="863" spans="1:24" x14ac:dyDescent="0.3">
      <c r="A863">
        <v>1876</v>
      </c>
      <c r="B863" t="s">
        <v>3176</v>
      </c>
      <c r="C863" s="3">
        <v>42002</v>
      </c>
      <c r="D863" t="s">
        <v>148</v>
      </c>
      <c r="E863">
        <v>54</v>
      </c>
      <c r="F863" s="3">
        <f ca="1">42003+(RANDBETWEEN(1,10))</f>
        <v>42012</v>
      </c>
      <c r="G863" t="s">
        <v>26</v>
      </c>
      <c r="H863" t="s">
        <v>27</v>
      </c>
      <c r="I863" t="s">
        <v>86</v>
      </c>
      <c r="J863">
        <v>1232.7</v>
      </c>
      <c r="K863">
        <v>0.09</v>
      </c>
      <c r="L863">
        <v>0.39</v>
      </c>
      <c r="M863">
        <v>21.63</v>
      </c>
      <c r="N863">
        <v>-264.98500000000001</v>
      </c>
      <c r="O863" s="1" t="s">
        <v>87</v>
      </c>
      <c r="P863" s="1" t="s">
        <v>3177</v>
      </c>
      <c r="Q863" s="1" t="s">
        <v>3178</v>
      </c>
      <c r="R863" s="1" t="s">
        <v>398</v>
      </c>
      <c r="S863" s="1" t="s">
        <v>3179</v>
      </c>
      <c r="T863" s="1" t="s">
        <v>3180</v>
      </c>
      <c r="U863" s="2" t="s">
        <v>1445</v>
      </c>
      <c r="V863" s="2" t="s">
        <v>47</v>
      </c>
      <c r="W863" s="2" t="s">
        <v>74</v>
      </c>
      <c r="X863" s="2">
        <v>23.73</v>
      </c>
    </row>
    <row r="864" spans="1:24" x14ac:dyDescent="0.3">
      <c r="A864">
        <v>18760</v>
      </c>
      <c r="B864" t="s">
        <v>3181</v>
      </c>
      <c r="C864" s="3">
        <v>41115</v>
      </c>
      <c r="D864" t="s">
        <v>25</v>
      </c>
      <c r="E864">
        <v>1</v>
      </c>
      <c r="F864" s="3">
        <f ca="1">41120+(RANDBETWEEN(1,10))</f>
        <v>41124</v>
      </c>
      <c r="G864" t="s">
        <v>156</v>
      </c>
      <c r="H864" t="s">
        <v>27</v>
      </c>
      <c r="I864" t="s">
        <v>97</v>
      </c>
      <c r="J864">
        <v>25.76</v>
      </c>
      <c r="K864">
        <v>0.06</v>
      </c>
      <c r="L864">
        <v>0.38</v>
      </c>
      <c r="M864">
        <v>1.75</v>
      </c>
      <c r="N864">
        <v>17.7744</v>
      </c>
      <c r="O864" s="1" t="s">
        <v>53</v>
      </c>
      <c r="P864" s="1" t="s">
        <v>3182</v>
      </c>
      <c r="Q864" s="1" t="s">
        <v>3183</v>
      </c>
      <c r="R864" s="1" t="s">
        <v>56</v>
      </c>
      <c r="S864" s="1" t="s">
        <v>3184</v>
      </c>
      <c r="T864" s="1" t="s">
        <v>3185</v>
      </c>
      <c r="U864" s="2" t="s">
        <v>1307</v>
      </c>
      <c r="V864" s="2" t="s">
        <v>47</v>
      </c>
      <c r="W864" s="2" t="s">
        <v>203</v>
      </c>
      <c r="X864" s="2">
        <v>12.914999999999999</v>
      </c>
    </row>
    <row r="865" spans="1:24" x14ac:dyDescent="0.3">
      <c r="A865">
        <v>18761</v>
      </c>
      <c r="B865" t="s">
        <v>3181</v>
      </c>
      <c r="C865" s="3">
        <v>41115</v>
      </c>
      <c r="D865" t="s">
        <v>25</v>
      </c>
      <c r="E865">
        <v>3</v>
      </c>
      <c r="F865" s="3">
        <f ca="1">41122+(RANDBETWEEN(1,10))</f>
        <v>41126</v>
      </c>
      <c r="G865" t="s">
        <v>26</v>
      </c>
      <c r="H865" t="s">
        <v>96</v>
      </c>
      <c r="I865" t="s">
        <v>97</v>
      </c>
      <c r="J865">
        <v>54.215000000000003</v>
      </c>
      <c r="K865">
        <v>0.01</v>
      </c>
      <c r="L865">
        <v>0.52</v>
      </c>
      <c r="M865">
        <v>6.7549999999999999</v>
      </c>
      <c r="N865">
        <v>-6.37</v>
      </c>
      <c r="O865" s="1" t="s">
        <v>53</v>
      </c>
      <c r="P865" s="1" t="s">
        <v>3182</v>
      </c>
      <c r="Q865" s="1" t="s">
        <v>3183</v>
      </c>
      <c r="R865" s="1" t="s">
        <v>56</v>
      </c>
      <c r="S865" s="1" t="s">
        <v>3184</v>
      </c>
      <c r="T865" s="1" t="s">
        <v>3185</v>
      </c>
      <c r="U865" s="2" t="s">
        <v>3186</v>
      </c>
      <c r="V865" s="2" t="s">
        <v>47</v>
      </c>
      <c r="W865" s="2" t="s">
        <v>104</v>
      </c>
      <c r="X865" s="2">
        <v>16.204999999999998</v>
      </c>
    </row>
    <row r="866" spans="1:24" x14ac:dyDescent="0.3">
      <c r="A866">
        <v>18762</v>
      </c>
      <c r="B866" t="s">
        <v>3187</v>
      </c>
      <c r="C866" s="3">
        <v>40714</v>
      </c>
      <c r="D866" t="s">
        <v>25</v>
      </c>
      <c r="E866">
        <v>16</v>
      </c>
      <c r="F866" s="3">
        <f ca="1">40721+(RANDBETWEEN(1,10))</f>
        <v>40726</v>
      </c>
      <c r="G866" t="s">
        <v>26</v>
      </c>
      <c r="H866" t="s">
        <v>27</v>
      </c>
      <c r="I866" t="s">
        <v>28</v>
      </c>
      <c r="J866">
        <v>578.23500000000001</v>
      </c>
      <c r="K866">
        <v>7.0000000000000007E-2</v>
      </c>
      <c r="L866">
        <v>0.36</v>
      </c>
      <c r="M866">
        <v>16.8</v>
      </c>
      <c r="N866">
        <v>185.22</v>
      </c>
      <c r="O866" s="1" t="s">
        <v>53</v>
      </c>
      <c r="P866" s="1" t="s">
        <v>1170</v>
      </c>
      <c r="Q866" s="1" t="s">
        <v>1171</v>
      </c>
      <c r="R866" s="1" t="s">
        <v>440</v>
      </c>
      <c r="S866" s="1" t="s">
        <v>1172</v>
      </c>
      <c r="T866" s="1" t="s">
        <v>1173</v>
      </c>
      <c r="U866" s="2" t="s">
        <v>3188</v>
      </c>
      <c r="V866" s="2" t="s">
        <v>47</v>
      </c>
      <c r="W866" s="2" t="s">
        <v>48</v>
      </c>
      <c r="X866" s="2">
        <v>38.43</v>
      </c>
    </row>
    <row r="867" spans="1:24" x14ac:dyDescent="0.3">
      <c r="A867">
        <v>18763</v>
      </c>
      <c r="B867" t="s">
        <v>3189</v>
      </c>
      <c r="C867" s="3">
        <v>41009</v>
      </c>
      <c r="D867" t="s">
        <v>25</v>
      </c>
      <c r="E867">
        <v>8</v>
      </c>
      <c r="F867" s="3">
        <f ca="1">41011+(RANDBETWEEN(1,10))</f>
        <v>41016</v>
      </c>
      <c r="G867" t="s">
        <v>26</v>
      </c>
      <c r="H867" t="s">
        <v>27</v>
      </c>
      <c r="I867" t="s">
        <v>28</v>
      </c>
      <c r="J867">
        <v>189.07</v>
      </c>
      <c r="K867">
        <v>0</v>
      </c>
      <c r="L867">
        <v>0.36</v>
      </c>
      <c r="M867">
        <v>23.274999999999999</v>
      </c>
      <c r="N867">
        <v>-295.15499999999997</v>
      </c>
      <c r="O867" s="1" t="s">
        <v>64</v>
      </c>
      <c r="P867" s="1" t="s">
        <v>2496</v>
      </c>
      <c r="Q867" s="1" t="s">
        <v>2497</v>
      </c>
      <c r="R867" s="1" t="s">
        <v>128</v>
      </c>
      <c r="S867" s="1" t="s">
        <v>2498</v>
      </c>
      <c r="T867" s="1" t="s">
        <v>2499</v>
      </c>
      <c r="U867" s="2" t="s">
        <v>3190</v>
      </c>
      <c r="V867" s="2" t="s">
        <v>47</v>
      </c>
      <c r="W867" s="2" t="s">
        <v>74</v>
      </c>
      <c r="X867" s="2">
        <v>22.68</v>
      </c>
    </row>
    <row r="868" spans="1:24" x14ac:dyDescent="0.3">
      <c r="A868">
        <v>18764</v>
      </c>
      <c r="B868" t="s">
        <v>3189</v>
      </c>
      <c r="C868" s="3">
        <v>41009</v>
      </c>
      <c r="D868" t="s">
        <v>25</v>
      </c>
      <c r="E868">
        <v>7</v>
      </c>
      <c r="F868" s="3">
        <f ca="1">41013+(RANDBETWEEN(1,10))</f>
        <v>41016</v>
      </c>
      <c r="G868" t="s">
        <v>26</v>
      </c>
      <c r="H868" t="s">
        <v>27</v>
      </c>
      <c r="I868" t="s">
        <v>28</v>
      </c>
      <c r="J868">
        <v>307.64999999999998</v>
      </c>
      <c r="K868">
        <v>0.09</v>
      </c>
      <c r="L868">
        <v>0.59</v>
      </c>
      <c r="M868">
        <v>15.785</v>
      </c>
      <c r="N868">
        <v>-85.54</v>
      </c>
      <c r="O868" s="1" t="s">
        <v>64</v>
      </c>
      <c r="P868" s="1" t="s">
        <v>2496</v>
      </c>
      <c r="Q868" s="1" t="s">
        <v>2497</v>
      </c>
      <c r="R868" s="1" t="s">
        <v>128</v>
      </c>
      <c r="S868" s="1" t="s">
        <v>2498</v>
      </c>
      <c r="T868" s="1" t="s">
        <v>2499</v>
      </c>
      <c r="U868" s="2" t="s">
        <v>1495</v>
      </c>
      <c r="V868" s="2" t="s">
        <v>47</v>
      </c>
      <c r="W868" s="2" t="s">
        <v>119</v>
      </c>
      <c r="X868" s="2">
        <v>47.18</v>
      </c>
    </row>
    <row r="869" spans="1:24" x14ac:dyDescent="0.3">
      <c r="A869">
        <v>18765</v>
      </c>
      <c r="B869" t="s">
        <v>3189</v>
      </c>
      <c r="C869" s="3">
        <v>41009</v>
      </c>
      <c r="D869" t="s">
        <v>25</v>
      </c>
      <c r="E869">
        <v>3</v>
      </c>
      <c r="F869" s="3">
        <f ca="1">41011+(RANDBETWEEN(1,10))</f>
        <v>41012</v>
      </c>
      <c r="G869" t="s">
        <v>26</v>
      </c>
      <c r="H869" t="s">
        <v>27</v>
      </c>
      <c r="I869" t="s">
        <v>28</v>
      </c>
      <c r="J869">
        <v>960.89</v>
      </c>
      <c r="K869">
        <v>0.09</v>
      </c>
      <c r="L869">
        <v>0.57999999999999996</v>
      </c>
      <c r="M869">
        <v>20.72</v>
      </c>
      <c r="N869">
        <v>-640.40899999999999</v>
      </c>
      <c r="O869" s="1" t="s">
        <v>64</v>
      </c>
      <c r="P869" s="1" t="s">
        <v>2496</v>
      </c>
      <c r="Q869" s="1" t="s">
        <v>2497</v>
      </c>
      <c r="R869" s="1" t="s">
        <v>128</v>
      </c>
      <c r="S869" s="1" t="s">
        <v>2498</v>
      </c>
      <c r="T869" s="1" t="s">
        <v>2499</v>
      </c>
      <c r="U869" s="2">
        <v>8890</v>
      </c>
      <c r="V869" s="2" t="s">
        <v>36</v>
      </c>
      <c r="W869" s="2" t="s">
        <v>37</v>
      </c>
      <c r="X869" s="2">
        <v>405.96499999999997</v>
      </c>
    </row>
    <row r="870" spans="1:24" x14ac:dyDescent="0.3">
      <c r="A870">
        <v>18766</v>
      </c>
      <c r="B870" t="s">
        <v>3191</v>
      </c>
      <c r="C870" s="3">
        <v>41722</v>
      </c>
      <c r="D870" t="s">
        <v>50</v>
      </c>
      <c r="E870">
        <v>11</v>
      </c>
      <c r="F870" s="3">
        <f ca="1">41724+(RANDBETWEEN(1,10))</f>
        <v>41725</v>
      </c>
      <c r="G870" t="s">
        <v>26</v>
      </c>
      <c r="H870" t="s">
        <v>27</v>
      </c>
      <c r="I870" t="s">
        <v>86</v>
      </c>
      <c r="J870">
        <v>326.06</v>
      </c>
      <c r="K870">
        <v>0.09</v>
      </c>
      <c r="L870">
        <v>0.38</v>
      </c>
      <c r="M870">
        <v>29.015000000000001</v>
      </c>
      <c r="N870">
        <v>-523.11</v>
      </c>
      <c r="O870" s="1" t="s">
        <v>87</v>
      </c>
      <c r="P870" s="1" t="s">
        <v>3192</v>
      </c>
      <c r="Q870" s="1" t="s">
        <v>3193</v>
      </c>
      <c r="R870" s="1" t="s">
        <v>646</v>
      </c>
      <c r="S870" s="1" t="s">
        <v>3194</v>
      </c>
      <c r="T870" s="1" t="s">
        <v>3195</v>
      </c>
      <c r="U870" s="2" t="s">
        <v>1682</v>
      </c>
      <c r="V870" s="2" t="s">
        <v>47</v>
      </c>
      <c r="W870" s="2" t="s">
        <v>48</v>
      </c>
      <c r="X870" s="2">
        <v>30.59</v>
      </c>
    </row>
    <row r="871" spans="1:24" x14ac:dyDescent="0.3">
      <c r="A871">
        <v>18767</v>
      </c>
      <c r="B871" t="s">
        <v>3196</v>
      </c>
      <c r="C871" s="3">
        <v>40913</v>
      </c>
      <c r="D871" t="s">
        <v>39</v>
      </c>
      <c r="E871">
        <v>2</v>
      </c>
      <c r="F871" s="3">
        <f ca="1">40915+(RANDBETWEEN(1,10))</f>
        <v>40916</v>
      </c>
      <c r="G871" t="s">
        <v>156</v>
      </c>
      <c r="H871" t="s">
        <v>27</v>
      </c>
      <c r="I871" t="s">
        <v>86</v>
      </c>
      <c r="J871">
        <v>57.82</v>
      </c>
      <c r="K871">
        <v>0.06</v>
      </c>
      <c r="L871">
        <v>0.36</v>
      </c>
      <c r="M871">
        <v>26.74</v>
      </c>
      <c r="N871">
        <v>-88.232200000000006</v>
      </c>
      <c r="O871" s="1" t="s">
        <v>53</v>
      </c>
      <c r="P871" s="1" t="s">
        <v>3197</v>
      </c>
      <c r="Q871" s="1" t="s">
        <v>3198</v>
      </c>
      <c r="R871" s="1" t="s">
        <v>100</v>
      </c>
      <c r="S871" s="1" t="s">
        <v>3199</v>
      </c>
      <c r="T871" s="1" t="s">
        <v>3200</v>
      </c>
      <c r="U871" s="2" t="s">
        <v>3201</v>
      </c>
      <c r="V871" s="2" t="s">
        <v>47</v>
      </c>
      <c r="W871" s="2" t="s">
        <v>74</v>
      </c>
      <c r="X871" s="2">
        <v>20.23</v>
      </c>
    </row>
    <row r="872" spans="1:24" x14ac:dyDescent="0.3">
      <c r="A872">
        <v>18768</v>
      </c>
      <c r="B872" t="s">
        <v>3196</v>
      </c>
      <c r="C872" s="3">
        <v>40913</v>
      </c>
      <c r="D872" t="s">
        <v>39</v>
      </c>
      <c r="E872">
        <v>4</v>
      </c>
      <c r="F872" s="3">
        <f ca="1">40915+(RANDBETWEEN(1,10))</f>
        <v>40919</v>
      </c>
      <c r="G872" t="s">
        <v>26</v>
      </c>
      <c r="H872" t="s">
        <v>27</v>
      </c>
      <c r="I872" t="s">
        <v>86</v>
      </c>
      <c r="J872">
        <v>566.125</v>
      </c>
      <c r="K872">
        <v>0.04</v>
      </c>
      <c r="L872">
        <v>0.56000000000000005</v>
      </c>
      <c r="M872">
        <v>17.465</v>
      </c>
      <c r="N872">
        <v>53.817120000000003</v>
      </c>
      <c r="O872" s="1" t="s">
        <v>53</v>
      </c>
      <c r="P872" s="1" t="s">
        <v>3197</v>
      </c>
      <c r="Q872" s="1" t="s">
        <v>3198</v>
      </c>
      <c r="R872" s="1" t="s">
        <v>100</v>
      </c>
      <c r="S872" s="1" t="s">
        <v>3199</v>
      </c>
      <c r="T872" s="1" t="s">
        <v>3200</v>
      </c>
      <c r="U872" s="2" t="s">
        <v>3202</v>
      </c>
      <c r="V872" s="2" t="s">
        <v>36</v>
      </c>
      <c r="W872" s="2" t="s">
        <v>37</v>
      </c>
      <c r="X872" s="2">
        <v>160.965</v>
      </c>
    </row>
    <row r="873" spans="1:24" x14ac:dyDescent="0.3">
      <c r="A873">
        <v>18769</v>
      </c>
      <c r="B873" t="s">
        <v>3203</v>
      </c>
      <c r="C873" s="3">
        <v>41220</v>
      </c>
      <c r="D873" t="s">
        <v>62</v>
      </c>
      <c r="E873">
        <v>19</v>
      </c>
      <c r="F873" s="3">
        <f ca="1">41221+(RANDBETWEEN(1,10))</f>
        <v>41226</v>
      </c>
      <c r="G873" t="s">
        <v>26</v>
      </c>
      <c r="H873" t="s">
        <v>96</v>
      </c>
      <c r="I873" t="s">
        <v>28</v>
      </c>
      <c r="J873">
        <v>391.79</v>
      </c>
      <c r="K873">
        <v>0.05</v>
      </c>
      <c r="L873">
        <v>0.36</v>
      </c>
      <c r="M873">
        <v>10.64</v>
      </c>
      <c r="N873">
        <v>33.957000000000001</v>
      </c>
      <c r="O873" s="1" t="s">
        <v>53</v>
      </c>
      <c r="P873" s="1" t="s">
        <v>3204</v>
      </c>
      <c r="Q873" s="1" t="s">
        <v>3205</v>
      </c>
      <c r="R873" s="1" t="s">
        <v>100</v>
      </c>
      <c r="S873" s="1" t="s">
        <v>3206</v>
      </c>
      <c r="T873" s="1" t="s">
        <v>3207</v>
      </c>
      <c r="U873" s="2" t="s">
        <v>2918</v>
      </c>
      <c r="V873" s="2" t="s">
        <v>47</v>
      </c>
      <c r="W873" s="2" t="s">
        <v>74</v>
      </c>
      <c r="X873" s="2">
        <v>20.58</v>
      </c>
    </row>
    <row r="874" spans="1:24" x14ac:dyDescent="0.3">
      <c r="A874">
        <v>18770</v>
      </c>
      <c r="B874" t="s">
        <v>3208</v>
      </c>
      <c r="C874" s="3">
        <v>40640</v>
      </c>
      <c r="D874" t="s">
        <v>25</v>
      </c>
      <c r="E874">
        <v>3</v>
      </c>
      <c r="F874" s="3">
        <f ca="1">40645+(RANDBETWEEN(1,10))</f>
        <v>40649</v>
      </c>
      <c r="G874" t="s">
        <v>26</v>
      </c>
      <c r="H874" t="s">
        <v>27</v>
      </c>
      <c r="I874" t="s">
        <v>97</v>
      </c>
      <c r="J874">
        <v>65.344999999999999</v>
      </c>
      <c r="K874">
        <v>0.02</v>
      </c>
      <c r="L874">
        <v>0.35</v>
      </c>
      <c r="M874">
        <v>18.55</v>
      </c>
      <c r="N874">
        <v>-78.680000000000007</v>
      </c>
      <c r="O874" s="1" t="s">
        <v>29</v>
      </c>
      <c r="P874" s="1" t="s">
        <v>3209</v>
      </c>
      <c r="Q874" s="1" t="s">
        <v>3210</v>
      </c>
      <c r="R874" s="1" t="s">
        <v>32</v>
      </c>
      <c r="S874" s="1" t="s">
        <v>3211</v>
      </c>
      <c r="T874" s="1" t="s">
        <v>3212</v>
      </c>
      <c r="U874" s="2" t="s">
        <v>2464</v>
      </c>
      <c r="V874" s="2" t="s">
        <v>47</v>
      </c>
      <c r="W874" s="2" t="s">
        <v>48</v>
      </c>
      <c r="X874" s="2">
        <v>19.53</v>
      </c>
    </row>
    <row r="875" spans="1:24" x14ac:dyDescent="0.3">
      <c r="A875">
        <v>18771</v>
      </c>
      <c r="B875" t="s">
        <v>3208</v>
      </c>
      <c r="C875" s="3">
        <v>40640</v>
      </c>
      <c r="D875" t="s">
        <v>25</v>
      </c>
      <c r="E875">
        <v>5</v>
      </c>
      <c r="F875" s="3">
        <f ca="1">40647+(RANDBETWEEN(1,10))</f>
        <v>40654</v>
      </c>
      <c r="G875" t="s">
        <v>26</v>
      </c>
      <c r="H875" t="s">
        <v>27</v>
      </c>
      <c r="I875" t="s">
        <v>97</v>
      </c>
      <c r="J875">
        <v>737.69500000000005</v>
      </c>
      <c r="K875">
        <v>0.03</v>
      </c>
      <c r="L875">
        <v>0.56999999999999995</v>
      </c>
      <c r="M875">
        <v>66.430000000000007</v>
      </c>
      <c r="N875">
        <v>276.43</v>
      </c>
      <c r="O875" s="1" t="s">
        <v>29</v>
      </c>
      <c r="P875" s="1" t="s">
        <v>3209</v>
      </c>
      <c r="Q875" s="1" t="s">
        <v>3210</v>
      </c>
      <c r="R875" s="1" t="s">
        <v>32</v>
      </c>
      <c r="S875" s="1" t="s">
        <v>3211</v>
      </c>
      <c r="T875" s="1" t="s">
        <v>3212</v>
      </c>
      <c r="U875" s="2" t="s">
        <v>1823</v>
      </c>
      <c r="V875" s="2" t="s">
        <v>83</v>
      </c>
      <c r="W875" s="2" t="s">
        <v>178</v>
      </c>
      <c r="X875" s="2">
        <v>143.11500000000001</v>
      </c>
    </row>
    <row r="876" spans="1:24" x14ac:dyDescent="0.3">
      <c r="A876">
        <v>18772</v>
      </c>
      <c r="B876" t="s">
        <v>3213</v>
      </c>
      <c r="C876" s="3">
        <v>40915</v>
      </c>
      <c r="D876" t="s">
        <v>148</v>
      </c>
      <c r="E876">
        <v>3</v>
      </c>
      <c r="F876" s="3">
        <f ca="1">40918+(RANDBETWEEN(1,10))</f>
        <v>40924</v>
      </c>
      <c r="G876" t="s">
        <v>26</v>
      </c>
      <c r="H876" t="s">
        <v>96</v>
      </c>
      <c r="I876" t="s">
        <v>97</v>
      </c>
      <c r="J876">
        <v>101.85</v>
      </c>
      <c r="K876">
        <v>0.08</v>
      </c>
      <c r="L876">
        <v>0.37</v>
      </c>
      <c r="M876">
        <v>7.1050000000000004</v>
      </c>
      <c r="N876">
        <v>70.276499999999999</v>
      </c>
      <c r="O876" s="1" t="s">
        <v>53</v>
      </c>
      <c r="P876" s="1" t="s">
        <v>3214</v>
      </c>
      <c r="Q876" s="1" t="s">
        <v>3215</v>
      </c>
      <c r="R876" s="1" t="s">
        <v>56</v>
      </c>
      <c r="S876" s="1" t="s">
        <v>3216</v>
      </c>
      <c r="T876" s="1" t="s">
        <v>3217</v>
      </c>
      <c r="U876" s="2" t="s">
        <v>3218</v>
      </c>
      <c r="V876" s="2" t="s">
        <v>47</v>
      </c>
      <c r="W876" s="2" t="s">
        <v>74</v>
      </c>
      <c r="X876" s="2">
        <v>33.880000000000003</v>
      </c>
    </row>
    <row r="877" spans="1:24" x14ac:dyDescent="0.3">
      <c r="A877">
        <v>18773</v>
      </c>
      <c r="B877" t="s">
        <v>3219</v>
      </c>
      <c r="C877" s="3">
        <v>40875</v>
      </c>
      <c r="D877" t="s">
        <v>62</v>
      </c>
      <c r="E877">
        <v>39</v>
      </c>
      <c r="F877" s="3">
        <f ca="1">40876+(RANDBETWEEN(1,10))</f>
        <v>40878</v>
      </c>
      <c r="G877" t="s">
        <v>156</v>
      </c>
      <c r="H877" t="s">
        <v>96</v>
      </c>
      <c r="I877" t="s">
        <v>28</v>
      </c>
      <c r="J877">
        <v>384.09</v>
      </c>
      <c r="K877">
        <v>0.02</v>
      </c>
      <c r="L877">
        <v>0.59</v>
      </c>
      <c r="M877">
        <v>4.55</v>
      </c>
      <c r="N877">
        <v>3.8780000000000001</v>
      </c>
      <c r="O877" s="1" t="s">
        <v>64</v>
      </c>
      <c r="P877" s="1" t="s">
        <v>1459</v>
      </c>
      <c r="Q877" s="1" t="s">
        <v>1460</v>
      </c>
      <c r="R877" s="1" t="s">
        <v>128</v>
      </c>
      <c r="S877" s="1" t="s">
        <v>1461</v>
      </c>
      <c r="T877" s="1" t="s">
        <v>1462</v>
      </c>
      <c r="U877" s="2" t="s">
        <v>3220</v>
      </c>
      <c r="V877" s="2" t="s">
        <v>47</v>
      </c>
      <c r="W877" s="2" t="s">
        <v>104</v>
      </c>
      <c r="X877" s="2">
        <v>9.0299999999999994</v>
      </c>
    </row>
    <row r="878" spans="1:24" x14ac:dyDescent="0.3">
      <c r="A878">
        <v>18774</v>
      </c>
      <c r="B878" t="s">
        <v>3219</v>
      </c>
      <c r="C878" s="3">
        <v>40875</v>
      </c>
      <c r="D878" t="s">
        <v>62</v>
      </c>
      <c r="E878">
        <v>27</v>
      </c>
      <c r="F878" s="3">
        <f ca="1">40876+(RANDBETWEEN(1,10))</f>
        <v>40878</v>
      </c>
      <c r="G878" t="s">
        <v>26</v>
      </c>
      <c r="H878" t="s">
        <v>27</v>
      </c>
      <c r="I878" t="s">
        <v>28</v>
      </c>
      <c r="J878">
        <v>5402.4250000000002</v>
      </c>
      <c r="K878">
        <v>0.02</v>
      </c>
      <c r="L878">
        <v>0.55000000000000004</v>
      </c>
      <c r="M878">
        <v>13.65</v>
      </c>
      <c r="N878">
        <v>3714.8265000000001</v>
      </c>
      <c r="O878" s="1" t="s">
        <v>64</v>
      </c>
      <c r="P878" s="1" t="s">
        <v>1459</v>
      </c>
      <c r="Q878" s="1" t="s">
        <v>1460</v>
      </c>
      <c r="R878" s="1" t="s">
        <v>128</v>
      </c>
      <c r="S878" s="1" t="s">
        <v>1461</v>
      </c>
      <c r="T878" s="1" t="s">
        <v>1462</v>
      </c>
      <c r="U878" s="2" t="s">
        <v>3221</v>
      </c>
      <c r="V878" s="2" t="s">
        <v>36</v>
      </c>
      <c r="W878" s="2" t="s">
        <v>37</v>
      </c>
      <c r="X878" s="2">
        <v>230.965</v>
      </c>
    </row>
    <row r="879" spans="1:24" x14ac:dyDescent="0.3">
      <c r="A879">
        <v>18775</v>
      </c>
      <c r="B879" t="s">
        <v>3222</v>
      </c>
      <c r="C879" s="3">
        <v>41267</v>
      </c>
      <c r="D879" t="s">
        <v>62</v>
      </c>
      <c r="E879">
        <v>20</v>
      </c>
      <c r="F879" s="3">
        <f ca="1">41269+(RANDBETWEEN(1,10))</f>
        <v>41272</v>
      </c>
      <c r="G879" t="s">
        <v>26</v>
      </c>
      <c r="H879" t="s">
        <v>27</v>
      </c>
      <c r="I879" t="s">
        <v>52</v>
      </c>
      <c r="J879">
        <v>2085.79</v>
      </c>
      <c r="K879">
        <v>0.05</v>
      </c>
      <c r="L879">
        <v>0.37</v>
      </c>
      <c r="M879">
        <v>21.945</v>
      </c>
      <c r="N879">
        <v>1439.1950999999999</v>
      </c>
      <c r="O879" s="1" t="s">
        <v>40</v>
      </c>
      <c r="P879" s="1" t="s">
        <v>2371</v>
      </c>
      <c r="Q879" s="1" t="s">
        <v>2372</v>
      </c>
      <c r="R879" s="1" t="s">
        <v>43</v>
      </c>
      <c r="S879" s="1" t="s">
        <v>2373</v>
      </c>
      <c r="T879" s="1" t="s">
        <v>2374</v>
      </c>
      <c r="U879" s="2" t="s">
        <v>3223</v>
      </c>
      <c r="V879" s="2" t="s">
        <v>47</v>
      </c>
      <c r="W879" s="2" t="s">
        <v>111</v>
      </c>
      <c r="X879" s="2">
        <v>102.095</v>
      </c>
    </row>
    <row r="880" spans="1:24" x14ac:dyDescent="0.3">
      <c r="A880">
        <v>18776</v>
      </c>
      <c r="B880" t="s">
        <v>3222</v>
      </c>
      <c r="C880" s="3">
        <v>41267</v>
      </c>
      <c r="D880" t="s">
        <v>62</v>
      </c>
      <c r="E880">
        <v>6</v>
      </c>
      <c r="F880" s="3">
        <f ca="1">41268+(RANDBETWEEN(1,10))</f>
        <v>41275</v>
      </c>
      <c r="G880" t="s">
        <v>76</v>
      </c>
      <c r="H880" t="s">
        <v>258</v>
      </c>
      <c r="I880" t="s">
        <v>52</v>
      </c>
      <c r="J880">
        <v>3134.355</v>
      </c>
      <c r="K880">
        <v>0.03</v>
      </c>
      <c r="L880">
        <v>0.71</v>
      </c>
      <c r="M880">
        <v>280.7</v>
      </c>
      <c r="N880">
        <v>-1169.32725</v>
      </c>
      <c r="O880" s="1" t="s">
        <v>40</v>
      </c>
      <c r="P880" s="1" t="s">
        <v>2371</v>
      </c>
      <c r="Q880" s="1" t="s">
        <v>2372</v>
      </c>
      <c r="R880" s="1" t="s">
        <v>43</v>
      </c>
      <c r="S880" s="1" t="s">
        <v>2373</v>
      </c>
      <c r="T880" s="1" t="s">
        <v>2374</v>
      </c>
      <c r="U880" s="2" t="s">
        <v>696</v>
      </c>
      <c r="V880" s="2" t="s">
        <v>83</v>
      </c>
      <c r="W880" s="2" t="s">
        <v>263</v>
      </c>
      <c r="X880" s="2">
        <v>511.17500000000001</v>
      </c>
    </row>
    <row r="881" spans="1:24" x14ac:dyDescent="0.3">
      <c r="A881">
        <v>18777</v>
      </c>
      <c r="B881" t="s">
        <v>3222</v>
      </c>
      <c r="C881" s="3">
        <v>41267</v>
      </c>
      <c r="D881" t="s">
        <v>62</v>
      </c>
      <c r="E881">
        <v>2</v>
      </c>
      <c r="F881" s="3">
        <f ca="1">41270+(RANDBETWEEN(1,10))</f>
        <v>41279</v>
      </c>
      <c r="G881" t="s">
        <v>26</v>
      </c>
      <c r="H881" t="s">
        <v>27</v>
      </c>
      <c r="I881" t="s">
        <v>52</v>
      </c>
      <c r="J881">
        <v>753.97</v>
      </c>
      <c r="K881">
        <v>0.06</v>
      </c>
      <c r="L881">
        <v>0.6</v>
      </c>
      <c r="M881">
        <v>19.704999999999998</v>
      </c>
      <c r="N881">
        <v>-862.34225000000004</v>
      </c>
      <c r="O881" s="1" t="s">
        <v>40</v>
      </c>
      <c r="P881" s="1" t="s">
        <v>2371</v>
      </c>
      <c r="Q881" s="1" t="s">
        <v>2372</v>
      </c>
      <c r="R881" s="1" t="s">
        <v>43</v>
      </c>
      <c r="S881" s="1" t="s">
        <v>2373</v>
      </c>
      <c r="T881" s="1" t="s">
        <v>2374</v>
      </c>
      <c r="U881" s="2">
        <v>8290</v>
      </c>
      <c r="V881" s="2" t="s">
        <v>36</v>
      </c>
      <c r="W881" s="2" t="s">
        <v>37</v>
      </c>
      <c r="X881" s="2">
        <v>440.96499999999997</v>
      </c>
    </row>
    <row r="882" spans="1:24" x14ac:dyDescent="0.3">
      <c r="A882">
        <v>18778</v>
      </c>
      <c r="B882" t="s">
        <v>3224</v>
      </c>
      <c r="C882" s="3">
        <v>41176</v>
      </c>
      <c r="D882" t="s">
        <v>148</v>
      </c>
      <c r="E882">
        <v>7</v>
      </c>
      <c r="F882" s="3">
        <f ca="1">41178+(RANDBETWEEN(1,10))</f>
        <v>41180</v>
      </c>
      <c r="G882" t="s">
        <v>26</v>
      </c>
      <c r="H882" t="s">
        <v>27</v>
      </c>
      <c r="I882" t="s">
        <v>28</v>
      </c>
      <c r="J882">
        <v>1149.1199999999999</v>
      </c>
      <c r="K882">
        <v>0.04</v>
      </c>
      <c r="L882">
        <v>0.56000000000000005</v>
      </c>
      <c r="M882">
        <v>13.965</v>
      </c>
      <c r="N882">
        <v>484.61</v>
      </c>
      <c r="O882" s="1" t="s">
        <v>87</v>
      </c>
      <c r="P882" s="1" t="s">
        <v>3225</v>
      </c>
      <c r="Q882" s="1" t="s">
        <v>3226</v>
      </c>
      <c r="R882" s="1" t="s">
        <v>90</v>
      </c>
      <c r="S882" s="1" t="s">
        <v>3227</v>
      </c>
      <c r="T882" s="1" t="s">
        <v>3228</v>
      </c>
      <c r="U882" s="2" t="s">
        <v>1399</v>
      </c>
      <c r="V882" s="2" t="s">
        <v>47</v>
      </c>
      <c r="W882" s="2" t="s">
        <v>71</v>
      </c>
      <c r="X882" s="2">
        <v>170.03</v>
      </c>
    </row>
    <row r="883" spans="1:24" x14ac:dyDescent="0.3">
      <c r="A883">
        <v>18779</v>
      </c>
      <c r="B883" t="s">
        <v>3224</v>
      </c>
      <c r="C883" s="3">
        <v>41176</v>
      </c>
      <c r="D883" t="s">
        <v>148</v>
      </c>
      <c r="E883">
        <v>3</v>
      </c>
      <c r="F883" s="3">
        <f ca="1">41179+(RANDBETWEEN(1,10))</f>
        <v>41185</v>
      </c>
      <c r="G883" t="s">
        <v>26</v>
      </c>
      <c r="H883" t="s">
        <v>96</v>
      </c>
      <c r="I883" t="s">
        <v>28</v>
      </c>
      <c r="J883">
        <v>115.395</v>
      </c>
      <c r="K883">
        <v>0.04</v>
      </c>
      <c r="L883">
        <v>0.38</v>
      </c>
      <c r="M883">
        <v>6.2649999999999997</v>
      </c>
      <c r="N883">
        <v>38.71</v>
      </c>
      <c r="O883" s="1" t="s">
        <v>40</v>
      </c>
      <c r="P883" s="1" t="s">
        <v>3229</v>
      </c>
      <c r="Q883" s="1" t="s">
        <v>3230</v>
      </c>
      <c r="R883" s="1" t="s">
        <v>43</v>
      </c>
      <c r="S883" s="1" t="s">
        <v>454</v>
      </c>
      <c r="T883" s="1" t="s">
        <v>455</v>
      </c>
      <c r="U883" s="2" t="s">
        <v>3017</v>
      </c>
      <c r="V883" s="2" t="s">
        <v>47</v>
      </c>
      <c r="W883" s="2" t="s">
        <v>74</v>
      </c>
      <c r="X883" s="2">
        <v>36.085000000000001</v>
      </c>
    </row>
    <row r="884" spans="1:24" x14ac:dyDescent="0.3">
      <c r="A884">
        <v>18780</v>
      </c>
      <c r="B884" t="s">
        <v>3224</v>
      </c>
      <c r="C884" s="3">
        <v>41176</v>
      </c>
      <c r="D884" t="s">
        <v>148</v>
      </c>
      <c r="E884">
        <v>12</v>
      </c>
      <c r="F884" s="3">
        <f ca="1">41178+(RANDBETWEEN(1,10))</f>
        <v>41182</v>
      </c>
      <c r="G884" t="s">
        <v>26</v>
      </c>
      <c r="H884" t="s">
        <v>96</v>
      </c>
      <c r="I884" t="s">
        <v>28</v>
      </c>
      <c r="J884">
        <v>104.685</v>
      </c>
      <c r="K884">
        <v>0.02</v>
      </c>
      <c r="L884">
        <v>0.81</v>
      </c>
      <c r="M884">
        <v>17.5</v>
      </c>
      <c r="N884">
        <v>-403.83</v>
      </c>
      <c r="O884" s="1" t="s">
        <v>40</v>
      </c>
      <c r="P884" s="1" t="s">
        <v>3229</v>
      </c>
      <c r="Q884" s="1" t="s">
        <v>3230</v>
      </c>
      <c r="R884" s="1" t="s">
        <v>43</v>
      </c>
      <c r="S884" s="1" t="s">
        <v>454</v>
      </c>
      <c r="T884" s="1" t="s">
        <v>455</v>
      </c>
      <c r="U884" s="2" t="s">
        <v>1945</v>
      </c>
      <c r="V884" s="2" t="s">
        <v>47</v>
      </c>
      <c r="W884" s="2" t="s">
        <v>94</v>
      </c>
      <c r="X884" s="2">
        <v>7.63</v>
      </c>
    </row>
    <row r="885" spans="1:24" x14ac:dyDescent="0.3">
      <c r="A885">
        <v>18781</v>
      </c>
      <c r="B885" t="s">
        <v>3231</v>
      </c>
      <c r="C885" s="3">
        <v>41431</v>
      </c>
      <c r="D885" t="s">
        <v>148</v>
      </c>
      <c r="E885">
        <v>3</v>
      </c>
      <c r="F885" s="3">
        <f ca="1">41432+(RANDBETWEEN(1,10))</f>
        <v>41436</v>
      </c>
      <c r="G885" t="s">
        <v>26</v>
      </c>
      <c r="H885" t="s">
        <v>51</v>
      </c>
      <c r="I885" t="s">
        <v>97</v>
      </c>
      <c r="J885">
        <v>157.78</v>
      </c>
      <c r="K885">
        <v>7.0000000000000007E-2</v>
      </c>
      <c r="L885">
        <v>0.49</v>
      </c>
      <c r="M885">
        <v>17.5</v>
      </c>
      <c r="N885">
        <v>-46.55</v>
      </c>
      <c r="O885" s="1" t="s">
        <v>29</v>
      </c>
      <c r="P885" s="1" t="s">
        <v>3232</v>
      </c>
      <c r="Q885" s="1" t="s">
        <v>3233</v>
      </c>
      <c r="R885" s="1" t="s">
        <v>32</v>
      </c>
      <c r="S885" s="1" t="s">
        <v>3234</v>
      </c>
      <c r="T885" s="1" t="s">
        <v>3235</v>
      </c>
      <c r="U885" s="2" t="s">
        <v>830</v>
      </c>
      <c r="V885" s="2" t="s">
        <v>83</v>
      </c>
      <c r="W885" s="2" t="s">
        <v>178</v>
      </c>
      <c r="X885" s="2">
        <v>50.19</v>
      </c>
    </row>
    <row r="886" spans="1:24" x14ac:dyDescent="0.3">
      <c r="A886">
        <v>18782</v>
      </c>
      <c r="B886" t="s">
        <v>3236</v>
      </c>
      <c r="C886" s="3">
        <v>41028</v>
      </c>
      <c r="D886" t="s">
        <v>50</v>
      </c>
      <c r="E886">
        <v>3</v>
      </c>
      <c r="F886" s="3">
        <f ca="1">41030+(RANDBETWEEN(1,10))</f>
        <v>41032</v>
      </c>
      <c r="G886" t="s">
        <v>26</v>
      </c>
      <c r="H886" t="s">
        <v>27</v>
      </c>
      <c r="I886" t="s">
        <v>28</v>
      </c>
      <c r="J886">
        <v>104.09</v>
      </c>
      <c r="K886">
        <v>0.09</v>
      </c>
      <c r="L886">
        <v>0.55000000000000004</v>
      </c>
      <c r="M886">
        <v>21.77</v>
      </c>
      <c r="N886">
        <v>-0.21</v>
      </c>
      <c r="O886" s="1" t="s">
        <v>225</v>
      </c>
      <c r="P886" s="1" t="s">
        <v>3237</v>
      </c>
      <c r="Q886" s="1" t="s">
        <v>3238</v>
      </c>
      <c r="R886" s="1" t="s">
        <v>228</v>
      </c>
      <c r="S886" s="1" t="s">
        <v>3239</v>
      </c>
      <c r="T886" s="1" t="s">
        <v>3240</v>
      </c>
      <c r="U886" s="2" t="s">
        <v>1422</v>
      </c>
      <c r="V886" s="2" t="s">
        <v>83</v>
      </c>
      <c r="W886" s="2" t="s">
        <v>178</v>
      </c>
      <c r="X886" s="2">
        <v>33.774999999999999</v>
      </c>
    </row>
    <row r="887" spans="1:24" x14ac:dyDescent="0.3">
      <c r="A887">
        <v>18783</v>
      </c>
      <c r="B887" t="s">
        <v>3241</v>
      </c>
      <c r="C887" s="3">
        <v>40740</v>
      </c>
      <c r="D887" t="s">
        <v>39</v>
      </c>
      <c r="E887">
        <v>11</v>
      </c>
      <c r="F887" s="3">
        <f ca="1">40742+(RANDBETWEEN(1,10))</f>
        <v>40744</v>
      </c>
      <c r="G887" t="s">
        <v>26</v>
      </c>
      <c r="H887" t="s">
        <v>51</v>
      </c>
      <c r="I887" t="s">
        <v>28</v>
      </c>
      <c r="J887">
        <v>300.26499999999999</v>
      </c>
      <c r="K887">
        <v>0.03</v>
      </c>
      <c r="L887">
        <v>0.69</v>
      </c>
      <c r="M887">
        <v>19.355</v>
      </c>
      <c r="N887">
        <v>-467.95</v>
      </c>
      <c r="O887" s="1" t="s">
        <v>40</v>
      </c>
      <c r="P887" s="1" t="s">
        <v>3242</v>
      </c>
      <c r="Q887" s="1" t="s">
        <v>3243</v>
      </c>
      <c r="R887" s="1" t="s">
        <v>220</v>
      </c>
      <c r="S887" s="1" t="s">
        <v>707</v>
      </c>
      <c r="T887" s="1" t="s">
        <v>708</v>
      </c>
      <c r="U887" s="2" t="s">
        <v>3244</v>
      </c>
      <c r="V887" s="2" t="s">
        <v>36</v>
      </c>
      <c r="W887" s="2" t="s">
        <v>60</v>
      </c>
      <c r="X887" s="2">
        <v>25.795000000000002</v>
      </c>
    </row>
    <row r="888" spans="1:24" x14ac:dyDescent="0.3">
      <c r="A888">
        <v>18784</v>
      </c>
      <c r="B888" t="s">
        <v>3245</v>
      </c>
      <c r="C888" s="3">
        <v>41478</v>
      </c>
      <c r="D888" t="s">
        <v>25</v>
      </c>
      <c r="E888">
        <v>14</v>
      </c>
      <c r="F888" s="3">
        <f ca="1">41478+(RANDBETWEEN(1,10))</f>
        <v>41487</v>
      </c>
      <c r="G888" t="s">
        <v>26</v>
      </c>
      <c r="H888" t="s">
        <v>27</v>
      </c>
      <c r="I888" t="s">
        <v>28</v>
      </c>
      <c r="J888">
        <v>304.39499999999998</v>
      </c>
      <c r="K888">
        <v>0.06</v>
      </c>
      <c r="L888">
        <v>0.4</v>
      </c>
      <c r="M888">
        <v>36.365000000000002</v>
      </c>
      <c r="N888">
        <v>-8054.326</v>
      </c>
      <c r="O888" s="1" t="s">
        <v>29</v>
      </c>
      <c r="P888" s="1" t="s">
        <v>3246</v>
      </c>
      <c r="Q888" s="1" t="s">
        <v>3247</v>
      </c>
      <c r="R888" s="1" t="s">
        <v>32</v>
      </c>
      <c r="S888" s="1" t="s">
        <v>3248</v>
      </c>
      <c r="T888" s="1" t="s">
        <v>3249</v>
      </c>
      <c r="U888" s="2" t="s">
        <v>3250</v>
      </c>
      <c r="V888" s="2" t="s">
        <v>47</v>
      </c>
      <c r="W888" s="2" t="s">
        <v>74</v>
      </c>
      <c r="X888" s="2">
        <v>20.93</v>
      </c>
    </row>
    <row r="889" spans="1:24" x14ac:dyDescent="0.3">
      <c r="A889">
        <v>18785</v>
      </c>
      <c r="B889" t="s">
        <v>3251</v>
      </c>
      <c r="C889" s="3">
        <v>41644</v>
      </c>
      <c r="D889" t="s">
        <v>39</v>
      </c>
      <c r="E889">
        <v>3</v>
      </c>
      <c r="F889" s="3">
        <f ca="1">41645+(RANDBETWEEN(1,10))</f>
        <v>41654</v>
      </c>
      <c r="G889" t="s">
        <v>26</v>
      </c>
      <c r="H889" t="s">
        <v>51</v>
      </c>
      <c r="I889" t="s">
        <v>52</v>
      </c>
      <c r="J889">
        <v>126.56</v>
      </c>
      <c r="K889">
        <v>0.1</v>
      </c>
      <c r="L889">
        <v>0.55000000000000004</v>
      </c>
      <c r="M889">
        <v>9.9749999999999996</v>
      </c>
      <c r="N889">
        <v>87.326400000000007</v>
      </c>
      <c r="O889" s="1" t="s">
        <v>87</v>
      </c>
      <c r="P889" s="1" t="s">
        <v>3252</v>
      </c>
      <c r="Q889" s="1" t="s">
        <v>3253</v>
      </c>
      <c r="R889" s="1" t="s">
        <v>497</v>
      </c>
      <c r="S889" s="1" t="s">
        <v>3254</v>
      </c>
      <c r="T889" s="1" t="s">
        <v>3255</v>
      </c>
      <c r="U889" s="2" t="s">
        <v>3256</v>
      </c>
      <c r="V889" s="2" t="s">
        <v>83</v>
      </c>
      <c r="W889" s="2" t="s">
        <v>178</v>
      </c>
      <c r="X889" s="2">
        <v>42.77</v>
      </c>
    </row>
    <row r="890" spans="1:24" x14ac:dyDescent="0.3">
      <c r="A890">
        <v>18786</v>
      </c>
      <c r="B890" t="s">
        <v>3257</v>
      </c>
      <c r="C890" s="3">
        <v>41639</v>
      </c>
      <c r="D890" t="s">
        <v>50</v>
      </c>
      <c r="E890">
        <v>4</v>
      </c>
      <c r="F890" s="3">
        <f ca="1">41642+(RANDBETWEEN(1,10))</f>
        <v>41645</v>
      </c>
      <c r="G890" t="s">
        <v>26</v>
      </c>
      <c r="H890" t="s">
        <v>281</v>
      </c>
      <c r="I890" t="s">
        <v>97</v>
      </c>
      <c r="J890">
        <v>108.29</v>
      </c>
      <c r="K890">
        <v>0</v>
      </c>
      <c r="L890">
        <v>0.6</v>
      </c>
      <c r="M890">
        <v>17.605</v>
      </c>
      <c r="N890">
        <v>-88.068749999999994</v>
      </c>
      <c r="O890" s="1" t="s">
        <v>87</v>
      </c>
      <c r="P890" s="1" t="s">
        <v>3258</v>
      </c>
      <c r="Q890" s="1" t="s">
        <v>3259</v>
      </c>
      <c r="R890" s="1" t="s">
        <v>398</v>
      </c>
      <c r="S890" s="1" t="s">
        <v>3260</v>
      </c>
      <c r="T890" s="1" t="s">
        <v>3261</v>
      </c>
      <c r="U890" s="2" t="s">
        <v>408</v>
      </c>
      <c r="V890" s="2" t="s">
        <v>36</v>
      </c>
      <c r="W890" s="2" t="s">
        <v>37</v>
      </c>
      <c r="X890" s="2">
        <v>27.965</v>
      </c>
    </row>
    <row r="891" spans="1:24" x14ac:dyDescent="0.3">
      <c r="A891">
        <v>18787</v>
      </c>
      <c r="B891" t="s">
        <v>3262</v>
      </c>
      <c r="C891" s="3">
        <v>41866</v>
      </c>
      <c r="D891" t="s">
        <v>148</v>
      </c>
      <c r="E891">
        <v>9</v>
      </c>
      <c r="F891" s="3">
        <f ca="1">41868+(RANDBETWEEN(1,10))</f>
        <v>41877</v>
      </c>
      <c r="G891" t="s">
        <v>26</v>
      </c>
      <c r="H891" t="s">
        <v>27</v>
      </c>
      <c r="I891" t="s">
        <v>28</v>
      </c>
      <c r="J891">
        <v>368.34</v>
      </c>
      <c r="K891">
        <v>0.02</v>
      </c>
      <c r="L891">
        <v>0.4</v>
      </c>
      <c r="M891">
        <v>25.164999999999999</v>
      </c>
      <c r="N891">
        <v>53.423999999999999</v>
      </c>
      <c r="O891" s="1" t="s">
        <v>87</v>
      </c>
      <c r="P891" s="1" t="s">
        <v>3263</v>
      </c>
      <c r="Q891" s="1" t="s">
        <v>3264</v>
      </c>
      <c r="R891" s="1" t="s">
        <v>398</v>
      </c>
      <c r="S891" s="1" t="s">
        <v>3265</v>
      </c>
      <c r="T891" s="1" t="s">
        <v>3266</v>
      </c>
      <c r="U891" s="2" t="s">
        <v>1736</v>
      </c>
      <c r="V891" s="2" t="s">
        <v>47</v>
      </c>
      <c r="W891" s="2" t="s">
        <v>111</v>
      </c>
      <c r="X891" s="2">
        <v>40.25</v>
      </c>
    </row>
    <row r="892" spans="1:24" x14ac:dyDescent="0.3">
      <c r="A892">
        <v>18788</v>
      </c>
      <c r="B892" t="s">
        <v>3262</v>
      </c>
      <c r="C892" s="3">
        <v>41866</v>
      </c>
      <c r="D892" t="s">
        <v>148</v>
      </c>
      <c r="E892">
        <v>25</v>
      </c>
      <c r="F892" s="3">
        <f ca="1">41868+(RANDBETWEEN(1,10))</f>
        <v>41874</v>
      </c>
      <c r="G892" t="s">
        <v>26</v>
      </c>
      <c r="H892" t="s">
        <v>281</v>
      </c>
      <c r="I892" t="s">
        <v>28</v>
      </c>
      <c r="J892">
        <v>492.76499999999999</v>
      </c>
      <c r="K892">
        <v>0.09</v>
      </c>
      <c r="L892">
        <v>0.55000000000000004</v>
      </c>
      <c r="M892">
        <v>20.72</v>
      </c>
      <c r="N892">
        <v>-706.58</v>
      </c>
      <c r="O892" s="1" t="s">
        <v>87</v>
      </c>
      <c r="P892" s="1" t="s">
        <v>3263</v>
      </c>
      <c r="Q892" s="1" t="s">
        <v>3264</v>
      </c>
      <c r="R892" s="1" t="s">
        <v>398</v>
      </c>
      <c r="S892" s="1" t="s">
        <v>3265</v>
      </c>
      <c r="T892" s="1" t="s">
        <v>3266</v>
      </c>
      <c r="U892" s="2" t="s">
        <v>3267</v>
      </c>
      <c r="V892" s="2" t="s">
        <v>83</v>
      </c>
      <c r="W892" s="2" t="s">
        <v>178</v>
      </c>
      <c r="X892" s="2">
        <v>20.195</v>
      </c>
    </row>
    <row r="893" spans="1:24" x14ac:dyDescent="0.3">
      <c r="A893">
        <v>18789</v>
      </c>
      <c r="B893" t="s">
        <v>3268</v>
      </c>
      <c r="C893" s="3">
        <v>41320</v>
      </c>
      <c r="D893" t="s">
        <v>148</v>
      </c>
      <c r="E893">
        <v>6</v>
      </c>
      <c r="F893" s="3">
        <f ca="1">41322+(RANDBETWEEN(1,10))</f>
        <v>41326</v>
      </c>
      <c r="G893" t="s">
        <v>26</v>
      </c>
      <c r="H893" t="s">
        <v>96</v>
      </c>
      <c r="I893" t="s">
        <v>86</v>
      </c>
      <c r="J893">
        <v>126.14</v>
      </c>
      <c r="K893">
        <v>0</v>
      </c>
      <c r="L893">
        <v>0.56000000000000005</v>
      </c>
      <c r="M893">
        <v>7.9450000000000003</v>
      </c>
      <c r="N893">
        <v>-3.8149999999999999</v>
      </c>
      <c r="O893" s="1" t="s">
        <v>53</v>
      </c>
      <c r="P893" s="1" t="s">
        <v>3269</v>
      </c>
      <c r="Q893" s="1" t="s">
        <v>3270</v>
      </c>
      <c r="R893" s="1" t="s">
        <v>56</v>
      </c>
      <c r="S893" s="1" t="s">
        <v>3271</v>
      </c>
      <c r="T893" s="1" t="s">
        <v>3272</v>
      </c>
      <c r="U893" s="2" t="s">
        <v>212</v>
      </c>
      <c r="V893" s="2" t="s">
        <v>47</v>
      </c>
      <c r="W893" s="2" t="s">
        <v>104</v>
      </c>
      <c r="X893" s="2">
        <v>20.475000000000001</v>
      </c>
    </row>
    <row r="894" spans="1:24" x14ac:dyDescent="0.3">
      <c r="A894">
        <v>18790</v>
      </c>
      <c r="B894" t="s">
        <v>3273</v>
      </c>
      <c r="C894" s="3">
        <v>40695</v>
      </c>
      <c r="D894" t="s">
        <v>148</v>
      </c>
      <c r="E894">
        <v>12</v>
      </c>
      <c r="F894" s="3">
        <f ca="1">40696+(RANDBETWEEN(1,10))</f>
        <v>40699</v>
      </c>
      <c r="G894" t="s">
        <v>26</v>
      </c>
      <c r="H894" t="s">
        <v>27</v>
      </c>
      <c r="I894" t="s">
        <v>86</v>
      </c>
      <c r="J894">
        <v>679.28</v>
      </c>
      <c r="K894">
        <v>0.03</v>
      </c>
      <c r="L894">
        <v>0.56999999999999995</v>
      </c>
      <c r="M894">
        <v>30.73</v>
      </c>
      <c r="N894">
        <v>-201.46</v>
      </c>
      <c r="O894" s="1" t="s">
        <v>29</v>
      </c>
      <c r="P894" s="1" t="s">
        <v>3274</v>
      </c>
      <c r="Q894" s="1" t="s">
        <v>3275</v>
      </c>
      <c r="R894" s="1" t="s">
        <v>32</v>
      </c>
      <c r="S894" s="1" t="s">
        <v>3276</v>
      </c>
      <c r="T894" s="1" t="s">
        <v>3277</v>
      </c>
      <c r="U894" s="2" t="s">
        <v>3278</v>
      </c>
      <c r="V894" s="2" t="s">
        <v>47</v>
      </c>
      <c r="W894" s="2" t="s">
        <v>119</v>
      </c>
      <c r="X894" s="2">
        <v>53.585000000000001</v>
      </c>
    </row>
    <row r="895" spans="1:24" x14ac:dyDescent="0.3">
      <c r="A895">
        <v>18791</v>
      </c>
      <c r="B895" t="s">
        <v>3279</v>
      </c>
      <c r="C895" s="3">
        <v>41397</v>
      </c>
      <c r="D895" t="s">
        <v>62</v>
      </c>
      <c r="E895">
        <v>2</v>
      </c>
      <c r="F895" s="3">
        <f ca="1">41399+(RANDBETWEEN(1,10))</f>
        <v>41406</v>
      </c>
      <c r="G895" t="s">
        <v>26</v>
      </c>
      <c r="H895" t="s">
        <v>27</v>
      </c>
      <c r="I895" t="s">
        <v>52</v>
      </c>
      <c r="J895">
        <v>3860.8150000000001</v>
      </c>
      <c r="K895">
        <v>0.02</v>
      </c>
      <c r="L895">
        <v>0.37</v>
      </c>
      <c r="M895">
        <v>69.965000000000003</v>
      </c>
      <c r="N895">
        <v>2441.7959999999998</v>
      </c>
      <c r="O895" s="1" t="s">
        <v>87</v>
      </c>
      <c r="P895" s="1" t="s">
        <v>3280</v>
      </c>
      <c r="Q895" s="1" t="s">
        <v>3281</v>
      </c>
      <c r="R895" s="1" t="s">
        <v>398</v>
      </c>
      <c r="S895" s="1" t="s">
        <v>3282</v>
      </c>
      <c r="T895" s="1" t="s">
        <v>3283</v>
      </c>
      <c r="U895" s="2" t="s">
        <v>3284</v>
      </c>
      <c r="V895" s="2" t="s">
        <v>47</v>
      </c>
      <c r="W895" s="2" t="s">
        <v>111</v>
      </c>
      <c r="X895" s="2">
        <v>1840.93</v>
      </c>
    </row>
    <row r="896" spans="1:24" x14ac:dyDescent="0.3">
      <c r="A896">
        <v>18792</v>
      </c>
      <c r="B896" t="s">
        <v>3279</v>
      </c>
      <c r="C896" s="3">
        <v>41397</v>
      </c>
      <c r="D896" t="s">
        <v>62</v>
      </c>
      <c r="E896">
        <v>16</v>
      </c>
      <c r="F896" s="3">
        <f ca="1">41399+(RANDBETWEEN(1,10))</f>
        <v>41405</v>
      </c>
      <c r="G896" t="s">
        <v>26</v>
      </c>
      <c r="H896" t="s">
        <v>27</v>
      </c>
      <c r="I896" t="s">
        <v>52</v>
      </c>
      <c r="J896">
        <v>869.57500000000005</v>
      </c>
      <c r="K896">
        <v>0.1</v>
      </c>
      <c r="L896">
        <v>0.37</v>
      </c>
      <c r="M896">
        <v>10.465</v>
      </c>
      <c r="N896">
        <v>23.151450000000001</v>
      </c>
      <c r="O896" s="1" t="s">
        <v>87</v>
      </c>
      <c r="P896" s="1" t="s">
        <v>3280</v>
      </c>
      <c r="Q896" s="1" t="s">
        <v>3281</v>
      </c>
      <c r="R896" s="1" t="s">
        <v>398</v>
      </c>
      <c r="S896" s="1" t="s">
        <v>3282</v>
      </c>
      <c r="T896" s="1" t="s">
        <v>3283</v>
      </c>
      <c r="U896" s="2" t="s">
        <v>3285</v>
      </c>
      <c r="V896" s="2" t="s">
        <v>47</v>
      </c>
      <c r="W896" s="2" t="s">
        <v>111</v>
      </c>
      <c r="X896" s="2">
        <v>57.784999999999997</v>
      </c>
    </row>
    <row r="897" spans="1:24" x14ac:dyDescent="0.3">
      <c r="A897">
        <v>18793</v>
      </c>
      <c r="B897" t="s">
        <v>3279</v>
      </c>
      <c r="C897" s="3">
        <v>41397</v>
      </c>
      <c r="D897" t="s">
        <v>62</v>
      </c>
      <c r="E897">
        <v>12</v>
      </c>
      <c r="F897" s="3">
        <f ca="1">41399+(RANDBETWEEN(1,10))</f>
        <v>41402</v>
      </c>
      <c r="G897" t="s">
        <v>26</v>
      </c>
      <c r="H897" t="s">
        <v>51</v>
      </c>
      <c r="I897" t="s">
        <v>52</v>
      </c>
      <c r="J897">
        <v>238.35</v>
      </c>
      <c r="K897">
        <v>0.09</v>
      </c>
      <c r="L897">
        <v>0.68</v>
      </c>
      <c r="M897">
        <v>13.475</v>
      </c>
      <c r="N897">
        <v>-1371.6569999999999</v>
      </c>
      <c r="O897" s="1" t="s">
        <v>87</v>
      </c>
      <c r="P897" s="1" t="s">
        <v>3280</v>
      </c>
      <c r="Q897" s="1" t="s">
        <v>3281</v>
      </c>
      <c r="R897" s="1" t="s">
        <v>398</v>
      </c>
      <c r="S897" s="1" t="s">
        <v>3282</v>
      </c>
      <c r="T897" s="1" t="s">
        <v>3283</v>
      </c>
      <c r="U897" s="2" t="s">
        <v>3286</v>
      </c>
      <c r="V897" s="2" t="s">
        <v>36</v>
      </c>
      <c r="W897" s="2" t="s">
        <v>60</v>
      </c>
      <c r="X897" s="2">
        <v>20.93</v>
      </c>
    </row>
    <row r="898" spans="1:24" x14ac:dyDescent="0.3">
      <c r="A898">
        <v>18794</v>
      </c>
      <c r="B898" t="s">
        <v>3287</v>
      </c>
      <c r="C898" s="3">
        <v>41916</v>
      </c>
      <c r="D898" t="s">
        <v>62</v>
      </c>
      <c r="E898">
        <v>16</v>
      </c>
      <c r="F898" s="3">
        <f ca="1">41918+(RANDBETWEEN(1,10))</f>
        <v>41921</v>
      </c>
      <c r="G898" t="s">
        <v>26</v>
      </c>
      <c r="H898" t="s">
        <v>27</v>
      </c>
      <c r="I898" t="s">
        <v>97</v>
      </c>
      <c r="J898">
        <v>671.40499999999997</v>
      </c>
      <c r="K898">
        <v>0.03</v>
      </c>
      <c r="L898">
        <v>0.59</v>
      </c>
      <c r="M898">
        <v>17.605</v>
      </c>
      <c r="N898">
        <v>-46.62</v>
      </c>
      <c r="O898" s="1" t="s">
        <v>87</v>
      </c>
      <c r="P898" s="1" t="s">
        <v>3288</v>
      </c>
      <c r="Q898" s="1" t="s">
        <v>3289</v>
      </c>
      <c r="R898" s="1" t="s">
        <v>398</v>
      </c>
      <c r="S898" s="1" t="s">
        <v>3290</v>
      </c>
      <c r="T898" s="1" t="s">
        <v>3291</v>
      </c>
      <c r="U898" s="2" t="s">
        <v>3292</v>
      </c>
      <c r="V898" s="2" t="s">
        <v>47</v>
      </c>
      <c r="W898" s="2" t="s">
        <v>119</v>
      </c>
      <c r="X898" s="2">
        <v>39.515000000000001</v>
      </c>
    </row>
    <row r="899" spans="1:24" x14ac:dyDescent="0.3">
      <c r="A899">
        <v>18795</v>
      </c>
      <c r="B899" t="s">
        <v>3293</v>
      </c>
      <c r="C899" s="3">
        <v>40683</v>
      </c>
      <c r="D899" t="s">
        <v>148</v>
      </c>
      <c r="E899">
        <v>5</v>
      </c>
      <c r="F899" s="3">
        <f ca="1">40684+(RANDBETWEEN(1,10))</f>
        <v>40690</v>
      </c>
      <c r="G899" t="s">
        <v>26</v>
      </c>
      <c r="H899" t="s">
        <v>27</v>
      </c>
      <c r="I899" t="s">
        <v>52</v>
      </c>
      <c r="J899">
        <v>346.57</v>
      </c>
      <c r="K899">
        <v>0.09</v>
      </c>
      <c r="L899">
        <v>0.57999999999999996</v>
      </c>
      <c r="M899">
        <v>22.12</v>
      </c>
      <c r="N899">
        <v>-59.115000000000002</v>
      </c>
      <c r="O899" s="1" t="s">
        <v>87</v>
      </c>
      <c r="P899" s="1" t="s">
        <v>3294</v>
      </c>
      <c r="Q899" s="1" t="s">
        <v>3295</v>
      </c>
      <c r="R899" s="1" t="s">
        <v>497</v>
      </c>
      <c r="S899" s="1" t="s">
        <v>3296</v>
      </c>
      <c r="T899" s="1" t="s">
        <v>3297</v>
      </c>
      <c r="U899" s="2" t="s">
        <v>3298</v>
      </c>
      <c r="V899" s="2" t="s">
        <v>47</v>
      </c>
      <c r="W899" s="2" t="s">
        <v>71</v>
      </c>
      <c r="X899" s="2">
        <v>71.680000000000007</v>
      </c>
    </row>
    <row r="900" spans="1:24" x14ac:dyDescent="0.3">
      <c r="A900">
        <v>18796</v>
      </c>
      <c r="B900" t="s">
        <v>3293</v>
      </c>
      <c r="C900" s="3">
        <v>40683</v>
      </c>
      <c r="D900" t="s">
        <v>148</v>
      </c>
      <c r="E900">
        <v>3</v>
      </c>
      <c r="F900" s="3">
        <f ca="1">40684+(RANDBETWEEN(1,10))</f>
        <v>40689</v>
      </c>
      <c r="G900" t="s">
        <v>26</v>
      </c>
      <c r="H900" t="s">
        <v>27</v>
      </c>
      <c r="I900" t="s">
        <v>52</v>
      </c>
      <c r="J900">
        <v>162.4</v>
      </c>
      <c r="K900">
        <v>0.06</v>
      </c>
      <c r="L900">
        <v>0.38</v>
      </c>
      <c r="M900">
        <v>4.8650000000000002</v>
      </c>
      <c r="N900">
        <v>89.284999999999997</v>
      </c>
      <c r="O900" s="1" t="s">
        <v>87</v>
      </c>
      <c r="P900" s="1" t="s">
        <v>3294</v>
      </c>
      <c r="Q900" s="1" t="s">
        <v>3295</v>
      </c>
      <c r="R900" s="1" t="s">
        <v>497</v>
      </c>
      <c r="S900" s="1" t="s">
        <v>3296</v>
      </c>
      <c r="T900" s="1" t="s">
        <v>3297</v>
      </c>
      <c r="U900" s="2" t="s">
        <v>2854</v>
      </c>
      <c r="V900" s="2" t="s">
        <v>47</v>
      </c>
      <c r="W900" s="2" t="s">
        <v>48</v>
      </c>
      <c r="X900" s="2">
        <v>54.844999999999999</v>
      </c>
    </row>
    <row r="901" spans="1:24" x14ac:dyDescent="0.3">
      <c r="A901">
        <v>18797</v>
      </c>
      <c r="B901" t="s">
        <v>3299</v>
      </c>
      <c r="C901" s="3">
        <v>41849</v>
      </c>
      <c r="D901" t="s">
        <v>25</v>
      </c>
      <c r="E901">
        <v>1</v>
      </c>
      <c r="F901" s="3">
        <f ca="1">41854+(RANDBETWEEN(1,10))</f>
        <v>41857</v>
      </c>
      <c r="G901" t="s">
        <v>26</v>
      </c>
      <c r="H901" t="s">
        <v>27</v>
      </c>
      <c r="I901" t="s">
        <v>86</v>
      </c>
      <c r="J901">
        <v>16.204999999999998</v>
      </c>
      <c r="K901">
        <v>0.01</v>
      </c>
      <c r="L901">
        <v>0.39</v>
      </c>
      <c r="M901">
        <v>3.4649999999999999</v>
      </c>
      <c r="N901">
        <v>-13.438319999999999</v>
      </c>
      <c r="O901" s="1" t="s">
        <v>87</v>
      </c>
      <c r="P901" s="1" t="s">
        <v>3300</v>
      </c>
      <c r="Q901" s="1" t="s">
        <v>3301</v>
      </c>
      <c r="R901" s="1" t="s">
        <v>646</v>
      </c>
      <c r="S901" s="1" t="s">
        <v>3302</v>
      </c>
      <c r="T901" s="1" t="s">
        <v>3303</v>
      </c>
      <c r="U901" s="2" t="s">
        <v>2720</v>
      </c>
      <c r="V901" s="2" t="s">
        <v>47</v>
      </c>
      <c r="W901" s="2" t="s">
        <v>203</v>
      </c>
      <c r="X901" s="2">
        <v>14.455</v>
      </c>
    </row>
    <row r="902" spans="1:24" x14ac:dyDescent="0.3">
      <c r="A902">
        <v>18798</v>
      </c>
      <c r="B902" t="s">
        <v>3299</v>
      </c>
      <c r="C902" s="3">
        <v>41849</v>
      </c>
      <c r="D902" t="s">
        <v>25</v>
      </c>
      <c r="E902">
        <v>14</v>
      </c>
      <c r="F902" s="3">
        <f ca="1">41854+(RANDBETWEEN(1,10))</f>
        <v>41859</v>
      </c>
      <c r="G902" t="s">
        <v>156</v>
      </c>
      <c r="H902" t="s">
        <v>27</v>
      </c>
      <c r="I902" t="s">
        <v>86</v>
      </c>
      <c r="J902">
        <v>685.86</v>
      </c>
      <c r="K902">
        <v>0.09</v>
      </c>
      <c r="L902">
        <v>0.56999999999999995</v>
      </c>
      <c r="M902">
        <v>26.914999999999999</v>
      </c>
      <c r="N902">
        <v>-387.63648000000001</v>
      </c>
      <c r="O902" s="1" t="s">
        <v>87</v>
      </c>
      <c r="P902" s="1" t="s">
        <v>3300</v>
      </c>
      <c r="Q902" s="1" t="s">
        <v>3301</v>
      </c>
      <c r="R902" s="1" t="s">
        <v>646</v>
      </c>
      <c r="S902" s="1" t="s">
        <v>3302</v>
      </c>
      <c r="T902" s="1" t="s">
        <v>3303</v>
      </c>
      <c r="U902" s="2" t="s">
        <v>3304</v>
      </c>
      <c r="V902" s="2" t="s">
        <v>47</v>
      </c>
      <c r="W902" s="2" t="s">
        <v>119</v>
      </c>
      <c r="X902" s="2">
        <v>52.43</v>
      </c>
    </row>
    <row r="903" spans="1:24" x14ac:dyDescent="0.3">
      <c r="A903">
        <v>18799</v>
      </c>
      <c r="B903" t="s">
        <v>3305</v>
      </c>
      <c r="C903" s="3">
        <v>41158</v>
      </c>
      <c r="D903" t="s">
        <v>50</v>
      </c>
      <c r="E903">
        <v>9</v>
      </c>
      <c r="F903" s="3">
        <f ca="1">41160+(RANDBETWEEN(1,10))</f>
        <v>41164</v>
      </c>
      <c r="G903" t="s">
        <v>26</v>
      </c>
      <c r="H903" t="s">
        <v>27</v>
      </c>
      <c r="I903" t="s">
        <v>28</v>
      </c>
      <c r="J903">
        <v>3212.0549999999998</v>
      </c>
      <c r="K903">
        <v>0.01</v>
      </c>
      <c r="L903">
        <v>0.52</v>
      </c>
      <c r="M903">
        <v>69.965000000000003</v>
      </c>
      <c r="N903">
        <v>699.05499999999995</v>
      </c>
      <c r="O903" s="1" t="s">
        <v>225</v>
      </c>
      <c r="P903" s="1" t="s">
        <v>3306</v>
      </c>
      <c r="Q903" s="1" t="s">
        <v>3307</v>
      </c>
      <c r="R903" s="1" t="s">
        <v>391</v>
      </c>
      <c r="S903" s="1" t="s">
        <v>3308</v>
      </c>
      <c r="T903" s="1" t="s">
        <v>3309</v>
      </c>
      <c r="U903" s="2" t="s">
        <v>1438</v>
      </c>
      <c r="V903" s="2" t="s">
        <v>36</v>
      </c>
      <c r="W903" s="2" t="s">
        <v>60</v>
      </c>
      <c r="X903" s="2">
        <v>349.96499999999997</v>
      </c>
    </row>
    <row r="904" spans="1:24" x14ac:dyDescent="0.3">
      <c r="A904">
        <v>188</v>
      </c>
      <c r="B904" t="s">
        <v>3310</v>
      </c>
      <c r="C904" s="3">
        <v>40943</v>
      </c>
      <c r="D904" t="s">
        <v>148</v>
      </c>
      <c r="E904">
        <v>48</v>
      </c>
      <c r="F904" s="3">
        <f ca="1">40943+(RANDBETWEEN(1,10))</f>
        <v>40945</v>
      </c>
      <c r="G904" t="s">
        <v>26</v>
      </c>
      <c r="H904" t="s">
        <v>27</v>
      </c>
      <c r="I904" t="s">
        <v>97</v>
      </c>
      <c r="J904">
        <v>900.86500000000001</v>
      </c>
      <c r="K904">
        <v>0.08</v>
      </c>
      <c r="L904">
        <v>0.4</v>
      </c>
      <c r="M904">
        <v>19.495000000000001</v>
      </c>
      <c r="N904">
        <v>-426.685</v>
      </c>
      <c r="O904" s="1" t="s">
        <v>64</v>
      </c>
      <c r="P904" s="1" t="s">
        <v>328</v>
      </c>
      <c r="Q904" s="1" t="s">
        <v>329</v>
      </c>
      <c r="R904" s="1" t="s">
        <v>128</v>
      </c>
      <c r="S904" s="1" t="s">
        <v>129</v>
      </c>
      <c r="T904" s="1" t="s">
        <v>330</v>
      </c>
      <c r="U904" s="2" t="s">
        <v>1213</v>
      </c>
      <c r="V904" s="2" t="s">
        <v>47</v>
      </c>
      <c r="W904" s="2" t="s">
        <v>74</v>
      </c>
      <c r="X904" s="2">
        <v>18.48</v>
      </c>
    </row>
    <row r="905" spans="1:24" x14ac:dyDescent="0.3">
      <c r="A905">
        <v>18800</v>
      </c>
      <c r="B905" t="s">
        <v>3311</v>
      </c>
      <c r="C905" s="3">
        <v>41044</v>
      </c>
      <c r="D905" t="s">
        <v>148</v>
      </c>
      <c r="E905">
        <v>11</v>
      </c>
      <c r="F905" s="3">
        <f ca="1">41045+(RANDBETWEEN(1,10))</f>
        <v>41053</v>
      </c>
      <c r="G905" t="s">
        <v>26</v>
      </c>
      <c r="H905" t="s">
        <v>27</v>
      </c>
      <c r="I905" t="s">
        <v>52</v>
      </c>
      <c r="J905">
        <v>475.23</v>
      </c>
      <c r="K905">
        <v>0.06</v>
      </c>
      <c r="L905">
        <v>0.38</v>
      </c>
      <c r="M905">
        <v>22.645</v>
      </c>
      <c r="N905">
        <v>36.54</v>
      </c>
      <c r="O905" s="1" t="s">
        <v>53</v>
      </c>
      <c r="P905" s="1" t="s">
        <v>3312</v>
      </c>
      <c r="Q905" s="1" t="s">
        <v>3313</v>
      </c>
      <c r="R905" s="1" t="s">
        <v>100</v>
      </c>
      <c r="S905" s="1" t="s">
        <v>3314</v>
      </c>
      <c r="T905" s="1" t="s">
        <v>3315</v>
      </c>
      <c r="U905" s="2" t="s">
        <v>2420</v>
      </c>
      <c r="V905" s="2" t="s">
        <v>47</v>
      </c>
      <c r="W905" s="2" t="s">
        <v>74</v>
      </c>
      <c r="X905" s="2">
        <v>42.98</v>
      </c>
    </row>
    <row r="906" spans="1:24" x14ac:dyDescent="0.3">
      <c r="A906">
        <v>18801</v>
      </c>
      <c r="B906" t="s">
        <v>3316</v>
      </c>
      <c r="C906" s="3">
        <v>40887</v>
      </c>
      <c r="D906" t="s">
        <v>148</v>
      </c>
      <c r="E906">
        <v>5</v>
      </c>
      <c r="F906" s="3">
        <f ca="1">40888+(RANDBETWEEN(1,10))</f>
        <v>40892</v>
      </c>
      <c r="G906" t="s">
        <v>76</v>
      </c>
      <c r="H906" t="s">
        <v>258</v>
      </c>
      <c r="I906" t="s">
        <v>97</v>
      </c>
      <c r="J906">
        <v>4664.87</v>
      </c>
      <c r="K906">
        <v>0.1</v>
      </c>
      <c r="L906">
        <v>0.66</v>
      </c>
      <c r="M906">
        <v>124.845</v>
      </c>
      <c r="N906">
        <v>-188.10749999999999</v>
      </c>
      <c r="O906" s="1" t="s">
        <v>225</v>
      </c>
      <c r="P906" s="1" t="s">
        <v>750</v>
      </c>
      <c r="Q906" s="1" t="s">
        <v>751</v>
      </c>
      <c r="R906" s="1" t="s">
        <v>391</v>
      </c>
      <c r="S906" s="1" t="s">
        <v>752</v>
      </c>
      <c r="T906" s="1" t="s">
        <v>753</v>
      </c>
      <c r="U906" s="2" t="s">
        <v>1073</v>
      </c>
      <c r="V906" s="2" t="s">
        <v>83</v>
      </c>
      <c r="W906" s="2" t="s">
        <v>263</v>
      </c>
      <c r="X906" s="2">
        <v>983.43</v>
      </c>
    </row>
    <row r="907" spans="1:24" x14ac:dyDescent="0.3">
      <c r="A907">
        <v>18802</v>
      </c>
      <c r="B907" t="s">
        <v>3317</v>
      </c>
      <c r="C907" s="3">
        <v>40687</v>
      </c>
      <c r="D907" t="s">
        <v>50</v>
      </c>
      <c r="E907">
        <v>12</v>
      </c>
      <c r="F907" s="3">
        <f ca="1">40688+(RANDBETWEEN(1,10))</f>
        <v>40692</v>
      </c>
      <c r="G907" t="s">
        <v>76</v>
      </c>
      <c r="H907" t="s">
        <v>77</v>
      </c>
      <c r="I907" t="s">
        <v>97</v>
      </c>
      <c r="J907">
        <v>6499.78</v>
      </c>
      <c r="K907">
        <v>0.05</v>
      </c>
      <c r="L907">
        <v>0.55000000000000004</v>
      </c>
      <c r="M907">
        <v>152.98500000000001</v>
      </c>
      <c r="N907">
        <v>2276.0500000000002</v>
      </c>
      <c r="O907" s="1" t="s">
        <v>29</v>
      </c>
      <c r="P907" s="1" t="s">
        <v>3318</v>
      </c>
      <c r="Q907" s="1" t="s">
        <v>3319</v>
      </c>
      <c r="R907" s="1" t="s">
        <v>32</v>
      </c>
      <c r="S907" s="1" t="s">
        <v>3320</v>
      </c>
      <c r="T907" s="1" t="s">
        <v>3321</v>
      </c>
      <c r="U907" s="2" t="s">
        <v>3322</v>
      </c>
      <c r="V907" s="2" t="s">
        <v>83</v>
      </c>
      <c r="W907" s="2" t="s">
        <v>84</v>
      </c>
      <c r="X907" s="2">
        <v>528.42999999999995</v>
      </c>
    </row>
    <row r="908" spans="1:24" x14ac:dyDescent="0.3">
      <c r="A908">
        <v>18803</v>
      </c>
      <c r="B908" t="s">
        <v>3323</v>
      </c>
      <c r="C908" s="3">
        <v>41184</v>
      </c>
      <c r="D908" t="s">
        <v>50</v>
      </c>
      <c r="E908">
        <v>10</v>
      </c>
      <c r="F908" s="3">
        <f ca="1">41185+(RANDBETWEEN(1,10))</f>
        <v>41191</v>
      </c>
      <c r="G908" t="s">
        <v>26</v>
      </c>
      <c r="H908" t="s">
        <v>27</v>
      </c>
      <c r="I908" t="s">
        <v>86</v>
      </c>
      <c r="J908">
        <v>294.91000000000003</v>
      </c>
      <c r="K908">
        <v>0.02</v>
      </c>
      <c r="L908">
        <v>0.4</v>
      </c>
      <c r="M908">
        <v>31.29</v>
      </c>
      <c r="N908">
        <v>-442.87236000000001</v>
      </c>
      <c r="O908" s="1" t="s">
        <v>53</v>
      </c>
      <c r="P908" s="1" t="s">
        <v>3324</v>
      </c>
      <c r="Q908" s="1" t="s">
        <v>3325</v>
      </c>
      <c r="R908" s="1" t="s">
        <v>440</v>
      </c>
      <c r="S908" s="1" t="s">
        <v>3326</v>
      </c>
      <c r="T908" s="1" t="s">
        <v>3327</v>
      </c>
      <c r="U908" s="2" t="s">
        <v>2966</v>
      </c>
      <c r="V908" s="2" t="s">
        <v>47</v>
      </c>
      <c r="W908" s="2" t="s">
        <v>111</v>
      </c>
      <c r="X908" s="2">
        <v>28.14</v>
      </c>
    </row>
    <row r="909" spans="1:24" x14ac:dyDescent="0.3">
      <c r="A909">
        <v>18804</v>
      </c>
      <c r="B909" t="s">
        <v>3328</v>
      </c>
      <c r="C909" s="3">
        <v>40891</v>
      </c>
      <c r="D909" t="s">
        <v>25</v>
      </c>
      <c r="E909">
        <v>11</v>
      </c>
      <c r="F909" s="3">
        <f ca="1">40898+(RANDBETWEEN(1,10))</f>
        <v>40904</v>
      </c>
      <c r="G909" t="s">
        <v>26</v>
      </c>
      <c r="H909" t="s">
        <v>27</v>
      </c>
      <c r="I909" t="s">
        <v>28</v>
      </c>
      <c r="J909">
        <v>1421.91</v>
      </c>
      <c r="K909">
        <v>0.04</v>
      </c>
      <c r="L909">
        <v>0.38</v>
      </c>
      <c r="M909">
        <v>69.965000000000003</v>
      </c>
      <c r="N909">
        <v>-378.95375000000001</v>
      </c>
      <c r="O909" s="1" t="s">
        <v>87</v>
      </c>
      <c r="P909" s="1" t="s">
        <v>1697</v>
      </c>
      <c r="Q909" s="1" t="s">
        <v>1698</v>
      </c>
      <c r="R909" s="1" t="s">
        <v>90</v>
      </c>
      <c r="S909" s="1" t="s">
        <v>1699</v>
      </c>
      <c r="T909" s="1" t="s">
        <v>1700</v>
      </c>
      <c r="U909" s="2" t="s">
        <v>3329</v>
      </c>
      <c r="V909" s="2" t="s">
        <v>47</v>
      </c>
      <c r="W909" s="2" t="s">
        <v>74</v>
      </c>
      <c r="X909" s="2">
        <v>124.04</v>
      </c>
    </row>
    <row r="910" spans="1:24" x14ac:dyDescent="0.3">
      <c r="A910">
        <v>18805</v>
      </c>
      <c r="B910" t="s">
        <v>3330</v>
      </c>
      <c r="C910" s="3">
        <v>41757</v>
      </c>
      <c r="D910" t="s">
        <v>39</v>
      </c>
      <c r="E910">
        <v>9</v>
      </c>
      <c r="F910" s="3">
        <f ca="1">41758+(RANDBETWEEN(1,10))</f>
        <v>41760</v>
      </c>
      <c r="G910" t="s">
        <v>156</v>
      </c>
      <c r="H910" t="s">
        <v>27</v>
      </c>
      <c r="I910" t="s">
        <v>86</v>
      </c>
      <c r="J910">
        <v>143.11500000000001</v>
      </c>
      <c r="K910">
        <v>0.03</v>
      </c>
      <c r="L910">
        <v>0.38</v>
      </c>
      <c r="M910">
        <v>17.64</v>
      </c>
      <c r="N910">
        <v>-332.70650000000001</v>
      </c>
      <c r="O910" s="1" t="s">
        <v>87</v>
      </c>
      <c r="P910" s="1" t="s">
        <v>3331</v>
      </c>
      <c r="Q910" s="1" t="s">
        <v>3332</v>
      </c>
      <c r="R910" s="1" t="s">
        <v>398</v>
      </c>
      <c r="S910" s="1" t="s">
        <v>3333</v>
      </c>
      <c r="T910" s="1" t="s">
        <v>3334</v>
      </c>
      <c r="U910" s="2" t="s">
        <v>1507</v>
      </c>
      <c r="V910" s="2" t="s">
        <v>47</v>
      </c>
      <c r="W910" s="2" t="s">
        <v>111</v>
      </c>
      <c r="X910" s="2">
        <v>14.455</v>
      </c>
    </row>
    <row r="911" spans="1:24" x14ac:dyDescent="0.3">
      <c r="A911">
        <v>18806</v>
      </c>
      <c r="B911" t="s">
        <v>3330</v>
      </c>
      <c r="C911" s="3">
        <v>41757</v>
      </c>
      <c r="D911" t="s">
        <v>39</v>
      </c>
      <c r="E911">
        <v>8</v>
      </c>
      <c r="F911" s="3">
        <f ca="1">41759+(RANDBETWEEN(1,10))</f>
        <v>41768</v>
      </c>
      <c r="G911" t="s">
        <v>26</v>
      </c>
      <c r="H911" t="s">
        <v>27</v>
      </c>
      <c r="I911" t="s">
        <v>86</v>
      </c>
      <c r="J911">
        <v>2159.1849999999999</v>
      </c>
      <c r="K911">
        <v>0.08</v>
      </c>
      <c r="L911">
        <v>0.44</v>
      </c>
      <c r="M911">
        <v>19.25</v>
      </c>
      <c r="N911">
        <v>1489.8376499999999</v>
      </c>
      <c r="O911" s="1" t="s">
        <v>87</v>
      </c>
      <c r="P911" s="1" t="s">
        <v>3331</v>
      </c>
      <c r="Q911" s="1" t="s">
        <v>3332</v>
      </c>
      <c r="R911" s="1" t="s">
        <v>398</v>
      </c>
      <c r="S911" s="1" t="s">
        <v>3333</v>
      </c>
      <c r="T911" s="1" t="s">
        <v>3334</v>
      </c>
      <c r="U911" s="2" t="s">
        <v>3335</v>
      </c>
      <c r="V911" s="2" t="s">
        <v>36</v>
      </c>
      <c r="W911" s="2" t="s">
        <v>60</v>
      </c>
      <c r="X911" s="2">
        <v>290.46499999999997</v>
      </c>
    </row>
    <row r="912" spans="1:24" x14ac:dyDescent="0.3">
      <c r="A912">
        <v>18807</v>
      </c>
      <c r="B912" t="s">
        <v>3336</v>
      </c>
      <c r="C912" s="3">
        <v>41488</v>
      </c>
      <c r="D912" t="s">
        <v>62</v>
      </c>
      <c r="E912">
        <v>17</v>
      </c>
      <c r="F912" s="3">
        <f ca="1">41490+(RANDBETWEEN(1,10))</f>
        <v>41496</v>
      </c>
      <c r="G912" t="s">
        <v>76</v>
      </c>
      <c r="H912" t="s">
        <v>77</v>
      </c>
      <c r="I912" t="s">
        <v>86</v>
      </c>
      <c r="J912">
        <v>16847.005000000001</v>
      </c>
      <c r="K912">
        <v>0.08</v>
      </c>
      <c r="L912">
        <v>0.56999999999999995</v>
      </c>
      <c r="M912">
        <v>148.82</v>
      </c>
      <c r="N912">
        <v>9749.7960000000003</v>
      </c>
      <c r="O912" s="1" t="s">
        <v>53</v>
      </c>
      <c r="P912" s="1" t="s">
        <v>1732</v>
      </c>
      <c r="Q912" s="1" t="s">
        <v>1733</v>
      </c>
      <c r="R912" s="1" t="s">
        <v>100</v>
      </c>
      <c r="S912" s="1" t="s">
        <v>1734</v>
      </c>
      <c r="T912" s="1" t="s">
        <v>1735</v>
      </c>
      <c r="U912" s="2" t="s">
        <v>1653</v>
      </c>
      <c r="V912" s="2" t="s">
        <v>47</v>
      </c>
      <c r="W912" s="2" t="s">
        <v>71</v>
      </c>
      <c r="X912" s="2">
        <v>1031.17</v>
      </c>
    </row>
    <row r="913" spans="1:24" x14ac:dyDescent="0.3">
      <c r="A913">
        <v>18808</v>
      </c>
      <c r="B913" t="s">
        <v>3337</v>
      </c>
      <c r="C913" s="3">
        <v>40607</v>
      </c>
      <c r="D913" t="s">
        <v>25</v>
      </c>
      <c r="E913">
        <v>5</v>
      </c>
      <c r="F913" s="3">
        <f ca="1">40614+(RANDBETWEEN(1,10))</f>
        <v>40622</v>
      </c>
      <c r="G913" t="s">
        <v>76</v>
      </c>
      <c r="H913" t="s">
        <v>258</v>
      </c>
      <c r="I913" t="s">
        <v>97</v>
      </c>
      <c r="J913">
        <v>5004.335</v>
      </c>
      <c r="K913">
        <v>0.08</v>
      </c>
      <c r="L913">
        <v>0.76</v>
      </c>
      <c r="M913">
        <v>189.42</v>
      </c>
      <c r="N913">
        <v>-655.27700000000004</v>
      </c>
      <c r="O913" s="1" t="s">
        <v>53</v>
      </c>
      <c r="P913" s="1" t="s">
        <v>2621</v>
      </c>
      <c r="Q913" s="1" t="s">
        <v>2622</v>
      </c>
      <c r="R913" s="1" t="s">
        <v>56</v>
      </c>
      <c r="S913" s="1" t="s">
        <v>2623</v>
      </c>
      <c r="T913" s="1" t="s">
        <v>2624</v>
      </c>
      <c r="U913" s="2" t="s">
        <v>1007</v>
      </c>
      <c r="V913" s="2" t="s">
        <v>83</v>
      </c>
      <c r="W913" s="2" t="s">
        <v>263</v>
      </c>
      <c r="X913" s="2">
        <v>1036.6300000000001</v>
      </c>
    </row>
    <row r="914" spans="1:24" x14ac:dyDescent="0.3">
      <c r="A914">
        <v>18809</v>
      </c>
      <c r="B914" t="s">
        <v>3338</v>
      </c>
      <c r="C914" s="3">
        <v>40992</v>
      </c>
      <c r="D914" t="s">
        <v>148</v>
      </c>
      <c r="E914">
        <v>12</v>
      </c>
      <c r="F914" s="3">
        <f ca="1">40993+(RANDBETWEEN(1,10))</f>
        <v>40999</v>
      </c>
      <c r="G914" t="s">
        <v>26</v>
      </c>
      <c r="H914" t="s">
        <v>63</v>
      </c>
      <c r="I914" t="s">
        <v>28</v>
      </c>
      <c r="J914">
        <v>1724.6949999999999</v>
      </c>
      <c r="K914">
        <v>7.0000000000000007E-2</v>
      </c>
      <c r="L914">
        <v>0.56999999999999995</v>
      </c>
      <c r="M914">
        <v>50.575000000000003</v>
      </c>
      <c r="N914">
        <v>846.09</v>
      </c>
      <c r="O914" s="1" t="s">
        <v>40</v>
      </c>
      <c r="P914" s="1" t="s">
        <v>3339</v>
      </c>
      <c r="Q914" s="1" t="s">
        <v>3340</v>
      </c>
      <c r="R914" s="1" t="s">
        <v>220</v>
      </c>
      <c r="S914" s="1" t="s">
        <v>3341</v>
      </c>
      <c r="T914" s="1" t="s">
        <v>1839</v>
      </c>
      <c r="U914" s="2" t="s">
        <v>1470</v>
      </c>
      <c r="V914" s="2" t="s">
        <v>83</v>
      </c>
      <c r="W914" s="2" t="s">
        <v>178</v>
      </c>
      <c r="X914" s="2">
        <v>143.39500000000001</v>
      </c>
    </row>
    <row r="915" spans="1:24" x14ac:dyDescent="0.3">
      <c r="A915">
        <v>18810</v>
      </c>
      <c r="B915" t="s">
        <v>3342</v>
      </c>
      <c r="C915" s="3">
        <v>40852</v>
      </c>
      <c r="D915" t="s">
        <v>39</v>
      </c>
      <c r="E915">
        <v>36</v>
      </c>
      <c r="F915" s="3">
        <f ca="1">40854+(RANDBETWEEN(1,10))</f>
        <v>40856</v>
      </c>
      <c r="G915" t="s">
        <v>76</v>
      </c>
      <c r="H915" t="s">
        <v>258</v>
      </c>
      <c r="I915" t="s">
        <v>86</v>
      </c>
      <c r="J915">
        <v>30921.03</v>
      </c>
      <c r="K915">
        <v>0</v>
      </c>
      <c r="L915">
        <v>0.6</v>
      </c>
      <c r="M915">
        <v>83.23</v>
      </c>
      <c r="N915">
        <v>21335.510699999999</v>
      </c>
      <c r="O915" s="1" t="s">
        <v>29</v>
      </c>
      <c r="P915" s="1" t="s">
        <v>2598</v>
      </c>
      <c r="Q915" s="1" t="s">
        <v>2599</v>
      </c>
      <c r="R915" s="1" t="s">
        <v>460</v>
      </c>
      <c r="S915" s="1" t="s">
        <v>2600</v>
      </c>
      <c r="T915" s="1" t="s">
        <v>2601</v>
      </c>
      <c r="U915" s="2" t="s">
        <v>3343</v>
      </c>
      <c r="V915" s="2" t="s">
        <v>83</v>
      </c>
      <c r="W915" s="2" t="s">
        <v>263</v>
      </c>
      <c r="X915" s="2">
        <v>808.43</v>
      </c>
    </row>
    <row r="916" spans="1:24" x14ac:dyDescent="0.3">
      <c r="A916">
        <v>18811</v>
      </c>
      <c r="B916" t="s">
        <v>3344</v>
      </c>
      <c r="C916" s="3">
        <v>41833</v>
      </c>
      <c r="D916" t="s">
        <v>50</v>
      </c>
      <c r="E916">
        <v>17</v>
      </c>
      <c r="F916" s="3">
        <f ca="1">41835+(RANDBETWEEN(1,10))</f>
        <v>41845</v>
      </c>
      <c r="G916" t="s">
        <v>26</v>
      </c>
      <c r="H916" t="s">
        <v>27</v>
      </c>
      <c r="I916" t="s">
        <v>86</v>
      </c>
      <c r="J916">
        <v>3138.2049999999999</v>
      </c>
      <c r="K916">
        <v>0.02</v>
      </c>
      <c r="L916">
        <v>0.57999999999999996</v>
      </c>
      <c r="M916">
        <v>47.81</v>
      </c>
      <c r="N916">
        <v>1350.8499200000001</v>
      </c>
      <c r="O916" s="1" t="s">
        <v>64</v>
      </c>
      <c r="P916" s="1" t="s">
        <v>917</v>
      </c>
      <c r="Q916" s="1" t="s">
        <v>918</v>
      </c>
      <c r="R916" s="1" t="s">
        <v>128</v>
      </c>
      <c r="S916" s="1" t="s">
        <v>423</v>
      </c>
      <c r="T916" s="1" t="s">
        <v>424</v>
      </c>
      <c r="U916" s="2" t="s">
        <v>3345</v>
      </c>
      <c r="V916" s="2" t="s">
        <v>47</v>
      </c>
      <c r="W916" s="2" t="s">
        <v>71</v>
      </c>
      <c r="X916" s="2">
        <v>178.43</v>
      </c>
    </row>
    <row r="917" spans="1:24" x14ac:dyDescent="0.3">
      <c r="A917">
        <v>18812</v>
      </c>
      <c r="B917" t="s">
        <v>3344</v>
      </c>
      <c r="C917" s="3">
        <v>41833</v>
      </c>
      <c r="D917" t="s">
        <v>50</v>
      </c>
      <c r="E917">
        <v>10</v>
      </c>
      <c r="F917" s="3">
        <f ca="1">41835+(RANDBETWEEN(1,10))</f>
        <v>41838</v>
      </c>
      <c r="G917" t="s">
        <v>26</v>
      </c>
      <c r="H917" t="s">
        <v>27</v>
      </c>
      <c r="I917" t="s">
        <v>86</v>
      </c>
      <c r="J917">
        <v>6495.8950000000004</v>
      </c>
      <c r="K917">
        <v>0</v>
      </c>
      <c r="L917">
        <v>0.57999999999999996</v>
      </c>
      <c r="M917">
        <v>31.465</v>
      </c>
      <c r="N917">
        <v>4482.1675500000001</v>
      </c>
      <c r="O917" s="1" t="s">
        <v>64</v>
      </c>
      <c r="P917" s="1" t="s">
        <v>3346</v>
      </c>
      <c r="Q917" s="1" t="s">
        <v>3347</v>
      </c>
      <c r="R917" s="1" t="s">
        <v>67</v>
      </c>
      <c r="S917" s="1" t="s">
        <v>3348</v>
      </c>
      <c r="T917" s="1" t="s">
        <v>3349</v>
      </c>
      <c r="U917" s="2" t="s">
        <v>2189</v>
      </c>
      <c r="V917" s="2" t="s">
        <v>36</v>
      </c>
      <c r="W917" s="2" t="s">
        <v>37</v>
      </c>
      <c r="X917" s="2">
        <v>720.96500000000003</v>
      </c>
    </row>
    <row r="918" spans="1:24" x14ac:dyDescent="0.3">
      <c r="A918">
        <v>18813</v>
      </c>
      <c r="B918" t="s">
        <v>3350</v>
      </c>
      <c r="C918" s="3">
        <v>41689</v>
      </c>
      <c r="D918" t="s">
        <v>50</v>
      </c>
      <c r="E918">
        <v>3</v>
      </c>
      <c r="F918" s="3">
        <f ca="1">41691+(RANDBETWEEN(1,10))</f>
        <v>41693</v>
      </c>
      <c r="G918" t="s">
        <v>26</v>
      </c>
      <c r="H918" t="s">
        <v>96</v>
      </c>
      <c r="I918" t="s">
        <v>52</v>
      </c>
      <c r="J918">
        <v>49.63</v>
      </c>
      <c r="K918">
        <v>0.09</v>
      </c>
      <c r="L918">
        <v>0.52</v>
      </c>
      <c r="M918">
        <v>2.4849999999999999</v>
      </c>
      <c r="N918">
        <v>29.155000000000001</v>
      </c>
      <c r="O918" s="1" t="s">
        <v>53</v>
      </c>
      <c r="P918" s="1" t="s">
        <v>2220</v>
      </c>
      <c r="Q918" s="1" t="s">
        <v>2221</v>
      </c>
      <c r="R918" s="1" t="s">
        <v>56</v>
      </c>
      <c r="S918" s="1" t="s">
        <v>2222</v>
      </c>
      <c r="T918" s="1" t="s">
        <v>2223</v>
      </c>
      <c r="U918" s="2" t="s">
        <v>2636</v>
      </c>
      <c r="V918" s="2" t="s">
        <v>47</v>
      </c>
      <c r="W918" s="2" t="s">
        <v>104</v>
      </c>
      <c r="X918" s="2">
        <v>16.940000000000001</v>
      </c>
    </row>
    <row r="919" spans="1:24" x14ac:dyDescent="0.3">
      <c r="A919">
        <v>18814</v>
      </c>
      <c r="B919" t="s">
        <v>3351</v>
      </c>
      <c r="C919" s="3">
        <v>41234</v>
      </c>
      <c r="D919" t="s">
        <v>148</v>
      </c>
      <c r="E919">
        <v>34</v>
      </c>
      <c r="F919" s="3">
        <f ca="1">41235+(RANDBETWEEN(1,10))</f>
        <v>41240</v>
      </c>
      <c r="G919" t="s">
        <v>26</v>
      </c>
      <c r="H919" t="s">
        <v>27</v>
      </c>
      <c r="I919" t="s">
        <v>28</v>
      </c>
      <c r="J919">
        <v>2776.3049999999998</v>
      </c>
      <c r="K919">
        <v>0.05</v>
      </c>
      <c r="L919">
        <v>0.51</v>
      </c>
      <c r="M919">
        <v>26.53</v>
      </c>
      <c r="N919">
        <v>1595.2860000000001</v>
      </c>
      <c r="O919" s="1" t="s">
        <v>40</v>
      </c>
      <c r="P919" s="1" t="s">
        <v>3352</v>
      </c>
      <c r="Q919" s="1" t="s">
        <v>3353</v>
      </c>
      <c r="R919" s="1" t="s">
        <v>220</v>
      </c>
      <c r="S919" s="1" t="s">
        <v>3354</v>
      </c>
      <c r="T919" s="1" t="s">
        <v>3355</v>
      </c>
      <c r="U919" s="2" t="s">
        <v>1676</v>
      </c>
      <c r="V919" s="2" t="s">
        <v>83</v>
      </c>
      <c r="W919" s="2" t="s">
        <v>178</v>
      </c>
      <c r="X919" s="2">
        <v>80.430000000000007</v>
      </c>
    </row>
    <row r="920" spans="1:24" x14ac:dyDescent="0.3">
      <c r="A920">
        <v>18815</v>
      </c>
      <c r="B920" t="s">
        <v>3356</v>
      </c>
      <c r="C920" s="3">
        <v>41946</v>
      </c>
      <c r="D920" t="s">
        <v>39</v>
      </c>
      <c r="E920">
        <v>38</v>
      </c>
      <c r="F920" s="3">
        <f ca="1">41947+(RANDBETWEEN(1,10))</f>
        <v>41951</v>
      </c>
      <c r="G920" t="s">
        <v>156</v>
      </c>
      <c r="H920" t="s">
        <v>96</v>
      </c>
      <c r="I920" t="s">
        <v>52</v>
      </c>
      <c r="J920">
        <v>2576.21</v>
      </c>
      <c r="K920">
        <v>0</v>
      </c>
      <c r="L920">
        <v>0.37</v>
      </c>
      <c r="M920">
        <v>3.4649999999999999</v>
      </c>
      <c r="N920">
        <v>1777.5849000000001</v>
      </c>
      <c r="O920" s="1" t="s">
        <v>87</v>
      </c>
      <c r="P920" s="1" t="s">
        <v>3357</v>
      </c>
      <c r="Q920" s="1" t="s">
        <v>3358</v>
      </c>
      <c r="R920" s="1" t="s">
        <v>90</v>
      </c>
      <c r="S920" s="1" t="s">
        <v>3063</v>
      </c>
      <c r="T920" s="1" t="s">
        <v>3064</v>
      </c>
      <c r="U920" s="2" t="s">
        <v>3359</v>
      </c>
      <c r="V920" s="2" t="s">
        <v>36</v>
      </c>
      <c r="W920" s="2" t="s">
        <v>37</v>
      </c>
      <c r="X920" s="2">
        <v>73.465000000000003</v>
      </c>
    </row>
    <row r="921" spans="1:24" x14ac:dyDescent="0.3">
      <c r="A921">
        <v>18816</v>
      </c>
      <c r="B921" t="s">
        <v>3360</v>
      </c>
      <c r="C921" s="3">
        <v>42001</v>
      </c>
      <c r="D921" t="s">
        <v>148</v>
      </c>
      <c r="E921">
        <v>1</v>
      </c>
      <c r="F921" s="3">
        <f ca="1">42003+(RANDBETWEEN(1,10))</f>
        <v>42013</v>
      </c>
      <c r="G921" t="s">
        <v>26</v>
      </c>
      <c r="H921" t="s">
        <v>27</v>
      </c>
      <c r="I921" t="s">
        <v>97</v>
      </c>
      <c r="J921">
        <v>77.805000000000007</v>
      </c>
      <c r="K921">
        <v>0.01</v>
      </c>
      <c r="L921">
        <v>0.35</v>
      </c>
      <c r="M921">
        <v>5.2149999999999999</v>
      </c>
      <c r="N921">
        <v>-20.529432</v>
      </c>
      <c r="O921" s="1" t="s">
        <v>225</v>
      </c>
      <c r="P921" s="1" t="s">
        <v>750</v>
      </c>
      <c r="Q921" s="1" t="s">
        <v>751</v>
      </c>
      <c r="R921" s="1" t="s">
        <v>391</v>
      </c>
      <c r="S921" s="1" t="s">
        <v>752</v>
      </c>
      <c r="T921" s="1" t="s">
        <v>753</v>
      </c>
      <c r="U921" s="2" t="s">
        <v>3361</v>
      </c>
      <c r="V921" s="2" t="s">
        <v>47</v>
      </c>
      <c r="W921" s="2" t="s">
        <v>111</v>
      </c>
      <c r="X921" s="2">
        <v>73.430000000000007</v>
      </c>
    </row>
    <row r="922" spans="1:24" x14ac:dyDescent="0.3">
      <c r="A922">
        <v>18817</v>
      </c>
      <c r="B922" t="s">
        <v>3362</v>
      </c>
      <c r="C922" s="3">
        <v>40767</v>
      </c>
      <c r="D922" t="s">
        <v>39</v>
      </c>
      <c r="E922">
        <v>3</v>
      </c>
      <c r="F922" s="3">
        <f ca="1">40768+(RANDBETWEEN(1,10))</f>
        <v>40769</v>
      </c>
      <c r="G922" t="s">
        <v>26</v>
      </c>
      <c r="H922" t="s">
        <v>27</v>
      </c>
      <c r="I922" t="s">
        <v>28</v>
      </c>
      <c r="J922">
        <v>576.48500000000001</v>
      </c>
      <c r="K922">
        <v>0.1</v>
      </c>
      <c r="L922">
        <v>0.38</v>
      </c>
      <c r="M922">
        <v>5.2149999999999999</v>
      </c>
      <c r="N922">
        <v>397.77465000000001</v>
      </c>
      <c r="O922" s="1" t="s">
        <v>64</v>
      </c>
      <c r="P922" s="1" t="s">
        <v>3363</v>
      </c>
      <c r="Q922" s="1" t="s">
        <v>3364</v>
      </c>
      <c r="R922" s="1" t="s">
        <v>128</v>
      </c>
      <c r="S922" s="1" t="s">
        <v>3365</v>
      </c>
      <c r="T922" s="1" t="s">
        <v>3366</v>
      </c>
      <c r="U922" s="2" t="s">
        <v>3367</v>
      </c>
      <c r="V922" s="2" t="s">
        <v>47</v>
      </c>
      <c r="W922" s="2" t="s">
        <v>111</v>
      </c>
      <c r="X922" s="2">
        <v>203.35</v>
      </c>
    </row>
    <row r="923" spans="1:24" x14ac:dyDescent="0.3">
      <c r="A923">
        <v>18818</v>
      </c>
      <c r="B923" t="s">
        <v>3362</v>
      </c>
      <c r="C923" s="3">
        <v>40767</v>
      </c>
      <c r="D923" t="s">
        <v>39</v>
      </c>
      <c r="E923">
        <v>1</v>
      </c>
      <c r="F923" s="3">
        <f ca="1">40770+(RANDBETWEEN(1,10))</f>
        <v>40776</v>
      </c>
      <c r="G923" t="s">
        <v>26</v>
      </c>
      <c r="H923" t="s">
        <v>27</v>
      </c>
      <c r="I923" t="s">
        <v>28</v>
      </c>
      <c r="J923">
        <v>278.88</v>
      </c>
      <c r="K923">
        <v>0.01</v>
      </c>
      <c r="L923">
        <v>0.55000000000000004</v>
      </c>
      <c r="M923">
        <v>15.75</v>
      </c>
      <c r="N923">
        <v>-124.1604</v>
      </c>
      <c r="O923" s="1" t="s">
        <v>40</v>
      </c>
      <c r="P923" s="1" t="s">
        <v>3368</v>
      </c>
      <c r="Q923" s="1" t="s">
        <v>3369</v>
      </c>
      <c r="R923" s="1" t="s">
        <v>43</v>
      </c>
      <c r="S923" s="1" t="s">
        <v>3370</v>
      </c>
      <c r="T923" s="1" t="s">
        <v>3371</v>
      </c>
      <c r="U923" s="2" t="s">
        <v>3372</v>
      </c>
      <c r="V923" s="2" t="s">
        <v>47</v>
      </c>
      <c r="W923" s="2" t="s">
        <v>71</v>
      </c>
      <c r="X923" s="2">
        <v>281.68</v>
      </c>
    </row>
    <row r="924" spans="1:24" x14ac:dyDescent="0.3">
      <c r="A924">
        <v>18819</v>
      </c>
      <c r="B924" t="s">
        <v>3373</v>
      </c>
      <c r="C924" s="3">
        <v>40866</v>
      </c>
      <c r="D924" t="s">
        <v>39</v>
      </c>
      <c r="E924">
        <v>3</v>
      </c>
      <c r="F924" s="3">
        <f ca="1">40866+(RANDBETWEEN(1,10))</f>
        <v>40869</v>
      </c>
      <c r="G924" t="s">
        <v>26</v>
      </c>
      <c r="H924" t="s">
        <v>27</v>
      </c>
      <c r="I924" t="s">
        <v>52</v>
      </c>
      <c r="J924">
        <v>1529.29</v>
      </c>
      <c r="K924">
        <v>7.0000000000000007E-2</v>
      </c>
      <c r="L924">
        <v>0.59</v>
      </c>
      <c r="M924">
        <v>24.745000000000001</v>
      </c>
      <c r="N924">
        <v>85.224999999999994</v>
      </c>
      <c r="O924" s="1" t="s">
        <v>225</v>
      </c>
      <c r="P924" s="1" t="s">
        <v>3374</v>
      </c>
      <c r="Q924" s="1" t="s">
        <v>3375</v>
      </c>
      <c r="R924" s="1" t="s">
        <v>391</v>
      </c>
      <c r="S924" s="1" t="s">
        <v>3376</v>
      </c>
      <c r="T924" s="1" t="s">
        <v>3377</v>
      </c>
      <c r="U924" s="2" t="s">
        <v>3378</v>
      </c>
      <c r="V924" s="2" t="s">
        <v>47</v>
      </c>
      <c r="W924" s="2" t="s">
        <v>119</v>
      </c>
      <c r="X924" s="2">
        <v>542.71</v>
      </c>
    </row>
    <row r="925" spans="1:24" x14ac:dyDescent="0.3">
      <c r="A925">
        <v>18820</v>
      </c>
      <c r="B925" t="s">
        <v>3379</v>
      </c>
      <c r="C925" s="3">
        <v>40639</v>
      </c>
      <c r="D925" t="s">
        <v>25</v>
      </c>
      <c r="E925">
        <v>7</v>
      </c>
      <c r="F925" s="3">
        <f ca="1">40646+(RANDBETWEEN(1,10))</f>
        <v>40652</v>
      </c>
      <c r="G925" t="s">
        <v>156</v>
      </c>
      <c r="H925" t="s">
        <v>27</v>
      </c>
      <c r="I925" t="s">
        <v>28</v>
      </c>
      <c r="J925">
        <v>349.125</v>
      </c>
      <c r="K925">
        <v>0.01</v>
      </c>
      <c r="L925">
        <v>0.56999999999999995</v>
      </c>
      <c r="M925">
        <v>19.25</v>
      </c>
      <c r="N925">
        <v>-1095.5762999999999</v>
      </c>
      <c r="O925" s="1" t="s">
        <v>64</v>
      </c>
      <c r="P925" s="1" t="s">
        <v>3380</v>
      </c>
      <c r="Q925" s="1" t="s">
        <v>3381</v>
      </c>
      <c r="R925" s="1" t="s">
        <v>128</v>
      </c>
      <c r="S925" s="1" t="s">
        <v>3382</v>
      </c>
      <c r="T925" s="1" t="s">
        <v>3383</v>
      </c>
      <c r="U925" s="2" t="s">
        <v>3384</v>
      </c>
      <c r="V925" s="2" t="s">
        <v>47</v>
      </c>
      <c r="W925" s="2" t="s">
        <v>119</v>
      </c>
      <c r="X925" s="2">
        <v>47.005000000000003</v>
      </c>
    </row>
    <row r="926" spans="1:24" x14ac:dyDescent="0.3">
      <c r="A926">
        <v>18821</v>
      </c>
      <c r="B926" t="s">
        <v>3385</v>
      </c>
      <c r="C926" s="3">
        <v>41590</v>
      </c>
      <c r="D926" t="s">
        <v>25</v>
      </c>
      <c r="E926">
        <v>37</v>
      </c>
      <c r="F926" s="3">
        <f ca="1">41597+(RANDBETWEEN(1,10))</f>
        <v>41604</v>
      </c>
      <c r="G926" t="s">
        <v>26</v>
      </c>
      <c r="H926" t="s">
        <v>281</v>
      </c>
      <c r="I926" t="s">
        <v>97</v>
      </c>
      <c r="J926">
        <v>11544.4</v>
      </c>
      <c r="K926">
        <v>0.08</v>
      </c>
      <c r="L926">
        <v>0.67</v>
      </c>
      <c r="M926">
        <v>138.63499999999999</v>
      </c>
      <c r="N926">
        <v>248.43</v>
      </c>
      <c r="O926" s="1" t="s">
        <v>40</v>
      </c>
      <c r="P926" s="1" t="s">
        <v>3386</v>
      </c>
      <c r="Q926" s="1" t="s">
        <v>3387</v>
      </c>
      <c r="R926" s="1" t="s">
        <v>43</v>
      </c>
      <c r="S926" s="1" t="s">
        <v>3388</v>
      </c>
      <c r="T926" s="1" t="s">
        <v>3389</v>
      </c>
      <c r="U926" s="2" t="s">
        <v>3390</v>
      </c>
      <c r="V926" s="2" t="s">
        <v>83</v>
      </c>
      <c r="W926" s="2" t="s">
        <v>178</v>
      </c>
      <c r="X926" s="2">
        <v>322.80500000000001</v>
      </c>
    </row>
    <row r="927" spans="1:24" x14ac:dyDescent="0.3">
      <c r="A927">
        <v>18822</v>
      </c>
      <c r="B927" t="s">
        <v>3385</v>
      </c>
      <c r="C927" s="3">
        <v>41590</v>
      </c>
      <c r="D927" t="s">
        <v>25</v>
      </c>
      <c r="E927">
        <v>21</v>
      </c>
      <c r="F927" s="3">
        <f ca="1">41597+(RANDBETWEEN(1,10))</f>
        <v>41602</v>
      </c>
      <c r="G927" t="s">
        <v>26</v>
      </c>
      <c r="H927" t="s">
        <v>96</v>
      </c>
      <c r="I927" t="s">
        <v>97</v>
      </c>
      <c r="J927">
        <v>5096.07</v>
      </c>
      <c r="K927">
        <v>7.0000000000000007E-2</v>
      </c>
      <c r="L927">
        <v>0.85</v>
      </c>
      <c r="M927">
        <v>3.4649999999999999</v>
      </c>
      <c r="N927">
        <v>186.90979999999999</v>
      </c>
      <c r="O927" s="1" t="s">
        <v>40</v>
      </c>
      <c r="P927" s="1" t="s">
        <v>3386</v>
      </c>
      <c r="Q927" s="1" t="s">
        <v>3387</v>
      </c>
      <c r="R927" s="1" t="s">
        <v>43</v>
      </c>
      <c r="S927" s="1" t="s">
        <v>3388</v>
      </c>
      <c r="T927" s="1" t="s">
        <v>3389</v>
      </c>
      <c r="U927" s="2" t="s">
        <v>678</v>
      </c>
      <c r="V927" s="2" t="s">
        <v>36</v>
      </c>
      <c r="W927" s="2" t="s">
        <v>37</v>
      </c>
      <c r="X927" s="2">
        <v>300.96499999999997</v>
      </c>
    </row>
    <row r="928" spans="1:24" x14ac:dyDescent="0.3">
      <c r="A928">
        <v>18823</v>
      </c>
      <c r="B928" t="s">
        <v>3391</v>
      </c>
      <c r="C928" s="3">
        <v>41975</v>
      </c>
      <c r="D928" t="s">
        <v>62</v>
      </c>
      <c r="E928">
        <v>16</v>
      </c>
      <c r="F928" s="3">
        <f ca="1">41977+(RANDBETWEEN(1,10))</f>
        <v>41981</v>
      </c>
      <c r="G928" t="s">
        <v>76</v>
      </c>
      <c r="H928" t="s">
        <v>77</v>
      </c>
      <c r="I928" t="s">
        <v>28</v>
      </c>
      <c r="J928">
        <v>32053.525000000001</v>
      </c>
      <c r="K928">
        <v>0.06</v>
      </c>
      <c r="L928">
        <v>0.56999999999999995</v>
      </c>
      <c r="M928">
        <v>51.45</v>
      </c>
      <c r="N928">
        <v>-99.224999999999994</v>
      </c>
      <c r="O928" s="1" t="s">
        <v>29</v>
      </c>
      <c r="P928" s="1" t="s">
        <v>2416</v>
      </c>
      <c r="Q928" s="1" t="s">
        <v>2417</v>
      </c>
      <c r="R928" s="1" t="s">
        <v>32</v>
      </c>
      <c r="S928" s="1" t="s">
        <v>2418</v>
      </c>
      <c r="T928" s="1" t="s">
        <v>2419</v>
      </c>
      <c r="U928" s="2" t="s">
        <v>3392</v>
      </c>
      <c r="V928" s="2" t="s">
        <v>36</v>
      </c>
      <c r="W928" s="2" t="s">
        <v>142</v>
      </c>
      <c r="X928" s="2">
        <v>2089.4299999999998</v>
      </c>
    </row>
    <row r="929" spans="1:24" x14ac:dyDescent="0.3">
      <c r="A929">
        <v>18824</v>
      </c>
      <c r="B929" t="s">
        <v>3393</v>
      </c>
      <c r="C929" s="3">
        <v>41269</v>
      </c>
      <c r="D929" t="s">
        <v>39</v>
      </c>
      <c r="E929">
        <v>7</v>
      </c>
      <c r="F929" s="3">
        <f ca="1">41270+(RANDBETWEEN(1,10))</f>
        <v>41273</v>
      </c>
      <c r="G929" t="s">
        <v>26</v>
      </c>
      <c r="H929" t="s">
        <v>27</v>
      </c>
      <c r="I929" t="s">
        <v>86</v>
      </c>
      <c r="J929">
        <v>111.58</v>
      </c>
      <c r="K929">
        <v>0.05</v>
      </c>
      <c r="L929">
        <v>0.4</v>
      </c>
      <c r="M929">
        <v>23.52</v>
      </c>
      <c r="N929">
        <v>-16.5669</v>
      </c>
      <c r="O929" s="1" t="s">
        <v>29</v>
      </c>
      <c r="P929" s="1" t="s">
        <v>1164</v>
      </c>
      <c r="Q929" s="1" t="s">
        <v>1165</v>
      </c>
      <c r="R929" s="1" t="s">
        <v>32</v>
      </c>
      <c r="S929" s="1" t="s">
        <v>1166</v>
      </c>
      <c r="T929" s="1" t="s">
        <v>1167</v>
      </c>
      <c r="U929" s="2" t="s">
        <v>2298</v>
      </c>
      <c r="V929" s="2" t="s">
        <v>47</v>
      </c>
      <c r="W929" s="2" t="s">
        <v>74</v>
      </c>
      <c r="X929" s="2">
        <v>14.98</v>
      </c>
    </row>
    <row r="930" spans="1:24" x14ac:dyDescent="0.3">
      <c r="A930">
        <v>18825</v>
      </c>
      <c r="B930" t="s">
        <v>3393</v>
      </c>
      <c r="C930" s="3">
        <v>41269</v>
      </c>
      <c r="D930" t="s">
        <v>39</v>
      </c>
      <c r="E930">
        <v>1</v>
      </c>
      <c r="F930" s="3">
        <f ca="1">41271+(RANDBETWEEN(1,10))</f>
        <v>41272</v>
      </c>
      <c r="G930" t="s">
        <v>76</v>
      </c>
      <c r="H930" t="s">
        <v>258</v>
      </c>
      <c r="I930" t="s">
        <v>86</v>
      </c>
      <c r="J930">
        <v>625.76499999999999</v>
      </c>
      <c r="K930">
        <v>0.03</v>
      </c>
      <c r="L930">
        <v>0.65</v>
      </c>
      <c r="M930">
        <v>231.94499999999999</v>
      </c>
      <c r="N930">
        <v>13698.8397</v>
      </c>
      <c r="O930" s="1" t="s">
        <v>53</v>
      </c>
      <c r="P930" s="1" t="s">
        <v>3394</v>
      </c>
      <c r="Q930" s="1" t="s">
        <v>3395</v>
      </c>
      <c r="R930" s="1" t="s">
        <v>440</v>
      </c>
      <c r="S930" s="1" t="s">
        <v>3396</v>
      </c>
      <c r="T930" s="1" t="s">
        <v>3397</v>
      </c>
      <c r="U930" s="2" t="s">
        <v>3398</v>
      </c>
      <c r="V930" s="2" t="s">
        <v>83</v>
      </c>
      <c r="W930" s="2" t="s">
        <v>298</v>
      </c>
      <c r="X930" s="2">
        <v>528.42999999999995</v>
      </c>
    </row>
    <row r="931" spans="1:24" x14ac:dyDescent="0.3">
      <c r="A931">
        <v>18826</v>
      </c>
      <c r="B931" t="s">
        <v>3393</v>
      </c>
      <c r="C931" s="3">
        <v>41269</v>
      </c>
      <c r="D931" t="s">
        <v>39</v>
      </c>
      <c r="E931">
        <v>11</v>
      </c>
      <c r="F931" s="3">
        <f ca="1">41272+(RANDBETWEEN(1,10))</f>
        <v>41276</v>
      </c>
      <c r="G931" t="s">
        <v>26</v>
      </c>
      <c r="H931" t="s">
        <v>281</v>
      </c>
      <c r="I931" t="s">
        <v>86</v>
      </c>
      <c r="J931">
        <v>655.97</v>
      </c>
      <c r="K931">
        <v>0.1</v>
      </c>
      <c r="L931">
        <v>0.57999999999999996</v>
      </c>
      <c r="M931">
        <v>16.835000000000001</v>
      </c>
      <c r="N931">
        <v>248.11920000000001</v>
      </c>
      <c r="O931" s="1" t="s">
        <v>53</v>
      </c>
      <c r="P931" s="1" t="s">
        <v>3394</v>
      </c>
      <c r="Q931" s="1" t="s">
        <v>3395</v>
      </c>
      <c r="R931" s="1" t="s">
        <v>440</v>
      </c>
      <c r="S931" s="1" t="s">
        <v>3396</v>
      </c>
      <c r="T931" s="1" t="s">
        <v>3397</v>
      </c>
      <c r="U931" s="2" t="s">
        <v>1890</v>
      </c>
      <c r="V931" s="2" t="s">
        <v>36</v>
      </c>
      <c r="W931" s="2" t="s">
        <v>37</v>
      </c>
      <c r="X931" s="2">
        <v>73.465000000000003</v>
      </c>
    </row>
    <row r="932" spans="1:24" x14ac:dyDescent="0.3">
      <c r="A932">
        <v>18827</v>
      </c>
      <c r="B932" t="s">
        <v>3399</v>
      </c>
      <c r="C932" s="3">
        <v>41532</v>
      </c>
      <c r="D932" t="s">
        <v>148</v>
      </c>
      <c r="E932">
        <v>1</v>
      </c>
      <c r="F932" s="3">
        <f ca="1">41534+(RANDBETWEEN(1,10))</f>
        <v>41535</v>
      </c>
      <c r="G932" t="s">
        <v>26</v>
      </c>
      <c r="H932" t="s">
        <v>63</v>
      </c>
      <c r="I932" t="s">
        <v>86</v>
      </c>
      <c r="J932">
        <v>2376.4650000000001</v>
      </c>
      <c r="K932">
        <v>0.03</v>
      </c>
      <c r="L932">
        <v>0.41</v>
      </c>
      <c r="M932">
        <v>85.715000000000003</v>
      </c>
      <c r="N932">
        <v>-8391.0400000000009</v>
      </c>
      <c r="O932" s="1" t="s">
        <v>87</v>
      </c>
      <c r="P932" s="1" t="s">
        <v>3400</v>
      </c>
      <c r="Q932" s="1" t="s">
        <v>3401</v>
      </c>
      <c r="R932" s="1" t="s">
        <v>398</v>
      </c>
      <c r="S932" s="1" t="s">
        <v>3402</v>
      </c>
      <c r="T932" s="1" t="s">
        <v>3403</v>
      </c>
      <c r="U932" s="2" t="s">
        <v>1326</v>
      </c>
      <c r="V932" s="2" t="s">
        <v>36</v>
      </c>
      <c r="W932" s="2" t="s">
        <v>1327</v>
      </c>
      <c r="X932" s="2">
        <v>2449.9650000000001</v>
      </c>
    </row>
    <row r="933" spans="1:24" x14ac:dyDescent="0.3">
      <c r="A933">
        <v>18828</v>
      </c>
      <c r="B933" t="s">
        <v>3399</v>
      </c>
      <c r="C933" s="3">
        <v>41532</v>
      </c>
      <c r="D933" t="s">
        <v>148</v>
      </c>
      <c r="E933">
        <v>10</v>
      </c>
      <c r="F933" s="3">
        <f ca="1">41532+(RANDBETWEEN(1,10))</f>
        <v>41541</v>
      </c>
      <c r="G933" t="s">
        <v>76</v>
      </c>
      <c r="H933" t="s">
        <v>77</v>
      </c>
      <c r="I933" t="s">
        <v>86</v>
      </c>
      <c r="J933">
        <v>4382.7700000000004</v>
      </c>
      <c r="K933">
        <v>0.09</v>
      </c>
      <c r="L933">
        <v>0.55000000000000004</v>
      </c>
      <c r="M933">
        <v>210</v>
      </c>
      <c r="N933">
        <v>97.09</v>
      </c>
      <c r="O933" s="1" t="s">
        <v>225</v>
      </c>
      <c r="P933" s="1" t="s">
        <v>3007</v>
      </c>
      <c r="Q933" s="1" t="s">
        <v>3008</v>
      </c>
      <c r="R933" s="1" t="s">
        <v>228</v>
      </c>
      <c r="S933" s="1" t="s">
        <v>3009</v>
      </c>
      <c r="T933" s="1" t="s">
        <v>548</v>
      </c>
      <c r="U933" s="2" t="s">
        <v>1963</v>
      </c>
      <c r="V933" s="2" t="s">
        <v>83</v>
      </c>
      <c r="W933" s="2" t="s">
        <v>263</v>
      </c>
      <c r="X933" s="2">
        <v>557.58500000000004</v>
      </c>
    </row>
    <row r="934" spans="1:24" x14ac:dyDescent="0.3">
      <c r="A934">
        <v>18829</v>
      </c>
      <c r="B934" t="s">
        <v>3404</v>
      </c>
      <c r="C934" s="3">
        <v>40711</v>
      </c>
      <c r="D934" t="s">
        <v>25</v>
      </c>
      <c r="E934">
        <v>14</v>
      </c>
      <c r="F934" s="3">
        <f ca="1">40716+(RANDBETWEEN(1,10))</f>
        <v>40717</v>
      </c>
      <c r="G934" t="s">
        <v>26</v>
      </c>
      <c r="H934" t="s">
        <v>27</v>
      </c>
      <c r="I934" t="s">
        <v>52</v>
      </c>
      <c r="J934">
        <v>522.62</v>
      </c>
      <c r="K934">
        <v>0.06</v>
      </c>
      <c r="L934">
        <v>0.59</v>
      </c>
      <c r="M934">
        <v>15.75</v>
      </c>
      <c r="N934">
        <v>-87.891999999999996</v>
      </c>
      <c r="O934" s="1" t="s">
        <v>40</v>
      </c>
      <c r="P934" s="1" t="s">
        <v>1814</v>
      </c>
      <c r="Q934" s="1" t="s">
        <v>1815</v>
      </c>
      <c r="R934" s="1" t="s">
        <v>220</v>
      </c>
      <c r="S934" s="1" t="s">
        <v>1816</v>
      </c>
      <c r="T934" s="1" t="s">
        <v>1817</v>
      </c>
      <c r="U934" s="2" t="s">
        <v>767</v>
      </c>
      <c r="V934" s="2" t="s">
        <v>47</v>
      </c>
      <c r="W934" s="2" t="s">
        <v>71</v>
      </c>
      <c r="X934" s="2">
        <v>38.115000000000002</v>
      </c>
    </row>
    <row r="935" spans="1:24" x14ac:dyDescent="0.3">
      <c r="A935">
        <v>18830</v>
      </c>
      <c r="B935" t="s">
        <v>3404</v>
      </c>
      <c r="C935" s="3">
        <v>40711</v>
      </c>
      <c r="D935" t="s">
        <v>25</v>
      </c>
      <c r="E935">
        <v>16</v>
      </c>
      <c r="F935" s="3">
        <f ca="1">40716+(RANDBETWEEN(1,10))</f>
        <v>40721</v>
      </c>
      <c r="G935" t="s">
        <v>26</v>
      </c>
      <c r="H935" t="s">
        <v>27</v>
      </c>
      <c r="I935" t="s">
        <v>52</v>
      </c>
      <c r="J935">
        <v>619.53499999999997</v>
      </c>
      <c r="K935">
        <v>0.03</v>
      </c>
      <c r="L935">
        <v>0.56999999999999995</v>
      </c>
      <c r="M935">
        <v>18.059999999999999</v>
      </c>
      <c r="N935">
        <v>60.816000000000003</v>
      </c>
      <c r="O935" s="1" t="s">
        <v>40</v>
      </c>
      <c r="P935" s="1" t="s">
        <v>1814</v>
      </c>
      <c r="Q935" s="1" t="s">
        <v>1815</v>
      </c>
      <c r="R935" s="1" t="s">
        <v>220</v>
      </c>
      <c r="S935" s="1" t="s">
        <v>1816</v>
      </c>
      <c r="T935" s="1" t="s">
        <v>1817</v>
      </c>
      <c r="U935" s="2" t="s">
        <v>1754</v>
      </c>
      <c r="V935" s="2" t="s">
        <v>83</v>
      </c>
      <c r="W935" s="2" t="s">
        <v>178</v>
      </c>
      <c r="X935" s="2">
        <v>37.24</v>
      </c>
    </row>
    <row r="936" spans="1:24" x14ac:dyDescent="0.3">
      <c r="A936">
        <v>18831</v>
      </c>
      <c r="B936" t="s">
        <v>3404</v>
      </c>
      <c r="C936" s="3">
        <v>40711</v>
      </c>
      <c r="D936" t="s">
        <v>25</v>
      </c>
      <c r="E936">
        <v>4</v>
      </c>
      <c r="F936" s="3">
        <f ca="1">40713+(RANDBETWEEN(1,10))</f>
        <v>40720</v>
      </c>
      <c r="G936" t="s">
        <v>26</v>
      </c>
      <c r="H936" t="s">
        <v>27</v>
      </c>
      <c r="I936" t="s">
        <v>52</v>
      </c>
      <c r="J936">
        <v>123.06</v>
      </c>
      <c r="K936">
        <v>0.03</v>
      </c>
      <c r="L936">
        <v>0.41</v>
      </c>
      <c r="M936">
        <v>17.324999999999999</v>
      </c>
      <c r="N936">
        <v>84.9114</v>
      </c>
      <c r="O936" s="1" t="s">
        <v>40</v>
      </c>
      <c r="P936" s="1" t="s">
        <v>1814</v>
      </c>
      <c r="Q936" s="1" t="s">
        <v>1815</v>
      </c>
      <c r="R936" s="1" t="s">
        <v>220</v>
      </c>
      <c r="S936" s="1" t="s">
        <v>1816</v>
      </c>
      <c r="T936" s="1" t="s">
        <v>1817</v>
      </c>
      <c r="U936" s="2" t="s">
        <v>3405</v>
      </c>
      <c r="V936" s="2" t="s">
        <v>83</v>
      </c>
      <c r="W936" s="2" t="s">
        <v>178</v>
      </c>
      <c r="X936" s="2">
        <v>27.86</v>
      </c>
    </row>
    <row r="937" spans="1:24" x14ac:dyDescent="0.3">
      <c r="A937">
        <v>18832</v>
      </c>
      <c r="B937" t="s">
        <v>3406</v>
      </c>
      <c r="C937" s="3">
        <v>41750</v>
      </c>
      <c r="D937" t="s">
        <v>39</v>
      </c>
      <c r="E937">
        <v>12</v>
      </c>
      <c r="F937" s="3">
        <f ca="1">41750+(RANDBETWEEN(1,10))</f>
        <v>41756</v>
      </c>
      <c r="G937" t="s">
        <v>26</v>
      </c>
      <c r="H937" t="s">
        <v>27</v>
      </c>
      <c r="I937" t="s">
        <v>86</v>
      </c>
      <c r="J937">
        <v>4861.6750000000002</v>
      </c>
      <c r="K937">
        <v>0.08</v>
      </c>
      <c r="L937">
        <v>0.6</v>
      </c>
      <c r="M937">
        <v>13.965</v>
      </c>
      <c r="N937">
        <v>3354.55575</v>
      </c>
      <c r="O937" s="1" t="s">
        <v>29</v>
      </c>
      <c r="P937" s="1" t="s">
        <v>3407</v>
      </c>
      <c r="Q937" s="1" t="s">
        <v>3408</v>
      </c>
      <c r="R937" s="1" t="s">
        <v>32</v>
      </c>
      <c r="S937" s="1" t="s">
        <v>3409</v>
      </c>
      <c r="T937" s="1" t="s">
        <v>3410</v>
      </c>
      <c r="U937" s="2" t="s">
        <v>3411</v>
      </c>
      <c r="V937" s="2" t="s">
        <v>47</v>
      </c>
      <c r="W937" s="2" t="s">
        <v>71</v>
      </c>
      <c r="X937" s="2">
        <v>423.43</v>
      </c>
    </row>
    <row r="938" spans="1:24" x14ac:dyDescent="0.3">
      <c r="A938">
        <v>18833</v>
      </c>
      <c r="B938" t="s">
        <v>3406</v>
      </c>
      <c r="C938" s="3">
        <v>41750</v>
      </c>
      <c r="D938" t="s">
        <v>39</v>
      </c>
      <c r="E938">
        <v>5</v>
      </c>
      <c r="F938" s="3">
        <f ca="1">41751+(RANDBETWEEN(1,10))</f>
        <v>41753</v>
      </c>
      <c r="G938" t="s">
        <v>76</v>
      </c>
      <c r="H938" t="s">
        <v>77</v>
      </c>
      <c r="I938" t="s">
        <v>86</v>
      </c>
      <c r="J938">
        <v>893.86500000000001</v>
      </c>
      <c r="K938">
        <v>0.05</v>
      </c>
      <c r="L938">
        <v>0.56000000000000005</v>
      </c>
      <c r="M938">
        <v>49.664999999999999</v>
      </c>
      <c r="N938">
        <v>226.83500000000001</v>
      </c>
      <c r="O938" s="1" t="s">
        <v>29</v>
      </c>
      <c r="P938" s="1" t="s">
        <v>3407</v>
      </c>
      <c r="Q938" s="1" t="s">
        <v>3408</v>
      </c>
      <c r="R938" s="1" t="s">
        <v>32</v>
      </c>
      <c r="S938" s="1" t="s">
        <v>3409</v>
      </c>
      <c r="T938" s="1" t="s">
        <v>3410</v>
      </c>
      <c r="U938" s="2" t="s">
        <v>3412</v>
      </c>
      <c r="V938" s="2" t="s">
        <v>83</v>
      </c>
      <c r="W938" s="2" t="s">
        <v>84</v>
      </c>
      <c r="X938" s="2">
        <v>178.43</v>
      </c>
    </row>
    <row r="939" spans="1:24" x14ac:dyDescent="0.3">
      <c r="A939">
        <v>18834</v>
      </c>
      <c r="B939" t="s">
        <v>3406</v>
      </c>
      <c r="C939" s="3">
        <v>41750</v>
      </c>
      <c r="D939" t="s">
        <v>39</v>
      </c>
      <c r="E939">
        <v>10</v>
      </c>
      <c r="F939" s="3">
        <f ca="1">41751+(RANDBETWEEN(1,10))</f>
        <v>41759</v>
      </c>
      <c r="G939" t="s">
        <v>26</v>
      </c>
      <c r="H939" t="s">
        <v>51</v>
      </c>
      <c r="I939" t="s">
        <v>86</v>
      </c>
      <c r="J939">
        <v>175.21</v>
      </c>
      <c r="K939">
        <v>0.03</v>
      </c>
      <c r="L939">
        <v>0.66</v>
      </c>
      <c r="M939">
        <v>17.254999999999999</v>
      </c>
      <c r="N939">
        <v>-520.69500000000005</v>
      </c>
      <c r="O939" s="1" t="s">
        <v>29</v>
      </c>
      <c r="P939" s="1" t="s">
        <v>3407</v>
      </c>
      <c r="Q939" s="1" t="s">
        <v>3408</v>
      </c>
      <c r="R939" s="1" t="s">
        <v>32</v>
      </c>
      <c r="S939" s="1" t="s">
        <v>3409</v>
      </c>
      <c r="T939" s="1" t="s">
        <v>3410</v>
      </c>
      <c r="U939" s="2" t="s">
        <v>1387</v>
      </c>
      <c r="V939" s="2" t="s">
        <v>36</v>
      </c>
      <c r="W939" s="2" t="s">
        <v>60</v>
      </c>
      <c r="X939" s="2">
        <v>17.114999999999998</v>
      </c>
    </row>
    <row r="940" spans="1:24" x14ac:dyDescent="0.3">
      <c r="A940">
        <v>18835</v>
      </c>
      <c r="B940" t="s">
        <v>3413</v>
      </c>
      <c r="C940" s="3">
        <v>41234</v>
      </c>
      <c r="D940" t="s">
        <v>50</v>
      </c>
      <c r="E940">
        <v>34</v>
      </c>
      <c r="F940" s="3">
        <f ca="1">41235+(RANDBETWEEN(1,10))</f>
        <v>41240</v>
      </c>
      <c r="G940" t="s">
        <v>156</v>
      </c>
      <c r="H940" t="s">
        <v>63</v>
      </c>
      <c r="I940" t="s">
        <v>97</v>
      </c>
      <c r="J940">
        <v>56851.095000000001</v>
      </c>
      <c r="K940">
        <v>0.1</v>
      </c>
      <c r="L940">
        <v>0.36</v>
      </c>
      <c r="M940">
        <v>85.715000000000003</v>
      </c>
      <c r="N940">
        <v>265.50299999999999</v>
      </c>
      <c r="O940" s="1" t="s">
        <v>64</v>
      </c>
      <c r="P940" s="1" t="s">
        <v>620</v>
      </c>
      <c r="Q940" s="1" t="s">
        <v>621</v>
      </c>
      <c r="R940" s="1" t="s">
        <v>128</v>
      </c>
      <c r="S940" s="1" t="s">
        <v>622</v>
      </c>
      <c r="T940" s="1" t="s">
        <v>623</v>
      </c>
      <c r="U940" s="2" t="s">
        <v>3414</v>
      </c>
      <c r="V940" s="2" t="s">
        <v>36</v>
      </c>
      <c r="W940" s="2" t="s">
        <v>1327</v>
      </c>
      <c r="X940" s="2">
        <v>1749.9649999999999</v>
      </c>
    </row>
    <row r="941" spans="1:24" x14ac:dyDescent="0.3">
      <c r="A941">
        <v>18836</v>
      </c>
      <c r="B941" t="s">
        <v>3415</v>
      </c>
      <c r="C941" s="3">
        <v>41561</v>
      </c>
      <c r="D941" t="s">
        <v>148</v>
      </c>
      <c r="E941">
        <v>3</v>
      </c>
      <c r="F941" s="3">
        <f ca="1">41563+(RANDBETWEEN(1,10))</f>
        <v>41567</v>
      </c>
      <c r="G941" t="s">
        <v>26</v>
      </c>
      <c r="H941" t="s">
        <v>281</v>
      </c>
      <c r="I941" t="s">
        <v>28</v>
      </c>
      <c r="J941">
        <v>272.08999999999997</v>
      </c>
      <c r="K941">
        <v>0.1</v>
      </c>
      <c r="L941">
        <v>0.5</v>
      </c>
      <c r="M941">
        <v>18.795000000000002</v>
      </c>
      <c r="N941">
        <v>-25.0992</v>
      </c>
      <c r="O941" s="1" t="s">
        <v>87</v>
      </c>
      <c r="P941" s="1" t="s">
        <v>3416</v>
      </c>
      <c r="Q941" s="1" t="s">
        <v>3417</v>
      </c>
      <c r="R941" s="1" t="s">
        <v>497</v>
      </c>
      <c r="S941" s="1" t="s">
        <v>1304</v>
      </c>
      <c r="T941" s="1" t="s">
        <v>1305</v>
      </c>
      <c r="U941" s="2" t="s">
        <v>3418</v>
      </c>
      <c r="V941" s="2" t="s">
        <v>47</v>
      </c>
      <c r="W941" s="2" t="s">
        <v>71</v>
      </c>
      <c r="X941" s="2">
        <v>90.93</v>
      </c>
    </row>
    <row r="942" spans="1:24" x14ac:dyDescent="0.3">
      <c r="A942">
        <v>18837</v>
      </c>
      <c r="B942" t="s">
        <v>3415</v>
      </c>
      <c r="C942" s="3">
        <v>41561</v>
      </c>
      <c r="D942" t="s">
        <v>148</v>
      </c>
      <c r="E942">
        <v>10</v>
      </c>
      <c r="F942" s="3">
        <f ca="1">41562+(RANDBETWEEN(1,10))</f>
        <v>41563</v>
      </c>
      <c r="G942" t="s">
        <v>26</v>
      </c>
      <c r="H942" t="s">
        <v>96</v>
      </c>
      <c r="I942" t="s">
        <v>28</v>
      </c>
      <c r="J942">
        <v>94.605000000000004</v>
      </c>
      <c r="K942">
        <v>0.06</v>
      </c>
      <c r="L942">
        <v>0.45</v>
      </c>
      <c r="M942">
        <v>4.6900000000000004</v>
      </c>
      <c r="N942">
        <v>-12.096</v>
      </c>
      <c r="O942" s="1" t="s">
        <v>87</v>
      </c>
      <c r="P942" s="1" t="s">
        <v>3416</v>
      </c>
      <c r="Q942" s="1" t="s">
        <v>3417</v>
      </c>
      <c r="R942" s="1" t="s">
        <v>497</v>
      </c>
      <c r="S942" s="1" t="s">
        <v>1304</v>
      </c>
      <c r="T942" s="1" t="s">
        <v>1305</v>
      </c>
      <c r="U942" s="2" t="s">
        <v>1227</v>
      </c>
      <c r="V942" s="2" t="s">
        <v>47</v>
      </c>
      <c r="W942" s="2" t="s">
        <v>104</v>
      </c>
      <c r="X942" s="2">
        <v>9.73</v>
      </c>
    </row>
    <row r="943" spans="1:24" x14ac:dyDescent="0.3">
      <c r="A943">
        <v>18838</v>
      </c>
      <c r="B943" t="s">
        <v>3419</v>
      </c>
      <c r="C943" s="3">
        <v>41006</v>
      </c>
      <c r="D943" t="s">
        <v>62</v>
      </c>
      <c r="E943">
        <v>2</v>
      </c>
      <c r="F943" s="3">
        <f ca="1">41007+(RANDBETWEEN(1,10))</f>
        <v>41011</v>
      </c>
      <c r="G943" t="s">
        <v>26</v>
      </c>
      <c r="H943" t="s">
        <v>27</v>
      </c>
      <c r="I943" t="s">
        <v>97</v>
      </c>
      <c r="J943">
        <v>49.7</v>
      </c>
      <c r="K943">
        <v>0.06</v>
      </c>
      <c r="L943">
        <v>0.37</v>
      </c>
      <c r="M943">
        <v>22.225000000000001</v>
      </c>
      <c r="N943">
        <v>-97.23</v>
      </c>
      <c r="O943" s="1" t="s">
        <v>29</v>
      </c>
      <c r="P943" s="1" t="s">
        <v>3420</v>
      </c>
      <c r="Q943" s="1" t="s">
        <v>3421</v>
      </c>
      <c r="R943" s="1" t="s">
        <v>460</v>
      </c>
      <c r="S943" s="1" t="s">
        <v>3422</v>
      </c>
      <c r="T943" s="1" t="s">
        <v>3423</v>
      </c>
      <c r="U943" s="2" t="s">
        <v>3424</v>
      </c>
      <c r="V943" s="2" t="s">
        <v>47</v>
      </c>
      <c r="W943" s="2" t="s">
        <v>74</v>
      </c>
      <c r="X943" s="2">
        <v>22.68</v>
      </c>
    </row>
    <row r="944" spans="1:24" x14ac:dyDescent="0.3">
      <c r="A944">
        <v>18839</v>
      </c>
      <c r="B944" t="s">
        <v>3425</v>
      </c>
      <c r="C944" s="3">
        <v>41659</v>
      </c>
      <c r="D944" t="s">
        <v>39</v>
      </c>
      <c r="E944">
        <v>5</v>
      </c>
      <c r="F944" s="3">
        <f ca="1">41659+(RANDBETWEEN(1,10))</f>
        <v>41660</v>
      </c>
      <c r="G944" t="s">
        <v>26</v>
      </c>
      <c r="H944" t="s">
        <v>27</v>
      </c>
      <c r="I944" t="s">
        <v>97</v>
      </c>
      <c r="J944">
        <v>191.83500000000001</v>
      </c>
      <c r="K944">
        <v>7.0000000000000007E-2</v>
      </c>
      <c r="L944">
        <v>0.36</v>
      </c>
      <c r="M944">
        <v>19.004999999999999</v>
      </c>
      <c r="N944">
        <v>9.6557999999999993</v>
      </c>
      <c r="O944" s="1" t="s">
        <v>53</v>
      </c>
      <c r="P944" s="1" t="s">
        <v>3426</v>
      </c>
      <c r="Q944" s="1" t="s">
        <v>3427</v>
      </c>
      <c r="R944" s="1" t="s">
        <v>440</v>
      </c>
      <c r="S944" s="1" t="s">
        <v>3428</v>
      </c>
      <c r="T944" s="1" t="s">
        <v>3429</v>
      </c>
      <c r="U944" s="2" t="s">
        <v>3430</v>
      </c>
      <c r="V944" s="2" t="s">
        <v>47</v>
      </c>
      <c r="W944" s="2" t="s">
        <v>74</v>
      </c>
      <c r="X944" s="2">
        <v>40.18</v>
      </c>
    </row>
    <row r="945" spans="1:24" x14ac:dyDescent="0.3">
      <c r="A945">
        <v>18840</v>
      </c>
      <c r="B945" t="s">
        <v>3431</v>
      </c>
      <c r="C945" s="3">
        <v>41869</v>
      </c>
      <c r="D945" t="s">
        <v>25</v>
      </c>
      <c r="E945">
        <v>20</v>
      </c>
      <c r="F945" s="3">
        <f ca="1">41871+(RANDBETWEEN(1,10))</f>
        <v>41877</v>
      </c>
      <c r="G945" t="s">
        <v>26</v>
      </c>
      <c r="H945" t="s">
        <v>96</v>
      </c>
      <c r="I945" t="s">
        <v>97</v>
      </c>
      <c r="J945">
        <v>369.91500000000002</v>
      </c>
      <c r="K945">
        <v>0</v>
      </c>
      <c r="L945">
        <v>0.51</v>
      </c>
      <c r="M945">
        <v>7.1050000000000004</v>
      </c>
      <c r="N945">
        <v>29.210999999999999</v>
      </c>
      <c r="O945" s="1" t="s">
        <v>87</v>
      </c>
      <c r="P945" s="1" t="s">
        <v>3432</v>
      </c>
      <c r="Q945" s="1" t="s">
        <v>3433</v>
      </c>
      <c r="R945" s="1" t="s">
        <v>90</v>
      </c>
      <c r="S945" s="1" t="s">
        <v>2366</v>
      </c>
      <c r="T945" s="1" t="s">
        <v>2367</v>
      </c>
      <c r="U945" s="2" t="s">
        <v>3434</v>
      </c>
      <c r="V945" s="2" t="s">
        <v>83</v>
      </c>
      <c r="W945" s="2" t="s">
        <v>178</v>
      </c>
      <c r="X945" s="2">
        <v>17.78</v>
      </c>
    </row>
    <row r="946" spans="1:24" x14ac:dyDescent="0.3">
      <c r="A946">
        <v>18841</v>
      </c>
      <c r="B946" t="s">
        <v>3431</v>
      </c>
      <c r="C946" s="3">
        <v>41869</v>
      </c>
      <c r="D946" t="s">
        <v>25</v>
      </c>
      <c r="E946">
        <v>1</v>
      </c>
      <c r="F946" s="3">
        <f ca="1">41874+(RANDBETWEEN(1,10))</f>
        <v>41880</v>
      </c>
      <c r="G946" t="s">
        <v>26</v>
      </c>
      <c r="H946" t="s">
        <v>27</v>
      </c>
      <c r="I946" t="s">
        <v>97</v>
      </c>
      <c r="J946">
        <v>217.45500000000001</v>
      </c>
      <c r="K946">
        <v>7.0000000000000007E-2</v>
      </c>
      <c r="L946">
        <v>0.36</v>
      </c>
      <c r="M946">
        <v>48.58</v>
      </c>
      <c r="N946">
        <v>-1183.9870000000001</v>
      </c>
      <c r="O946" s="1" t="s">
        <v>40</v>
      </c>
      <c r="P946" s="1" t="s">
        <v>3435</v>
      </c>
      <c r="Q946" s="1" t="s">
        <v>3436</v>
      </c>
      <c r="R946" s="1" t="s">
        <v>43</v>
      </c>
      <c r="S946" s="1" t="s">
        <v>3113</v>
      </c>
      <c r="T946" s="1" t="s">
        <v>3114</v>
      </c>
      <c r="U946" s="2" t="s">
        <v>3437</v>
      </c>
      <c r="V946" s="2" t="s">
        <v>47</v>
      </c>
      <c r="W946" s="2" t="s">
        <v>74</v>
      </c>
      <c r="X946" s="2">
        <v>195.93</v>
      </c>
    </row>
    <row r="947" spans="1:24" x14ac:dyDescent="0.3">
      <c r="A947">
        <v>18842</v>
      </c>
      <c r="B947" t="s">
        <v>3438</v>
      </c>
      <c r="C947" s="3">
        <v>40807</v>
      </c>
      <c r="D947" t="s">
        <v>148</v>
      </c>
      <c r="E947">
        <v>10</v>
      </c>
      <c r="F947" s="3">
        <f ca="1">40809+(RANDBETWEEN(1,10))</f>
        <v>40814</v>
      </c>
      <c r="G947" t="s">
        <v>26</v>
      </c>
      <c r="H947" t="s">
        <v>27</v>
      </c>
      <c r="I947" t="s">
        <v>28</v>
      </c>
      <c r="J947">
        <v>100.55500000000001</v>
      </c>
      <c r="K947">
        <v>0.09</v>
      </c>
      <c r="L947">
        <v>0.36</v>
      </c>
      <c r="M947">
        <v>3.4649999999999999</v>
      </c>
      <c r="N947">
        <v>-507.78699999999998</v>
      </c>
      <c r="O947" s="1" t="s">
        <v>64</v>
      </c>
      <c r="P947" s="1" t="s">
        <v>3439</v>
      </c>
      <c r="Q947" s="1" t="s">
        <v>3440</v>
      </c>
      <c r="R947" s="1" t="s">
        <v>128</v>
      </c>
      <c r="S947" s="1" t="s">
        <v>3441</v>
      </c>
      <c r="T947" s="1" t="s">
        <v>3442</v>
      </c>
      <c r="U947" s="2" t="s">
        <v>2482</v>
      </c>
      <c r="V947" s="2" t="s">
        <v>47</v>
      </c>
      <c r="W947" s="2" t="s">
        <v>203</v>
      </c>
      <c r="X947" s="2">
        <v>10.08</v>
      </c>
    </row>
    <row r="948" spans="1:24" x14ac:dyDescent="0.3">
      <c r="A948">
        <v>18843</v>
      </c>
      <c r="B948" t="s">
        <v>3443</v>
      </c>
      <c r="C948" s="3">
        <v>40996</v>
      </c>
      <c r="D948" t="s">
        <v>25</v>
      </c>
      <c r="E948">
        <v>1</v>
      </c>
      <c r="F948" s="3">
        <f ca="1">41003+(RANDBETWEEN(1,10))</f>
        <v>41006</v>
      </c>
      <c r="G948" t="s">
        <v>76</v>
      </c>
      <c r="H948" t="s">
        <v>77</v>
      </c>
      <c r="I948" t="s">
        <v>86</v>
      </c>
      <c r="J948">
        <v>305.58499999999998</v>
      </c>
      <c r="K948">
        <v>0.06</v>
      </c>
      <c r="L948">
        <v>0.37</v>
      </c>
      <c r="M948">
        <v>117.6</v>
      </c>
      <c r="N948">
        <v>-769.22789999999998</v>
      </c>
      <c r="O948" s="1" t="s">
        <v>87</v>
      </c>
      <c r="P948" s="1" t="s">
        <v>3444</v>
      </c>
      <c r="Q948" s="1" t="s">
        <v>3445</v>
      </c>
      <c r="R948" s="1" t="s">
        <v>646</v>
      </c>
      <c r="S948" s="1" t="s">
        <v>3446</v>
      </c>
      <c r="T948" s="1" t="s">
        <v>3447</v>
      </c>
      <c r="U948" s="2" t="s">
        <v>3448</v>
      </c>
      <c r="V948" s="2" t="s">
        <v>36</v>
      </c>
      <c r="W948" s="2" t="s">
        <v>142</v>
      </c>
      <c r="X948" s="2">
        <v>283.39499999999998</v>
      </c>
    </row>
    <row r="949" spans="1:24" x14ac:dyDescent="0.3">
      <c r="A949">
        <v>18844</v>
      </c>
      <c r="B949" t="s">
        <v>3443</v>
      </c>
      <c r="C949" s="3">
        <v>40996</v>
      </c>
      <c r="D949" t="s">
        <v>25</v>
      </c>
      <c r="E949">
        <v>12</v>
      </c>
      <c r="F949" s="3">
        <f ca="1">41001+(RANDBETWEEN(1,10))</f>
        <v>41008</v>
      </c>
      <c r="G949" t="s">
        <v>26</v>
      </c>
      <c r="H949" t="s">
        <v>63</v>
      </c>
      <c r="I949" t="s">
        <v>86</v>
      </c>
      <c r="J949">
        <v>8556.2049999999999</v>
      </c>
      <c r="K949">
        <v>0.08</v>
      </c>
      <c r="L949">
        <v>0.79</v>
      </c>
      <c r="M949">
        <v>241.5</v>
      </c>
      <c r="N949">
        <v>-1770.9456765</v>
      </c>
      <c r="O949" s="1" t="s">
        <v>87</v>
      </c>
      <c r="P949" s="1" t="s">
        <v>3444</v>
      </c>
      <c r="Q949" s="1" t="s">
        <v>3445</v>
      </c>
      <c r="R949" s="1" t="s">
        <v>646</v>
      </c>
      <c r="S949" s="1" t="s">
        <v>3446</v>
      </c>
      <c r="T949" s="1" t="s">
        <v>3447</v>
      </c>
      <c r="U949" s="2" t="s">
        <v>3449</v>
      </c>
      <c r="V949" s="2" t="s">
        <v>83</v>
      </c>
      <c r="W949" s="2" t="s">
        <v>263</v>
      </c>
      <c r="X949" s="2">
        <v>732.79499999999996</v>
      </c>
    </row>
    <row r="950" spans="1:24" x14ac:dyDescent="0.3">
      <c r="A950">
        <v>18845</v>
      </c>
      <c r="B950" t="s">
        <v>3450</v>
      </c>
      <c r="C950" s="3">
        <v>41254</v>
      </c>
      <c r="D950" t="s">
        <v>148</v>
      </c>
      <c r="E950">
        <v>2</v>
      </c>
      <c r="F950" s="3">
        <f ca="1">41256+(RANDBETWEEN(1,10))</f>
        <v>41261</v>
      </c>
      <c r="G950" t="s">
        <v>26</v>
      </c>
      <c r="H950" t="s">
        <v>27</v>
      </c>
      <c r="I950" t="s">
        <v>28</v>
      </c>
      <c r="J950">
        <v>28.14</v>
      </c>
      <c r="K950">
        <v>0.04</v>
      </c>
      <c r="L950">
        <v>0.38</v>
      </c>
      <c r="M950">
        <v>5.2149999999999999</v>
      </c>
      <c r="N950">
        <v>-6.5607499999999996</v>
      </c>
      <c r="O950" s="1" t="s">
        <v>29</v>
      </c>
      <c r="P950" s="1" t="s">
        <v>3451</v>
      </c>
      <c r="Q950" s="1" t="s">
        <v>3452</v>
      </c>
      <c r="R950" s="1" t="s">
        <v>675</v>
      </c>
      <c r="S950" s="1" t="s">
        <v>3453</v>
      </c>
      <c r="T950" s="1" t="s">
        <v>3454</v>
      </c>
      <c r="U950" s="2" t="s">
        <v>1763</v>
      </c>
      <c r="V950" s="2" t="s">
        <v>47</v>
      </c>
      <c r="W950" s="2" t="s">
        <v>111</v>
      </c>
      <c r="X950" s="2">
        <v>13.3</v>
      </c>
    </row>
    <row r="951" spans="1:24" x14ac:dyDescent="0.3">
      <c r="A951">
        <v>18846</v>
      </c>
      <c r="B951" t="s">
        <v>3455</v>
      </c>
      <c r="C951" s="3">
        <v>41525</v>
      </c>
      <c r="D951" t="s">
        <v>25</v>
      </c>
      <c r="E951">
        <v>3</v>
      </c>
      <c r="F951" s="3">
        <f ca="1">41527+(RANDBETWEEN(1,10))</f>
        <v>41536</v>
      </c>
      <c r="G951" t="s">
        <v>156</v>
      </c>
      <c r="H951" t="s">
        <v>27</v>
      </c>
      <c r="I951" t="s">
        <v>28</v>
      </c>
      <c r="J951">
        <v>47.81</v>
      </c>
      <c r="K951">
        <v>0.05</v>
      </c>
      <c r="L951">
        <v>0.43</v>
      </c>
      <c r="M951">
        <v>18.655000000000001</v>
      </c>
      <c r="N951">
        <v>-20.545000000000002</v>
      </c>
      <c r="O951" s="1" t="s">
        <v>29</v>
      </c>
      <c r="P951" s="1" t="s">
        <v>1434</v>
      </c>
      <c r="Q951" s="1" t="s">
        <v>1435</v>
      </c>
      <c r="R951" s="1" t="s">
        <v>460</v>
      </c>
      <c r="S951" s="1" t="s">
        <v>1436</v>
      </c>
      <c r="T951" s="1" t="s">
        <v>1437</v>
      </c>
      <c r="U951" s="2" t="s">
        <v>2500</v>
      </c>
      <c r="V951" s="2" t="s">
        <v>83</v>
      </c>
      <c r="W951" s="2" t="s">
        <v>178</v>
      </c>
      <c r="X951" s="2">
        <v>7.28</v>
      </c>
    </row>
    <row r="952" spans="1:24" x14ac:dyDescent="0.3">
      <c r="A952">
        <v>18847</v>
      </c>
      <c r="B952" t="s">
        <v>3455</v>
      </c>
      <c r="C952" s="3">
        <v>41525</v>
      </c>
      <c r="D952" t="s">
        <v>25</v>
      </c>
      <c r="E952">
        <v>21</v>
      </c>
      <c r="F952" s="3">
        <f ca="1">41530+(RANDBETWEEN(1,10))</f>
        <v>41536</v>
      </c>
      <c r="G952" t="s">
        <v>156</v>
      </c>
      <c r="H952" t="s">
        <v>27</v>
      </c>
      <c r="I952" t="s">
        <v>28</v>
      </c>
      <c r="J952">
        <v>1099.595</v>
      </c>
      <c r="K952">
        <v>0.08</v>
      </c>
      <c r="L952">
        <v>0.57999999999999996</v>
      </c>
      <c r="M952">
        <v>37.380000000000003</v>
      </c>
      <c r="N952">
        <v>-809.69</v>
      </c>
      <c r="O952" s="1" t="s">
        <v>29</v>
      </c>
      <c r="P952" s="1" t="s">
        <v>1434</v>
      </c>
      <c r="Q952" s="1" t="s">
        <v>1435</v>
      </c>
      <c r="R952" s="1" t="s">
        <v>460</v>
      </c>
      <c r="S952" s="1" t="s">
        <v>1436</v>
      </c>
      <c r="T952" s="1" t="s">
        <v>1437</v>
      </c>
      <c r="U952" s="2" t="s">
        <v>543</v>
      </c>
      <c r="V952" s="2" t="s">
        <v>47</v>
      </c>
      <c r="W952" s="2" t="s">
        <v>119</v>
      </c>
      <c r="X952" s="2">
        <v>53.97</v>
      </c>
    </row>
    <row r="953" spans="1:24" x14ac:dyDescent="0.3">
      <c r="A953">
        <v>18848</v>
      </c>
      <c r="B953" t="s">
        <v>3456</v>
      </c>
      <c r="C953" s="3">
        <v>41539</v>
      </c>
      <c r="D953" t="s">
        <v>62</v>
      </c>
      <c r="E953">
        <v>23</v>
      </c>
      <c r="F953" s="3">
        <f ca="1">41541+(RANDBETWEEN(1,10))</f>
        <v>41544</v>
      </c>
      <c r="G953" t="s">
        <v>26</v>
      </c>
      <c r="H953" t="s">
        <v>27</v>
      </c>
      <c r="I953" t="s">
        <v>28</v>
      </c>
      <c r="J953">
        <v>2909.27</v>
      </c>
      <c r="K953">
        <v>0.04</v>
      </c>
      <c r="L953">
        <v>0.38</v>
      </c>
      <c r="M953">
        <v>69.965000000000003</v>
      </c>
      <c r="N953">
        <v>202.61500000000001</v>
      </c>
      <c r="O953" s="1" t="s">
        <v>87</v>
      </c>
      <c r="P953" s="1" t="s">
        <v>3457</v>
      </c>
      <c r="Q953" s="1" t="s">
        <v>3458</v>
      </c>
      <c r="R953" s="1" t="s">
        <v>497</v>
      </c>
      <c r="S953" s="1" t="s">
        <v>3459</v>
      </c>
      <c r="T953" s="1" t="s">
        <v>3460</v>
      </c>
      <c r="U953" s="2" t="s">
        <v>3329</v>
      </c>
      <c r="V953" s="2" t="s">
        <v>47</v>
      </c>
      <c r="W953" s="2" t="s">
        <v>74</v>
      </c>
      <c r="X953" s="2">
        <v>124.04</v>
      </c>
    </row>
    <row r="954" spans="1:24" x14ac:dyDescent="0.3">
      <c r="A954">
        <v>18849</v>
      </c>
      <c r="B954" t="s">
        <v>3461</v>
      </c>
      <c r="C954" s="3">
        <v>40778</v>
      </c>
      <c r="D954" t="s">
        <v>148</v>
      </c>
      <c r="E954">
        <v>5</v>
      </c>
      <c r="F954" s="3">
        <f ca="1">40778+(RANDBETWEEN(1,10))</f>
        <v>40780</v>
      </c>
      <c r="G954" t="s">
        <v>76</v>
      </c>
      <c r="H954" t="s">
        <v>258</v>
      </c>
      <c r="I954" t="s">
        <v>28</v>
      </c>
      <c r="J954">
        <v>2795.415</v>
      </c>
      <c r="K954">
        <v>0.02</v>
      </c>
      <c r="L954">
        <v>0.71</v>
      </c>
      <c r="M954">
        <v>280.7</v>
      </c>
      <c r="N954">
        <v>-354.17200000000003</v>
      </c>
      <c r="O954" s="1" t="s">
        <v>64</v>
      </c>
      <c r="P954" s="1" t="s">
        <v>3439</v>
      </c>
      <c r="Q954" s="1" t="s">
        <v>3440</v>
      </c>
      <c r="R954" s="1" t="s">
        <v>128</v>
      </c>
      <c r="S954" s="1" t="s">
        <v>3441</v>
      </c>
      <c r="T954" s="1" t="s">
        <v>3442</v>
      </c>
      <c r="U954" s="2" t="s">
        <v>696</v>
      </c>
      <c r="V954" s="2" t="s">
        <v>83</v>
      </c>
      <c r="W954" s="2" t="s">
        <v>263</v>
      </c>
      <c r="X954" s="2">
        <v>511.17500000000001</v>
      </c>
    </row>
    <row r="955" spans="1:24" x14ac:dyDescent="0.3">
      <c r="A955">
        <v>18850</v>
      </c>
      <c r="B955" t="s">
        <v>3461</v>
      </c>
      <c r="C955" s="3">
        <v>40778</v>
      </c>
      <c r="D955" t="s">
        <v>148</v>
      </c>
      <c r="E955">
        <v>14</v>
      </c>
      <c r="F955" s="3">
        <f ca="1">40779+(RANDBETWEEN(1,10))</f>
        <v>40780</v>
      </c>
      <c r="G955" t="s">
        <v>26</v>
      </c>
      <c r="H955" t="s">
        <v>27</v>
      </c>
      <c r="I955" t="s">
        <v>28</v>
      </c>
      <c r="J955">
        <v>2772.3850000000002</v>
      </c>
      <c r="K955">
        <v>0.06</v>
      </c>
      <c r="L955">
        <v>0.55000000000000004</v>
      </c>
      <c r="M955">
        <v>20.72</v>
      </c>
      <c r="N955">
        <v>-11.662000000000001</v>
      </c>
      <c r="O955" s="1" t="s">
        <v>64</v>
      </c>
      <c r="P955" s="1" t="s">
        <v>3439</v>
      </c>
      <c r="Q955" s="1" t="s">
        <v>3440</v>
      </c>
      <c r="R955" s="1" t="s">
        <v>128</v>
      </c>
      <c r="S955" s="1" t="s">
        <v>3441</v>
      </c>
      <c r="T955" s="1" t="s">
        <v>3442</v>
      </c>
      <c r="U955" s="2">
        <v>252</v>
      </c>
      <c r="V955" s="2" t="s">
        <v>36</v>
      </c>
      <c r="W955" s="2" t="s">
        <v>37</v>
      </c>
      <c r="X955" s="2">
        <v>230.965</v>
      </c>
    </row>
    <row r="956" spans="1:24" x14ac:dyDescent="0.3">
      <c r="A956">
        <v>18851</v>
      </c>
      <c r="B956" t="s">
        <v>3462</v>
      </c>
      <c r="C956" s="3">
        <v>41163</v>
      </c>
      <c r="D956" t="s">
        <v>148</v>
      </c>
      <c r="E956">
        <v>11</v>
      </c>
      <c r="F956" s="3">
        <f ca="1">41164+(RANDBETWEEN(1,10))</f>
        <v>41166</v>
      </c>
      <c r="G956" t="s">
        <v>26</v>
      </c>
      <c r="H956" t="s">
        <v>27</v>
      </c>
      <c r="I956" t="s">
        <v>52</v>
      </c>
      <c r="J956">
        <v>630</v>
      </c>
      <c r="K956">
        <v>0.1</v>
      </c>
      <c r="L956">
        <v>0.54</v>
      </c>
      <c r="M956">
        <v>17.605</v>
      </c>
      <c r="N956">
        <v>276.01</v>
      </c>
      <c r="O956" s="1" t="s">
        <v>53</v>
      </c>
      <c r="P956" s="1" t="s">
        <v>737</v>
      </c>
      <c r="Q956" s="1" t="s">
        <v>738</v>
      </c>
      <c r="R956" s="1" t="s">
        <v>440</v>
      </c>
      <c r="S956" s="1" t="s">
        <v>739</v>
      </c>
      <c r="T956" s="1" t="s">
        <v>740</v>
      </c>
      <c r="U956" s="2" t="s">
        <v>3463</v>
      </c>
      <c r="V956" s="2" t="s">
        <v>83</v>
      </c>
      <c r="W956" s="2" t="s">
        <v>178</v>
      </c>
      <c r="X956" s="2">
        <v>62.23</v>
      </c>
    </row>
    <row r="957" spans="1:24" x14ac:dyDescent="0.3">
      <c r="A957">
        <v>18852</v>
      </c>
      <c r="B957" t="s">
        <v>3464</v>
      </c>
      <c r="C957" s="3">
        <v>40622</v>
      </c>
      <c r="D957" t="s">
        <v>148</v>
      </c>
      <c r="E957">
        <v>2</v>
      </c>
      <c r="F957" s="3">
        <f ca="1">40622+(RANDBETWEEN(1,10))</f>
        <v>40627</v>
      </c>
      <c r="G957" t="s">
        <v>26</v>
      </c>
      <c r="H957" t="s">
        <v>27</v>
      </c>
      <c r="I957" t="s">
        <v>28</v>
      </c>
      <c r="J957">
        <v>150.78</v>
      </c>
      <c r="K957">
        <v>0.01</v>
      </c>
      <c r="L957">
        <v>0.68</v>
      </c>
      <c r="M957">
        <v>14</v>
      </c>
      <c r="N957">
        <v>-252.80500000000001</v>
      </c>
      <c r="O957" s="1" t="s">
        <v>64</v>
      </c>
      <c r="P957" s="1" t="s">
        <v>3465</v>
      </c>
      <c r="Q957" s="1" t="s">
        <v>3466</v>
      </c>
      <c r="R957" s="1" t="s">
        <v>67</v>
      </c>
      <c r="S957" s="1" t="s">
        <v>3467</v>
      </c>
      <c r="T957" s="1" t="s">
        <v>3468</v>
      </c>
      <c r="U957" s="2" t="s">
        <v>2334</v>
      </c>
      <c r="V957" s="2" t="s">
        <v>36</v>
      </c>
      <c r="W957" s="2" t="s">
        <v>60</v>
      </c>
      <c r="X957" s="2">
        <v>69.930000000000007</v>
      </c>
    </row>
    <row r="958" spans="1:24" x14ac:dyDescent="0.3">
      <c r="A958">
        <v>18853</v>
      </c>
      <c r="B958" t="s">
        <v>3464</v>
      </c>
      <c r="C958" s="3">
        <v>40622</v>
      </c>
      <c r="D958" t="s">
        <v>148</v>
      </c>
      <c r="E958">
        <v>2</v>
      </c>
      <c r="F958" s="3">
        <f ca="1">40624+(RANDBETWEEN(1,10))</f>
        <v>40628</v>
      </c>
      <c r="G958" t="s">
        <v>26</v>
      </c>
      <c r="H958" t="s">
        <v>281</v>
      </c>
      <c r="I958" t="s">
        <v>28</v>
      </c>
      <c r="J958">
        <v>11224.29</v>
      </c>
      <c r="K958">
        <v>0.04</v>
      </c>
      <c r="L958">
        <v>0.81</v>
      </c>
      <c r="M958">
        <v>85.715000000000003</v>
      </c>
      <c r="N958">
        <v>-6158.53</v>
      </c>
      <c r="O958" s="1" t="s">
        <v>29</v>
      </c>
      <c r="P958" s="1" t="s">
        <v>3469</v>
      </c>
      <c r="Q958" s="1" t="s">
        <v>3470</v>
      </c>
      <c r="R958" s="1" t="s">
        <v>460</v>
      </c>
      <c r="S958" s="1" t="s">
        <v>3471</v>
      </c>
      <c r="T958" s="1" t="s">
        <v>3472</v>
      </c>
      <c r="U958" s="2" t="s">
        <v>3473</v>
      </c>
      <c r="V958" s="2" t="s">
        <v>47</v>
      </c>
      <c r="W958" s="2" t="s">
        <v>94</v>
      </c>
      <c r="X958" s="2">
        <v>5731.3549999999996</v>
      </c>
    </row>
    <row r="959" spans="1:24" x14ac:dyDescent="0.3">
      <c r="A959">
        <v>18854</v>
      </c>
      <c r="B959" t="s">
        <v>3474</v>
      </c>
      <c r="C959" s="3">
        <v>41994</v>
      </c>
      <c r="D959" t="s">
        <v>62</v>
      </c>
      <c r="E959">
        <v>4</v>
      </c>
      <c r="F959" s="3">
        <f ca="1">41995+(RANDBETWEEN(1,10))</f>
        <v>42004</v>
      </c>
      <c r="G959" t="s">
        <v>26</v>
      </c>
      <c r="H959" t="s">
        <v>51</v>
      </c>
      <c r="I959" t="s">
        <v>97</v>
      </c>
      <c r="J959">
        <v>314.05500000000001</v>
      </c>
      <c r="K959">
        <v>7.0000000000000007E-2</v>
      </c>
      <c r="L959">
        <v>0.41</v>
      </c>
      <c r="M959">
        <v>17.78</v>
      </c>
      <c r="N959">
        <v>76.935040000000001</v>
      </c>
      <c r="O959" s="1" t="s">
        <v>53</v>
      </c>
      <c r="P959" s="1" t="s">
        <v>2220</v>
      </c>
      <c r="Q959" s="1" t="s">
        <v>2221</v>
      </c>
      <c r="R959" s="1" t="s">
        <v>56</v>
      </c>
      <c r="S959" s="1" t="s">
        <v>2222</v>
      </c>
      <c r="T959" s="1" t="s">
        <v>2223</v>
      </c>
      <c r="U959" s="2" t="s">
        <v>3475</v>
      </c>
      <c r="V959" s="2" t="s">
        <v>83</v>
      </c>
      <c r="W959" s="2" t="s">
        <v>178</v>
      </c>
      <c r="X959" s="2">
        <v>77.805000000000007</v>
      </c>
    </row>
    <row r="960" spans="1:24" x14ac:dyDescent="0.3">
      <c r="A960">
        <v>18855</v>
      </c>
      <c r="B960" t="s">
        <v>3476</v>
      </c>
      <c r="C960" s="3">
        <v>40715</v>
      </c>
      <c r="D960" t="s">
        <v>62</v>
      </c>
      <c r="E960">
        <v>9</v>
      </c>
      <c r="F960" s="3">
        <f ca="1">40718+(RANDBETWEEN(1,10))</f>
        <v>40722</v>
      </c>
      <c r="G960" t="s">
        <v>26</v>
      </c>
      <c r="H960" t="s">
        <v>27</v>
      </c>
      <c r="I960" t="s">
        <v>28</v>
      </c>
      <c r="J960">
        <v>88.41</v>
      </c>
      <c r="K960">
        <v>7.0000000000000007E-2</v>
      </c>
      <c r="L960">
        <v>0.39</v>
      </c>
      <c r="M960">
        <v>1.75</v>
      </c>
      <c r="N960">
        <v>61.002899999999997</v>
      </c>
      <c r="O960" s="1" t="s">
        <v>29</v>
      </c>
      <c r="P960" s="1" t="s">
        <v>3477</v>
      </c>
      <c r="Q960" s="1" t="s">
        <v>3478</v>
      </c>
      <c r="R960" s="1" t="s">
        <v>460</v>
      </c>
      <c r="S960" s="1" t="s">
        <v>3479</v>
      </c>
      <c r="T960" s="1" t="s">
        <v>3480</v>
      </c>
      <c r="U960" s="2" t="s">
        <v>3481</v>
      </c>
      <c r="V960" s="2" t="s">
        <v>47</v>
      </c>
      <c r="W960" s="2" t="s">
        <v>203</v>
      </c>
      <c r="X960" s="2">
        <v>10.08</v>
      </c>
    </row>
    <row r="961" spans="1:24" x14ac:dyDescent="0.3">
      <c r="A961">
        <v>18856</v>
      </c>
      <c r="B961" t="s">
        <v>3476</v>
      </c>
      <c r="C961" s="3">
        <v>40715</v>
      </c>
      <c r="D961" t="s">
        <v>62</v>
      </c>
      <c r="E961">
        <v>2</v>
      </c>
      <c r="F961" s="3">
        <f ca="1">40716+(RANDBETWEEN(1,10))</f>
        <v>40719</v>
      </c>
      <c r="G961" t="s">
        <v>76</v>
      </c>
      <c r="H961" t="s">
        <v>258</v>
      </c>
      <c r="I961" t="s">
        <v>28</v>
      </c>
      <c r="J961">
        <v>2576.56</v>
      </c>
      <c r="K961">
        <v>0.03</v>
      </c>
      <c r="L961">
        <v>0.62</v>
      </c>
      <c r="M961">
        <v>140.66499999999999</v>
      </c>
      <c r="N961">
        <v>-626.04359999999997</v>
      </c>
      <c r="O961" s="1" t="s">
        <v>29</v>
      </c>
      <c r="P961" s="1" t="s">
        <v>3477</v>
      </c>
      <c r="Q961" s="1" t="s">
        <v>3478</v>
      </c>
      <c r="R961" s="1" t="s">
        <v>460</v>
      </c>
      <c r="S961" s="1" t="s">
        <v>3479</v>
      </c>
      <c r="T961" s="1" t="s">
        <v>3480</v>
      </c>
      <c r="U961" s="2" t="s">
        <v>3482</v>
      </c>
      <c r="V961" s="2" t="s">
        <v>83</v>
      </c>
      <c r="W961" s="2" t="s">
        <v>263</v>
      </c>
      <c r="X961" s="2">
        <v>1218.7349999999999</v>
      </c>
    </row>
    <row r="962" spans="1:24" x14ac:dyDescent="0.3">
      <c r="A962">
        <v>18857</v>
      </c>
      <c r="B962" t="s">
        <v>3483</v>
      </c>
      <c r="C962" s="3">
        <v>41632</v>
      </c>
      <c r="D962" t="s">
        <v>148</v>
      </c>
      <c r="E962">
        <v>25</v>
      </c>
      <c r="F962" s="3">
        <f ca="1">41633+(RANDBETWEEN(1,10))</f>
        <v>41643</v>
      </c>
      <c r="G962" t="s">
        <v>26</v>
      </c>
      <c r="H962" t="s">
        <v>27</v>
      </c>
      <c r="I962" t="s">
        <v>86</v>
      </c>
      <c r="J962">
        <v>893.48</v>
      </c>
      <c r="K962">
        <v>0.05</v>
      </c>
      <c r="L962">
        <v>0.56999999999999995</v>
      </c>
      <c r="M962">
        <v>18.059999999999999</v>
      </c>
      <c r="N962">
        <v>-51.45</v>
      </c>
      <c r="O962" s="1" t="s">
        <v>87</v>
      </c>
      <c r="P962" s="1" t="s">
        <v>3484</v>
      </c>
      <c r="Q962" s="1" t="s">
        <v>3485</v>
      </c>
      <c r="R962" s="1" t="s">
        <v>646</v>
      </c>
      <c r="S962" s="1" t="s">
        <v>3486</v>
      </c>
      <c r="T962" s="1" t="s">
        <v>3487</v>
      </c>
      <c r="U962" s="2" t="s">
        <v>1754</v>
      </c>
      <c r="V962" s="2" t="s">
        <v>83</v>
      </c>
      <c r="W962" s="2" t="s">
        <v>178</v>
      </c>
      <c r="X962" s="2">
        <v>37.24</v>
      </c>
    </row>
    <row r="963" spans="1:24" x14ac:dyDescent="0.3">
      <c r="A963">
        <v>18858</v>
      </c>
      <c r="B963" t="s">
        <v>3483</v>
      </c>
      <c r="C963" s="3">
        <v>41632</v>
      </c>
      <c r="D963" t="s">
        <v>148</v>
      </c>
      <c r="E963">
        <v>9</v>
      </c>
      <c r="F963" s="3">
        <f ca="1">41633+(RANDBETWEEN(1,10))</f>
        <v>41634</v>
      </c>
      <c r="G963" t="s">
        <v>156</v>
      </c>
      <c r="H963" t="s">
        <v>27</v>
      </c>
      <c r="I963" t="s">
        <v>86</v>
      </c>
      <c r="J963">
        <v>681.66</v>
      </c>
      <c r="K963">
        <v>0.05</v>
      </c>
      <c r="L963">
        <v>0.53</v>
      </c>
      <c r="M963">
        <v>23.38</v>
      </c>
      <c r="N963">
        <v>470.34539999999998</v>
      </c>
      <c r="O963" s="1" t="s">
        <v>87</v>
      </c>
      <c r="P963" s="1" t="s">
        <v>3484</v>
      </c>
      <c r="Q963" s="1" t="s">
        <v>3485</v>
      </c>
      <c r="R963" s="1" t="s">
        <v>646</v>
      </c>
      <c r="S963" s="1" t="s">
        <v>3486</v>
      </c>
      <c r="T963" s="1" t="s">
        <v>3487</v>
      </c>
      <c r="U963" s="2" t="s">
        <v>223</v>
      </c>
      <c r="V963" s="2" t="s">
        <v>83</v>
      </c>
      <c r="W963" s="2" t="s">
        <v>178</v>
      </c>
      <c r="X963" s="2">
        <v>70.98</v>
      </c>
    </row>
    <row r="964" spans="1:24" x14ac:dyDescent="0.3">
      <c r="A964">
        <v>18859</v>
      </c>
      <c r="B964" t="s">
        <v>3488</v>
      </c>
      <c r="C964" s="3">
        <v>41913</v>
      </c>
      <c r="D964" t="s">
        <v>62</v>
      </c>
      <c r="E964">
        <v>20</v>
      </c>
      <c r="F964" s="3">
        <f ca="1">41914+(RANDBETWEEN(1,10))</f>
        <v>41921</v>
      </c>
      <c r="G964" t="s">
        <v>26</v>
      </c>
      <c r="H964" t="s">
        <v>96</v>
      </c>
      <c r="I964" t="s">
        <v>86</v>
      </c>
      <c r="J964">
        <v>352.1</v>
      </c>
      <c r="K964">
        <v>0.06</v>
      </c>
      <c r="L964">
        <v>0.36</v>
      </c>
      <c r="M964">
        <v>2.8</v>
      </c>
      <c r="N964">
        <v>242.94900000000001</v>
      </c>
      <c r="O964" s="1" t="s">
        <v>40</v>
      </c>
      <c r="P964" s="1" t="s">
        <v>3489</v>
      </c>
      <c r="Q964" s="1" t="s">
        <v>3490</v>
      </c>
      <c r="R964" s="1" t="s">
        <v>220</v>
      </c>
      <c r="S964" s="1" t="s">
        <v>1544</v>
      </c>
      <c r="T964" s="1" t="s">
        <v>1545</v>
      </c>
      <c r="U964" s="2" t="s">
        <v>1416</v>
      </c>
      <c r="V964" s="2" t="s">
        <v>47</v>
      </c>
      <c r="W964" s="2" t="s">
        <v>74</v>
      </c>
      <c r="X964" s="2">
        <v>17.43</v>
      </c>
    </row>
    <row r="965" spans="1:24" x14ac:dyDescent="0.3">
      <c r="A965">
        <v>18860</v>
      </c>
      <c r="B965" t="s">
        <v>3491</v>
      </c>
      <c r="C965" s="3">
        <v>40696</v>
      </c>
      <c r="D965" t="s">
        <v>50</v>
      </c>
      <c r="E965">
        <v>19</v>
      </c>
      <c r="F965" s="3">
        <f ca="1">40697+(RANDBETWEEN(1,10))</f>
        <v>40703</v>
      </c>
      <c r="G965" t="s">
        <v>26</v>
      </c>
      <c r="H965" t="s">
        <v>27</v>
      </c>
      <c r="I965" t="s">
        <v>52</v>
      </c>
      <c r="J965">
        <v>635.11</v>
      </c>
      <c r="K965">
        <v>0.09</v>
      </c>
      <c r="L965">
        <v>0.39</v>
      </c>
      <c r="M965">
        <v>4.8650000000000002</v>
      </c>
      <c r="N965">
        <v>438.22590000000002</v>
      </c>
      <c r="O965" s="1" t="s">
        <v>87</v>
      </c>
      <c r="P965" s="1" t="s">
        <v>1759</v>
      </c>
      <c r="Q965" s="1" t="s">
        <v>1760</v>
      </c>
      <c r="R965" s="1" t="s">
        <v>646</v>
      </c>
      <c r="S965" s="1" t="s">
        <v>1761</v>
      </c>
      <c r="T965" s="1" t="s">
        <v>1762</v>
      </c>
      <c r="U965" s="2" t="s">
        <v>2681</v>
      </c>
      <c r="V965" s="2" t="s">
        <v>47</v>
      </c>
      <c r="W965" s="2" t="s">
        <v>48</v>
      </c>
      <c r="X965" s="2">
        <v>34.229999999999997</v>
      </c>
    </row>
    <row r="966" spans="1:24" x14ac:dyDescent="0.3">
      <c r="A966">
        <v>18861</v>
      </c>
      <c r="B966" t="s">
        <v>3491</v>
      </c>
      <c r="C966" s="3">
        <v>40696</v>
      </c>
      <c r="D966" t="s">
        <v>50</v>
      </c>
      <c r="E966">
        <v>6</v>
      </c>
      <c r="F966" s="3">
        <f ca="1">40698+(RANDBETWEEN(1,10))</f>
        <v>40700</v>
      </c>
      <c r="G966" t="s">
        <v>26</v>
      </c>
      <c r="H966" t="s">
        <v>27</v>
      </c>
      <c r="I966" t="s">
        <v>52</v>
      </c>
      <c r="J966">
        <v>3767.05</v>
      </c>
      <c r="K966">
        <v>0</v>
      </c>
      <c r="L966">
        <v>0.59</v>
      </c>
      <c r="M966">
        <v>28.28</v>
      </c>
      <c r="N966">
        <v>985.37040000000002</v>
      </c>
      <c r="O966" s="1" t="s">
        <v>87</v>
      </c>
      <c r="P966" s="1" t="s">
        <v>1759</v>
      </c>
      <c r="Q966" s="1" t="s">
        <v>1760</v>
      </c>
      <c r="R966" s="1" t="s">
        <v>646</v>
      </c>
      <c r="S966" s="1" t="s">
        <v>1761</v>
      </c>
      <c r="T966" s="1" t="s">
        <v>1762</v>
      </c>
      <c r="U966" s="2">
        <v>5125</v>
      </c>
      <c r="V966" s="2" t="s">
        <v>36</v>
      </c>
      <c r="W966" s="2" t="s">
        <v>37</v>
      </c>
      <c r="X966" s="2">
        <v>703.46500000000003</v>
      </c>
    </row>
    <row r="967" spans="1:24" x14ac:dyDescent="0.3">
      <c r="A967">
        <v>18862</v>
      </c>
      <c r="B967" t="s">
        <v>3492</v>
      </c>
      <c r="C967" s="3">
        <v>41375</v>
      </c>
      <c r="D967" t="s">
        <v>148</v>
      </c>
      <c r="E967">
        <v>12</v>
      </c>
      <c r="F967" s="3">
        <f ca="1">41377+(RANDBETWEEN(1,10))</f>
        <v>41378</v>
      </c>
      <c r="G967" t="s">
        <v>26</v>
      </c>
      <c r="H967" t="s">
        <v>27</v>
      </c>
      <c r="I967" t="s">
        <v>97</v>
      </c>
      <c r="J967">
        <v>2332.2950000000001</v>
      </c>
      <c r="K967">
        <v>0.01</v>
      </c>
      <c r="L967">
        <v>0.59</v>
      </c>
      <c r="M967">
        <v>13.965</v>
      </c>
      <c r="N967">
        <v>1609.2835500000001</v>
      </c>
      <c r="O967" s="1" t="s">
        <v>64</v>
      </c>
      <c r="P967" s="1" t="s">
        <v>3493</v>
      </c>
      <c r="Q967" s="1" t="s">
        <v>3494</v>
      </c>
      <c r="R967" s="1" t="s">
        <v>67</v>
      </c>
      <c r="S967" s="1" t="s">
        <v>3495</v>
      </c>
      <c r="T967" s="1" t="s">
        <v>3496</v>
      </c>
      <c r="U967" s="2" t="s">
        <v>1991</v>
      </c>
      <c r="V967" s="2" t="s">
        <v>36</v>
      </c>
      <c r="W967" s="2" t="s">
        <v>37</v>
      </c>
      <c r="X967" s="2">
        <v>230.965</v>
      </c>
    </row>
    <row r="968" spans="1:24" x14ac:dyDescent="0.3">
      <c r="A968">
        <v>18863</v>
      </c>
      <c r="B968" t="s">
        <v>3497</v>
      </c>
      <c r="C968" s="3">
        <v>41841</v>
      </c>
      <c r="D968" t="s">
        <v>25</v>
      </c>
      <c r="E968">
        <v>14</v>
      </c>
      <c r="F968" s="3">
        <f ca="1">41848+(RANDBETWEEN(1,10))</f>
        <v>41853</v>
      </c>
      <c r="G968" t="s">
        <v>26</v>
      </c>
      <c r="H968" t="s">
        <v>27</v>
      </c>
      <c r="I968" t="s">
        <v>28</v>
      </c>
      <c r="J968">
        <v>312.97000000000003</v>
      </c>
      <c r="K968">
        <v>0.04</v>
      </c>
      <c r="L968">
        <v>0.36</v>
      </c>
      <c r="M968">
        <v>23.274999999999999</v>
      </c>
      <c r="N968">
        <v>-372.79367999999999</v>
      </c>
      <c r="O968" s="1" t="s">
        <v>53</v>
      </c>
      <c r="P968" s="1" t="s">
        <v>1777</v>
      </c>
      <c r="Q968" s="1" t="s">
        <v>1778</v>
      </c>
      <c r="R968" s="1" t="s">
        <v>56</v>
      </c>
      <c r="S968" s="1" t="s">
        <v>1779</v>
      </c>
      <c r="T968" s="1" t="s">
        <v>1780</v>
      </c>
      <c r="U968" s="2" t="s">
        <v>3190</v>
      </c>
      <c r="V968" s="2" t="s">
        <v>47</v>
      </c>
      <c r="W968" s="2" t="s">
        <v>74</v>
      </c>
      <c r="X968" s="2">
        <v>22.68</v>
      </c>
    </row>
    <row r="969" spans="1:24" x14ac:dyDescent="0.3">
      <c r="A969">
        <v>18864</v>
      </c>
      <c r="B969" t="s">
        <v>3497</v>
      </c>
      <c r="C969" s="3">
        <v>41841</v>
      </c>
      <c r="D969" t="s">
        <v>25</v>
      </c>
      <c r="E969">
        <v>6</v>
      </c>
      <c r="F969" s="3">
        <f ca="1">41845+(RANDBETWEEN(1,10))</f>
        <v>41853</v>
      </c>
      <c r="G969" t="s">
        <v>156</v>
      </c>
      <c r="H969" t="s">
        <v>27</v>
      </c>
      <c r="I969" t="s">
        <v>28</v>
      </c>
      <c r="J969">
        <v>152.04</v>
      </c>
      <c r="K969">
        <v>0.04</v>
      </c>
      <c r="L969">
        <v>0.37</v>
      </c>
      <c r="M969">
        <v>27.51</v>
      </c>
      <c r="N969">
        <v>-214.75775999999999</v>
      </c>
      <c r="O969" s="1" t="s">
        <v>53</v>
      </c>
      <c r="P969" s="1" t="s">
        <v>1777</v>
      </c>
      <c r="Q969" s="1" t="s">
        <v>1778</v>
      </c>
      <c r="R969" s="1" t="s">
        <v>56</v>
      </c>
      <c r="S969" s="1" t="s">
        <v>1779</v>
      </c>
      <c r="T969" s="1" t="s">
        <v>1780</v>
      </c>
      <c r="U969" s="2" t="s">
        <v>2667</v>
      </c>
      <c r="V969" s="2" t="s">
        <v>47</v>
      </c>
      <c r="W969" s="2" t="s">
        <v>74</v>
      </c>
      <c r="X969" s="2">
        <v>22.68</v>
      </c>
    </row>
    <row r="970" spans="1:24" x14ac:dyDescent="0.3">
      <c r="A970">
        <v>18865</v>
      </c>
      <c r="B970" t="s">
        <v>3498</v>
      </c>
      <c r="C970" s="3">
        <v>41805</v>
      </c>
      <c r="D970" t="s">
        <v>148</v>
      </c>
      <c r="E970">
        <v>15</v>
      </c>
      <c r="F970" s="3">
        <f ca="1">41806+(RANDBETWEEN(1,10))</f>
        <v>41810</v>
      </c>
      <c r="G970" t="s">
        <v>26</v>
      </c>
      <c r="H970" t="s">
        <v>27</v>
      </c>
      <c r="I970" t="s">
        <v>86</v>
      </c>
      <c r="J970">
        <v>2550.625</v>
      </c>
      <c r="K970">
        <v>0.02</v>
      </c>
      <c r="L970">
        <v>0.35</v>
      </c>
      <c r="M970">
        <v>20.51</v>
      </c>
      <c r="N970">
        <v>104.27970000000001</v>
      </c>
      <c r="O970" s="1" t="s">
        <v>53</v>
      </c>
      <c r="P970" s="1" t="s">
        <v>3394</v>
      </c>
      <c r="Q970" s="1" t="s">
        <v>3395</v>
      </c>
      <c r="R970" s="1" t="s">
        <v>440</v>
      </c>
      <c r="S970" s="1" t="s">
        <v>3396</v>
      </c>
      <c r="T970" s="1" t="s">
        <v>3397</v>
      </c>
      <c r="U970" s="2" t="s">
        <v>3499</v>
      </c>
      <c r="V970" s="2" t="s">
        <v>47</v>
      </c>
      <c r="W970" s="2" t="s">
        <v>74</v>
      </c>
      <c r="X970" s="2">
        <v>171.29</v>
      </c>
    </row>
    <row r="971" spans="1:24" x14ac:dyDescent="0.3">
      <c r="A971">
        <v>18866</v>
      </c>
      <c r="B971" t="s">
        <v>3500</v>
      </c>
      <c r="C971" s="3">
        <v>40870</v>
      </c>
      <c r="D971" t="s">
        <v>62</v>
      </c>
      <c r="E971">
        <v>24</v>
      </c>
      <c r="F971" s="3">
        <f ca="1">40872+(RANDBETWEEN(1,10))</f>
        <v>40877</v>
      </c>
      <c r="G971" t="s">
        <v>26</v>
      </c>
      <c r="H971" t="s">
        <v>27</v>
      </c>
      <c r="I971" t="s">
        <v>28</v>
      </c>
      <c r="J971">
        <v>203.17500000000001</v>
      </c>
      <c r="K971">
        <v>0.01</v>
      </c>
      <c r="L971">
        <v>0.37</v>
      </c>
      <c r="M971">
        <v>21.175000000000001</v>
      </c>
      <c r="N971">
        <v>1385.16</v>
      </c>
      <c r="O971" s="1" t="s">
        <v>40</v>
      </c>
      <c r="P971" s="1" t="s">
        <v>1453</v>
      </c>
      <c r="Q971" s="1" t="s">
        <v>1454</v>
      </c>
      <c r="R971" s="1" t="s">
        <v>220</v>
      </c>
      <c r="S971" s="1" t="s">
        <v>1455</v>
      </c>
      <c r="T971" s="1" t="s">
        <v>1456</v>
      </c>
      <c r="U971" s="2" t="s">
        <v>1376</v>
      </c>
      <c r="V971" s="2" t="s">
        <v>47</v>
      </c>
      <c r="W971" s="2" t="s">
        <v>111</v>
      </c>
      <c r="X971" s="2">
        <v>7.56</v>
      </c>
    </row>
    <row r="972" spans="1:24" x14ac:dyDescent="0.3">
      <c r="A972">
        <v>18867</v>
      </c>
      <c r="B972" t="s">
        <v>3500</v>
      </c>
      <c r="C972" s="3">
        <v>40870</v>
      </c>
      <c r="D972" t="s">
        <v>62</v>
      </c>
      <c r="E972">
        <v>3</v>
      </c>
      <c r="F972" s="3">
        <f ca="1">40872+(RANDBETWEEN(1,10))</f>
        <v>40880</v>
      </c>
      <c r="G972" t="s">
        <v>26</v>
      </c>
      <c r="H972" t="s">
        <v>51</v>
      </c>
      <c r="I972" t="s">
        <v>28</v>
      </c>
      <c r="J972">
        <v>240.24</v>
      </c>
      <c r="K972">
        <v>7.0000000000000007E-2</v>
      </c>
      <c r="L972">
        <v>0.59</v>
      </c>
      <c r="M972">
        <v>31.465</v>
      </c>
      <c r="N972">
        <v>-137.886</v>
      </c>
      <c r="O972" s="1" t="s">
        <v>29</v>
      </c>
      <c r="P972" s="1" t="s">
        <v>3501</v>
      </c>
      <c r="Q972" s="1" t="s">
        <v>3502</v>
      </c>
      <c r="R972" s="1" t="s">
        <v>32</v>
      </c>
      <c r="S972" s="1" t="s">
        <v>3503</v>
      </c>
      <c r="T972" s="1" t="s">
        <v>3504</v>
      </c>
      <c r="U972" s="2" t="s">
        <v>2789</v>
      </c>
      <c r="V972" s="2" t="s">
        <v>47</v>
      </c>
      <c r="W972" s="2" t="s">
        <v>104</v>
      </c>
      <c r="X972" s="2">
        <v>74.83</v>
      </c>
    </row>
    <row r="973" spans="1:24" x14ac:dyDescent="0.3">
      <c r="A973">
        <v>18868</v>
      </c>
      <c r="B973" t="s">
        <v>3505</v>
      </c>
      <c r="C973" s="3">
        <v>40906</v>
      </c>
      <c r="D973" t="s">
        <v>25</v>
      </c>
      <c r="E973">
        <v>11</v>
      </c>
      <c r="F973" s="3">
        <f ca="1">40911+(RANDBETWEEN(1,10))</f>
        <v>40914</v>
      </c>
      <c r="G973" t="s">
        <v>156</v>
      </c>
      <c r="H973" t="s">
        <v>96</v>
      </c>
      <c r="I973" t="s">
        <v>86</v>
      </c>
      <c r="J973">
        <v>214.86500000000001</v>
      </c>
      <c r="K973">
        <v>0.08</v>
      </c>
      <c r="L973">
        <v>0.38</v>
      </c>
      <c r="M973">
        <v>3.5</v>
      </c>
      <c r="N973">
        <v>2561.7269999999999</v>
      </c>
      <c r="O973" s="1" t="s">
        <v>225</v>
      </c>
      <c r="P973" s="1" t="s">
        <v>3506</v>
      </c>
      <c r="Q973" s="1" t="s">
        <v>3507</v>
      </c>
      <c r="R973" s="1" t="s">
        <v>391</v>
      </c>
      <c r="S973" s="1" t="s">
        <v>3508</v>
      </c>
      <c r="T973" s="1" t="s">
        <v>3509</v>
      </c>
      <c r="U973" s="2" t="s">
        <v>3510</v>
      </c>
      <c r="V973" s="2" t="s">
        <v>47</v>
      </c>
      <c r="W973" s="2" t="s">
        <v>104</v>
      </c>
      <c r="X973" s="2">
        <v>20.440000000000001</v>
      </c>
    </row>
    <row r="974" spans="1:24" x14ac:dyDescent="0.3">
      <c r="A974">
        <v>18869</v>
      </c>
      <c r="B974" t="s">
        <v>3505</v>
      </c>
      <c r="C974" s="3">
        <v>40906</v>
      </c>
      <c r="D974" t="s">
        <v>25</v>
      </c>
      <c r="E974">
        <v>13</v>
      </c>
      <c r="F974" s="3">
        <f ca="1">40910+(RANDBETWEEN(1,10))</f>
        <v>40918</v>
      </c>
      <c r="G974" t="s">
        <v>26</v>
      </c>
      <c r="H974" t="s">
        <v>27</v>
      </c>
      <c r="I974" t="s">
        <v>86</v>
      </c>
      <c r="J974">
        <v>8524.32</v>
      </c>
      <c r="K974">
        <v>0</v>
      </c>
      <c r="L974">
        <v>0.6</v>
      </c>
      <c r="M974">
        <v>31.465</v>
      </c>
      <c r="N974">
        <v>652.95299999999997</v>
      </c>
      <c r="O974" s="1" t="s">
        <v>225</v>
      </c>
      <c r="P974" s="1" t="s">
        <v>3506</v>
      </c>
      <c r="Q974" s="1" t="s">
        <v>3507</v>
      </c>
      <c r="R974" s="1" t="s">
        <v>391</v>
      </c>
      <c r="S974" s="1" t="s">
        <v>3508</v>
      </c>
      <c r="T974" s="1" t="s">
        <v>3509</v>
      </c>
      <c r="U974" s="2" t="s">
        <v>2580</v>
      </c>
      <c r="V974" s="2" t="s">
        <v>36</v>
      </c>
      <c r="W974" s="2" t="s">
        <v>37</v>
      </c>
      <c r="X974" s="2">
        <v>720.96500000000003</v>
      </c>
    </row>
    <row r="975" spans="1:24" x14ac:dyDescent="0.3">
      <c r="A975">
        <v>18870</v>
      </c>
      <c r="B975" t="s">
        <v>3511</v>
      </c>
      <c r="C975" s="3">
        <v>40837</v>
      </c>
      <c r="D975" t="s">
        <v>50</v>
      </c>
      <c r="E975">
        <v>6</v>
      </c>
      <c r="F975" s="3">
        <f ca="1">40839+(RANDBETWEEN(1,10))</f>
        <v>40843</v>
      </c>
      <c r="G975" t="s">
        <v>26</v>
      </c>
      <c r="H975" t="s">
        <v>96</v>
      </c>
      <c r="I975" t="s">
        <v>97</v>
      </c>
      <c r="J975">
        <v>84.63</v>
      </c>
      <c r="K975">
        <v>0.06</v>
      </c>
      <c r="L975">
        <v>0.39</v>
      </c>
      <c r="M975">
        <v>3.4649999999999999</v>
      </c>
      <c r="N975">
        <v>37.738399999999999</v>
      </c>
      <c r="O975" s="1" t="s">
        <v>87</v>
      </c>
      <c r="P975" s="1" t="s">
        <v>2471</v>
      </c>
      <c r="Q975" s="1" t="s">
        <v>2472</v>
      </c>
      <c r="R975" s="1" t="s">
        <v>646</v>
      </c>
      <c r="S975" s="1" t="s">
        <v>2473</v>
      </c>
      <c r="T975" s="1" t="s">
        <v>2474</v>
      </c>
      <c r="U975" s="2" t="s">
        <v>175</v>
      </c>
      <c r="V975" s="2" t="s">
        <v>47</v>
      </c>
      <c r="W975" s="2" t="s">
        <v>176</v>
      </c>
      <c r="X975" s="2">
        <v>13.755000000000001</v>
      </c>
    </row>
    <row r="976" spans="1:24" x14ac:dyDescent="0.3">
      <c r="A976">
        <v>18871</v>
      </c>
      <c r="B976" t="s">
        <v>3512</v>
      </c>
      <c r="C976" s="3">
        <v>40966</v>
      </c>
      <c r="D976" t="s">
        <v>39</v>
      </c>
      <c r="E976">
        <v>8</v>
      </c>
      <c r="F976" s="3">
        <f ca="1">40969+(RANDBETWEEN(1,10))</f>
        <v>40973</v>
      </c>
      <c r="G976" t="s">
        <v>26</v>
      </c>
      <c r="H976" t="s">
        <v>51</v>
      </c>
      <c r="I976" t="s">
        <v>28</v>
      </c>
      <c r="J976">
        <v>422.03</v>
      </c>
      <c r="K976">
        <v>0.05</v>
      </c>
      <c r="L976">
        <v>0.39</v>
      </c>
      <c r="M976">
        <v>31.465</v>
      </c>
      <c r="N976">
        <v>-521.35019999999997</v>
      </c>
      <c r="O976" s="1" t="s">
        <v>29</v>
      </c>
      <c r="P976" s="1" t="s">
        <v>3232</v>
      </c>
      <c r="Q976" s="1" t="s">
        <v>3233</v>
      </c>
      <c r="R976" s="1" t="s">
        <v>32</v>
      </c>
      <c r="S976" s="1" t="s">
        <v>3234</v>
      </c>
      <c r="T976" s="1" t="s">
        <v>3235</v>
      </c>
      <c r="U976" s="2" t="s">
        <v>2064</v>
      </c>
      <c r="V976" s="2" t="s">
        <v>83</v>
      </c>
      <c r="W976" s="2" t="s">
        <v>178</v>
      </c>
      <c r="X976" s="2">
        <v>52.43</v>
      </c>
    </row>
    <row r="977" spans="1:24" x14ac:dyDescent="0.3">
      <c r="A977">
        <v>18872</v>
      </c>
      <c r="B977" t="s">
        <v>3512</v>
      </c>
      <c r="C977" s="3">
        <v>40966</v>
      </c>
      <c r="D977" t="s">
        <v>39</v>
      </c>
      <c r="E977">
        <v>12</v>
      </c>
      <c r="F977" s="3">
        <f ca="1">40969+(RANDBETWEEN(1,10))</f>
        <v>40975</v>
      </c>
      <c r="G977" t="s">
        <v>76</v>
      </c>
      <c r="H977" t="s">
        <v>258</v>
      </c>
      <c r="I977" t="s">
        <v>28</v>
      </c>
      <c r="J977">
        <v>4344.7250000000004</v>
      </c>
      <c r="K977">
        <v>0</v>
      </c>
      <c r="L977">
        <v>0.63</v>
      </c>
      <c r="M977">
        <v>181.79</v>
      </c>
      <c r="N977">
        <v>5669.3069999999998</v>
      </c>
      <c r="O977" s="1" t="s">
        <v>29</v>
      </c>
      <c r="P977" s="1" t="s">
        <v>3232</v>
      </c>
      <c r="Q977" s="1" t="s">
        <v>3233</v>
      </c>
      <c r="R977" s="1" t="s">
        <v>32</v>
      </c>
      <c r="S977" s="1" t="s">
        <v>3234</v>
      </c>
      <c r="T977" s="1" t="s">
        <v>3235</v>
      </c>
      <c r="U977" s="2" t="s">
        <v>360</v>
      </c>
      <c r="V977" s="2" t="s">
        <v>83</v>
      </c>
      <c r="W977" s="2" t="s">
        <v>263</v>
      </c>
      <c r="X977" s="2">
        <v>435.71499999999997</v>
      </c>
    </row>
    <row r="978" spans="1:24" x14ac:dyDescent="0.3">
      <c r="A978">
        <v>18873</v>
      </c>
      <c r="B978" t="s">
        <v>3512</v>
      </c>
      <c r="C978" s="3">
        <v>40966</v>
      </c>
      <c r="D978" t="s">
        <v>39</v>
      </c>
      <c r="E978">
        <v>2</v>
      </c>
      <c r="F978" s="3">
        <f ca="1">40969+(RANDBETWEEN(1,10))</f>
        <v>40975</v>
      </c>
      <c r="G978" t="s">
        <v>156</v>
      </c>
      <c r="H978" t="s">
        <v>51</v>
      </c>
      <c r="I978" t="s">
        <v>28</v>
      </c>
      <c r="J978">
        <v>313.60000000000002</v>
      </c>
      <c r="K978">
        <v>0.09</v>
      </c>
      <c r="L978">
        <v>0.83</v>
      </c>
      <c r="M978">
        <v>8.75</v>
      </c>
      <c r="N978">
        <v>-37.142000000000003</v>
      </c>
      <c r="O978" s="1" t="s">
        <v>29</v>
      </c>
      <c r="P978" s="1" t="s">
        <v>3232</v>
      </c>
      <c r="Q978" s="1" t="s">
        <v>3233</v>
      </c>
      <c r="R978" s="1" t="s">
        <v>32</v>
      </c>
      <c r="S978" s="1" t="s">
        <v>3234</v>
      </c>
      <c r="T978" s="1" t="s">
        <v>3235</v>
      </c>
      <c r="U978" s="2" t="s">
        <v>3513</v>
      </c>
      <c r="V978" s="2" t="s">
        <v>36</v>
      </c>
      <c r="W978" s="2" t="s">
        <v>37</v>
      </c>
      <c r="X978" s="2">
        <v>195.965</v>
      </c>
    </row>
    <row r="979" spans="1:24" x14ac:dyDescent="0.3">
      <c r="A979">
        <v>18874</v>
      </c>
      <c r="B979" t="s">
        <v>3512</v>
      </c>
      <c r="C979" s="3">
        <v>40966</v>
      </c>
      <c r="D979" t="s">
        <v>39</v>
      </c>
      <c r="E979">
        <v>8</v>
      </c>
      <c r="F979" s="3">
        <f ca="1">40969+(RANDBETWEEN(1,10))</f>
        <v>40974</v>
      </c>
      <c r="G979" t="s">
        <v>26</v>
      </c>
      <c r="H979" t="s">
        <v>281</v>
      </c>
      <c r="I979" t="s">
        <v>28</v>
      </c>
      <c r="J979">
        <v>2919.84</v>
      </c>
      <c r="K979">
        <v>0.03</v>
      </c>
      <c r="L979">
        <v>0.65</v>
      </c>
      <c r="M979">
        <v>48.965000000000003</v>
      </c>
      <c r="N979">
        <v>-545.86</v>
      </c>
      <c r="O979" s="1" t="s">
        <v>29</v>
      </c>
      <c r="P979" s="1" t="s">
        <v>3514</v>
      </c>
      <c r="Q979" s="1" t="s">
        <v>3515</v>
      </c>
      <c r="R979" s="1" t="s">
        <v>675</v>
      </c>
      <c r="S979" s="1" t="s">
        <v>3516</v>
      </c>
      <c r="T979" s="1" t="s">
        <v>3517</v>
      </c>
      <c r="U979" s="2" t="s">
        <v>3518</v>
      </c>
      <c r="V979" s="2" t="s">
        <v>83</v>
      </c>
      <c r="W979" s="2" t="s">
        <v>178</v>
      </c>
      <c r="X979" s="2">
        <v>370.93</v>
      </c>
    </row>
    <row r="980" spans="1:24" x14ac:dyDescent="0.3">
      <c r="A980">
        <v>18875</v>
      </c>
      <c r="B980" t="s">
        <v>3519</v>
      </c>
      <c r="C980" s="3">
        <v>41469</v>
      </c>
      <c r="D980" t="s">
        <v>50</v>
      </c>
      <c r="E980">
        <v>7</v>
      </c>
      <c r="F980" s="3">
        <f ca="1">41470+(RANDBETWEEN(1,10))</f>
        <v>41474</v>
      </c>
      <c r="G980" t="s">
        <v>156</v>
      </c>
      <c r="H980" t="s">
        <v>51</v>
      </c>
      <c r="I980" t="s">
        <v>97</v>
      </c>
      <c r="J980">
        <v>51.625</v>
      </c>
      <c r="K980">
        <v>0.05</v>
      </c>
      <c r="L980">
        <v>0.53</v>
      </c>
      <c r="M980">
        <v>14.28</v>
      </c>
      <c r="N980">
        <v>-198.55500000000001</v>
      </c>
      <c r="O980" s="1" t="s">
        <v>29</v>
      </c>
      <c r="P980" s="1" t="s">
        <v>968</v>
      </c>
      <c r="Q980" s="1" t="s">
        <v>969</v>
      </c>
      <c r="R980" s="1" t="s">
        <v>32</v>
      </c>
      <c r="S980" s="1" t="s">
        <v>970</v>
      </c>
      <c r="T980" s="1" t="s">
        <v>971</v>
      </c>
      <c r="U980" s="2" t="s">
        <v>2747</v>
      </c>
      <c r="V980" s="2" t="s">
        <v>83</v>
      </c>
      <c r="W980" s="2" t="s">
        <v>178</v>
      </c>
      <c r="X980" s="2">
        <v>6.09</v>
      </c>
    </row>
    <row r="981" spans="1:24" x14ac:dyDescent="0.3">
      <c r="A981">
        <v>18876</v>
      </c>
      <c r="B981" t="s">
        <v>3520</v>
      </c>
      <c r="C981" s="3">
        <v>40937</v>
      </c>
      <c r="D981" t="s">
        <v>62</v>
      </c>
      <c r="E981">
        <v>12</v>
      </c>
      <c r="F981" s="3">
        <f ca="1">40939+(RANDBETWEEN(1,10))</f>
        <v>40949</v>
      </c>
      <c r="G981" t="s">
        <v>26</v>
      </c>
      <c r="H981" t="s">
        <v>27</v>
      </c>
      <c r="I981" t="s">
        <v>52</v>
      </c>
      <c r="J981">
        <v>2814.63</v>
      </c>
      <c r="K981">
        <v>0.01</v>
      </c>
      <c r="L981">
        <v>0.4</v>
      </c>
      <c r="M981">
        <v>69.965000000000003</v>
      </c>
      <c r="N981">
        <v>338.37299999999999</v>
      </c>
      <c r="O981" s="1" t="s">
        <v>87</v>
      </c>
      <c r="P981" s="1" t="s">
        <v>1672</v>
      </c>
      <c r="Q981" s="1" t="s">
        <v>1673</v>
      </c>
      <c r="R981" s="1" t="s">
        <v>398</v>
      </c>
      <c r="S981" s="1" t="s">
        <v>1674</v>
      </c>
      <c r="T981" s="1" t="s">
        <v>1675</v>
      </c>
      <c r="U981" s="2" t="s">
        <v>2385</v>
      </c>
      <c r="V981" s="2" t="s">
        <v>47</v>
      </c>
      <c r="W981" s="2" t="s">
        <v>111</v>
      </c>
      <c r="X981" s="2">
        <v>235.48</v>
      </c>
    </row>
    <row r="982" spans="1:24" x14ac:dyDescent="0.3">
      <c r="A982">
        <v>18877</v>
      </c>
      <c r="B982" t="s">
        <v>3521</v>
      </c>
      <c r="C982" s="3">
        <v>41497</v>
      </c>
      <c r="D982" t="s">
        <v>39</v>
      </c>
      <c r="E982">
        <v>15</v>
      </c>
      <c r="F982" s="3">
        <f ca="1">41499+(RANDBETWEEN(1,10))</f>
        <v>41509</v>
      </c>
      <c r="G982" t="s">
        <v>26</v>
      </c>
      <c r="H982" t="s">
        <v>27</v>
      </c>
      <c r="I982" t="s">
        <v>28</v>
      </c>
      <c r="J982">
        <v>348.46</v>
      </c>
      <c r="K982">
        <v>0.01</v>
      </c>
      <c r="L982">
        <v>0.36</v>
      </c>
      <c r="M982">
        <v>23.274999999999999</v>
      </c>
      <c r="N982">
        <v>-151.66059999999999</v>
      </c>
      <c r="O982" s="1" t="s">
        <v>53</v>
      </c>
      <c r="P982" s="1" t="s">
        <v>3522</v>
      </c>
      <c r="Q982" s="1" t="s">
        <v>3523</v>
      </c>
      <c r="R982" s="1" t="s">
        <v>100</v>
      </c>
      <c r="S982" s="1" t="s">
        <v>3524</v>
      </c>
      <c r="T982" s="1" t="s">
        <v>3525</v>
      </c>
      <c r="U982" s="2" t="s">
        <v>3190</v>
      </c>
      <c r="V982" s="2" t="s">
        <v>47</v>
      </c>
      <c r="W982" s="2" t="s">
        <v>74</v>
      </c>
      <c r="X982" s="2">
        <v>22.68</v>
      </c>
    </row>
    <row r="983" spans="1:24" x14ac:dyDescent="0.3">
      <c r="A983">
        <v>18878</v>
      </c>
      <c r="B983" t="s">
        <v>3526</v>
      </c>
      <c r="C983" s="3">
        <v>41069</v>
      </c>
      <c r="D983" t="s">
        <v>148</v>
      </c>
      <c r="E983">
        <v>4</v>
      </c>
      <c r="F983" s="3">
        <f ca="1">41070+(RANDBETWEEN(1,10))</f>
        <v>41075</v>
      </c>
      <c r="G983" t="s">
        <v>26</v>
      </c>
      <c r="H983" t="s">
        <v>27</v>
      </c>
      <c r="I983" t="s">
        <v>28</v>
      </c>
      <c r="J983">
        <v>41.72</v>
      </c>
      <c r="K983">
        <v>0.01</v>
      </c>
      <c r="L983">
        <v>0.36</v>
      </c>
      <c r="M983">
        <v>3.4649999999999999</v>
      </c>
      <c r="N983">
        <v>15.792</v>
      </c>
      <c r="O983" s="1" t="s">
        <v>53</v>
      </c>
      <c r="P983" s="1" t="s">
        <v>1932</v>
      </c>
      <c r="Q983" s="1" t="s">
        <v>1933</v>
      </c>
      <c r="R983" s="1" t="s">
        <v>56</v>
      </c>
      <c r="S983" s="1" t="s">
        <v>1934</v>
      </c>
      <c r="T983" s="1" t="s">
        <v>1935</v>
      </c>
      <c r="U983" s="2" t="s">
        <v>3527</v>
      </c>
      <c r="V983" s="2" t="s">
        <v>47</v>
      </c>
      <c r="W983" s="2" t="s">
        <v>203</v>
      </c>
      <c r="X983" s="2">
        <v>10.08</v>
      </c>
    </row>
    <row r="984" spans="1:24" x14ac:dyDescent="0.3">
      <c r="A984">
        <v>18879</v>
      </c>
      <c r="B984" t="s">
        <v>3528</v>
      </c>
      <c r="C984" s="3">
        <v>40666</v>
      </c>
      <c r="D984" t="s">
        <v>50</v>
      </c>
      <c r="E984">
        <v>10</v>
      </c>
      <c r="F984" s="3">
        <f ca="1">40667+(RANDBETWEEN(1,10))</f>
        <v>40676</v>
      </c>
      <c r="G984" t="s">
        <v>26</v>
      </c>
      <c r="H984" t="s">
        <v>27</v>
      </c>
      <c r="I984" t="s">
        <v>52</v>
      </c>
      <c r="J984">
        <v>281.22500000000002</v>
      </c>
      <c r="K984">
        <v>0.08</v>
      </c>
      <c r="L984">
        <v>0.49</v>
      </c>
      <c r="M984">
        <v>27.86</v>
      </c>
      <c r="N984">
        <v>-310.87</v>
      </c>
      <c r="O984" s="1" t="s">
        <v>87</v>
      </c>
      <c r="P984" s="1" t="s">
        <v>3529</v>
      </c>
      <c r="Q984" s="1" t="s">
        <v>3530</v>
      </c>
      <c r="R984" s="1" t="s">
        <v>398</v>
      </c>
      <c r="S984" s="1" t="s">
        <v>3531</v>
      </c>
      <c r="T984" s="1" t="s">
        <v>3532</v>
      </c>
      <c r="U984" s="2" t="s">
        <v>3533</v>
      </c>
      <c r="V984" s="2" t="s">
        <v>83</v>
      </c>
      <c r="W984" s="2" t="s">
        <v>178</v>
      </c>
      <c r="X984" s="2">
        <v>28.315000000000001</v>
      </c>
    </row>
    <row r="985" spans="1:24" x14ac:dyDescent="0.3">
      <c r="A985">
        <v>18880</v>
      </c>
      <c r="B985" t="s">
        <v>3534</v>
      </c>
      <c r="C985" s="3">
        <v>40949</v>
      </c>
      <c r="D985" t="s">
        <v>148</v>
      </c>
      <c r="E985">
        <v>5</v>
      </c>
      <c r="F985" s="3">
        <f ca="1">40952+(RANDBETWEEN(1,10))</f>
        <v>40955</v>
      </c>
      <c r="G985" t="s">
        <v>26</v>
      </c>
      <c r="H985" t="s">
        <v>27</v>
      </c>
      <c r="I985" t="s">
        <v>28</v>
      </c>
      <c r="J985">
        <v>1261.4000000000001</v>
      </c>
      <c r="K985">
        <v>0.04</v>
      </c>
      <c r="L985">
        <v>0.57999999999999996</v>
      </c>
      <c r="M985">
        <v>37.729999999999997</v>
      </c>
      <c r="N985">
        <v>14.742000000000001</v>
      </c>
      <c r="O985" s="1" t="s">
        <v>40</v>
      </c>
      <c r="P985" s="1" t="s">
        <v>3242</v>
      </c>
      <c r="Q985" s="1" t="s">
        <v>3243</v>
      </c>
      <c r="R985" s="1" t="s">
        <v>220</v>
      </c>
      <c r="S985" s="1" t="s">
        <v>707</v>
      </c>
      <c r="T985" s="1" t="s">
        <v>708</v>
      </c>
      <c r="U985" s="2">
        <v>3395</v>
      </c>
      <c r="V985" s="2" t="s">
        <v>36</v>
      </c>
      <c r="W985" s="2" t="s">
        <v>37</v>
      </c>
      <c r="X985" s="2">
        <v>300.96499999999997</v>
      </c>
    </row>
    <row r="986" spans="1:24" x14ac:dyDescent="0.3">
      <c r="A986">
        <v>18881</v>
      </c>
      <c r="B986" t="s">
        <v>3535</v>
      </c>
      <c r="C986" s="3">
        <v>41514</v>
      </c>
      <c r="D986" t="s">
        <v>39</v>
      </c>
      <c r="E986">
        <v>21</v>
      </c>
      <c r="F986" s="3">
        <f ca="1">41516+(RANDBETWEEN(1,10))</f>
        <v>41521</v>
      </c>
      <c r="G986" t="s">
        <v>156</v>
      </c>
      <c r="H986" t="s">
        <v>27</v>
      </c>
      <c r="I986" t="s">
        <v>97</v>
      </c>
      <c r="J986">
        <v>547.43499999999995</v>
      </c>
      <c r="K986">
        <v>0.01</v>
      </c>
      <c r="L986">
        <v>0.39</v>
      </c>
      <c r="M986">
        <v>21.175000000000001</v>
      </c>
      <c r="N986">
        <v>3.528</v>
      </c>
      <c r="O986" s="1" t="s">
        <v>29</v>
      </c>
      <c r="P986" s="1" t="s">
        <v>3536</v>
      </c>
      <c r="Q986" s="1" t="s">
        <v>3537</v>
      </c>
      <c r="R986" s="1" t="s">
        <v>675</v>
      </c>
      <c r="S986" s="1" t="s">
        <v>3538</v>
      </c>
      <c r="T986" s="1" t="s">
        <v>3539</v>
      </c>
      <c r="U986" s="2" t="s">
        <v>2669</v>
      </c>
      <c r="V986" s="2" t="s">
        <v>47</v>
      </c>
      <c r="W986" s="2" t="s">
        <v>111</v>
      </c>
      <c r="X986" s="2">
        <v>24.85</v>
      </c>
    </row>
    <row r="987" spans="1:24" x14ac:dyDescent="0.3">
      <c r="A987">
        <v>18882</v>
      </c>
      <c r="B987" t="s">
        <v>3540</v>
      </c>
      <c r="C987" s="3">
        <v>41517</v>
      </c>
      <c r="D987" t="s">
        <v>50</v>
      </c>
      <c r="E987">
        <v>24</v>
      </c>
      <c r="F987" s="3">
        <f ca="1">41519+(RANDBETWEEN(1,10))</f>
        <v>41520</v>
      </c>
      <c r="G987" t="s">
        <v>26</v>
      </c>
      <c r="H987" t="s">
        <v>96</v>
      </c>
      <c r="I987" t="s">
        <v>28</v>
      </c>
      <c r="J987">
        <v>5946.01</v>
      </c>
      <c r="K987">
        <v>0.01</v>
      </c>
      <c r="L987">
        <v>0.78</v>
      </c>
      <c r="M987">
        <v>131.53</v>
      </c>
      <c r="N987">
        <v>-1659.9856</v>
      </c>
      <c r="O987" s="1" t="s">
        <v>225</v>
      </c>
      <c r="P987" s="1" t="s">
        <v>1250</v>
      </c>
      <c r="Q987" s="1" t="s">
        <v>1251</v>
      </c>
      <c r="R987" s="1" t="s">
        <v>228</v>
      </c>
      <c r="S987" s="1" t="s">
        <v>1252</v>
      </c>
      <c r="T987" s="1" t="s">
        <v>1253</v>
      </c>
      <c r="U987" s="2" t="s">
        <v>3541</v>
      </c>
      <c r="V987" s="2" t="s">
        <v>83</v>
      </c>
      <c r="W987" s="2" t="s">
        <v>178</v>
      </c>
      <c r="X987" s="2">
        <v>247.48500000000001</v>
      </c>
    </row>
    <row r="988" spans="1:24" x14ac:dyDescent="0.3">
      <c r="A988">
        <v>18883</v>
      </c>
      <c r="B988" t="s">
        <v>3540</v>
      </c>
      <c r="C988" s="3">
        <v>41517</v>
      </c>
      <c r="D988" t="s">
        <v>50</v>
      </c>
      <c r="E988">
        <v>1</v>
      </c>
      <c r="F988" s="3">
        <f ca="1">41518+(RANDBETWEEN(1,10))</f>
        <v>41527</v>
      </c>
      <c r="G988" t="s">
        <v>76</v>
      </c>
      <c r="H988" t="s">
        <v>258</v>
      </c>
      <c r="I988" t="s">
        <v>28</v>
      </c>
      <c r="J988">
        <v>1572.97</v>
      </c>
      <c r="K988">
        <v>7.0000000000000007E-2</v>
      </c>
      <c r="L988">
        <v>0.74</v>
      </c>
      <c r="M988">
        <v>299.70499999999998</v>
      </c>
      <c r="N988">
        <v>-476.13384000000002</v>
      </c>
      <c r="O988" s="1" t="s">
        <v>225</v>
      </c>
      <c r="P988" s="1" t="s">
        <v>1250</v>
      </c>
      <c r="Q988" s="1" t="s">
        <v>1251</v>
      </c>
      <c r="R988" s="1" t="s">
        <v>228</v>
      </c>
      <c r="S988" s="1" t="s">
        <v>1252</v>
      </c>
      <c r="T988" s="1" t="s">
        <v>1253</v>
      </c>
      <c r="U988" s="2" t="s">
        <v>3542</v>
      </c>
      <c r="V988" s="2" t="s">
        <v>83</v>
      </c>
      <c r="W988" s="2" t="s">
        <v>263</v>
      </c>
      <c r="X988" s="2">
        <v>1316.4549999999999</v>
      </c>
    </row>
    <row r="989" spans="1:24" x14ac:dyDescent="0.3">
      <c r="A989">
        <v>18884</v>
      </c>
      <c r="B989" t="s">
        <v>3543</v>
      </c>
      <c r="C989" s="3">
        <v>41984</v>
      </c>
      <c r="D989" t="s">
        <v>62</v>
      </c>
      <c r="E989">
        <v>10</v>
      </c>
      <c r="F989" s="3">
        <f ca="1">41985+(RANDBETWEEN(1,10))</f>
        <v>41992</v>
      </c>
      <c r="G989" t="s">
        <v>26</v>
      </c>
      <c r="H989" t="s">
        <v>27</v>
      </c>
      <c r="I989" t="s">
        <v>28</v>
      </c>
      <c r="J989">
        <v>531.47500000000002</v>
      </c>
      <c r="K989">
        <v>0.05</v>
      </c>
      <c r="L989">
        <v>0.56999999999999995</v>
      </c>
      <c r="M989">
        <v>26.914999999999999</v>
      </c>
      <c r="N989">
        <v>5175.9750000000004</v>
      </c>
      <c r="O989" s="1" t="s">
        <v>29</v>
      </c>
      <c r="P989" s="1" t="s">
        <v>3544</v>
      </c>
      <c r="Q989" s="1" t="s">
        <v>3545</v>
      </c>
      <c r="R989" s="1" t="s">
        <v>460</v>
      </c>
      <c r="S989" s="1" t="s">
        <v>3546</v>
      </c>
      <c r="T989" s="1" t="s">
        <v>3547</v>
      </c>
      <c r="U989" s="2" t="s">
        <v>3304</v>
      </c>
      <c r="V989" s="2" t="s">
        <v>47</v>
      </c>
      <c r="W989" s="2" t="s">
        <v>119</v>
      </c>
      <c r="X989" s="2">
        <v>52.43</v>
      </c>
    </row>
    <row r="990" spans="1:24" x14ac:dyDescent="0.3">
      <c r="A990">
        <v>18885</v>
      </c>
      <c r="B990" t="s">
        <v>3548</v>
      </c>
      <c r="C990" s="3">
        <v>40596</v>
      </c>
      <c r="D990" t="s">
        <v>50</v>
      </c>
      <c r="E990">
        <v>10</v>
      </c>
      <c r="F990" s="3">
        <f ca="1">40596+(RANDBETWEEN(1,10))</f>
        <v>40602</v>
      </c>
      <c r="G990" t="s">
        <v>76</v>
      </c>
      <c r="H990" t="s">
        <v>77</v>
      </c>
      <c r="I990" t="s">
        <v>28</v>
      </c>
      <c r="J990">
        <v>16712.884999999998</v>
      </c>
      <c r="K990">
        <v>0</v>
      </c>
      <c r="L990">
        <v>0.56000000000000005</v>
      </c>
      <c r="M990">
        <v>51.45</v>
      </c>
      <c r="N990">
        <v>11531.890649999999</v>
      </c>
      <c r="O990" s="1" t="s">
        <v>53</v>
      </c>
      <c r="P990" s="1" t="s">
        <v>2923</v>
      </c>
      <c r="Q990" s="1" t="s">
        <v>2924</v>
      </c>
      <c r="R990" s="1" t="s">
        <v>56</v>
      </c>
      <c r="S990" s="1" t="s">
        <v>2786</v>
      </c>
      <c r="T990" s="1" t="s">
        <v>2787</v>
      </c>
      <c r="U990" s="2" t="s">
        <v>3549</v>
      </c>
      <c r="V990" s="2" t="s">
        <v>36</v>
      </c>
      <c r="W990" s="2" t="s">
        <v>142</v>
      </c>
      <c r="X990" s="2">
        <v>1547.49</v>
      </c>
    </row>
    <row r="991" spans="1:24" x14ac:dyDescent="0.3">
      <c r="A991">
        <v>18886</v>
      </c>
      <c r="B991" t="s">
        <v>3550</v>
      </c>
      <c r="C991" s="3">
        <v>40896</v>
      </c>
      <c r="D991" t="s">
        <v>39</v>
      </c>
      <c r="E991">
        <v>14</v>
      </c>
      <c r="F991" s="3">
        <f ca="1">40898+(RANDBETWEEN(1,10))</f>
        <v>40899</v>
      </c>
      <c r="G991" t="s">
        <v>76</v>
      </c>
      <c r="H991" t="s">
        <v>258</v>
      </c>
      <c r="I991" t="s">
        <v>28</v>
      </c>
      <c r="J991">
        <v>24372.845000000001</v>
      </c>
      <c r="K991">
        <v>0.1</v>
      </c>
      <c r="L991">
        <v>0.71</v>
      </c>
      <c r="M991">
        <v>159.94999999999999</v>
      </c>
      <c r="N991">
        <v>2864.9116125</v>
      </c>
      <c r="O991" s="1" t="s">
        <v>40</v>
      </c>
      <c r="P991" s="1" t="s">
        <v>3551</v>
      </c>
      <c r="Q991" s="1" t="s">
        <v>3552</v>
      </c>
      <c r="R991" s="1" t="s">
        <v>220</v>
      </c>
      <c r="S991" s="1" t="s">
        <v>2425</v>
      </c>
      <c r="T991" s="1" t="s">
        <v>2426</v>
      </c>
      <c r="U991" s="2" t="s">
        <v>3553</v>
      </c>
      <c r="V991" s="2" t="s">
        <v>83</v>
      </c>
      <c r="W991" s="2" t="s">
        <v>263</v>
      </c>
      <c r="X991" s="2">
        <v>1928.43</v>
      </c>
    </row>
    <row r="992" spans="1:24" x14ac:dyDescent="0.3">
      <c r="A992">
        <v>18887</v>
      </c>
      <c r="B992" t="s">
        <v>3554</v>
      </c>
      <c r="C992" s="3">
        <v>41662</v>
      </c>
      <c r="D992" t="s">
        <v>50</v>
      </c>
      <c r="E992">
        <v>1</v>
      </c>
      <c r="F992" s="3">
        <f ca="1">41663+(RANDBETWEEN(1,10))</f>
        <v>41670</v>
      </c>
      <c r="G992" t="s">
        <v>26</v>
      </c>
      <c r="H992" t="s">
        <v>27</v>
      </c>
      <c r="I992" t="s">
        <v>97</v>
      </c>
      <c r="J992">
        <v>219.69499999999999</v>
      </c>
      <c r="K992">
        <v>0.01</v>
      </c>
      <c r="L992">
        <v>0.56000000000000005</v>
      </c>
      <c r="M992">
        <v>15.75</v>
      </c>
      <c r="N992">
        <v>-159.88560000000001</v>
      </c>
      <c r="O992" s="1" t="s">
        <v>40</v>
      </c>
      <c r="P992" s="1" t="s">
        <v>3551</v>
      </c>
      <c r="Q992" s="1" t="s">
        <v>3552</v>
      </c>
      <c r="R992" s="1" t="s">
        <v>220</v>
      </c>
      <c r="S992" s="1" t="s">
        <v>2425</v>
      </c>
      <c r="T992" s="1" t="s">
        <v>2426</v>
      </c>
      <c r="U992" s="2" t="s">
        <v>1654</v>
      </c>
      <c r="V992" s="2" t="s">
        <v>47</v>
      </c>
      <c r="W992" s="2" t="s">
        <v>71</v>
      </c>
      <c r="X992" s="2">
        <v>213.39500000000001</v>
      </c>
    </row>
    <row r="993" spans="1:24" x14ac:dyDescent="0.3">
      <c r="A993">
        <v>18888</v>
      </c>
      <c r="B993" t="s">
        <v>3555</v>
      </c>
      <c r="C993" s="3">
        <v>41493</v>
      </c>
      <c r="D993" t="s">
        <v>62</v>
      </c>
      <c r="E993">
        <v>14</v>
      </c>
      <c r="F993" s="3">
        <f ca="1">41494+(RANDBETWEEN(1,10))</f>
        <v>41496</v>
      </c>
      <c r="G993" t="s">
        <v>156</v>
      </c>
      <c r="H993" t="s">
        <v>51</v>
      </c>
      <c r="I993" t="s">
        <v>28</v>
      </c>
      <c r="J993">
        <v>1448.7550000000001</v>
      </c>
      <c r="K993">
        <v>7.0000000000000007E-2</v>
      </c>
      <c r="L993">
        <v>0.64</v>
      </c>
      <c r="M993">
        <v>12.6</v>
      </c>
      <c r="N993">
        <v>265.11239999999998</v>
      </c>
      <c r="O993" s="1" t="s">
        <v>29</v>
      </c>
      <c r="P993" s="1" t="s">
        <v>3556</v>
      </c>
      <c r="Q993" s="1" t="s">
        <v>3557</v>
      </c>
      <c r="R993" s="1" t="s">
        <v>675</v>
      </c>
      <c r="S993" s="1" t="s">
        <v>3558</v>
      </c>
      <c r="T993" s="1" t="s">
        <v>3559</v>
      </c>
      <c r="U993" s="2" t="s">
        <v>3560</v>
      </c>
      <c r="V993" s="2" t="s">
        <v>36</v>
      </c>
      <c r="W993" s="2" t="s">
        <v>60</v>
      </c>
      <c r="X993" s="2">
        <v>108.88500000000001</v>
      </c>
    </row>
    <row r="994" spans="1:24" x14ac:dyDescent="0.3">
      <c r="A994">
        <v>18889</v>
      </c>
      <c r="B994" t="s">
        <v>3555</v>
      </c>
      <c r="C994" s="3">
        <v>41493</v>
      </c>
      <c r="D994" t="s">
        <v>62</v>
      </c>
      <c r="E994">
        <v>1</v>
      </c>
      <c r="F994" s="3">
        <f ca="1">41495+(RANDBETWEEN(1,10))</f>
        <v>41503</v>
      </c>
      <c r="G994" t="s">
        <v>26</v>
      </c>
      <c r="H994" t="s">
        <v>96</v>
      </c>
      <c r="I994" t="s">
        <v>28</v>
      </c>
      <c r="J994">
        <v>7.84</v>
      </c>
      <c r="K994">
        <v>0.01</v>
      </c>
      <c r="L994">
        <v>0.37</v>
      </c>
      <c r="M994">
        <v>2.4500000000000002</v>
      </c>
      <c r="N994">
        <v>-3.5853999999999999</v>
      </c>
      <c r="O994" s="1" t="s">
        <v>29</v>
      </c>
      <c r="P994" s="1" t="s">
        <v>3556</v>
      </c>
      <c r="Q994" s="1" t="s">
        <v>3557</v>
      </c>
      <c r="R994" s="1" t="s">
        <v>675</v>
      </c>
      <c r="S994" s="1" t="s">
        <v>3558</v>
      </c>
      <c r="T994" s="1" t="s">
        <v>3559</v>
      </c>
      <c r="U994" s="2" t="s">
        <v>3561</v>
      </c>
      <c r="V994" s="2" t="s">
        <v>47</v>
      </c>
      <c r="W994" s="2" t="s">
        <v>176</v>
      </c>
      <c r="X994" s="2">
        <v>5.18</v>
      </c>
    </row>
    <row r="995" spans="1:24" x14ac:dyDescent="0.3">
      <c r="A995">
        <v>1889</v>
      </c>
      <c r="B995" t="s">
        <v>3562</v>
      </c>
      <c r="C995" s="3">
        <v>41975</v>
      </c>
      <c r="D995" t="s">
        <v>50</v>
      </c>
      <c r="E995">
        <v>4</v>
      </c>
      <c r="F995" s="3">
        <f ca="1">41976+(RANDBETWEEN(1,10))</f>
        <v>41985</v>
      </c>
      <c r="G995" t="s">
        <v>26</v>
      </c>
      <c r="H995" t="s">
        <v>96</v>
      </c>
      <c r="I995" t="s">
        <v>28</v>
      </c>
      <c r="J995">
        <v>118.79</v>
      </c>
      <c r="K995">
        <v>0.04</v>
      </c>
      <c r="L995">
        <v>0.43</v>
      </c>
      <c r="M995">
        <v>3.36</v>
      </c>
      <c r="N995">
        <v>-30.8</v>
      </c>
      <c r="O995" s="1" t="s">
        <v>64</v>
      </c>
      <c r="P995" s="1" t="s">
        <v>214</v>
      </c>
      <c r="Q995" s="1" t="s">
        <v>215</v>
      </c>
      <c r="R995" s="1" t="s">
        <v>67</v>
      </c>
      <c r="S995" s="1" t="s">
        <v>68</v>
      </c>
      <c r="T995" s="1" t="s">
        <v>69</v>
      </c>
      <c r="U995" s="2" t="s">
        <v>2587</v>
      </c>
      <c r="V995" s="2" t="s">
        <v>83</v>
      </c>
      <c r="W995" s="2" t="s">
        <v>178</v>
      </c>
      <c r="X995" s="2">
        <v>29.19</v>
      </c>
    </row>
    <row r="996" spans="1:24" x14ac:dyDescent="0.3">
      <c r="A996">
        <v>18890</v>
      </c>
      <c r="B996" t="s">
        <v>3563</v>
      </c>
      <c r="C996" s="3">
        <v>41387</v>
      </c>
      <c r="D996" t="s">
        <v>25</v>
      </c>
      <c r="E996">
        <v>10</v>
      </c>
      <c r="F996" s="3">
        <f ca="1">41392+(RANDBETWEEN(1,10))</f>
        <v>41400</v>
      </c>
      <c r="G996" t="s">
        <v>26</v>
      </c>
      <c r="H996" t="s">
        <v>51</v>
      </c>
      <c r="I996" t="s">
        <v>28</v>
      </c>
      <c r="J996">
        <v>373.34500000000003</v>
      </c>
      <c r="K996">
        <v>0.01</v>
      </c>
      <c r="L996">
        <v>0.59</v>
      </c>
      <c r="M996">
        <v>16.38</v>
      </c>
      <c r="N996">
        <v>-75.734399999999994</v>
      </c>
      <c r="O996" s="1" t="s">
        <v>225</v>
      </c>
      <c r="P996" s="1" t="s">
        <v>3564</v>
      </c>
      <c r="Q996" s="1" t="s">
        <v>3565</v>
      </c>
      <c r="R996" s="1" t="s">
        <v>228</v>
      </c>
      <c r="S996" s="1" t="s">
        <v>3566</v>
      </c>
      <c r="T996" s="1" t="s">
        <v>598</v>
      </c>
      <c r="U996" s="2" t="s">
        <v>3567</v>
      </c>
      <c r="V996" s="2" t="s">
        <v>47</v>
      </c>
      <c r="W996" s="2" t="s">
        <v>94</v>
      </c>
      <c r="X996" s="2">
        <v>35.805</v>
      </c>
    </row>
    <row r="997" spans="1:24" x14ac:dyDescent="0.3">
      <c r="A997">
        <v>18891</v>
      </c>
      <c r="B997" t="s">
        <v>3568</v>
      </c>
      <c r="C997" s="3">
        <v>41316</v>
      </c>
      <c r="D997" t="s">
        <v>25</v>
      </c>
      <c r="E997">
        <v>11</v>
      </c>
      <c r="F997" s="3">
        <f ca="1">41318+(RANDBETWEEN(1,10))</f>
        <v>41324</v>
      </c>
      <c r="G997" t="s">
        <v>26</v>
      </c>
      <c r="H997" t="s">
        <v>27</v>
      </c>
      <c r="I997" t="s">
        <v>86</v>
      </c>
      <c r="J997">
        <v>16784.355</v>
      </c>
      <c r="K997">
        <v>0</v>
      </c>
      <c r="L997">
        <v>0.57999999999999996</v>
      </c>
      <c r="M997">
        <v>69.965000000000003</v>
      </c>
      <c r="N997">
        <v>11581.204949999999</v>
      </c>
      <c r="O997" s="1" t="s">
        <v>64</v>
      </c>
      <c r="P997" s="1" t="s">
        <v>1447</v>
      </c>
      <c r="Q997" s="1" t="s">
        <v>1448</v>
      </c>
      <c r="R997" s="1" t="s">
        <v>67</v>
      </c>
      <c r="S997" s="1" t="s">
        <v>1449</v>
      </c>
      <c r="T997" s="1" t="s">
        <v>1450</v>
      </c>
      <c r="U997" s="2" t="s">
        <v>3569</v>
      </c>
      <c r="V997" s="2" t="s">
        <v>47</v>
      </c>
      <c r="W997" s="2" t="s">
        <v>119</v>
      </c>
      <c r="X997" s="2">
        <v>1467.165</v>
      </c>
    </row>
    <row r="998" spans="1:24" x14ac:dyDescent="0.3">
      <c r="A998">
        <v>18892</v>
      </c>
      <c r="B998" t="s">
        <v>3570</v>
      </c>
      <c r="C998" s="3">
        <v>40769</v>
      </c>
      <c r="D998" t="s">
        <v>62</v>
      </c>
      <c r="E998">
        <v>19</v>
      </c>
      <c r="F998" s="3">
        <f ca="1">40771+(RANDBETWEEN(1,10))</f>
        <v>40773</v>
      </c>
      <c r="G998" t="s">
        <v>26</v>
      </c>
      <c r="H998" t="s">
        <v>51</v>
      </c>
      <c r="I998" t="s">
        <v>97</v>
      </c>
      <c r="J998">
        <v>143.255</v>
      </c>
      <c r="K998">
        <v>0.05</v>
      </c>
      <c r="L998">
        <v>0.55000000000000004</v>
      </c>
      <c r="M998">
        <v>8.9600000000000009</v>
      </c>
      <c r="N998">
        <v>-3657.556</v>
      </c>
      <c r="O998" s="1" t="s">
        <v>53</v>
      </c>
      <c r="P998" s="1" t="s">
        <v>2376</v>
      </c>
      <c r="Q998" s="1" t="s">
        <v>2377</v>
      </c>
      <c r="R998" s="1" t="s">
        <v>440</v>
      </c>
      <c r="S998" s="1" t="s">
        <v>2378</v>
      </c>
      <c r="T998" s="1" t="s">
        <v>2379</v>
      </c>
      <c r="U998" s="2" t="s">
        <v>401</v>
      </c>
      <c r="V998" s="2" t="s">
        <v>47</v>
      </c>
      <c r="W998" s="2" t="s">
        <v>94</v>
      </c>
      <c r="X998" s="2">
        <v>7.28</v>
      </c>
    </row>
    <row r="999" spans="1:24" x14ac:dyDescent="0.3">
      <c r="A999">
        <v>18893</v>
      </c>
      <c r="B999" t="s">
        <v>3571</v>
      </c>
      <c r="C999" s="3">
        <v>41588</v>
      </c>
      <c r="D999" t="s">
        <v>62</v>
      </c>
      <c r="E999">
        <v>26</v>
      </c>
      <c r="F999" s="3">
        <f ca="1">41590+(RANDBETWEEN(1,10))</f>
        <v>41593</v>
      </c>
      <c r="G999" t="s">
        <v>26</v>
      </c>
      <c r="H999" t="s">
        <v>27</v>
      </c>
      <c r="I999" t="s">
        <v>28</v>
      </c>
      <c r="J999">
        <v>943.6</v>
      </c>
      <c r="K999">
        <v>0.08</v>
      </c>
      <c r="L999">
        <v>0.59</v>
      </c>
      <c r="M999">
        <v>15.75</v>
      </c>
      <c r="N999">
        <v>26.914999999999999</v>
      </c>
      <c r="O999" s="1" t="s">
        <v>40</v>
      </c>
      <c r="P999" s="1" t="s">
        <v>1235</v>
      </c>
      <c r="Q999" s="1" t="s">
        <v>1236</v>
      </c>
      <c r="R999" s="1" t="s">
        <v>43</v>
      </c>
      <c r="S999" s="1" t="s">
        <v>1237</v>
      </c>
      <c r="T999" s="1" t="s">
        <v>1238</v>
      </c>
      <c r="U999" s="2" t="s">
        <v>767</v>
      </c>
      <c r="V999" s="2" t="s">
        <v>47</v>
      </c>
      <c r="W999" s="2" t="s">
        <v>71</v>
      </c>
      <c r="X999" s="2">
        <v>38.115000000000002</v>
      </c>
    </row>
    <row r="1000" spans="1:24" x14ac:dyDescent="0.3">
      <c r="A1000">
        <v>18894</v>
      </c>
      <c r="B1000" t="s">
        <v>3572</v>
      </c>
      <c r="C1000" s="3">
        <v>41600</v>
      </c>
      <c r="D1000" t="s">
        <v>148</v>
      </c>
      <c r="E1000">
        <v>35</v>
      </c>
      <c r="F1000" s="3">
        <f ca="1">41601+(RANDBETWEEN(1,10))</f>
        <v>41603</v>
      </c>
      <c r="G1000" t="s">
        <v>26</v>
      </c>
      <c r="H1000" t="s">
        <v>27</v>
      </c>
      <c r="I1000" t="s">
        <v>97</v>
      </c>
      <c r="J1000">
        <v>475.82499999999999</v>
      </c>
      <c r="K1000">
        <v>0.01</v>
      </c>
      <c r="L1000">
        <v>0.38</v>
      </c>
      <c r="M1000">
        <v>1.75</v>
      </c>
      <c r="N1000">
        <v>328.31925000000001</v>
      </c>
      <c r="O1000" s="1" t="s">
        <v>40</v>
      </c>
      <c r="P1000" s="1" t="s">
        <v>2207</v>
      </c>
      <c r="Q1000" s="1" t="s">
        <v>2208</v>
      </c>
      <c r="R1000" s="1" t="s">
        <v>43</v>
      </c>
      <c r="S1000" s="1" t="s">
        <v>2209</v>
      </c>
      <c r="T1000" s="1" t="s">
        <v>2210</v>
      </c>
      <c r="U1000" s="2" t="s">
        <v>312</v>
      </c>
      <c r="V1000" s="2" t="s">
        <v>47</v>
      </c>
      <c r="W1000" s="2" t="s">
        <v>203</v>
      </c>
      <c r="X1000" s="2">
        <v>12.914999999999999</v>
      </c>
    </row>
    <row r="1001" spans="1:24" x14ac:dyDescent="0.3">
      <c r="A1001">
        <v>18895</v>
      </c>
      <c r="B1001" t="s">
        <v>3573</v>
      </c>
      <c r="C1001" s="3">
        <v>40701</v>
      </c>
      <c r="D1001" t="s">
        <v>39</v>
      </c>
      <c r="E1001">
        <v>5</v>
      </c>
      <c r="F1001" s="3">
        <f ca="1">40701+(RANDBETWEEN(1,10))</f>
        <v>40704</v>
      </c>
      <c r="G1001" t="s">
        <v>26</v>
      </c>
      <c r="H1001" t="s">
        <v>96</v>
      </c>
      <c r="I1001" t="s">
        <v>28</v>
      </c>
      <c r="J1001">
        <v>80.22</v>
      </c>
      <c r="K1001">
        <v>7.0000000000000007E-2</v>
      </c>
      <c r="L1001">
        <v>0.39</v>
      </c>
      <c r="M1001">
        <v>3.08</v>
      </c>
      <c r="N1001">
        <v>55.351799999999997</v>
      </c>
      <c r="O1001" s="1" t="s">
        <v>225</v>
      </c>
      <c r="P1001" s="1" t="s">
        <v>1786</v>
      </c>
      <c r="Q1001" s="1" t="s">
        <v>1787</v>
      </c>
      <c r="R1001" s="1" t="s">
        <v>228</v>
      </c>
      <c r="S1001" s="1" t="s">
        <v>1788</v>
      </c>
      <c r="T1001" s="1" t="s">
        <v>1789</v>
      </c>
      <c r="U1001" s="2" t="s">
        <v>1743</v>
      </c>
      <c r="V1001" s="2" t="s">
        <v>47</v>
      </c>
      <c r="W1001" s="2" t="s">
        <v>74</v>
      </c>
      <c r="X1001" s="2">
        <v>16.66</v>
      </c>
    </row>
    <row r="1002" spans="1:24" x14ac:dyDescent="0.3">
      <c r="A1002">
        <v>18896</v>
      </c>
      <c r="B1002" t="s">
        <v>3574</v>
      </c>
      <c r="C1002" s="3">
        <v>41045</v>
      </c>
      <c r="D1002" t="s">
        <v>50</v>
      </c>
      <c r="E1002">
        <v>3</v>
      </c>
      <c r="F1002" s="3">
        <f ca="1">41045+(RANDBETWEEN(1,10))</f>
        <v>41046</v>
      </c>
      <c r="G1002" t="s">
        <v>26</v>
      </c>
      <c r="H1002" t="s">
        <v>281</v>
      </c>
      <c r="I1002" t="s">
        <v>28</v>
      </c>
      <c r="J1002">
        <v>113.575</v>
      </c>
      <c r="K1002">
        <v>0.02</v>
      </c>
      <c r="L1002">
        <v>0.48</v>
      </c>
      <c r="M1002">
        <v>21.07</v>
      </c>
      <c r="N1002">
        <v>71.015000000000001</v>
      </c>
      <c r="O1002" s="1" t="s">
        <v>87</v>
      </c>
      <c r="P1002" s="1" t="s">
        <v>3575</v>
      </c>
      <c r="Q1002" s="1" t="s">
        <v>3576</v>
      </c>
      <c r="R1002" s="1" t="s">
        <v>90</v>
      </c>
      <c r="S1002" s="1" t="s">
        <v>91</v>
      </c>
      <c r="T1002" s="1" t="s">
        <v>3577</v>
      </c>
      <c r="U1002" s="2" t="s">
        <v>3578</v>
      </c>
      <c r="V1002" s="2" t="s">
        <v>83</v>
      </c>
      <c r="W1002" s="2" t="s">
        <v>178</v>
      </c>
      <c r="X1002" s="2">
        <v>34.195</v>
      </c>
    </row>
    <row r="1003" spans="1:24" x14ac:dyDescent="0.3">
      <c r="A1003">
        <v>18897</v>
      </c>
      <c r="B1003" t="s">
        <v>3574</v>
      </c>
      <c r="C1003" s="3">
        <v>41045</v>
      </c>
      <c r="D1003" t="s">
        <v>50</v>
      </c>
      <c r="E1003">
        <v>14</v>
      </c>
      <c r="F1003" s="3">
        <f ca="1">41046+(RANDBETWEEN(1,10))</f>
        <v>41050</v>
      </c>
      <c r="G1003" t="s">
        <v>26</v>
      </c>
      <c r="H1003" t="s">
        <v>27</v>
      </c>
      <c r="I1003" t="s">
        <v>28</v>
      </c>
      <c r="J1003">
        <v>290.39499999999998</v>
      </c>
      <c r="K1003">
        <v>0.06</v>
      </c>
      <c r="L1003">
        <v>0.36</v>
      </c>
      <c r="M1003">
        <v>18.2</v>
      </c>
      <c r="N1003">
        <v>-231.56</v>
      </c>
      <c r="O1003" s="1" t="s">
        <v>87</v>
      </c>
      <c r="P1003" s="1" t="s">
        <v>3575</v>
      </c>
      <c r="Q1003" s="1" t="s">
        <v>3576</v>
      </c>
      <c r="R1003" s="1" t="s">
        <v>90</v>
      </c>
      <c r="S1003" s="1" t="s">
        <v>91</v>
      </c>
      <c r="T1003" s="1" t="s">
        <v>3577</v>
      </c>
      <c r="U1003" s="2" t="s">
        <v>2553</v>
      </c>
      <c r="V1003" s="2" t="s">
        <v>47</v>
      </c>
      <c r="W1003" s="2" t="s">
        <v>74</v>
      </c>
      <c r="X1003" s="2">
        <v>20.93</v>
      </c>
    </row>
    <row r="1004" spans="1:24" x14ac:dyDescent="0.3">
      <c r="A1004">
        <v>18898</v>
      </c>
      <c r="B1004" t="s">
        <v>3579</v>
      </c>
      <c r="C1004" s="3">
        <v>40691</v>
      </c>
      <c r="D1004" t="s">
        <v>148</v>
      </c>
      <c r="E1004">
        <v>1</v>
      </c>
      <c r="F1004" s="3">
        <f ca="1">40693+(RANDBETWEEN(1,10))</f>
        <v>40703</v>
      </c>
      <c r="G1004" t="s">
        <v>26</v>
      </c>
      <c r="H1004" t="s">
        <v>27</v>
      </c>
      <c r="I1004" t="s">
        <v>52</v>
      </c>
      <c r="J1004">
        <v>202.44</v>
      </c>
      <c r="K1004">
        <v>7.0000000000000007E-2</v>
      </c>
      <c r="L1004">
        <v>0.56000000000000005</v>
      </c>
      <c r="M1004">
        <v>15.75</v>
      </c>
      <c r="N1004">
        <v>-146.19499999999999</v>
      </c>
      <c r="O1004" s="1" t="s">
        <v>53</v>
      </c>
      <c r="P1004" s="1" t="s">
        <v>3580</v>
      </c>
      <c r="Q1004" s="1" t="s">
        <v>3581</v>
      </c>
      <c r="R1004" s="1" t="s">
        <v>440</v>
      </c>
      <c r="S1004" s="1" t="s">
        <v>3582</v>
      </c>
      <c r="T1004" s="1" t="s">
        <v>442</v>
      </c>
      <c r="U1004" s="2" t="s">
        <v>1654</v>
      </c>
      <c r="V1004" s="2" t="s">
        <v>47</v>
      </c>
      <c r="W1004" s="2" t="s">
        <v>71</v>
      </c>
      <c r="X1004" s="2">
        <v>213.39500000000001</v>
      </c>
    </row>
    <row r="1005" spans="1:24" x14ac:dyDescent="0.3">
      <c r="A1005">
        <v>18899</v>
      </c>
      <c r="B1005" t="s">
        <v>3579</v>
      </c>
      <c r="C1005" s="3">
        <v>40691</v>
      </c>
      <c r="D1005" t="s">
        <v>148</v>
      </c>
      <c r="E1005">
        <v>15</v>
      </c>
      <c r="F1005" s="3">
        <f ca="1">40693+(RANDBETWEEN(1,10))</f>
        <v>40696</v>
      </c>
      <c r="G1005" t="s">
        <v>26</v>
      </c>
      <c r="H1005" t="s">
        <v>281</v>
      </c>
      <c r="I1005" t="s">
        <v>52</v>
      </c>
      <c r="J1005">
        <v>4989.9849999999997</v>
      </c>
      <c r="K1005">
        <v>0</v>
      </c>
      <c r="L1005">
        <v>0.74</v>
      </c>
      <c r="M1005">
        <v>196.7</v>
      </c>
      <c r="N1005">
        <v>-3549.3850000000002</v>
      </c>
      <c r="O1005" s="1" t="s">
        <v>53</v>
      </c>
      <c r="P1005" s="1" t="s">
        <v>3580</v>
      </c>
      <c r="Q1005" s="1" t="s">
        <v>3581</v>
      </c>
      <c r="R1005" s="1" t="s">
        <v>440</v>
      </c>
      <c r="S1005" s="1" t="s">
        <v>3582</v>
      </c>
      <c r="T1005" s="1" t="s">
        <v>442</v>
      </c>
      <c r="U1005" s="2" t="s">
        <v>3131</v>
      </c>
      <c r="V1005" s="2" t="s">
        <v>83</v>
      </c>
      <c r="W1005" s="2" t="s">
        <v>178</v>
      </c>
      <c r="X1005" s="2">
        <v>318.43</v>
      </c>
    </row>
    <row r="1006" spans="1:24" x14ac:dyDescent="0.3">
      <c r="A1006">
        <v>1890</v>
      </c>
      <c r="B1006" t="s">
        <v>3562</v>
      </c>
      <c r="C1006" s="3">
        <v>41975</v>
      </c>
      <c r="D1006" t="s">
        <v>50</v>
      </c>
      <c r="E1006">
        <v>84</v>
      </c>
      <c r="F1006" s="3">
        <f ca="1">41975+(RANDBETWEEN(1,10))</f>
        <v>41983</v>
      </c>
      <c r="G1006" t="s">
        <v>26</v>
      </c>
      <c r="H1006" t="s">
        <v>27</v>
      </c>
      <c r="I1006" t="s">
        <v>28</v>
      </c>
      <c r="J1006">
        <v>28544.285</v>
      </c>
      <c r="K1006">
        <v>0.04</v>
      </c>
      <c r="L1006">
        <v>0.56999999999999995</v>
      </c>
      <c r="M1006">
        <v>31.465</v>
      </c>
      <c r="N1006">
        <v>3804.3494999999998</v>
      </c>
      <c r="O1006" s="1" t="s">
        <v>64</v>
      </c>
      <c r="P1006" s="1" t="s">
        <v>214</v>
      </c>
      <c r="Q1006" s="1" t="s">
        <v>215</v>
      </c>
      <c r="R1006" s="1" t="s">
        <v>67</v>
      </c>
      <c r="S1006" s="1" t="s">
        <v>68</v>
      </c>
      <c r="T1006" s="1" t="s">
        <v>69</v>
      </c>
      <c r="U1006" s="2" t="s">
        <v>2356</v>
      </c>
      <c r="V1006" s="2" t="s">
        <v>36</v>
      </c>
      <c r="W1006" s="2" t="s">
        <v>37</v>
      </c>
      <c r="X1006" s="2">
        <v>388.46499999999997</v>
      </c>
    </row>
    <row r="1007" spans="1:24" x14ac:dyDescent="0.3">
      <c r="A1007">
        <v>18900</v>
      </c>
      <c r="B1007" t="s">
        <v>3583</v>
      </c>
      <c r="C1007" s="3">
        <v>41498</v>
      </c>
      <c r="D1007" t="s">
        <v>25</v>
      </c>
      <c r="E1007">
        <v>18</v>
      </c>
      <c r="F1007" s="3">
        <f ca="1">41505+(RANDBETWEEN(1,10))</f>
        <v>41510</v>
      </c>
      <c r="G1007" t="s">
        <v>156</v>
      </c>
      <c r="H1007" t="s">
        <v>96</v>
      </c>
      <c r="I1007" t="s">
        <v>86</v>
      </c>
      <c r="J1007">
        <v>420.245</v>
      </c>
      <c r="K1007">
        <v>0.06</v>
      </c>
      <c r="L1007">
        <v>0.39</v>
      </c>
      <c r="M1007">
        <v>7</v>
      </c>
      <c r="N1007">
        <v>289.96904999999998</v>
      </c>
      <c r="O1007" s="1" t="s">
        <v>87</v>
      </c>
      <c r="P1007" s="1" t="s">
        <v>3584</v>
      </c>
      <c r="Q1007" s="1" t="s">
        <v>3585</v>
      </c>
      <c r="R1007" s="1" t="s">
        <v>90</v>
      </c>
      <c r="S1007" s="1" t="s">
        <v>2953</v>
      </c>
      <c r="T1007" s="1" t="s">
        <v>3586</v>
      </c>
      <c r="U1007" s="2" t="s">
        <v>336</v>
      </c>
      <c r="V1007" s="2" t="s">
        <v>47</v>
      </c>
      <c r="W1007" s="2" t="s">
        <v>74</v>
      </c>
      <c r="X1007" s="2">
        <v>24.08</v>
      </c>
    </row>
    <row r="1008" spans="1:24" x14ac:dyDescent="0.3">
      <c r="A1008">
        <v>18901</v>
      </c>
      <c r="B1008" t="s">
        <v>3587</v>
      </c>
      <c r="C1008" s="3">
        <v>40619</v>
      </c>
      <c r="D1008" t="s">
        <v>148</v>
      </c>
      <c r="E1008">
        <v>10</v>
      </c>
      <c r="F1008" s="3">
        <f ca="1">40620+(RANDBETWEEN(1,10))</f>
        <v>40623</v>
      </c>
      <c r="G1008" t="s">
        <v>156</v>
      </c>
      <c r="H1008" t="s">
        <v>51</v>
      </c>
      <c r="I1008" t="s">
        <v>97</v>
      </c>
      <c r="J1008">
        <v>310.24</v>
      </c>
      <c r="K1008">
        <v>0.01</v>
      </c>
      <c r="L1008">
        <v>0.77</v>
      </c>
      <c r="M1008">
        <v>9.9049999999999994</v>
      </c>
      <c r="N1008">
        <v>-142.66</v>
      </c>
      <c r="O1008" s="1" t="s">
        <v>87</v>
      </c>
      <c r="P1008" s="1" t="s">
        <v>3588</v>
      </c>
      <c r="Q1008" s="1" t="s">
        <v>3589</v>
      </c>
      <c r="R1008" s="1" t="s">
        <v>398</v>
      </c>
      <c r="S1008" s="1" t="s">
        <v>3590</v>
      </c>
      <c r="T1008" s="1" t="s">
        <v>3591</v>
      </c>
      <c r="U1008" s="2" t="s">
        <v>2563</v>
      </c>
      <c r="V1008" s="2" t="s">
        <v>36</v>
      </c>
      <c r="W1008" s="2" t="s">
        <v>60</v>
      </c>
      <c r="X1008" s="2">
        <v>28.42</v>
      </c>
    </row>
    <row r="1009" spans="1:24" x14ac:dyDescent="0.3">
      <c r="A1009">
        <v>18902</v>
      </c>
      <c r="B1009" t="s">
        <v>3592</v>
      </c>
      <c r="C1009" s="3">
        <v>41924</v>
      </c>
      <c r="D1009" t="s">
        <v>62</v>
      </c>
      <c r="E1009">
        <v>8</v>
      </c>
      <c r="F1009" s="3">
        <f ca="1">41926+(RANDBETWEEN(1,10))</f>
        <v>41931</v>
      </c>
      <c r="G1009" t="s">
        <v>26</v>
      </c>
      <c r="H1009" t="s">
        <v>27</v>
      </c>
      <c r="I1009" t="s">
        <v>97</v>
      </c>
      <c r="J1009">
        <v>836.39499999999998</v>
      </c>
      <c r="K1009">
        <v>0.1</v>
      </c>
      <c r="L1009">
        <v>0.74</v>
      </c>
      <c r="M1009">
        <v>30.274999999999999</v>
      </c>
      <c r="N1009">
        <v>-493.57</v>
      </c>
      <c r="O1009" s="1" t="s">
        <v>53</v>
      </c>
      <c r="P1009" s="1" t="s">
        <v>2971</v>
      </c>
      <c r="Q1009" s="1" t="s">
        <v>2972</v>
      </c>
      <c r="R1009" s="1" t="s">
        <v>440</v>
      </c>
      <c r="S1009" s="1" t="s">
        <v>2973</v>
      </c>
      <c r="T1009" s="1" t="s">
        <v>2974</v>
      </c>
      <c r="U1009" s="2" t="s">
        <v>344</v>
      </c>
      <c r="V1009" s="2" t="s">
        <v>36</v>
      </c>
      <c r="W1009" s="2" t="s">
        <v>60</v>
      </c>
      <c r="X1009" s="2">
        <v>106.47</v>
      </c>
    </row>
    <row r="1010" spans="1:24" x14ac:dyDescent="0.3">
      <c r="A1010">
        <v>18903</v>
      </c>
      <c r="B1010" t="s">
        <v>3592</v>
      </c>
      <c r="C1010" s="3">
        <v>41924</v>
      </c>
      <c r="D1010" t="s">
        <v>62</v>
      </c>
      <c r="E1010">
        <v>11</v>
      </c>
      <c r="F1010" s="3">
        <f ca="1">41925+(RANDBETWEEN(1,10))</f>
        <v>41935</v>
      </c>
      <c r="G1010" t="s">
        <v>26</v>
      </c>
      <c r="H1010" t="s">
        <v>96</v>
      </c>
      <c r="I1010" t="s">
        <v>97</v>
      </c>
      <c r="J1010">
        <v>73.709999999999994</v>
      </c>
      <c r="K1010">
        <v>0.06</v>
      </c>
      <c r="L1010">
        <v>0.46</v>
      </c>
      <c r="M1010">
        <v>5.7050000000000001</v>
      </c>
      <c r="N1010">
        <v>-56.524999999999999</v>
      </c>
      <c r="O1010" s="1" t="s">
        <v>53</v>
      </c>
      <c r="P1010" s="1" t="s">
        <v>2971</v>
      </c>
      <c r="Q1010" s="1" t="s">
        <v>2972</v>
      </c>
      <c r="R1010" s="1" t="s">
        <v>440</v>
      </c>
      <c r="S1010" s="1" t="s">
        <v>2973</v>
      </c>
      <c r="T1010" s="1" t="s">
        <v>2974</v>
      </c>
      <c r="U1010" s="2" t="s">
        <v>3593</v>
      </c>
      <c r="V1010" s="2" t="s">
        <v>47</v>
      </c>
      <c r="W1010" s="2" t="s">
        <v>104</v>
      </c>
      <c r="X1010" s="2">
        <v>6.8250000000000002</v>
      </c>
    </row>
    <row r="1011" spans="1:24" x14ac:dyDescent="0.3">
      <c r="A1011">
        <v>18904</v>
      </c>
      <c r="B1011" t="s">
        <v>3594</v>
      </c>
      <c r="C1011" s="3">
        <v>41652</v>
      </c>
      <c r="D1011" t="s">
        <v>39</v>
      </c>
      <c r="E1011">
        <v>10</v>
      </c>
      <c r="F1011" s="3">
        <f ca="1">41654+(RANDBETWEEN(1,10))</f>
        <v>41660</v>
      </c>
      <c r="G1011" t="s">
        <v>26</v>
      </c>
      <c r="H1011" t="s">
        <v>27</v>
      </c>
      <c r="I1011" t="s">
        <v>28</v>
      </c>
      <c r="J1011">
        <v>236.98500000000001</v>
      </c>
      <c r="K1011">
        <v>0.06</v>
      </c>
      <c r="L1011">
        <v>0.37</v>
      </c>
      <c r="M1011">
        <v>23.59</v>
      </c>
      <c r="N1011">
        <v>-996.02300000000002</v>
      </c>
      <c r="O1011" s="1" t="s">
        <v>64</v>
      </c>
      <c r="P1011" s="1" t="s">
        <v>3439</v>
      </c>
      <c r="Q1011" s="1" t="s">
        <v>3440</v>
      </c>
      <c r="R1011" s="1" t="s">
        <v>128</v>
      </c>
      <c r="S1011" s="1" t="s">
        <v>3441</v>
      </c>
      <c r="T1011" s="1" t="s">
        <v>3442</v>
      </c>
      <c r="U1011" s="2" t="s">
        <v>2671</v>
      </c>
      <c r="V1011" s="2" t="s">
        <v>47</v>
      </c>
      <c r="W1011" s="2" t="s">
        <v>74</v>
      </c>
      <c r="X1011" s="2">
        <v>22.68</v>
      </c>
    </row>
    <row r="1012" spans="1:24" x14ac:dyDescent="0.3">
      <c r="A1012">
        <v>18905</v>
      </c>
      <c r="B1012" t="s">
        <v>3594</v>
      </c>
      <c r="C1012" s="3">
        <v>41652</v>
      </c>
      <c r="D1012" t="s">
        <v>39</v>
      </c>
      <c r="E1012">
        <v>13</v>
      </c>
      <c r="F1012" s="3">
        <f ca="1">41654+(RANDBETWEEN(1,10))</f>
        <v>41659</v>
      </c>
      <c r="G1012" t="s">
        <v>26</v>
      </c>
      <c r="H1012" t="s">
        <v>27</v>
      </c>
      <c r="I1012" t="s">
        <v>28</v>
      </c>
      <c r="J1012">
        <v>4567.1499999999996</v>
      </c>
      <c r="K1012">
        <v>0.09</v>
      </c>
      <c r="L1012">
        <v>0.57999999999999996</v>
      </c>
      <c r="M1012">
        <v>26.914999999999999</v>
      </c>
      <c r="N1012">
        <v>193.91399999999999</v>
      </c>
      <c r="O1012" s="1" t="s">
        <v>64</v>
      </c>
      <c r="P1012" s="1" t="s">
        <v>3595</v>
      </c>
      <c r="Q1012" s="1" t="s">
        <v>3596</v>
      </c>
      <c r="R1012" s="1" t="s">
        <v>67</v>
      </c>
      <c r="S1012" s="1" t="s">
        <v>3597</v>
      </c>
      <c r="T1012" s="1" t="s">
        <v>3598</v>
      </c>
      <c r="U1012" s="2" t="s">
        <v>2511</v>
      </c>
      <c r="V1012" s="2" t="s">
        <v>36</v>
      </c>
      <c r="W1012" s="2" t="s">
        <v>37</v>
      </c>
      <c r="X1012" s="2">
        <v>440.96499999999997</v>
      </c>
    </row>
    <row r="1013" spans="1:24" x14ac:dyDescent="0.3">
      <c r="A1013">
        <v>18906</v>
      </c>
      <c r="B1013" t="s">
        <v>3599</v>
      </c>
      <c r="C1013" s="3">
        <v>41506</v>
      </c>
      <c r="D1013" t="s">
        <v>148</v>
      </c>
      <c r="E1013">
        <v>8</v>
      </c>
      <c r="F1013" s="3">
        <f ca="1">41506+(RANDBETWEEN(1,10))</f>
        <v>41516</v>
      </c>
      <c r="G1013" t="s">
        <v>156</v>
      </c>
      <c r="H1013" t="s">
        <v>96</v>
      </c>
      <c r="I1013" t="s">
        <v>97</v>
      </c>
      <c r="J1013">
        <v>203.21</v>
      </c>
      <c r="K1013">
        <v>0.1</v>
      </c>
      <c r="L1013">
        <v>0.36</v>
      </c>
      <c r="M1013">
        <v>20.405000000000001</v>
      </c>
      <c r="N1013">
        <v>-66.357200000000006</v>
      </c>
      <c r="O1013" s="1" t="s">
        <v>87</v>
      </c>
      <c r="P1013" s="1" t="s">
        <v>3288</v>
      </c>
      <c r="Q1013" s="1" t="s">
        <v>3289</v>
      </c>
      <c r="R1013" s="1" t="s">
        <v>398</v>
      </c>
      <c r="S1013" s="1" t="s">
        <v>3290</v>
      </c>
      <c r="T1013" s="1" t="s">
        <v>3291</v>
      </c>
      <c r="U1013" s="2" t="s">
        <v>605</v>
      </c>
      <c r="V1013" s="2" t="s">
        <v>47</v>
      </c>
      <c r="W1013" s="2" t="s">
        <v>74</v>
      </c>
      <c r="X1013" s="2">
        <v>26.74</v>
      </c>
    </row>
    <row r="1014" spans="1:24" x14ac:dyDescent="0.3">
      <c r="A1014">
        <v>18907</v>
      </c>
      <c r="B1014" t="s">
        <v>3599</v>
      </c>
      <c r="C1014" s="3">
        <v>41506</v>
      </c>
      <c r="D1014" t="s">
        <v>148</v>
      </c>
      <c r="E1014">
        <v>15</v>
      </c>
      <c r="F1014" s="3">
        <f ca="1">41509+(RANDBETWEEN(1,10))</f>
        <v>41519</v>
      </c>
      <c r="G1014" t="s">
        <v>26</v>
      </c>
      <c r="H1014" t="s">
        <v>27</v>
      </c>
      <c r="I1014" t="s">
        <v>97</v>
      </c>
      <c r="J1014">
        <v>537.11</v>
      </c>
      <c r="K1014">
        <v>0.05</v>
      </c>
      <c r="L1014">
        <v>0.4</v>
      </c>
      <c r="M1014">
        <v>17.920000000000002</v>
      </c>
      <c r="N1014">
        <v>69.722800000000007</v>
      </c>
      <c r="O1014" s="1" t="s">
        <v>87</v>
      </c>
      <c r="P1014" s="1" t="s">
        <v>3288</v>
      </c>
      <c r="Q1014" s="1" t="s">
        <v>3289</v>
      </c>
      <c r="R1014" s="1" t="s">
        <v>398</v>
      </c>
      <c r="S1014" s="1" t="s">
        <v>3290</v>
      </c>
      <c r="T1014" s="1" t="s">
        <v>3291</v>
      </c>
      <c r="U1014" s="2" t="s">
        <v>2693</v>
      </c>
      <c r="V1014" s="2" t="s">
        <v>47</v>
      </c>
      <c r="W1014" s="2" t="s">
        <v>74</v>
      </c>
      <c r="X1014" s="2">
        <v>34.965000000000003</v>
      </c>
    </row>
    <row r="1015" spans="1:24" x14ac:dyDescent="0.3">
      <c r="A1015">
        <v>18908</v>
      </c>
      <c r="B1015" t="s">
        <v>3600</v>
      </c>
      <c r="C1015" s="3">
        <v>41969</v>
      </c>
      <c r="D1015" t="s">
        <v>148</v>
      </c>
      <c r="E1015">
        <v>32</v>
      </c>
      <c r="F1015" s="3">
        <f ca="1">41971+(RANDBETWEEN(1,10))</f>
        <v>41972</v>
      </c>
      <c r="G1015" t="s">
        <v>26</v>
      </c>
      <c r="H1015" t="s">
        <v>96</v>
      </c>
      <c r="I1015" t="s">
        <v>86</v>
      </c>
      <c r="J1015">
        <v>287.07</v>
      </c>
      <c r="K1015">
        <v>0.04</v>
      </c>
      <c r="L1015">
        <v>0.39</v>
      </c>
      <c r="M1015">
        <v>2.8</v>
      </c>
      <c r="N1015">
        <v>-35.524999999999999</v>
      </c>
      <c r="O1015" s="1" t="s">
        <v>87</v>
      </c>
      <c r="P1015" s="1" t="s">
        <v>3601</v>
      </c>
      <c r="Q1015" s="1" t="s">
        <v>3602</v>
      </c>
      <c r="R1015" s="1" t="s">
        <v>90</v>
      </c>
      <c r="S1015" s="1" t="s">
        <v>3603</v>
      </c>
      <c r="T1015" s="1" t="s">
        <v>3604</v>
      </c>
      <c r="U1015" s="2" t="s">
        <v>2672</v>
      </c>
      <c r="V1015" s="2" t="s">
        <v>47</v>
      </c>
      <c r="W1015" s="2" t="s">
        <v>176</v>
      </c>
      <c r="X1015" s="2">
        <v>9.17</v>
      </c>
    </row>
    <row r="1016" spans="1:24" x14ac:dyDescent="0.3">
      <c r="A1016">
        <v>18909</v>
      </c>
      <c r="B1016" t="s">
        <v>3605</v>
      </c>
      <c r="C1016" s="3">
        <v>41107</v>
      </c>
      <c r="D1016" t="s">
        <v>39</v>
      </c>
      <c r="E1016">
        <v>13</v>
      </c>
      <c r="F1016" s="3">
        <f ca="1">41109+(RANDBETWEEN(1,10))</f>
        <v>41116</v>
      </c>
      <c r="G1016" t="s">
        <v>26</v>
      </c>
      <c r="H1016" t="s">
        <v>27</v>
      </c>
      <c r="I1016" t="s">
        <v>97</v>
      </c>
      <c r="J1016">
        <v>203.91</v>
      </c>
      <c r="K1016">
        <v>0.05</v>
      </c>
      <c r="L1016">
        <v>0.59</v>
      </c>
      <c r="M1016">
        <v>18.024999999999999</v>
      </c>
      <c r="N1016">
        <v>-507.85</v>
      </c>
      <c r="O1016" s="1" t="s">
        <v>40</v>
      </c>
      <c r="P1016" s="1" t="s">
        <v>3606</v>
      </c>
      <c r="Q1016" s="1" t="s">
        <v>3607</v>
      </c>
      <c r="R1016" s="1" t="s">
        <v>43</v>
      </c>
      <c r="S1016" s="1" t="s">
        <v>3608</v>
      </c>
      <c r="T1016" s="1" t="s">
        <v>3609</v>
      </c>
      <c r="U1016" s="2" t="s">
        <v>3610</v>
      </c>
      <c r="V1016" s="2" t="s">
        <v>47</v>
      </c>
      <c r="W1016" s="2" t="s">
        <v>71</v>
      </c>
      <c r="X1016" s="2">
        <v>15.295</v>
      </c>
    </row>
    <row r="1017" spans="1:24" x14ac:dyDescent="0.3">
      <c r="A1017">
        <v>18910</v>
      </c>
      <c r="B1017" t="s">
        <v>3605</v>
      </c>
      <c r="C1017" s="3">
        <v>41107</v>
      </c>
      <c r="D1017" t="s">
        <v>39</v>
      </c>
      <c r="E1017">
        <v>8</v>
      </c>
      <c r="F1017" s="3">
        <f ca="1">41109+(RANDBETWEEN(1,10))</f>
        <v>41113</v>
      </c>
      <c r="G1017" t="s">
        <v>26</v>
      </c>
      <c r="H1017" t="s">
        <v>96</v>
      </c>
      <c r="I1017" t="s">
        <v>97</v>
      </c>
      <c r="J1017">
        <v>541.94000000000005</v>
      </c>
      <c r="K1017">
        <v>0.06</v>
      </c>
      <c r="L1017">
        <v>0.44</v>
      </c>
      <c r="M1017">
        <v>14.35</v>
      </c>
      <c r="N1017">
        <v>373.93860000000001</v>
      </c>
      <c r="O1017" s="1" t="s">
        <v>40</v>
      </c>
      <c r="P1017" s="1" t="s">
        <v>3606</v>
      </c>
      <c r="Q1017" s="1" t="s">
        <v>3607</v>
      </c>
      <c r="R1017" s="1" t="s">
        <v>43</v>
      </c>
      <c r="S1017" s="1" t="s">
        <v>3608</v>
      </c>
      <c r="T1017" s="1" t="s">
        <v>3609</v>
      </c>
      <c r="U1017" s="2" t="s">
        <v>550</v>
      </c>
      <c r="V1017" s="2" t="s">
        <v>47</v>
      </c>
      <c r="W1017" s="2" t="s">
        <v>104</v>
      </c>
      <c r="X1017" s="2">
        <v>69.44</v>
      </c>
    </row>
    <row r="1018" spans="1:24" x14ac:dyDescent="0.3">
      <c r="A1018">
        <v>18911</v>
      </c>
      <c r="B1018" t="s">
        <v>3611</v>
      </c>
      <c r="C1018" s="3">
        <v>41802</v>
      </c>
      <c r="D1018" t="s">
        <v>62</v>
      </c>
      <c r="E1018">
        <v>4</v>
      </c>
      <c r="F1018" s="3">
        <f ca="1">41805+(RANDBETWEEN(1,10))</f>
        <v>41814</v>
      </c>
      <c r="G1018" t="s">
        <v>156</v>
      </c>
      <c r="H1018" t="s">
        <v>51</v>
      </c>
      <c r="I1018" t="s">
        <v>28</v>
      </c>
      <c r="J1018">
        <v>397.565</v>
      </c>
      <c r="K1018">
        <v>7.0000000000000007E-2</v>
      </c>
      <c r="L1018">
        <v>0.56999999999999995</v>
      </c>
      <c r="M1018">
        <v>31.465</v>
      </c>
      <c r="N1018">
        <v>-54.124000000000002</v>
      </c>
      <c r="O1018" s="1" t="s">
        <v>87</v>
      </c>
      <c r="P1018" s="1" t="s">
        <v>3612</v>
      </c>
      <c r="Q1018" s="1" t="s">
        <v>3613</v>
      </c>
      <c r="R1018" s="1" t="s">
        <v>90</v>
      </c>
      <c r="S1018" s="1" t="s">
        <v>1093</v>
      </c>
      <c r="T1018" s="1" t="s">
        <v>1094</v>
      </c>
      <c r="U1018" s="2" t="s">
        <v>3614</v>
      </c>
      <c r="V1018" s="2" t="s">
        <v>47</v>
      </c>
      <c r="W1018" s="2" t="s">
        <v>104</v>
      </c>
      <c r="X1018" s="2">
        <v>98.525000000000006</v>
      </c>
    </row>
    <row r="1019" spans="1:24" x14ac:dyDescent="0.3">
      <c r="A1019">
        <v>18912</v>
      </c>
      <c r="B1019" t="s">
        <v>3615</v>
      </c>
      <c r="C1019" s="3">
        <v>41278</v>
      </c>
      <c r="D1019" t="s">
        <v>25</v>
      </c>
      <c r="E1019">
        <v>6</v>
      </c>
      <c r="F1019" s="3">
        <f ca="1">41282+(RANDBETWEEN(1,10))</f>
        <v>41284</v>
      </c>
      <c r="G1019" t="s">
        <v>26</v>
      </c>
      <c r="H1019" t="s">
        <v>27</v>
      </c>
      <c r="I1019" t="s">
        <v>28</v>
      </c>
      <c r="J1019">
        <v>177.625</v>
      </c>
      <c r="K1019">
        <v>0.09</v>
      </c>
      <c r="L1019">
        <v>0.57999999999999996</v>
      </c>
      <c r="M1019">
        <v>12.25</v>
      </c>
      <c r="N1019">
        <v>16501.968000000001</v>
      </c>
      <c r="O1019" s="1" t="s">
        <v>225</v>
      </c>
      <c r="P1019" s="1" t="s">
        <v>3616</v>
      </c>
      <c r="Q1019" s="1" t="s">
        <v>3617</v>
      </c>
      <c r="R1019" s="1" t="s">
        <v>228</v>
      </c>
      <c r="S1019" s="1" t="s">
        <v>3618</v>
      </c>
      <c r="T1019" s="1" t="s">
        <v>3619</v>
      </c>
      <c r="U1019" s="2" t="s">
        <v>2447</v>
      </c>
      <c r="V1019" s="2" t="s">
        <v>47</v>
      </c>
      <c r="W1019" s="2" t="s">
        <v>71</v>
      </c>
      <c r="X1019" s="2">
        <v>30.344999999999999</v>
      </c>
    </row>
    <row r="1020" spans="1:24" x14ac:dyDescent="0.3">
      <c r="A1020">
        <v>18913</v>
      </c>
      <c r="B1020" t="s">
        <v>3615</v>
      </c>
      <c r="C1020" s="3">
        <v>41278</v>
      </c>
      <c r="D1020" t="s">
        <v>25</v>
      </c>
      <c r="E1020">
        <v>10</v>
      </c>
      <c r="F1020" s="3">
        <f ca="1">41283+(RANDBETWEEN(1,10))</f>
        <v>41287</v>
      </c>
      <c r="G1020" t="s">
        <v>76</v>
      </c>
      <c r="H1020" t="s">
        <v>258</v>
      </c>
      <c r="I1020" t="s">
        <v>28</v>
      </c>
      <c r="J1020">
        <v>7806.33</v>
      </c>
      <c r="K1020">
        <v>0.04</v>
      </c>
      <c r="L1020">
        <v>0.66</v>
      </c>
      <c r="M1020">
        <v>124.845</v>
      </c>
      <c r="N1020">
        <v>12396.480600000001</v>
      </c>
      <c r="O1020" s="1" t="s">
        <v>87</v>
      </c>
      <c r="P1020" s="1" t="s">
        <v>3620</v>
      </c>
      <c r="Q1020" s="1" t="s">
        <v>3621</v>
      </c>
      <c r="R1020" s="1" t="s">
        <v>90</v>
      </c>
      <c r="S1020" s="1" t="s">
        <v>3622</v>
      </c>
      <c r="T1020" s="1" t="s">
        <v>3623</v>
      </c>
      <c r="U1020" s="2" t="s">
        <v>1073</v>
      </c>
      <c r="V1020" s="2" t="s">
        <v>83</v>
      </c>
      <c r="W1020" s="2" t="s">
        <v>263</v>
      </c>
      <c r="X1020" s="2">
        <v>983.43</v>
      </c>
    </row>
    <row r="1021" spans="1:24" x14ac:dyDescent="0.3">
      <c r="A1021">
        <v>18914</v>
      </c>
      <c r="B1021" t="s">
        <v>3624</v>
      </c>
      <c r="C1021" s="3">
        <v>40897</v>
      </c>
      <c r="D1021" t="s">
        <v>62</v>
      </c>
      <c r="E1021">
        <v>6</v>
      </c>
      <c r="F1021" s="3">
        <f ca="1">40899+(RANDBETWEEN(1,10))</f>
        <v>40903</v>
      </c>
      <c r="G1021" t="s">
        <v>76</v>
      </c>
      <c r="H1021" t="s">
        <v>77</v>
      </c>
      <c r="I1021" t="s">
        <v>52</v>
      </c>
      <c r="J1021">
        <v>30231.040000000001</v>
      </c>
      <c r="K1021">
        <v>0.02</v>
      </c>
      <c r="L1021">
        <v>0.59</v>
      </c>
      <c r="M1021">
        <v>51.45</v>
      </c>
      <c r="N1021">
        <v>10647.63</v>
      </c>
      <c r="O1021" s="1" t="s">
        <v>53</v>
      </c>
      <c r="P1021" s="1" t="s">
        <v>3625</v>
      </c>
      <c r="Q1021" s="1" t="s">
        <v>3626</v>
      </c>
      <c r="R1021" s="1" t="s">
        <v>100</v>
      </c>
      <c r="S1021" s="1" t="s">
        <v>101</v>
      </c>
      <c r="T1021" s="1" t="s">
        <v>3627</v>
      </c>
      <c r="U1021" s="2" t="s">
        <v>1332</v>
      </c>
      <c r="V1021" s="2" t="s">
        <v>36</v>
      </c>
      <c r="W1021" s="2" t="s">
        <v>142</v>
      </c>
      <c r="X1021" s="2">
        <v>4760.49</v>
      </c>
    </row>
    <row r="1022" spans="1:24" x14ac:dyDescent="0.3">
      <c r="A1022">
        <v>18915</v>
      </c>
      <c r="B1022" t="s">
        <v>3628</v>
      </c>
      <c r="C1022" s="3">
        <v>41295</v>
      </c>
      <c r="D1022" t="s">
        <v>25</v>
      </c>
      <c r="E1022">
        <v>7</v>
      </c>
      <c r="F1022" s="3">
        <f ca="1">41295+(RANDBETWEEN(1,10))</f>
        <v>41305</v>
      </c>
      <c r="G1022" t="s">
        <v>26</v>
      </c>
      <c r="H1022" t="s">
        <v>27</v>
      </c>
      <c r="I1022" t="s">
        <v>52</v>
      </c>
      <c r="J1022">
        <v>422.38</v>
      </c>
      <c r="K1022">
        <v>0.01</v>
      </c>
      <c r="L1022">
        <v>0.37</v>
      </c>
      <c r="M1022">
        <v>14</v>
      </c>
      <c r="N1022">
        <v>291.44220000000001</v>
      </c>
      <c r="O1022" s="1" t="s">
        <v>225</v>
      </c>
      <c r="P1022" s="1" t="s">
        <v>3629</v>
      </c>
      <c r="Q1022" s="1" t="s">
        <v>3630</v>
      </c>
      <c r="R1022" s="1" t="s">
        <v>228</v>
      </c>
      <c r="S1022" s="1" t="s">
        <v>3631</v>
      </c>
      <c r="T1022" s="1" t="s">
        <v>3632</v>
      </c>
      <c r="U1022" s="2" t="s">
        <v>1006</v>
      </c>
      <c r="V1022" s="2" t="s">
        <v>36</v>
      </c>
      <c r="W1022" s="2" t="s">
        <v>60</v>
      </c>
      <c r="X1022" s="2">
        <v>55.93</v>
      </c>
    </row>
    <row r="1023" spans="1:24" x14ac:dyDescent="0.3">
      <c r="A1023">
        <v>18916</v>
      </c>
      <c r="B1023" t="s">
        <v>3633</v>
      </c>
      <c r="C1023" s="3">
        <v>41415</v>
      </c>
      <c r="D1023" t="s">
        <v>62</v>
      </c>
      <c r="E1023">
        <v>8</v>
      </c>
      <c r="F1023" s="3">
        <f ca="1">41415+(RANDBETWEEN(1,10))</f>
        <v>41416</v>
      </c>
      <c r="G1023" t="s">
        <v>26</v>
      </c>
      <c r="H1023" t="s">
        <v>51</v>
      </c>
      <c r="I1023" t="s">
        <v>28</v>
      </c>
      <c r="J1023">
        <v>998.44500000000005</v>
      </c>
      <c r="K1023">
        <v>0.01</v>
      </c>
      <c r="L1023">
        <v>0.45</v>
      </c>
      <c r="M1023">
        <v>6.9649999999999999</v>
      </c>
      <c r="N1023">
        <v>688.92705000000001</v>
      </c>
      <c r="O1023" s="1" t="s">
        <v>87</v>
      </c>
      <c r="P1023" s="1" t="s">
        <v>1567</v>
      </c>
      <c r="Q1023" s="1" t="s">
        <v>1568</v>
      </c>
      <c r="R1023" s="1" t="s">
        <v>646</v>
      </c>
      <c r="S1023" s="1" t="s">
        <v>1569</v>
      </c>
      <c r="T1023" s="1" t="s">
        <v>1570</v>
      </c>
      <c r="U1023" s="2" t="s">
        <v>2969</v>
      </c>
      <c r="V1023" s="2" t="s">
        <v>36</v>
      </c>
      <c r="W1023" s="2" t="s">
        <v>60</v>
      </c>
      <c r="X1023" s="2">
        <v>118.93</v>
      </c>
    </row>
    <row r="1024" spans="1:24" x14ac:dyDescent="0.3">
      <c r="A1024">
        <v>18917</v>
      </c>
      <c r="B1024" t="s">
        <v>3634</v>
      </c>
      <c r="C1024" s="3">
        <v>40878</v>
      </c>
      <c r="D1024" t="s">
        <v>25</v>
      </c>
      <c r="E1024">
        <v>13</v>
      </c>
      <c r="F1024" s="3">
        <f ca="1">40885+(RANDBETWEEN(1,10))</f>
        <v>40892</v>
      </c>
      <c r="G1024" t="s">
        <v>26</v>
      </c>
      <c r="H1024" t="s">
        <v>51</v>
      </c>
      <c r="I1024" t="s">
        <v>52</v>
      </c>
      <c r="J1024">
        <v>304.85000000000002</v>
      </c>
      <c r="K1024">
        <v>0.09</v>
      </c>
      <c r="L1024">
        <v>0.57999999999999996</v>
      </c>
      <c r="M1024">
        <v>29.295000000000002</v>
      </c>
      <c r="N1024">
        <v>-310.04750000000001</v>
      </c>
      <c r="O1024" s="1" t="s">
        <v>53</v>
      </c>
      <c r="P1024" s="1" t="s">
        <v>833</v>
      </c>
      <c r="Q1024" s="1" t="s">
        <v>834</v>
      </c>
      <c r="R1024" s="1" t="s">
        <v>100</v>
      </c>
      <c r="S1024" s="1" t="s">
        <v>835</v>
      </c>
      <c r="T1024" s="1" t="s">
        <v>836</v>
      </c>
      <c r="U1024" s="2" t="s">
        <v>3635</v>
      </c>
      <c r="V1024" s="2" t="s">
        <v>47</v>
      </c>
      <c r="W1024" s="2" t="s">
        <v>94</v>
      </c>
      <c r="X1024" s="2">
        <v>23.94</v>
      </c>
    </row>
    <row r="1025" spans="1:24" x14ac:dyDescent="0.3">
      <c r="A1025">
        <v>18918</v>
      </c>
      <c r="B1025" t="s">
        <v>3634</v>
      </c>
      <c r="C1025" s="3">
        <v>40878</v>
      </c>
      <c r="D1025" t="s">
        <v>25</v>
      </c>
      <c r="E1025">
        <v>15</v>
      </c>
      <c r="F1025" s="3">
        <f ca="1">40880+(RANDBETWEEN(1,10))</f>
        <v>40884</v>
      </c>
      <c r="G1025" t="s">
        <v>156</v>
      </c>
      <c r="H1025" t="s">
        <v>63</v>
      </c>
      <c r="I1025" t="s">
        <v>52</v>
      </c>
      <c r="J1025">
        <v>2579.0100000000002</v>
      </c>
      <c r="K1025">
        <v>7.0000000000000007E-2</v>
      </c>
      <c r="L1025">
        <v>0.83</v>
      </c>
      <c r="M1025">
        <v>122.5</v>
      </c>
      <c r="N1025">
        <v>-1699.88</v>
      </c>
      <c r="O1025" s="1" t="s">
        <v>53</v>
      </c>
      <c r="P1025" s="1" t="s">
        <v>833</v>
      </c>
      <c r="Q1025" s="1" t="s">
        <v>834</v>
      </c>
      <c r="R1025" s="1" t="s">
        <v>100</v>
      </c>
      <c r="S1025" s="1" t="s">
        <v>835</v>
      </c>
      <c r="T1025" s="1" t="s">
        <v>836</v>
      </c>
      <c r="U1025" s="2" t="s">
        <v>279</v>
      </c>
      <c r="V1025" s="2" t="s">
        <v>47</v>
      </c>
      <c r="W1025" s="2" t="s">
        <v>119</v>
      </c>
      <c r="X1025" s="2">
        <v>171.185</v>
      </c>
    </row>
    <row r="1026" spans="1:24" x14ac:dyDescent="0.3">
      <c r="A1026">
        <v>18919</v>
      </c>
      <c r="B1026" t="s">
        <v>3636</v>
      </c>
      <c r="C1026" s="3">
        <v>41476</v>
      </c>
      <c r="D1026" t="s">
        <v>25</v>
      </c>
      <c r="E1026">
        <v>12</v>
      </c>
      <c r="F1026" s="3">
        <f ca="1">41481+(RANDBETWEEN(1,10))</f>
        <v>41486</v>
      </c>
      <c r="G1026" t="s">
        <v>76</v>
      </c>
      <c r="H1026" t="s">
        <v>77</v>
      </c>
      <c r="I1026" t="s">
        <v>28</v>
      </c>
      <c r="J1026">
        <v>21032.76</v>
      </c>
      <c r="K1026">
        <v>0.02</v>
      </c>
      <c r="L1026">
        <v>0.38</v>
      </c>
      <c r="M1026">
        <v>98.49</v>
      </c>
      <c r="N1026">
        <v>14512.6044</v>
      </c>
      <c r="O1026" s="1" t="s">
        <v>40</v>
      </c>
      <c r="P1026" s="1" t="s">
        <v>3637</v>
      </c>
      <c r="Q1026" s="1" t="s">
        <v>3638</v>
      </c>
      <c r="R1026" s="1" t="s">
        <v>43</v>
      </c>
      <c r="S1026" s="1" t="s">
        <v>3639</v>
      </c>
      <c r="T1026" s="1" t="s">
        <v>3640</v>
      </c>
      <c r="U1026" s="2" t="s">
        <v>720</v>
      </c>
      <c r="V1026" s="2" t="s">
        <v>36</v>
      </c>
      <c r="W1026" s="2" t="s">
        <v>142</v>
      </c>
      <c r="X1026" s="2">
        <v>1753.43</v>
      </c>
    </row>
    <row r="1027" spans="1:24" x14ac:dyDescent="0.3">
      <c r="A1027">
        <v>18920</v>
      </c>
      <c r="B1027" t="s">
        <v>3641</v>
      </c>
      <c r="C1027" s="3">
        <v>41136</v>
      </c>
      <c r="D1027" t="s">
        <v>39</v>
      </c>
      <c r="E1027">
        <v>10</v>
      </c>
      <c r="F1027" s="3">
        <f ca="1">41138+(RANDBETWEEN(1,10))</f>
        <v>41141</v>
      </c>
      <c r="G1027" t="s">
        <v>76</v>
      </c>
      <c r="H1027" t="s">
        <v>258</v>
      </c>
      <c r="I1027" t="s">
        <v>28</v>
      </c>
      <c r="J1027">
        <v>32052.264999999999</v>
      </c>
      <c r="K1027">
        <v>0.01</v>
      </c>
      <c r="L1027">
        <v>0.62</v>
      </c>
      <c r="M1027">
        <v>155.92500000000001</v>
      </c>
      <c r="N1027">
        <v>230.65559999999999</v>
      </c>
      <c r="O1027" s="1" t="s">
        <v>53</v>
      </c>
      <c r="P1027" s="1" t="s">
        <v>2827</v>
      </c>
      <c r="Q1027" s="1" t="s">
        <v>2828</v>
      </c>
      <c r="R1027" s="1" t="s">
        <v>100</v>
      </c>
      <c r="S1027" s="1" t="s">
        <v>2829</v>
      </c>
      <c r="T1027" s="1" t="s">
        <v>2830</v>
      </c>
      <c r="U1027" s="2" t="s">
        <v>1930</v>
      </c>
      <c r="V1027" s="2" t="s">
        <v>83</v>
      </c>
      <c r="W1027" s="2" t="s">
        <v>298</v>
      </c>
      <c r="X1027" s="2">
        <v>3083.43</v>
      </c>
    </row>
    <row r="1028" spans="1:24" x14ac:dyDescent="0.3">
      <c r="A1028">
        <v>18921</v>
      </c>
      <c r="B1028" t="s">
        <v>3642</v>
      </c>
      <c r="C1028" s="3">
        <v>40678</v>
      </c>
      <c r="D1028" t="s">
        <v>62</v>
      </c>
      <c r="E1028">
        <v>16</v>
      </c>
      <c r="F1028" s="3">
        <f ca="1">40678+(RANDBETWEEN(1,10))</f>
        <v>40684</v>
      </c>
      <c r="G1028" t="s">
        <v>26</v>
      </c>
      <c r="H1028" t="s">
        <v>27</v>
      </c>
      <c r="I1028" t="s">
        <v>86</v>
      </c>
      <c r="J1028">
        <v>2242.4850000000001</v>
      </c>
      <c r="K1028">
        <v>0.02</v>
      </c>
      <c r="L1028">
        <v>0.37</v>
      </c>
      <c r="M1028">
        <v>36.924999999999997</v>
      </c>
      <c r="N1028">
        <v>1547.31465</v>
      </c>
      <c r="O1028" s="1" t="s">
        <v>29</v>
      </c>
      <c r="P1028" s="1" t="s">
        <v>3643</v>
      </c>
      <c r="Q1028" s="1" t="s">
        <v>3644</v>
      </c>
      <c r="R1028" s="1" t="s">
        <v>460</v>
      </c>
      <c r="S1028" s="1" t="s">
        <v>3645</v>
      </c>
      <c r="T1028" s="1" t="s">
        <v>3646</v>
      </c>
      <c r="U1028" s="2" t="s">
        <v>3647</v>
      </c>
      <c r="V1028" s="2" t="s">
        <v>47</v>
      </c>
      <c r="W1028" s="2" t="s">
        <v>111</v>
      </c>
      <c r="X1028" s="2">
        <v>136.71</v>
      </c>
    </row>
    <row r="1029" spans="1:24" x14ac:dyDescent="0.3">
      <c r="A1029">
        <v>18922</v>
      </c>
      <c r="B1029" t="s">
        <v>3642</v>
      </c>
      <c r="C1029" s="3">
        <v>40678</v>
      </c>
      <c r="D1029" t="s">
        <v>62</v>
      </c>
      <c r="E1029">
        <v>18</v>
      </c>
      <c r="F1029" s="3">
        <f ca="1">40679+(RANDBETWEEN(1,10))</f>
        <v>40683</v>
      </c>
      <c r="G1029" t="s">
        <v>26</v>
      </c>
      <c r="H1029" t="s">
        <v>27</v>
      </c>
      <c r="I1029" t="s">
        <v>86</v>
      </c>
      <c r="J1029">
        <v>2308.6</v>
      </c>
      <c r="K1029">
        <v>0.1</v>
      </c>
      <c r="L1029">
        <v>0.35</v>
      </c>
      <c r="M1029">
        <v>10.465</v>
      </c>
      <c r="N1029">
        <v>1592.934</v>
      </c>
      <c r="O1029" s="1" t="s">
        <v>29</v>
      </c>
      <c r="P1029" s="1" t="s">
        <v>3643</v>
      </c>
      <c r="Q1029" s="1" t="s">
        <v>3644</v>
      </c>
      <c r="R1029" s="1" t="s">
        <v>460</v>
      </c>
      <c r="S1029" s="1" t="s">
        <v>3645</v>
      </c>
      <c r="T1029" s="1" t="s">
        <v>3646</v>
      </c>
      <c r="U1029" s="2" t="s">
        <v>1132</v>
      </c>
      <c r="V1029" s="2" t="s">
        <v>47</v>
      </c>
      <c r="W1029" s="2" t="s">
        <v>111</v>
      </c>
      <c r="X1029" s="2">
        <v>131.94999999999999</v>
      </c>
    </row>
    <row r="1030" spans="1:24" x14ac:dyDescent="0.3">
      <c r="A1030">
        <v>18923</v>
      </c>
      <c r="B1030" t="s">
        <v>3648</v>
      </c>
      <c r="C1030" s="3">
        <v>41015</v>
      </c>
      <c r="D1030" t="s">
        <v>25</v>
      </c>
      <c r="E1030">
        <v>12</v>
      </c>
      <c r="F1030" s="3">
        <f ca="1">41019+(RANDBETWEEN(1,10))</f>
        <v>41020</v>
      </c>
      <c r="G1030" t="s">
        <v>76</v>
      </c>
      <c r="H1030" t="s">
        <v>77</v>
      </c>
      <c r="I1030" t="s">
        <v>86</v>
      </c>
      <c r="J1030">
        <v>17179.715</v>
      </c>
      <c r="K1030">
        <v>0.1</v>
      </c>
      <c r="L1030">
        <v>0.38</v>
      </c>
      <c r="M1030">
        <v>171.5</v>
      </c>
      <c r="N1030">
        <v>11854.003350000001</v>
      </c>
      <c r="O1030" s="1" t="s">
        <v>64</v>
      </c>
      <c r="P1030" s="1" t="s">
        <v>2869</v>
      </c>
      <c r="Q1030" s="1" t="s">
        <v>2870</v>
      </c>
      <c r="R1030" s="1" t="s">
        <v>128</v>
      </c>
      <c r="S1030" s="1" t="s">
        <v>521</v>
      </c>
      <c r="T1030" s="1" t="s">
        <v>522</v>
      </c>
      <c r="U1030" s="2" t="s">
        <v>1480</v>
      </c>
      <c r="V1030" s="2" t="s">
        <v>36</v>
      </c>
      <c r="W1030" s="2" t="s">
        <v>1327</v>
      </c>
      <c r="X1030" s="2">
        <v>1574.9649999999999</v>
      </c>
    </row>
    <row r="1031" spans="1:24" x14ac:dyDescent="0.3">
      <c r="A1031">
        <v>18924</v>
      </c>
      <c r="B1031" t="s">
        <v>3648</v>
      </c>
      <c r="C1031" s="3">
        <v>41015</v>
      </c>
      <c r="D1031" t="s">
        <v>25</v>
      </c>
      <c r="E1031">
        <v>10</v>
      </c>
      <c r="F1031" s="3">
        <f ca="1">41022+(RANDBETWEEN(1,10))</f>
        <v>41028</v>
      </c>
      <c r="G1031" t="s">
        <v>26</v>
      </c>
      <c r="H1031" t="s">
        <v>51</v>
      </c>
      <c r="I1031" t="s">
        <v>86</v>
      </c>
      <c r="J1031">
        <v>698.77499999999998</v>
      </c>
      <c r="K1031">
        <v>0</v>
      </c>
      <c r="L1031">
        <v>0.44</v>
      </c>
      <c r="M1031">
        <v>21.524999999999999</v>
      </c>
      <c r="N1031">
        <v>482.15474999999998</v>
      </c>
      <c r="O1031" s="1" t="s">
        <v>64</v>
      </c>
      <c r="P1031" s="1" t="s">
        <v>2869</v>
      </c>
      <c r="Q1031" s="1" t="s">
        <v>2870</v>
      </c>
      <c r="R1031" s="1" t="s">
        <v>128</v>
      </c>
      <c r="S1031" s="1" t="s">
        <v>521</v>
      </c>
      <c r="T1031" s="1" t="s">
        <v>522</v>
      </c>
      <c r="U1031" s="2" t="s">
        <v>3649</v>
      </c>
      <c r="V1031" s="2" t="s">
        <v>83</v>
      </c>
      <c r="W1031" s="2" t="s">
        <v>178</v>
      </c>
      <c r="X1031" s="2">
        <v>67.305000000000007</v>
      </c>
    </row>
    <row r="1032" spans="1:24" x14ac:dyDescent="0.3">
      <c r="A1032">
        <v>18925</v>
      </c>
      <c r="B1032" t="s">
        <v>3650</v>
      </c>
      <c r="C1032" s="3">
        <v>41783</v>
      </c>
      <c r="D1032" t="s">
        <v>62</v>
      </c>
      <c r="E1032">
        <v>5</v>
      </c>
      <c r="F1032" s="3">
        <f ca="1">41785+(RANDBETWEEN(1,10))</f>
        <v>41792</v>
      </c>
      <c r="G1032" t="s">
        <v>26</v>
      </c>
      <c r="H1032" t="s">
        <v>96</v>
      </c>
      <c r="I1032" t="s">
        <v>28</v>
      </c>
      <c r="J1032">
        <v>44.695</v>
      </c>
      <c r="K1032">
        <v>0.09</v>
      </c>
      <c r="L1032">
        <v>0.39</v>
      </c>
      <c r="M1032">
        <v>2.8</v>
      </c>
      <c r="N1032">
        <v>22.61</v>
      </c>
      <c r="O1032" s="1" t="s">
        <v>64</v>
      </c>
      <c r="P1032" s="1" t="s">
        <v>3651</v>
      </c>
      <c r="Q1032" s="1" t="s">
        <v>3652</v>
      </c>
      <c r="R1032" s="1" t="s">
        <v>67</v>
      </c>
      <c r="S1032" s="1" t="s">
        <v>3653</v>
      </c>
      <c r="T1032" s="1" t="s">
        <v>3654</v>
      </c>
      <c r="U1032" s="2" t="s">
        <v>2672</v>
      </c>
      <c r="V1032" s="2" t="s">
        <v>47</v>
      </c>
      <c r="W1032" s="2" t="s">
        <v>176</v>
      </c>
      <c r="X1032" s="2">
        <v>9.17</v>
      </c>
    </row>
    <row r="1033" spans="1:24" x14ac:dyDescent="0.3">
      <c r="A1033">
        <v>18926</v>
      </c>
      <c r="B1033" t="s">
        <v>3655</v>
      </c>
      <c r="C1033" s="3">
        <v>41817</v>
      </c>
      <c r="D1033" t="s">
        <v>25</v>
      </c>
      <c r="E1033">
        <v>18</v>
      </c>
      <c r="F1033" s="3">
        <f ca="1">41817+(RANDBETWEEN(1,10))</f>
        <v>41823</v>
      </c>
      <c r="G1033" t="s">
        <v>156</v>
      </c>
      <c r="H1033" t="s">
        <v>27</v>
      </c>
      <c r="I1033" t="s">
        <v>28</v>
      </c>
      <c r="J1033">
        <v>379.61</v>
      </c>
      <c r="K1033">
        <v>0.08</v>
      </c>
      <c r="L1033">
        <v>0.39</v>
      </c>
      <c r="M1033">
        <v>29.715</v>
      </c>
      <c r="N1033">
        <v>-783.81240000000003</v>
      </c>
      <c r="O1033" s="1" t="s">
        <v>64</v>
      </c>
      <c r="P1033" s="1" t="s">
        <v>3656</v>
      </c>
      <c r="Q1033" s="1" t="s">
        <v>3657</v>
      </c>
      <c r="R1033" s="1" t="s">
        <v>128</v>
      </c>
      <c r="S1033" s="1" t="s">
        <v>928</v>
      </c>
      <c r="T1033" s="1" t="s">
        <v>929</v>
      </c>
      <c r="U1033" s="2" t="s">
        <v>3658</v>
      </c>
      <c r="V1033" s="2" t="s">
        <v>47</v>
      </c>
      <c r="W1033" s="2" t="s">
        <v>111</v>
      </c>
      <c r="X1033" s="2">
        <v>20.335000000000001</v>
      </c>
    </row>
    <row r="1034" spans="1:24" x14ac:dyDescent="0.3">
      <c r="A1034">
        <v>18927</v>
      </c>
      <c r="B1034" t="s">
        <v>3659</v>
      </c>
      <c r="C1034" s="3">
        <v>41161</v>
      </c>
      <c r="D1034" t="s">
        <v>50</v>
      </c>
      <c r="E1034">
        <v>14</v>
      </c>
      <c r="F1034" s="3">
        <f ca="1">41162+(RANDBETWEEN(1,10))</f>
        <v>41166</v>
      </c>
      <c r="G1034" t="s">
        <v>26</v>
      </c>
      <c r="H1034" t="s">
        <v>27</v>
      </c>
      <c r="I1034" t="s">
        <v>97</v>
      </c>
      <c r="J1034">
        <v>260.19</v>
      </c>
      <c r="K1034">
        <v>0.03</v>
      </c>
      <c r="L1034">
        <v>0.36</v>
      </c>
      <c r="M1034">
        <v>20.09</v>
      </c>
      <c r="N1034">
        <v>1095.549</v>
      </c>
      <c r="O1034" s="1" t="s">
        <v>40</v>
      </c>
      <c r="P1034" s="1" t="s">
        <v>2388</v>
      </c>
      <c r="Q1034" s="1" t="s">
        <v>2389</v>
      </c>
      <c r="R1034" s="1" t="s">
        <v>220</v>
      </c>
      <c r="S1034" s="1" t="s">
        <v>2390</v>
      </c>
      <c r="T1034" s="1" t="s">
        <v>2391</v>
      </c>
      <c r="U1034" s="2" t="s">
        <v>1239</v>
      </c>
      <c r="V1034" s="2" t="s">
        <v>47</v>
      </c>
      <c r="W1034" s="2" t="s">
        <v>111</v>
      </c>
      <c r="X1034" s="2">
        <v>18.13</v>
      </c>
    </row>
    <row r="1035" spans="1:24" x14ac:dyDescent="0.3">
      <c r="A1035">
        <v>18928</v>
      </c>
      <c r="B1035" t="s">
        <v>3659</v>
      </c>
      <c r="C1035" s="3">
        <v>41161</v>
      </c>
      <c r="D1035" t="s">
        <v>50</v>
      </c>
      <c r="E1035">
        <v>16</v>
      </c>
      <c r="F1035" s="3">
        <f ca="1">41164+(RANDBETWEEN(1,10))</f>
        <v>41169</v>
      </c>
      <c r="G1035" t="s">
        <v>76</v>
      </c>
      <c r="H1035" t="s">
        <v>258</v>
      </c>
      <c r="I1035" t="s">
        <v>97</v>
      </c>
      <c r="J1035">
        <v>6573.42</v>
      </c>
      <c r="K1035">
        <v>0.08</v>
      </c>
      <c r="L1035">
        <v>0.75</v>
      </c>
      <c r="M1035">
        <v>205.24</v>
      </c>
      <c r="N1035">
        <v>66.338999999999999</v>
      </c>
      <c r="O1035" s="1" t="s">
        <v>53</v>
      </c>
      <c r="P1035" s="1" t="s">
        <v>3660</v>
      </c>
      <c r="Q1035" s="1" t="s">
        <v>3661</v>
      </c>
      <c r="R1035" s="1" t="s">
        <v>56</v>
      </c>
      <c r="S1035" s="1" t="s">
        <v>3662</v>
      </c>
      <c r="T1035" s="1" t="s">
        <v>3663</v>
      </c>
      <c r="U1035" s="2" t="s">
        <v>837</v>
      </c>
      <c r="V1035" s="2" t="s">
        <v>83</v>
      </c>
      <c r="W1035" s="2" t="s">
        <v>298</v>
      </c>
      <c r="X1035" s="2">
        <v>423.43</v>
      </c>
    </row>
    <row r="1036" spans="1:24" x14ac:dyDescent="0.3">
      <c r="A1036">
        <v>18929</v>
      </c>
      <c r="B1036" t="s">
        <v>3659</v>
      </c>
      <c r="C1036" s="3">
        <v>41161</v>
      </c>
      <c r="D1036" t="s">
        <v>50</v>
      </c>
      <c r="E1036">
        <v>4</v>
      </c>
      <c r="F1036" s="3">
        <f ca="1">41163+(RANDBETWEEN(1,10))</f>
        <v>41172</v>
      </c>
      <c r="G1036" t="s">
        <v>26</v>
      </c>
      <c r="H1036" t="s">
        <v>27</v>
      </c>
      <c r="I1036" t="s">
        <v>97</v>
      </c>
      <c r="J1036">
        <v>94.325000000000003</v>
      </c>
      <c r="K1036">
        <v>0.01</v>
      </c>
      <c r="L1036">
        <v>0.39</v>
      </c>
      <c r="M1036">
        <v>1.75</v>
      </c>
      <c r="N1036">
        <v>510.63600000000002</v>
      </c>
      <c r="O1036" s="1" t="s">
        <v>53</v>
      </c>
      <c r="P1036" s="1" t="s">
        <v>3660</v>
      </c>
      <c r="Q1036" s="1" t="s">
        <v>3661</v>
      </c>
      <c r="R1036" s="1" t="s">
        <v>56</v>
      </c>
      <c r="S1036" s="1" t="s">
        <v>3662</v>
      </c>
      <c r="T1036" s="1" t="s">
        <v>3663</v>
      </c>
      <c r="U1036" s="2" t="s">
        <v>2021</v>
      </c>
      <c r="V1036" s="2" t="s">
        <v>47</v>
      </c>
      <c r="W1036" s="2" t="s">
        <v>203</v>
      </c>
      <c r="X1036" s="2">
        <v>22.05</v>
      </c>
    </row>
    <row r="1037" spans="1:24" x14ac:dyDescent="0.3">
      <c r="A1037">
        <v>1893</v>
      </c>
      <c r="B1037" t="s">
        <v>3664</v>
      </c>
      <c r="C1037" s="3">
        <v>41867</v>
      </c>
      <c r="D1037" t="s">
        <v>25</v>
      </c>
      <c r="E1037">
        <v>34</v>
      </c>
      <c r="F1037" s="3">
        <f ca="1">41871+(RANDBETWEEN(1,10))</f>
        <v>41875</v>
      </c>
      <c r="G1037" t="s">
        <v>26</v>
      </c>
      <c r="H1037" t="s">
        <v>27</v>
      </c>
      <c r="I1037" t="s">
        <v>52</v>
      </c>
      <c r="J1037">
        <v>5760.37</v>
      </c>
      <c r="K1037">
        <v>0.09</v>
      </c>
      <c r="L1037">
        <v>0.56999999999999995</v>
      </c>
      <c r="M1037">
        <v>69.965000000000003</v>
      </c>
      <c r="N1037">
        <v>-441.1078</v>
      </c>
      <c r="O1037" s="1" t="s">
        <v>225</v>
      </c>
      <c r="P1037" s="1" t="s">
        <v>347</v>
      </c>
      <c r="Q1037" s="1" t="s">
        <v>348</v>
      </c>
      <c r="R1037" s="1" t="s">
        <v>228</v>
      </c>
      <c r="S1037" s="1" t="s">
        <v>349</v>
      </c>
      <c r="T1037" s="1" t="s">
        <v>350</v>
      </c>
      <c r="U1037" s="2" t="s">
        <v>3665</v>
      </c>
      <c r="V1037" s="2" t="s">
        <v>47</v>
      </c>
      <c r="W1037" s="2" t="s">
        <v>71</v>
      </c>
      <c r="X1037" s="2">
        <v>173.005</v>
      </c>
    </row>
    <row r="1038" spans="1:24" x14ac:dyDescent="0.3">
      <c r="A1038">
        <v>18930</v>
      </c>
      <c r="B1038" t="s">
        <v>3666</v>
      </c>
      <c r="C1038" s="3">
        <v>40784</v>
      </c>
      <c r="D1038" t="s">
        <v>25</v>
      </c>
      <c r="E1038">
        <v>5</v>
      </c>
      <c r="F1038" s="3">
        <f ca="1">40784+(RANDBETWEEN(1,10))</f>
        <v>40792</v>
      </c>
      <c r="G1038" t="s">
        <v>26</v>
      </c>
      <c r="H1038" t="s">
        <v>27</v>
      </c>
      <c r="I1038" t="s">
        <v>52</v>
      </c>
      <c r="J1038">
        <v>48.755000000000003</v>
      </c>
      <c r="K1038">
        <v>0.06</v>
      </c>
      <c r="L1038">
        <v>0.38</v>
      </c>
      <c r="M1038">
        <v>1.75</v>
      </c>
      <c r="N1038">
        <v>33.640949999999997</v>
      </c>
      <c r="O1038" s="1" t="s">
        <v>64</v>
      </c>
      <c r="P1038" s="1" t="s">
        <v>3667</v>
      </c>
      <c r="Q1038" s="1" t="s">
        <v>3668</v>
      </c>
      <c r="R1038" s="1" t="s">
        <v>128</v>
      </c>
      <c r="S1038" s="1" t="s">
        <v>3669</v>
      </c>
      <c r="T1038" s="1" t="s">
        <v>3670</v>
      </c>
      <c r="U1038" s="2" t="s">
        <v>468</v>
      </c>
      <c r="V1038" s="2" t="s">
        <v>47</v>
      </c>
      <c r="W1038" s="2" t="s">
        <v>203</v>
      </c>
      <c r="X1038" s="2">
        <v>10.115</v>
      </c>
    </row>
    <row r="1039" spans="1:24" x14ac:dyDescent="0.3">
      <c r="A1039">
        <v>18931</v>
      </c>
      <c r="B1039" t="s">
        <v>3671</v>
      </c>
      <c r="C1039" s="3">
        <v>41178</v>
      </c>
      <c r="D1039" t="s">
        <v>25</v>
      </c>
      <c r="E1039">
        <v>3</v>
      </c>
      <c r="F1039" s="3">
        <f ca="1">41180+(RANDBETWEEN(1,10))</f>
        <v>41187</v>
      </c>
      <c r="G1039" t="s">
        <v>26</v>
      </c>
      <c r="H1039" t="s">
        <v>51</v>
      </c>
      <c r="I1039" t="s">
        <v>86</v>
      </c>
      <c r="J1039">
        <v>79.694999999999993</v>
      </c>
      <c r="K1039">
        <v>0.04</v>
      </c>
      <c r="L1039">
        <v>0.37</v>
      </c>
      <c r="M1039">
        <v>17.324999999999999</v>
      </c>
      <c r="N1039">
        <v>50.994999999999997</v>
      </c>
      <c r="O1039" s="1" t="s">
        <v>87</v>
      </c>
      <c r="P1039" s="1" t="s">
        <v>716</v>
      </c>
      <c r="Q1039" s="1" t="s">
        <v>717</v>
      </c>
      <c r="R1039" s="1" t="s">
        <v>646</v>
      </c>
      <c r="S1039" s="1" t="s">
        <v>718</v>
      </c>
      <c r="T1039" s="1" t="s">
        <v>719</v>
      </c>
      <c r="U1039" s="2" t="s">
        <v>790</v>
      </c>
      <c r="V1039" s="2" t="s">
        <v>83</v>
      </c>
      <c r="W1039" s="2" t="s">
        <v>178</v>
      </c>
      <c r="X1039" s="2">
        <v>23.24</v>
      </c>
    </row>
    <row r="1040" spans="1:24" x14ac:dyDescent="0.3">
      <c r="A1040">
        <v>18932</v>
      </c>
      <c r="B1040" t="s">
        <v>3672</v>
      </c>
      <c r="C1040" s="3">
        <v>41497</v>
      </c>
      <c r="D1040" t="s">
        <v>39</v>
      </c>
      <c r="E1040">
        <v>6</v>
      </c>
      <c r="F1040" s="3">
        <f ca="1">41499+(RANDBETWEEN(1,10))</f>
        <v>41505</v>
      </c>
      <c r="G1040" t="s">
        <v>26</v>
      </c>
      <c r="H1040" t="s">
        <v>27</v>
      </c>
      <c r="I1040" t="s">
        <v>28</v>
      </c>
      <c r="J1040">
        <v>3858.5749999999998</v>
      </c>
      <c r="K1040">
        <v>0.01</v>
      </c>
      <c r="L1040">
        <v>0.56000000000000005</v>
      </c>
      <c r="M1040">
        <v>18.41</v>
      </c>
      <c r="N1040">
        <v>989.36964</v>
      </c>
      <c r="O1040" s="1" t="s">
        <v>64</v>
      </c>
      <c r="P1040" s="1" t="s">
        <v>3673</v>
      </c>
      <c r="Q1040" s="1" t="s">
        <v>3674</v>
      </c>
      <c r="R1040" s="1" t="s">
        <v>67</v>
      </c>
      <c r="S1040" s="1" t="s">
        <v>3675</v>
      </c>
      <c r="T1040" s="1" t="s">
        <v>3676</v>
      </c>
      <c r="U1040" s="2" t="s">
        <v>1881</v>
      </c>
      <c r="V1040" s="2" t="s">
        <v>36</v>
      </c>
      <c r="W1040" s="2" t="s">
        <v>37</v>
      </c>
      <c r="X1040" s="2">
        <v>720.96500000000003</v>
      </c>
    </row>
    <row r="1041" spans="1:24" x14ac:dyDescent="0.3">
      <c r="A1041">
        <v>18933</v>
      </c>
      <c r="B1041" t="s">
        <v>3677</v>
      </c>
      <c r="C1041" s="3">
        <v>41395</v>
      </c>
      <c r="D1041" t="s">
        <v>39</v>
      </c>
      <c r="E1041">
        <v>8</v>
      </c>
      <c r="F1041" s="3">
        <f ca="1">41397+(RANDBETWEEN(1,10))</f>
        <v>41400</v>
      </c>
      <c r="G1041" t="s">
        <v>26</v>
      </c>
      <c r="H1041" t="s">
        <v>27</v>
      </c>
      <c r="I1041" t="s">
        <v>97</v>
      </c>
      <c r="J1041">
        <v>219.065</v>
      </c>
      <c r="K1041">
        <v>0.01</v>
      </c>
      <c r="L1041">
        <v>0.39</v>
      </c>
      <c r="M1041">
        <v>21.175000000000001</v>
      </c>
      <c r="N1041">
        <v>-137.29275000000001</v>
      </c>
      <c r="O1041" s="1" t="s">
        <v>225</v>
      </c>
      <c r="P1041" s="1" t="s">
        <v>1727</v>
      </c>
      <c r="Q1041" s="1" t="s">
        <v>1728</v>
      </c>
      <c r="R1041" s="1" t="s">
        <v>228</v>
      </c>
      <c r="S1041" s="1" t="s">
        <v>1729</v>
      </c>
      <c r="T1041" s="1" t="s">
        <v>1659</v>
      </c>
      <c r="U1041" s="2" t="s">
        <v>2669</v>
      </c>
      <c r="V1041" s="2" t="s">
        <v>47</v>
      </c>
      <c r="W1041" s="2" t="s">
        <v>111</v>
      </c>
      <c r="X1041" s="2">
        <v>24.85</v>
      </c>
    </row>
    <row r="1042" spans="1:24" x14ac:dyDescent="0.3">
      <c r="A1042">
        <v>18934</v>
      </c>
      <c r="B1042" t="s">
        <v>3678</v>
      </c>
      <c r="C1042" s="3">
        <v>41671</v>
      </c>
      <c r="D1042" t="s">
        <v>148</v>
      </c>
      <c r="E1042">
        <v>7</v>
      </c>
      <c r="F1042" s="3">
        <f ca="1">41673+(RANDBETWEEN(1,10))</f>
        <v>41675</v>
      </c>
      <c r="G1042" t="s">
        <v>26</v>
      </c>
      <c r="H1042" t="s">
        <v>27</v>
      </c>
      <c r="I1042" t="s">
        <v>86</v>
      </c>
      <c r="J1042">
        <v>789.25</v>
      </c>
      <c r="K1042">
        <v>0.1</v>
      </c>
      <c r="L1042">
        <v>0.56999999999999995</v>
      </c>
      <c r="M1042">
        <v>28.77</v>
      </c>
      <c r="N1042">
        <v>151.76</v>
      </c>
      <c r="O1042" s="1" t="s">
        <v>29</v>
      </c>
      <c r="P1042" s="1" t="s">
        <v>3679</v>
      </c>
      <c r="Q1042" s="1" t="s">
        <v>3680</v>
      </c>
      <c r="R1042" s="1" t="s">
        <v>675</v>
      </c>
      <c r="S1042" s="1" t="s">
        <v>3681</v>
      </c>
      <c r="T1042" s="1" t="s">
        <v>3682</v>
      </c>
      <c r="U1042" s="2" t="s">
        <v>2001</v>
      </c>
      <c r="V1042" s="2" t="s">
        <v>47</v>
      </c>
      <c r="W1042" s="2" t="s">
        <v>119</v>
      </c>
      <c r="X1042" s="2">
        <v>121.66</v>
      </c>
    </row>
    <row r="1043" spans="1:24" x14ac:dyDescent="0.3">
      <c r="A1043">
        <v>18935</v>
      </c>
      <c r="B1043" t="s">
        <v>3678</v>
      </c>
      <c r="C1043" s="3">
        <v>41671</v>
      </c>
      <c r="D1043" t="s">
        <v>148</v>
      </c>
      <c r="E1043">
        <v>3</v>
      </c>
      <c r="F1043" s="3">
        <f ca="1">41672+(RANDBETWEEN(1,10))</f>
        <v>41682</v>
      </c>
      <c r="G1043" t="s">
        <v>76</v>
      </c>
      <c r="H1043" t="s">
        <v>258</v>
      </c>
      <c r="I1043" t="s">
        <v>86</v>
      </c>
      <c r="J1043">
        <v>2389.2399999999998</v>
      </c>
      <c r="K1043">
        <v>0.1</v>
      </c>
      <c r="L1043">
        <v>0.78</v>
      </c>
      <c r="M1043">
        <v>216.16</v>
      </c>
      <c r="N1043">
        <v>-1045.17</v>
      </c>
      <c r="O1043" s="1" t="s">
        <v>29</v>
      </c>
      <c r="P1043" s="1" t="s">
        <v>3679</v>
      </c>
      <c r="Q1043" s="1" t="s">
        <v>3680</v>
      </c>
      <c r="R1043" s="1" t="s">
        <v>675</v>
      </c>
      <c r="S1043" s="1" t="s">
        <v>3681</v>
      </c>
      <c r="T1043" s="1" t="s">
        <v>3682</v>
      </c>
      <c r="U1043" s="2" t="s">
        <v>3683</v>
      </c>
      <c r="V1043" s="2" t="s">
        <v>83</v>
      </c>
      <c r="W1043" s="2" t="s">
        <v>263</v>
      </c>
      <c r="X1043" s="2">
        <v>1003.975</v>
      </c>
    </row>
    <row r="1044" spans="1:24" x14ac:dyDescent="0.3">
      <c r="A1044">
        <v>18936</v>
      </c>
      <c r="B1044" t="s">
        <v>3684</v>
      </c>
      <c r="C1044" s="3">
        <v>41765</v>
      </c>
      <c r="D1044" t="s">
        <v>148</v>
      </c>
      <c r="E1044">
        <v>2</v>
      </c>
      <c r="F1044" s="3">
        <f ca="1">41767+(RANDBETWEEN(1,10))</f>
        <v>41769</v>
      </c>
      <c r="G1044" t="s">
        <v>26</v>
      </c>
      <c r="H1044" t="s">
        <v>51</v>
      </c>
      <c r="I1044" t="s">
        <v>97</v>
      </c>
      <c r="J1044">
        <v>181.33500000000001</v>
      </c>
      <c r="K1044">
        <v>0.03</v>
      </c>
      <c r="L1044">
        <v>0.5</v>
      </c>
      <c r="M1044">
        <v>31.465</v>
      </c>
      <c r="N1044">
        <v>157.52099999999999</v>
      </c>
      <c r="O1044" s="1" t="s">
        <v>225</v>
      </c>
      <c r="P1044" s="1" t="s">
        <v>3564</v>
      </c>
      <c r="Q1044" s="1" t="s">
        <v>3565</v>
      </c>
      <c r="R1044" s="1" t="s">
        <v>228</v>
      </c>
      <c r="S1044" s="1" t="s">
        <v>3566</v>
      </c>
      <c r="T1044" s="1" t="s">
        <v>598</v>
      </c>
      <c r="U1044" s="2" t="s">
        <v>2788</v>
      </c>
      <c r="V1044" s="2" t="s">
        <v>83</v>
      </c>
      <c r="W1044" s="2" t="s">
        <v>178</v>
      </c>
      <c r="X1044" s="2">
        <v>88.83</v>
      </c>
    </row>
    <row r="1045" spans="1:24" x14ac:dyDescent="0.3">
      <c r="A1045">
        <v>18937</v>
      </c>
      <c r="B1045" t="s">
        <v>3685</v>
      </c>
      <c r="C1045" s="3">
        <v>41490</v>
      </c>
      <c r="D1045" t="s">
        <v>50</v>
      </c>
      <c r="E1045">
        <v>20</v>
      </c>
      <c r="F1045" s="3">
        <f ca="1">41492+(RANDBETWEEN(1,10))</f>
        <v>41493</v>
      </c>
      <c r="G1045" t="s">
        <v>156</v>
      </c>
      <c r="H1045" t="s">
        <v>96</v>
      </c>
      <c r="I1045" t="s">
        <v>86</v>
      </c>
      <c r="J1045">
        <v>218.26</v>
      </c>
      <c r="K1045">
        <v>0.02</v>
      </c>
      <c r="L1045">
        <v>0.57999999999999996</v>
      </c>
      <c r="M1045">
        <v>3.36</v>
      </c>
      <c r="N1045">
        <v>65.734200000000001</v>
      </c>
      <c r="O1045" s="1" t="s">
        <v>29</v>
      </c>
      <c r="P1045" s="1" t="s">
        <v>1883</v>
      </c>
      <c r="Q1045" s="1" t="s">
        <v>1884</v>
      </c>
      <c r="R1045" s="1" t="s">
        <v>32</v>
      </c>
      <c r="S1045" s="1" t="s">
        <v>1885</v>
      </c>
      <c r="T1045" s="1" t="s">
        <v>1886</v>
      </c>
      <c r="U1045" s="2" t="s">
        <v>154</v>
      </c>
      <c r="V1045" s="2" t="s">
        <v>47</v>
      </c>
      <c r="W1045" s="2" t="s">
        <v>104</v>
      </c>
      <c r="X1045" s="2">
        <v>10.29</v>
      </c>
    </row>
    <row r="1046" spans="1:24" x14ac:dyDescent="0.3">
      <c r="A1046">
        <v>18938</v>
      </c>
      <c r="B1046" t="s">
        <v>3685</v>
      </c>
      <c r="C1046" s="3">
        <v>41490</v>
      </c>
      <c r="D1046" t="s">
        <v>50</v>
      </c>
      <c r="E1046">
        <v>3</v>
      </c>
      <c r="F1046" s="3">
        <f ca="1">41491+(RANDBETWEEN(1,10))</f>
        <v>41501</v>
      </c>
      <c r="G1046" t="s">
        <v>26</v>
      </c>
      <c r="H1046" t="s">
        <v>96</v>
      </c>
      <c r="I1046" t="s">
        <v>86</v>
      </c>
      <c r="J1046">
        <v>19.53</v>
      </c>
      <c r="K1046">
        <v>7.0000000000000007E-2</v>
      </c>
      <c r="L1046">
        <v>0.52</v>
      </c>
      <c r="M1046">
        <v>2.625</v>
      </c>
      <c r="N1046">
        <v>-4.7683999999999997</v>
      </c>
      <c r="O1046" s="1" t="s">
        <v>29</v>
      </c>
      <c r="P1046" s="1" t="s">
        <v>1883</v>
      </c>
      <c r="Q1046" s="1" t="s">
        <v>1884</v>
      </c>
      <c r="R1046" s="1" t="s">
        <v>32</v>
      </c>
      <c r="S1046" s="1" t="s">
        <v>1885</v>
      </c>
      <c r="T1046" s="1" t="s">
        <v>1886</v>
      </c>
      <c r="U1046" s="2" t="s">
        <v>378</v>
      </c>
      <c r="V1046" s="2" t="s">
        <v>47</v>
      </c>
      <c r="W1046" s="2" t="s">
        <v>176</v>
      </c>
      <c r="X1046" s="2">
        <v>6.335</v>
      </c>
    </row>
    <row r="1047" spans="1:24" x14ac:dyDescent="0.3">
      <c r="A1047">
        <v>18939</v>
      </c>
      <c r="B1047" t="s">
        <v>3686</v>
      </c>
      <c r="C1047" s="3">
        <v>41306</v>
      </c>
      <c r="D1047" t="s">
        <v>148</v>
      </c>
      <c r="E1047">
        <v>4</v>
      </c>
      <c r="F1047" s="3">
        <f ca="1">41308+(RANDBETWEEN(1,10))</f>
        <v>41318</v>
      </c>
      <c r="G1047" t="s">
        <v>156</v>
      </c>
      <c r="H1047" t="s">
        <v>281</v>
      </c>
      <c r="I1047" t="s">
        <v>86</v>
      </c>
      <c r="J1047">
        <v>730.34500000000003</v>
      </c>
      <c r="K1047">
        <v>0.1</v>
      </c>
      <c r="L1047">
        <v>0.37</v>
      </c>
      <c r="M1047">
        <v>35.594999999999999</v>
      </c>
      <c r="N1047">
        <v>387.69499999999999</v>
      </c>
      <c r="O1047" s="1" t="s">
        <v>29</v>
      </c>
      <c r="P1047" s="1" t="s">
        <v>3687</v>
      </c>
      <c r="Q1047" s="1" t="s">
        <v>3688</v>
      </c>
      <c r="R1047" s="1" t="s">
        <v>32</v>
      </c>
      <c r="S1047" s="1" t="s">
        <v>3689</v>
      </c>
      <c r="T1047" s="1" t="s">
        <v>3690</v>
      </c>
      <c r="U1047" s="2" t="s">
        <v>3691</v>
      </c>
      <c r="V1047" s="2" t="s">
        <v>36</v>
      </c>
      <c r="W1047" s="2" t="s">
        <v>142</v>
      </c>
      <c r="X1047" s="2">
        <v>181.93</v>
      </c>
    </row>
    <row r="1048" spans="1:24" x14ac:dyDescent="0.3">
      <c r="A1048">
        <v>18940</v>
      </c>
      <c r="B1048" t="s">
        <v>3692</v>
      </c>
      <c r="C1048" s="3">
        <v>40745</v>
      </c>
      <c r="D1048" t="s">
        <v>50</v>
      </c>
      <c r="E1048">
        <v>15</v>
      </c>
      <c r="F1048" s="3">
        <f ca="1">40746+(RANDBETWEEN(1,10))</f>
        <v>40749</v>
      </c>
      <c r="G1048" t="s">
        <v>26</v>
      </c>
      <c r="H1048" t="s">
        <v>27</v>
      </c>
      <c r="I1048" t="s">
        <v>86</v>
      </c>
      <c r="J1048">
        <v>1325.87</v>
      </c>
      <c r="K1048">
        <v>0.01</v>
      </c>
      <c r="L1048">
        <v>0.39</v>
      </c>
      <c r="M1048">
        <v>10.465</v>
      </c>
      <c r="N1048">
        <v>914.85029999999995</v>
      </c>
      <c r="O1048" s="1" t="s">
        <v>64</v>
      </c>
      <c r="P1048" s="1" t="s">
        <v>1702</v>
      </c>
      <c r="Q1048" s="1" t="s">
        <v>1703</v>
      </c>
      <c r="R1048" s="1" t="s">
        <v>67</v>
      </c>
      <c r="S1048" s="1" t="s">
        <v>1704</v>
      </c>
      <c r="T1048" s="1" t="s">
        <v>1705</v>
      </c>
      <c r="U1048" s="2" t="s">
        <v>1757</v>
      </c>
      <c r="V1048" s="2" t="s">
        <v>47</v>
      </c>
      <c r="W1048" s="2" t="s">
        <v>111</v>
      </c>
      <c r="X1048" s="2">
        <v>87.325000000000003</v>
      </c>
    </row>
    <row r="1049" spans="1:24" x14ac:dyDescent="0.3">
      <c r="A1049">
        <v>18941</v>
      </c>
      <c r="B1049" t="s">
        <v>3692</v>
      </c>
      <c r="C1049" s="3">
        <v>40745</v>
      </c>
      <c r="D1049" t="s">
        <v>50</v>
      </c>
      <c r="E1049">
        <v>9</v>
      </c>
      <c r="F1049" s="3">
        <f ca="1">40747+(RANDBETWEEN(1,10))</f>
        <v>40749</v>
      </c>
      <c r="G1049" t="s">
        <v>26</v>
      </c>
      <c r="H1049" t="s">
        <v>51</v>
      </c>
      <c r="I1049" t="s">
        <v>86</v>
      </c>
      <c r="J1049">
        <v>532.63</v>
      </c>
      <c r="K1049">
        <v>0</v>
      </c>
      <c r="L1049">
        <v>0.64</v>
      </c>
      <c r="M1049">
        <v>31.465</v>
      </c>
      <c r="N1049">
        <v>-474.11</v>
      </c>
      <c r="O1049" s="1" t="s">
        <v>87</v>
      </c>
      <c r="P1049" s="1" t="s">
        <v>3693</v>
      </c>
      <c r="Q1049" s="1" t="s">
        <v>3694</v>
      </c>
      <c r="R1049" s="1" t="s">
        <v>646</v>
      </c>
      <c r="S1049" s="1" t="s">
        <v>3695</v>
      </c>
      <c r="T1049" s="1" t="s">
        <v>3696</v>
      </c>
      <c r="U1049" s="2" t="s">
        <v>3697</v>
      </c>
      <c r="V1049" s="2" t="s">
        <v>36</v>
      </c>
      <c r="W1049" s="2" t="s">
        <v>60</v>
      </c>
      <c r="X1049" s="2">
        <v>55.93</v>
      </c>
    </row>
    <row r="1050" spans="1:24" x14ac:dyDescent="0.3">
      <c r="A1050">
        <v>18942</v>
      </c>
      <c r="B1050" t="s">
        <v>3698</v>
      </c>
      <c r="C1050" s="3">
        <v>41165</v>
      </c>
      <c r="D1050" t="s">
        <v>39</v>
      </c>
      <c r="E1050">
        <v>10</v>
      </c>
      <c r="F1050" s="3">
        <f ca="1">41166+(RANDBETWEEN(1,10))</f>
        <v>41175</v>
      </c>
      <c r="G1050" t="s">
        <v>26</v>
      </c>
      <c r="H1050" t="s">
        <v>27</v>
      </c>
      <c r="I1050" t="s">
        <v>52</v>
      </c>
      <c r="J1050">
        <v>185.88499999999999</v>
      </c>
      <c r="K1050">
        <v>0.1</v>
      </c>
      <c r="L1050">
        <v>0.37</v>
      </c>
      <c r="M1050">
        <v>27.23</v>
      </c>
      <c r="N1050">
        <v>-530.13099999999997</v>
      </c>
      <c r="O1050" s="1" t="s">
        <v>29</v>
      </c>
      <c r="P1050" s="1" t="s">
        <v>3699</v>
      </c>
      <c r="Q1050" s="1" t="s">
        <v>3700</v>
      </c>
      <c r="R1050" s="1" t="s">
        <v>460</v>
      </c>
      <c r="S1050" s="1" t="s">
        <v>3701</v>
      </c>
      <c r="T1050" s="1" t="s">
        <v>3702</v>
      </c>
      <c r="U1050" s="2" t="s">
        <v>599</v>
      </c>
      <c r="V1050" s="2" t="s">
        <v>47</v>
      </c>
      <c r="W1050" s="2" t="s">
        <v>111</v>
      </c>
      <c r="X1050" s="2">
        <v>18.899999999999999</v>
      </c>
    </row>
    <row r="1051" spans="1:24" x14ac:dyDescent="0.3">
      <c r="A1051">
        <v>18943</v>
      </c>
      <c r="B1051" t="s">
        <v>3703</v>
      </c>
      <c r="C1051" s="3">
        <v>40950</v>
      </c>
      <c r="D1051" t="s">
        <v>39</v>
      </c>
      <c r="E1051">
        <v>2</v>
      </c>
      <c r="F1051" s="3">
        <f ca="1">40950+(RANDBETWEEN(1,10))</f>
        <v>40952</v>
      </c>
      <c r="G1051" t="s">
        <v>26</v>
      </c>
      <c r="H1051" t="s">
        <v>51</v>
      </c>
      <c r="I1051" t="s">
        <v>28</v>
      </c>
      <c r="J1051">
        <v>71.364999999999995</v>
      </c>
      <c r="K1051">
        <v>0.08</v>
      </c>
      <c r="L1051">
        <v>0.41</v>
      </c>
      <c r="M1051">
        <v>6.9649999999999999</v>
      </c>
      <c r="N1051">
        <v>-25.305</v>
      </c>
      <c r="O1051" s="1" t="s">
        <v>53</v>
      </c>
      <c r="P1051" s="1" t="s">
        <v>3704</v>
      </c>
      <c r="Q1051" s="1" t="s">
        <v>3705</v>
      </c>
      <c r="R1051" s="1" t="s">
        <v>100</v>
      </c>
      <c r="S1051" s="1" t="s">
        <v>3706</v>
      </c>
      <c r="T1051" s="1" t="s">
        <v>3707</v>
      </c>
      <c r="U1051" s="2" t="s">
        <v>1365</v>
      </c>
      <c r="V1051" s="2" t="s">
        <v>36</v>
      </c>
      <c r="W1051" s="2" t="s">
        <v>60</v>
      </c>
      <c r="X1051" s="2">
        <v>35.034999999999997</v>
      </c>
    </row>
    <row r="1052" spans="1:24" x14ac:dyDescent="0.3">
      <c r="A1052">
        <v>18944</v>
      </c>
      <c r="B1052" t="s">
        <v>3703</v>
      </c>
      <c r="C1052" s="3">
        <v>40950</v>
      </c>
      <c r="D1052" t="s">
        <v>39</v>
      </c>
      <c r="E1052">
        <v>10</v>
      </c>
      <c r="F1052" s="3">
        <f ca="1">40951+(RANDBETWEEN(1,10))</f>
        <v>40954</v>
      </c>
      <c r="G1052" t="s">
        <v>26</v>
      </c>
      <c r="H1052" t="s">
        <v>281</v>
      </c>
      <c r="I1052" t="s">
        <v>28</v>
      </c>
      <c r="J1052">
        <v>1782.865</v>
      </c>
      <c r="K1052">
        <v>0.08</v>
      </c>
      <c r="L1052">
        <v>0.37</v>
      </c>
      <c r="M1052">
        <v>35.594999999999999</v>
      </c>
      <c r="N1052">
        <v>1230.1768500000001</v>
      </c>
      <c r="O1052" s="1" t="s">
        <v>53</v>
      </c>
      <c r="P1052" s="1" t="s">
        <v>3704</v>
      </c>
      <c r="Q1052" s="1" t="s">
        <v>3705</v>
      </c>
      <c r="R1052" s="1" t="s">
        <v>100</v>
      </c>
      <c r="S1052" s="1" t="s">
        <v>3706</v>
      </c>
      <c r="T1052" s="1" t="s">
        <v>3707</v>
      </c>
      <c r="U1052" s="2" t="s">
        <v>3691</v>
      </c>
      <c r="V1052" s="2" t="s">
        <v>36</v>
      </c>
      <c r="W1052" s="2" t="s">
        <v>142</v>
      </c>
      <c r="X1052" s="2">
        <v>181.93</v>
      </c>
    </row>
    <row r="1053" spans="1:24" x14ac:dyDescent="0.3">
      <c r="A1053">
        <v>18945</v>
      </c>
      <c r="B1053" t="s">
        <v>3703</v>
      </c>
      <c r="C1053" s="3">
        <v>40950</v>
      </c>
      <c r="D1053" t="s">
        <v>39</v>
      </c>
      <c r="E1053">
        <v>9</v>
      </c>
      <c r="F1053" s="3">
        <f ca="1">40952+(RANDBETWEEN(1,10))</f>
        <v>40954</v>
      </c>
      <c r="G1053" t="s">
        <v>26</v>
      </c>
      <c r="H1053" t="s">
        <v>27</v>
      </c>
      <c r="I1053" t="s">
        <v>28</v>
      </c>
      <c r="J1053">
        <v>1970.36</v>
      </c>
      <c r="K1053">
        <v>0.05</v>
      </c>
      <c r="L1053">
        <v>0.73</v>
      </c>
      <c r="M1053">
        <v>24.08</v>
      </c>
      <c r="N1053">
        <v>525.14</v>
      </c>
      <c r="O1053" s="1" t="s">
        <v>53</v>
      </c>
      <c r="P1053" s="1" t="s">
        <v>3708</v>
      </c>
      <c r="Q1053" s="1" t="s">
        <v>3709</v>
      </c>
      <c r="R1053" s="1" t="s">
        <v>440</v>
      </c>
      <c r="S1053" s="1" t="s">
        <v>3710</v>
      </c>
      <c r="T1053" s="1" t="s">
        <v>3711</v>
      </c>
      <c r="U1053" s="2" t="s">
        <v>2091</v>
      </c>
      <c r="V1053" s="2" t="s">
        <v>47</v>
      </c>
      <c r="W1053" s="2" t="s">
        <v>119</v>
      </c>
      <c r="X1053" s="2">
        <v>227.43</v>
      </c>
    </row>
    <row r="1054" spans="1:24" x14ac:dyDescent="0.3">
      <c r="A1054">
        <v>18946</v>
      </c>
      <c r="B1054" t="s">
        <v>3703</v>
      </c>
      <c r="C1054" s="3">
        <v>40950</v>
      </c>
      <c r="D1054" t="s">
        <v>39</v>
      </c>
      <c r="E1054">
        <v>7</v>
      </c>
      <c r="F1054" s="3">
        <f ca="1">40951+(RANDBETWEEN(1,10))</f>
        <v>40954</v>
      </c>
      <c r="G1054" t="s">
        <v>76</v>
      </c>
      <c r="H1054" t="s">
        <v>258</v>
      </c>
      <c r="I1054" t="s">
        <v>28</v>
      </c>
      <c r="J1054">
        <v>3537.17</v>
      </c>
      <c r="K1054">
        <v>0.05</v>
      </c>
      <c r="L1054">
        <v>0.74</v>
      </c>
      <c r="M1054">
        <v>183.47</v>
      </c>
      <c r="N1054">
        <v>-1946.875</v>
      </c>
      <c r="O1054" s="1" t="s">
        <v>53</v>
      </c>
      <c r="P1054" s="1" t="s">
        <v>3708</v>
      </c>
      <c r="Q1054" s="1" t="s">
        <v>3709</v>
      </c>
      <c r="R1054" s="1" t="s">
        <v>440</v>
      </c>
      <c r="S1054" s="1" t="s">
        <v>3710</v>
      </c>
      <c r="T1054" s="1" t="s">
        <v>3711</v>
      </c>
      <c r="U1054" s="2" t="s">
        <v>831</v>
      </c>
      <c r="V1054" s="2" t="s">
        <v>83</v>
      </c>
      <c r="W1054" s="2" t="s">
        <v>263</v>
      </c>
      <c r="X1054" s="2">
        <v>485.625</v>
      </c>
    </row>
    <row r="1055" spans="1:24" x14ac:dyDescent="0.3">
      <c r="A1055">
        <v>18947</v>
      </c>
      <c r="B1055" t="s">
        <v>3712</v>
      </c>
      <c r="C1055" s="3">
        <v>40549</v>
      </c>
      <c r="D1055" t="s">
        <v>148</v>
      </c>
      <c r="E1055">
        <v>1</v>
      </c>
      <c r="F1055" s="3">
        <f ca="1">40551+(RANDBETWEEN(1,10))</f>
        <v>40558</v>
      </c>
      <c r="G1055" t="s">
        <v>156</v>
      </c>
      <c r="H1055" t="s">
        <v>27</v>
      </c>
      <c r="I1055" t="s">
        <v>52</v>
      </c>
      <c r="J1055">
        <v>77.454999999999998</v>
      </c>
      <c r="K1055">
        <v>7.0000000000000007E-2</v>
      </c>
      <c r="L1055">
        <v>0.35</v>
      </c>
      <c r="M1055">
        <v>21.56</v>
      </c>
      <c r="N1055">
        <v>440.99369999999999</v>
      </c>
      <c r="O1055" s="1" t="s">
        <v>225</v>
      </c>
      <c r="P1055" s="1" t="s">
        <v>3713</v>
      </c>
      <c r="Q1055" s="1" t="s">
        <v>3714</v>
      </c>
      <c r="R1055" s="1" t="s">
        <v>228</v>
      </c>
      <c r="S1055" s="1" t="s">
        <v>3715</v>
      </c>
      <c r="T1055" s="1" t="s">
        <v>3716</v>
      </c>
      <c r="U1055" s="2" t="s">
        <v>3717</v>
      </c>
      <c r="V1055" s="2" t="s">
        <v>47</v>
      </c>
      <c r="W1055" s="2" t="s">
        <v>111</v>
      </c>
      <c r="X1055" s="2">
        <v>26.88</v>
      </c>
    </row>
    <row r="1056" spans="1:24" x14ac:dyDescent="0.3">
      <c r="A1056">
        <v>18948</v>
      </c>
      <c r="B1056" t="s">
        <v>3712</v>
      </c>
      <c r="C1056" s="3">
        <v>40549</v>
      </c>
      <c r="D1056" t="s">
        <v>148</v>
      </c>
      <c r="E1056">
        <v>5</v>
      </c>
      <c r="F1056" s="3">
        <f ca="1">40551+(RANDBETWEEN(1,10))</f>
        <v>40552</v>
      </c>
      <c r="G1056" t="s">
        <v>156</v>
      </c>
      <c r="H1056" t="s">
        <v>51</v>
      </c>
      <c r="I1056" t="s">
        <v>52</v>
      </c>
      <c r="J1056">
        <v>119.595</v>
      </c>
      <c r="K1056">
        <v>0.05</v>
      </c>
      <c r="L1056">
        <v>0.37</v>
      </c>
      <c r="M1056">
        <v>17.324999999999999</v>
      </c>
      <c r="N1056">
        <v>-325.25220000000002</v>
      </c>
      <c r="O1056" s="1" t="s">
        <v>225</v>
      </c>
      <c r="P1056" s="1" t="s">
        <v>3713</v>
      </c>
      <c r="Q1056" s="1" t="s">
        <v>3714</v>
      </c>
      <c r="R1056" s="1" t="s">
        <v>228</v>
      </c>
      <c r="S1056" s="1" t="s">
        <v>3715</v>
      </c>
      <c r="T1056" s="1" t="s">
        <v>3716</v>
      </c>
      <c r="U1056" s="2" t="s">
        <v>790</v>
      </c>
      <c r="V1056" s="2" t="s">
        <v>83</v>
      </c>
      <c r="W1056" s="2" t="s">
        <v>178</v>
      </c>
      <c r="X1056" s="2">
        <v>23.24</v>
      </c>
    </row>
    <row r="1057" spans="1:24" x14ac:dyDescent="0.3">
      <c r="A1057">
        <v>18949</v>
      </c>
      <c r="B1057" t="s">
        <v>3718</v>
      </c>
      <c r="C1057" s="3">
        <v>40688</v>
      </c>
      <c r="D1057" t="s">
        <v>148</v>
      </c>
      <c r="E1057">
        <v>2</v>
      </c>
      <c r="F1057" s="3">
        <f ca="1">40690+(RANDBETWEEN(1,10))</f>
        <v>40694</v>
      </c>
      <c r="G1057" t="s">
        <v>26</v>
      </c>
      <c r="H1057" t="s">
        <v>27</v>
      </c>
      <c r="I1057" t="s">
        <v>52</v>
      </c>
      <c r="J1057">
        <v>329.7</v>
      </c>
      <c r="K1057">
        <v>0.06</v>
      </c>
      <c r="L1057">
        <v>0.37</v>
      </c>
      <c r="M1057">
        <v>20.51</v>
      </c>
      <c r="N1057">
        <v>76.23</v>
      </c>
      <c r="O1057" s="1" t="s">
        <v>29</v>
      </c>
      <c r="P1057" s="1" t="s">
        <v>3719</v>
      </c>
      <c r="Q1057" s="1" t="s">
        <v>3720</v>
      </c>
      <c r="R1057" s="1" t="s">
        <v>32</v>
      </c>
      <c r="S1057" s="1" t="s">
        <v>3721</v>
      </c>
      <c r="T1057" s="1" t="s">
        <v>3722</v>
      </c>
      <c r="U1057" s="2" t="s">
        <v>2008</v>
      </c>
      <c r="V1057" s="2" t="s">
        <v>47</v>
      </c>
      <c r="W1057" s="2" t="s">
        <v>74</v>
      </c>
      <c r="X1057" s="2">
        <v>167.65</v>
      </c>
    </row>
    <row r="1058" spans="1:24" x14ac:dyDescent="0.3">
      <c r="A1058">
        <v>18950</v>
      </c>
      <c r="B1058" t="s">
        <v>3723</v>
      </c>
      <c r="C1058" s="3">
        <v>40558</v>
      </c>
      <c r="D1058" t="s">
        <v>25</v>
      </c>
      <c r="E1058">
        <v>10</v>
      </c>
      <c r="F1058" s="3">
        <f ca="1">40563+(RANDBETWEEN(1,10))</f>
        <v>40573</v>
      </c>
      <c r="G1058" t="s">
        <v>26</v>
      </c>
      <c r="H1058" t="s">
        <v>27</v>
      </c>
      <c r="I1058" t="s">
        <v>97</v>
      </c>
      <c r="J1058">
        <v>185.255</v>
      </c>
      <c r="K1058">
        <v>0.01</v>
      </c>
      <c r="L1058">
        <v>0.36</v>
      </c>
      <c r="M1058">
        <v>16.625</v>
      </c>
      <c r="N1058">
        <v>-265.65140000000002</v>
      </c>
      <c r="O1058" s="1" t="s">
        <v>87</v>
      </c>
      <c r="P1058" s="1" t="s">
        <v>3724</v>
      </c>
      <c r="Q1058" s="1" t="s">
        <v>3725</v>
      </c>
      <c r="R1058" s="1" t="s">
        <v>398</v>
      </c>
      <c r="S1058" s="1" t="s">
        <v>3726</v>
      </c>
      <c r="T1058" s="1" t="s">
        <v>3727</v>
      </c>
      <c r="U1058" s="2" t="s">
        <v>1528</v>
      </c>
      <c r="V1058" s="2" t="s">
        <v>47</v>
      </c>
      <c r="W1058" s="2" t="s">
        <v>74</v>
      </c>
      <c r="X1058" s="2">
        <v>17.43</v>
      </c>
    </row>
    <row r="1059" spans="1:24" x14ac:dyDescent="0.3">
      <c r="A1059">
        <v>18951</v>
      </c>
      <c r="B1059" t="s">
        <v>3723</v>
      </c>
      <c r="C1059" s="3">
        <v>40558</v>
      </c>
      <c r="D1059" t="s">
        <v>25</v>
      </c>
      <c r="E1059">
        <v>12</v>
      </c>
      <c r="F1059" s="3">
        <f ca="1">40563+(RANDBETWEEN(1,10))</f>
        <v>40567</v>
      </c>
      <c r="G1059" t="s">
        <v>26</v>
      </c>
      <c r="H1059" t="s">
        <v>96</v>
      </c>
      <c r="I1059" t="s">
        <v>97</v>
      </c>
      <c r="J1059">
        <v>264.63499999999999</v>
      </c>
      <c r="K1059">
        <v>0.04</v>
      </c>
      <c r="L1059">
        <v>0.39</v>
      </c>
      <c r="M1059">
        <v>3.57</v>
      </c>
      <c r="N1059">
        <v>182.59815</v>
      </c>
      <c r="O1059" s="1" t="s">
        <v>87</v>
      </c>
      <c r="P1059" s="1" t="s">
        <v>3724</v>
      </c>
      <c r="Q1059" s="1" t="s">
        <v>3725</v>
      </c>
      <c r="R1059" s="1" t="s">
        <v>398</v>
      </c>
      <c r="S1059" s="1" t="s">
        <v>3726</v>
      </c>
      <c r="T1059" s="1" t="s">
        <v>3727</v>
      </c>
      <c r="U1059" s="2" t="s">
        <v>3728</v>
      </c>
      <c r="V1059" s="2" t="s">
        <v>47</v>
      </c>
      <c r="W1059" s="2" t="s">
        <v>74</v>
      </c>
      <c r="X1059" s="2">
        <v>22.225000000000001</v>
      </c>
    </row>
    <row r="1060" spans="1:24" x14ac:dyDescent="0.3">
      <c r="A1060">
        <v>18952</v>
      </c>
      <c r="B1060" t="s">
        <v>3729</v>
      </c>
      <c r="C1060" s="3">
        <v>41809</v>
      </c>
      <c r="D1060" t="s">
        <v>25</v>
      </c>
      <c r="E1060">
        <v>2</v>
      </c>
      <c r="F1060" s="3">
        <f ca="1">41811+(RANDBETWEEN(1,10))</f>
        <v>41813</v>
      </c>
      <c r="G1060" t="s">
        <v>76</v>
      </c>
      <c r="H1060" t="s">
        <v>77</v>
      </c>
      <c r="I1060" t="s">
        <v>28</v>
      </c>
      <c r="J1060">
        <v>842.24</v>
      </c>
      <c r="K1060">
        <v>0.02</v>
      </c>
      <c r="L1060">
        <v>0.69</v>
      </c>
      <c r="M1060">
        <v>105</v>
      </c>
      <c r="N1060">
        <v>-507.55599999999998</v>
      </c>
      <c r="O1060" s="1" t="s">
        <v>64</v>
      </c>
      <c r="P1060" s="1" t="s">
        <v>3730</v>
      </c>
      <c r="Q1060" s="1" t="s">
        <v>3731</v>
      </c>
      <c r="R1060" s="1" t="s">
        <v>67</v>
      </c>
      <c r="S1060" s="1" t="s">
        <v>3732</v>
      </c>
      <c r="T1060" s="1" t="s">
        <v>3733</v>
      </c>
      <c r="U1060" s="2" t="s">
        <v>1513</v>
      </c>
      <c r="V1060" s="2" t="s">
        <v>83</v>
      </c>
      <c r="W1060" s="2" t="s">
        <v>84</v>
      </c>
      <c r="X1060" s="2">
        <v>398.93</v>
      </c>
    </row>
    <row r="1061" spans="1:24" x14ac:dyDescent="0.3">
      <c r="A1061">
        <v>18953</v>
      </c>
      <c r="B1061" t="s">
        <v>3729</v>
      </c>
      <c r="C1061" s="3">
        <v>41809</v>
      </c>
      <c r="D1061" t="s">
        <v>25</v>
      </c>
      <c r="E1061">
        <v>15</v>
      </c>
      <c r="F1061" s="3">
        <f ca="1">41809+(RANDBETWEEN(1,10))</f>
        <v>41814</v>
      </c>
      <c r="G1061" t="s">
        <v>26</v>
      </c>
      <c r="H1061" t="s">
        <v>281</v>
      </c>
      <c r="I1061" t="s">
        <v>28</v>
      </c>
      <c r="J1061">
        <v>1154.405</v>
      </c>
      <c r="K1061">
        <v>0.09</v>
      </c>
      <c r="L1061">
        <v>0.38</v>
      </c>
      <c r="M1061">
        <v>22.05</v>
      </c>
      <c r="N1061">
        <v>701.10599999999999</v>
      </c>
      <c r="O1061" s="1" t="s">
        <v>40</v>
      </c>
      <c r="P1061" s="1" t="s">
        <v>3734</v>
      </c>
      <c r="Q1061" s="1" t="s">
        <v>3735</v>
      </c>
      <c r="R1061" s="1" t="s">
        <v>220</v>
      </c>
      <c r="S1061" s="1" t="s">
        <v>2425</v>
      </c>
      <c r="T1061" s="1" t="s">
        <v>2426</v>
      </c>
      <c r="U1061" s="2" t="s">
        <v>3736</v>
      </c>
      <c r="V1061" s="2" t="s">
        <v>36</v>
      </c>
      <c r="W1061" s="2" t="s">
        <v>142</v>
      </c>
      <c r="X1061" s="2">
        <v>83.965000000000003</v>
      </c>
    </row>
    <row r="1062" spans="1:24" x14ac:dyDescent="0.3">
      <c r="A1062">
        <v>18954</v>
      </c>
      <c r="B1062" t="s">
        <v>3737</v>
      </c>
      <c r="C1062" s="3">
        <v>41658</v>
      </c>
      <c r="D1062" t="s">
        <v>39</v>
      </c>
      <c r="E1062">
        <v>13</v>
      </c>
      <c r="F1062" s="3">
        <f ca="1">41659+(RANDBETWEEN(1,10))</f>
        <v>41660</v>
      </c>
      <c r="G1062" t="s">
        <v>26</v>
      </c>
      <c r="H1062" t="s">
        <v>27</v>
      </c>
      <c r="I1062" t="s">
        <v>52</v>
      </c>
      <c r="J1062">
        <v>8088.1850000000004</v>
      </c>
      <c r="K1062">
        <v>0.08</v>
      </c>
      <c r="L1062">
        <v>0.55000000000000004</v>
      </c>
      <c r="M1062">
        <v>69.965000000000003</v>
      </c>
      <c r="N1062">
        <v>5580.8476499999997</v>
      </c>
      <c r="O1062" s="1" t="s">
        <v>53</v>
      </c>
      <c r="P1062" s="1" t="s">
        <v>3738</v>
      </c>
      <c r="Q1062" s="1" t="s">
        <v>3739</v>
      </c>
      <c r="R1062" s="1" t="s">
        <v>100</v>
      </c>
      <c r="S1062" s="1" t="s">
        <v>3740</v>
      </c>
      <c r="T1062" s="1" t="s">
        <v>3741</v>
      </c>
      <c r="U1062" s="2" t="s">
        <v>721</v>
      </c>
      <c r="V1062" s="2" t="s">
        <v>47</v>
      </c>
      <c r="W1062" s="2" t="s">
        <v>119</v>
      </c>
      <c r="X1062" s="2">
        <v>624.64499999999998</v>
      </c>
    </row>
    <row r="1063" spans="1:24" x14ac:dyDescent="0.3">
      <c r="A1063">
        <v>18955</v>
      </c>
      <c r="B1063" t="s">
        <v>3742</v>
      </c>
      <c r="C1063" s="3">
        <v>41618</v>
      </c>
      <c r="D1063" t="s">
        <v>50</v>
      </c>
      <c r="E1063">
        <v>7</v>
      </c>
      <c r="F1063" s="3">
        <f ca="1">41620+(RANDBETWEEN(1,10))</f>
        <v>41625</v>
      </c>
      <c r="G1063" t="s">
        <v>26</v>
      </c>
      <c r="H1063" t="s">
        <v>281</v>
      </c>
      <c r="I1063" t="s">
        <v>86</v>
      </c>
      <c r="J1063">
        <v>515.41</v>
      </c>
      <c r="K1063">
        <v>0.09</v>
      </c>
      <c r="L1063">
        <v>0.5</v>
      </c>
      <c r="M1063">
        <v>20.79</v>
      </c>
      <c r="N1063">
        <v>80.534999999999997</v>
      </c>
      <c r="O1063" s="1" t="s">
        <v>53</v>
      </c>
      <c r="P1063" s="1" t="s">
        <v>3743</v>
      </c>
      <c r="Q1063" s="1" t="s">
        <v>3744</v>
      </c>
      <c r="R1063" s="1" t="s">
        <v>100</v>
      </c>
      <c r="S1063" s="1" t="s">
        <v>3745</v>
      </c>
      <c r="T1063" s="1" t="s">
        <v>3746</v>
      </c>
      <c r="U1063" s="2" t="s">
        <v>785</v>
      </c>
      <c r="V1063" s="2" t="s">
        <v>47</v>
      </c>
      <c r="W1063" s="2" t="s">
        <v>71</v>
      </c>
      <c r="X1063" s="2">
        <v>76.23</v>
      </c>
    </row>
    <row r="1064" spans="1:24" x14ac:dyDescent="0.3">
      <c r="A1064">
        <v>18956</v>
      </c>
      <c r="B1064" t="s">
        <v>3747</v>
      </c>
      <c r="C1064" s="3">
        <v>41064</v>
      </c>
      <c r="D1064" t="s">
        <v>25</v>
      </c>
      <c r="E1064">
        <v>15</v>
      </c>
      <c r="F1064" s="3">
        <f ca="1">41068+(RANDBETWEEN(1,10))</f>
        <v>41073</v>
      </c>
      <c r="G1064" t="s">
        <v>156</v>
      </c>
      <c r="H1064" t="s">
        <v>27</v>
      </c>
      <c r="I1064" t="s">
        <v>52</v>
      </c>
      <c r="J1064">
        <v>572.46</v>
      </c>
      <c r="K1064">
        <v>0.08</v>
      </c>
      <c r="L1064">
        <v>0.59</v>
      </c>
      <c r="M1064">
        <v>26.11</v>
      </c>
      <c r="N1064">
        <v>-395.55599999999998</v>
      </c>
      <c r="O1064" s="1" t="s">
        <v>87</v>
      </c>
      <c r="P1064" s="1" t="s">
        <v>3748</v>
      </c>
      <c r="Q1064" s="1" t="s">
        <v>3749</v>
      </c>
      <c r="R1064" s="1" t="s">
        <v>90</v>
      </c>
      <c r="S1064" s="1" t="s">
        <v>1474</v>
      </c>
      <c r="T1064" s="1" t="s">
        <v>1475</v>
      </c>
      <c r="U1064" s="2" t="s">
        <v>2766</v>
      </c>
      <c r="V1064" s="2" t="s">
        <v>47</v>
      </c>
      <c r="W1064" s="2" t="s">
        <v>119</v>
      </c>
      <c r="X1064" s="2">
        <v>38.15</v>
      </c>
    </row>
    <row r="1065" spans="1:24" x14ac:dyDescent="0.3">
      <c r="A1065">
        <v>18957</v>
      </c>
      <c r="B1065" t="s">
        <v>3750</v>
      </c>
      <c r="C1065" s="3">
        <v>41456</v>
      </c>
      <c r="D1065" t="s">
        <v>62</v>
      </c>
      <c r="E1065">
        <v>13</v>
      </c>
      <c r="F1065" s="3">
        <f ca="1">41458+(RANDBETWEEN(1,10))</f>
        <v>41461</v>
      </c>
      <c r="G1065" t="s">
        <v>26</v>
      </c>
      <c r="H1065" t="s">
        <v>51</v>
      </c>
      <c r="I1065" t="s">
        <v>52</v>
      </c>
      <c r="J1065">
        <v>1867.2850000000001</v>
      </c>
      <c r="K1065">
        <v>0.01</v>
      </c>
      <c r="L1065">
        <v>0.54</v>
      </c>
      <c r="M1065">
        <v>6.9649999999999999</v>
      </c>
      <c r="N1065">
        <v>1288.4266500000001</v>
      </c>
      <c r="O1065" s="1" t="s">
        <v>87</v>
      </c>
      <c r="P1065" s="1" t="s">
        <v>3751</v>
      </c>
      <c r="Q1065" s="1" t="s">
        <v>3752</v>
      </c>
      <c r="R1065" s="1" t="s">
        <v>90</v>
      </c>
      <c r="S1065" s="1" t="s">
        <v>3753</v>
      </c>
      <c r="T1065" s="1" t="s">
        <v>3754</v>
      </c>
      <c r="U1065" s="2" t="s">
        <v>685</v>
      </c>
      <c r="V1065" s="2" t="s">
        <v>36</v>
      </c>
      <c r="W1065" s="2" t="s">
        <v>60</v>
      </c>
      <c r="X1065" s="2">
        <v>138.18</v>
      </c>
    </row>
    <row r="1066" spans="1:24" x14ac:dyDescent="0.3">
      <c r="A1066">
        <v>18958</v>
      </c>
      <c r="B1066" t="s">
        <v>3755</v>
      </c>
      <c r="C1066" s="3">
        <v>41474</v>
      </c>
      <c r="D1066" t="s">
        <v>62</v>
      </c>
      <c r="E1066">
        <v>3</v>
      </c>
      <c r="F1066" s="3">
        <f ca="1">41476+(RANDBETWEEN(1,10))</f>
        <v>41478</v>
      </c>
      <c r="G1066" t="s">
        <v>26</v>
      </c>
      <c r="H1066" t="s">
        <v>281</v>
      </c>
      <c r="I1066" t="s">
        <v>86</v>
      </c>
      <c r="J1066">
        <v>607.25</v>
      </c>
      <c r="K1066">
        <v>0</v>
      </c>
      <c r="L1066">
        <v>0.65</v>
      </c>
      <c r="M1066">
        <v>64.575000000000003</v>
      </c>
      <c r="N1066">
        <v>-703.93399999999997</v>
      </c>
      <c r="O1066" s="1" t="s">
        <v>225</v>
      </c>
      <c r="P1066" s="1" t="s">
        <v>3756</v>
      </c>
      <c r="Q1066" s="1" t="s">
        <v>3757</v>
      </c>
      <c r="R1066" s="1" t="s">
        <v>228</v>
      </c>
      <c r="S1066" s="1" t="s">
        <v>2958</v>
      </c>
      <c r="T1066" s="1" t="s">
        <v>2959</v>
      </c>
      <c r="U1066" s="2" t="s">
        <v>3758</v>
      </c>
      <c r="V1066" s="2" t="s">
        <v>83</v>
      </c>
      <c r="W1066" s="2" t="s">
        <v>178</v>
      </c>
      <c r="X1066" s="2">
        <v>180.77500000000001</v>
      </c>
    </row>
    <row r="1067" spans="1:24" x14ac:dyDescent="0.3">
      <c r="A1067">
        <v>18959</v>
      </c>
      <c r="B1067" t="s">
        <v>3759</v>
      </c>
      <c r="C1067" s="3">
        <v>41252</v>
      </c>
      <c r="D1067" t="s">
        <v>50</v>
      </c>
      <c r="E1067">
        <v>7</v>
      </c>
      <c r="F1067" s="3">
        <f ca="1">41253+(RANDBETWEEN(1,10))</f>
        <v>41254</v>
      </c>
      <c r="G1067" t="s">
        <v>26</v>
      </c>
      <c r="H1067" t="s">
        <v>27</v>
      </c>
      <c r="I1067" t="s">
        <v>28</v>
      </c>
      <c r="J1067">
        <v>1868.335</v>
      </c>
      <c r="K1067">
        <v>0.04</v>
      </c>
      <c r="L1067">
        <v>0.79</v>
      </c>
      <c r="M1067">
        <v>14</v>
      </c>
      <c r="N1067">
        <v>-155.22499999999999</v>
      </c>
      <c r="O1067" s="1" t="s">
        <v>40</v>
      </c>
      <c r="P1067" s="1" t="s">
        <v>3760</v>
      </c>
      <c r="Q1067" s="1" t="s">
        <v>3761</v>
      </c>
      <c r="R1067" s="1" t="s">
        <v>220</v>
      </c>
      <c r="S1067" s="1" t="s">
        <v>3762</v>
      </c>
      <c r="T1067" s="1" t="s">
        <v>3763</v>
      </c>
      <c r="U1067" s="2" t="s">
        <v>2448</v>
      </c>
      <c r="V1067" s="2" t="s">
        <v>36</v>
      </c>
      <c r="W1067" s="2" t="s">
        <v>60</v>
      </c>
      <c r="X1067" s="2">
        <v>258.93</v>
      </c>
    </row>
    <row r="1068" spans="1:24" x14ac:dyDescent="0.3">
      <c r="A1068">
        <v>18960</v>
      </c>
      <c r="B1068" t="s">
        <v>3764</v>
      </c>
      <c r="C1068" s="3">
        <v>41724</v>
      </c>
      <c r="D1068" t="s">
        <v>25</v>
      </c>
      <c r="E1068">
        <v>1</v>
      </c>
      <c r="F1068" s="3">
        <f ca="1">41726+(RANDBETWEEN(1,10))</f>
        <v>41731</v>
      </c>
      <c r="G1068" t="s">
        <v>26</v>
      </c>
      <c r="H1068" t="s">
        <v>51</v>
      </c>
      <c r="I1068" t="s">
        <v>97</v>
      </c>
      <c r="J1068">
        <v>163.97499999999999</v>
      </c>
      <c r="K1068">
        <v>0.08</v>
      </c>
      <c r="L1068">
        <v>0.59</v>
      </c>
      <c r="M1068">
        <v>11.55</v>
      </c>
      <c r="N1068">
        <v>-788.55700000000002</v>
      </c>
      <c r="O1068" s="1" t="s">
        <v>64</v>
      </c>
      <c r="P1068" s="1" t="s">
        <v>3765</v>
      </c>
      <c r="Q1068" s="1" t="s">
        <v>3766</v>
      </c>
      <c r="R1068" s="1" t="s">
        <v>67</v>
      </c>
      <c r="S1068" s="1" t="s">
        <v>3767</v>
      </c>
      <c r="T1068" s="1" t="s">
        <v>3768</v>
      </c>
      <c r="U1068" s="2" t="s">
        <v>3769</v>
      </c>
      <c r="V1068" s="2" t="s">
        <v>36</v>
      </c>
      <c r="W1068" s="2" t="s">
        <v>37</v>
      </c>
      <c r="X1068" s="2">
        <v>195.965</v>
      </c>
    </row>
    <row r="1069" spans="1:24" x14ac:dyDescent="0.3">
      <c r="A1069">
        <v>18961</v>
      </c>
      <c r="B1069" t="s">
        <v>3770</v>
      </c>
      <c r="C1069" s="3">
        <v>41252</v>
      </c>
      <c r="D1069" t="s">
        <v>39</v>
      </c>
      <c r="E1069">
        <v>22</v>
      </c>
      <c r="F1069" s="3">
        <f ca="1">41253+(RANDBETWEEN(1,10))</f>
        <v>41254</v>
      </c>
      <c r="G1069" t="s">
        <v>26</v>
      </c>
      <c r="H1069" t="s">
        <v>51</v>
      </c>
      <c r="I1069" t="s">
        <v>97</v>
      </c>
      <c r="J1069">
        <v>609.35</v>
      </c>
      <c r="K1069">
        <v>7.0000000000000007E-2</v>
      </c>
      <c r="L1069">
        <v>0.77</v>
      </c>
      <c r="M1069">
        <v>9.9049999999999994</v>
      </c>
      <c r="N1069">
        <v>-152.94999999999999</v>
      </c>
      <c r="O1069" s="1" t="s">
        <v>225</v>
      </c>
      <c r="P1069" s="1" t="s">
        <v>750</v>
      </c>
      <c r="Q1069" s="1" t="s">
        <v>751</v>
      </c>
      <c r="R1069" s="1" t="s">
        <v>391</v>
      </c>
      <c r="S1069" s="1" t="s">
        <v>752</v>
      </c>
      <c r="T1069" s="1" t="s">
        <v>753</v>
      </c>
      <c r="U1069" s="2" t="s">
        <v>2563</v>
      </c>
      <c r="V1069" s="2" t="s">
        <v>36</v>
      </c>
      <c r="W1069" s="2" t="s">
        <v>60</v>
      </c>
      <c r="X1069" s="2">
        <v>28.42</v>
      </c>
    </row>
    <row r="1070" spans="1:24" x14ac:dyDescent="0.3">
      <c r="A1070">
        <v>18962</v>
      </c>
      <c r="B1070" t="s">
        <v>3771</v>
      </c>
      <c r="C1070" s="3">
        <v>40601</v>
      </c>
      <c r="D1070" t="s">
        <v>62</v>
      </c>
      <c r="E1070">
        <v>7</v>
      </c>
      <c r="F1070" s="3">
        <f ca="1">40602+(RANDBETWEEN(1,10))</f>
        <v>40608</v>
      </c>
      <c r="G1070" t="s">
        <v>26</v>
      </c>
      <c r="H1070" t="s">
        <v>281</v>
      </c>
      <c r="I1070" t="s">
        <v>97</v>
      </c>
      <c r="J1070">
        <v>293.02</v>
      </c>
      <c r="K1070">
        <v>0.03</v>
      </c>
      <c r="L1070">
        <v>0.36</v>
      </c>
      <c r="M1070">
        <v>20.965</v>
      </c>
      <c r="N1070">
        <v>-756.10429999999997</v>
      </c>
      <c r="O1070" s="1" t="s">
        <v>29</v>
      </c>
      <c r="P1070" s="1" t="s">
        <v>458</v>
      </c>
      <c r="Q1070" s="1" t="s">
        <v>459</v>
      </c>
      <c r="R1070" s="1" t="s">
        <v>460</v>
      </c>
      <c r="S1070" s="1" t="s">
        <v>461</v>
      </c>
      <c r="T1070" s="1" t="s">
        <v>462</v>
      </c>
      <c r="U1070" s="2" t="s">
        <v>3772</v>
      </c>
      <c r="V1070" s="2" t="s">
        <v>36</v>
      </c>
      <c r="W1070" s="2" t="s">
        <v>142</v>
      </c>
      <c r="X1070" s="2">
        <v>41.965000000000003</v>
      </c>
    </row>
    <row r="1071" spans="1:24" x14ac:dyDescent="0.3">
      <c r="A1071">
        <v>18963</v>
      </c>
      <c r="B1071" t="s">
        <v>3773</v>
      </c>
      <c r="C1071" s="3">
        <v>40957</v>
      </c>
      <c r="D1071" t="s">
        <v>50</v>
      </c>
      <c r="E1071">
        <v>5</v>
      </c>
      <c r="F1071" s="3">
        <f ca="1">40958+(RANDBETWEEN(1,10))</f>
        <v>40966</v>
      </c>
      <c r="G1071" t="s">
        <v>26</v>
      </c>
      <c r="H1071" t="s">
        <v>27</v>
      </c>
      <c r="I1071" t="s">
        <v>52</v>
      </c>
      <c r="J1071">
        <v>132.51</v>
      </c>
      <c r="K1071">
        <v>0.05</v>
      </c>
      <c r="L1071">
        <v>0.38</v>
      </c>
      <c r="M1071">
        <v>27.02</v>
      </c>
      <c r="N1071">
        <v>-270.48</v>
      </c>
      <c r="O1071" s="1" t="s">
        <v>53</v>
      </c>
      <c r="P1071" s="1" t="s">
        <v>3774</v>
      </c>
      <c r="Q1071" s="1" t="s">
        <v>3775</v>
      </c>
      <c r="R1071" s="1" t="s">
        <v>440</v>
      </c>
      <c r="S1071" s="1" t="s">
        <v>3776</v>
      </c>
      <c r="T1071" s="1" t="s">
        <v>3777</v>
      </c>
      <c r="U1071" s="2" t="s">
        <v>823</v>
      </c>
      <c r="V1071" s="2" t="s">
        <v>47</v>
      </c>
      <c r="W1071" s="2" t="s">
        <v>111</v>
      </c>
      <c r="X1071" s="2">
        <v>25.55</v>
      </c>
    </row>
    <row r="1072" spans="1:24" x14ac:dyDescent="0.3">
      <c r="A1072">
        <v>18964</v>
      </c>
      <c r="B1072" t="s">
        <v>3778</v>
      </c>
      <c r="C1072" s="3">
        <v>41594</v>
      </c>
      <c r="D1072" t="s">
        <v>50</v>
      </c>
      <c r="E1072">
        <v>27</v>
      </c>
      <c r="F1072" s="3">
        <f ca="1">41596+(RANDBETWEEN(1,10))</f>
        <v>41602</v>
      </c>
      <c r="G1072" t="s">
        <v>156</v>
      </c>
      <c r="H1072" t="s">
        <v>51</v>
      </c>
      <c r="I1072" t="s">
        <v>28</v>
      </c>
      <c r="J1072">
        <v>3872.2950000000001</v>
      </c>
      <c r="K1072">
        <v>0</v>
      </c>
      <c r="L1072">
        <v>0.54</v>
      </c>
      <c r="M1072">
        <v>6.9649999999999999</v>
      </c>
      <c r="N1072">
        <v>2671.88355</v>
      </c>
      <c r="O1072" s="1" t="s">
        <v>40</v>
      </c>
      <c r="P1072" s="1" t="s">
        <v>2605</v>
      </c>
      <c r="Q1072" s="1" t="s">
        <v>2606</v>
      </c>
      <c r="R1072" s="1" t="s">
        <v>220</v>
      </c>
      <c r="S1072" s="1" t="s">
        <v>2607</v>
      </c>
      <c r="T1072" s="1" t="s">
        <v>2608</v>
      </c>
      <c r="U1072" s="2" t="s">
        <v>685</v>
      </c>
      <c r="V1072" s="2" t="s">
        <v>36</v>
      </c>
      <c r="W1072" s="2" t="s">
        <v>60</v>
      </c>
      <c r="X1072" s="2">
        <v>138.18</v>
      </c>
    </row>
    <row r="1073" spans="1:24" x14ac:dyDescent="0.3">
      <c r="A1073">
        <v>18965</v>
      </c>
      <c r="B1073" t="s">
        <v>3778</v>
      </c>
      <c r="C1073" s="3">
        <v>41594</v>
      </c>
      <c r="D1073" t="s">
        <v>50</v>
      </c>
      <c r="E1073">
        <v>4</v>
      </c>
      <c r="F1073" s="3">
        <f ca="1">41596+(RANDBETWEEN(1,10))</f>
        <v>41606</v>
      </c>
      <c r="G1073" t="s">
        <v>76</v>
      </c>
      <c r="H1073" t="s">
        <v>258</v>
      </c>
      <c r="I1073" t="s">
        <v>28</v>
      </c>
      <c r="J1073">
        <v>1524.355</v>
      </c>
      <c r="K1073">
        <v>0.09</v>
      </c>
      <c r="L1073">
        <v>0.78</v>
      </c>
      <c r="M1073">
        <v>200.83</v>
      </c>
      <c r="N1073">
        <v>236.78899999999999</v>
      </c>
      <c r="O1073" s="1" t="s">
        <v>29</v>
      </c>
      <c r="P1073" s="1" t="s">
        <v>3779</v>
      </c>
      <c r="Q1073" s="1" t="s">
        <v>3780</v>
      </c>
      <c r="R1073" s="1" t="s">
        <v>460</v>
      </c>
      <c r="S1073" s="1" t="s">
        <v>3781</v>
      </c>
      <c r="T1073" s="1" t="s">
        <v>3782</v>
      </c>
      <c r="U1073" s="2" t="s">
        <v>1795</v>
      </c>
      <c r="V1073" s="2" t="s">
        <v>83</v>
      </c>
      <c r="W1073" s="2" t="s">
        <v>298</v>
      </c>
      <c r="X1073" s="2">
        <v>353.43</v>
      </c>
    </row>
    <row r="1074" spans="1:24" x14ac:dyDescent="0.3">
      <c r="A1074">
        <v>18966</v>
      </c>
      <c r="B1074" t="s">
        <v>3778</v>
      </c>
      <c r="C1074" s="3">
        <v>41594</v>
      </c>
      <c r="D1074" t="s">
        <v>50</v>
      </c>
      <c r="E1074">
        <v>35</v>
      </c>
      <c r="F1074" s="3">
        <f ca="1">41596+(RANDBETWEEN(1,10))</f>
        <v>41599</v>
      </c>
      <c r="G1074" t="s">
        <v>26</v>
      </c>
      <c r="H1074" t="s">
        <v>27</v>
      </c>
      <c r="I1074" t="s">
        <v>28</v>
      </c>
      <c r="J1074">
        <v>2521.96</v>
      </c>
      <c r="K1074">
        <v>0.04</v>
      </c>
      <c r="L1074">
        <v>0.49</v>
      </c>
      <c r="M1074">
        <v>36.715000000000003</v>
      </c>
      <c r="N1074">
        <v>404.71199999999999</v>
      </c>
      <c r="O1074" s="1" t="s">
        <v>29</v>
      </c>
      <c r="P1074" s="1" t="s">
        <v>3779</v>
      </c>
      <c r="Q1074" s="1" t="s">
        <v>3780</v>
      </c>
      <c r="R1074" s="1" t="s">
        <v>460</v>
      </c>
      <c r="S1074" s="1" t="s">
        <v>3781</v>
      </c>
      <c r="T1074" s="1" t="s">
        <v>3782</v>
      </c>
      <c r="U1074" s="2" t="s">
        <v>2586</v>
      </c>
      <c r="V1074" s="2" t="s">
        <v>83</v>
      </c>
      <c r="W1074" s="2" t="s">
        <v>178</v>
      </c>
      <c r="X1074" s="2">
        <v>69.930000000000007</v>
      </c>
    </row>
    <row r="1075" spans="1:24" x14ac:dyDescent="0.3">
      <c r="A1075">
        <v>18967</v>
      </c>
      <c r="B1075" t="s">
        <v>3783</v>
      </c>
      <c r="C1075" s="3">
        <v>41194</v>
      </c>
      <c r="D1075" t="s">
        <v>50</v>
      </c>
      <c r="E1075">
        <v>21</v>
      </c>
      <c r="F1075" s="3">
        <f ca="1">41196+(RANDBETWEEN(1,10))</f>
        <v>41206</v>
      </c>
      <c r="G1075" t="s">
        <v>26</v>
      </c>
      <c r="H1075" t="s">
        <v>51</v>
      </c>
      <c r="I1075" t="s">
        <v>97</v>
      </c>
      <c r="J1075">
        <v>2941.26</v>
      </c>
      <c r="K1075">
        <v>7.0000000000000007E-2</v>
      </c>
      <c r="L1075">
        <v>0.44</v>
      </c>
      <c r="M1075">
        <v>6.9649999999999999</v>
      </c>
      <c r="N1075">
        <v>2029.4694</v>
      </c>
      <c r="O1075" s="1" t="s">
        <v>225</v>
      </c>
      <c r="P1075" s="1" t="s">
        <v>552</v>
      </c>
      <c r="Q1075" s="1" t="s">
        <v>553</v>
      </c>
      <c r="R1075" s="1" t="s">
        <v>228</v>
      </c>
      <c r="S1075" s="1" t="s">
        <v>554</v>
      </c>
      <c r="T1075" s="1" t="s">
        <v>555</v>
      </c>
      <c r="U1075" s="2" t="s">
        <v>1469</v>
      </c>
      <c r="V1075" s="2" t="s">
        <v>36</v>
      </c>
      <c r="W1075" s="2" t="s">
        <v>60</v>
      </c>
      <c r="X1075" s="2">
        <v>143.43</v>
      </c>
    </row>
    <row r="1076" spans="1:24" x14ac:dyDescent="0.3">
      <c r="A1076">
        <v>18968</v>
      </c>
      <c r="B1076" t="s">
        <v>3783</v>
      </c>
      <c r="C1076" s="3">
        <v>41194</v>
      </c>
      <c r="D1076" t="s">
        <v>50</v>
      </c>
      <c r="E1076">
        <v>19</v>
      </c>
      <c r="F1076" s="3">
        <f ca="1">41195+(RANDBETWEEN(1,10))</f>
        <v>41205</v>
      </c>
      <c r="G1076" t="s">
        <v>156</v>
      </c>
      <c r="H1076" t="s">
        <v>27</v>
      </c>
      <c r="I1076" t="s">
        <v>97</v>
      </c>
      <c r="J1076">
        <v>11311.23</v>
      </c>
      <c r="K1076">
        <v>0.02</v>
      </c>
      <c r="L1076">
        <v>0.56000000000000005</v>
      </c>
      <c r="M1076">
        <v>14.7</v>
      </c>
      <c r="N1076">
        <v>7646.63382</v>
      </c>
      <c r="O1076" s="1" t="s">
        <v>225</v>
      </c>
      <c r="P1076" s="1" t="s">
        <v>552</v>
      </c>
      <c r="Q1076" s="1" t="s">
        <v>553</v>
      </c>
      <c r="R1076" s="1" t="s">
        <v>228</v>
      </c>
      <c r="S1076" s="1" t="s">
        <v>554</v>
      </c>
      <c r="T1076" s="1" t="s">
        <v>555</v>
      </c>
      <c r="U1076" s="2" t="s">
        <v>3784</v>
      </c>
      <c r="V1076" s="2" t="s">
        <v>36</v>
      </c>
      <c r="W1076" s="2" t="s">
        <v>37</v>
      </c>
      <c r="X1076" s="2">
        <v>685.96500000000003</v>
      </c>
    </row>
    <row r="1077" spans="1:24" x14ac:dyDescent="0.3">
      <c r="A1077">
        <v>18969</v>
      </c>
      <c r="B1077" t="s">
        <v>3785</v>
      </c>
      <c r="C1077" s="3">
        <v>41647</v>
      </c>
      <c r="D1077" t="s">
        <v>148</v>
      </c>
      <c r="E1077">
        <v>1</v>
      </c>
      <c r="F1077" s="3">
        <f ca="1">41649+(RANDBETWEEN(1,10))</f>
        <v>41659</v>
      </c>
      <c r="G1077" t="s">
        <v>76</v>
      </c>
      <c r="H1077" t="s">
        <v>258</v>
      </c>
      <c r="I1077" t="s">
        <v>97</v>
      </c>
      <c r="J1077">
        <v>1039.395</v>
      </c>
      <c r="K1077">
        <v>7.0000000000000007E-2</v>
      </c>
      <c r="L1077">
        <v>0.74</v>
      </c>
      <c r="M1077">
        <v>299.70499999999998</v>
      </c>
      <c r="N1077">
        <v>-1506.6744000000001</v>
      </c>
      <c r="O1077" s="1" t="s">
        <v>29</v>
      </c>
      <c r="P1077" s="1" t="s">
        <v>3786</v>
      </c>
      <c r="Q1077" s="1" t="s">
        <v>3787</v>
      </c>
      <c r="R1077" s="1" t="s">
        <v>32</v>
      </c>
      <c r="S1077" s="1" t="s">
        <v>3788</v>
      </c>
      <c r="T1077" s="1" t="s">
        <v>3789</v>
      </c>
      <c r="U1077" s="2" t="s">
        <v>3542</v>
      </c>
      <c r="V1077" s="2" t="s">
        <v>83</v>
      </c>
      <c r="W1077" s="2" t="s">
        <v>263</v>
      </c>
      <c r="X1077" s="2">
        <v>1316.4549999999999</v>
      </c>
    </row>
    <row r="1078" spans="1:24" x14ac:dyDescent="0.3">
      <c r="A1078">
        <v>18970</v>
      </c>
      <c r="B1078" t="s">
        <v>3790</v>
      </c>
      <c r="C1078" s="3">
        <v>40568</v>
      </c>
      <c r="D1078" t="s">
        <v>62</v>
      </c>
      <c r="E1078">
        <v>1</v>
      </c>
      <c r="F1078" s="3">
        <f ca="1">40569+(RANDBETWEEN(1,10))</f>
        <v>40578</v>
      </c>
      <c r="G1078" t="s">
        <v>26</v>
      </c>
      <c r="H1078" t="s">
        <v>51</v>
      </c>
      <c r="I1078" t="s">
        <v>28</v>
      </c>
      <c r="J1078">
        <v>9.6950000000000003</v>
      </c>
      <c r="K1078">
        <v>0.06</v>
      </c>
      <c r="L1078">
        <v>0.53</v>
      </c>
      <c r="M1078">
        <v>14.28</v>
      </c>
      <c r="N1078">
        <v>-38.7562</v>
      </c>
      <c r="O1078" s="1" t="s">
        <v>87</v>
      </c>
      <c r="P1078" s="1" t="s">
        <v>3400</v>
      </c>
      <c r="Q1078" s="1" t="s">
        <v>3401</v>
      </c>
      <c r="R1078" s="1" t="s">
        <v>398</v>
      </c>
      <c r="S1078" s="1" t="s">
        <v>3402</v>
      </c>
      <c r="T1078" s="1" t="s">
        <v>3403</v>
      </c>
      <c r="U1078" s="2" t="s">
        <v>2747</v>
      </c>
      <c r="V1078" s="2" t="s">
        <v>83</v>
      </c>
      <c r="W1078" s="2" t="s">
        <v>178</v>
      </c>
      <c r="X1078" s="2">
        <v>6.09</v>
      </c>
    </row>
    <row r="1079" spans="1:24" x14ac:dyDescent="0.3">
      <c r="A1079">
        <v>18971</v>
      </c>
      <c r="B1079" t="s">
        <v>3791</v>
      </c>
      <c r="C1079" s="3">
        <v>41674</v>
      </c>
      <c r="D1079" t="s">
        <v>62</v>
      </c>
      <c r="E1079">
        <v>7</v>
      </c>
      <c r="F1079" s="3">
        <f ca="1">41674+(RANDBETWEEN(1,10))</f>
        <v>41677</v>
      </c>
      <c r="G1079" t="s">
        <v>26</v>
      </c>
      <c r="H1079" t="s">
        <v>27</v>
      </c>
      <c r="I1079" t="s">
        <v>28</v>
      </c>
      <c r="J1079">
        <v>218.47</v>
      </c>
      <c r="K1079">
        <v>7.0000000000000007E-2</v>
      </c>
      <c r="L1079">
        <v>0.36</v>
      </c>
      <c r="M1079">
        <v>19.600000000000001</v>
      </c>
      <c r="N1079">
        <v>-55.866999999999997</v>
      </c>
      <c r="O1079" s="1" t="s">
        <v>29</v>
      </c>
      <c r="P1079" s="1" t="s">
        <v>3451</v>
      </c>
      <c r="Q1079" s="1" t="s">
        <v>3452</v>
      </c>
      <c r="R1079" s="1" t="s">
        <v>675</v>
      </c>
      <c r="S1079" s="1" t="s">
        <v>3453</v>
      </c>
      <c r="T1079" s="1" t="s">
        <v>3454</v>
      </c>
      <c r="U1079" s="2" t="s">
        <v>3792</v>
      </c>
      <c r="V1079" s="2" t="s">
        <v>47</v>
      </c>
      <c r="W1079" s="2" t="s">
        <v>111</v>
      </c>
      <c r="X1079" s="2">
        <v>30.975000000000001</v>
      </c>
    </row>
    <row r="1080" spans="1:24" x14ac:dyDescent="0.3">
      <c r="A1080">
        <v>18972</v>
      </c>
      <c r="B1080" t="s">
        <v>3793</v>
      </c>
      <c r="C1080" s="3">
        <v>41557</v>
      </c>
      <c r="D1080" t="s">
        <v>25</v>
      </c>
      <c r="E1080">
        <v>7</v>
      </c>
      <c r="F1080" s="3">
        <f ca="1">41559+(RANDBETWEEN(1,10))</f>
        <v>41563</v>
      </c>
      <c r="G1080" t="s">
        <v>26</v>
      </c>
      <c r="H1080" t="s">
        <v>27</v>
      </c>
      <c r="I1080" t="s">
        <v>28</v>
      </c>
      <c r="J1080">
        <v>395.08</v>
      </c>
      <c r="K1080">
        <v>0.02</v>
      </c>
      <c r="L1080">
        <v>0.57999999999999996</v>
      </c>
      <c r="M1080">
        <v>37.380000000000003</v>
      </c>
      <c r="N1080">
        <v>-314.87400000000002</v>
      </c>
      <c r="O1080" s="1" t="s">
        <v>87</v>
      </c>
      <c r="P1080" s="1" t="s">
        <v>3794</v>
      </c>
      <c r="Q1080" s="1" t="s">
        <v>3795</v>
      </c>
      <c r="R1080" s="1" t="s">
        <v>497</v>
      </c>
      <c r="S1080" s="1" t="s">
        <v>3459</v>
      </c>
      <c r="T1080" s="1" t="s">
        <v>3460</v>
      </c>
      <c r="U1080" s="2" t="s">
        <v>543</v>
      </c>
      <c r="V1080" s="2" t="s">
        <v>47</v>
      </c>
      <c r="W1080" s="2" t="s">
        <v>119</v>
      </c>
      <c r="X1080" s="2">
        <v>53.97</v>
      </c>
    </row>
    <row r="1081" spans="1:24" x14ac:dyDescent="0.3">
      <c r="A1081">
        <v>18973</v>
      </c>
      <c r="B1081" t="s">
        <v>3793</v>
      </c>
      <c r="C1081" s="3">
        <v>41557</v>
      </c>
      <c r="D1081" t="s">
        <v>25</v>
      </c>
      <c r="E1081">
        <v>21</v>
      </c>
      <c r="F1081" s="3">
        <f ca="1">41561+(RANDBETWEEN(1,10))</f>
        <v>41567</v>
      </c>
      <c r="G1081" t="s">
        <v>26</v>
      </c>
      <c r="H1081" t="s">
        <v>96</v>
      </c>
      <c r="I1081" t="s">
        <v>28</v>
      </c>
      <c r="J1081">
        <v>142.44999999999999</v>
      </c>
      <c r="K1081">
        <v>0.01</v>
      </c>
      <c r="L1081">
        <v>0.82</v>
      </c>
      <c r="M1081">
        <v>9.0299999999999994</v>
      </c>
      <c r="N1081">
        <v>-352.22039999999998</v>
      </c>
      <c r="O1081" s="1" t="s">
        <v>40</v>
      </c>
      <c r="P1081" s="1" t="s">
        <v>3796</v>
      </c>
      <c r="Q1081" s="1" t="s">
        <v>3797</v>
      </c>
      <c r="R1081" s="1" t="s">
        <v>43</v>
      </c>
      <c r="S1081" s="1" t="s">
        <v>3798</v>
      </c>
      <c r="T1081" s="1" t="s">
        <v>3799</v>
      </c>
      <c r="U1081" s="2" t="s">
        <v>456</v>
      </c>
      <c r="V1081" s="2" t="s">
        <v>47</v>
      </c>
      <c r="W1081" s="2" t="s">
        <v>176</v>
      </c>
      <c r="X1081" s="2">
        <v>6.51</v>
      </c>
    </row>
    <row r="1082" spans="1:24" x14ac:dyDescent="0.3">
      <c r="A1082">
        <v>18974</v>
      </c>
      <c r="B1082" t="s">
        <v>3800</v>
      </c>
      <c r="C1082" s="3">
        <v>41629</v>
      </c>
      <c r="D1082" t="s">
        <v>39</v>
      </c>
      <c r="E1082">
        <v>7</v>
      </c>
      <c r="F1082" s="3">
        <f ca="1">41631+(RANDBETWEEN(1,10))</f>
        <v>41636</v>
      </c>
      <c r="G1082" t="s">
        <v>26</v>
      </c>
      <c r="H1082" t="s">
        <v>281</v>
      </c>
      <c r="I1082" t="s">
        <v>52</v>
      </c>
      <c r="J1082">
        <v>532.91</v>
      </c>
      <c r="K1082">
        <v>0.04</v>
      </c>
      <c r="L1082">
        <v>0.5</v>
      </c>
      <c r="M1082">
        <v>20.79</v>
      </c>
      <c r="N1082">
        <v>133.035</v>
      </c>
      <c r="O1082" s="1" t="s">
        <v>40</v>
      </c>
      <c r="P1082" s="1" t="s">
        <v>3801</v>
      </c>
      <c r="Q1082" s="1" t="s">
        <v>3802</v>
      </c>
      <c r="R1082" s="1" t="s">
        <v>43</v>
      </c>
      <c r="S1082" s="1" t="s">
        <v>3803</v>
      </c>
      <c r="T1082" s="1" t="s">
        <v>3804</v>
      </c>
      <c r="U1082" s="2" t="s">
        <v>785</v>
      </c>
      <c r="V1082" s="2" t="s">
        <v>47</v>
      </c>
      <c r="W1082" s="2" t="s">
        <v>71</v>
      </c>
      <c r="X1082" s="2">
        <v>76.23</v>
      </c>
    </row>
    <row r="1083" spans="1:24" x14ac:dyDescent="0.3">
      <c r="A1083">
        <v>18975</v>
      </c>
      <c r="B1083" t="s">
        <v>3805</v>
      </c>
      <c r="C1083" s="3">
        <v>41010</v>
      </c>
      <c r="D1083" t="s">
        <v>39</v>
      </c>
      <c r="E1083">
        <v>2</v>
      </c>
      <c r="F1083" s="3">
        <f ca="1">41012+(RANDBETWEEN(1,10))</f>
        <v>41020</v>
      </c>
      <c r="G1083" t="s">
        <v>26</v>
      </c>
      <c r="H1083" t="s">
        <v>281</v>
      </c>
      <c r="I1083" t="s">
        <v>28</v>
      </c>
      <c r="J1083">
        <v>87.22</v>
      </c>
      <c r="K1083">
        <v>0.01</v>
      </c>
      <c r="L1083">
        <v>0.42</v>
      </c>
      <c r="M1083">
        <v>21.42</v>
      </c>
      <c r="N1083">
        <v>-29.574999999999999</v>
      </c>
      <c r="O1083" s="1" t="s">
        <v>87</v>
      </c>
      <c r="P1083" s="1" t="s">
        <v>680</v>
      </c>
      <c r="Q1083" s="1" t="s">
        <v>681</v>
      </c>
      <c r="R1083" s="1" t="s">
        <v>497</v>
      </c>
      <c r="S1083" s="1" t="s">
        <v>682</v>
      </c>
      <c r="T1083" s="1" t="s">
        <v>683</v>
      </c>
      <c r="U1083" s="2" t="s">
        <v>3147</v>
      </c>
      <c r="V1083" s="2" t="s">
        <v>47</v>
      </c>
      <c r="W1083" s="2" t="s">
        <v>71</v>
      </c>
      <c r="X1083" s="2">
        <v>39.655000000000001</v>
      </c>
    </row>
    <row r="1084" spans="1:24" x14ac:dyDescent="0.3">
      <c r="A1084">
        <v>18976</v>
      </c>
      <c r="B1084" t="s">
        <v>3805</v>
      </c>
      <c r="C1084" s="3">
        <v>41010</v>
      </c>
      <c r="D1084" t="s">
        <v>39</v>
      </c>
      <c r="E1084">
        <v>3</v>
      </c>
      <c r="F1084" s="3">
        <f ca="1">41011+(RANDBETWEEN(1,10))</f>
        <v>41013</v>
      </c>
      <c r="G1084" t="s">
        <v>156</v>
      </c>
      <c r="H1084" t="s">
        <v>27</v>
      </c>
      <c r="I1084" t="s">
        <v>28</v>
      </c>
      <c r="J1084">
        <v>47.32</v>
      </c>
      <c r="K1084">
        <v>0.1</v>
      </c>
      <c r="L1084">
        <v>0.4</v>
      </c>
      <c r="M1084">
        <v>21.945</v>
      </c>
      <c r="N1084">
        <v>-164.58224999999999</v>
      </c>
      <c r="O1084" s="1" t="s">
        <v>87</v>
      </c>
      <c r="P1084" s="1" t="s">
        <v>680</v>
      </c>
      <c r="Q1084" s="1" t="s">
        <v>681</v>
      </c>
      <c r="R1084" s="1" t="s">
        <v>497</v>
      </c>
      <c r="S1084" s="1" t="s">
        <v>682</v>
      </c>
      <c r="T1084" s="1" t="s">
        <v>683</v>
      </c>
      <c r="U1084" s="2" t="s">
        <v>1887</v>
      </c>
      <c r="V1084" s="2" t="s">
        <v>47</v>
      </c>
      <c r="W1084" s="2" t="s">
        <v>111</v>
      </c>
      <c r="X1084" s="2">
        <v>11.76</v>
      </c>
    </row>
    <row r="1085" spans="1:24" x14ac:dyDescent="0.3">
      <c r="A1085">
        <v>18977</v>
      </c>
      <c r="B1085" t="s">
        <v>3805</v>
      </c>
      <c r="C1085" s="3">
        <v>41010</v>
      </c>
      <c r="D1085" t="s">
        <v>39</v>
      </c>
      <c r="E1085">
        <v>4</v>
      </c>
      <c r="F1085" s="3">
        <f ca="1">41012+(RANDBETWEEN(1,10))</f>
        <v>41016</v>
      </c>
      <c r="G1085" t="s">
        <v>76</v>
      </c>
      <c r="H1085" t="s">
        <v>77</v>
      </c>
      <c r="I1085" t="s">
        <v>28</v>
      </c>
      <c r="J1085">
        <v>1697.1849999999999</v>
      </c>
      <c r="K1085">
        <v>0.05</v>
      </c>
      <c r="L1085">
        <v>0.74</v>
      </c>
      <c r="M1085">
        <v>245.7</v>
      </c>
      <c r="N1085">
        <v>-3100.0549999999998</v>
      </c>
      <c r="O1085" s="1" t="s">
        <v>87</v>
      </c>
      <c r="P1085" s="1" t="s">
        <v>680</v>
      </c>
      <c r="Q1085" s="1" t="s">
        <v>681</v>
      </c>
      <c r="R1085" s="1" t="s">
        <v>497</v>
      </c>
      <c r="S1085" s="1" t="s">
        <v>682</v>
      </c>
      <c r="T1085" s="1" t="s">
        <v>683</v>
      </c>
      <c r="U1085" s="2" t="s">
        <v>358</v>
      </c>
      <c r="V1085" s="2" t="s">
        <v>83</v>
      </c>
      <c r="W1085" s="2" t="s">
        <v>84</v>
      </c>
      <c r="X1085" s="2">
        <v>430.46499999999997</v>
      </c>
    </row>
    <row r="1086" spans="1:24" x14ac:dyDescent="0.3">
      <c r="A1086">
        <v>18978</v>
      </c>
      <c r="B1086" t="s">
        <v>3805</v>
      </c>
      <c r="C1086" s="3">
        <v>41010</v>
      </c>
      <c r="D1086" t="s">
        <v>39</v>
      </c>
      <c r="E1086">
        <v>7</v>
      </c>
      <c r="F1086" s="3">
        <f ca="1">41011+(RANDBETWEEN(1,10))</f>
        <v>41013</v>
      </c>
      <c r="G1086" t="s">
        <v>156</v>
      </c>
      <c r="H1086" t="s">
        <v>51</v>
      </c>
      <c r="I1086" t="s">
        <v>28</v>
      </c>
      <c r="J1086">
        <v>393.29500000000002</v>
      </c>
      <c r="K1086">
        <v>0.02</v>
      </c>
      <c r="L1086">
        <v>0.39</v>
      </c>
      <c r="M1086">
        <v>31.465</v>
      </c>
      <c r="N1086">
        <v>228.72499999999999</v>
      </c>
      <c r="O1086" s="1" t="s">
        <v>87</v>
      </c>
      <c r="P1086" s="1" t="s">
        <v>680</v>
      </c>
      <c r="Q1086" s="1" t="s">
        <v>681</v>
      </c>
      <c r="R1086" s="1" t="s">
        <v>497</v>
      </c>
      <c r="S1086" s="1" t="s">
        <v>682</v>
      </c>
      <c r="T1086" s="1" t="s">
        <v>683</v>
      </c>
      <c r="U1086" s="2" t="s">
        <v>2064</v>
      </c>
      <c r="V1086" s="2" t="s">
        <v>83</v>
      </c>
      <c r="W1086" s="2" t="s">
        <v>178</v>
      </c>
      <c r="X1086" s="2">
        <v>52.43</v>
      </c>
    </row>
    <row r="1087" spans="1:24" x14ac:dyDescent="0.3">
      <c r="A1087">
        <v>18979</v>
      </c>
      <c r="B1087" t="s">
        <v>3806</v>
      </c>
      <c r="C1087" s="3">
        <v>40947</v>
      </c>
      <c r="D1087" t="s">
        <v>148</v>
      </c>
      <c r="E1087">
        <v>11</v>
      </c>
      <c r="F1087" s="3">
        <f ca="1">40948+(RANDBETWEEN(1,10))</f>
        <v>40957</v>
      </c>
      <c r="G1087" t="s">
        <v>76</v>
      </c>
      <c r="H1087" t="s">
        <v>77</v>
      </c>
      <c r="I1087" t="s">
        <v>86</v>
      </c>
      <c r="J1087">
        <v>10759.42</v>
      </c>
      <c r="K1087">
        <v>0.01</v>
      </c>
      <c r="L1087">
        <v>0.78</v>
      </c>
      <c r="M1087">
        <v>199.5</v>
      </c>
      <c r="N1087">
        <v>-1458.45</v>
      </c>
      <c r="O1087" s="1" t="s">
        <v>87</v>
      </c>
      <c r="P1087" s="1" t="s">
        <v>3807</v>
      </c>
      <c r="Q1087" s="1" t="s">
        <v>3808</v>
      </c>
      <c r="R1087" s="1" t="s">
        <v>398</v>
      </c>
      <c r="S1087" s="1" t="s">
        <v>3809</v>
      </c>
      <c r="T1087" s="1" t="s">
        <v>3810</v>
      </c>
      <c r="U1087" s="2" t="s">
        <v>3811</v>
      </c>
      <c r="V1087" s="2" t="s">
        <v>83</v>
      </c>
      <c r="W1087" s="2" t="s">
        <v>84</v>
      </c>
      <c r="X1087" s="2">
        <v>983.43</v>
      </c>
    </row>
    <row r="1088" spans="1:24" x14ac:dyDescent="0.3">
      <c r="A1088">
        <v>1898</v>
      </c>
      <c r="B1088" t="s">
        <v>3812</v>
      </c>
      <c r="C1088" s="3">
        <v>40659</v>
      </c>
      <c r="D1088" t="s">
        <v>50</v>
      </c>
      <c r="E1088">
        <v>34</v>
      </c>
      <c r="F1088" s="3">
        <f ca="1">40661+(RANDBETWEEN(1,10))</f>
        <v>40663</v>
      </c>
      <c r="G1088" t="s">
        <v>26</v>
      </c>
      <c r="H1088" t="s">
        <v>96</v>
      </c>
      <c r="I1088" t="s">
        <v>86</v>
      </c>
      <c r="J1088">
        <v>384.51</v>
      </c>
      <c r="K1088">
        <v>7.0000000000000007E-2</v>
      </c>
      <c r="L1088">
        <v>0.48</v>
      </c>
      <c r="M1088">
        <v>2.9750000000000001</v>
      </c>
      <c r="N1088">
        <v>66.64</v>
      </c>
      <c r="O1088" s="1" t="s">
        <v>40</v>
      </c>
      <c r="P1088" s="1" t="s">
        <v>269</v>
      </c>
      <c r="Q1088" s="1" t="s">
        <v>270</v>
      </c>
      <c r="R1088" s="1" t="s">
        <v>43</v>
      </c>
      <c r="S1088" s="1" t="s">
        <v>44</v>
      </c>
      <c r="T1088" s="1" t="s">
        <v>271</v>
      </c>
      <c r="U1088" s="2" t="s">
        <v>353</v>
      </c>
      <c r="V1088" s="2" t="s">
        <v>47</v>
      </c>
      <c r="W1088" s="2" t="s">
        <v>104</v>
      </c>
      <c r="X1088" s="2">
        <v>11.83</v>
      </c>
    </row>
    <row r="1089" spans="1:24" x14ac:dyDescent="0.3">
      <c r="A1089">
        <v>18980</v>
      </c>
      <c r="B1089" t="s">
        <v>3806</v>
      </c>
      <c r="C1089" s="3">
        <v>40947</v>
      </c>
      <c r="D1089" t="s">
        <v>148</v>
      </c>
      <c r="E1089">
        <v>5</v>
      </c>
      <c r="F1089" s="3">
        <f ca="1">40949+(RANDBETWEEN(1,10))</f>
        <v>40954</v>
      </c>
      <c r="G1089" t="s">
        <v>26</v>
      </c>
      <c r="H1089" t="s">
        <v>27</v>
      </c>
      <c r="I1089" t="s">
        <v>86</v>
      </c>
      <c r="J1089">
        <v>124.565</v>
      </c>
      <c r="K1089">
        <v>0.03</v>
      </c>
      <c r="L1089">
        <v>0.37</v>
      </c>
      <c r="M1089">
        <v>20.79</v>
      </c>
      <c r="N1089">
        <v>-122.185</v>
      </c>
      <c r="O1089" s="1" t="s">
        <v>87</v>
      </c>
      <c r="P1089" s="1" t="s">
        <v>3807</v>
      </c>
      <c r="Q1089" s="1" t="s">
        <v>3808</v>
      </c>
      <c r="R1089" s="1" t="s">
        <v>398</v>
      </c>
      <c r="S1089" s="1" t="s">
        <v>3809</v>
      </c>
      <c r="T1089" s="1" t="s">
        <v>3810</v>
      </c>
      <c r="U1089" s="2" t="s">
        <v>3813</v>
      </c>
      <c r="V1089" s="2" t="s">
        <v>47</v>
      </c>
      <c r="W1089" s="2" t="s">
        <v>74</v>
      </c>
      <c r="X1089" s="2">
        <v>22.68</v>
      </c>
    </row>
    <row r="1090" spans="1:24" x14ac:dyDescent="0.3">
      <c r="A1090">
        <v>18981</v>
      </c>
      <c r="B1090" t="s">
        <v>3814</v>
      </c>
      <c r="C1090" s="3">
        <v>41081</v>
      </c>
      <c r="D1090" t="s">
        <v>25</v>
      </c>
      <c r="E1090">
        <v>6</v>
      </c>
      <c r="F1090" s="3">
        <f ca="1">41088+(RANDBETWEEN(1,10))</f>
        <v>41094</v>
      </c>
      <c r="G1090" t="s">
        <v>26</v>
      </c>
      <c r="H1090" t="s">
        <v>27</v>
      </c>
      <c r="I1090" t="s">
        <v>28</v>
      </c>
      <c r="J1090">
        <v>95.34</v>
      </c>
      <c r="K1090">
        <v>0.03</v>
      </c>
      <c r="L1090">
        <v>0.6</v>
      </c>
      <c r="M1090">
        <v>24.114999999999998</v>
      </c>
      <c r="N1090">
        <v>459.62909999999999</v>
      </c>
      <c r="O1090" s="1" t="s">
        <v>53</v>
      </c>
      <c r="P1090" s="1" t="s">
        <v>1691</v>
      </c>
      <c r="Q1090" s="1" t="s">
        <v>1692</v>
      </c>
      <c r="R1090" s="1" t="s">
        <v>440</v>
      </c>
      <c r="S1090" s="1" t="s">
        <v>1693</v>
      </c>
      <c r="T1090" s="1" t="s">
        <v>1694</v>
      </c>
      <c r="U1090" s="2" t="s">
        <v>3815</v>
      </c>
      <c r="V1090" s="2" t="s">
        <v>47</v>
      </c>
      <c r="W1090" s="2" t="s">
        <v>71</v>
      </c>
      <c r="X1090" s="2">
        <v>14.21</v>
      </c>
    </row>
    <row r="1091" spans="1:24" x14ac:dyDescent="0.3">
      <c r="A1091">
        <v>18982</v>
      </c>
      <c r="B1091" t="s">
        <v>3816</v>
      </c>
      <c r="C1091" s="3">
        <v>41769</v>
      </c>
      <c r="D1091" t="s">
        <v>25</v>
      </c>
      <c r="E1091">
        <v>3</v>
      </c>
      <c r="F1091" s="3">
        <f ca="1">41771+(RANDBETWEEN(1,10))</f>
        <v>41779</v>
      </c>
      <c r="G1091" t="s">
        <v>26</v>
      </c>
      <c r="H1091" t="s">
        <v>27</v>
      </c>
      <c r="I1091" t="s">
        <v>97</v>
      </c>
      <c r="J1091">
        <v>156.16999999999999</v>
      </c>
      <c r="K1091">
        <v>0.05</v>
      </c>
      <c r="L1091">
        <v>0.38</v>
      </c>
      <c r="M1091">
        <v>25.445</v>
      </c>
      <c r="N1091">
        <v>-44.677500000000002</v>
      </c>
      <c r="O1091" s="1" t="s">
        <v>87</v>
      </c>
      <c r="P1091" s="1" t="s">
        <v>3817</v>
      </c>
      <c r="Q1091" s="1" t="s">
        <v>3818</v>
      </c>
      <c r="R1091" s="1" t="s">
        <v>90</v>
      </c>
      <c r="S1091" s="1" t="s">
        <v>3819</v>
      </c>
      <c r="T1091" s="1" t="s">
        <v>3820</v>
      </c>
      <c r="U1091" s="2" t="s">
        <v>3821</v>
      </c>
      <c r="V1091" s="2" t="s">
        <v>47</v>
      </c>
      <c r="W1091" s="2" t="s">
        <v>111</v>
      </c>
      <c r="X1091" s="2">
        <v>49.945</v>
      </c>
    </row>
    <row r="1092" spans="1:24" x14ac:dyDescent="0.3">
      <c r="A1092">
        <v>18983</v>
      </c>
      <c r="B1092" t="s">
        <v>3816</v>
      </c>
      <c r="C1092" s="3">
        <v>41769</v>
      </c>
      <c r="D1092" t="s">
        <v>25</v>
      </c>
      <c r="E1092">
        <v>10</v>
      </c>
      <c r="F1092" s="3">
        <f ca="1">41771+(RANDBETWEEN(1,10))</f>
        <v>41775</v>
      </c>
      <c r="G1092" t="s">
        <v>26</v>
      </c>
      <c r="H1092" t="s">
        <v>27</v>
      </c>
      <c r="I1092" t="s">
        <v>97</v>
      </c>
      <c r="J1092">
        <v>5543.65</v>
      </c>
      <c r="K1092">
        <v>0.01</v>
      </c>
      <c r="L1092">
        <v>0.49</v>
      </c>
      <c r="M1092">
        <v>19.25</v>
      </c>
      <c r="N1092">
        <v>3825.1185</v>
      </c>
      <c r="O1092" s="1" t="s">
        <v>87</v>
      </c>
      <c r="P1092" s="1" t="s">
        <v>3817</v>
      </c>
      <c r="Q1092" s="1" t="s">
        <v>3818</v>
      </c>
      <c r="R1092" s="1" t="s">
        <v>90</v>
      </c>
      <c r="S1092" s="1" t="s">
        <v>3819</v>
      </c>
      <c r="T1092" s="1" t="s">
        <v>3820</v>
      </c>
      <c r="U1092" s="2" t="s">
        <v>3822</v>
      </c>
      <c r="V1092" s="2" t="s">
        <v>36</v>
      </c>
      <c r="W1092" s="2" t="s">
        <v>60</v>
      </c>
      <c r="X1092" s="2">
        <v>559.96500000000003</v>
      </c>
    </row>
    <row r="1093" spans="1:24" x14ac:dyDescent="0.3">
      <c r="A1093">
        <v>18984</v>
      </c>
      <c r="B1093" t="s">
        <v>3816</v>
      </c>
      <c r="C1093" s="3">
        <v>41769</v>
      </c>
      <c r="D1093" t="s">
        <v>25</v>
      </c>
      <c r="E1093">
        <v>12</v>
      </c>
      <c r="F1093" s="3">
        <f ca="1">41771+(RANDBETWEEN(1,10))</f>
        <v>41774</v>
      </c>
      <c r="G1093" t="s">
        <v>26</v>
      </c>
      <c r="H1093" t="s">
        <v>27</v>
      </c>
      <c r="I1093" t="s">
        <v>97</v>
      </c>
      <c r="J1093">
        <v>1234.8699999999999</v>
      </c>
      <c r="K1093">
        <v>0.01</v>
      </c>
      <c r="L1093">
        <v>0.67</v>
      </c>
      <c r="M1093">
        <v>69.965000000000003</v>
      </c>
      <c r="N1093">
        <v>-1351.07</v>
      </c>
      <c r="O1093" s="1" t="s">
        <v>87</v>
      </c>
      <c r="P1093" s="1" t="s">
        <v>3817</v>
      </c>
      <c r="Q1093" s="1" t="s">
        <v>3818</v>
      </c>
      <c r="R1093" s="1" t="s">
        <v>90</v>
      </c>
      <c r="S1093" s="1" t="s">
        <v>3819</v>
      </c>
      <c r="T1093" s="1" t="s">
        <v>3820</v>
      </c>
      <c r="U1093" s="2" t="s">
        <v>3823</v>
      </c>
      <c r="V1093" s="2" t="s">
        <v>47</v>
      </c>
      <c r="W1093" s="2" t="s">
        <v>119</v>
      </c>
      <c r="X1093" s="2">
        <v>97.125</v>
      </c>
    </row>
    <row r="1094" spans="1:24" x14ac:dyDescent="0.3">
      <c r="A1094">
        <v>18985</v>
      </c>
      <c r="B1094" t="s">
        <v>3824</v>
      </c>
      <c r="C1094" s="3">
        <v>41643</v>
      </c>
      <c r="D1094" t="s">
        <v>50</v>
      </c>
      <c r="E1094">
        <v>1</v>
      </c>
      <c r="F1094" s="3">
        <f ca="1">41643+(RANDBETWEEN(1,10))</f>
        <v>41646</v>
      </c>
      <c r="G1094" t="s">
        <v>26</v>
      </c>
      <c r="H1094" t="s">
        <v>281</v>
      </c>
      <c r="I1094" t="s">
        <v>28</v>
      </c>
      <c r="J1094">
        <v>200.72499999999999</v>
      </c>
      <c r="K1094">
        <v>0.02</v>
      </c>
      <c r="L1094">
        <v>0.64</v>
      </c>
      <c r="M1094">
        <v>38.85</v>
      </c>
      <c r="N1094">
        <v>-183.21100000000001</v>
      </c>
      <c r="O1094" s="1" t="s">
        <v>87</v>
      </c>
      <c r="P1094" s="1" t="s">
        <v>3825</v>
      </c>
      <c r="Q1094" s="1" t="s">
        <v>3826</v>
      </c>
      <c r="R1094" s="1" t="s">
        <v>90</v>
      </c>
      <c r="S1094" s="1" t="s">
        <v>1318</v>
      </c>
      <c r="T1094" s="1" t="s">
        <v>1319</v>
      </c>
      <c r="U1094" s="2" t="s">
        <v>3827</v>
      </c>
      <c r="V1094" s="2" t="s">
        <v>83</v>
      </c>
      <c r="W1094" s="2" t="s">
        <v>178</v>
      </c>
      <c r="X1094" s="2">
        <v>189.7</v>
      </c>
    </row>
    <row r="1095" spans="1:24" x14ac:dyDescent="0.3">
      <c r="A1095">
        <v>18986</v>
      </c>
      <c r="B1095" t="s">
        <v>3824</v>
      </c>
      <c r="C1095" s="3">
        <v>41643</v>
      </c>
      <c r="D1095" t="s">
        <v>50</v>
      </c>
      <c r="E1095">
        <v>1</v>
      </c>
      <c r="F1095" s="3">
        <f ca="1">41645+(RANDBETWEEN(1,10))</f>
        <v>41650</v>
      </c>
      <c r="G1095" t="s">
        <v>26</v>
      </c>
      <c r="H1095" t="s">
        <v>96</v>
      </c>
      <c r="I1095" t="s">
        <v>28</v>
      </c>
      <c r="J1095">
        <v>131.98500000000001</v>
      </c>
      <c r="K1095">
        <v>0.06</v>
      </c>
      <c r="L1095">
        <v>0.38</v>
      </c>
      <c r="M1095">
        <v>17.78</v>
      </c>
      <c r="N1095">
        <v>200.38200000000001</v>
      </c>
      <c r="O1095" s="1" t="s">
        <v>87</v>
      </c>
      <c r="P1095" s="1" t="s">
        <v>3828</v>
      </c>
      <c r="Q1095" s="1" t="s">
        <v>3829</v>
      </c>
      <c r="R1095" s="1" t="s">
        <v>398</v>
      </c>
      <c r="S1095" s="1" t="s">
        <v>3830</v>
      </c>
      <c r="T1095" s="1" t="s">
        <v>3831</v>
      </c>
      <c r="U1095" s="2" t="s">
        <v>2638</v>
      </c>
      <c r="V1095" s="2" t="s">
        <v>47</v>
      </c>
      <c r="W1095" s="2" t="s">
        <v>74</v>
      </c>
      <c r="X1095" s="2">
        <v>132.79</v>
      </c>
    </row>
    <row r="1096" spans="1:24" x14ac:dyDescent="0.3">
      <c r="A1096">
        <v>18987</v>
      </c>
      <c r="B1096" t="s">
        <v>3824</v>
      </c>
      <c r="C1096" s="3">
        <v>41643</v>
      </c>
      <c r="D1096" t="s">
        <v>50</v>
      </c>
      <c r="E1096">
        <v>9</v>
      </c>
      <c r="F1096" s="3">
        <f ca="1">41644+(RANDBETWEEN(1,10))</f>
        <v>41651</v>
      </c>
      <c r="G1096" t="s">
        <v>26</v>
      </c>
      <c r="H1096" t="s">
        <v>27</v>
      </c>
      <c r="I1096" t="s">
        <v>28</v>
      </c>
      <c r="J1096">
        <v>1697.885</v>
      </c>
      <c r="K1096">
        <v>0.1</v>
      </c>
      <c r="L1096">
        <v>0.59</v>
      </c>
      <c r="M1096">
        <v>17.78</v>
      </c>
      <c r="N1096">
        <v>1853.145</v>
      </c>
      <c r="O1096" s="1" t="s">
        <v>87</v>
      </c>
      <c r="P1096" s="1" t="s">
        <v>3828</v>
      </c>
      <c r="Q1096" s="1" t="s">
        <v>3829</v>
      </c>
      <c r="R1096" s="1" t="s">
        <v>398</v>
      </c>
      <c r="S1096" s="1" t="s">
        <v>3830</v>
      </c>
      <c r="T1096" s="1" t="s">
        <v>3831</v>
      </c>
      <c r="U1096" s="2" t="s">
        <v>3832</v>
      </c>
      <c r="V1096" s="2" t="s">
        <v>47</v>
      </c>
      <c r="W1096" s="2" t="s">
        <v>119</v>
      </c>
      <c r="X1096" s="2">
        <v>193.51499999999999</v>
      </c>
    </row>
    <row r="1097" spans="1:24" x14ac:dyDescent="0.3">
      <c r="A1097">
        <v>18988</v>
      </c>
      <c r="B1097" t="s">
        <v>3833</v>
      </c>
      <c r="C1097" s="3">
        <v>41493</v>
      </c>
      <c r="D1097" t="s">
        <v>25</v>
      </c>
      <c r="E1097">
        <v>11</v>
      </c>
      <c r="F1097" s="3">
        <f ca="1">41497+(RANDBETWEEN(1,10))</f>
        <v>41507</v>
      </c>
      <c r="G1097" t="s">
        <v>26</v>
      </c>
      <c r="H1097" t="s">
        <v>63</v>
      </c>
      <c r="I1097" t="s">
        <v>28</v>
      </c>
      <c r="J1097">
        <v>11193.35</v>
      </c>
      <c r="K1097">
        <v>0.02</v>
      </c>
      <c r="L1097" t="s">
        <v>182</v>
      </c>
      <c r="M1097">
        <v>85.715000000000003</v>
      </c>
      <c r="N1097">
        <v>7723.4115000000002</v>
      </c>
      <c r="O1097" s="1" t="s">
        <v>53</v>
      </c>
      <c r="P1097" s="1" t="s">
        <v>1777</v>
      </c>
      <c r="Q1097" s="1" t="s">
        <v>1778</v>
      </c>
      <c r="R1097" s="1" t="s">
        <v>56</v>
      </c>
      <c r="S1097" s="1" t="s">
        <v>1779</v>
      </c>
      <c r="T1097" s="1" t="s">
        <v>1780</v>
      </c>
      <c r="U1097" s="2" t="s">
        <v>1520</v>
      </c>
      <c r="V1097" s="2" t="s">
        <v>83</v>
      </c>
      <c r="W1097" s="2" t="s">
        <v>84</v>
      </c>
      <c r="X1097" s="2">
        <v>966.7</v>
      </c>
    </row>
    <row r="1098" spans="1:24" x14ac:dyDescent="0.3">
      <c r="A1098">
        <v>18989</v>
      </c>
      <c r="B1098" t="s">
        <v>3834</v>
      </c>
      <c r="C1098" s="3">
        <v>40624</v>
      </c>
      <c r="D1098" t="s">
        <v>39</v>
      </c>
      <c r="E1098">
        <v>4</v>
      </c>
      <c r="F1098" s="3">
        <f ca="1">40626+(RANDBETWEEN(1,10))</f>
        <v>40628</v>
      </c>
      <c r="G1098" t="s">
        <v>26</v>
      </c>
      <c r="H1098" t="s">
        <v>51</v>
      </c>
      <c r="I1098" t="s">
        <v>97</v>
      </c>
      <c r="J1098">
        <v>529.44500000000005</v>
      </c>
      <c r="K1098">
        <v>7.0000000000000007E-2</v>
      </c>
      <c r="L1098">
        <v>0.54</v>
      </c>
      <c r="M1098">
        <v>6.9649999999999999</v>
      </c>
      <c r="N1098">
        <v>310.52</v>
      </c>
      <c r="O1098" s="1" t="s">
        <v>225</v>
      </c>
      <c r="P1098" s="1" t="s">
        <v>3835</v>
      </c>
      <c r="Q1098" s="1" t="s">
        <v>3836</v>
      </c>
      <c r="R1098" s="1" t="s">
        <v>391</v>
      </c>
      <c r="S1098" s="1" t="s">
        <v>3837</v>
      </c>
      <c r="T1098" s="1" t="s">
        <v>3838</v>
      </c>
      <c r="U1098" s="2" t="s">
        <v>685</v>
      </c>
      <c r="V1098" s="2" t="s">
        <v>36</v>
      </c>
      <c r="W1098" s="2" t="s">
        <v>60</v>
      </c>
      <c r="X1098" s="2">
        <v>138.18</v>
      </c>
    </row>
    <row r="1099" spans="1:24" x14ac:dyDescent="0.3">
      <c r="A1099">
        <v>18990</v>
      </c>
      <c r="B1099" t="s">
        <v>3834</v>
      </c>
      <c r="C1099" s="3">
        <v>40624</v>
      </c>
      <c r="D1099" t="s">
        <v>39</v>
      </c>
      <c r="E1099">
        <v>2</v>
      </c>
      <c r="F1099" s="3">
        <f ca="1">40626+(RANDBETWEEN(1,10))</f>
        <v>40631</v>
      </c>
      <c r="G1099" t="s">
        <v>26</v>
      </c>
      <c r="H1099" t="s">
        <v>27</v>
      </c>
      <c r="I1099" t="s">
        <v>97</v>
      </c>
      <c r="J1099">
        <v>36.784999999999997</v>
      </c>
      <c r="K1099">
        <v>0</v>
      </c>
      <c r="L1099">
        <v>0.36</v>
      </c>
      <c r="M1099">
        <v>1.75</v>
      </c>
      <c r="N1099">
        <v>25.38165</v>
      </c>
      <c r="O1099" s="1" t="s">
        <v>225</v>
      </c>
      <c r="P1099" s="1" t="s">
        <v>3835</v>
      </c>
      <c r="Q1099" s="1" t="s">
        <v>3836</v>
      </c>
      <c r="R1099" s="1" t="s">
        <v>391</v>
      </c>
      <c r="S1099" s="1" t="s">
        <v>3837</v>
      </c>
      <c r="T1099" s="1" t="s">
        <v>3838</v>
      </c>
      <c r="U1099" s="2" t="s">
        <v>1158</v>
      </c>
      <c r="V1099" s="2" t="s">
        <v>47</v>
      </c>
      <c r="W1099" s="2" t="s">
        <v>203</v>
      </c>
      <c r="X1099" s="2">
        <v>17.184999999999999</v>
      </c>
    </row>
    <row r="1100" spans="1:24" x14ac:dyDescent="0.3">
      <c r="A1100">
        <v>18991</v>
      </c>
      <c r="B1100" t="s">
        <v>3839</v>
      </c>
      <c r="C1100" s="3">
        <v>41476</v>
      </c>
      <c r="D1100" t="s">
        <v>62</v>
      </c>
      <c r="E1100">
        <v>12</v>
      </c>
      <c r="F1100" s="3">
        <f ca="1">41478+(RANDBETWEEN(1,10))</f>
        <v>41480</v>
      </c>
      <c r="G1100" t="s">
        <v>26</v>
      </c>
      <c r="H1100" t="s">
        <v>27</v>
      </c>
      <c r="I1100" t="s">
        <v>28</v>
      </c>
      <c r="J1100">
        <v>155.01499999999999</v>
      </c>
      <c r="K1100">
        <v>0.06</v>
      </c>
      <c r="L1100">
        <v>0.38</v>
      </c>
      <c r="M1100">
        <v>1.75</v>
      </c>
      <c r="N1100">
        <v>106.96035000000001</v>
      </c>
      <c r="O1100" s="1" t="s">
        <v>87</v>
      </c>
      <c r="P1100" s="1" t="s">
        <v>687</v>
      </c>
      <c r="Q1100" s="1" t="s">
        <v>688</v>
      </c>
      <c r="R1100" s="1" t="s">
        <v>398</v>
      </c>
      <c r="S1100" s="1" t="s">
        <v>689</v>
      </c>
      <c r="T1100" s="1" t="s">
        <v>690</v>
      </c>
      <c r="U1100" s="2" t="s">
        <v>702</v>
      </c>
      <c r="V1100" s="2" t="s">
        <v>47</v>
      </c>
      <c r="W1100" s="2" t="s">
        <v>203</v>
      </c>
      <c r="X1100" s="2">
        <v>12.914999999999999</v>
      </c>
    </row>
    <row r="1101" spans="1:24" x14ac:dyDescent="0.3">
      <c r="A1101">
        <v>18992</v>
      </c>
      <c r="B1101" t="s">
        <v>3840</v>
      </c>
      <c r="C1101" s="3">
        <v>40994</v>
      </c>
      <c r="D1101" t="s">
        <v>148</v>
      </c>
      <c r="E1101">
        <v>6</v>
      </c>
      <c r="F1101" s="3">
        <f ca="1">40996+(RANDBETWEEN(1,10))</f>
        <v>41003</v>
      </c>
      <c r="G1101" t="s">
        <v>26</v>
      </c>
      <c r="H1101" t="s">
        <v>27</v>
      </c>
      <c r="I1101" t="s">
        <v>28</v>
      </c>
      <c r="J1101">
        <v>426.40499999999997</v>
      </c>
      <c r="K1101">
        <v>0.05</v>
      </c>
      <c r="L1101">
        <v>0.47</v>
      </c>
      <c r="M1101">
        <v>50.365000000000002</v>
      </c>
      <c r="N1101">
        <v>-136.5</v>
      </c>
      <c r="O1101" s="1" t="s">
        <v>40</v>
      </c>
      <c r="P1101" s="1" t="s">
        <v>2743</v>
      </c>
      <c r="Q1101" s="1" t="s">
        <v>2744</v>
      </c>
      <c r="R1101" s="1" t="s">
        <v>43</v>
      </c>
      <c r="S1101" s="1" t="s">
        <v>1989</v>
      </c>
      <c r="T1101" s="1" t="s">
        <v>2745</v>
      </c>
      <c r="U1101" s="2" t="s">
        <v>3841</v>
      </c>
      <c r="V1101" s="2" t="s">
        <v>83</v>
      </c>
      <c r="W1101" s="2" t="s">
        <v>178</v>
      </c>
      <c r="X1101" s="2">
        <v>70.98</v>
      </c>
    </row>
    <row r="1102" spans="1:24" x14ac:dyDescent="0.3">
      <c r="A1102">
        <v>18993</v>
      </c>
      <c r="B1102" t="s">
        <v>3840</v>
      </c>
      <c r="C1102" s="3">
        <v>40994</v>
      </c>
      <c r="D1102" t="s">
        <v>148</v>
      </c>
      <c r="E1102">
        <v>8</v>
      </c>
      <c r="F1102" s="3">
        <f ca="1">40996+(RANDBETWEEN(1,10))</f>
        <v>41006</v>
      </c>
      <c r="G1102" t="s">
        <v>26</v>
      </c>
      <c r="H1102" t="s">
        <v>27</v>
      </c>
      <c r="I1102" t="s">
        <v>28</v>
      </c>
      <c r="J1102">
        <v>1475.2149999999999</v>
      </c>
      <c r="K1102">
        <v>7.0000000000000007E-2</v>
      </c>
      <c r="L1102">
        <v>0.56000000000000005</v>
      </c>
      <c r="M1102">
        <v>9.7650000000000006</v>
      </c>
      <c r="N1102">
        <v>1017.8983500000001</v>
      </c>
      <c r="O1102" s="1" t="s">
        <v>40</v>
      </c>
      <c r="P1102" s="1" t="s">
        <v>2743</v>
      </c>
      <c r="Q1102" s="1" t="s">
        <v>2744</v>
      </c>
      <c r="R1102" s="1" t="s">
        <v>43</v>
      </c>
      <c r="S1102" s="1" t="s">
        <v>1989</v>
      </c>
      <c r="T1102" s="1" t="s">
        <v>2745</v>
      </c>
      <c r="U1102" s="2" t="s">
        <v>3842</v>
      </c>
      <c r="V1102" s="2" t="s">
        <v>36</v>
      </c>
      <c r="W1102" s="2" t="s">
        <v>37</v>
      </c>
      <c r="X1102" s="2">
        <v>230.965</v>
      </c>
    </row>
    <row r="1103" spans="1:24" x14ac:dyDescent="0.3">
      <c r="A1103">
        <v>18994</v>
      </c>
      <c r="B1103" t="s">
        <v>3843</v>
      </c>
      <c r="C1103" s="3">
        <v>41318</v>
      </c>
      <c r="D1103" t="s">
        <v>148</v>
      </c>
      <c r="E1103">
        <v>8</v>
      </c>
      <c r="F1103" s="3">
        <f ca="1">41320+(RANDBETWEEN(1,10))</f>
        <v>41325</v>
      </c>
      <c r="G1103" t="s">
        <v>26</v>
      </c>
      <c r="H1103" t="s">
        <v>27</v>
      </c>
      <c r="I1103" t="s">
        <v>52</v>
      </c>
      <c r="J1103">
        <v>1703.835</v>
      </c>
      <c r="K1103">
        <v>0</v>
      </c>
      <c r="L1103">
        <v>0.57999999999999996</v>
      </c>
      <c r="M1103">
        <v>31.465</v>
      </c>
      <c r="N1103">
        <v>-163.36600000000001</v>
      </c>
      <c r="O1103" s="1" t="s">
        <v>29</v>
      </c>
      <c r="P1103" s="1" t="s">
        <v>3844</v>
      </c>
      <c r="Q1103" s="1" t="s">
        <v>3845</v>
      </c>
      <c r="R1103" s="1" t="s">
        <v>675</v>
      </c>
      <c r="S1103" s="1" t="s">
        <v>3846</v>
      </c>
      <c r="T1103" s="1" t="s">
        <v>3847</v>
      </c>
      <c r="U1103" s="2">
        <v>8260</v>
      </c>
      <c r="V1103" s="2" t="s">
        <v>36</v>
      </c>
      <c r="W1103" s="2" t="s">
        <v>37</v>
      </c>
      <c r="X1103" s="2">
        <v>230.965</v>
      </c>
    </row>
    <row r="1104" spans="1:24" x14ac:dyDescent="0.3">
      <c r="A1104">
        <v>18995</v>
      </c>
      <c r="B1104" t="s">
        <v>3843</v>
      </c>
      <c r="C1104" s="3">
        <v>41318</v>
      </c>
      <c r="D1104" t="s">
        <v>148</v>
      </c>
      <c r="E1104">
        <v>5</v>
      </c>
      <c r="F1104" s="3">
        <f ca="1">41320+(RANDBETWEEN(1,10))</f>
        <v>41327</v>
      </c>
      <c r="G1104" t="s">
        <v>26</v>
      </c>
      <c r="H1104" t="s">
        <v>96</v>
      </c>
      <c r="I1104" t="s">
        <v>52</v>
      </c>
      <c r="J1104">
        <v>312.09500000000003</v>
      </c>
      <c r="K1104">
        <v>0.02</v>
      </c>
      <c r="L1104">
        <v>0.37</v>
      </c>
      <c r="M1104">
        <v>3.4649999999999999</v>
      </c>
      <c r="N1104">
        <v>-986.25239999999997</v>
      </c>
      <c r="O1104" s="1" t="s">
        <v>29</v>
      </c>
      <c r="P1104" s="1" t="s">
        <v>3844</v>
      </c>
      <c r="Q1104" s="1" t="s">
        <v>3845</v>
      </c>
      <c r="R1104" s="1" t="s">
        <v>675</v>
      </c>
      <c r="S1104" s="1" t="s">
        <v>3846</v>
      </c>
      <c r="T1104" s="1" t="s">
        <v>3847</v>
      </c>
      <c r="U1104" s="2" t="s">
        <v>3359</v>
      </c>
      <c r="V1104" s="2" t="s">
        <v>36</v>
      </c>
      <c r="W1104" s="2" t="s">
        <v>37</v>
      </c>
      <c r="X1104" s="2">
        <v>73.465000000000003</v>
      </c>
    </row>
    <row r="1105" spans="1:24" x14ac:dyDescent="0.3">
      <c r="A1105">
        <v>18996</v>
      </c>
      <c r="B1105" t="s">
        <v>3848</v>
      </c>
      <c r="C1105" s="3">
        <v>41708</v>
      </c>
      <c r="D1105" t="s">
        <v>50</v>
      </c>
      <c r="E1105">
        <v>3</v>
      </c>
      <c r="F1105" s="3">
        <f ca="1">41710+(RANDBETWEEN(1,10))</f>
        <v>41720</v>
      </c>
      <c r="G1105" t="s">
        <v>26</v>
      </c>
      <c r="H1105" t="s">
        <v>51</v>
      </c>
      <c r="I1105" t="s">
        <v>52</v>
      </c>
      <c r="J1105">
        <v>149.03</v>
      </c>
      <c r="K1105">
        <v>0.06</v>
      </c>
      <c r="L1105">
        <v>0.49</v>
      </c>
      <c r="M1105">
        <v>31.465</v>
      </c>
      <c r="N1105">
        <v>42.7</v>
      </c>
      <c r="O1105" s="1" t="s">
        <v>225</v>
      </c>
      <c r="P1105" s="1" t="s">
        <v>2569</v>
      </c>
      <c r="Q1105" s="1" t="s">
        <v>2570</v>
      </c>
      <c r="R1105" s="1" t="s">
        <v>228</v>
      </c>
      <c r="S1105" s="1" t="s">
        <v>2571</v>
      </c>
      <c r="T1105" s="1" t="s">
        <v>2572</v>
      </c>
      <c r="U1105" s="2" t="s">
        <v>3849</v>
      </c>
      <c r="V1105" s="2" t="s">
        <v>83</v>
      </c>
      <c r="W1105" s="2" t="s">
        <v>178</v>
      </c>
      <c r="X1105" s="2">
        <v>48.055</v>
      </c>
    </row>
    <row r="1106" spans="1:24" x14ac:dyDescent="0.3">
      <c r="A1106">
        <v>18997</v>
      </c>
      <c r="B1106" t="s">
        <v>3850</v>
      </c>
      <c r="C1106" s="3">
        <v>40946</v>
      </c>
      <c r="D1106" t="s">
        <v>62</v>
      </c>
      <c r="E1106">
        <v>3</v>
      </c>
      <c r="F1106" s="3">
        <f ca="1">40948+(RANDBETWEEN(1,10))</f>
        <v>40955</v>
      </c>
      <c r="G1106" t="s">
        <v>76</v>
      </c>
      <c r="H1106" t="s">
        <v>258</v>
      </c>
      <c r="I1106" t="s">
        <v>28</v>
      </c>
      <c r="J1106">
        <v>785.68</v>
      </c>
      <c r="K1106">
        <v>0.05</v>
      </c>
      <c r="L1106">
        <v>0.6</v>
      </c>
      <c r="M1106">
        <v>93.59</v>
      </c>
      <c r="N1106">
        <v>-304.46499999999997</v>
      </c>
      <c r="O1106" s="1" t="s">
        <v>40</v>
      </c>
      <c r="P1106" s="1" t="s">
        <v>2192</v>
      </c>
      <c r="Q1106" s="1" t="s">
        <v>2193</v>
      </c>
      <c r="R1106" s="1" t="s">
        <v>220</v>
      </c>
      <c r="S1106" s="1" t="s">
        <v>2194</v>
      </c>
      <c r="T1106" s="1" t="s">
        <v>2195</v>
      </c>
      <c r="U1106" s="2" t="s">
        <v>3851</v>
      </c>
      <c r="V1106" s="2" t="s">
        <v>83</v>
      </c>
      <c r="W1106" s="2" t="s">
        <v>298</v>
      </c>
      <c r="X1106" s="2">
        <v>248.43</v>
      </c>
    </row>
    <row r="1107" spans="1:24" x14ac:dyDescent="0.3">
      <c r="A1107">
        <v>18998</v>
      </c>
      <c r="B1107" t="s">
        <v>3852</v>
      </c>
      <c r="C1107" s="3">
        <v>40551</v>
      </c>
      <c r="D1107" t="s">
        <v>39</v>
      </c>
      <c r="E1107">
        <v>6</v>
      </c>
      <c r="F1107" s="3">
        <f ca="1">40553+(RANDBETWEEN(1,10))</f>
        <v>40556</v>
      </c>
      <c r="G1107" t="s">
        <v>26</v>
      </c>
      <c r="H1107" t="s">
        <v>27</v>
      </c>
      <c r="I1107" t="s">
        <v>28</v>
      </c>
      <c r="J1107">
        <v>18271.68</v>
      </c>
      <c r="K1107">
        <v>0.03</v>
      </c>
      <c r="L1107">
        <v>0.38</v>
      </c>
      <c r="M1107">
        <v>69.965000000000003</v>
      </c>
      <c r="N1107">
        <v>12607.459199999999</v>
      </c>
      <c r="O1107" s="1" t="s">
        <v>87</v>
      </c>
      <c r="P1107" s="1" t="s">
        <v>396</v>
      </c>
      <c r="Q1107" s="1" t="s">
        <v>397</v>
      </c>
      <c r="R1107" s="1" t="s">
        <v>398</v>
      </c>
      <c r="S1107" s="1" t="s">
        <v>399</v>
      </c>
      <c r="T1107" s="1" t="s">
        <v>400</v>
      </c>
      <c r="U1107" s="2" t="s">
        <v>1207</v>
      </c>
      <c r="V1107" s="2" t="s">
        <v>47</v>
      </c>
      <c r="W1107" s="2" t="s">
        <v>111</v>
      </c>
      <c r="X1107" s="2">
        <v>3139.4650000000001</v>
      </c>
    </row>
    <row r="1108" spans="1:24" x14ac:dyDescent="0.3">
      <c r="A1108">
        <v>18999</v>
      </c>
      <c r="B1108" t="s">
        <v>3853</v>
      </c>
      <c r="C1108" s="3">
        <v>41454</v>
      </c>
      <c r="D1108" t="s">
        <v>148</v>
      </c>
      <c r="E1108">
        <v>21</v>
      </c>
      <c r="F1108" s="3">
        <f ca="1">41456+(RANDBETWEEN(1,10))</f>
        <v>41465</v>
      </c>
      <c r="G1108" t="s">
        <v>26</v>
      </c>
      <c r="H1108" t="s">
        <v>27</v>
      </c>
      <c r="I1108" t="s">
        <v>86</v>
      </c>
      <c r="J1108">
        <v>9123.0650000000005</v>
      </c>
      <c r="K1108">
        <v>0.03</v>
      </c>
      <c r="L1108">
        <v>0.59</v>
      </c>
      <c r="M1108">
        <v>69.965000000000003</v>
      </c>
      <c r="N1108">
        <v>5948.3339999999998</v>
      </c>
      <c r="O1108" s="1" t="s">
        <v>40</v>
      </c>
      <c r="P1108" s="1" t="s">
        <v>1192</v>
      </c>
      <c r="Q1108" s="1" t="s">
        <v>1193</v>
      </c>
      <c r="R1108" s="1" t="s">
        <v>43</v>
      </c>
      <c r="S1108" s="1" t="s">
        <v>1194</v>
      </c>
      <c r="T1108" s="1" t="s">
        <v>1195</v>
      </c>
      <c r="U1108" s="2" t="s">
        <v>1801</v>
      </c>
      <c r="V1108" s="2" t="s">
        <v>47</v>
      </c>
      <c r="W1108" s="2" t="s">
        <v>119</v>
      </c>
      <c r="X1108" s="2">
        <v>421.15499999999997</v>
      </c>
    </row>
    <row r="1109" spans="1:24" x14ac:dyDescent="0.3">
      <c r="A1109">
        <v>19000</v>
      </c>
      <c r="B1109" t="s">
        <v>3854</v>
      </c>
      <c r="C1109" s="3">
        <v>41879</v>
      </c>
      <c r="D1109" t="s">
        <v>39</v>
      </c>
      <c r="E1109">
        <v>10</v>
      </c>
      <c r="F1109" s="3">
        <f ca="1">41879+(RANDBETWEEN(1,10))</f>
        <v>41880</v>
      </c>
      <c r="G1109" t="s">
        <v>26</v>
      </c>
      <c r="H1109" t="s">
        <v>27</v>
      </c>
      <c r="I1109" t="s">
        <v>52</v>
      </c>
      <c r="J1109">
        <v>483.21</v>
      </c>
      <c r="K1109">
        <v>7.0000000000000007E-2</v>
      </c>
      <c r="L1109">
        <v>0.38</v>
      </c>
      <c r="M1109">
        <v>22.61</v>
      </c>
      <c r="N1109">
        <v>26474.300999999999</v>
      </c>
      <c r="O1109" s="1" t="s">
        <v>40</v>
      </c>
      <c r="P1109" s="1" t="s">
        <v>1134</v>
      </c>
      <c r="Q1109" s="1" t="s">
        <v>1135</v>
      </c>
      <c r="R1109" s="1" t="s">
        <v>43</v>
      </c>
      <c r="S1109" s="1" t="s">
        <v>1136</v>
      </c>
      <c r="T1109" s="1" t="s">
        <v>1137</v>
      </c>
      <c r="U1109" s="2" t="s">
        <v>1867</v>
      </c>
      <c r="V1109" s="2" t="s">
        <v>47</v>
      </c>
      <c r="W1109" s="2" t="s">
        <v>111</v>
      </c>
      <c r="X1109" s="2">
        <v>50.68</v>
      </c>
    </row>
    <row r="1110" spans="1:24" x14ac:dyDescent="0.3">
      <c r="A1110">
        <v>19001</v>
      </c>
      <c r="B1110" t="s">
        <v>3855</v>
      </c>
      <c r="C1110" s="3">
        <v>40800</v>
      </c>
      <c r="D1110" t="s">
        <v>148</v>
      </c>
      <c r="E1110">
        <v>13</v>
      </c>
      <c r="F1110" s="3">
        <f ca="1">40801+(RANDBETWEEN(1,10))</f>
        <v>40808</v>
      </c>
      <c r="G1110" t="s">
        <v>26</v>
      </c>
      <c r="H1110" t="s">
        <v>27</v>
      </c>
      <c r="I1110" t="s">
        <v>52</v>
      </c>
      <c r="J1110">
        <v>2679.7750000000001</v>
      </c>
      <c r="K1110">
        <v>0</v>
      </c>
      <c r="L1110">
        <v>0.59</v>
      </c>
      <c r="M1110">
        <v>13.965</v>
      </c>
      <c r="N1110">
        <v>-211.97399999999999</v>
      </c>
      <c r="O1110" s="1" t="s">
        <v>40</v>
      </c>
      <c r="P1110" s="1" t="s">
        <v>1134</v>
      </c>
      <c r="Q1110" s="1" t="s">
        <v>1135</v>
      </c>
      <c r="R1110" s="1" t="s">
        <v>43</v>
      </c>
      <c r="S1110" s="1" t="s">
        <v>1136</v>
      </c>
      <c r="T1110" s="1" t="s">
        <v>1137</v>
      </c>
      <c r="U1110" s="2" t="s">
        <v>1991</v>
      </c>
      <c r="V1110" s="2" t="s">
        <v>36</v>
      </c>
      <c r="W1110" s="2" t="s">
        <v>37</v>
      </c>
      <c r="X1110" s="2">
        <v>230.965</v>
      </c>
    </row>
    <row r="1111" spans="1:24" x14ac:dyDescent="0.3">
      <c r="A1111">
        <v>19002</v>
      </c>
      <c r="B1111" t="s">
        <v>3856</v>
      </c>
      <c r="C1111" s="3">
        <v>40800</v>
      </c>
      <c r="D1111" t="s">
        <v>39</v>
      </c>
      <c r="E1111">
        <v>12</v>
      </c>
      <c r="F1111" s="3">
        <f ca="1">40801+(RANDBETWEEN(1,10))</f>
        <v>40809</v>
      </c>
      <c r="G1111" t="s">
        <v>26</v>
      </c>
      <c r="H1111" t="s">
        <v>27</v>
      </c>
      <c r="I1111" t="s">
        <v>86</v>
      </c>
      <c r="J1111">
        <v>1513.54</v>
      </c>
      <c r="K1111">
        <v>0.03</v>
      </c>
      <c r="L1111">
        <v>0.55000000000000004</v>
      </c>
      <c r="M1111">
        <v>69.965000000000003</v>
      </c>
      <c r="N1111">
        <v>-2.59</v>
      </c>
      <c r="O1111" s="1" t="s">
        <v>40</v>
      </c>
      <c r="P1111" s="1" t="s">
        <v>3857</v>
      </c>
      <c r="Q1111" s="1" t="s">
        <v>3858</v>
      </c>
      <c r="R1111" s="1" t="s">
        <v>220</v>
      </c>
      <c r="S1111" s="1" t="s">
        <v>3859</v>
      </c>
      <c r="T1111" s="1" t="s">
        <v>3860</v>
      </c>
      <c r="U1111" s="2" t="s">
        <v>3861</v>
      </c>
      <c r="V1111" s="2" t="s">
        <v>83</v>
      </c>
      <c r="W1111" s="2" t="s">
        <v>178</v>
      </c>
      <c r="X1111" s="2">
        <v>118.93</v>
      </c>
    </row>
    <row r="1112" spans="1:24" x14ac:dyDescent="0.3">
      <c r="A1112">
        <v>19003</v>
      </c>
      <c r="B1112" t="s">
        <v>3856</v>
      </c>
      <c r="C1112" s="3">
        <v>40800</v>
      </c>
      <c r="D1112" t="s">
        <v>39</v>
      </c>
      <c r="E1112">
        <v>3</v>
      </c>
      <c r="F1112" s="3">
        <f ca="1">40801+(RANDBETWEEN(1,10))</f>
        <v>40808</v>
      </c>
      <c r="G1112" t="s">
        <v>26</v>
      </c>
      <c r="H1112" t="s">
        <v>51</v>
      </c>
      <c r="I1112" t="s">
        <v>86</v>
      </c>
      <c r="J1112">
        <v>445.27</v>
      </c>
      <c r="K1112">
        <v>0.08</v>
      </c>
      <c r="L1112">
        <v>0.55000000000000004</v>
      </c>
      <c r="M1112">
        <v>6.9649999999999999</v>
      </c>
      <c r="N1112">
        <v>-251.405</v>
      </c>
      <c r="O1112" s="1" t="s">
        <v>87</v>
      </c>
      <c r="P1112" s="1" t="s">
        <v>3862</v>
      </c>
      <c r="Q1112" s="1" t="s">
        <v>3863</v>
      </c>
      <c r="R1112" s="1" t="s">
        <v>398</v>
      </c>
      <c r="S1112" s="1" t="s">
        <v>3864</v>
      </c>
      <c r="T1112" s="1" t="s">
        <v>3865</v>
      </c>
      <c r="U1112" s="2" t="s">
        <v>2560</v>
      </c>
      <c r="V1112" s="2" t="s">
        <v>36</v>
      </c>
      <c r="W1112" s="2" t="s">
        <v>60</v>
      </c>
      <c r="X1112" s="2">
        <v>158.16499999999999</v>
      </c>
    </row>
    <row r="1113" spans="1:24" x14ac:dyDescent="0.3">
      <c r="A1113">
        <v>19004</v>
      </c>
      <c r="B1113" t="s">
        <v>3856</v>
      </c>
      <c r="C1113" s="3">
        <v>40800</v>
      </c>
      <c r="D1113" t="s">
        <v>39</v>
      </c>
      <c r="E1113">
        <v>2</v>
      </c>
      <c r="F1113" s="3">
        <f ca="1">40801+(RANDBETWEEN(1,10))</f>
        <v>40811</v>
      </c>
      <c r="G1113" t="s">
        <v>76</v>
      </c>
      <c r="H1113" t="s">
        <v>258</v>
      </c>
      <c r="I1113" t="s">
        <v>86</v>
      </c>
      <c r="J1113">
        <v>2836.645</v>
      </c>
      <c r="K1113">
        <v>0.1</v>
      </c>
      <c r="L1113">
        <v>0.6</v>
      </c>
      <c r="M1113">
        <v>267.29500000000002</v>
      </c>
      <c r="N1113">
        <v>-3391.669281</v>
      </c>
      <c r="O1113" s="1" t="s">
        <v>87</v>
      </c>
      <c r="P1113" s="1" t="s">
        <v>3866</v>
      </c>
      <c r="Q1113" s="1" t="s">
        <v>3867</v>
      </c>
      <c r="R1113" s="1" t="s">
        <v>90</v>
      </c>
      <c r="S1113" s="1" t="s">
        <v>653</v>
      </c>
      <c r="T1113" s="1" t="s">
        <v>654</v>
      </c>
      <c r="U1113" s="2" t="s">
        <v>2984</v>
      </c>
      <c r="V1113" s="2" t="s">
        <v>83</v>
      </c>
      <c r="W1113" s="2" t="s">
        <v>263</v>
      </c>
      <c r="X1113" s="2">
        <v>1403.43</v>
      </c>
    </row>
    <row r="1114" spans="1:24" x14ac:dyDescent="0.3">
      <c r="A1114">
        <v>19005</v>
      </c>
      <c r="B1114" t="s">
        <v>3868</v>
      </c>
      <c r="C1114" s="3">
        <v>41271</v>
      </c>
      <c r="D1114" t="s">
        <v>25</v>
      </c>
      <c r="E1114">
        <v>8</v>
      </c>
      <c r="F1114" s="3">
        <f ca="1">41288+(RANDBETWEEN(1,10))</f>
        <v>41297</v>
      </c>
      <c r="G1114" t="s">
        <v>26</v>
      </c>
      <c r="H1114" t="s">
        <v>27</v>
      </c>
      <c r="I1114" t="s">
        <v>28</v>
      </c>
      <c r="J1114">
        <v>1579.69</v>
      </c>
      <c r="K1114">
        <v>0.06</v>
      </c>
      <c r="L1114">
        <v>0.55000000000000004</v>
      </c>
      <c r="M1114">
        <v>8.75</v>
      </c>
      <c r="N1114">
        <v>656.20799999999997</v>
      </c>
      <c r="O1114" s="1" t="s">
        <v>225</v>
      </c>
      <c r="P1114" s="1" t="s">
        <v>2428</v>
      </c>
      <c r="Q1114" s="1" t="s">
        <v>2429</v>
      </c>
      <c r="R1114" s="1" t="s">
        <v>228</v>
      </c>
      <c r="S1114" s="1" t="s">
        <v>2430</v>
      </c>
      <c r="T1114" s="1" t="s">
        <v>2431</v>
      </c>
      <c r="U1114" s="2">
        <v>6000</v>
      </c>
      <c r="V1114" s="2" t="s">
        <v>36</v>
      </c>
      <c r="W1114" s="2" t="s">
        <v>37</v>
      </c>
      <c r="X1114" s="2">
        <v>230.965</v>
      </c>
    </row>
    <row r="1115" spans="1:24" x14ac:dyDescent="0.3">
      <c r="A1115">
        <v>19006</v>
      </c>
      <c r="B1115" t="s">
        <v>3869</v>
      </c>
      <c r="C1115" s="3">
        <v>41058</v>
      </c>
      <c r="D1115" t="s">
        <v>25</v>
      </c>
      <c r="E1115">
        <v>16</v>
      </c>
      <c r="F1115" s="3">
        <f ca="1">41063+(RANDBETWEEN(1,10))</f>
        <v>41064</v>
      </c>
      <c r="G1115" t="s">
        <v>26</v>
      </c>
      <c r="H1115" t="s">
        <v>27</v>
      </c>
      <c r="I1115" t="s">
        <v>28</v>
      </c>
      <c r="J1115">
        <v>4794.8249999999998</v>
      </c>
      <c r="K1115">
        <v>0.01</v>
      </c>
      <c r="L1115">
        <v>0.56000000000000005</v>
      </c>
      <c r="M1115">
        <v>17.149999999999999</v>
      </c>
      <c r="N1115">
        <v>465.339</v>
      </c>
      <c r="O1115" s="1" t="s">
        <v>64</v>
      </c>
      <c r="P1115" s="1" t="s">
        <v>3870</v>
      </c>
      <c r="Q1115" s="1" t="s">
        <v>3871</v>
      </c>
      <c r="R1115" s="1" t="s">
        <v>128</v>
      </c>
      <c r="S1115" s="1" t="s">
        <v>3382</v>
      </c>
      <c r="T1115" s="1" t="s">
        <v>3383</v>
      </c>
      <c r="U1115" s="2" t="s">
        <v>35</v>
      </c>
      <c r="V1115" s="2" t="s">
        <v>36</v>
      </c>
      <c r="W1115" s="2" t="s">
        <v>37</v>
      </c>
      <c r="X1115" s="2">
        <v>335.96499999999997</v>
      </c>
    </row>
    <row r="1116" spans="1:24" x14ac:dyDescent="0.3">
      <c r="A1116">
        <v>19007</v>
      </c>
      <c r="B1116" t="s">
        <v>3872</v>
      </c>
      <c r="C1116" s="3">
        <v>41222</v>
      </c>
      <c r="D1116" t="s">
        <v>148</v>
      </c>
      <c r="E1116">
        <v>20</v>
      </c>
      <c r="F1116" s="3">
        <f ca="1">41224+(RANDBETWEEN(1,10))</f>
        <v>41230</v>
      </c>
      <c r="G1116" t="s">
        <v>26</v>
      </c>
      <c r="H1116" t="s">
        <v>96</v>
      </c>
      <c r="I1116" t="s">
        <v>28</v>
      </c>
      <c r="J1116">
        <v>2553.6</v>
      </c>
      <c r="K1116">
        <v>0.09</v>
      </c>
      <c r="L1116">
        <v>0.67</v>
      </c>
      <c r="M1116">
        <v>48.965000000000003</v>
      </c>
      <c r="N1116">
        <v>-2010.9110000000001</v>
      </c>
      <c r="O1116" s="1" t="s">
        <v>64</v>
      </c>
      <c r="P1116" s="1" t="s">
        <v>1187</v>
      </c>
      <c r="Q1116" s="1" t="s">
        <v>1188</v>
      </c>
      <c r="R1116" s="1" t="s">
        <v>128</v>
      </c>
      <c r="S1116" s="1" t="s">
        <v>1189</v>
      </c>
      <c r="T1116" s="1" t="s">
        <v>1190</v>
      </c>
      <c r="U1116" s="2" t="s">
        <v>3873</v>
      </c>
      <c r="V1116" s="2" t="s">
        <v>83</v>
      </c>
      <c r="W1116" s="2" t="s">
        <v>178</v>
      </c>
      <c r="X1116" s="2">
        <v>132.755</v>
      </c>
    </row>
    <row r="1117" spans="1:24" x14ac:dyDescent="0.3">
      <c r="A1117">
        <v>19008</v>
      </c>
      <c r="B1117" t="s">
        <v>3874</v>
      </c>
      <c r="C1117" s="3">
        <v>40671</v>
      </c>
      <c r="D1117" t="s">
        <v>39</v>
      </c>
      <c r="E1117">
        <v>5</v>
      </c>
      <c r="F1117" s="3">
        <f ca="1">40673+(RANDBETWEEN(1,10))</f>
        <v>40676</v>
      </c>
      <c r="G1117" t="s">
        <v>26</v>
      </c>
      <c r="H1117" t="s">
        <v>27</v>
      </c>
      <c r="I1117" t="s">
        <v>28</v>
      </c>
      <c r="J1117">
        <v>303.8</v>
      </c>
      <c r="K1117">
        <v>0.09</v>
      </c>
      <c r="L1117">
        <v>0.35</v>
      </c>
      <c r="M1117">
        <v>43.365000000000002</v>
      </c>
      <c r="N1117">
        <v>-169.995</v>
      </c>
      <c r="O1117" s="1" t="s">
        <v>40</v>
      </c>
      <c r="P1117" s="1" t="s">
        <v>3875</v>
      </c>
      <c r="Q1117" s="1" t="s">
        <v>3876</v>
      </c>
      <c r="R1117" s="1" t="s">
        <v>43</v>
      </c>
      <c r="S1117" s="1" t="s">
        <v>3877</v>
      </c>
      <c r="T1117" s="1" t="s">
        <v>3878</v>
      </c>
      <c r="U1117" s="2" t="s">
        <v>46</v>
      </c>
      <c r="V1117" s="2" t="s">
        <v>47</v>
      </c>
      <c r="W1117" s="2" t="s">
        <v>48</v>
      </c>
      <c r="X1117" s="2">
        <v>59.43</v>
      </c>
    </row>
    <row r="1118" spans="1:24" x14ac:dyDescent="0.3">
      <c r="A1118">
        <v>19009</v>
      </c>
      <c r="B1118" t="s">
        <v>3879</v>
      </c>
      <c r="C1118" s="3">
        <v>41430</v>
      </c>
      <c r="D1118" t="s">
        <v>25</v>
      </c>
      <c r="E1118">
        <v>20</v>
      </c>
      <c r="F1118" s="3">
        <f ca="1">41435+(RANDBETWEEN(1,10))</f>
        <v>41442</v>
      </c>
      <c r="G1118" t="s">
        <v>156</v>
      </c>
      <c r="H1118" t="s">
        <v>96</v>
      </c>
      <c r="I1118" t="s">
        <v>86</v>
      </c>
      <c r="J1118">
        <v>393.64499999999998</v>
      </c>
      <c r="K1118">
        <v>0.05</v>
      </c>
      <c r="L1118">
        <v>0.36</v>
      </c>
      <c r="M1118">
        <v>3.3250000000000002</v>
      </c>
      <c r="N1118">
        <v>271.61505</v>
      </c>
      <c r="O1118" s="1" t="s">
        <v>29</v>
      </c>
      <c r="P1118" s="1" t="s">
        <v>3880</v>
      </c>
      <c r="Q1118" s="1" t="s">
        <v>3881</v>
      </c>
      <c r="R1118" s="1" t="s">
        <v>675</v>
      </c>
      <c r="S1118" s="1" t="s">
        <v>1324</v>
      </c>
      <c r="T1118" s="1" t="s">
        <v>1325</v>
      </c>
      <c r="U1118" s="2" t="s">
        <v>3882</v>
      </c>
      <c r="V1118" s="2" t="s">
        <v>47</v>
      </c>
      <c r="W1118" s="2" t="s">
        <v>74</v>
      </c>
      <c r="X1118" s="2">
        <v>19.004999999999999</v>
      </c>
    </row>
    <row r="1119" spans="1:24" x14ac:dyDescent="0.3">
      <c r="A1119">
        <v>19010</v>
      </c>
      <c r="B1119" t="s">
        <v>3879</v>
      </c>
      <c r="C1119" s="3">
        <v>41430</v>
      </c>
      <c r="D1119" t="s">
        <v>25</v>
      </c>
      <c r="E1119">
        <v>19</v>
      </c>
      <c r="F1119" s="3">
        <f ca="1">41437+(RANDBETWEEN(1,10))</f>
        <v>41439</v>
      </c>
      <c r="G1119" t="s">
        <v>26</v>
      </c>
      <c r="H1119" t="s">
        <v>51</v>
      </c>
      <c r="I1119" t="s">
        <v>86</v>
      </c>
      <c r="J1119">
        <v>438.935</v>
      </c>
      <c r="K1119">
        <v>0.02</v>
      </c>
      <c r="L1119">
        <v>0.71</v>
      </c>
      <c r="M1119">
        <v>9.59</v>
      </c>
      <c r="N1119">
        <v>-167.94399999999999</v>
      </c>
      <c r="O1119" s="1" t="s">
        <v>87</v>
      </c>
      <c r="P1119" s="1" t="s">
        <v>3883</v>
      </c>
      <c r="Q1119" s="1" t="s">
        <v>3884</v>
      </c>
      <c r="R1119" s="1" t="s">
        <v>90</v>
      </c>
      <c r="S1119" s="1" t="s">
        <v>3885</v>
      </c>
      <c r="T1119" s="1" t="s">
        <v>3886</v>
      </c>
      <c r="U1119" s="2" t="s">
        <v>3887</v>
      </c>
      <c r="V1119" s="2" t="s">
        <v>36</v>
      </c>
      <c r="W1119" s="2" t="s">
        <v>60</v>
      </c>
      <c r="X1119" s="2">
        <v>22.68</v>
      </c>
    </row>
    <row r="1120" spans="1:24" x14ac:dyDescent="0.3">
      <c r="A1120">
        <v>19011</v>
      </c>
      <c r="B1120" t="s">
        <v>3888</v>
      </c>
      <c r="C1120" s="3">
        <v>40695</v>
      </c>
      <c r="D1120" t="s">
        <v>50</v>
      </c>
      <c r="E1120">
        <v>2</v>
      </c>
      <c r="F1120" s="3">
        <f ca="1">40698+(RANDBETWEEN(1,10))</f>
        <v>40702</v>
      </c>
      <c r="G1120" t="s">
        <v>26</v>
      </c>
      <c r="H1120" t="s">
        <v>96</v>
      </c>
      <c r="I1120" t="s">
        <v>28</v>
      </c>
      <c r="J1120">
        <v>65.064999999999998</v>
      </c>
      <c r="K1120">
        <v>0.04</v>
      </c>
      <c r="L1120">
        <v>0.52</v>
      </c>
      <c r="M1120">
        <v>7.875</v>
      </c>
      <c r="N1120">
        <v>-12.236000000000001</v>
      </c>
      <c r="O1120" s="1" t="s">
        <v>29</v>
      </c>
      <c r="P1120" s="1" t="s">
        <v>3889</v>
      </c>
      <c r="Q1120" s="1" t="s">
        <v>3890</v>
      </c>
      <c r="R1120" s="1" t="s">
        <v>32</v>
      </c>
      <c r="S1120" s="1" t="s">
        <v>3891</v>
      </c>
      <c r="T1120" s="1" t="s">
        <v>3892</v>
      </c>
      <c r="U1120" s="2" t="s">
        <v>419</v>
      </c>
      <c r="V1120" s="2" t="s">
        <v>47</v>
      </c>
      <c r="W1120" s="2" t="s">
        <v>104</v>
      </c>
      <c r="X1120" s="2">
        <v>31.885000000000002</v>
      </c>
    </row>
    <row r="1121" spans="1:24" x14ac:dyDescent="0.3">
      <c r="A1121">
        <v>19012</v>
      </c>
      <c r="B1121" t="s">
        <v>3888</v>
      </c>
      <c r="C1121" s="3">
        <v>40695</v>
      </c>
      <c r="D1121" t="s">
        <v>50</v>
      </c>
      <c r="E1121">
        <v>13</v>
      </c>
      <c r="F1121" s="3">
        <f ca="1">40697+(RANDBETWEEN(1,10))</f>
        <v>40699</v>
      </c>
      <c r="G1121" t="s">
        <v>26</v>
      </c>
      <c r="H1121" t="s">
        <v>63</v>
      </c>
      <c r="I1121" t="s">
        <v>28</v>
      </c>
      <c r="J1121">
        <v>2919.28</v>
      </c>
      <c r="K1121">
        <v>7.0000000000000007E-2</v>
      </c>
      <c r="L1121">
        <v>0.8</v>
      </c>
      <c r="M1121">
        <v>122.5</v>
      </c>
      <c r="N1121">
        <v>-2509.752</v>
      </c>
      <c r="O1121" s="1" t="s">
        <v>29</v>
      </c>
      <c r="P1121" s="1" t="s">
        <v>3889</v>
      </c>
      <c r="Q1121" s="1" t="s">
        <v>3890</v>
      </c>
      <c r="R1121" s="1" t="s">
        <v>32</v>
      </c>
      <c r="S1121" s="1" t="s">
        <v>3891</v>
      </c>
      <c r="T1121" s="1" t="s">
        <v>3892</v>
      </c>
      <c r="U1121" s="2" t="s">
        <v>3893</v>
      </c>
      <c r="V1121" s="2" t="s">
        <v>47</v>
      </c>
      <c r="W1121" s="2" t="s">
        <v>119</v>
      </c>
      <c r="X1121" s="2">
        <v>226.27500000000001</v>
      </c>
    </row>
    <row r="1122" spans="1:24" x14ac:dyDescent="0.3">
      <c r="A1122">
        <v>19013</v>
      </c>
      <c r="B1122" t="s">
        <v>3894</v>
      </c>
      <c r="C1122" s="3">
        <v>41988</v>
      </c>
      <c r="D1122" t="s">
        <v>50</v>
      </c>
      <c r="E1122">
        <v>24</v>
      </c>
      <c r="F1122" s="3">
        <f ca="1">41988+(RANDBETWEEN(1,10))</f>
        <v>41995</v>
      </c>
      <c r="G1122" t="s">
        <v>26</v>
      </c>
      <c r="H1122" t="s">
        <v>27</v>
      </c>
      <c r="I1122" t="s">
        <v>28</v>
      </c>
      <c r="J1122">
        <v>28599.83</v>
      </c>
      <c r="K1122">
        <v>0.09</v>
      </c>
      <c r="L1122">
        <v>0.56999999999999995</v>
      </c>
      <c r="M1122">
        <v>69.965000000000003</v>
      </c>
      <c r="N1122">
        <v>19733.882699999998</v>
      </c>
      <c r="O1122" s="1" t="s">
        <v>29</v>
      </c>
      <c r="P1122" s="1" t="s">
        <v>3556</v>
      </c>
      <c r="Q1122" s="1" t="s">
        <v>3557</v>
      </c>
      <c r="R1122" s="1" t="s">
        <v>675</v>
      </c>
      <c r="S1122" s="1" t="s">
        <v>3558</v>
      </c>
      <c r="T1122" s="1" t="s">
        <v>3559</v>
      </c>
      <c r="U1122" s="2" t="s">
        <v>572</v>
      </c>
      <c r="V1122" s="2" t="s">
        <v>47</v>
      </c>
      <c r="W1122" s="2" t="s">
        <v>71</v>
      </c>
      <c r="X1122" s="2">
        <v>1271.375</v>
      </c>
    </row>
    <row r="1123" spans="1:24" x14ac:dyDescent="0.3">
      <c r="A1123">
        <v>19014</v>
      </c>
      <c r="B1123" t="s">
        <v>3894</v>
      </c>
      <c r="C1123" s="3">
        <v>41988</v>
      </c>
      <c r="D1123" t="s">
        <v>50</v>
      </c>
      <c r="E1123">
        <v>5</v>
      </c>
      <c r="F1123" s="3">
        <f ca="1">41989+(RANDBETWEEN(1,10))</f>
        <v>41997</v>
      </c>
      <c r="G1123" t="s">
        <v>26</v>
      </c>
      <c r="H1123" t="s">
        <v>27</v>
      </c>
      <c r="I1123" t="s">
        <v>28</v>
      </c>
      <c r="J1123">
        <v>354.41</v>
      </c>
      <c r="K1123">
        <v>0.01</v>
      </c>
      <c r="L1123">
        <v>0.35</v>
      </c>
      <c r="M1123">
        <v>5.2149999999999999</v>
      </c>
      <c r="N1123">
        <v>244.5429</v>
      </c>
      <c r="O1123" s="1" t="s">
        <v>29</v>
      </c>
      <c r="P1123" s="1" t="s">
        <v>3556</v>
      </c>
      <c r="Q1123" s="1" t="s">
        <v>3557</v>
      </c>
      <c r="R1123" s="1" t="s">
        <v>675</v>
      </c>
      <c r="S1123" s="1" t="s">
        <v>3558</v>
      </c>
      <c r="T1123" s="1" t="s">
        <v>3559</v>
      </c>
      <c r="U1123" s="2" t="s">
        <v>292</v>
      </c>
      <c r="V1123" s="2" t="s">
        <v>47</v>
      </c>
      <c r="W1123" s="2" t="s">
        <v>111</v>
      </c>
      <c r="X1123" s="2">
        <v>66.290000000000006</v>
      </c>
    </row>
    <row r="1124" spans="1:24" x14ac:dyDescent="0.3">
      <c r="A1124">
        <v>19015</v>
      </c>
      <c r="B1124" t="s">
        <v>3895</v>
      </c>
      <c r="C1124" s="3">
        <v>41055</v>
      </c>
      <c r="D1124" t="s">
        <v>50</v>
      </c>
      <c r="E1124">
        <v>12</v>
      </c>
      <c r="F1124" s="3">
        <f ca="1">41056+(RANDBETWEEN(1,10))</f>
        <v>41059</v>
      </c>
      <c r="G1124" t="s">
        <v>26</v>
      </c>
      <c r="H1124" t="s">
        <v>27</v>
      </c>
      <c r="I1124" t="s">
        <v>97</v>
      </c>
      <c r="J1124">
        <v>1755.53</v>
      </c>
      <c r="K1124">
        <v>0.04</v>
      </c>
      <c r="L1124">
        <v>0.77</v>
      </c>
      <c r="M1124">
        <v>69.965000000000003</v>
      </c>
      <c r="N1124">
        <v>-1647.9749999999999</v>
      </c>
      <c r="O1124" s="1" t="s">
        <v>40</v>
      </c>
      <c r="P1124" s="1" t="s">
        <v>3896</v>
      </c>
      <c r="Q1124" s="1" t="s">
        <v>3897</v>
      </c>
      <c r="R1124" s="1" t="s">
        <v>43</v>
      </c>
      <c r="S1124" s="1" t="s">
        <v>3898</v>
      </c>
      <c r="T1124" s="1" t="s">
        <v>3899</v>
      </c>
      <c r="U1124" s="2" t="s">
        <v>171</v>
      </c>
      <c r="V1124" s="2" t="s">
        <v>36</v>
      </c>
      <c r="W1124" s="2" t="s">
        <v>60</v>
      </c>
      <c r="X1124" s="2">
        <v>141.68</v>
      </c>
    </row>
    <row r="1125" spans="1:24" x14ac:dyDescent="0.3">
      <c r="A1125">
        <v>19016</v>
      </c>
      <c r="B1125" t="s">
        <v>3895</v>
      </c>
      <c r="C1125" s="3">
        <v>41055</v>
      </c>
      <c r="D1125" t="s">
        <v>50</v>
      </c>
      <c r="E1125">
        <v>2</v>
      </c>
      <c r="F1125" s="3">
        <f ca="1">41056+(RANDBETWEEN(1,10))</f>
        <v>41059</v>
      </c>
      <c r="G1125" t="s">
        <v>156</v>
      </c>
      <c r="H1125" t="s">
        <v>27</v>
      </c>
      <c r="I1125" t="s">
        <v>97</v>
      </c>
      <c r="J1125">
        <v>196.28</v>
      </c>
      <c r="K1125">
        <v>0.09</v>
      </c>
      <c r="L1125">
        <v>0.49</v>
      </c>
      <c r="M1125">
        <v>24.254999999999999</v>
      </c>
      <c r="N1125">
        <v>135.4332</v>
      </c>
      <c r="O1125" s="1" t="s">
        <v>40</v>
      </c>
      <c r="P1125" s="1" t="s">
        <v>3896</v>
      </c>
      <c r="Q1125" s="1" t="s">
        <v>3897</v>
      </c>
      <c r="R1125" s="1" t="s">
        <v>43</v>
      </c>
      <c r="S1125" s="1" t="s">
        <v>3898</v>
      </c>
      <c r="T1125" s="1" t="s">
        <v>3899</v>
      </c>
      <c r="U1125" s="2" t="s">
        <v>3900</v>
      </c>
      <c r="V1125" s="2" t="s">
        <v>83</v>
      </c>
      <c r="W1125" s="2" t="s">
        <v>178</v>
      </c>
      <c r="X1125" s="2">
        <v>92.68</v>
      </c>
    </row>
    <row r="1126" spans="1:24" x14ac:dyDescent="0.3">
      <c r="A1126">
        <v>19017</v>
      </c>
      <c r="B1126" t="s">
        <v>3901</v>
      </c>
      <c r="C1126" s="3">
        <v>41068</v>
      </c>
      <c r="D1126" t="s">
        <v>148</v>
      </c>
      <c r="E1126">
        <v>19</v>
      </c>
      <c r="F1126" s="3">
        <f ca="1">41069+(RANDBETWEEN(1,10))</f>
        <v>41077</v>
      </c>
      <c r="G1126" t="s">
        <v>26</v>
      </c>
      <c r="H1126" t="s">
        <v>27</v>
      </c>
      <c r="I1126" t="s">
        <v>28</v>
      </c>
      <c r="J1126">
        <v>999.84500000000003</v>
      </c>
      <c r="K1126">
        <v>0.05</v>
      </c>
      <c r="L1126">
        <v>0.38</v>
      </c>
      <c r="M1126">
        <v>4.8650000000000002</v>
      </c>
      <c r="N1126">
        <v>689.89305000000002</v>
      </c>
      <c r="O1126" s="1" t="s">
        <v>29</v>
      </c>
      <c r="P1126" s="1" t="s">
        <v>3469</v>
      </c>
      <c r="Q1126" s="1" t="s">
        <v>3470</v>
      </c>
      <c r="R1126" s="1" t="s">
        <v>460</v>
      </c>
      <c r="S1126" s="1" t="s">
        <v>3471</v>
      </c>
      <c r="T1126" s="1" t="s">
        <v>3472</v>
      </c>
      <c r="U1126" s="2" t="s">
        <v>2854</v>
      </c>
      <c r="V1126" s="2" t="s">
        <v>47</v>
      </c>
      <c r="W1126" s="2" t="s">
        <v>48</v>
      </c>
      <c r="X1126" s="2">
        <v>54.844999999999999</v>
      </c>
    </row>
    <row r="1127" spans="1:24" x14ac:dyDescent="0.3">
      <c r="A1127">
        <v>19018</v>
      </c>
      <c r="B1127" t="s">
        <v>3902</v>
      </c>
      <c r="C1127" s="3">
        <v>40664</v>
      </c>
      <c r="D1127" t="s">
        <v>148</v>
      </c>
      <c r="E1127">
        <v>12</v>
      </c>
      <c r="F1127" s="3">
        <f ca="1">40665+(RANDBETWEEN(1,10))</f>
        <v>40672</v>
      </c>
      <c r="G1127" t="s">
        <v>26</v>
      </c>
      <c r="H1127" t="s">
        <v>51</v>
      </c>
      <c r="I1127" t="s">
        <v>52</v>
      </c>
      <c r="J1127">
        <v>100.31</v>
      </c>
      <c r="K1127">
        <v>0.03</v>
      </c>
      <c r="L1127">
        <v>0.41</v>
      </c>
      <c r="M1127">
        <v>15.994999999999999</v>
      </c>
      <c r="N1127">
        <v>-326.375</v>
      </c>
      <c r="O1127" s="1" t="s">
        <v>40</v>
      </c>
      <c r="P1127" s="1" t="s">
        <v>3801</v>
      </c>
      <c r="Q1127" s="1" t="s">
        <v>3802</v>
      </c>
      <c r="R1127" s="1" t="s">
        <v>43</v>
      </c>
      <c r="S1127" s="1" t="s">
        <v>3803</v>
      </c>
      <c r="T1127" s="1" t="s">
        <v>3804</v>
      </c>
      <c r="U1127" s="2" t="s">
        <v>3903</v>
      </c>
      <c r="V1127" s="2" t="s">
        <v>83</v>
      </c>
      <c r="W1127" s="2" t="s">
        <v>178</v>
      </c>
      <c r="X1127" s="2">
        <v>7.8049999999999997</v>
      </c>
    </row>
    <row r="1128" spans="1:24" x14ac:dyDescent="0.3">
      <c r="A1128">
        <v>19019</v>
      </c>
      <c r="B1128" t="s">
        <v>3904</v>
      </c>
      <c r="C1128" s="3">
        <v>41182</v>
      </c>
      <c r="D1128" t="s">
        <v>50</v>
      </c>
      <c r="E1128">
        <v>16</v>
      </c>
      <c r="F1128" s="3">
        <f ca="1">41185+(RANDBETWEEN(1,10))</f>
        <v>41193</v>
      </c>
      <c r="G1128" t="s">
        <v>26</v>
      </c>
      <c r="H1128" t="s">
        <v>27</v>
      </c>
      <c r="I1128" t="s">
        <v>86</v>
      </c>
      <c r="J1128">
        <v>3578.47</v>
      </c>
      <c r="K1128">
        <v>0.02</v>
      </c>
      <c r="L1128">
        <v>0.38</v>
      </c>
      <c r="M1128">
        <v>69.965000000000003</v>
      </c>
      <c r="N1128">
        <v>336.04199999999997</v>
      </c>
      <c r="O1128" s="1" t="s">
        <v>40</v>
      </c>
      <c r="P1128" s="1" t="s">
        <v>3905</v>
      </c>
      <c r="Q1128" s="1" t="s">
        <v>3906</v>
      </c>
      <c r="R1128" s="1" t="s">
        <v>220</v>
      </c>
      <c r="S1128" s="1" t="s">
        <v>3907</v>
      </c>
      <c r="T1128" s="1" t="s">
        <v>3908</v>
      </c>
      <c r="U1128" s="2" t="s">
        <v>3909</v>
      </c>
      <c r="V1128" s="2" t="s">
        <v>47</v>
      </c>
      <c r="W1128" s="2" t="s">
        <v>48</v>
      </c>
      <c r="X1128" s="2">
        <v>213.43</v>
      </c>
    </row>
    <row r="1129" spans="1:24" x14ac:dyDescent="0.3">
      <c r="A1129">
        <v>19020</v>
      </c>
      <c r="B1129" t="s">
        <v>3904</v>
      </c>
      <c r="C1129" s="3">
        <v>41182</v>
      </c>
      <c r="D1129" t="s">
        <v>50</v>
      </c>
      <c r="E1129">
        <v>21</v>
      </c>
      <c r="F1129" s="3">
        <f ca="1">41184+(RANDBETWEEN(1,10))</f>
        <v>41194</v>
      </c>
      <c r="G1129" t="s">
        <v>26</v>
      </c>
      <c r="H1129" t="s">
        <v>96</v>
      </c>
      <c r="I1129" t="s">
        <v>86</v>
      </c>
      <c r="J1129">
        <v>875.77</v>
      </c>
      <c r="K1129">
        <v>0.04</v>
      </c>
      <c r="L1129">
        <v>0.55000000000000004</v>
      </c>
      <c r="M1129">
        <v>8.26</v>
      </c>
      <c r="N1129">
        <v>4302.1229999999996</v>
      </c>
      <c r="O1129" s="1" t="s">
        <v>40</v>
      </c>
      <c r="P1129" s="1" t="s">
        <v>3905</v>
      </c>
      <c r="Q1129" s="1" t="s">
        <v>3906</v>
      </c>
      <c r="R1129" s="1" t="s">
        <v>220</v>
      </c>
      <c r="S1129" s="1" t="s">
        <v>3907</v>
      </c>
      <c r="T1129" s="1" t="s">
        <v>3908</v>
      </c>
      <c r="U1129" s="2" t="s">
        <v>2967</v>
      </c>
      <c r="V1129" s="2" t="s">
        <v>47</v>
      </c>
      <c r="W1129" s="2" t="s">
        <v>104</v>
      </c>
      <c r="X1129" s="2">
        <v>40.424999999999997</v>
      </c>
    </row>
    <row r="1130" spans="1:24" x14ac:dyDescent="0.3">
      <c r="A1130">
        <v>19021</v>
      </c>
      <c r="B1130" t="s">
        <v>3910</v>
      </c>
      <c r="C1130" s="3">
        <v>41733</v>
      </c>
      <c r="D1130" t="s">
        <v>62</v>
      </c>
      <c r="E1130">
        <v>4</v>
      </c>
      <c r="F1130" s="3">
        <f ca="1">41735+(RANDBETWEEN(1,10))</f>
        <v>41743</v>
      </c>
      <c r="G1130" t="s">
        <v>26</v>
      </c>
      <c r="H1130" t="s">
        <v>27</v>
      </c>
      <c r="I1130" t="s">
        <v>28</v>
      </c>
      <c r="J1130">
        <v>198.45</v>
      </c>
      <c r="K1130">
        <v>0.05</v>
      </c>
      <c r="L1130">
        <v>0.38</v>
      </c>
      <c r="M1130">
        <v>25.094999999999999</v>
      </c>
      <c r="N1130">
        <v>-18.796749999999999</v>
      </c>
      <c r="O1130" s="1" t="s">
        <v>29</v>
      </c>
      <c r="P1130" s="1" t="s">
        <v>3911</v>
      </c>
      <c r="Q1130" s="1" t="s">
        <v>3912</v>
      </c>
      <c r="R1130" s="1" t="s">
        <v>32</v>
      </c>
      <c r="S1130" s="1" t="s">
        <v>3913</v>
      </c>
      <c r="T1130" s="1" t="s">
        <v>1982</v>
      </c>
      <c r="U1130" s="2" t="s">
        <v>3914</v>
      </c>
      <c r="V1130" s="2" t="s">
        <v>47</v>
      </c>
      <c r="W1130" s="2" t="s">
        <v>111</v>
      </c>
      <c r="X1130" s="2">
        <v>50.575000000000003</v>
      </c>
    </row>
    <row r="1131" spans="1:24" x14ac:dyDescent="0.3">
      <c r="A1131">
        <v>19022</v>
      </c>
      <c r="B1131" t="s">
        <v>3910</v>
      </c>
      <c r="C1131" s="3">
        <v>41733</v>
      </c>
      <c r="D1131" t="s">
        <v>62</v>
      </c>
      <c r="E1131">
        <v>12</v>
      </c>
      <c r="F1131" s="3">
        <f ca="1">41734+(RANDBETWEEN(1,10))</f>
        <v>41740</v>
      </c>
      <c r="G1131" t="s">
        <v>26</v>
      </c>
      <c r="H1131" t="s">
        <v>27</v>
      </c>
      <c r="I1131" t="s">
        <v>28</v>
      </c>
      <c r="J1131">
        <v>466.62</v>
      </c>
      <c r="K1131">
        <v>0.01</v>
      </c>
      <c r="L1131">
        <v>0.64</v>
      </c>
      <c r="M1131">
        <v>22.75</v>
      </c>
      <c r="N1131">
        <v>-580.09</v>
      </c>
      <c r="O1131" s="1" t="s">
        <v>87</v>
      </c>
      <c r="P1131" s="1" t="s">
        <v>3915</v>
      </c>
      <c r="Q1131" s="1" t="s">
        <v>3916</v>
      </c>
      <c r="R1131" s="1" t="s">
        <v>497</v>
      </c>
      <c r="S1131" s="1" t="s">
        <v>3917</v>
      </c>
      <c r="T1131" s="1" t="s">
        <v>3918</v>
      </c>
      <c r="U1131" s="2" t="s">
        <v>337</v>
      </c>
      <c r="V1131" s="2" t="s">
        <v>36</v>
      </c>
      <c r="W1131" s="2" t="s">
        <v>60</v>
      </c>
      <c r="X1131" s="2">
        <v>38.395000000000003</v>
      </c>
    </row>
    <row r="1132" spans="1:24" x14ac:dyDescent="0.3">
      <c r="A1132">
        <v>19023</v>
      </c>
      <c r="B1132" t="s">
        <v>3910</v>
      </c>
      <c r="C1132" s="3">
        <v>41733</v>
      </c>
      <c r="D1132" t="s">
        <v>62</v>
      </c>
      <c r="E1132">
        <v>2</v>
      </c>
      <c r="F1132" s="3">
        <f ca="1">41735+(RANDBETWEEN(1,10))</f>
        <v>41737</v>
      </c>
      <c r="G1132" t="s">
        <v>26</v>
      </c>
      <c r="H1132" t="s">
        <v>51</v>
      </c>
      <c r="I1132" t="s">
        <v>28</v>
      </c>
      <c r="J1132">
        <v>262.36</v>
      </c>
      <c r="K1132">
        <v>0.06</v>
      </c>
      <c r="L1132">
        <v>0.54</v>
      </c>
      <c r="M1132">
        <v>6.9649999999999999</v>
      </c>
      <c r="N1132">
        <v>-244.44</v>
      </c>
      <c r="O1132" s="1" t="s">
        <v>40</v>
      </c>
      <c r="P1132" s="1" t="s">
        <v>3919</v>
      </c>
      <c r="Q1132" s="1" t="s">
        <v>3920</v>
      </c>
      <c r="R1132" s="1" t="s">
        <v>43</v>
      </c>
      <c r="S1132" s="1" t="s">
        <v>80</v>
      </c>
      <c r="T1132" s="1" t="s">
        <v>3921</v>
      </c>
      <c r="U1132" s="2" t="s">
        <v>685</v>
      </c>
      <c r="V1132" s="2" t="s">
        <v>36</v>
      </c>
      <c r="W1132" s="2" t="s">
        <v>60</v>
      </c>
      <c r="X1132" s="2">
        <v>138.18</v>
      </c>
    </row>
    <row r="1133" spans="1:24" x14ac:dyDescent="0.3">
      <c r="A1133">
        <v>19024</v>
      </c>
      <c r="B1133" t="s">
        <v>3922</v>
      </c>
      <c r="C1133" s="3">
        <v>40555</v>
      </c>
      <c r="D1133" t="s">
        <v>25</v>
      </c>
      <c r="E1133">
        <v>3</v>
      </c>
      <c r="F1133" s="3">
        <f ca="1">40557+(RANDBETWEEN(1,10))</f>
        <v>40565</v>
      </c>
      <c r="G1133" t="s">
        <v>76</v>
      </c>
      <c r="H1133" t="s">
        <v>77</v>
      </c>
      <c r="I1133" t="s">
        <v>97</v>
      </c>
      <c r="J1133">
        <v>3570.28</v>
      </c>
      <c r="K1133">
        <v>0.05</v>
      </c>
      <c r="L1133">
        <v>0.55000000000000004</v>
      </c>
      <c r="M1133">
        <v>136.5</v>
      </c>
      <c r="N1133">
        <v>1579.4813999999999</v>
      </c>
      <c r="O1133" s="1" t="s">
        <v>40</v>
      </c>
      <c r="P1133" s="1" t="s">
        <v>3923</v>
      </c>
      <c r="Q1133" s="1" t="s">
        <v>3924</v>
      </c>
      <c r="R1133" s="1" t="s">
        <v>220</v>
      </c>
      <c r="S1133" s="1" t="s">
        <v>3925</v>
      </c>
      <c r="T1133" s="1" t="s">
        <v>3926</v>
      </c>
      <c r="U1133" s="2" t="s">
        <v>3927</v>
      </c>
      <c r="V1133" s="2" t="s">
        <v>83</v>
      </c>
      <c r="W1133" s="2" t="s">
        <v>84</v>
      </c>
      <c r="X1133" s="2">
        <v>1228.4649999999999</v>
      </c>
    </row>
    <row r="1134" spans="1:24" x14ac:dyDescent="0.3">
      <c r="A1134">
        <v>19025</v>
      </c>
      <c r="B1134" t="s">
        <v>3922</v>
      </c>
      <c r="C1134" s="3">
        <v>40555</v>
      </c>
      <c r="D1134" t="s">
        <v>25</v>
      </c>
      <c r="E1134">
        <v>7</v>
      </c>
      <c r="F1134" s="3">
        <f ca="1">40559+(RANDBETWEEN(1,10))</f>
        <v>40563</v>
      </c>
      <c r="G1134" t="s">
        <v>26</v>
      </c>
      <c r="H1134" t="s">
        <v>27</v>
      </c>
      <c r="I1134" t="s">
        <v>97</v>
      </c>
      <c r="J1134">
        <v>228.2</v>
      </c>
      <c r="K1134">
        <v>0</v>
      </c>
      <c r="L1134">
        <v>0.38</v>
      </c>
      <c r="M1134">
        <v>4.8650000000000002</v>
      </c>
      <c r="N1134">
        <v>157.458</v>
      </c>
      <c r="O1134" s="1" t="s">
        <v>40</v>
      </c>
      <c r="P1134" s="1" t="s">
        <v>3923</v>
      </c>
      <c r="Q1134" s="1" t="s">
        <v>3924</v>
      </c>
      <c r="R1134" s="1" t="s">
        <v>220</v>
      </c>
      <c r="S1134" s="1" t="s">
        <v>3925</v>
      </c>
      <c r="T1134" s="1" t="s">
        <v>3926</v>
      </c>
      <c r="U1134" s="2" t="s">
        <v>1682</v>
      </c>
      <c r="V1134" s="2" t="s">
        <v>47</v>
      </c>
      <c r="W1134" s="2" t="s">
        <v>48</v>
      </c>
      <c r="X1134" s="2">
        <v>30.59</v>
      </c>
    </row>
    <row r="1135" spans="1:24" x14ac:dyDescent="0.3">
      <c r="A1135">
        <v>19026</v>
      </c>
      <c r="B1135" t="s">
        <v>3922</v>
      </c>
      <c r="C1135" s="3">
        <v>40555</v>
      </c>
      <c r="D1135" t="s">
        <v>25</v>
      </c>
      <c r="E1135">
        <v>11</v>
      </c>
      <c r="F1135" s="3">
        <f ca="1">40559+(RANDBETWEEN(1,10))</f>
        <v>40561</v>
      </c>
      <c r="G1135" t="s">
        <v>26</v>
      </c>
      <c r="H1135" t="s">
        <v>96</v>
      </c>
      <c r="I1135" t="s">
        <v>97</v>
      </c>
      <c r="J1135">
        <v>79.064999999999998</v>
      </c>
      <c r="K1135">
        <v>0.02</v>
      </c>
      <c r="L1135">
        <v>0.83</v>
      </c>
      <c r="M1135">
        <v>2.4500000000000002</v>
      </c>
      <c r="N1135">
        <v>-72.564800000000005</v>
      </c>
      <c r="O1135" s="1" t="s">
        <v>40</v>
      </c>
      <c r="P1135" s="1" t="s">
        <v>3923</v>
      </c>
      <c r="Q1135" s="1" t="s">
        <v>3924</v>
      </c>
      <c r="R1135" s="1" t="s">
        <v>220</v>
      </c>
      <c r="S1135" s="1" t="s">
        <v>3925</v>
      </c>
      <c r="T1135" s="1" t="s">
        <v>3926</v>
      </c>
      <c r="U1135" s="2" t="s">
        <v>3928</v>
      </c>
      <c r="V1135" s="2" t="s">
        <v>47</v>
      </c>
      <c r="W1135" s="2" t="s">
        <v>176</v>
      </c>
      <c r="X1135" s="2">
        <v>6.93</v>
      </c>
    </row>
    <row r="1136" spans="1:24" x14ac:dyDescent="0.3">
      <c r="A1136">
        <v>19027</v>
      </c>
      <c r="B1136" t="s">
        <v>3929</v>
      </c>
      <c r="C1136" s="3">
        <v>41325</v>
      </c>
      <c r="D1136" t="s">
        <v>39</v>
      </c>
      <c r="E1136">
        <v>1</v>
      </c>
      <c r="F1136" s="3">
        <f ca="1">41326+(RANDBETWEEN(1,10))</f>
        <v>41335</v>
      </c>
      <c r="G1136" t="s">
        <v>156</v>
      </c>
      <c r="H1136" t="s">
        <v>51</v>
      </c>
      <c r="I1136" t="s">
        <v>86</v>
      </c>
      <c r="J1136">
        <v>84.734999999999999</v>
      </c>
      <c r="K1136">
        <v>7.0000000000000007E-2</v>
      </c>
      <c r="L1136">
        <v>0.59</v>
      </c>
      <c r="M1136">
        <v>19.355</v>
      </c>
      <c r="N1136">
        <v>-94.29</v>
      </c>
      <c r="O1136" s="1" t="s">
        <v>53</v>
      </c>
      <c r="P1136" s="1" t="s">
        <v>1406</v>
      </c>
      <c r="Q1136" s="1" t="s">
        <v>1407</v>
      </c>
      <c r="R1136" s="1" t="s">
        <v>440</v>
      </c>
      <c r="S1136" s="1" t="s">
        <v>1408</v>
      </c>
      <c r="T1136" s="1" t="s">
        <v>1409</v>
      </c>
      <c r="U1136" s="2" t="s">
        <v>2037</v>
      </c>
      <c r="V1136" s="2" t="s">
        <v>47</v>
      </c>
      <c r="W1136" s="2" t="s">
        <v>104</v>
      </c>
      <c r="X1136" s="2">
        <v>77.034999999999997</v>
      </c>
    </row>
    <row r="1137" spans="1:24" x14ac:dyDescent="0.3">
      <c r="A1137">
        <v>19028</v>
      </c>
      <c r="B1137" t="s">
        <v>3930</v>
      </c>
      <c r="C1137" s="3">
        <v>41762</v>
      </c>
      <c r="D1137" t="s">
        <v>62</v>
      </c>
      <c r="E1137">
        <v>3</v>
      </c>
      <c r="F1137" s="3">
        <f ca="1">41763+(RANDBETWEEN(1,10))</f>
        <v>41770</v>
      </c>
      <c r="G1137" t="s">
        <v>26</v>
      </c>
      <c r="H1137" t="s">
        <v>96</v>
      </c>
      <c r="I1137" t="s">
        <v>28</v>
      </c>
      <c r="J1137">
        <v>30.45</v>
      </c>
      <c r="K1137">
        <v>0.08</v>
      </c>
      <c r="L1137">
        <v>0.54</v>
      </c>
      <c r="M1137">
        <v>3.2549999999999999</v>
      </c>
      <c r="N1137">
        <v>-6.16</v>
      </c>
      <c r="O1137" s="1" t="s">
        <v>53</v>
      </c>
      <c r="P1137" s="1" t="s">
        <v>3708</v>
      </c>
      <c r="Q1137" s="1" t="s">
        <v>3709</v>
      </c>
      <c r="R1137" s="1" t="s">
        <v>440</v>
      </c>
      <c r="S1137" s="1" t="s">
        <v>3710</v>
      </c>
      <c r="T1137" s="1" t="s">
        <v>3711</v>
      </c>
      <c r="U1137" s="2" t="s">
        <v>1476</v>
      </c>
      <c r="V1137" s="2" t="s">
        <v>47</v>
      </c>
      <c r="W1137" s="2" t="s">
        <v>104</v>
      </c>
      <c r="X1137" s="2">
        <v>9.94</v>
      </c>
    </row>
    <row r="1138" spans="1:24" x14ac:dyDescent="0.3">
      <c r="A1138">
        <v>19029</v>
      </c>
      <c r="B1138" t="s">
        <v>3931</v>
      </c>
      <c r="C1138" s="3">
        <v>41182</v>
      </c>
      <c r="D1138" t="s">
        <v>62</v>
      </c>
      <c r="E1138">
        <v>17</v>
      </c>
      <c r="F1138" s="3">
        <f ca="1">41185+(RANDBETWEEN(1,10))</f>
        <v>41192</v>
      </c>
      <c r="G1138" t="s">
        <v>76</v>
      </c>
      <c r="H1138" t="s">
        <v>258</v>
      </c>
      <c r="I1138" t="s">
        <v>97</v>
      </c>
      <c r="J1138">
        <v>10804.15</v>
      </c>
      <c r="K1138">
        <v>0.01</v>
      </c>
      <c r="L1138">
        <v>0.74</v>
      </c>
      <c r="M1138">
        <v>82.53</v>
      </c>
      <c r="N1138">
        <v>1935.395</v>
      </c>
      <c r="O1138" s="1" t="s">
        <v>53</v>
      </c>
      <c r="P1138" s="1" t="s">
        <v>3932</v>
      </c>
      <c r="Q1138" s="1" t="s">
        <v>3933</v>
      </c>
      <c r="R1138" s="1" t="s">
        <v>56</v>
      </c>
      <c r="S1138" s="1" t="s">
        <v>3934</v>
      </c>
      <c r="T1138" s="1" t="s">
        <v>3935</v>
      </c>
      <c r="U1138" s="2" t="s">
        <v>3936</v>
      </c>
      <c r="V1138" s="2" t="s">
        <v>83</v>
      </c>
      <c r="W1138" s="2" t="s">
        <v>298</v>
      </c>
      <c r="X1138" s="2">
        <v>633.42999999999995</v>
      </c>
    </row>
    <row r="1139" spans="1:24" x14ac:dyDescent="0.3">
      <c r="A1139">
        <v>19030</v>
      </c>
      <c r="B1139" t="s">
        <v>3937</v>
      </c>
      <c r="C1139" s="3">
        <v>41332</v>
      </c>
      <c r="D1139" t="s">
        <v>25</v>
      </c>
      <c r="E1139">
        <v>5</v>
      </c>
      <c r="F1139" s="3">
        <f ca="1">41337+(RANDBETWEEN(1,10))</f>
        <v>41342</v>
      </c>
      <c r="G1139" t="s">
        <v>156</v>
      </c>
      <c r="H1139" t="s">
        <v>27</v>
      </c>
      <c r="I1139" t="s">
        <v>86</v>
      </c>
      <c r="J1139">
        <v>1788.85</v>
      </c>
      <c r="K1139">
        <v>0</v>
      </c>
      <c r="L1139">
        <v>0.55000000000000004</v>
      </c>
      <c r="M1139">
        <v>8.75</v>
      </c>
      <c r="N1139">
        <v>1234.3064999999999</v>
      </c>
      <c r="O1139" s="1" t="s">
        <v>87</v>
      </c>
      <c r="P1139" s="1" t="s">
        <v>3938</v>
      </c>
      <c r="Q1139" s="1" t="s">
        <v>3939</v>
      </c>
      <c r="R1139" s="1" t="s">
        <v>497</v>
      </c>
      <c r="S1139" s="1" t="s">
        <v>3940</v>
      </c>
      <c r="T1139" s="1" t="s">
        <v>3941</v>
      </c>
      <c r="U1139" s="2" t="s">
        <v>2369</v>
      </c>
      <c r="V1139" s="2" t="s">
        <v>36</v>
      </c>
      <c r="W1139" s="2" t="s">
        <v>37</v>
      </c>
      <c r="X1139" s="2">
        <v>405.96499999999997</v>
      </c>
    </row>
    <row r="1140" spans="1:24" x14ac:dyDescent="0.3">
      <c r="A1140">
        <v>19031</v>
      </c>
      <c r="B1140" t="s">
        <v>3942</v>
      </c>
      <c r="C1140" s="3">
        <v>40888</v>
      </c>
      <c r="D1140" t="s">
        <v>148</v>
      </c>
      <c r="E1140">
        <v>17</v>
      </c>
      <c r="F1140" s="3">
        <f ca="1">40889+(RANDBETWEEN(1,10))</f>
        <v>40890</v>
      </c>
      <c r="G1140" t="s">
        <v>26</v>
      </c>
      <c r="H1140" t="s">
        <v>51</v>
      </c>
      <c r="I1140" t="s">
        <v>86</v>
      </c>
      <c r="J1140">
        <v>901.18</v>
      </c>
      <c r="K1140">
        <v>0.05</v>
      </c>
      <c r="L1140">
        <v>0.46</v>
      </c>
      <c r="M1140">
        <v>13.055</v>
      </c>
      <c r="N1140">
        <v>12.39</v>
      </c>
      <c r="O1140" s="1" t="s">
        <v>87</v>
      </c>
      <c r="P1140" s="1" t="s">
        <v>2093</v>
      </c>
      <c r="Q1140" s="1" t="s">
        <v>2094</v>
      </c>
      <c r="R1140" s="1" t="s">
        <v>90</v>
      </c>
      <c r="S1140" s="1" t="s">
        <v>2095</v>
      </c>
      <c r="T1140" s="1" t="s">
        <v>2096</v>
      </c>
      <c r="U1140" s="2" t="s">
        <v>2063</v>
      </c>
      <c r="V1140" s="2" t="s">
        <v>83</v>
      </c>
      <c r="W1140" s="2" t="s">
        <v>178</v>
      </c>
      <c r="X1140" s="2">
        <v>54.88</v>
      </c>
    </row>
    <row r="1141" spans="1:24" x14ac:dyDescent="0.3">
      <c r="A1141">
        <v>19032</v>
      </c>
      <c r="B1141" t="s">
        <v>3942</v>
      </c>
      <c r="C1141" s="3">
        <v>40888</v>
      </c>
      <c r="D1141" t="s">
        <v>148</v>
      </c>
      <c r="E1141">
        <v>19</v>
      </c>
      <c r="F1141" s="3">
        <f ca="1">40889+(RANDBETWEEN(1,10))</f>
        <v>40899</v>
      </c>
      <c r="G1141" t="s">
        <v>26</v>
      </c>
      <c r="H1141" t="s">
        <v>27</v>
      </c>
      <c r="I1141" t="s">
        <v>86</v>
      </c>
      <c r="J1141">
        <v>11182.465</v>
      </c>
      <c r="K1141">
        <v>0.02</v>
      </c>
      <c r="L1141">
        <v>0.56000000000000005</v>
      </c>
      <c r="M1141">
        <v>14.7</v>
      </c>
      <c r="N1141">
        <v>140.994</v>
      </c>
      <c r="O1141" s="1" t="s">
        <v>87</v>
      </c>
      <c r="P1141" s="1" t="s">
        <v>2093</v>
      </c>
      <c r="Q1141" s="1" t="s">
        <v>2094</v>
      </c>
      <c r="R1141" s="1" t="s">
        <v>90</v>
      </c>
      <c r="S1141" s="1" t="s">
        <v>2095</v>
      </c>
      <c r="T1141" s="1" t="s">
        <v>2096</v>
      </c>
      <c r="U1141" s="2" t="s">
        <v>3784</v>
      </c>
      <c r="V1141" s="2" t="s">
        <v>36</v>
      </c>
      <c r="W1141" s="2" t="s">
        <v>37</v>
      </c>
      <c r="X1141" s="2">
        <v>685.96500000000003</v>
      </c>
    </row>
    <row r="1142" spans="1:24" x14ac:dyDescent="0.3">
      <c r="A1142">
        <v>19033</v>
      </c>
      <c r="B1142" t="s">
        <v>3943</v>
      </c>
      <c r="C1142" s="3">
        <v>41892</v>
      </c>
      <c r="D1142" t="s">
        <v>62</v>
      </c>
      <c r="E1142">
        <v>25</v>
      </c>
      <c r="F1142" s="3">
        <f ca="1">41894+(RANDBETWEEN(1,10))</f>
        <v>41896</v>
      </c>
      <c r="G1142" t="s">
        <v>26</v>
      </c>
      <c r="H1142" t="s">
        <v>51</v>
      </c>
      <c r="I1142" t="s">
        <v>28</v>
      </c>
      <c r="J1142">
        <v>2618.4549999999999</v>
      </c>
      <c r="K1142">
        <v>0.02</v>
      </c>
      <c r="L1142">
        <v>0.55000000000000004</v>
      </c>
      <c r="M1142">
        <v>21.594999999999999</v>
      </c>
      <c r="N1142">
        <v>1256.9256</v>
      </c>
      <c r="O1142" s="1" t="s">
        <v>53</v>
      </c>
      <c r="P1142" s="1" t="s">
        <v>3708</v>
      </c>
      <c r="Q1142" s="1" t="s">
        <v>3709</v>
      </c>
      <c r="R1142" s="1" t="s">
        <v>440</v>
      </c>
      <c r="S1142" s="1" t="s">
        <v>3710</v>
      </c>
      <c r="T1142" s="1" t="s">
        <v>3711</v>
      </c>
      <c r="U1142" s="2" t="s">
        <v>1755</v>
      </c>
      <c r="V1142" s="2" t="s">
        <v>47</v>
      </c>
      <c r="W1142" s="2" t="s">
        <v>104</v>
      </c>
      <c r="X1142" s="2">
        <v>98.525000000000006</v>
      </c>
    </row>
    <row r="1143" spans="1:24" x14ac:dyDescent="0.3">
      <c r="A1143">
        <v>19034</v>
      </c>
      <c r="B1143" t="s">
        <v>3943</v>
      </c>
      <c r="C1143" s="3">
        <v>41892</v>
      </c>
      <c r="D1143" t="s">
        <v>62</v>
      </c>
      <c r="E1143">
        <v>26</v>
      </c>
      <c r="F1143" s="3">
        <f ca="1">41894+(RANDBETWEEN(1,10))</f>
        <v>41897</v>
      </c>
      <c r="G1143" t="s">
        <v>26</v>
      </c>
      <c r="H1143" t="s">
        <v>51</v>
      </c>
      <c r="I1143" t="s">
        <v>28</v>
      </c>
      <c r="J1143">
        <v>1091.4749999999999</v>
      </c>
      <c r="K1143">
        <v>0.09</v>
      </c>
      <c r="L1143">
        <v>0.6</v>
      </c>
      <c r="M1143">
        <v>10.99</v>
      </c>
      <c r="N1143">
        <v>99.338399999999993</v>
      </c>
      <c r="O1143" s="1" t="s">
        <v>53</v>
      </c>
      <c r="P1143" s="1" t="s">
        <v>3708</v>
      </c>
      <c r="Q1143" s="1" t="s">
        <v>3709</v>
      </c>
      <c r="R1143" s="1" t="s">
        <v>440</v>
      </c>
      <c r="S1143" s="1" t="s">
        <v>3710</v>
      </c>
      <c r="T1143" s="1" t="s">
        <v>3711</v>
      </c>
      <c r="U1143" s="2" t="s">
        <v>536</v>
      </c>
      <c r="V1143" s="2" t="s">
        <v>47</v>
      </c>
      <c r="W1143" s="2" t="s">
        <v>94</v>
      </c>
      <c r="X1143" s="2">
        <v>45.43</v>
      </c>
    </row>
    <row r="1144" spans="1:24" x14ac:dyDescent="0.3">
      <c r="A1144">
        <v>19035</v>
      </c>
      <c r="B1144" t="s">
        <v>3944</v>
      </c>
      <c r="C1144" s="3">
        <v>41036</v>
      </c>
      <c r="D1144" t="s">
        <v>148</v>
      </c>
      <c r="E1144">
        <v>4</v>
      </c>
      <c r="F1144" s="3">
        <f ca="1">41037+(RANDBETWEEN(1,10))</f>
        <v>41042</v>
      </c>
      <c r="G1144" t="s">
        <v>26</v>
      </c>
      <c r="H1144" t="s">
        <v>281</v>
      </c>
      <c r="I1144" t="s">
        <v>97</v>
      </c>
      <c r="J1144">
        <v>1259.0550000000001</v>
      </c>
      <c r="K1144">
        <v>7.0000000000000007E-2</v>
      </c>
      <c r="L1144">
        <v>0.67</v>
      </c>
      <c r="M1144">
        <v>138.63499999999999</v>
      </c>
      <c r="N1144">
        <v>163.80000000000001</v>
      </c>
      <c r="O1144" s="1" t="s">
        <v>53</v>
      </c>
      <c r="P1144" s="1" t="s">
        <v>2971</v>
      </c>
      <c r="Q1144" s="1" t="s">
        <v>2972</v>
      </c>
      <c r="R1144" s="1" t="s">
        <v>440</v>
      </c>
      <c r="S1144" s="1" t="s">
        <v>2973</v>
      </c>
      <c r="T1144" s="1" t="s">
        <v>2974</v>
      </c>
      <c r="U1144" s="2" t="s">
        <v>3390</v>
      </c>
      <c r="V1144" s="2" t="s">
        <v>83</v>
      </c>
      <c r="W1144" s="2" t="s">
        <v>178</v>
      </c>
      <c r="X1144" s="2">
        <v>322.80500000000001</v>
      </c>
    </row>
    <row r="1145" spans="1:24" x14ac:dyDescent="0.3">
      <c r="A1145">
        <v>19036</v>
      </c>
      <c r="B1145" t="s">
        <v>3944</v>
      </c>
      <c r="C1145" s="3">
        <v>41036</v>
      </c>
      <c r="D1145" t="s">
        <v>148</v>
      </c>
      <c r="E1145">
        <v>1</v>
      </c>
      <c r="F1145" s="3">
        <f ca="1">41039+(RANDBETWEEN(1,10))</f>
        <v>41043</v>
      </c>
      <c r="G1145" t="s">
        <v>26</v>
      </c>
      <c r="H1145" t="s">
        <v>27</v>
      </c>
      <c r="I1145" t="s">
        <v>97</v>
      </c>
      <c r="J1145">
        <v>22.225000000000001</v>
      </c>
      <c r="K1145">
        <v>0.04</v>
      </c>
      <c r="L1145">
        <v>0.4</v>
      </c>
      <c r="M1145">
        <v>23.52</v>
      </c>
      <c r="N1145">
        <v>-51.835000000000001</v>
      </c>
      <c r="O1145" s="1" t="s">
        <v>53</v>
      </c>
      <c r="P1145" s="1" t="s">
        <v>2971</v>
      </c>
      <c r="Q1145" s="1" t="s">
        <v>2972</v>
      </c>
      <c r="R1145" s="1" t="s">
        <v>440</v>
      </c>
      <c r="S1145" s="1" t="s">
        <v>2973</v>
      </c>
      <c r="T1145" s="1" t="s">
        <v>2974</v>
      </c>
      <c r="U1145" s="2" t="s">
        <v>2298</v>
      </c>
      <c r="V1145" s="2" t="s">
        <v>47</v>
      </c>
      <c r="W1145" s="2" t="s">
        <v>74</v>
      </c>
      <c r="X1145" s="2">
        <v>14.98</v>
      </c>
    </row>
    <row r="1146" spans="1:24" x14ac:dyDescent="0.3">
      <c r="A1146">
        <v>19037</v>
      </c>
      <c r="B1146" t="s">
        <v>3945</v>
      </c>
      <c r="C1146" s="3">
        <v>41194</v>
      </c>
      <c r="D1146" t="s">
        <v>62</v>
      </c>
      <c r="E1146">
        <v>4</v>
      </c>
      <c r="F1146" s="3">
        <f ca="1">41196+(RANDBETWEEN(1,10))</f>
        <v>41200</v>
      </c>
      <c r="G1146" t="s">
        <v>26</v>
      </c>
      <c r="H1146" t="s">
        <v>63</v>
      </c>
      <c r="I1146" t="s">
        <v>28</v>
      </c>
      <c r="J1146">
        <v>140.56</v>
      </c>
      <c r="K1146">
        <v>0.05</v>
      </c>
      <c r="L1146">
        <v>0.6</v>
      </c>
      <c r="M1146">
        <v>171.5</v>
      </c>
      <c r="N1146">
        <v>1655.4132</v>
      </c>
      <c r="O1146" s="1" t="s">
        <v>64</v>
      </c>
      <c r="P1146" s="1" t="s">
        <v>2711</v>
      </c>
      <c r="Q1146" s="1" t="s">
        <v>2712</v>
      </c>
      <c r="R1146" s="1" t="s">
        <v>128</v>
      </c>
      <c r="S1146" s="1" t="s">
        <v>2713</v>
      </c>
      <c r="T1146" s="1" t="s">
        <v>2714</v>
      </c>
      <c r="U1146" s="2" t="s">
        <v>919</v>
      </c>
      <c r="V1146" s="2" t="s">
        <v>47</v>
      </c>
      <c r="W1146" s="2" t="s">
        <v>71</v>
      </c>
      <c r="X1146" s="2">
        <v>15.68</v>
      </c>
    </row>
    <row r="1147" spans="1:24" x14ac:dyDescent="0.3">
      <c r="A1147">
        <v>19038</v>
      </c>
      <c r="B1147" t="s">
        <v>3945</v>
      </c>
      <c r="C1147" s="3">
        <v>41194</v>
      </c>
      <c r="D1147" t="s">
        <v>62</v>
      </c>
      <c r="E1147">
        <v>18</v>
      </c>
      <c r="F1147" s="3">
        <f ca="1">41195+(RANDBETWEEN(1,10))</f>
        <v>41202</v>
      </c>
      <c r="G1147" t="s">
        <v>26</v>
      </c>
      <c r="H1147" t="s">
        <v>27</v>
      </c>
      <c r="I1147" t="s">
        <v>28</v>
      </c>
      <c r="J1147">
        <v>1302.07</v>
      </c>
      <c r="K1147">
        <v>0.04</v>
      </c>
      <c r="L1147">
        <v>0.65</v>
      </c>
      <c r="M1147">
        <v>20.965</v>
      </c>
      <c r="N1147">
        <v>885.97529999999995</v>
      </c>
      <c r="O1147" s="1" t="s">
        <v>64</v>
      </c>
      <c r="P1147" s="1" t="s">
        <v>2711</v>
      </c>
      <c r="Q1147" s="1" t="s">
        <v>2712</v>
      </c>
      <c r="R1147" s="1" t="s">
        <v>128</v>
      </c>
      <c r="S1147" s="1" t="s">
        <v>2713</v>
      </c>
      <c r="T1147" s="1" t="s">
        <v>2714</v>
      </c>
      <c r="U1147" s="2" t="s">
        <v>3946</v>
      </c>
      <c r="V1147" s="2" t="s">
        <v>36</v>
      </c>
      <c r="W1147" s="2" t="s">
        <v>60</v>
      </c>
      <c r="X1147" s="2">
        <v>73.325000000000003</v>
      </c>
    </row>
    <row r="1148" spans="1:24" x14ac:dyDescent="0.3">
      <c r="A1148">
        <v>19039</v>
      </c>
      <c r="B1148" t="s">
        <v>3947</v>
      </c>
      <c r="C1148" s="3">
        <v>41413</v>
      </c>
      <c r="D1148" t="s">
        <v>39</v>
      </c>
      <c r="E1148">
        <v>13</v>
      </c>
      <c r="F1148" s="3">
        <f ca="1">41415+(RANDBETWEEN(1,10))</f>
        <v>41424</v>
      </c>
      <c r="G1148" t="s">
        <v>26</v>
      </c>
      <c r="H1148" t="s">
        <v>51</v>
      </c>
      <c r="I1148" t="s">
        <v>52</v>
      </c>
      <c r="J1148">
        <v>870.03</v>
      </c>
      <c r="K1148">
        <v>0</v>
      </c>
      <c r="L1148">
        <v>0.83</v>
      </c>
      <c r="M1148">
        <v>4.375</v>
      </c>
      <c r="N1148">
        <v>79.001999999999995</v>
      </c>
      <c r="O1148" s="1" t="s">
        <v>225</v>
      </c>
      <c r="P1148" s="1" t="s">
        <v>3948</v>
      </c>
      <c r="Q1148" s="1" t="s">
        <v>3949</v>
      </c>
      <c r="R1148" s="1" t="s">
        <v>228</v>
      </c>
      <c r="S1148" s="1" t="s">
        <v>3950</v>
      </c>
      <c r="T1148" s="1" t="s">
        <v>3951</v>
      </c>
      <c r="U1148" s="2" t="s">
        <v>3952</v>
      </c>
      <c r="V1148" s="2" t="s">
        <v>36</v>
      </c>
      <c r="W1148" s="2" t="s">
        <v>37</v>
      </c>
      <c r="X1148" s="2">
        <v>73.465000000000003</v>
      </c>
    </row>
    <row r="1149" spans="1:24" x14ac:dyDescent="0.3">
      <c r="A1149">
        <v>19040</v>
      </c>
      <c r="B1149" t="s">
        <v>3953</v>
      </c>
      <c r="C1149" s="3">
        <v>41190</v>
      </c>
      <c r="D1149" t="s">
        <v>50</v>
      </c>
      <c r="E1149">
        <v>4</v>
      </c>
      <c r="F1149" s="3">
        <f ca="1">41191+(RANDBETWEEN(1,10))</f>
        <v>41192</v>
      </c>
      <c r="G1149" t="s">
        <v>26</v>
      </c>
      <c r="H1149" t="s">
        <v>51</v>
      </c>
      <c r="I1149" t="s">
        <v>52</v>
      </c>
      <c r="J1149">
        <v>248.11500000000001</v>
      </c>
      <c r="K1149">
        <v>0.02</v>
      </c>
      <c r="L1149">
        <v>0.45</v>
      </c>
      <c r="M1149">
        <v>6.9649999999999999</v>
      </c>
      <c r="N1149">
        <v>-92.534400000000005</v>
      </c>
      <c r="O1149" s="1" t="s">
        <v>40</v>
      </c>
      <c r="P1149" s="1" t="s">
        <v>1836</v>
      </c>
      <c r="Q1149" s="1" t="s">
        <v>1837</v>
      </c>
      <c r="R1149" s="1" t="s">
        <v>220</v>
      </c>
      <c r="S1149" s="1" t="s">
        <v>1838</v>
      </c>
      <c r="T1149" s="1" t="s">
        <v>1839</v>
      </c>
      <c r="U1149" s="2" t="s">
        <v>59</v>
      </c>
      <c r="V1149" s="2" t="s">
        <v>36</v>
      </c>
      <c r="W1149" s="2" t="s">
        <v>60</v>
      </c>
      <c r="X1149" s="2">
        <v>61.18</v>
      </c>
    </row>
    <row r="1150" spans="1:24" x14ac:dyDescent="0.3">
      <c r="A1150">
        <v>19041</v>
      </c>
      <c r="B1150" t="s">
        <v>3954</v>
      </c>
      <c r="C1150" s="3">
        <v>40844</v>
      </c>
      <c r="D1150" t="s">
        <v>62</v>
      </c>
      <c r="E1150">
        <v>8</v>
      </c>
      <c r="F1150" s="3">
        <f ca="1">40846+(RANDBETWEEN(1,10))</f>
        <v>40851</v>
      </c>
      <c r="G1150" t="s">
        <v>26</v>
      </c>
      <c r="H1150" t="s">
        <v>63</v>
      </c>
      <c r="I1150" t="s">
        <v>28</v>
      </c>
      <c r="J1150">
        <v>8492.26</v>
      </c>
      <c r="K1150">
        <v>0.03</v>
      </c>
      <c r="L1150">
        <v>0.52</v>
      </c>
      <c r="M1150">
        <v>85.715000000000003</v>
      </c>
      <c r="N1150">
        <v>5162.0464000000002</v>
      </c>
      <c r="O1150" s="1" t="s">
        <v>87</v>
      </c>
      <c r="P1150" s="1" t="s">
        <v>2632</v>
      </c>
      <c r="Q1150" s="1" t="s">
        <v>2633</v>
      </c>
      <c r="R1150" s="1" t="s">
        <v>398</v>
      </c>
      <c r="S1150" s="1" t="s">
        <v>2634</v>
      </c>
      <c r="T1150" s="1" t="s">
        <v>2635</v>
      </c>
      <c r="U1150" s="2" t="s">
        <v>70</v>
      </c>
      <c r="V1150" s="2" t="s">
        <v>47</v>
      </c>
      <c r="W1150" s="2" t="s">
        <v>71</v>
      </c>
      <c r="X1150" s="2">
        <v>1052.2750000000001</v>
      </c>
    </row>
    <row r="1151" spans="1:24" x14ac:dyDescent="0.3">
      <c r="A1151">
        <v>19042</v>
      </c>
      <c r="B1151" t="s">
        <v>3954</v>
      </c>
      <c r="C1151" s="3">
        <v>40844</v>
      </c>
      <c r="D1151" t="s">
        <v>62</v>
      </c>
      <c r="E1151">
        <v>17</v>
      </c>
      <c r="F1151" s="3">
        <f ca="1">40846+(RANDBETWEEN(1,10))</f>
        <v>40848</v>
      </c>
      <c r="G1151" t="s">
        <v>26</v>
      </c>
      <c r="H1151" t="s">
        <v>27</v>
      </c>
      <c r="I1151" t="s">
        <v>28</v>
      </c>
      <c r="J1151">
        <v>2884</v>
      </c>
      <c r="K1151">
        <v>0.06</v>
      </c>
      <c r="L1151">
        <v>0.45</v>
      </c>
      <c r="M1151">
        <v>69.965000000000003</v>
      </c>
      <c r="N1151">
        <v>69.23</v>
      </c>
      <c r="O1151" s="1" t="s">
        <v>87</v>
      </c>
      <c r="P1151" s="1" t="s">
        <v>2632</v>
      </c>
      <c r="Q1151" s="1" t="s">
        <v>2633</v>
      </c>
      <c r="R1151" s="1" t="s">
        <v>398</v>
      </c>
      <c r="S1151" s="1" t="s">
        <v>2634</v>
      </c>
      <c r="T1151" s="1" t="s">
        <v>2635</v>
      </c>
      <c r="U1151" s="2" t="s">
        <v>72</v>
      </c>
      <c r="V1151" s="2" t="s">
        <v>36</v>
      </c>
      <c r="W1151" s="2" t="s">
        <v>60</v>
      </c>
      <c r="X1151" s="2">
        <v>174.965</v>
      </c>
    </row>
    <row r="1152" spans="1:24" x14ac:dyDescent="0.3">
      <c r="A1152">
        <v>19043</v>
      </c>
      <c r="B1152" t="s">
        <v>3954</v>
      </c>
      <c r="C1152" s="3">
        <v>40844</v>
      </c>
      <c r="D1152" t="s">
        <v>62</v>
      </c>
      <c r="E1152">
        <v>14</v>
      </c>
      <c r="F1152" s="3">
        <f ca="1">40845+(RANDBETWEEN(1,10))</f>
        <v>40846</v>
      </c>
      <c r="G1152" t="s">
        <v>26</v>
      </c>
      <c r="H1152" t="s">
        <v>27</v>
      </c>
      <c r="I1152" t="s">
        <v>28</v>
      </c>
      <c r="J1152">
        <v>4716.3549999999996</v>
      </c>
      <c r="K1152">
        <v>0.1</v>
      </c>
      <c r="L1152">
        <v>0.37</v>
      </c>
      <c r="M1152">
        <v>16.274999999999999</v>
      </c>
      <c r="N1152">
        <v>3254.2849500000002</v>
      </c>
      <c r="O1152" s="1" t="s">
        <v>87</v>
      </c>
      <c r="P1152" s="1" t="s">
        <v>2632</v>
      </c>
      <c r="Q1152" s="1" t="s">
        <v>2633</v>
      </c>
      <c r="R1152" s="1" t="s">
        <v>398</v>
      </c>
      <c r="S1152" s="1" t="s">
        <v>2634</v>
      </c>
      <c r="T1152" s="1" t="s">
        <v>2635</v>
      </c>
      <c r="U1152" s="2" t="s">
        <v>73</v>
      </c>
      <c r="V1152" s="2" t="s">
        <v>47</v>
      </c>
      <c r="W1152" s="2" t="s">
        <v>74</v>
      </c>
      <c r="X1152" s="2">
        <v>366.97500000000002</v>
      </c>
    </row>
    <row r="1153" spans="1:24" x14ac:dyDescent="0.3">
      <c r="A1153">
        <v>19044</v>
      </c>
      <c r="B1153" t="s">
        <v>3955</v>
      </c>
      <c r="C1153" s="3">
        <v>41697</v>
      </c>
      <c r="D1153" t="s">
        <v>148</v>
      </c>
      <c r="E1153">
        <v>8</v>
      </c>
      <c r="F1153" s="3">
        <f ca="1">41700+(RANDBETWEEN(1,10))</f>
        <v>41707</v>
      </c>
      <c r="G1153" t="s">
        <v>26</v>
      </c>
      <c r="H1153" t="s">
        <v>27</v>
      </c>
      <c r="I1153" t="s">
        <v>52</v>
      </c>
      <c r="J1153">
        <v>1246.9449999999999</v>
      </c>
      <c r="K1153">
        <v>0.1</v>
      </c>
      <c r="L1153">
        <v>0.37</v>
      </c>
      <c r="M1153">
        <v>17.815000000000001</v>
      </c>
      <c r="N1153">
        <v>65.667000000000002</v>
      </c>
      <c r="O1153" s="1" t="s">
        <v>225</v>
      </c>
      <c r="P1153" s="1" t="s">
        <v>3956</v>
      </c>
      <c r="Q1153" s="1" t="s">
        <v>3957</v>
      </c>
      <c r="R1153" s="1" t="s">
        <v>391</v>
      </c>
      <c r="S1153" s="1" t="s">
        <v>3958</v>
      </c>
      <c r="T1153" s="1" t="s">
        <v>3959</v>
      </c>
      <c r="U1153" s="2" t="s">
        <v>144</v>
      </c>
      <c r="V1153" s="2" t="s">
        <v>47</v>
      </c>
      <c r="W1153" s="2" t="s">
        <v>74</v>
      </c>
      <c r="X1153" s="2">
        <v>168.14</v>
      </c>
    </row>
    <row r="1154" spans="1:24" x14ac:dyDescent="0.3">
      <c r="A1154">
        <v>19045</v>
      </c>
      <c r="B1154" t="s">
        <v>3960</v>
      </c>
      <c r="C1154" s="3">
        <v>40949</v>
      </c>
      <c r="D1154" t="s">
        <v>39</v>
      </c>
      <c r="E1154">
        <v>1</v>
      </c>
      <c r="F1154" s="3">
        <f ca="1">40951+(RANDBETWEEN(1,10))</f>
        <v>40961</v>
      </c>
      <c r="G1154" t="s">
        <v>26</v>
      </c>
      <c r="H1154" t="s">
        <v>27</v>
      </c>
      <c r="I1154" t="s">
        <v>86</v>
      </c>
      <c r="J1154">
        <v>22.715</v>
      </c>
      <c r="K1154">
        <v>0.06</v>
      </c>
      <c r="L1154">
        <v>0.39</v>
      </c>
      <c r="M1154">
        <v>24.114999999999998</v>
      </c>
      <c r="N1154">
        <v>-50.015000000000001</v>
      </c>
      <c r="O1154" s="1" t="s">
        <v>87</v>
      </c>
      <c r="P1154" s="1" t="s">
        <v>3961</v>
      </c>
      <c r="Q1154" s="1" t="s">
        <v>3962</v>
      </c>
      <c r="R1154" s="1" t="s">
        <v>90</v>
      </c>
      <c r="S1154" s="1" t="s">
        <v>1492</v>
      </c>
      <c r="T1154" s="1" t="s">
        <v>1493</v>
      </c>
      <c r="U1154" s="2" t="s">
        <v>3963</v>
      </c>
      <c r="V1154" s="2" t="s">
        <v>47</v>
      </c>
      <c r="W1154" s="2" t="s">
        <v>203</v>
      </c>
      <c r="X1154" s="2">
        <v>14.455</v>
      </c>
    </row>
    <row r="1155" spans="1:24" x14ac:dyDescent="0.3">
      <c r="A1155">
        <v>19046</v>
      </c>
      <c r="B1155" t="s">
        <v>3964</v>
      </c>
      <c r="C1155" s="3">
        <v>41372</v>
      </c>
      <c r="D1155" t="s">
        <v>50</v>
      </c>
      <c r="E1155">
        <v>9</v>
      </c>
      <c r="F1155" s="3">
        <f ca="1">41372+(RANDBETWEEN(1,10))</f>
        <v>41373</v>
      </c>
      <c r="G1155" t="s">
        <v>26</v>
      </c>
      <c r="H1155" t="s">
        <v>27</v>
      </c>
      <c r="I1155" t="s">
        <v>86</v>
      </c>
      <c r="J1155">
        <v>1123.5350000000001</v>
      </c>
      <c r="K1155">
        <v>0.04</v>
      </c>
      <c r="L1155">
        <v>0.38</v>
      </c>
      <c r="M1155">
        <v>69.965000000000003</v>
      </c>
      <c r="N1155">
        <v>-0.49</v>
      </c>
      <c r="O1155" s="1" t="s">
        <v>64</v>
      </c>
      <c r="P1155" s="1" t="s">
        <v>3965</v>
      </c>
      <c r="Q1155" s="1" t="s">
        <v>3966</v>
      </c>
      <c r="R1155" s="1" t="s">
        <v>128</v>
      </c>
      <c r="S1155" s="1" t="s">
        <v>3967</v>
      </c>
      <c r="T1155" s="1" t="s">
        <v>2650</v>
      </c>
      <c r="U1155" s="2" t="s">
        <v>3329</v>
      </c>
      <c r="V1155" s="2" t="s">
        <v>47</v>
      </c>
      <c r="W1155" s="2" t="s">
        <v>74</v>
      </c>
      <c r="X1155" s="2">
        <v>124.04</v>
      </c>
    </row>
    <row r="1156" spans="1:24" x14ac:dyDescent="0.3">
      <c r="A1156">
        <v>19047</v>
      </c>
      <c r="B1156" t="s">
        <v>3968</v>
      </c>
      <c r="C1156" s="3">
        <v>40623</v>
      </c>
      <c r="D1156" t="s">
        <v>25</v>
      </c>
      <c r="E1156">
        <v>9</v>
      </c>
      <c r="F1156" s="3">
        <f ca="1">40625+(RANDBETWEEN(1,10))</f>
        <v>40629</v>
      </c>
      <c r="G1156" t="s">
        <v>26</v>
      </c>
      <c r="H1156" t="s">
        <v>27</v>
      </c>
      <c r="I1156" t="s">
        <v>97</v>
      </c>
      <c r="J1156">
        <v>444.92</v>
      </c>
      <c r="K1156">
        <v>0.02</v>
      </c>
      <c r="L1156">
        <v>0.59</v>
      </c>
      <c r="M1156">
        <v>15.785</v>
      </c>
      <c r="N1156">
        <v>120.82</v>
      </c>
      <c r="O1156" s="1" t="s">
        <v>53</v>
      </c>
      <c r="P1156" s="1" t="s">
        <v>2971</v>
      </c>
      <c r="Q1156" s="1" t="s">
        <v>2972</v>
      </c>
      <c r="R1156" s="1" t="s">
        <v>440</v>
      </c>
      <c r="S1156" s="1" t="s">
        <v>2973</v>
      </c>
      <c r="T1156" s="1" t="s">
        <v>2974</v>
      </c>
      <c r="U1156" s="2" t="s">
        <v>1495</v>
      </c>
      <c r="V1156" s="2" t="s">
        <v>47</v>
      </c>
      <c r="W1156" s="2" t="s">
        <v>119</v>
      </c>
      <c r="X1156" s="2">
        <v>47.18</v>
      </c>
    </row>
    <row r="1157" spans="1:24" x14ac:dyDescent="0.3">
      <c r="A1157">
        <v>19048</v>
      </c>
      <c r="B1157" t="s">
        <v>3969</v>
      </c>
      <c r="C1157" s="3">
        <v>40864</v>
      </c>
      <c r="D1157" t="s">
        <v>25</v>
      </c>
      <c r="E1157">
        <v>22</v>
      </c>
      <c r="F1157" s="3">
        <f ca="1">40864+(RANDBETWEEN(1,10))</f>
        <v>40873</v>
      </c>
      <c r="G1157" t="s">
        <v>26</v>
      </c>
      <c r="H1157" t="s">
        <v>27</v>
      </c>
      <c r="I1157" t="s">
        <v>28</v>
      </c>
      <c r="J1157">
        <v>12694.78</v>
      </c>
      <c r="K1157">
        <v>7.0000000000000007E-2</v>
      </c>
      <c r="L1157">
        <v>0.39</v>
      </c>
      <c r="M1157">
        <v>69.965000000000003</v>
      </c>
      <c r="N1157">
        <v>8759.3981999999996</v>
      </c>
      <c r="O1157" s="1" t="s">
        <v>64</v>
      </c>
      <c r="P1157" s="1" t="s">
        <v>937</v>
      </c>
      <c r="Q1157" s="1" t="s">
        <v>938</v>
      </c>
      <c r="R1157" s="1" t="s">
        <v>128</v>
      </c>
      <c r="S1157" s="1" t="s">
        <v>939</v>
      </c>
      <c r="T1157" s="1" t="s">
        <v>940</v>
      </c>
      <c r="U1157" s="2" t="s">
        <v>3970</v>
      </c>
      <c r="V1157" s="2" t="s">
        <v>47</v>
      </c>
      <c r="W1157" s="2" t="s">
        <v>111</v>
      </c>
      <c r="X1157" s="2">
        <v>605.46500000000003</v>
      </c>
    </row>
    <row r="1158" spans="1:24" x14ac:dyDescent="0.3">
      <c r="A1158">
        <v>19049</v>
      </c>
      <c r="B1158" t="s">
        <v>3969</v>
      </c>
      <c r="C1158" s="3">
        <v>40864</v>
      </c>
      <c r="D1158" t="s">
        <v>25</v>
      </c>
      <c r="E1158">
        <v>1</v>
      </c>
      <c r="F1158" s="3">
        <f ca="1">40873+(RANDBETWEEN(1,10))</f>
        <v>40877</v>
      </c>
      <c r="G1158" t="s">
        <v>26</v>
      </c>
      <c r="H1158" t="s">
        <v>27</v>
      </c>
      <c r="I1158" t="s">
        <v>28</v>
      </c>
      <c r="J1158">
        <v>29.19</v>
      </c>
      <c r="K1158">
        <v>0.09</v>
      </c>
      <c r="L1158">
        <v>0.36</v>
      </c>
      <c r="M1158">
        <v>4.8650000000000002</v>
      </c>
      <c r="N1158">
        <v>2.4079999999999999</v>
      </c>
      <c r="O1158" s="1" t="s">
        <v>225</v>
      </c>
      <c r="P1158" s="1" t="s">
        <v>3971</v>
      </c>
      <c r="Q1158" s="1" t="s">
        <v>3972</v>
      </c>
      <c r="R1158" s="1" t="s">
        <v>228</v>
      </c>
      <c r="S1158" s="1" t="s">
        <v>3973</v>
      </c>
      <c r="T1158" s="1" t="s">
        <v>3974</v>
      </c>
      <c r="U1158" s="2" t="s">
        <v>3975</v>
      </c>
      <c r="V1158" s="2" t="s">
        <v>47</v>
      </c>
      <c r="W1158" s="2" t="s">
        <v>48</v>
      </c>
      <c r="X1158" s="2">
        <v>26.74</v>
      </c>
    </row>
    <row r="1159" spans="1:24" x14ac:dyDescent="0.3">
      <c r="A1159">
        <v>1905</v>
      </c>
      <c r="B1159" t="s">
        <v>3976</v>
      </c>
      <c r="C1159" s="3">
        <v>41382</v>
      </c>
      <c r="D1159" t="s">
        <v>39</v>
      </c>
      <c r="E1159">
        <v>52</v>
      </c>
      <c r="F1159" s="3">
        <f ca="1">41382+(RANDBETWEEN(1,10))</f>
        <v>41390</v>
      </c>
      <c r="G1159" t="s">
        <v>26</v>
      </c>
      <c r="H1159" t="s">
        <v>27</v>
      </c>
      <c r="I1159" t="s">
        <v>52</v>
      </c>
      <c r="J1159">
        <v>7217.21</v>
      </c>
      <c r="K1159">
        <v>0.05</v>
      </c>
      <c r="L1159">
        <v>0.67</v>
      </c>
      <c r="M1159">
        <v>24.92</v>
      </c>
      <c r="N1159">
        <v>245.07595000000001</v>
      </c>
      <c r="O1159" s="1" t="s">
        <v>225</v>
      </c>
      <c r="P1159" s="1" t="s">
        <v>3977</v>
      </c>
      <c r="Q1159" s="1" t="s">
        <v>3978</v>
      </c>
      <c r="R1159" s="1" t="s">
        <v>228</v>
      </c>
      <c r="S1159" s="1" t="s">
        <v>349</v>
      </c>
      <c r="T1159" s="1" t="s">
        <v>350</v>
      </c>
      <c r="U1159" s="2" t="s">
        <v>3979</v>
      </c>
      <c r="V1159" s="2" t="s">
        <v>36</v>
      </c>
      <c r="W1159" s="2" t="s">
        <v>60</v>
      </c>
      <c r="X1159" s="2">
        <v>139.93</v>
      </c>
    </row>
    <row r="1160" spans="1:24" x14ac:dyDescent="0.3">
      <c r="A1160">
        <v>19050</v>
      </c>
      <c r="B1160" t="s">
        <v>3980</v>
      </c>
      <c r="C1160" s="3">
        <v>41248</v>
      </c>
      <c r="D1160" t="s">
        <v>148</v>
      </c>
      <c r="E1160">
        <v>1</v>
      </c>
      <c r="F1160" s="3">
        <f ca="1">41250+(RANDBETWEEN(1,10))</f>
        <v>41252</v>
      </c>
      <c r="G1160" t="s">
        <v>26</v>
      </c>
      <c r="H1160" t="s">
        <v>27</v>
      </c>
      <c r="I1160" t="s">
        <v>52</v>
      </c>
      <c r="J1160">
        <v>101.36</v>
      </c>
      <c r="K1160">
        <v>0.06</v>
      </c>
      <c r="L1160">
        <v>0.37</v>
      </c>
      <c r="M1160">
        <v>30.38</v>
      </c>
      <c r="N1160">
        <v>-47.372500000000002</v>
      </c>
      <c r="O1160" s="1" t="s">
        <v>87</v>
      </c>
      <c r="P1160" s="1" t="s">
        <v>3981</v>
      </c>
      <c r="Q1160" s="1" t="s">
        <v>3982</v>
      </c>
      <c r="R1160" s="1" t="s">
        <v>90</v>
      </c>
      <c r="S1160" s="1" t="s">
        <v>1492</v>
      </c>
      <c r="T1160" s="1" t="s">
        <v>1493</v>
      </c>
      <c r="U1160" s="2" t="s">
        <v>3983</v>
      </c>
      <c r="V1160" s="2" t="s">
        <v>47</v>
      </c>
      <c r="W1160" s="2" t="s">
        <v>74</v>
      </c>
      <c r="X1160" s="2">
        <v>69.930000000000007</v>
      </c>
    </row>
    <row r="1161" spans="1:24" x14ac:dyDescent="0.3">
      <c r="A1161">
        <v>19051</v>
      </c>
      <c r="B1161" t="s">
        <v>3984</v>
      </c>
      <c r="C1161" s="3">
        <v>41996</v>
      </c>
      <c r="D1161" t="s">
        <v>50</v>
      </c>
      <c r="E1161">
        <v>23</v>
      </c>
      <c r="F1161" s="3">
        <f ca="1">41997+(RANDBETWEEN(1,10))</f>
        <v>42000</v>
      </c>
      <c r="G1161" t="s">
        <v>76</v>
      </c>
      <c r="H1161" t="s">
        <v>77</v>
      </c>
      <c r="I1161" t="s">
        <v>28</v>
      </c>
      <c r="J1161">
        <v>8135.68</v>
      </c>
      <c r="K1161">
        <v>0.01</v>
      </c>
      <c r="L1161">
        <v>0.57999999999999996</v>
      </c>
      <c r="M1161">
        <v>203.7</v>
      </c>
      <c r="N1161">
        <v>-903.33263999999997</v>
      </c>
      <c r="O1161" s="1" t="s">
        <v>53</v>
      </c>
      <c r="P1161" s="1" t="s">
        <v>3985</v>
      </c>
      <c r="Q1161" s="1" t="s">
        <v>3986</v>
      </c>
      <c r="R1161" s="1" t="s">
        <v>100</v>
      </c>
      <c r="S1161" s="1" t="s">
        <v>491</v>
      </c>
      <c r="T1161" s="1" t="s">
        <v>492</v>
      </c>
      <c r="U1161" s="2" t="s">
        <v>82</v>
      </c>
      <c r="V1161" s="2" t="s">
        <v>83</v>
      </c>
      <c r="W1161" s="2" t="s">
        <v>84</v>
      </c>
      <c r="X1161" s="2">
        <v>335.93</v>
      </c>
    </row>
    <row r="1162" spans="1:24" x14ac:dyDescent="0.3">
      <c r="A1162">
        <v>19052</v>
      </c>
      <c r="B1162" t="s">
        <v>3987</v>
      </c>
      <c r="C1162" s="3">
        <v>40616</v>
      </c>
      <c r="D1162" t="s">
        <v>148</v>
      </c>
      <c r="E1162">
        <v>9</v>
      </c>
      <c r="F1162" s="3">
        <f ca="1">40617+(RANDBETWEEN(1,10))</f>
        <v>40625</v>
      </c>
      <c r="G1162" t="s">
        <v>76</v>
      </c>
      <c r="H1162" t="s">
        <v>77</v>
      </c>
      <c r="I1162" t="s">
        <v>28</v>
      </c>
      <c r="J1162">
        <v>6320.65</v>
      </c>
      <c r="K1162">
        <v>7.0000000000000007E-2</v>
      </c>
      <c r="L1162">
        <v>0.57999999999999996</v>
      </c>
      <c r="M1162">
        <v>83.16</v>
      </c>
      <c r="N1162">
        <v>-463.49099999999999</v>
      </c>
      <c r="O1162" s="1" t="s">
        <v>87</v>
      </c>
      <c r="P1162" s="1" t="s">
        <v>3988</v>
      </c>
      <c r="Q1162" s="1" t="s">
        <v>3989</v>
      </c>
      <c r="R1162" s="1" t="s">
        <v>90</v>
      </c>
      <c r="S1162" s="1" t="s">
        <v>3622</v>
      </c>
      <c r="T1162" s="1" t="s">
        <v>3623</v>
      </c>
      <c r="U1162" s="2" t="s">
        <v>3990</v>
      </c>
      <c r="V1162" s="2" t="s">
        <v>83</v>
      </c>
      <c r="W1162" s="2" t="s">
        <v>84</v>
      </c>
      <c r="X1162" s="2">
        <v>703.43</v>
      </c>
    </row>
    <row r="1163" spans="1:24" x14ac:dyDescent="0.3">
      <c r="A1163">
        <v>19053</v>
      </c>
      <c r="B1163" t="s">
        <v>3987</v>
      </c>
      <c r="C1163" s="3">
        <v>40616</v>
      </c>
      <c r="D1163" t="s">
        <v>148</v>
      </c>
      <c r="E1163">
        <v>2</v>
      </c>
      <c r="F1163" s="3">
        <f ca="1">40616+(RANDBETWEEN(1,10))</f>
        <v>40623</v>
      </c>
      <c r="G1163" t="s">
        <v>76</v>
      </c>
      <c r="H1163" t="s">
        <v>258</v>
      </c>
      <c r="I1163" t="s">
        <v>28</v>
      </c>
      <c r="J1163">
        <v>1089.9349999999999</v>
      </c>
      <c r="K1163">
        <v>0.02</v>
      </c>
      <c r="L1163">
        <v>0.76</v>
      </c>
      <c r="M1163">
        <v>102.235</v>
      </c>
      <c r="N1163">
        <v>-1439.326</v>
      </c>
      <c r="O1163" s="1" t="s">
        <v>87</v>
      </c>
      <c r="P1163" s="1" t="s">
        <v>3988</v>
      </c>
      <c r="Q1163" s="1" t="s">
        <v>3989</v>
      </c>
      <c r="R1163" s="1" t="s">
        <v>90</v>
      </c>
      <c r="S1163" s="1" t="s">
        <v>3622</v>
      </c>
      <c r="T1163" s="1" t="s">
        <v>3623</v>
      </c>
      <c r="U1163" s="2" t="s">
        <v>1724</v>
      </c>
      <c r="V1163" s="2" t="s">
        <v>83</v>
      </c>
      <c r="W1163" s="2" t="s">
        <v>263</v>
      </c>
      <c r="X1163" s="2">
        <v>627.51499999999999</v>
      </c>
    </row>
    <row r="1164" spans="1:24" x14ac:dyDescent="0.3">
      <c r="A1164">
        <v>19054</v>
      </c>
      <c r="B1164" t="s">
        <v>3991</v>
      </c>
      <c r="C1164" s="3">
        <v>40726</v>
      </c>
      <c r="D1164" t="s">
        <v>62</v>
      </c>
      <c r="E1164">
        <v>6</v>
      </c>
      <c r="F1164" s="3">
        <f ca="1">40728+(RANDBETWEEN(1,10))</f>
        <v>40731</v>
      </c>
      <c r="G1164" t="s">
        <v>156</v>
      </c>
      <c r="H1164" t="s">
        <v>27</v>
      </c>
      <c r="I1164" t="s">
        <v>28</v>
      </c>
      <c r="J1164">
        <v>1266.02</v>
      </c>
      <c r="K1164">
        <v>7.0000000000000007E-2</v>
      </c>
      <c r="L1164">
        <v>0.56000000000000005</v>
      </c>
      <c r="M1164">
        <v>15.75</v>
      </c>
      <c r="N1164">
        <v>-149.05799999999999</v>
      </c>
      <c r="O1164" s="1" t="s">
        <v>64</v>
      </c>
      <c r="P1164" s="1" t="s">
        <v>2140</v>
      </c>
      <c r="Q1164" s="1" t="s">
        <v>2141</v>
      </c>
      <c r="R1164" s="1" t="s">
        <v>67</v>
      </c>
      <c r="S1164" s="1" t="s">
        <v>2142</v>
      </c>
      <c r="T1164" s="1" t="s">
        <v>2143</v>
      </c>
      <c r="U1164" s="2" t="s">
        <v>1654</v>
      </c>
      <c r="V1164" s="2" t="s">
        <v>47</v>
      </c>
      <c r="W1164" s="2" t="s">
        <v>71</v>
      </c>
      <c r="X1164" s="2">
        <v>213.39500000000001</v>
      </c>
    </row>
    <row r="1165" spans="1:24" x14ac:dyDescent="0.3">
      <c r="A1165">
        <v>19055</v>
      </c>
      <c r="B1165" t="s">
        <v>3992</v>
      </c>
      <c r="C1165" s="3">
        <v>41651</v>
      </c>
      <c r="D1165" t="s">
        <v>148</v>
      </c>
      <c r="E1165">
        <v>1</v>
      </c>
      <c r="F1165" s="3">
        <f ca="1">41652+(RANDBETWEEN(1,10))</f>
        <v>41659</v>
      </c>
      <c r="G1165" t="s">
        <v>26</v>
      </c>
      <c r="H1165" t="s">
        <v>27</v>
      </c>
      <c r="I1165" t="s">
        <v>28</v>
      </c>
      <c r="J1165">
        <v>36.575000000000003</v>
      </c>
      <c r="K1165">
        <v>0.03</v>
      </c>
      <c r="L1165">
        <v>0.36</v>
      </c>
      <c r="M1165">
        <v>19.600000000000001</v>
      </c>
      <c r="N1165">
        <v>-10.093999999999999</v>
      </c>
      <c r="O1165" s="1" t="s">
        <v>225</v>
      </c>
      <c r="P1165" s="1" t="s">
        <v>3993</v>
      </c>
      <c r="Q1165" s="1" t="s">
        <v>3994</v>
      </c>
      <c r="R1165" s="1" t="s">
        <v>228</v>
      </c>
      <c r="S1165" s="1" t="s">
        <v>3995</v>
      </c>
      <c r="T1165" s="1" t="s">
        <v>3996</v>
      </c>
      <c r="U1165" s="2" t="s">
        <v>3792</v>
      </c>
      <c r="V1165" s="2" t="s">
        <v>47</v>
      </c>
      <c r="W1165" s="2" t="s">
        <v>111</v>
      </c>
      <c r="X1165" s="2">
        <v>30.975000000000001</v>
      </c>
    </row>
    <row r="1166" spans="1:24" x14ac:dyDescent="0.3">
      <c r="A1166">
        <v>19056</v>
      </c>
      <c r="B1166" t="s">
        <v>3997</v>
      </c>
      <c r="C1166" s="3">
        <v>41384</v>
      </c>
      <c r="D1166" t="s">
        <v>25</v>
      </c>
      <c r="E1166">
        <v>5</v>
      </c>
      <c r="F1166" s="3">
        <f ca="1">41391+(RANDBETWEEN(1,10))</f>
        <v>41396</v>
      </c>
      <c r="G1166" t="s">
        <v>26</v>
      </c>
      <c r="H1166" t="s">
        <v>27</v>
      </c>
      <c r="I1166" t="s">
        <v>28</v>
      </c>
      <c r="J1166">
        <v>489.89499999999998</v>
      </c>
      <c r="K1166">
        <v>0.04</v>
      </c>
      <c r="L1166">
        <v>0.44</v>
      </c>
      <c r="M1166">
        <v>68.11</v>
      </c>
      <c r="N1166">
        <v>-18.13</v>
      </c>
      <c r="O1166" s="1" t="s">
        <v>64</v>
      </c>
      <c r="P1166" s="1" t="s">
        <v>2496</v>
      </c>
      <c r="Q1166" s="1" t="s">
        <v>2497</v>
      </c>
      <c r="R1166" s="1" t="s">
        <v>128</v>
      </c>
      <c r="S1166" s="1" t="s">
        <v>2498</v>
      </c>
      <c r="T1166" s="1" t="s">
        <v>2499</v>
      </c>
      <c r="U1166" s="2" t="s">
        <v>3998</v>
      </c>
      <c r="V1166" s="2" t="s">
        <v>83</v>
      </c>
      <c r="W1166" s="2" t="s">
        <v>178</v>
      </c>
      <c r="X1166" s="2">
        <v>95.97</v>
      </c>
    </row>
    <row r="1167" spans="1:24" x14ac:dyDescent="0.3">
      <c r="A1167">
        <v>19057</v>
      </c>
      <c r="B1167" t="s">
        <v>3997</v>
      </c>
      <c r="C1167" s="3">
        <v>41384</v>
      </c>
      <c r="D1167" t="s">
        <v>25</v>
      </c>
      <c r="E1167">
        <v>3</v>
      </c>
      <c r="F1167" s="3">
        <f ca="1">41386+(RANDBETWEEN(1,10))</f>
        <v>41392</v>
      </c>
      <c r="G1167" t="s">
        <v>76</v>
      </c>
      <c r="H1167" t="s">
        <v>258</v>
      </c>
      <c r="I1167" t="s">
        <v>28</v>
      </c>
      <c r="J1167">
        <v>3181.1849999999999</v>
      </c>
      <c r="K1167">
        <v>0.09</v>
      </c>
      <c r="L1167">
        <v>0.66</v>
      </c>
      <c r="M1167">
        <v>102.2</v>
      </c>
      <c r="N1167">
        <v>365.68</v>
      </c>
      <c r="O1167" s="1" t="s">
        <v>64</v>
      </c>
      <c r="P1167" s="1" t="s">
        <v>2496</v>
      </c>
      <c r="Q1167" s="1" t="s">
        <v>2497</v>
      </c>
      <c r="R1167" s="1" t="s">
        <v>128</v>
      </c>
      <c r="S1167" s="1" t="s">
        <v>2498</v>
      </c>
      <c r="T1167" s="1" t="s">
        <v>2499</v>
      </c>
      <c r="U1167" s="2" t="s">
        <v>3999</v>
      </c>
      <c r="V1167" s="2" t="s">
        <v>83</v>
      </c>
      <c r="W1167" s="2" t="s">
        <v>263</v>
      </c>
      <c r="X1167" s="2">
        <v>1122.24</v>
      </c>
    </row>
    <row r="1168" spans="1:24" x14ac:dyDescent="0.3">
      <c r="A1168">
        <v>19058</v>
      </c>
      <c r="B1168" t="s">
        <v>4000</v>
      </c>
      <c r="C1168" s="3">
        <v>40565</v>
      </c>
      <c r="D1168" t="s">
        <v>62</v>
      </c>
      <c r="E1168">
        <v>2</v>
      </c>
      <c r="F1168" s="3">
        <f ca="1">40566+(RANDBETWEEN(1,10))</f>
        <v>40572</v>
      </c>
      <c r="G1168" t="s">
        <v>26</v>
      </c>
      <c r="H1168" t="s">
        <v>27</v>
      </c>
      <c r="I1168" t="s">
        <v>97</v>
      </c>
      <c r="J1168">
        <v>218.61</v>
      </c>
      <c r="K1168">
        <v>0.09</v>
      </c>
      <c r="L1168">
        <v>0.75</v>
      </c>
      <c r="M1168">
        <v>19.25</v>
      </c>
      <c r="N1168">
        <v>-70.903000000000006</v>
      </c>
      <c r="O1168" s="1" t="s">
        <v>87</v>
      </c>
      <c r="P1168" s="1" t="s">
        <v>4001</v>
      </c>
      <c r="Q1168" s="1" t="s">
        <v>4002</v>
      </c>
      <c r="R1168" s="1" t="s">
        <v>398</v>
      </c>
      <c r="S1168" s="1" t="s">
        <v>4003</v>
      </c>
      <c r="T1168" s="1" t="s">
        <v>4004</v>
      </c>
      <c r="U1168" s="2" t="s">
        <v>2960</v>
      </c>
      <c r="V1168" s="2" t="s">
        <v>36</v>
      </c>
      <c r="W1168" s="2" t="s">
        <v>60</v>
      </c>
      <c r="X1168" s="2">
        <v>115.43</v>
      </c>
    </row>
    <row r="1169" spans="1:24" x14ac:dyDescent="0.3">
      <c r="A1169">
        <v>19059</v>
      </c>
      <c r="B1169" t="s">
        <v>4005</v>
      </c>
      <c r="C1169" s="3">
        <v>41282</v>
      </c>
      <c r="D1169" t="s">
        <v>25</v>
      </c>
      <c r="E1169">
        <v>10</v>
      </c>
      <c r="F1169" s="3">
        <f ca="1">41286+(RANDBETWEEN(1,10))</f>
        <v>41295</v>
      </c>
      <c r="G1169" t="s">
        <v>26</v>
      </c>
      <c r="H1169" t="s">
        <v>51</v>
      </c>
      <c r="I1169" t="s">
        <v>52</v>
      </c>
      <c r="J1169">
        <v>162.19</v>
      </c>
      <c r="K1169">
        <v>0.1</v>
      </c>
      <c r="L1169">
        <v>0.66</v>
      </c>
      <c r="M1169">
        <v>17.254999999999999</v>
      </c>
      <c r="N1169">
        <v>-604.779</v>
      </c>
      <c r="O1169" s="1" t="s">
        <v>29</v>
      </c>
      <c r="P1169" s="1" t="s">
        <v>3719</v>
      </c>
      <c r="Q1169" s="1" t="s">
        <v>3720</v>
      </c>
      <c r="R1169" s="1" t="s">
        <v>32</v>
      </c>
      <c r="S1169" s="1" t="s">
        <v>3721</v>
      </c>
      <c r="T1169" s="1" t="s">
        <v>3722</v>
      </c>
      <c r="U1169" s="2" t="s">
        <v>1387</v>
      </c>
      <c r="V1169" s="2" t="s">
        <v>36</v>
      </c>
      <c r="W1169" s="2" t="s">
        <v>60</v>
      </c>
      <c r="X1169" s="2">
        <v>17.114999999999998</v>
      </c>
    </row>
    <row r="1170" spans="1:24" x14ac:dyDescent="0.3">
      <c r="A1170">
        <v>1906</v>
      </c>
      <c r="B1170" t="s">
        <v>3976</v>
      </c>
      <c r="C1170" s="3">
        <v>41382</v>
      </c>
      <c r="D1170" t="s">
        <v>39</v>
      </c>
      <c r="E1170">
        <v>30</v>
      </c>
      <c r="F1170" s="3">
        <f ca="1">41383+(RANDBETWEEN(1,10))</f>
        <v>41393</v>
      </c>
      <c r="G1170" t="s">
        <v>26</v>
      </c>
      <c r="H1170" t="s">
        <v>27</v>
      </c>
      <c r="I1170" t="s">
        <v>52</v>
      </c>
      <c r="J1170">
        <v>588.70000000000005</v>
      </c>
      <c r="K1170">
        <v>0.04</v>
      </c>
      <c r="L1170">
        <v>0.35</v>
      </c>
      <c r="M1170">
        <v>18.55</v>
      </c>
      <c r="N1170">
        <v>-258.86455000000001</v>
      </c>
      <c r="O1170" s="1" t="s">
        <v>225</v>
      </c>
      <c r="P1170" s="1" t="s">
        <v>3977</v>
      </c>
      <c r="Q1170" s="1" t="s">
        <v>3978</v>
      </c>
      <c r="R1170" s="1" t="s">
        <v>228</v>
      </c>
      <c r="S1170" s="1" t="s">
        <v>349</v>
      </c>
      <c r="T1170" s="1" t="s">
        <v>350</v>
      </c>
      <c r="U1170" s="2" t="s">
        <v>2464</v>
      </c>
      <c r="V1170" s="2" t="s">
        <v>47</v>
      </c>
      <c r="W1170" s="2" t="s">
        <v>48</v>
      </c>
      <c r="X1170" s="2">
        <v>19.53</v>
      </c>
    </row>
    <row r="1171" spans="1:24" x14ac:dyDescent="0.3">
      <c r="A1171">
        <v>19060</v>
      </c>
      <c r="B1171" t="s">
        <v>4006</v>
      </c>
      <c r="C1171" s="3">
        <v>41779</v>
      </c>
      <c r="D1171" t="s">
        <v>50</v>
      </c>
      <c r="E1171">
        <v>7</v>
      </c>
      <c r="F1171" s="3">
        <f ca="1">41781+(RANDBETWEEN(1,10))</f>
        <v>41788</v>
      </c>
      <c r="G1171" t="s">
        <v>26</v>
      </c>
      <c r="H1171" t="s">
        <v>63</v>
      </c>
      <c r="I1171" t="s">
        <v>52</v>
      </c>
      <c r="J1171">
        <v>1169.9100000000001</v>
      </c>
      <c r="K1171">
        <v>7.0000000000000007E-2</v>
      </c>
      <c r="L1171">
        <v>0.56999999999999995</v>
      </c>
      <c r="M1171">
        <v>35.875</v>
      </c>
      <c r="N1171">
        <v>807.23789999999997</v>
      </c>
      <c r="O1171" s="1" t="s">
        <v>40</v>
      </c>
      <c r="P1171" s="1" t="s">
        <v>4007</v>
      </c>
      <c r="Q1171" s="1" t="s">
        <v>4008</v>
      </c>
      <c r="R1171" s="1" t="s">
        <v>43</v>
      </c>
      <c r="S1171" s="1" t="s">
        <v>4009</v>
      </c>
      <c r="T1171" s="1" t="s">
        <v>4010</v>
      </c>
      <c r="U1171" s="2" t="s">
        <v>4011</v>
      </c>
      <c r="V1171" s="2" t="s">
        <v>83</v>
      </c>
      <c r="W1171" s="2" t="s">
        <v>178</v>
      </c>
      <c r="X1171" s="2">
        <v>172.69</v>
      </c>
    </row>
    <row r="1172" spans="1:24" x14ac:dyDescent="0.3">
      <c r="A1172">
        <v>19061</v>
      </c>
      <c r="B1172" t="s">
        <v>4006</v>
      </c>
      <c r="C1172" s="3">
        <v>41779</v>
      </c>
      <c r="D1172" t="s">
        <v>50</v>
      </c>
      <c r="E1172">
        <v>6</v>
      </c>
      <c r="F1172" s="3">
        <f ca="1">41781+(RANDBETWEEN(1,10))</f>
        <v>41784</v>
      </c>
      <c r="G1172" t="s">
        <v>26</v>
      </c>
      <c r="H1172" t="s">
        <v>96</v>
      </c>
      <c r="I1172" t="s">
        <v>52</v>
      </c>
      <c r="J1172">
        <v>220.04499999999999</v>
      </c>
      <c r="K1172">
        <v>0.01</v>
      </c>
      <c r="L1172">
        <v>0.46</v>
      </c>
      <c r="M1172">
        <v>7.21</v>
      </c>
      <c r="N1172">
        <v>151.83105</v>
      </c>
      <c r="O1172" s="1" t="s">
        <v>40</v>
      </c>
      <c r="P1172" s="1" t="s">
        <v>4007</v>
      </c>
      <c r="Q1172" s="1" t="s">
        <v>4008</v>
      </c>
      <c r="R1172" s="1" t="s">
        <v>43</v>
      </c>
      <c r="S1172" s="1" t="s">
        <v>4009</v>
      </c>
      <c r="T1172" s="1" t="s">
        <v>4010</v>
      </c>
      <c r="U1172" s="2" t="s">
        <v>2729</v>
      </c>
      <c r="V1172" s="2" t="s">
        <v>83</v>
      </c>
      <c r="W1172" s="2" t="s">
        <v>178</v>
      </c>
      <c r="X1172" s="2">
        <v>35.21</v>
      </c>
    </row>
    <row r="1173" spans="1:24" x14ac:dyDescent="0.3">
      <c r="A1173">
        <v>19062</v>
      </c>
      <c r="B1173" t="s">
        <v>4012</v>
      </c>
      <c r="C1173" s="3">
        <v>40890</v>
      </c>
      <c r="D1173" t="s">
        <v>62</v>
      </c>
      <c r="E1173">
        <v>10</v>
      </c>
      <c r="F1173" s="3">
        <f ca="1">40890+(RANDBETWEEN(1,10))</f>
        <v>40895</v>
      </c>
      <c r="G1173" t="s">
        <v>156</v>
      </c>
      <c r="H1173" t="s">
        <v>27</v>
      </c>
      <c r="I1173" t="s">
        <v>86</v>
      </c>
      <c r="J1173">
        <v>188.61500000000001</v>
      </c>
      <c r="K1173">
        <v>0.06</v>
      </c>
      <c r="L1173">
        <v>0.36</v>
      </c>
      <c r="M1173">
        <v>19.88</v>
      </c>
      <c r="N1173">
        <v>-110.90887499999999</v>
      </c>
      <c r="O1173" s="1" t="s">
        <v>87</v>
      </c>
      <c r="P1173" s="1" t="s">
        <v>3693</v>
      </c>
      <c r="Q1173" s="1" t="s">
        <v>3694</v>
      </c>
      <c r="R1173" s="1" t="s">
        <v>646</v>
      </c>
      <c r="S1173" s="1" t="s">
        <v>3695</v>
      </c>
      <c r="T1173" s="1" t="s">
        <v>3696</v>
      </c>
      <c r="U1173" s="2" t="s">
        <v>4013</v>
      </c>
      <c r="V1173" s="2" t="s">
        <v>47</v>
      </c>
      <c r="W1173" s="2" t="s">
        <v>111</v>
      </c>
      <c r="X1173" s="2">
        <v>17.184999999999999</v>
      </c>
    </row>
    <row r="1174" spans="1:24" x14ac:dyDescent="0.3">
      <c r="A1174">
        <v>19063</v>
      </c>
      <c r="B1174" t="s">
        <v>4012</v>
      </c>
      <c r="C1174" s="3">
        <v>40890</v>
      </c>
      <c r="D1174" t="s">
        <v>62</v>
      </c>
      <c r="E1174">
        <v>21</v>
      </c>
      <c r="F1174" s="3">
        <f ca="1">40891+(RANDBETWEEN(1,10))</f>
        <v>40896</v>
      </c>
      <c r="G1174" t="s">
        <v>156</v>
      </c>
      <c r="H1174" t="s">
        <v>27</v>
      </c>
      <c r="I1174" t="s">
        <v>86</v>
      </c>
      <c r="J1174">
        <v>3503.57</v>
      </c>
      <c r="K1174">
        <v>7.0000000000000007E-2</v>
      </c>
      <c r="L1174">
        <v>0.35</v>
      </c>
      <c r="M1174">
        <v>20.51</v>
      </c>
      <c r="N1174">
        <v>2417.4632999999999</v>
      </c>
      <c r="O1174" s="1" t="s">
        <v>87</v>
      </c>
      <c r="P1174" s="1" t="s">
        <v>3693</v>
      </c>
      <c r="Q1174" s="1" t="s">
        <v>3694</v>
      </c>
      <c r="R1174" s="1" t="s">
        <v>646</v>
      </c>
      <c r="S1174" s="1" t="s">
        <v>3695</v>
      </c>
      <c r="T1174" s="1" t="s">
        <v>3696</v>
      </c>
      <c r="U1174" s="2" t="s">
        <v>3499</v>
      </c>
      <c r="V1174" s="2" t="s">
        <v>47</v>
      </c>
      <c r="W1174" s="2" t="s">
        <v>74</v>
      </c>
      <c r="X1174" s="2">
        <v>171.29</v>
      </c>
    </row>
    <row r="1175" spans="1:24" x14ac:dyDescent="0.3">
      <c r="A1175">
        <v>19064</v>
      </c>
      <c r="B1175" t="s">
        <v>4014</v>
      </c>
      <c r="C1175" s="3">
        <v>41450</v>
      </c>
      <c r="D1175" t="s">
        <v>25</v>
      </c>
      <c r="E1175">
        <v>19</v>
      </c>
      <c r="F1175" s="3">
        <f ca="1">41455+(RANDBETWEEN(1,10))</f>
        <v>41462</v>
      </c>
      <c r="G1175" t="s">
        <v>26</v>
      </c>
      <c r="H1175" t="s">
        <v>27</v>
      </c>
      <c r="I1175" t="s">
        <v>28</v>
      </c>
      <c r="J1175">
        <v>4140.43</v>
      </c>
      <c r="K1175">
        <v>0.09</v>
      </c>
      <c r="L1175">
        <v>0.4</v>
      </c>
      <c r="M1175">
        <v>69.965000000000003</v>
      </c>
      <c r="N1175">
        <v>2096.9466000000002</v>
      </c>
      <c r="O1175" s="1" t="s">
        <v>40</v>
      </c>
      <c r="P1175" s="1" t="s">
        <v>826</v>
      </c>
      <c r="Q1175" s="1" t="s">
        <v>827</v>
      </c>
      <c r="R1175" s="1" t="s">
        <v>220</v>
      </c>
      <c r="S1175" s="1" t="s">
        <v>828</v>
      </c>
      <c r="T1175" s="1" t="s">
        <v>829</v>
      </c>
      <c r="U1175" s="2" t="s">
        <v>2385</v>
      </c>
      <c r="V1175" s="2" t="s">
        <v>47</v>
      </c>
      <c r="W1175" s="2" t="s">
        <v>111</v>
      </c>
      <c r="X1175" s="2">
        <v>235.48</v>
      </c>
    </row>
    <row r="1176" spans="1:24" x14ac:dyDescent="0.3">
      <c r="A1176">
        <v>19065</v>
      </c>
      <c r="B1176" t="s">
        <v>4014</v>
      </c>
      <c r="C1176" s="3">
        <v>41450</v>
      </c>
      <c r="D1176" t="s">
        <v>25</v>
      </c>
      <c r="E1176">
        <v>8</v>
      </c>
      <c r="F1176" s="3">
        <f ca="1">41455+(RANDBETWEEN(1,10))</f>
        <v>41456</v>
      </c>
      <c r="G1176" t="s">
        <v>26</v>
      </c>
      <c r="H1176" t="s">
        <v>27</v>
      </c>
      <c r="I1176" t="s">
        <v>28</v>
      </c>
      <c r="J1176">
        <v>56.07</v>
      </c>
      <c r="K1176">
        <v>0.1</v>
      </c>
      <c r="L1176">
        <v>0.36</v>
      </c>
      <c r="M1176">
        <v>5.2149999999999999</v>
      </c>
      <c r="N1176">
        <v>-28.625800000000002</v>
      </c>
      <c r="O1176" s="1" t="s">
        <v>40</v>
      </c>
      <c r="P1176" s="1" t="s">
        <v>826</v>
      </c>
      <c r="Q1176" s="1" t="s">
        <v>827</v>
      </c>
      <c r="R1176" s="1" t="s">
        <v>220</v>
      </c>
      <c r="S1176" s="1" t="s">
        <v>828</v>
      </c>
      <c r="T1176" s="1" t="s">
        <v>829</v>
      </c>
      <c r="U1176" s="2" t="s">
        <v>4015</v>
      </c>
      <c r="V1176" s="2" t="s">
        <v>47</v>
      </c>
      <c r="W1176" s="2" t="s">
        <v>111</v>
      </c>
      <c r="X1176" s="2">
        <v>7.28</v>
      </c>
    </row>
    <row r="1177" spans="1:24" x14ac:dyDescent="0.3">
      <c r="A1177">
        <v>19066</v>
      </c>
      <c r="B1177" t="s">
        <v>4014</v>
      </c>
      <c r="C1177" s="3">
        <v>41450</v>
      </c>
      <c r="D1177" t="s">
        <v>25</v>
      </c>
      <c r="E1177">
        <v>8</v>
      </c>
      <c r="F1177" s="3">
        <f ca="1">41457+(RANDBETWEEN(1,10))</f>
        <v>41467</v>
      </c>
      <c r="G1177" t="s">
        <v>26</v>
      </c>
      <c r="H1177" t="s">
        <v>27</v>
      </c>
      <c r="I1177" t="s">
        <v>28</v>
      </c>
      <c r="J1177">
        <v>774.02499999999998</v>
      </c>
      <c r="K1177">
        <v>0.01</v>
      </c>
      <c r="L1177">
        <v>0.75</v>
      </c>
      <c r="M1177">
        <v>20.614999999999998</v>
      </c>
      <c r="N1177">
        <v>-181.49600000000001</v>
      </c>
      <c r="O1177" s="1" t="s">
        <v>40</v>
      </c>
      <c r="P1177" s="1" t="s">
        <v>826</v>
      </c>
      <c r="Q1177" s="1" t="s">
        <v>827</v>
      </c>
      <c r="R1177" s="1" t="s">
        <v>220</v>
      </c>
      <c r="S1177" s="1" t="s">
        <v>828</v>
      </c>
      <c r="T1177" s="1" t="s">
        <v>829</v>
      </c>
      <c r="U1177" s="2" t="s">
        <v>4016</v>
      </c>
      <c r="V1177" s="2" t="s">
        <v>36</v>
      </c>
      <c r="W1177" s="2" t="s">
        <v>60</v>
      </c>
      <c r="X1177" s="2">
        <v>92.084999999999994</v>
      </c>
    </row>
    <row r="1178" spans="1:24" x14ac:dyDescent="0.3">
      <c r="A1178">
        <v>19067</v>
      </c>
      <c r="B1178" t="s">
        <v>4014</v>
      </c>
      <c r="C1178" s="3">
        <v>41450</v>
      </c>
      <c r="D1178" t="s">
        <v>25</v>
      </c>
      <c r="E1178">
        <v>5</v>
      </c>
      <c r="F1178" s="3">
        <f ca="1">41450+(RANDBETWEEN(1,10))</f>
        <v>41455</v>
      </c>
      <c r="G1178" t="s">
        <v>26</v>
      </c>
      <c r="H1178" t="s">
        <v>27</v>
      </c>
      <c r="I1178" t="s">
        <v>28</v>
      </c>
      <c r="J1178">
        <v>38.395000000000003</v>
      </c>
      <c r="K1178">
        <v>0.05</v>
      </c>
      <c r="L1178">
        <v>0.41</v>
      </c>
      <c r="M1178">
        <v>17.010000000000002</v>
      </c>
      <c r="N1178">
        <v>-94.108000000000004</v>
      </c>
      <c r="O1178" s="1" t="s">
        <v>40</v>
      </c>
      <c r="P1178" s="1" t="s">
        <v>826</v>
      </c>
      <c r="Q1178" s="1" t="s">
        <v>827</v>
      </c>
      <c r="R1178" s="1" t="s">
        <v>220</v>
      </c>
      <c r="S1178" s="1" t="s">
        <v>828</v>
      </c>
      <c r="T1178" s="1" t="s">
        <v>829</v>
      </c>
      <c r="U1178" s="2" t="s">
        <v>4017</v>
      </c>
      <c r="V1178" s="2" t="s">
        <v>83</v>
      </c>
      <c r="W1178" s="2" t="s">
        <v>178</v>
      </c>
      <c r="X1178" s="2">
        <v>6.16</v>
      </c>
    </row>
    <row r="1179" spans="1:24" x14ac:dyDescent="0.3">
      <c r="A1179">
        <v>19068</v>
      </c>
      <c r="B1179" t="s">
        <v>4018</v>
      </c>
      <c r="C1179" s="3">
        <v>41395</v>
      </c>
      <c r="D1179" t="s">
        <v>62</v>
      </c>
      <c r="E1179">
        <v>20</v>
      </c>
      <c r="F1179" s="3">
        <f ca="1">41400+(RANDBETWEEN(1,10))</f>
        <v>41410</v>
      </c>
      <c r="G1179" t="s">
        <v>76</v>
      </c>
      <c r="H1179" t="s">
        <v>258</v>
      </c>
      <c r="I1179" t="s">
        <v>28</v>
      </c>
      <c r="J1179">
        <v>5465.7749999999996</v>
      </c>
      <c r="K1179">
        <v>7.0000000000000007E-2</v>
      </c>
      <c r="L1179">
        <v>0.6</v>
      </c>
      <c r="M1179">
        <v>195.33500000000001</v>
      </c>
      <c r="N1179">
        <v>-5279.61</v>
      </c>
      <c r="O1179" s="1" t="s">
        <v>40</v>
      </c>
      <c r="P1179" s="1" t="s">
        <v>1014</v>
      </c>
      <c r="Q1179" s="1" t="s">
        <v>1015</v>
      </c>
      <c r="R1179" s="1" t="s">
        <v>43</v>
      </c>
      <c r="S1179" s="1" t="s">
        <v>1016</v>
      </c>
      <c r="T1179" s="1" t="s">
        <v>1017</v>
      </c>
      <c r="U1179" s="2" t="s">
        <v>4019</v>
      </c>
      <c r="V1179" s="2" t="s">
        <v>83</v>
      </c>
      <c r="W1179" s="2" t="s">
        <v>298</v>
      </c>
      <c r="X1179" s="2">
        <v>286.79000000000002</v>
      </c>
    </row>
    <row r="1180" spans="1:24" x14ac:dyDescent="0.3">
      <c r="A1180">
        <v>19069</v>
      </c>
      <c r="B1180" t="s">
        <v>4018</v>
      </c>
      <c r="C1180" s="3">
        <v>41395</v>
      </c>
      <c r="D1180" t="s">
        <v>62</v>
      </c>
      <c r="E1180">
        <v>16</v>
      </c>
      <c r="F1180" s="3">
        <f ca="1">41397+(RANDBETWEEN(1,10))</f>
        <v>41405</v>
      </c>
      <c r="G1180" t="s">
        <v>26</v>
      </c>
      <c r="H1180" t="s">
        <v>51</v>
      </c>
      <c r="I1180" t="s">
        <v>28</v>
      </c>
      <c r="J1180">
        <v>469.35</v>
      </c>
      <c r="K1180">
        <v>0.06</v>
      </c>
      <c r="L1180">
        <v>0.49</v>
      </c>
      <c r="M1180">
        <v>12.04</v>
      </c>
      <c r="N1180">
        <v>46.515000000000001</v>
      </c>
      <c r="O1180" s="1" t="s">
        <v>40</v>
      </c>
      <c r="P1180" s="1" t="s">
        <v>1014</v>
      </c>
      <c r="Q1180" s="1" t="s">
        <v>1015</v>
      </c>
      <c r="R1180" s="1" t="s">
        <v>43</v>
      </c>
      <c r="S1180" s="1" t="s">
        <v>1016</v>
      </c>
      <c r="T1180" s="1" t="s">
        <v>1017</v>
      </c>
      <c r="U1180" s="2" t="s">
        <v>4020</v>
      </c>
      <c r="V1180" s="2" t="s">
        <v>83</v>
      </c>
      <c r="W1180" s="2" t="s">
        <v>178</v>
      </c>
      <c r="X1180" s="2">
        <v>29.995000000000001</v>
      </c>
    </row>
    <row r="1181" spans="1:24" x14ac:dyDescent="0.3">
      <c r="A1181">
        <v>19070</v>
      </c>
      <c r="B1181" t="s">
        <v>4018</v>
      </c>
      <c r="C1181" s="3">
        <v>41395</v>
      </c>
      <c r="D1181" t="s">
        <v>25</v>
      </c>
      <c r="E1181">
        <v>16</v>
      </c>
      <c r="F1181" s="3">
        <f ca="1">41402+(RANDBETWEEN(1,10))</f>
        <v>41409</v>
      </c>
      <c r="G1181" t="s">
        <v>26</v>
      </c>
      <c r="H1181" t="s">
        <v>96</v>
      </c>
      <c r="I1181" t="s">
        <v>28</v>
      </c>
      <c r="J1181">
        <v>342.19499999999999</v>
      </c>
      <c r="K1181">
        <v>0.03</v>
      </c>
      <c r="L1181">
        <v>0.54</v>
      </c>
      <c r="M1181">
        <v>11.795</v>
      </c>
      <c r="N1181">
        <v>-99.015000000000001</v>
      </c>
      <c r="O1181" s="1" t="s">
        <v>40</v>
      </c>
      <c r="P1181" s="1" t="s">
        <v>1014</v>
      </c>
      <c r="Q1181" s="1" t="s">
        <v>1015</v>
      </c>
      <c r="R1181" s="1" t="s">
        <v>43</v>
      </c>
      <c r="S1181" s="1" t="s">
        <v>1016</v>
      </c>
      <c r="T1181" s="1" t="s">
        <v>1017</v>
      </c>
      <c r="U1181" s="2" t="s">
        <v>665</v>
      </c>
      <c r="V1181" s="2" t="s">
        <v>47</v>
      </c>
      <c r="W1181" s="2" t="s">
        <v>176</v>
      </c>
      <c r="X1181" s="2">
        <v>20.335000000000001</v>
      </c>
    </row>
    <row r="1182" spans="1:24" x14ac:dyDescent="0.3">
      <c r="A1182">
        <v>19071</v>
      </c>
      <c r="B1182" t="s">
        <v>4021</v>
      </c>
      <c r="C1182" s="3">
        <v>41056</v>
      </c>
      <c r="D1182" t="s">
        <v>25</v>
      </c>
      <c r="E1182">
        <v>17</v>
      </c>
      <c r="F1182" s="3">
        <f ca="1">41065+(RANDBETWEEN(1,10))</f>
        <v>41075</v>
      </c>
      <c r="G1182" t="s">
        <v>156</v>
      </c>
      <c r="H1182" t="s">
        <v>27</v>
      </c>
      <c r="I1182" t="s">
        <v>28</v>
      </c>
      <c r="J1182">
        <v>377.65</v>
      </c>
      <c r="K1182">
        <v>0.08</v>
      </c>
      <c r="L1182">
        <v>0.39</v>
      </c>
      <c r="M1182">
        <v>1.75</v>
      </c>
      <c r="N1182">
        <v>260.57850000000002</v>
      </c>
      <c r="O1182" s="1" t="s">
        <v>64</v>
      </c>
      <c r="P1182" s="1" t="s">
        <v>4022</v>
      </c>
      <c r="Q1182" s="1" t="s">
        <v>4023</v>
      </c>
      <c r="R1182" s="1" t="s">
        <v>128</v>
      </c>
      <c r="S1182" s="1" t="s">
        <v>4024</v>
      </c>
      <c r="T1182" s="1" t="s">
        <v>4025</v>
      </c>
      <c r="U1182" s="2" t="s">
        <v>2675</v>
      </c>
      <c r="V1182" s="2" t="s">
        <v>47</v>
      </c>
      <c r="W1182" s="2" t="s">
        <v>203</v>
      </c>
      <c r="X1182" s="2">
        <v>22.05</v>
      </c>
    </row>
    <row r="1183" spans="1:24" x14ac:dyDescent="0.3">
      <c r="A1183">
        <v>19072</v>
      </c>
      <c r="B1183" t="s">
        <v>4026</v>
      </c>
      <c r="C1183" s="3">
        <v>40697</v>
      </c>
      <c r="D1183" t="s">
        <v>25</v>
      </c>
      <c r="E1183">
        <v>17</v>
      </c>
      <c r="F1183" s="3">
        <f ca="1">40701+(RANDBETWEEN(1,10))</f>
        <v>40706</v>
      </c>
      <c r="G1183" t="s">
        <v>76</v>
      </c>
      <c r="H1183" t="s">
        <v>258</v>
      </c>
      <c r="I1183" t="s">
        <v>86</v>
      </c>
      <c r="J1183">
        <v>14302.75</v>
      </c>
      <c r="K1183">
        <v>0.08</v>
      </c>
      <c r="L1183">
        <v>0.61</v>
      </c>
      <c r="M1183">
        <v>233.345</v>
      </c>
      <c r="N1183">
        <v>483.77699999999999</v>
      </c>
      <c r="O1183" s="1" t="s">
        <v>87</v>
      </c>
      <c r="P1183" s="1" t="s">
        <v>4027</v>
      </c>
      <c r="Q1183" s="1" t="s">
        <v>4028</v>
      </c>
      <c r="R1183" s="1" t="s">
        <v>90</v>
      </c>
      <c r="S1183" s="1" t="s">
        <v>4029</v>
      </c>
      <c r="T1183" s="1" t="s">
        <v>4030</v>
      </c>
      <c r="U1183" s="2" t="s">
        <v>4031</v>
      </c>
      <c r="V1183" s="2" t="s">
        <v>83</v>
      </c>
      <c r="W1183" s="2" t="s">
        <v>263</v>
      </c>
      <c r="X1183" s="2">
        <v>908.98500000000001</v>
      </c>
    </row>
    <row r="1184" spans="1:24" x14ac:dyDescent="0.3">
      <c r="A1184">
        <v>19073</v>
      </c>
      <c r="B1184" t="s">
        <v>4032</v>
      </c>
      <c r="C1184" s="3">
        <v>40833</v>
      </c>
      <c r="D1184" t="s">
        <v>148</v>
      </c>
      <c r="E1184">
        <v>17</v>
      </c>
      <c r="F1184" s="3">
        <f ca="1">40833+(RANDBETWEEN(1,10))</f>
        <v>40839</v>
      </c>
      <c r="G1184" t="s">
        <v>26</v>
      </c>
      <c r="H1184" t="s">
        <v>281</v>
      </c>
      <c r="I1184" t="s">
        <v>52</v>
      </c>
      <c r="J1184">
        <v>1613.0450000000001</v>
      </c>
      <c r="K1184">
        <v>0.03</v>
      </c>
      <c r="L1184">
        <v>0.5</v>
      </c>
      <c r="M1184">
        <v>18.795000000000002</v>
      </c>
      <c r="N1184">
        <v>875.13160000000005</v>
      </c>
      <c r="O1184" s="1" t="s">
        <v>53</v>
      </c>
      <c r="P1184" s="1" t="s">
        <v>4033</v>
      </c>
      <c r="Q1184" s="1" t="s">
        <v>4034</v>
      </c>
      <c r="R1184" s="1" t="s">
        <v>100</v>
      </c>
      <c r="S1184" s="1" t="s">
        <v>4035</v>
      </c>
      <c r="T1184" s="1" t="s">
        <v>4036</v>
      </c>
      <c r="U1184" s="2" t="s">
        <v>3418</v>
      </c>
      <c r="V1184" s="2" t="s">
        <v>47</v>
      </c>
      <c r="W1184" s="2" t="s">
        <v>71</v>
      </c>
      <c r="X1184" s="2">
        <v>90.93</v>
      </c>
    </row>
    <row r="1185" spans="1:24" x14ac:dyDescent="0.3">
      <c r="A1185">
        <v>19074</v>
      </c>
      <c r="B1185" t="s">
        <v>4037</v>
      </c>
      <c r="C1185" s="3">
        <v>40546</v>
      </c>
      <c r="D1185" t="s">
        <v>39</v>
      </c>
      <c r="E1185">
        <v>7</v>
      </c>
      <c r="F1185" s="3">
        <f ca="1">40547+(RANDBETWEEN(1,10))</f>
        <v>40554</v>
      </c>
      <c r="G1185" t="s">
        <v>26</v>
      </c>
      <c r="H1185" t="s">
        <v>96</v>
      </c>
      <c r="I1185" t="s">
        <v>97</v>
      </c>
      <c r="J1185">
        <v>103.25</v>
      </c>
      <c r="K1185">
        <v>0.03</v>
      </c>
      <c r="L1185">
        <v>0.44</v>
      </c>
      <c r="M1185">
        <v>4.2</v>
      </c>
      <c r="N1185">
        <v>65.302999999999997</v>
      </c>
      <c r="O1185" s="1" t="s">
        <v>53</v>
      </c>
      <c r="P1185" s="1" t="s">
        <v>4038</v>
      </c>
      <c r="Q1185" s="1" t="s">
        <v>4039</v>
      </c>
      <c r="R1185" s="1" t="s">
        <v>100</v>
      </c>
      <c r="S1185" s="1" t="s">
        <v>4040</v>
      </c>
      <c r="T1185" s="1" t="s">
        <v>4041</v>
      </c>
      <c r="U1185" s="2" t="s">
        <v>103</v>
      </c>
      <c r="V1185" s="2" t="s">
        <v>47</v>
      </c>
      <c r="W1185" s="2" t="s">
        <v>104</v>
      </c>
      <c r="X1185" s="2">
        <v>14.91</v>
      </c>
    </row>
    <row r="1186" spans="1:24" x14ac:dyDescent="0.3">
      <c r="A1186">
        <v>19075</v>
      </c>
      <c r="B1186" t="s">
        <v>4042</v>
      </c>
      <c r="C1186" s="3">
        <v>41019</v>
      </c>
      <c r="D1186" t="s">
        <v>62</v>
      </c>
      <c r="E1186">
        <v>10</v>
      </c>
      <c r="F1186" s="3">
        <f ca="1">41022+(RANDBETWEEN(1,10))</f>
        <v>41031</v>
      </c>
      <c r="G1186" t="s">
        <v>26</v>
      </c>
      <c r="H1186" t="s">
        <v>96</v>
      </c>
      <c r="I1186" t="s">
        <v>86</v>
      </c>
      <c r="J1186">
        <v>1597.2950000000001</v>
      </c>
      <c r="K1186">
        <v>0.01</v>
      </c>
      <c r="L1186">
        <v>0.68</v>
      </c>
      <c r="M1186">
        <v>16.8</v>
      </c>
      <c r="N1186">
        <v>1102.13355</v>
      </c>
      <c r="O1186" s="1" t="s">
        <v>225</v>
      </c>
      <c r="P1186" s="1" t="s">
        <v>4043</v>
      </c>
      <c r="Q1186" s="1" t="s">
        <v>4044</v>
      </c>
      <c r="R1186" s="1" t="s">
        <v>391</v>
      </c>
      <c r="S1186" s="1" t="s">
        <v>4045</v>
      </c>
      <c r="T1186" s="1" t="s">
        <v>4046</v>
      </c>
      <c r="U1186" s="2" t="s">
        <v>4047</v>
      </c>
      <c r="V1186" s="2" t="s">
        <v>83</v>
      </c>
      <c r="W1186" s="2" t="s">
        <v>178</v>
      </c>
      <c r="X1186" s="2">
        <v>160.93</v>
      </c>
    </row>
    <row r="1187" spans="1:24" x14ac:dyDescent="0.3">
      <c r="A1187">
        <v>19076</v>
      </c>
      <c r="B1187" t="s">
        <v>4042</v>
      </c>
      <c r="C1187" s="3">
        <v>41019</v>
      </c>
      <c r="D1187" t="s">
        <v>62</v>
      </c>
      <c r="E1187">
        <v>6</v>
      </c>
      <c r="F1187" s="3">
        <f ca="1">41019+(RANDBETWEEN(1,10))</f>
        <v>41021</v>
      </c>
      <c r="G1187" t="s">
        <v>26</v>
      </c>
      <c r="H1187" t="s">
        <v>27</v>
      </c>
      <c r="I1187" t="s">
        <v>86</v>
      </c>
      <c r="J1187">
        <v>696.39499999999998</v>
      </c>
      <c r="K1187">
        <v>0.08</v>
      </c>
      <c r="L1187">
        <v>0.38</v>
      </c>
      <c r="M1187">
        <v>17.815000000000001</v>
      </c>
      <c r="N1187">
        <v>480.51254999999998</v>
      </c>
      <c r="O1187" s="1" t="s">
        <v>225</v>
      </c>
      <c r="P1187" s="1" t="s">
        <v>4043</v>
      </c>
      <c r="Q1187" s="1" t="s">
        <v>4044</v>
      </c>
      <c r="R1187" s="1" t="s">
        <v>391</v>
      </c>
      <c r="S1187" s="1" t="s">
        <v>4045</v>
      </c>
      <c r="T1187" s="1" t="s">
        <v>4046</v>
      </c>
      <c r="U1187" s="2" t="s">
        <v>4048</v>
      </c>
      <c r="V1187" s="2" t="s">
        <v>47</v>
      </c>
      <c r="W1187" s="2" t="s">
        <v>74</v>
      </c>
      <c r="X1187" s="2">
        <v>124.04</v>
      </c>
    </row>
    <row r="1188" spans="1:24" x14ac:dyDescent="0.3">
      <c r="A1188">
        <v>19077</v>
      </c>
      <c r="B1188" t="s">
        <v>4049</v>
      </c>
      <c r="C1188" s="3">
        <v>41004</v>
      </c>
      <c r="D1188" t="s">
        <v>25</v>
      </c>
      <c r="E1188">
        <v>13</v>
      </c>
      <c r="F1188" s="3">
        <f ca="1">41004+(RANDBETWEEN(1,10))</f>
        <v>41005</v>
      </c>
      <c r="G1188" t="s">
        <v>76</v>
      </c>
      <c r="H1188" t="s">
        <v>258</v>
      </c>
      <c r="I1188" t="s">
        <v>28</v>
      </c>
      <c r="J1188">
        <v>2594.5500000000002</v>
      </c>
      <c r="K1188">
        <v>0.06</v>
      </c>
      <c r="L1188">
        <v>0.61</v>
      </c>
      <c r="M1188">
        <v>128.13499999999999</v>
      </c>
      <c r="N1188">
        <v>-3041.08</v>
      </c>
      <c r="O1188" s="1" t="s">
        <v>225</v>
      </c>
      <c r="P1188" s="1" t="s">
        <v>3078</v>
      </c>
      <c r="Q1188" s="1" t="s">
        <v>3079</v>
      </c>
      <c r="R1188" s="1" t="s">
        <v>228</v>
      </c>
      <c r="S1188" s="1" t="s">
        <v>3080</v>
      </c>
      <c r="T1188" s="1" t="s">
        <v>598</v>
      </c>
      <c r="U1188" s="2" t="s">
        <v>4050</v>
      </c>
      <c r="V1188" s="2" t="s">
        <v>83</v>
      </c>
      <c r="W1188" s="2" t="s">
        <v>298</v>
      </c>
      <c r="X1188" s="2">
        <v>203.49</v>
      </c>
    </row>
    <row r="1189" spans="1:24" x14ac:dyDescent="0.3">
      <c r="A1189">
        <v>19078</v>
      </c>
      <c r="B1189" t="s">
        <v>4049</v>
      </c>
      <c r="C1189" s="3">
        <v>41004</v>
      </c>
      <c r="D1189" t="s">
        <v>25</v>
      </c>
      <c r="E1189">
        <v>4</v>
      </c>
      <c r="F1189" s="3">
        <f ca="1">41009+(RANDBETWEEN(1,10))</f>
        <v>41019</v>
      </c>
      <c r="G1189" t="s">
        <v>26</v>
      </c>
      <c r="H1189" t="s">
        <v>281</v>
      </c>
      <c r="I1189" t="s">
        <v>28</v>
      </c>
      <c r="J1189">
        <v>171.185</v>
      </c>
      <c r="K1189">
        <v>0.06</v>
      </c>
      <c r="L1189">
        <v>0.56999999999999995</v>
      </c>
      <c r="M1189">
        <v>21.945</v>
      </c>
      <c r="N1189">
        <v>-146.51</v>
      </c>
      <c r="O1189" s="1" t="s">
        <v>225</v>
      </c>
      <c r="P1189" s="1" t="s">
        <v>3078</v>
      </c>
      <c r="Q1189" s="1" t="s">
        <v>3079</v>
      </c>
      <c r="R1189" s="1" t="s">
        <v>228</v>
      </c>
      <c r="S1189" s="1" t="s">
        <v>3080</v>
      </c>
      <c r="T1189" s="1" t="s">
        <v>598</v>
      </c>
      <c r="U1189" s="2" t="s">
        <v>517</v>
      </c>
      <c r="V1189" s="2" t="s">
        <v>47</v>
      </c>
      <c r="W1189" s="2" t="s">
        <v>119</v>
      </c>
      <c r="X1189" s="2">
        <v>43.54</v>
      </c>
    </row>
    <row r="1190" spans="1:24" x14ac:dyDescent="0.3">
      <c r="A1190">
        <v>19079</v>
      </c>
      <c r="B1190" t="s">
        <v>4051</v>
      </c>
      <c r="C1190" s="3">
        <v>40981</v>
      </c>
      <c r="D1190" t="s">
        <v>148</v>
      </c>
      <c r="E1190">
        <v>9</v>
      </c>
      <c r="F1190" s="3">
        <f ca="1">40982+(RANDBETWEEN(1,10))</f>
        <v>40988</v>
      </c>
      <c r="G1190" t="s">
        <v>26</v>
      </c>
      <c r="H1190" t="s">
        <v>96</v>
      </c>
      <c r="I1190" t="s">
        <v>28</v>
      </c>
      <c r="J1190">
        <v>310.065</v>
      </c>
      <c r="K1190">
        <v>0.05</v>
      </c>
      <c r="L1190">
        <v>0.43</v>
      </c>
      <c r="M1190">
        <v>3.8149999999999999</v>
      </c>
      <c r="N1190">
        <v>213.94485</v>
      </c>
      <c r="O1190" s="1" t="s">
        <v>40</v>
      </c>
      <c r="P1190" s="1" t="s">
        <v>4052</v>
      </c>
      <c r="Q1190" s="1" t="s">
        <v>4053</v>
      </c>
      <c r="R1190" s="1" t="s">
        <v>43</v>
      </c>
      <c r="S1190" s="1" t="s">
        <v>4054</v>
      </c>
      <c r="T1190" s="1" t="s">
        <v>4055</v>
      </c>
      <c r="U1190" s="2" t="s">
        <v>1067</v>
      </c>
      <c r="V1190" s="2" t="s">
        <v>47</v>
      </c>
      <c r="W1190" s="2" t="s">
        <v>104</v>
      </c>
      <c r="X1190" s="2">
        <v>34.755000000000003</v>
      </c>
    </row>
    <row r="1191" spans="1:24" x14ac:dyDescent="0.3">
      <c r="A1191">
        <v>19080</v>
      </c>
      <c r="B1191" t="s">
        <v>4051</v>
      </c>
      <c r="C1191" s="3">
        <v>40981</v>
      </c>
      <c r="D1191" t="s">
        <v>148</v>
      </c>
      <c r="E1191">
        <v>6</v>
      </c>
      <c r="F1191" s="3">
        <f ca="1">40983+(RANDBETWEEN(1,10))</f>
        <v>40986</v>
      </c>
      <c r="G1191" t="s">
        <v>26</v>
      </c>
      <c r="H1191" t="s">
        <v>27</v>
      </c>
      <c r="I1191" t="s">
        <v>28</v>
      </c>
      <c r="J1191">
        <v>127.08499999999999</v>
      </c>
      <c r="K1191">
        <v>0.04</v>
      </c>
      <c r="L1191">
        <v>0.36</v>
      </c>
      <c r="M1191">
        <v>25.024999999999999</v>
      </c>
      <c r="N1191">
        <v>-303.55500000000001</v>
      </c>
      <c r="O1191" s="1" t="s">
        <v>53</v>
      </c>
      <c r="P1191" s="1" t="s">
        <v>4056</v>
      </c>
      <c r="Q1191" s="1" t="s">
        <v>4057</v>
      </c>
      <c r="R1191" s="1" t="s">
        <v>440</v>
      </c>
      <c r="S1191" s="1" t="s">
        <v>3003</v>
      </c>
      <c r="T1191" s="1" t="s">
        <v>3004</v>
      </c>
      <c r="U1191" s="2" t="s">
        <v>1746</v>
      </c>
      <c r="V1191" s="2" t="s">
        <v>47</v>
      </c>
      <c r="W1191" s="2" t="s">
        <v>74</v>
      </c>
      <c r="X1191" s="2">
        <v>20.93</v>
      </c>
    </row>
    <row r="1192" spans="1:24" x14ac:dyDescent="0.3">
      <c r="A1192">
        <v>19081</v>
      </c>
      <c r="B1192" t="s">
        <v>4051</v>
      </c>
      <c r="C1192" s="3">
        <v>40981</v>
      </c>
      <c r="D1192" t="s">
        <v>148</v>
      </c>
      <c r="E1192">
        <v>4</v>
      </c>
      <c r="F1192" s="3">
        <f ca="1">40983+(RANDBETWEEN(1,10))</f>
        <v>40985</v>
      </c>
      <c r="G1192" t="s">
        <v>76</v>
      </c>
      <c r="H1192" t="s">
        <v>77</v>
      </c>
      <c r="I1192" t="s">
        <v>28</v>
      </c>
      <c r="J1192">
        <v>1772.7850000000001</v>
      </c>
      <c r="K1192">
        <v>0.1</v>
      </c>
      <c r="L1192">
        <v>0.76</v>
      </c>
      <c r="M1192">
        <v>100.205</v>
      </c>
      <c r="N1192">
        <v>-1251.7750000000001</v>
      </c>
      <c r="O1192" s="1" t="s">
        <v>64</v>
      </c>
      <c r="P1192" s="1" t="s">
        <v>4058</v>
      </c>
      <c r="Q1192" s="1" t="s">
        <v>4059</v>
      </c>
      <c r="R1192" s="1" t="s">
        <v>67</v>
      </c>
      <c r="S1192" s="1" t="s">
        <v>4060</v>
      </c>
      <c r="T1192" s="1" t="s">
        <v>4061</v>
      </c>
      <c r="U1192" s="2" t="s">
        <v>4062</v>
      </c>
      <c r="V1192" s="2" t="s">
        <v>83</v>
      </c>
      <c r="W1192" s="2" t="s">
        <v>84</v>
      </c>
      <c r="X1192" s="2">
        <v>475.96499999999997</v>
      </c>
    </row>
    <row r="1193" spans="1:24" x14ac:dyDescent="0.3">
      <c r="A1193">
        <v>19082</v>
      </c>
      <c r="B1193" t="s">
        <v>4063</v>
      </c>
      <c r="C1193" s="3">
        <v>41721</v>
      </c>
      <c r="D1193" t="s">
        <v>25</v>
      </c>
      <c r="E1193">
        <v>13</v>
      </c>
      <c r="F1193" s="3">
        <f ca="1">41728+(RANDBETWEEN(1,10))</f>
        <v>41735</v>
      </c>
      <c r="G1193" t="s">
        <v>26</v>
      </c>
      <c r="H1193" t="s">
        <v>27</v>
      </c>
      <c r="I1193" t="s">
        <v>28</v>
      </c>
      <c r="J1193">
        <v>2544.9549999999999</v>
      </c>
      <c r="K1193">
        <v>0.01</v>
      </c>
      <c r="L1193">
        <v>0.59</v>
      </c>
      <c r="M1193">
        <v>17.78</v>
      </c>
      <c r="N1193">
        <v>-481.67</v>
      </c>
      <c r="O1193" s="1" t="s">
        <v>64</v>
      </c>
      <c r="P1193" s="1" t="s">
        <v>2942</v>
      </c>
      <c r="Q1193" s="1" t="s">
        <v>2943</v>
      </c>
      <c r="R1193" s="1" t="s">
        <v>67</v>
      </c>
      <c r="S1193" s="1" t="s">
        <v>2944</v>
      </c>
      <c r="T1193" s="1" t="s">
        <v>2945</v>
      </c>
      <c r="U1193" s="2" t="s">
        <v>3832</v>
      </c>
      <c r="V1193" s="2" t="s">
        <v>47</v>
      </c>
      <c r="W1193" s="2" t="s">
        <v>119</v>
      </c>
      <c r="X1193" s="2">
        <v>193.51499999999999</v>
      </c>
    </row>
    <row r="1194" spans="1:24" x14ac:dyDescent="0.3">
      <c r="A1194">
        <v>19083</v>
      </c>
      <c r="B1194" t="s">
        <v>4064</v>
      </c>
      <c r="C1194" s="3">
        <v>41167</v>
      </c>
      <c r="D1194" t="s">
        <v>25</v>
      </c>
      <c r="E1194">
        <v>5</v>
      </c>
      <c r="F1194" s="3">
        <f ca="1">41167+(RANDBETWEEN(1,10))</f>
        <v>41173</v>
      </c>
      <c r="G1194" t="s">
        <v>76</v>
      </c>
      <c r="H1194" t="s">
        <v>77</v>
      </c>
      <c r="I1194" t="s">
        <v>52</v>
      </c>
      <c r="J1194">
        <v>2536.1350000000002</v>
      </c>
      <c r="K1194">
        <v>0.06</v>
      </c>
      <c r="L1194">
        <v>0.74</v>
      </c>
      <c r="M1194">
        <v>105</v>
      </c>
      <c r="N1194">
        <v>-945</v>
      </c>
      <c r="O1194" s="1" t="s">
        <v>40</v>
      </c>
      <c r="P1194" s="1" t="s">
        <v>4065</v>
      </c>
      <c r="Q1194" s="1" t="s">
        <v>4066</v>
      </c>
      <c r="R1194" s="1" t="s">
        <v>43</v>
      </c>
      <c r="S1194" s="1" t="s">
        <v>4067</v>
      </c>
      <c r="T1194" s="1" t="s">
        <v>4068</v>
      </c>
      <c r="U1194" s="2" t="s">
        <v>4069</v>
      </c>
      <c r="V1194" s="2" t="s">
        <v>83</v>
      </c>
      <c r="W1194" s="2" t="s">
        <v>84</v>
      </c>
      <c r="X1194" s="2">
        <v>528.42999999999995</v>
      </c>
    </row>
    <row r="1195" spans="1:24" x14ac:dyDescent="0.3">
      <c r="A1195">
        <v>19084</v>
      </c>
      <c r="B1195" t="s">
        <v>4070</v>
      </c>
      <c r="C1195" s="3">
        <v>41171</v>
      </c>
      <c r="D1195" t="s">
        <v>25</v>
      </c>
      <c r="E1195">
        <v>5</v>
      </c>
      <c r="F1195" s="3">
        <f ca="1">41173+(RANDBETWEEN(1,10))</f>
        <v>41176</v>
      </c>
      <c r="G1195" t="s">
        <v>26</v>
      </c>
      <c r="H1195" t="s">
        <v>27</v>
      </c>
      <c r="I1195" t="s">
        <v>86</v>
      </c>
      <c r="J1195">
        <v>261.20499999999998</v>
      </c>
      <c r="K1195">
        <v>0.08</v>
      </c>
      <c r="L1195">
        <v>0.39</v>
      </c>
      <c r="M1195">
        <v>29.4</v>
      </c>
      <c r="N1195">
        <v>-93.822749999999999</v>
      </c>
      <c r="O1195" s="1" t="s">
        <v>87</v>
      </c>
      <c r="P1195" s="1" t="s">
        <v>2575</v>
      </c>
      <c r="Q1195" s="1" t="s">
        <v>2576</v>
      </c>
      <c r="R1195" s="1" t="s">
        <v>398</v>
      </c>
      <c r="S1195" s="1" t="s">
        <v>2577</v>
      </c>
      <c r="T1195" s="1" t="s">
        <v>2578</v>
      </c>
      <c r="U1195" s="2" t="s">
        <v>110</v>
      </c>
      <c r="V1195" s="2" t="s">
        <v>47</v>
      </c>
      <c r="W1195" s="2" t="s">
        <v>111</v>
      </c>
      <c r="X1195" s="2">
        <v>52.534999999999997</v>
      </c>
    </row>
    <row r="1196" spans="1:24" x14ac:dyDescent="0.3">
      <c r="A1196">
        <v>19085</v>
      </c>
      <c r="B1196" t="s">
        <v>4070</v>
      </c>
      <c r="C1196" s="3">
        <v>41171</v>
      </c>
      <c r="D1196" t="s">
        <v>25</v>
      </c>
      <c r="E1196">
        <v>1</v>
      </c>
      <c r="F1196" s="3">
        <f ca="1">41173+(RANDBETWEEN(1,10))</f>
        <v>41178</v>
      </c>
      <c r="G1196" t="s">
        <v>26</v>
      </c>
      <c r="H1196" t="s">
        <v>27</v>
      </c>
      <c r="I1196" t="s">
        <v>86</v>
      </c>
      <c r="J1196">
        <v>35.49</v>
      </c>
      <c r="K1196">
        <v>0.04</v>
      </c>
      <c r="L1196">
        <v>0.39</v>
      </c>
      <c r="M1196">
        <v>18.34</v>
      </c>
      <c r="N1196">
        <v>-26.645499999999998</v>
      </c>
      <c r="O1196" s="1" t="s">
        <v>87</v>
      </c>
      <c r="P1196" s="1" t="s">
        <v>2575</v>
      </c>
      <c r="Q1196" s="1" t="s">
        <v>2576</v>
      </c>
      <c r="R1196" s="1" t="s">
        <v>398</v>
      </c>
      <c r="S1196" s="1" t="s">
        <v>2577</v>
      </c>
      <c r="T1196" s="1" t="s">
        <v>2578</v>
      </c>
      <c r="U1196" s="2" t="s">
        <v>112</v>
      </c>
      <c r="V1196" s="2" t="s">
        <v>47</v>
      </c>
      <c r="W1196" s="2" t="s">
        <v>111</v>
      </c>
      <c r="X1196" s="2">
        <v>16.87</v>
      </c>
    </row>
    <row r="1197" spans="1:24" x14ac:dyDescent="0.3">
      <c r="A1197">
        <v>19086</v>
      </c>
      <c r="B1197" t="s">
        <v>4071</v>
      </c>
      <c r="C1197" s="3">
        <v>41232</v>
      </c>
      <c r="D1197" t="s">
        <v>39</v>
      </c>
      <c r="E1197">
        <v>13</v>
      </c>
      <c r="F1197" s="3">
        <f ca="1">41234+(RANDBETWEEN(1,10))</f>
        <v>41243</v>
      </c>
      <c r="G1197" t="s">
        <v>26</v>
      </c>
      <c r="H1197" t="s">
        <v>96</v>
      </c>
      <c r="I1197" t="s">
        <v>52</v>
      </c>
      <c r="J1197">
        <v>114.345</v>
      </c>
      <c r="K1197">
        <v>0.1</v>
      </c>
      <c r="L1197">
        <v>0.38</v>
      </c>
      <c r="M1197">
        <v>24.815000000000001</v>
      </c>
      <c r="N1197">
        <v>56.756</v>
      </c>
      <c r="O1197" s="1" t="s">
        <v>29</v>
      </c>
      <c r="P1197" s="1" t="s">
        <v>2135</v>
      </c>
      <c r="Q1197" s="1" t="s">
        <v>2136</v>
      </c>
      <c r="R1197" s="1" t="s">
        <v>32</v>
      </c>
      <c r="S1197" s="1" t="s">
        <v>2137</v>
      </c>
      <c r="T1197" s="1" t="s">
        <v>2138</v>
      </c>
      <c r="U1197" s="2" t="s">
        <v>117</v>
      </c>
      <c r="V1197" s="2" t="s">
        <v>47</v>
      </c>
      <c r="W1197" s="2" t="s">
        <v>74</v>
      </c>
      <c r="X1197" s="2">
        <v>7.63</v>
      </c>
    </row>
    <row r="1198" spans="1:24" x14ac:dyDescent="0.3">
      <c r="A1198">
        <v>19087</v>
      </c>
      <c r="B1198" t="s">
        <v>4071</v>
      </c>
      <c r="C1198" s="3">
        <v>41232</v>
      </c>
      <c r="D1198" t="s">
        <v>39</v>
      </c>
      <c r="E1198">
        <v>40</v>
      </c>
      <c r="F1198" s="3">
        <f ca="1">41234+(RANDBETWEEN(1,10))</f>
        <v>41235</v>
      </c>
      <c r="G1198" t="s">
        <v>26</v>
      </c>
      <c r="H1198" t="s">
        <v>27</v>
      </c>
      <c r="I1198" t="s">
        <v>52</v>
      </c>
      <c r="J1198">
        <v>3156.6149999999998</v>
      </c>
      <c r="K1198">
        <v>0.01</v>
      </c>
      <c r="L1198">
        <v>0.66</v>
      </c>
      <c r="M1198">
        <v>18.97</v>
      </c>
      <c r="N1198">
        <v>864.09400000000005</v>
      </c>
      <c r="O1198" s="1" t="s">
        <v>29</v>
      </c>
      <c r="P1198" s="1" t="s">
        <v>2135</v>
      </c>
      <c r="Q1198" s="1" t="s">
        <v>2136</v>
      </c>
      <c r="R1198" s="1" t="s">
        <v>32</v>
      </c>
      <c r="S1198" s="1" t="s">
        <v>2137</v>
      </c>
      <c r="T1198" s="1" t="s">
        <v>2138</v>
      </c>
      <c r="U1198" s="2" t="s">
        <v>118</v>
      </c>
      <c r="V1198" s="2" t="s">
        <v>47</v>
      </c>
      <c r="W1198" s="2" t="s">
        <v>119</v>
      </c>
      <c r="X1198" s="2">
        <v>73.430000000000007</v>
      </c>
    </row>
    <row r="1199" spans="1:24" x14ac:dyDescent="0.3">
      <c r="A1199">
        <v>19088</v>
      </c>
      <c r="B1199" t="s">
        <v>4072</v>
      </c>
      <c r="C1199" s="3">
        <v>41734</v>
      </c>
      <c r="D1199" t="s">
        <v>62</v>
      </c>
      <c r="E1199">
        <v>6</v>
      </c>
      <c r="F1199" s="3">
        <f ca="1">41736+(RANDBETWEEN(1,10))</f>
        <v>41737</v>
      </c>
      <c r="G1199" t="s">
        <v>26</v>
      </c>
      <c r="H1199" t="s">
        <v>27</v>
      </c>
      <c r="I1199" t="s">
        <v>86</v>
      </c>
      <c r="J1199">
        <v>691.81</v>
      </c>
      <c r="K1199">
        <v>0.1</v>
      </c>
      <c r="L1199">
        <v>0.37</v>
      </c>
      <c r="M1199">
        <v>51.52</v>
      </c>
      <c r="N1199">
        <v>183.11125000000001</v>
      </c>
      <c r="O1199" s="1" t="s">
        <v>29</v>
      </c>
      <c r="P1199" s="1" t="s">
        <v>3889</v>
      </c>
      <c r="Q1199" s="1" t="s">
        <v>3890</v>
      </c>
      <c r="R1199" s="1" t="s">
        <v>32</v>
      </c>
      <c r="S1199" s="1" t="s">
        <v>3891</v>
      </c>
      <c r="T1199" s="1" t="s">
        <v>3892</v>
      </c>
      <c r="U1199" s="2" t="s">
        <v>4073</v>
      </c>
      <c r="V1199" s="2" t="s">
        <v>47</v>
      </c>
      <c r="W1199" s="2" t="s">
        <v>111</v>
      </c>
      <c r="X1199" s="2">
        <v>120.89</v>
      </c>
    </row>
    <row r="1200" spans="1:24" x14ac:dyDescent="0.3">
      <c r="A1200">
        <v>19089</v>
      </c>
      <c r="B1200" t="s">
        <v>4074</v>
      </c>
      <c r="C1200" s="3">
        <v>41428</v>
      </c>
      <c r="D1200" t="s">
        <v>148</v>
      </c>
      <c r="E1200">
        <v>11</v>
      </c>
      <c r="F1200" s="3">
        <f ca="1">41430+(RANDBETWEEN(1,10))</f>
        <v>41438</v>
      </c>
      <c r="G1200" t="s">
        <v>156</v>
      </c>
      <c r="H1200" t="s">
        <v>27</v>
      </c>
      <c r="I1200" t="s">
        <v>52</v>
      </c>
      <c r="J1200">
        <v>281.12</v>
      </c>
      <c r="K1200">
        <v>0</v>
      </c>
      <c r="L1200">
        <v>0.37</v>
      </c>
      <c r="M1200">
        <v>18.2</v>
      </c>
      <c r="N1200">
        <v>-65.352000000000004</v>
      </c>
      <c r="O1200" s="1" t="s">
        <v>40</v>
      </c>
      <c r="P1200" s="1" t="s">
        <v>4075</v>
      </c>
      <c r="Q1200" s="1" t="s">
        <v>4076</v>
      </c>
      <c r="R1200" s="1" t="s">
        <v>220</v>
      </c>
      <c r="S1200" s="1" t="s">
        <v>4077</v>
      </c>
      <c r="T1200" s="1" t="s">
        <v>4078</v>
      </c>
      <c r="U1200" s="2" t="s">
        <v>4079</v>
      </c>
      <c r="V1200" s="2" t="s">
        <v>47</v>
      </c>
      <c r="W1200" s="2" t="s">
        <v>74</v>
      </c>
      <c r="X1200" s="2">
        <v>23.38</v>
      </c>
    </row>
    <row r="1201" spans="1:24" x14ac:dyDescent="0.3">
      <c r="A1201">
        <v>19090</v>
      </c>
      <c r="B1201" t="s">
        <v>4080</v>
      </c>
      <c r="C1201" s="3">
        <v>41681</v>
      </c>
      <c r="D1201" t="s">
        <v>25</v>
      </c>
      <c r="E1201">
        <v>1</v>
      </c>
      <c r="F1201" s="3">
        <f ca="1">41681+(RANDBETWEEN(1,10))</f>
        <v>41687</v>
      </c>
      <c r="G1201" t="s">
        <v>26</v>
      </c>
      <c r="H1201" t="s">
        <v>27</v>
      </c>
      <c r="I1201" t="s">
        <v>28</v>
      </c>
      <c r="J1201">
        <v>574.38499999999999</v>
      </c>
      <c r="K1201">
        <v>0.09</v>
      </c>
      <c r="L1201">
        <v>0.6</v>
      </c>
      <c r="M1201">
        <v>31.465</v>
      </c>
      <c r="N1201">
        <v>-2800.875</v>
      </c>
      <c r="O1201" s="1" t="s">
        <v>53</v>
      </c>
      <c r="P1201" s="1" t="s">
        <v>4081</v>
      </c>
      <c r="Q1201" s="1" t="s">
        <v>4082</v>
      </c>
      <c r="R1201" s="1" t="s">
        <v>440</v>
      </c>
      <c r="S1201" s="1" t="s">
        <v>4083</v>
      </c>
      <c r="T1201" s="1" t="s">
        <v>3397</v>
      </c>
      <c r="U1201" s="2" t="s">
        <v>2580</v>
      </c>
      <c r="V1201" s="2" t="s">
        <v>36</v>
      </c>
      <c r="W1201" s="2" t="s">
        <v>37</v>
      </c>
      <c r="X1201" s="2">
        <v>720.96500000000003</v>
      </c>
    </row>
    <row r="1202" spans="1:24" x14ac:dyDescent="0.3">
      <c r="A1202">
        <v>19091</v>
      </c>
      <c r="B1202" t="s">
        <v>4080</v>
      </c>
      <c r="C1202" s="3">
        <v>41681</v>
      </c>
      <c r="D1202" t="s">
        <v>25</v>
      </c>
      <c r="E1202">
        <v>9</v>
      </c>
      <c r="F1202" s="3">
        <f ca="1">41681+(RANDBETWEEN(1,10))</f>
        <v>41683</v>
      </c>
      <c r="G1202" t="s">
        <v>26</v>
      </c>
      <c r="H1202" t="s">
        <v>27</v>
      </c>
      <c r="I1202" t="s">
        <v>28</v>
      </c>
      <c r="J1202">
        <v>2998.87</v>
      </c>
      <c r="K1202">
        <v>0.09</v>
      </c>
      <c r="L1202">
        <v>0.52</v>
      </c>
      <c r="M1202">
        <v>69.965000000000003</v>
      </c>
      <c r="N1202">
        <v>-936.98779999999999</v>
      </c>
      <c r="O1202" s="1" t="s">
        <v>53</v>
      </c>
      <c r="P1202" s="1" t="s">
        <v>4084</v>
      </c>
      <c r="Q1202" s="1" t="s">
        <v>4085</v>
      </c>
      <c r="R1202" s="1" t="s">
        <v>56</v>
      </c>
      <c r="S1202" s="1" t="s">
        <v>4086</v>
      </c>
      <c r="T1202" s="1" t="s">
        <v>4087</v>
      </c>
      <c r="U1202" s="2" t="s">
        <v>4088</v>
      </c>
      <c r="V1202" s="2" t="s">
        <v>36</v>
      </c>
      <c r="W1202" s="2" t="s">
        <v>142</v>
      </c>
      <c r="X1202" s="2">
        <v>349.96499999999997</v>
      </c>
    </row>
    <row r="1203" spans="1:24" x14ac:dyDescent="0.3">
      <c r="A1203">
        <v>19092</v>
      </c>
      <c r="B1203" t="s">
        <v>4089</v>
      </c>
      <c r="C1203" s="3">
        <v>41753</v>
      </c>
      <c r="D1203" t="s">
        <v>39</v>
      </c>
      <c r="E1203">
        <v>7</v>
      </c>
      <c r="F1203" s="3">
        <f ca="1">41754+(RANDBETWEEN(1,10))</f>
        <v>41759</v>
      </c>
      <c r="G1203" t="s">
        <v>26</v>
      </c>
      <c r="H1203" t="s">
        <v>27</v>
      </c>
      <c r="I1203" t="s">
        <v>86</v>
      </c>
      <c r="J1203">
        <v>107.24</v>
      </c>
      <c r="K1203">
        <v>0.06</v>
      </c>
      <c r="L1203">
        <v>0.6</v>
      </c>
      <c r="M1203">
        <v>24.114999999999998</v>
      </c>
      <c r="N1203">
        <v>-467.67</v>
      </c>
      <c r="O1203" s="1" t="s">
        <v>87</v>
      </c>
      <c r="P1203" s="1" t="s">
        <v>4090</v>
      </c>
      <c r="Q1203" s="1" t="s">
        <v>4091</v>
      </c>
      <c r="R1203" s="1" t="s">
        <v>646</v>
      </c>
      <c r="S1203" s="1" t="s">
        <v>4092</v>
      </c>
      <c r="T1203" s="1" t="s">
        <v>3447</v>
      </c>
      <c r="U1203" s="2" t="s">
        <v>3815</v>
      </c>
      <c r="V1203" s="2" t="s">
        <v>47</v>
      </c>
      <c r="W1203" s="2" t="s">
        <v>71</v>
      </c>
      <c r="X1203" s="2">
        <v>14.21</v>
      </c>
    </row>
    <row r="1204" spans="1:24" x14ac:dyDescent="0.3">
      <c r="A1204">
        <v>19093</v>
      </c>
      <c r="B1204" t="s">
        <v>4093</v>
      </c>
      <c r="C1204" s="3">
        <v>41658</v>
      </c>
      <c r="D1204" t="s">
        <v>39</v>
      </c>
      <c r="E1204">
        <v>9</v>
      </c>
      <c r="F1204" s="3">
        <f ca="1">41658+(RANDBETWEEN(1,10))</f>
        <v>41667</v>
      </c>
      <c r="G1204" t="s">
        <v>26</v>
      </c>
      <c r="H1204" t="s">
        <v>27</v>
      </c>
      <c r="I1204" t="s">
        <v>28</v>
      </c>
      <c r="J1204">
        <v>360.15</v>
      </c>
      <c r="K1204">
        <v>0.01</v>
      </c>
      <c r="L1204">
        <v>0.57999999999999996</v>
      </c>
      <c r="M1204">
        <v>13.965</v>
      </c>
      <c r="N1204">
        <v>-663.46</v>
      </c>
      <c r="O1204" s="1" t="s">
        <v>87</v>
      </c>
      <c r="P1204" s="1" t="s">
        <v>4094</v>
      </c>
      <c r="Q1204" s="1" t="s">
        <v>4095</v>
      </c>
      <c r="R1204" s="1" t="s">
        <v>90</v>
      </c>
      <c r="S1204" s="1" t="s">
        <v>4096</v>
      </c>
      <c r="T1204" s="1" t="s">
        <v>4097</v>
      </c>
      <c r="U1204" s="2" t="s">
        <v>4098</v>
      </c>
      <c r="V1204" s="2" t="s">
        <v>47</v>
      </c>
      <c r="W1204" s="2" t="s">
        <v>71</v>
      </c>
      <c r="X1204" s="2">
        <v>38.43</v>
      </c>
    </row>
    <row r="1205" spans="1:24" x14ac:dyDescent="0.3">
      <c r="A1205">
        <v>19094</v>
      </c>
      <c r="B1205" t="s">
        <v>4093</v>
      </c>
      <c r="C1205" s="3">
        <v>41658</v>
      </c>
      <c r="D1205" t="s">
        <v>39</v>
      </c>
      <c r="E1205">
        <v>4</v>
      </c>
      <c r="F1205" s="3">
        <f ca="1">41659+(RANDBETWEEN(1,10))</f>
        <v>41666</v>
      </c>
      <c r="G1205" t="s">
        <v>26</v>
      </c>
      <c r="H1205" t="s">
        <v>51</v>
      </c>
      <c r="I1205" t="s">
        <v>28</v>
      </c>
      <c r="J1205">
        <v>256.76</v>
      </c>
      <c r="K1205">
        <v>0.02</v>
      </c>
      <c r="L1205">
        <v>0.56000000000000005</v>
      </c>
      <c r="M1205">
        <v>31.465</v>
      </c>
      <c r="N1205">
        <v>3444.6194999999998</v>
      </c>
      <c r="O1205" s="1" t="s">
        <v>87</v>
      </c>
      <c r="P1205" s="1" t="s">
        <v>4094</v>
      </c>
      <c r="Q1205" s="1" t="s">
        <v>4095</v>
      </c>
      <c r="R1205" s="1" t="s">
        <v>90</v>
      </c>
      <c r="S1205" s="1" t="s">
        <v>4096</v>
      </c>
      <c r="T1205" s="1" t="s">
        <v>4097</v>
      </c>
      <c r="U1205" s="2" t="s">
        <v>4099</v>
      </c>
      <c r="V1205" s="2" t="s">
        <v>47</v>
      </c>
      <c r="W1205" s="2" t="s">
        <v>104</v>
      </c>
      <c r="X1205" s="2">
        <v>59.465000000000003</v>
      </c>
    </row>
    <row r="1206" spans="1:24" x14ac:dyDescent="0.3">
      <c r="A1206">
        <v>19095</v>
      </c>
      <c r="B1206" t="s">
        <v>4093</v>
      </c>
      <c r="C1206" s="3">
        <v>41658</v>
      </c>
      <c r="D1206" t="s">
        <v>39</v>
      </c>
      <c r="E1206">
        <v>10</v>
      </c>
      <c r="F1206" s="3">
        <f ca="1">41660+(RANDBETWEEN(1,10))</f>
        <v>41667</v>
      </c>
      <c r="G1206" t="s">
        <v>76</v>
      </c>
      <c r="H1206" t="s">
        <v>258</v>
      </c>
      <c r="I1206" t="s">
        <v>28</v>
      </c>
      <c r="J1206">
        <v>1561.77</v>
      </c>
      <c r="K1206">
        <v>0.08</v>
      </c>
      <c r="L1206">
        <v>0.67</v>
      </c>
      <c r="M1206">
        <v>163.065</v>
      </c>
      <c r="N1206">
        <v>598.91999999999996</v>
      </c>
      <c r="O1206" s="1" t="s">
        <v>87</v>
      </c>
      <c r="P1206" s="1" t="s">
        <v>4094</v>
      </c>
      <c r="Q1206" s="1" t="s">
        <v>4095</v>
      </c>
      <c r="R1206" s="1" t="s">
        <v>90</v>
      </c>
      <c r="S1206" s="1" t="s">
        <v>4096</v>
      </c>
      <c r="T1206" s="1" t="s">
        <v>4097</v>
      </c>
      <c r="U1206" s="2" t="s">
        <v>4100</v>
      </c>
      <c r="V1206" s="2" t="s">
        <v>83</v>
      </c>
      <c r="W1206" s="2" t="s">
        <v>263</v>
      </c>
      <c r="X1206" s="2">
        <v>155.505</v>
      </c>
    </row>
    <row r="1207" spans="1:24" x14ac:dyDescent="0.3">
      <c r="A1207">
        <v>19096</v>
      </c>
      <c r="B1207" t="s">
        <v>4101</v>
      </c>
      <c r="C1207" s="3">
        <v>41699</v>
      </c>
      <c r="D1207" t="s">
        <v>148</v>
      </c>
      <c r="E1207">
        <v>2</v>
      </c>
      <c r="F1207" s="3">
        <f ca="1">41701+(RANDBETWEEN(1,10))</f>
        <v>41705</v>
      </c>
      <c r="G1207" t="s">
        <v>26</v>
      </c>
      <c r="H1207" t="s">
        <v>281</v>
      </c>
      <c r="I1207" t="s">
        <v>28</v>
      </c>
      <c r="J1207">
        <v>104.37</v>
      </c>
      <c r="K1207">
        <v>7.0000000000000007E-2</v>
      </c>
      <c r="L1207">
        <v>0.52</v>
      </c>
      <c r="M1207">
        <v>23.625</v>
      </c>
      <c r="N1207">
        <v>-84.7</v>
      </c>
      <c r="O1207" s="1" t="s">
        <v>53</v>
      </c>
      <c r="P1207" s="1" t="s">
        <v>4102</v>
      </c>
      <c r="Q1207" s="1" t="s">
        <v>4103</v>
      </c>
      <c r="R1207" s="1" t="s">
        <v>56</v>
      </c>
      <c r="S1207" s="1" t="s">
        <v>4104</v>
      </c>
      <c r="T1207" s="1" t="s">
        <v>4105</v>
      </c>
      <c r="U1207" s="2" t="s">
        <v>1196</v>
      </c>
      <c r="V1207" s="2" t="s">
        <v>47</v>
      </c>
      <c r="W1207" s="2" t="s">
        <v>71</v>
      </c>
      <c r="X1207" s="2">
        <v>50.47</v>
      </c>
    </row>
    <row r="1208" spans="1:24" x14ac:dyDescent="0.3">
      <c r="A1208">
        <v>19097</v>
      </c>
      <c r="B1208" t="s">
        <v>4106</v>
      </c>
      <c r="C1208" s="3">
        <v>41874</v>
      </c>
      <c r="D1208" t="s">
        <v>148</v>
      </c>
      <c r="E1208">
        <v>19</v>
      </c>
      <c r="F1208" s="3">
        <f ca="1">41875+(RANDBETWEEN(1,10))</f>
        <v>41877</v>
      </c>
      <c r="G1208" t="s">
        <v>26</v>
      </c>
      <c r="H1208" t="s">
        <v>27</v>
      </c>
      <c r="I1208" t="s">
        <v>86</v>
      </c>
      <c r="J1208">
        <v>2156.21</v>
      </c>
      <c r="K1208">
        <v>0.01</v>
      </c>
      <c r="L1208">
        <v>0.36</v>
      </c>
      <c r="M1208">
        <v>68.284999999999997</v>
      </c>
      <c r="N1208">
        <v>17.761520000000001</v>
      </c>
      <c r="O1208" s="1" t="s">
        <v>87</v>
      </c>
      <c r="P1208" s="1" t="s">
        <v>3444</v>
      </c>
      <c r="Q1208" s="1" t="s">
        <v>3445</v>
      </c>
      <c r="R1208" s="1" t="s">
        <v>646</v>
      </c>
      <c r="S1208" s="1" t="s">
        <v>3446</v>
      </c>
      <c r="T1208" s="1" t="s">
        <v>3447</v>
      </c>
      <c r="U1208" s="2" t="s">
        <v>4107</v>
      </c>
      <c r="V1208" s="2" t="s">
        <v>47</v>
      </c>
      <c r="W1208" s="2" t="s">
        <v>48</v>
      </c>
      <c r="X1208" s="2">
        <v>108.43</v>
      </c>
    </row>
    <row r="1209" spans="1:24" x14ac:dyDescent="0.3">
      <c r="A1209">
        <v>19098</v>
      </c>
      <c r="B1209" t="s">
        <v>4108</v>
      </c>
      <c r="C1209" s="3">
        <v>41406</v>
      </c>
      <c r="D1209" t="s">
        <v>39</v>
      </c>
      <c r="E1209">
        <v>17</v>
      </c>
      <c r="F1209" s="3">
        <f ca="1">41407+(RANDBETWEEN(1,10))</f>
        <v>41412</v>
      </c>
      <c r="G1209" t="s">
        <v>76</v>
      </c>
      <c r="H1209" t="s">
        <v>77</v>
      </c>
      <c r="I1209" t="s">
        <v>97</v>
      </c>
      <c r="J1209">
        <v>14125.79</v>
      </c>
      <c r="K1209">
        <v>7.0000000000000007E-2</v>
      </c>
      <c r="L1209">
        <v>0.56999999999999995</v>
      </c>
      <c r="M1209">
        <v>220.29</v>
      </c>
      <c r="N1209">
        <v>355.24439999999998</v>
      </c>
      <c r="O1209" s="1" t="s">
        <v>64</v>
      </c>
      <c r="P1209" s="1" t="s">
        <v>4109</v>
      </c>
      <c r="Q1209" s="1" t="s">
        <v>4110</v>
      </c>
      <c r="R1209" s="1" t="s">
        <v>128</v>
      </c>
      <c r="S1209" s="1" t="s">
        <v>4111</v>
      </c>
      <c r="T1209" s="1" t="s">
        <v>4112</v>
      </c>
      <c r="U1209" s="2" t="s">
        <v>4113</v>
      </c>
      <c r="V1209" s="2" t="s">
        <v>83</v>
      </c>
      <c r="W1209" s="2" t="s">
        <v>84</v>
      </c>
      <c r="X1209" s="2">
        <v>853.93</v>
      </c>
    </row>
    <row r="1210" spans="1:24" x14ac:dyDescent="0.3">
      <c r="A1210">
        <v>19099</v>
      </c>
      <c r="B1210" t="s">
        <v>4114</v>
      </c>
      <c r="C1210" s="3">
        <v>41933</v>
      </c>
      <c r="D1210" t="s">
        <v>148</v>
      </c>
      <c r="E1210">
        <v>9</v>
      </c>
      <c r="F1210" s="3">
        <f ca="1">41935+(RANDBETWEEN(1,10))</f>
        <v>41936</v>
      </c>
      <c r="G1210" t="s">
        <v>26</v>
      </c>
      <c r="H1210" t="s">
        <v>281</v>
      </c>
      <c r="I1210" t="s">
        <v>86</v>
      </c>
      <c r="J1210">
        <v>2085.9650000000001</v>
      </c>
      <c r="K1210">
        <v>0</v>
      </c>
      <c r="L1210">
        <v>0.64</v>
      </c>
      <c r="M1210">
        <v>42.805</v>
      </c>
      <c r="N1210">
        <v>1327.48</v>
      </c>
      <c r="O1210" s="1" t="s">
        <v>53</v>
      </c>
      <c r="P1210" s="1" t="s">
        <v>4115</v>
      </c>
      <c r="Q1210" s="1" t="s">
        <v>4116</v>
      </c>
      <c r="R1210" s="1" t="s">
        <v>440</v>
      </c>
      <c r="S1210" s="1" t="s">
        <v>4117</v>
      </c>
      <c r="T1210" s="1" t="s">
        <v>4118</v>
      </c>
      <c r="U1210" s="2" t="s">
        <v>2775</v>
      </c>
      <c r="V1210" s="2" t="s">
        <v>83</v>
      </c>
      <c r="W1210" s="2" t="s">
        <v>178</v>
      </c>
      <c r="X1210" s="2">
        <v>212.27500000000001</v>
      </c>
    </row>
    <row r="1211" spans="1:24" x14ac:dyDescent="0.3">
      <c r="A1211">
        <v>1910</v>
      </c>
      <c r="B1211" t="s">
        <v>4119</v>
      </c>
      <c r="C1211" s="3">
        <v>41547</v>
      </c>
      <c r="D1211" t="s">
        <v>39</v>
      </c>
      <c r="E1211">
        <v>96</v>
      </c>
      <c r="F1211" s="3">
        <f ca="1">41549+(RANDBETWEEN(1,10))</f>
        <v>41557</v>
      </c>
      <c r="G1211" t="s">
        <v>26</v>
      </c>
      <c r="H1211" t="s">
        <v>51</v>
      </c>
      <c r="I1211" t="s">
        <v>52</v>
      </c>
      <c r="J1211">
        <v>4681.8450000000003</v>
      </c>
      <c r="K1211">
        <v>0.05</v>
      </c>
      <c r="L1211">
        <v>0.49</v>
      </c>
      <c r="M1211">
        <v>6.9649999999999999</v>
      </c>
      <c r="N1211">
        <v>578.20000000000005</v>
      </c>
      <c r="O1211" s="1" t="s">
        <v>29</v>
      </c>
      <c r="P1211" s="1" t="s">
        <v>367</v>
      </c>
      <c r="Q1211" s="1" t="s">
        <v>368</v>
      </c>
      <c r="R1211" s="1" t="s">
        <v>32</v>
      </c>
      <c r="S1211" s="1" t="s">
        <v>33</v>
      </c>
      <c r="T1211" s="1" t="s">
        <v>369</v>
      </c>
      <c r="U1211" s="2" t="s">
        <v>1903</v>
      </c>
      <c r="V1211" s="2" t="s">
        <v>36</v>
      </c>
      <c r="W1211" s="2" t="s">
        <v>60</v>
      </c>
      <c r="X1211" s="2">
        <v>50.68</v>
      </c>
    </row>
    <row r="1212" spans="1:24" x14ac:dyDescent="0.3">
      <c r="A1212">
        <v>19100</v>
      </c>
      <c r="B1212" t="s">
        <v>4120</v>
      </c>
      <c r="C1212" s="3">
        <v>41667</v>
      </c>
      <c r="D1212" t="s">
        <v>148</v>
      </c>
      <c r="E1212">
        <v>4</v>
      </c>
      <c r="F1212" s="3">
        <f ca="1">41668+(RANDBETWEEN(1,10))</f>
        <v>41678</v>
      </c>
      <c r="G1212" t="s">
        <v>26</v>
      </c>
      <c r="H1212" t="s">
        <v>51</v>
      </c>
      <c r="I1212" t="s">
        <v>97</v>
      </c>
      <c r="J1212">
        <v>622.72</v>
      </c>
      <c r="K1212">
        <v>0</v>
      </c>
      <c r="L1212">
        <v>0.59</v>
      </c>
      <c r="M1212">
        <v>31.465</v>
      </c>
      <c r="N1212">
        <v>-220.10310000000001</v>
      </c>
      <c r="O1212" s="1" t="s">
        <v>29</v>
      </c>
      <c r="P1212" s="1" t="s">
        <v>3246</v>
      </c>
      <c r="Q1212" s="1" t="s">
        <v>3247</v>
      </c>
      <c r="R1212" s="1" t="s">
        <v>32</v>
      </c>
      <c r="S1212" s="1" t="s">
        <v>3248</v>
      </c>
      <c r="T1212" s="1" t="s">
        <v>3249</v>
      </c>
      <c r="U1212" s="2" t="s">
        <v>2755</v>
      </c>
      <c r="V1212" s="2" t="s">
        <v>47</v>
      </c>
      <c r="W1212" s="2" t="s">
        <v>104</v>
      </c>
      <c r="X1212" s="2">
        <v>143.39500000000001</v>
      </c>
    </row>
    <row r="1213" spans="1:24" x14ac:dyDescent="0.3">
      <c r="A1213">
        <v>19101</v>
      </c>
      <c r="B1213" t="s">
        <v>4121</v>
      </c>
      <c r="C1213" s="3">
        <v>41252</v>
      </c>
      <c r="D1213" t="s">
        <v>148</v>
      </c>
      <c r="E1213">
        <v>22</v>
      </c>
      <c r="F1213" s="3">
        <f ca="1">41254+(RANDBETWEEN(1,10))</f>
        <v>41256</v>
      </c>
      <c r="G1213" t="s">
        <v>156</v>
      </c>
      <c r="H1213" t="s">
        <v>27</v>
      </c>
      <c r="I1213" t="s">
        <v>97</v>
      </c>
      <c r="J1213">
        <v>12067.825000000001</v>
      </c>
      <c r="K1213">
        <v>0.04</v>
      </c>
      <c r="L1213">
        <v>0.39</v>
      </c>
      <c r="M1213">
        <v>69.965000000000003</v>
      </c>
      <c r="N1213">
        <v>8326.79925</v>
      </c>
      <c r="O1213" s="1" t="s">
        <v>64</v>
      </c>
      <c r="P1213" s="1" t="s">
        <v>4122</v>
      </c>
      <c r="Q1213" s="1" t="s">
        <v>4123</v>
      </c>
      <c r="R1213" s="1" t="s">
        <v>128</v>
      </c>
      <c r="S1213" s="1" t="s">
        <v>1156</v>
      </c>
      <c r="T1213" s="1" t="s">
        <v>1157</v>
      </c>
      <c r="U1213" s="2" t="s">
        <v>2128</v>
      </c>
      <c r="V1213" s="2" t="s">
        <v>47</v>
      </c>
      <c r="W1213" s="2" t="s">
        <v>48</v>
      </c>
      <c r="X1213" s="2">
        <v>570.255</v>
      </c>
    </row>
    <row r="1214" spans="1:24" x14ac:dyDescent="0.3">
      <c r="A1214">
        <v>19102</v>
      </c>
      <c r="B1214" t="s">
        <v>4124</v>
      </c>
      <c r="C1214" s="3">
        <v>40972</v>
      </c>
      <c r="D1214" t="s">
        <v>148</v>
      </c>
      <c r="E1214">
        <v>9</v>
      </c>
      <c r="F1214" s="3">
        <f ca="1">40974+(RANDBETWEEN(1,10))</f>
        <v>40980</v>
      </c>
      <c r="G1214" t="s">
        <v>76</v>
      </c>
      <c r="H1214" t="s">
        <v>77</v>
      </c>
      <c r="I1214" t="s">
        <v>52</v>
      </c>
      <c r="J1214">
        <v>3142.5450000000001</v>
      </c>
      <c r="K1214">
        <v>0.04</v>
      </c>
      <c r="L1214">
        <v>0.56999999999999995</v>
      </c>
      <c r="M1214">
        <v>260.22500000000002</v>
      </c>
      <c r="N1214">
        <v>-4258.24</v>
      </c>
      <c r="O1214" s="1" t="s">
        <v>53</v>
      </c>
      <c r="P1214" s="1" t="s">
        <v>3738</v>
      </c>
      <c r="Q1214" s="1" t="s">
        <v>3739</v>
      </c>
      <c r="R1214" s="1" t="s">
        <v>100</v>
      </c>
      <c r="S1214" s="1" t="s">
        <v>3740</v>
      </c>
      <c r="T1214" s="1" t="s">
        <v>3741</v>
      </c>
      <c r="U1214" s="2" t="s">
        <v>1560</v>
      </c>
      <c r="V1214" s="2" t="s">
        <v>83</v>
      </c>
      <c r="W1214" s="2" t="s">
        <v>84</v>
      </c>
      <c r="X1214" s="2">
        <v>335.82499999999999</v>
      </c>
    </row>
    <row r="1215" spans="1:24" x14ac:dyDescent="0.3">
      <c r="A1215">
        <v>19103</v>
      </c>
      <c r="B1215" t="s">
        <v>4124</v>
      </c>
      <c r="C1215" s="3">
        <v>40972</v>
      </c>
      <c r="D1215" t="s">
        <v>148</v>
      </c>
      <c r="E1215">
        <v>4</v>
      </c>
      <c r="F1215" s="3">
        <f ca="1">40974+(RANDBETWEEN(1,10))</f>
        <v>40982</v>
      </c>
      <c r="G1215" t="s">
        <v>26</v>
      </c>
      <c r="H1215" t="s">
        <v>51</v>
      </c>
      <c r="I1215" t="s">
        <v>52</v>
      </c>
      <c r="J1215">
        <v>452.83</v>
      </c>
      <c r="K1215">
        <v>0.1</v>
      </c>
      <c r="L1215">
        <v>0.56000000000000005</v>
      </c>
      <c r="M1215">
        <v>31.465</v>
      </c>
      <c r="N1215">
        <v>-32.619999999999997</v>
      </c>
      <c r="O1215" s="1" t="s">
        <v>40</v>
      </c>
      <c r="P1215" s="1" t="s">
        <v>4125</v>
      </c>
      <c r="Q1215" s="1" t="s">
        <v>4126</v>
      </c>
      <c r="R1215" s="1" t="s">
        <v>220</v>
      </c>
      <c r="S1215" s="1" t="s">
        <v>4127</v>
      </c>
      <c r="T1215" s="1" t="s">
        <v>4128</v>
      </c>
      <c r="U1215" s="2" t="s">
        <v>741</v>
      </c>
      <c r="V1215" s="2" t="s">
        <v>47</v>
      </c>
      <c r="W1215" s="2" t="s">
        <v>104</v>
      </c>
      <c r="X1215" s="2">
        <v>121.03</v>
      </c>
    </row>
    <row r="1216" spans="1:24" x14ac:dyDescent="0.3">
      <c r="A1216">
        <v>19104</v>
      </c>
      <c r="B1216" t="s">
        <v>4129</v>
      </c>
      <c r="C1216" s="3">
        <v>40849</v>
      </c>
      <c r="D1216" t="s">
        <v>25</v>
      </c>
      <c r="E1216">
        <v>14</v>
      </c>
      <c r="F1216" s="3">
        <f ca="1">40853+(RANDBETWEEN(1,10))</f>
        <v>40863</v>
      </c>
      <c r="G1216" t="s">
        <v>26</v>
      </c>
      <c r="H1216" t="s">
        <v>27</v>
      </c>
      <c r="I1216" t="s">
        <v>28</v>
      </c>
      <c r="J1216">
        <v>1401.645</v>
      </c>
      <c r="K1216">
        <v>7.0000000000000007E-2</v>
      </c>
      <c r="L1216">
        <v>0.37</v>
      </c>
      <c r="M1216">
        <v>21.945</v>
      </c>
      <c r="N1216">
        <v>826.82984999999996</v>
      </c>
      <c r="O1216" s="1" t="s">
        <v>53</v>
      </c>
      <c r="P1216" s="1" t="s">
        <v>4130</v>
      </c>
      <c r="Q1216" s="1" t="s">
        <v>4131</v>
      </c>
      <c r="R1216" s="1" t="s">
        <v>100</v>
      </c>
      <c r="S1216" s="1" t="s">
        <v>4132</v>
      </c>
      <c r="T1216" s="1" t="s">
        <v>4133</v>
      </c>
      <c r="U1216" s="2" t="s">
        <v>3223</v>
      </c>
      <c r="V1216" s="2" t="s">
        <v>47</v>
      </c>
      <c r="W1216" s="2" t="s">
        <v>111</v>
      </c>
      <c r="X1216" s="2">
        <v>102.095</v>
      </c>
    </row>
    <row r="1217" spans="1:24" x14ac:dyDescent="0.3">
      <c r="A1217">
        <v>19105</v>
      </c>
      <c r="B1217" t="s">
        <v>4134</v>
      </c>
      <c r="C1217" s="3">
        <v>41772</v>
      </c>
      <c r="D1217" t="s">
        <v>62</v>
      </c>
      <c r="E1217">
        <v>5</v>
      </c>
      <c r="F1217" s="3">
        <f ca="1">41774+(RANDBETWEEN(1,10))</f>
        <v>41778</v>
      </c>
      <c r="G1217" t="s">
        <v>26</v>
      </c>
      <c r="H1217" t="s">
        <v>27</v>
      </c>
      <c r="I1217" t="s">
        <v>52</v>
      </c>
      <c r="J1217">
        <v>77.385000000000005</v>
      </c>
      <c r="K1217">
        <v>0.03</v>
      </c>
      <c r="L1217">
        <v>0.38</v>
      </c>
      <c r="M1217">
        <v>17.64</v>
      </c>
      <c r="N1217">
        <v>-21.315000000000001</v>
      </c>
      <c r="O1217" s="1" t="s">
        <v>87</v>
      </c>
      <c r="P1217" s="1" t="s">
        <v>4135</v>
      </c>
      <c r="Q1217" s="1" t="s">
        <v>4136</v>
      </c>
      <c r="R1217" s="1" t="s">
        <v>646</v>
      </c>
      <c r="S1217" s="1" t="s">
        <v>933</v>
      </c>
      <c r="T1217" s="1" t="s">
        <v>934</v>
      </c>
      <c r="U1217" s="2" t="s">
        <v>1507</v>
      </c>
      <c r="V1217" s="2" t="s">
        <v>47</v>
      </c>
      <c r="W1217" s="2" t="s">
        <v>111</v>
      </c>
      <c r="X1217" s="2">
        <v>14.455</v>
      </c>
    </row>
    <row r="1218" spans="1:24" x14ac:dyDescent="0.3">
      <c r="A1218">
        <v>19106</v>
      </c>
      <c r="B1218" t="s">
        <v>4137</v>
      </c>
      <c r="C1218" s="3">
        <v>41032</v>
      </c>
      <c r="D1218" t="s">
        <v>62</v>
      </c>
      <c r="E1218">
        <v>9</v>
      </c>
      <c r="F1218" s="3">
        <f ca="1">41032+(RANDBETWEEN(1,10))</f>
        <v>41033</v>
      </c>
      <c r="G1218" t="s">
        <v>26</v>
      </c>
      <c r="H1218" t="s">
        <v>51</v>
      </c>
      <c r="I1218" t="s">
        <v>97</v>
      </c>
      <c r="J1218">
        <v>941.43</v>
      </c>
      <c r="K1218">
        <v>0.01</v>
      </c>
      <c r="L1218">
        <v>0.5</v>
      </c>
      <c r="M1218">
        <v>6.9649999999999999</v>
      </c>
      <c r="N1218">
        <v>649.58669999999995</v>
      </c>
      <c r="O1218" s="1" t="s">
        <v>87</v>
      </c>
      <c r="P1218" s="1" t="s">
        <v>4138</v>
      </c>
      <c r="Q1218" s="1" t="s">
        <v>4139</v>
      </c>
      <c r="R1218" s="1" t="s">
        <v>90</v>
      </c>
      <c r="S1218" s="1" t="s">
        <v>4140</v>
      </c>
      <c r="T1218" s="1" t="s">
        <v>4141</v>
      </c>
      <c r="U1218" s="2" t="s">
        <v>124</v>
      </c>
      <c r="V1218" s="2" t="s">
        <v>36</v>
      </c>
      <c r="W1218" s="2" t="s">
        <v>60</v>
      </c>
      <c r="X1218" s="2">
        <v>104.61499999999999</v>
      </c>
    </row>
    <row r="1219" spans="1:24" x14ac:dyDescent="0.3">
      <c r="A1219">
        <v>19107</v>
      </c>
      <c r="B1219" t="s">
        <v>4142</v>
      </c>
      <c r="C1219" s="3">
        <v>40677</v>
      </c>
      <c r="D1219" t="s">
        <v>25</v>
      </c>
      <c r="E1219">
        <v>17</v>
      </c>
      <c r="F1219" s="3">
        <f ca="1">40677+(RANDBETWEEN(1,10))</f>
        <v>40686</v>
      </c>
      <c r="G1219" t="s">
        <v>156</v>
      </c>
      <c r="H1219" t="s">
        <v>51</v>
      </c>
      <c r="I1219" t="s">
        <v>97</v>
      </c>
      <c r="J1219">
        <v>296.66000000000003</v>
      </c>
      <c r="K1219">
        <v>0.08</v>
      </c>
      <c r="L1219">
        <v>0.66</v>
      </c>
      <c r="M1219">
        <v>17.254999999999999</v>
      </c>
      <c r="N1219">
        <v>-579.07500000000005</v>
      </c>
      <c r="O1219" s="1" t="s">
        <v>87</v>
      </c>
      <c r="P1219" s="1" t="s">
        <v>4143</v>
      </c>
      <c r="Q1219" s="1" t="s">
        <v>4144</v>
      </c>
      <c r="R1219" s="1" t="s">
        <v>90</v>
      </c>
      <c r="S1219" s="1" t="s">
        <v>4145</v>
      </c>
      <c r="T1219" s="1" t="s">
        <v>4146</v>
      </c>
      <c r="U1219" s="2" t="s">
        <v>1387</v>
      </c>
      <c r="V1219" s="2" t="s">
        <v>36</v>
      </c>
      <c r="W1219" s="2" t="s">
        <v>60</v>
      </c>
      <c r="X1219" s="2">
        <v>17.114999999999998</v>
      </c>
    </row>
    <row r="1220" spans="1:24" x14ac:dyDescent="0.3">
      <c r="A1220">
        <v>19108</v>
      </c>
      <c r="B1220" t="s">
        <v>4142</v>
      </c>
      <c r="C1220" s="3">
        <v>40677</v>
      </c>
      <c r="D1220" t="s">
        <v>25</v>
      </c>
      <c r="E1220">
        <v>16</v>
      </c>
      <c r="F1220" s="3">
        <f ca="1">40684+(RANDBETWEEN(1,10))</f>
        <v>40686</v>
      </c>
      <c r="G1220" t="s">
        <v>26</v>
      </c>
      <c r="H1220" t="s">
        <v>27</v>
      </c>
      <c r="I1220" t="s">
        <v>97</v>
      </c>
      <c r="J1220">
        <v>366.94</v>
      </c>
      <c r="K1220">
        <v>7.0000000000000007E-2</v>
      </c>
      <c r="L1220">
        <v>0.37</v>
      </c>
      <c r="M1220">
        <v>24.22</v>
      </c>
      <c r="N1220">
        <v>-493.92</v>
      </c>
      <c r="O1220" s="1" t="s">
        <v>87</v>
      </c>
      <c r="P1220" s="1" t="s">
        <v>4143</v>
      </c>
      <c r="Q1220" s="1" t="s">
        <v>4144</v>
      </c>
      <c r="R1220" s="1" t="s">
        <v>90</v>
      </c>
      <c r="S1220" s="1" t="s">
        <v>4145</v>
      </c>
      <c r="T1220" s="1" t="s">
        <v>4146</v>
      </c>
      <c r="U1220" s="2" t="s">
        <v>2561</v>
      </c>
      <c r="V1220" s="2" t="s">
        <v>47</v>
      </c>
      <c r="W1220" s="2" t="s">
        <v>74</v>
      </c>
      <c r="X1220" s="2">
        <v>23.38</v>
      </c>
    </row>
    <row r="1221" spans="1:24" x14ac:dyDescent="0.3">
      <c r="A1221">
        <v>19109</v>
      </c>
      <c r="B1221" t="s">
        <v>4147</v>
      </c>
      <c r="C1221" s="3">
        <v>41331</v>
      </c>
      <c r="D1221" t="s">
        <v>148</v>
      </c>
      <c r="E1221">
        <v>3</v>
      </c>
      <c r="F1221" s="3">
        <f ca="1">41332+(RANDBETWEEN(1,10))</f>
        <v>41334</v>
      </c>
      <c r="G1221" t="s">
        <v>26</v>
      </c>
      <c r="H1221" t="s">
        <v>27</v>
      </c>
      <c r="I1221" t="s">
        <v>28</v>
      </c>
      <c r="J1221">
        <v>387.1</v>
      </c>
      <c r="K1221">
        <v>0.04</v>
      </c>
      <c r="L1221">
        <v>0.38</v>
      </c>
      <c r="M1221">
        <v>17.815000000000001</v>
      </c>
      <c r="N1221">
        <v>2135.4059999999999</v>
      </c>
      <c r="O1221" s="1" t="s">
        <v>225</v>
      </c>
      <c r="P1221" s="1" t="s">
        <v>2986</v>
      </c>
      <c r="Q1221" s="1" t="s">
        <v>2987</v>
      </c>
      <c r="R1221" s="1" t="s">
        <v>228</v>
      </c>
      <c r="S1221" s="1" t="s">
        <v>2988</v>
      </c>
      <c r="T1221" s="1" t="s">
        <v>2989</v>
      </c>
      <c r="U1221" s="2" t="s">
        <v>4048</v>
      </c>
      <c r="V1221" s="2" t="s">
        <v>47</v>
      </c>
      <c r="W1221" s="2" t="s">
        <v>74</v>
      </c>
      <c r="X1221" s="2">
        <v>124.04</v>
      </c>
    </row>
    <row r="1222" spans="1:24" x14ac:dyDescent="0.3">
      <c r="A1222">
        <v>19110</v>
      </c>
      <c r="B1222" t="s">
        <v>4148</v>
      </c>
      <c r="C1222" s="3">
        <v>41451</v>
      </c>
      <c r="D1222" t="s">
        <v>50</v>
      </c>
      <c r="E1222">
        <v>7</v>
      </c>
      <c r="F1222" s="3">
        <f ca="1">41452+(RANDBETWEEN(1,10))</f>
        <v>41461</v>
      </c>
      <c r="G1222" t="s">
        <v>26</v>
      </c>
      <c r="H1222" t="s">
        <v>51</v>
      </c>
      <c r="I1222" t="s">
        <v>52</v>
      </c>
      <c r="J1222">
        <v>1182.7550000000001</v>
      </c>
      <c r="K1222">
        <v>0.03</v>
      </c>
      <c r="L1222">
        <v>0.8</v>
      </c>
      <c r="M1222">
        <v>17.5</v>
      </c>
      <c r="N1222">
        <v>1085.7629999999999</v>
      </c>
      <c r="O1222" s="1" t="s">
        <v>87</v>
      </c>
      <c r="P1222" s="1" t="s">
        <v>1424</v>
      </c>
      <c r="Q1222" s="1" t="s">
        <v>1425</v>
      </c>
      <c r="R1222" s="1" t="s">
        <v>646</v>
      </c>
      <c r="S1222" s="1" t="s">
        <v>1426</v>
      </c>
      <c r="T1222" s="1" t="s">
        <v>1427</v>
      </c>
      <c r="U1222" s="2" t="s">
        <v>2876</v>
      </c>
      <c r="V1222" s="2" t="s">
        <v>36</v>
      </c>
      <c r="W1222" s="2" t="s">
        <v>37</v>
      </c>
      <c r="X1222" s="2">
        <v>195.965</v>
      </c>
    </row>
    <row r="1223" spans="1:24" x14ac:dyDescent="0.3">
      <c r="A1223">
        <v>19111</v>
      </c>
      <c r="B1223" t="s">
        <v>4149</v>
      </c>
      <c r="C1223" s="3">
        <v>40697</v>
      </c>
      <c r="D1223" t="s">
        <v>39</v>
      </c>
      <c r="E1223">
        <v>17</v>
      </c>
      <c r="F1223" s="3">
        <f ca="1">40699+(RANDBETWEEN(1,10))</f>
        <v>40702</v>
      </c>
      <c r="G1223" t="s">
        <v>26</v>
      </c>
      <c r="H1223" t="s">
        <v>27</v>
      </c>
      <c r="I1223" t="s">
        <v>52</v>
      </c>
      <c r="J1223">
        <v>149.03</v>
      </c>
      <c r="K1223">
        <v>0.09</v>
      </c>
      <c r="L1223">
        <v>0.39</v>
      </c>
      <c r="M1223">
        <v>1.75</v>
      </c>
      <c r="N1223">
        <v>102.83069999999999</v>
      </c>
      <c r="O1223" s="1" t="s">
        <v>87</v>
      </c>
      <c r="P1223" s="1" t="s">
        <v>3400</v>
      </c>
      <c r="Q1223" s="1" t="s">
        <v>3401</v>
      </c>
      <c r="R1223" s="1" t="s">
        <v>398</v>
      </c>
      <c r="S1223" s="1" t="s">
        <v>3402</v>
      </c>
      <c r="T1223" s="1" t="s">
        <v>3403</v>
      </c>
      <c r="U1223" s="2" t="s">
        <v>1726</v>
      </c>
      <c r="V1223" s="2" t="s">
        <v>47</v>
      </c>
      <c r="W1223" s="2" t="s">
        <v>203</v>
      </c>
      <c r="X1223" s="2">
        <v>9.1349999999999998</v>
      </c>
    </row>
    <row r="1224" spans="1:24" x14ac:dyDescent="0.3">
      <c r="A1224">
        <v>19112</v>
      </c>
      <c r="B1224" t="s">
        <v>4150</v>
      </c>
      <c r="C1224" s="3">
        <v>40823</v>
      </c>
      <c r="D1224" t="s">
        <v>148</v>
      </c>
      <c r="E1224">
        <v>11</v>
      </c>
      <c r="F1224" s="3">
        <f ca="1">40824+(RANDBETWEEN(1,10))</f>
        <v>40825</v>
      </c>
      <c r="G1224" t="s">
        <v>26</v>
      </c>
      <c r="H1224" t="s">
        <v>27</v>
      </c>
      <c r="I1224" t="s">
        <v>86</v>
      </c>
      <c r="J1224">
        <v>1032.395</v>
      </c>
      <c r="K1224">
        <v>0.03</v>
      </c>
      <c r="L1224">
        <v>0.75</v>
      </c>
      <c r="M1224">
        <v>14</v>
      </c>
      <c r="N1224">
        <v>-310.94279999999998</v>
      </c>
      <c r="O1224" s="1" t="s">
        <v>87</v>
      </c>
      <c r="P1224" s="1" t="s">
        <v>4151</v>
      </c>
      <c r="Q1224" s="1" t="s">
        <v>4152</v>
      </c>
      <c r="R1224" s="1" t="s">
        <v>90</v>
      </c>
      <c r="S1224" s="1" t="s">
        <v>4153</v>
      </c>
      <c r="T1224" s="1" t="s">
        <v>4154</v>
      </c>
      <c r="U1224" s="2" t="s">
        <v>4155</v>
      </c>
      <c r="V1224" s="2" t="s">
        <v>36</v>
      </c>
      <c r="W1224" s="2" t="s">
        <v>60</v>
      </c>
      <c r="X1224" s="2">
        <v>96.18</v>
      </c>
    </row>
    <row r="1225" spans="1:24" x14ac:dyDescent="0.3">
      <c r="A1225">
        <v>19113</v>
      </c>
      <c r="B1225" t="s">
        <v>4150</v>
      </c>
      <c r="C1225" s="3">
        <v>40823</v>
      </c>
      <c r="D1225" t="s">
        <v>148</v>
      </c>
      <c r="E1225">
        <v>14</v>
      </c>
      <c r="F1225" s="3">
        <f ca="1">40824+(RANDBETWEEN(1,10))</f>
        <v>40833</v>
      </c>
      <c r="G1225" t="s">
        <v>26</v>
      </c>
      <c r="H1225" t="s">
        <v>27</v>
      </c>
      <c r="I1225" t="s">
        <v>86</v>
      </c>
      <c r="J1225">
        <v>8603.1749999999993</v>
      </c>
      <c r="K1225">
        <v>0.1</v>
      </c>
      <c r="L1225">
        <v>0.48</v>
      </c>
      <c r="M1225">
        <v>69.965000000000003</v>
      </c>
      <c r="N1225">
        <v>4231.4664000000002</v>
      </c>
      <c r="O1225" s="1" t="s">
        <v>87</v>
      </c>
      <c r="P1225" s="1" t="s">
        <v>4151</v>
      </c>
      <c r="Q1225" s="1" t="s">
        <v>4152</v>
      </c>
      <c r="R1225" s="1" t="s">
        <v>90</v>
      </c>
      <c r="S1225" s="1" t="s">
        <v>4153</v>
      </c>
      <c r="T1225" s="1" t="s">
        <v>4154</v>
      </c>
      <c r="U1225" s="2" t="s">
        <v>2205</v>
      </c>
      <c r="V1225" s="2" t="s">
        <v>36</v>
      </c>
      <c r="W1225" s="2" t="s">
        <v>60</v>
      </c>
      <c r="X1225" s="2">
        <v>629.96500000000003</v>
      </c>
    </row>
    <row r="1226" spans="1:24" x14ac:dyDescent="0.3">
      <c r="A1226">
        <v>19114</v>
      </c>
      <c r="B1226" t="s">
        <v>4150</v>
      </c>
      <c r="C1226" s="3">
        <v>40823</v>
      </c>
      <c r="D1226" t="s">
        <v>148</v>
      </c>
      <c r="E1226">
        <v>19</v>
      </c>
      <c r="F1226" s="3">
        <f ca="1">40825+(RANDBETWEEN(1,10))</f>
        <v>40826</v>
      </c>
      <c r="G1226" t="s">
        <v>26</v>
      </c>
      <c r="H1226" t="s">
        <v>27</v>
      </c>
      <c r="I1226" t="s">
        <v>86</v>
      </c>
      <c r="J1226">
        <v>8630.125</v>
      </c>
      <c r="K1226">
        <v>0.1</v>
      </c>
      <c r="L1226">
        <v>0.73</v>
      </c>
      <c r="M1226">
        <v>69.965000000000003</v>
      </c>
      <c r="N1226">
        <v>34.969200000000001</v>
      </c>
      <c r="O1226" s="1" t="s">
        <v>87</v>
      </c>
      <c r="P1226" s="1" t="s">
        <v>4151</v>
      </c>
      <c r="Q1226" s="1" t="s">
        <v>4152</v>
      </c>
      <c r="R1226" s="1" t="s">
        <v>90</v>
      </c>
      <c r="S1226" s="1" t="s">
        <v>4153</v>
      </c>
      <c r="T1226" s="1" t="s">
        <v>4154</v>
      </c>
      <c r="U1226" s="2" t="s">
        <v>1828</v>
      </c>
      <c r="V1226" s="2" t="s">
        <v>47</v>
      </c>
      <c r="W1226" s="2" t="s">
        <v>119</v>
      </c>
      <c r="X1226" s="2">
        <v>492.97500000000002</v>
      </c>
    </row>
    <row r="1227" spans="1:24" x14ac:dyDescent="0.3">
      <c r="A1227">
        <v>19115</v>
      </c>
      <c r="B1227" t="s">
        <v>4156</v>
      </c>
      <c r="C1227" s="3">
        <v>40831</v>
      </c>
      <c r="D1227" t="s">
        <v>25</v>
      </c>
      <c r="E1227">
        <v>16</v>
      </c>
      <c r="F1227" s="3">
        <f ca="1">40840+(RANDBETWEEN(1,10))</f>
        <v>40845</v>
      </c>
      <c r="G1227" t="s">
        <v>26</v>
      </c>
      <c r="H1227" t="s">
        <v>27</v>
      </c>
      <c r="I1227" t="s">
        <v>28</v>
      </c>
      <c r="J1227">
        <v>293.51</v>
      </c>
      <c r="K1227">
        <v>0.01</v>
      </c>
      <c r="L1227">
        <v>0.36</v>
      </c>
      <c r="M1227">
        <v>26.04</v>
      </c>
      <c r="N1227">
        <v>-565.71479999999997</v>
      </c>
      <c r="O1227" s="1" t="s">
        <v>87</v>
      </c>
      <c r="P1227" s="1" t="s">
        <v>687</v>
      </c>
      <c r="Q1227" s="1" t="s">
        <v>688</v>
      </c>
      <c r="R1227" s="1" t="s">
        <v>398</v>
      </c>
      <c r="S1227" s="1" t="s">
        <v>689</v>
      </c>
      <c r="T1227" s="1" t="s">
        <v>690</v>
      </c>
      <c r="U1227" s="2" t="s">
        <v>131</v>
      </c>
      <c r="V1227" s="2" t="s">
        <v>47</v>
      </c>
      <c r="W1227" s="2" t="s">
        <v>74</v>
      </c>
      <c r="X1227" s="2">
        <v>17.43</v>
      </c>
    </row>
    <row r="1228" spans="1:24" x14ac:dyDescent="0.3">
      <c r="A1228">
        <v>19116</v>
      </c>
      <c r="B1228" t="s">
        <v>4157</v>
      </c>
      <c r="C1228" s="3">
        <v>41855</v>
      </c>
      <c r="D1228" t="s">
        <v>62</v>
      </c>
      <c r="E1228">
        <v>2</v>
      </c>
      <c r="F1228" s="3">
        <f ca="1">41857+(RANDBETWEEN(1,10))</f>
        <v>41860</v>
      </c>
      <c r="G1228" t="s">
        <v>26</v>
      </c>
      <c r="H1228" t="s">
        <v>27</v>
      </c>
      <c r="I1228" t="s">
        <v>86</v>
      </c>
      <c r="J1228">
        <v>54.18</v>
      </c>
      <c r="K1228">
        <v>0.1</v>
      </c>
      <c r="L1228">
        <v>0.37</v>
      </c>
      <c r="M1228">
        <v>21.77</v>
      </c>
      <c r="N1228">
        <v>-24.456320000000002</v>
      </c>
      <c r="O1228" s="1" t="s">
        <v>64</v>
      </c>
      <c r="P1228" s="1" t="s">
        <v>3965</v>
      </c>
      <c r="Q1228" s="1" t="s">
        <v>3966</v>
      </c>
      <c r="R1228" s="1" t="s">
        <v>128</v>
      </c>
      <c r="S1228" s="1" t="s">
        <v>3967</v>
      </c>
      <c r="T1228" s="1" t="s">
        <v>2650</v>
      </c>
      <c r="U1228" s="2" t="s">
        <v>4158</v>
      </c>
      <c r="V1228" s="2" t="s">
        <v>47</v>
      </c>
      <c r="W1228" s="2" t="s">
        <v>74</v>
      </c>
      <c r="X1228" s="2">
        <v>22.68</v>
      </c>
    </row>
    <row r="1229" spans="1:24" x14ac:dyDescent="0.3">
      <c r="A1229">
        <v>19117</v>
      </c>
      <c r="B1229" t="s">
        <v>4157</v>
      </c>
      <c r="C1229" s="3">
        <v>41855</v>
      </c>
      <c r="D1229" t="s">
        <v>62</v>
      </c>
      <c r="E1229">
        <v>24</v>
      </c>
      <c r="F1229" s="3">
        <f ca="1">41857+(RANDBETWEEN(1,10))</f>
        <v>41866</v>
      </c>
      <c r="G1229" t="s">
        <v>26</v>
      </c>
      <c r="H1229" t="s">
        <v>51</v>
      </c>
      <c r="I1229" t="s">
        <v>86</v>
      </c>
      <c r="J1229">
        <v>2536.2750000000001</v>
      </c>
      <c r="K1229">
        <v>0.06</v>
      </c>
      <c r="L1229">
        <v>0.56999999999999995</v>
      </c>
      <c r="M1229">
        <v>4.375</v>
      </c>
      <c r="N1229">
        <v>1750.0297499999999</v>
      </c>
      <c r="O1229" s="1" t="s">
        <v>64</v>
      </c>
      <c r="P1229" s="1" t="s">
        <v>3965</v>
      </c>
      <c r="Q1229" s="1" t="s">
        <v>3966</v>
      </c>
      <c r="R1229" s="1" t="s">
        <v>128</v>
      </c>
      <c r="S1229" s="1" t="s">
        <v>3967</v>
      </c>
      <c r="T1229" s="1" t="s">
        <v>2650</v>
      </c>
      <c r="U1229" s="2" t="s">
        <v>1964</v>
      </c>
      <c r="V1229" s="2" t="s">
        <v>36</v>
      </c>
      <c r="W1229" s="2" t="s">
        <v>37</v>
      </c>
      <c r="X1229" s="2">
        <v>125.965</v>
      </c>
    </row>
    <row r="1230" spans="1:24" x14ac:dyDescent="0.3">
      <c r="A1230">
        <v>19118</v>
      </c>
      <c r="B1230" t="s">
        <v>4159</v>
      </c>
      <c r="C1230" s="3">
        <v>41280</v>
      </c>
      <c r="D1230" t="s">
        <v>148</v>
      </c>
      <c r="E1230">
        <v>1</v>
      </c>
      <c r="F1230" s="3">
        <f ca="1">41281+(RANDBETWEEN(1,10))</f>
        <v>41288</v>
      </c>
      <c r="G1230" t="s">
        <v>156</v>
      </c>
      <c r="H1230" t="s">
        <v>27</v>
      </c>
      <c r="I1230" t="s">
        <v>52</v>
      </c>
      <c r="J1230">
        <v>35.909999999999997</v>
      </c>
      <c r="K1230">
        <v>0.05</v>
      </c>
      <c r="L1230">
        <v>0.37</v>
      </c>
      <c r="M1230">
        <v>39.024999999999999</v>
      </c>
      <c r="N1230">
        <v>-140.9632</v>
      </c>
      <c r="O1230" s="1" t="s">
        <v>53</v>
      </c>
      <c r="P1230" s="1" t="s">
        <v>3580</v>
      </c>
      <c r="Q1230" s="1" t="s">
        <v>3581</v>
      </c>
      <c r="R1230" s="1" t="s">
        <v>440</v>
      </c>
      <c r="S1230" s="1" t="s">
        <v>3582</v>
      </c>
      <c r="T1230" s="1" t="s">
        <v>442</v>
      </c>
      <c r="U1230" s="2" t="s">
        <v>4160</v>
      </c>
      <c r="V1230" s="2" t="s">
        <v>47</v>
      </c>
      <c r="W1230" s="2" t="s">
        <v>74</v>
      </c>
      <c r="X1230" s="2">
        <v>25.48</v>
      </c>
    </row>
    <row r="1231" spans="1:24" x14ac:dyDescent="0.3">
      <c r="A1231">
        <v>19119</v>
      </c>
      <c r="B1231" t="s">
        <v>4159</v>
      </c>
      <c r="C1231" s="3">
        <v>41280</v>
      </c>
      <c r="D1231" t="s">
        <v>148</v>
      </c>
      <c r="E1231">
        <v>1</v>
      </c>
      <c r="F1231" s="3">
        <f ca="1">41282+(RANDBETWEEN(1,10))</f>
        <v>41285</v>
      </c>
      <c r="G1231" t="s">
        <v>26</v>
      </c>
      <c r="H1231" t="s">
        <v>96</v>
      </c>
      <c r="I1231" t="s">
        <v>52</v>
      </c>
      <c r="J1231">
        <v>29.68</v>
      </c>
      <c r="K1231">
        <v>0.1</v>
      </c>
      <c r="L1231">
        <v>0.51</v>
      </c>
      <c r="M1231">
        <v>12.705</v>
      </c>
      <c r="N1231">
        <v>-34.286000000000001</v>
      </c>
      <c r="O1231" s="1" t="s">
        <v>64</v>
      </c>
      <c r="P1231" s="1" t="s">
        <v>4161</v>
      </c>
      <c r="Q1231" s="1" t="s">
        <v>4162</v>
      </c>
      <c r="R1231" s="1" t="s">
        <v>67</v>
      </c>
      <c r="S1231" s="1" t="s">
        <v>4163</v>
      </c>
      <c r="T1231" s="1" t="s">
        <v>4164</v>
      </c>
      <c r="U1231" s="2" t="s">
        <v>4165</v>
      </c>
      <c r="V1231" s="2" t="s">
        <v>83</v>
      </c>
      <c r="W1231" s="2" t="s">
        <v>178</v>
      </c>
      <c r="X1231" s="2">
        <v>17.78</v>
      </c>
    </row>
    <row r="1232" spans="1:24" x14ac:dyDescent="0.3">
      <c r="A1232">
        <v>19120</v>
      </c>
      <c r="B1232" t="s">
        <v>4159</v>
      </c>
      <c r="C1232" s="3">
        <v>41280</v>
      </c>
      <c r="D1232" t="s">
        <v>148</v>
      </c>
      <c r="E1232">
        <v>7</v>
      </c>
      <c r="F1232" s="3">
        <f ca="1">41281+(RANDBETWEEN(1,10))</f>
        <v>41289</v>
      </c>
      <c r="G1232" t="s">
        <v>26</v>
      </c>
      <c r="H1232" t="s">
        <v>96</v>
      </c>
      <c r="I1232" t="s">
        <v>52</v>
      </c>
      <c r="J1232">
        <v>82.46</v>
      </c>
      <c r="K1232">
        <v>0.03</v>
      </c>
      <c r="L1232">
        <v>0.56000000000000005</v>
      </c>
      <c r="M1232">
        <v>13.895</v>
      </c>
      <c r="N1232">
        <v>-303.88679999999999</v>
      </c>
      <c r="O1232" s="1" t="s">
        <v>64</v>
      </c>
      <c r="P1232" s="1" t="s">
        <v>4161</v>
      </c>
      <c r="Q1232" s="1" t="s">
        <v>4162</v>
      </c>
      <c r="R1232" s="1" t="s">
        <v>67</v>
      </c>
      <c r="S1232" s="1" t="s">
        <v>4163</v>
      </c>
      <c r="T1232" s="1" t="s">
        <v>4164</v>
      </c>
      <c r="U1232" s="2" t="s">
        <v>4166</v>
      </c>
      <c r="V1232" s="2" t="s">
        <v>47</v>
      </c>
      <c r="W1232" s="2" t="s">
        <v>104</v>
      </c>
      <c r="X1232" s="2">
        <v>11.48</v>
      </c>
    </row>
    <row r="1233" spans="1:24" x14ac:dyDescent="0.3">
      <c r="A1233">
        <v>19121</v>
      </c>
      <c r="B1233" t="s">
        <v>4167</v>
      </c>
      <c r="C1233" s="3">
        <v>41677</v>
      </c>
      <c r="D1233" t="s">
        <v>50</v>
      </c>
      <c r="E1233">
        <v>10</v>
      </c>
      <c r="F1233" s="3">
        <f ca="1">41679+(RANDBETWEEN(1,10))</f>
        <v>41687</v>
      </c>
      <c r="G1233" t="s">
        <v>26</v>
      </c>
      <c r="H1233" t="s">
        <v>96</v>
      </c>
      <c r="I1233" t="s">
        <v>28</v>
      </c>
      <c r="J1233">
        <v>76.650000000000006</v>
      </c>
      <c r="K1233">
        <v>0.03</v>
      </c>
      <c r="L1233">
        <v>0.38</v>
      </c>
      <c r="M1233">
        <v>3.5</v>
      </c>
      <c r="N1233">
        <v>34.72</v>
      </c>
      <c r="O1233" s="1" t="s">
        <v>40</v>
      </c>
      <c r="P1233" s="1" t="s">
        <v>4168</v>
      </c>
      <c r="Q1233" s="1" t="s">
        <v>4169</v>
      </c>
      <c r="R1233" s="1" t="s">
        <v>220</v>
      </c>
      <c r="S1233" s="1" t="s">
        <v>4170</v>
      </c>
      <c r="T1233" s="1" t="s">
        <v>4171</v>
      </c>
      <c r="U1233" s="2" t="s">
        <v>671</v>
      </c>
      <c r="V1233" s="2" t="s">
        <v>47</v>
      </c>
      <c r="W1233" s="2" t="s">
        <v>104</v>
      </c>
      <c r="X1233" s="2">
        <v>7.7350000000000003</v>
      </c>
    </row>
    <row r="1234" spans="1:24" x14ac:dyDescent="0.3">
      <c r="A1234">
        <v>19122</v>
      </c>
      <c r="B1234" t="s">
        <v>4172</v>
      </c>
      <c r="C1234" s="3">
        <v>40918</v>
      </c>
      <c r="D1234" t="s">
        <v>50</v>
      </c>
      <c r="E1234">
        <v>8</v>
      </c>
      <c r="F1234" s="3">
        <f ca="1">40919+(RANDBETWEEN(1,10))</f>
        <v>40925</v>
      </c>
      <c r="G1234" t="s">
        <v>156</v>
      </c>
      <c r="H1234" t="s">
        <v>51</v>
      </c>
      <c r="I1234" t="s">
        <v>86</v>
      </c>
      <c r="J1234">
        <v>141.96</v>
      </c>
      <c r="K1234">
        <v>0.05</v>
      </c>
      <c r="L1234">
        <v>0.72</v>
      </c>
      <c r="M1234">
        <v>8.3650000000000002</v>
      </c>
      <c r="N1234">
        <v>-187.53139999999999</v>
      </c>
      <c r="O1234" s="1" t="s">
        <v>225</v>
      </c>
      <c r="P1234" s="1" t="s">
        <v>4173</v>
      </c>
      <c r="Q1234" s="1" t="s">
        <v>4174</v>
      </c>
      <c r="R1234" s="1" t="s">
        <v>228</v>
      </c>
      <c r="S1234" s="1" t="s">
        <v>4175</v>
      </c>
      <c r="T1234" s="1" t="s">
        <v>2326</v>
      </c>
      <c r="U1234" s="2" t="s">
        <v>4176</v>
      </c>
      <c r="V1234" s="2" t="s">
        <v>36</v>
      </c>
      <c r="W1234" s="2" t="s">
        <v>60</v>
      </c>
      <c r="X1234" s="2">
        <v>16.695</v>
      </c>
    </row>
    <row r="1235" spans="1:24" x14ac:dyDescent="0.3">
      <c r="A1235">
        <v>19123</v>
      </c>
      <c r="B1235" t="s">
        <v>4177</v>
      </c>
      <c r="C1235" s="3">
        <v>40884</v>
      </c>
      <c r="D1235" t="s">
        <v>148</v>
      </c>
      <c r="E1235">
        <v>3</v>
      </c>
      <c r="F1235" s="3">
        <f ca="1">40886+(RANDBETWEEN(1,10))</f>
        <v>40889</v>
      </c>
      <c r="G1235" t="s">
        <v>76</v>
      </c>
      <c r="H1235" t="s">
        <v>77</v>
      </c>
      <c r="I1235" t="s">
        <v>97</v>
      </c>
      <c r="J1235">
        <v>5347.8950000000004</v>
      </c>
      <c r="K1235">
        <v>0.04</v>
      </c>
      <c r="L1235">
        <v>0.56000000000000005</v>
      </c>
      <c r="M1235">
        <v>51.45</v>
      </c>
      <c r="N1235">
        <v>-879.91364999999996</v>
      </c>
      <c r="O1235" s="1" t="s">
        <v>29</v>
      </c>
      <c r="P1235" s="1" t="s">
        <v>4178</v>
      </c>
      <c r="Q1235" s="1" t="s">
        <v>4179</v>
      </c>
      <c r="R1235" s="1" t="s">
        <v>32</v>
      </c>
      <c r="S1235" s="1" t="s">
        <v>4180</v>
      </c>
      <c r="T1235" s="1" t="s">
        <v>4181</v>
      </c>
      <c r="U1235" s="2" t="s">
        <v>4182</v>
      </c>
      <c r="V1235" s="2" t="s">
        <v>36</v>
      </c>
      <c r="W1235" s="2" t="s">
        <v>142</v>
      </c>
      <c r="X1235" s="2">
        <v>1785.49</v>
      </c>
    </row>
    <row r="1236" spans="1:24" x14ac:dyDescent="0.3">
      <c r="A1236">
        <v>19124</v>
      </c>
      <c r="B1236" t="s">
        <v>4177</v>
      </c>
      <c r="C1236" s="3">
        <v>40884</v>
      </c>
      <c r="D1236" t="s">
        <v>148</v>
      </c>
      <c r="E1236">
        <v>23</v>
      </c>
      <c r="F1236" s="3">
        <f ca="1">40886+(RANDBETWEEN(1,10))</f>
        <v>40888</v>
      </c>
      <c r="G1236" t="s">
        <v>26</v>
      </c>
      <c r="H1236" t="s">
        <v>96</v>
      </c>
      <c r="I1236" t="s">
        <v>97</v>
      </c>
      <c r="J1236">
        <v>388.01</v>
      </c>
      <c r="K1236">
        <v>0</v>
      </c>
      <c r="L1236">
        <v>0.36</v>
      </c>
      <c r="M1236">
        <v>10.535</v>
      </c>
      <c r="N1236">
        <v>-8.2074999999999996</v>
      </c>
      <c r="O1236" s="1" t="s">
        <v>29</v>
      </c>
      <c r="P1236" s="1" t="s">
        <v>4178</v>
      </c>
      <c r="Q1236" s="1" t="s">
        <v>4179</v>
      </c>
      <c r="R1236" s="1" t="s">
        <v>32</v>
      </c>
      <c r="S1236" s="1" t="s">
        <v>4180</v>
      </c>
      <c r="T1236" s="1" t="s">
        <v>4181</v>
      </c>
      <c r="U1236" s="2" t="s">
        <v>4183</v>
      </c>
      <c r="V1236" s="2" t="s">
        <v>47</v>
      </c>
      <c r="W1236" s="2" t="s">
        <v>74</v>
      </c>
      <c r="X1236" s="2">
        <v>16.66</v>
      </c>
    </row>
    <row r="1237" spans="1:24" x14ac:dyDescent="0.3">
      <c r="A1237">
        <v>19125</v>
      </c>
      <c r="B1237" t="s">
        <v>4184</v>
      </c>
      <c r="C1237" s="3">
        <v>41930</v>
      </c>
      <c r="D1237" t="s">
        <v>62</v>
      </c>
      <c r="E1237">
        <v>14</v>
      </c>
      <c r="F1237" s="3">
        <f ca="1">41932+(RANDBETWEEN(1,10))</f>
        <v>41939</v>
      </c>
      <c r="G1237" t="s">
        <v>26</v>
      </c>
      <c r="H1237" t="s">
        <v>27</v>
      </c>
      <c r="I1237" t="s">
        <v>28</v>
      </c>
      <c r="J1237">
        <v>144.16499999999999</v>
      </c>
      <c r="K1237">
        <v>0.06</v>
      </c>
      <c r="L1237">
        <v>0.39</v>
      </c>
      <c r="M1237">
        <v>1.75</v>
      </c>
      <c r="N1237">
        <v>99.473849999999999</v>
      </c>
      <c r="O1237" s="1" t="s">
        <v>87</v>
      </c>
      <c r="P1237" s="1" t="s">
        <v>2819</v>
      </c>
      <c r="Q1237" s="1" t="s">
        <v>2820</v>
      </c>
      <c r="R1237" s="1" t="s">
        <v>646</v>
      </c>
      <c r="S1237" s="1" t="s">
        <v>2821</v>
      </c>
      <c r="T1237" s="1" t="s">
        <v>2822</v>
      </c>
      <c r="U1237" s="2" t="s">
        <v>3481</v>
      </c>
      <c r="V1237" s="2" t="s">
        <v>47</v>
      </c>
      <c r="W1237" s="2" t="s">
        <v>203</v>
      </c>
      <c r="X1237" s="2">
        <v>10.08</v>
      </c>
    </row>
    <row r="1238" spans="1:24" x14ac:dyDescent="0.3">
      <c r="A1238">
        <v>19126</v>
      </c>
      <c r="B1238" t="s">
        <v>4184</v>
      </c>
      <c r="C1238" s="3">
        <v>41930</v>
      </c>
      <c r="D1238" t="s">
        <v>62</v>
      </c>
      <c r="E1238">
        <v>3</v>
      </c>
      <c r="F1238" s="3">
        <f ca="1">41931+(RANDBETWEEN(1,10))</f>
        <v>41933</v>
      </c>
      <c r="G1238" t="s">
        <v>26</v>
      </c>
      <c r="H1238" t="s">
        <v>27</v>
      </c>
      <c r="I1238" t="s">
        <v>28</v>
      </c>
      <c r="J1238">
        <v>231.07</v>
      </c>
      <c r="K1238">
        <v>0.06</v>
      </c>
      <c r="L1238">
        <v>0.49</v>
      </c>
      <c r="M1238">
        <v>36.715000000000003</v>
      </c>
      <c r="N1238">
        <v>-109.655</v>
      </c>
      <c r="O1238" s="1" t="s">
        <v>87</v>
      </c>
      <c r="P1238" s="1" t="s">
        <v>2819</v>
      </c>
      <c r="Q1238" s="1" t="s">
        <v>2820</v>
      </c>
      <c r="R1238" s="1" t="s">
        <v>646</v>
      </c>
      <c r="S1238" s="1" t="s">
        <v>2821</v>
      </c>
      <c r="T1238" s="1" t="s">
        <v>2822</v>
      </c>
      <c r="U1238" s="2" t="s">
        <v>2586</v>
      </c>
      <c r="V1238" s="2" t="s">
        <v>83</v>
      </c>
      <c r="W1238" s="2" t="s">
        <v>178</v>
      </c>
      <c r="X1238" s="2">
        <v>69.930000000000007</v>
      </c>
    </row>
    <row r="1239" spans="1:24" x14ac:dyDescent="0.3">
      <c r="A1239">
        <v>19127</v>
      </c>
      <c r="B1239" t="s">
        <v>4185</v>
      </c>
      <c r="C1239" s="3">
        <v>40624</v>
      </c>
      <c r="D1239" t="s">
        <v>25</v>
      </c>
      <c r="E1239">
        <v>1</v>
      </c>
      <c r="F1239" s="3">
        <f ca="1">40624+(RANDBETWEEN(1,10))</f>
        <v>40631</v>
      </c>
      <c r="G1239" t="s">
        <v>76</v>
      </c>
      <c r="H1239" t="s">
        <v>77</v>
      </c>
      <c r="I1239" t="s">
        <v>52</v>
      </c>
      <c r="J1239">
        <v>5240.2700000000004</v>
      </c>
      <c r="K1239">
        <v>0.05</v>
      </c>
      <c r="L1239">
        <v>0.56999999999999995</v>
      </c>
      <c r="M1239">
        <v>103.95</v>
      </c>
      <c r="N1239">
        <v>-8964.6322500000006</v>
      </c>
      <c r="O1239" s="1" t="s">
        <v>87</v>
      </c>
      <c r="P1239" s="1" t="s">
        <v>3357</v>
      </c>
      <c r="Q1239" s="1" t="s">
        <v>3358</v>
      </c>
      <c r="R1239" s="1" t="s">
        <v>90</v>
      </c>
      <c r="S1239" s="1" t="s">
        <v>3063</v>
      </c>
      <c r="T1239" s="1" t="s">
        <v>3064</v>
      </c>
      <c r="U1239" s="2" t="s">
        <v>141</v>
      </c>
      <c r="V1239" s="2" t="s">
        <v>36</v>
      </c>
      <c r="W1239" s="2" t="s">
        <v>142</v>
      </c>
      <c r="X1239" s="2">
        <v>5253.3950000000004</v>
      </c>
    </row>
    <row r="1240" spans="1:24" x14ac:dyDescent="0.3">
      <c r="A1240">
        <v>19128</v>
      </c>
      <c r="B1240" t="s">
        <v>4185</v>
      </c>
      <c r="C1240" s="3">
        <v>40624</v>
      </c>
      <c r="D1240" t="s">
        <v>25</v>
      </c>
      <c r="E1240">
        <v>5</v>
      </c>
      <c r="F1240" s="3">
        <f ca="1">40628+(RANDBETWEEN(1,10))</f>
        <v>40633</v>
      </c>
      <c r="G1240" t="s">
        <v>26</v>
      </c>
      <c r="H1240" t="s">
        <v>27</v>
      </c>
      <c r="I1240" t="s">
        <v>52</v>
      </c>
      <c r="J1240">
        <v>856.83500000000004</v>
      </c>
      <c r="K1240">
        <v>0.02</v>
      </c>
      <c r="L1240">
        <v>0.37</v>
      </c>
      <c r="M1240">
        <v>17.815000000000001</v>
      </c>
      <c r="N1240">
        <v>591.21614999999997</v>
      </c>
      <c r="O1240" s="1" t="s">
        <v>87</v>
      </c>
      <c r="P1240" s="1" t="s">
        <v>3357</v>
      </c>
      <c r="Q1240" s="1" t="s">
        <v>3358</v>
      </c>
      <c r="R1240" s="1" t="s">
        <v>90</v>
      </c>
      <c r="S1240" s="1" t="s">
        <v>3063</v>
      </c>
      <c r="T1240" s="1" t="s">
        <v>3064</v>
      </c>
      <c r="U1240" s="2" t="s">
        <v>144</v>
      </c>
      <c r="V1240" s="2" t="s">
        <v>47</v>
      </c>
      <c r="W1240" s="2" t="s">
        <v>74</v>
      </c>
      <c r="X1240" s="2">
        <v>168.14</v>
      </c>
    </row>
    <row r="1241" spans="1:24" x14ac:dyDescent="0.3">
      <c r="A1241">
        <v>19129</v>
      </c>
      <c r="B1241" t="s">
        <v>4185</v>
      </c>
      <c r="C1241" s="3">
        <v>40624</v>
      </c>
      <c r="D1241" t="s">
        <v>25</v>
      </c>
      <c r="E1241">
        <v>1</v>
      </c>
      <c r="F1241" s="3">
        <f ca="1">40631+(RANDBETWEEN(1,10))</f>
        <v>40632</v>
      </c>
      <c r="G1241" t="s">
        <v>26</v>
      </c>
      <c r="H1241" t="s">
        <v>96</v>
      </c>
      <c r="I1241" t="s">
        <v>52</v>
      </c>
      <c r="J1241">
        <v>15.925000000000001</v>
      </c>
      <c r="K1241">
        <v>0.03</v>
      </c>
      <c r="L1241">
        <v>0.57999999999999996</v>
      </c>
      <c r="M1241">
        <v>5.6</v>
      </c>
      <c r="N1241">
        <v>-21.7</v>
      </c>
      <c r="O1241" s="1" t="s">
        <v>87</v>
      </c>
      <c r="P1241" s="1" t="s">
        <v>3357</v>
      </c>
      <c r="Q1241" s="1" t="s">
        <v>3358</v>
      </c>
      <c r="R1241" s="1" t="s">
        <v>90</v>
      </c>
      <c r="S1241" s="1" t="s">
        <v>3063</v>
      </c>
      <c r="T1241" s="1" t="s">
        <v>3064</v>
      </c>
      <c r="U1241" s="2" t="s">
        <v>145</v>
      </c>
      <c r="V1241" s="2" t="s">
        <v>47</v>
      </c>
      <c r="W1241" s="2" t="s">
        <v>104</v>
      </c>
      <c r="X1241" s="2">
        <v>14.98</v>
      </c>
    </row>
    <row r="1242" spans="1:24" x14ac:dyDescent="0.3">
      <c r="A1242">
        <v>19130</v>
      </c>
      <c r="B1242" t="s">
        <v>4186</v>
      </c>
      <c r="C1242" s="3">
        <v>40603</v>
      </c>
      <c r="D1242" t="s">
        <v>39</v>
      </c>
      <c r="E1242">
        <v>9</v>
      </c>
      <c r="F1242" s="3">
        <f ca="1">40604+(RANDBETWEEN(1,10))</f>
        <v>40610</v>
      </c>
      <c r="G1242" t="s">
        <v>26</v>
      </c>
      <c r="H1242" t="s">
        <v>27</v>
      </c>
      <c r="I1242" t="s">
        <v>28</v>
      </c>
      <c r="J1242">
        <v>370.125</v>
      </c>
      <c r="K1242">
        <v>0.02</v>
      </c>
      <c r="L1242">
        <v>0.36</v>
      </c>
      <c r="M1242">
        <v>39.375</v>
      </c>
      <c r="N1242">
        <v>-543.23500000000001</v>
      </c>
      <c r="O1242" s="1" t="s">
        <v>53</v>
      </c>
      <c r="P1242" s="1" t="s">
        <v>2247</v>
      </c>
      <c r="Q1242" s="1" t="s">
        <v>2248</v>
      </c>
      <c r="R1242" s="1" t="s">
        <v>440</v>
      </c>
      <c r="S1242" s="1" t="s">
        <v>2249</v>
      </c>
      <c r="T1242" s="1" t="s">
        <v>2250</v>
      </c>
      <c r="U1242" s="2" t="s">
        <v>1911</v>
      </c>
      <c r="V1242" s="2" t="s">
        <v>47</v>
      </c>
      <c r="W1242" s="2" t="s">
        <v>74</v>
      </c>
      <c r="X1242" s="2">
        <v>39.69</v>
      </c>
    </row>
    <row r="1243" spans="1:24" x14ac:dyDescent="0.3">
      <c r="A1243">
        <v>19131</v>
      </c>
      <c r="B1243" t="s">
        <v>4187</v>
      </c>
      <c r="C1243" s="3">
        <v>40651</v>
      </c>
      <c r="D1243" t="s">
        <v>148</v>
      </c>
      <c r="E1243">
        <v>6</v>
      </c>
      <c r="F1243" s="3">
        <f ca="1">40651+(RANDBETWEEN(1,10))</f>
        <v>40661</v>
      </c>
      <c r="G1243" t="s">
        <v>76</v>
      </c>
      <c r="H1243" t="s">
        <v>77</v>
      </c>
      <c r="I1243" t="s">
        <v>52</v>
      </c>
      <c r="J1243">
        <v>1789.375</v>
      </c>
      <c r="K1243">
        <v>0.09</v>
      </c>
      <c r="L1243">
        <v>0.66</v>
      </c>
      <c r="M1243">
        <v>147</v>
      </c>
      <c r="N1243">
        <v>781.95600000000002</v>
      </c>
      <c r="O1243" s="1" t="s">
        <v>225</v>
      </c>
      <c r="P1243" s="1" t="s">
        <v>557</v>
      </c>
      <c r="Q1243" s="1" t="s">
        <v>558</v>
      </c>
      <c r="R1243" s="1" t="s">
        <v>228</v>
      </c>
      <c r="S1243" s="1" t="s">
        <v>349</v>
      </c>
      <c r="T1243" s="1" t="s">
        <v>350</v>
      </c>
      <c r="U1243" s="2" t="s">
        <v>2462</v>
      </c>
      <c r="V1243" s="2" t="s">
        <v>83</v>
      </c>
      <c r="W1243" s="2" t="s">
        <v>84</v>
      </c>
      <c r="X1243" s="2">
        <v>314.96499999999997</v>
      </c>
    </row>
    <row r="1244" spans="1:24" x14ac:dyDescent="0.3">
      <c r="A1244">
        <v>19132</v>
      </c>
      <c r="B1244" t="s">
        <v>4188</v>
      </c>
      <c r="C1244" s="3">
        <v>41403</v>
      </c>
      <c r="D1244" t="s">
        <v>62</v>
      </c>
      <c r="E1244">
        <v>9</v>
      </c>
      <c r="F1244" s="3">
        <f ca="1">41404+(RANDBETWEEN(1,10))</f>
        <v>41406</v>
      </c>
      <c r="G1244" t="s">
        <v>26</v>
      </c>
      <c r="H1244" t="s">
        <v>27</v>
      </c>
      <c r="I1244" t="s">
        <v>28</v>
      </c>
      <c r="J1244">
        <v>1915.5150000000001</v>
      </c>
      <c r="K1244">
        <v>0.02</v>
      </c>
      <c r="L1244">
        <v>0.39</v>
      </c>
      <c r="M1244">
        <v>36.015000000000001</v>
      </c>
      <c r="N1244">
        <v>-35.049700000000001</v>
      </c>
      <c r="O1244" s="1" t="s">
        <v>64</v>
      </c>
      <c r="P1244" s="1" t="s">
        <v>4189</v>
      </c>
      <c r="Q1244" s="1" t="s">
        <v>4190</v>
      </c>
      <c r="R1244" s="1" t="s">
        <v>67</v>
      </c>
      <c r="S1244" s="1" t="s">
        <v>4191</v>
      </c>
      <c r="T1244" s="1" t="s">
        <v>4192</v>
      </c>
      <c r="U1244" s="2" t="s">
        <v>4193</v>
      </c>
      <c r="V1244" s="2" t="s">
        <v>47</v>
      </c>
      <c r="W1244" s="2" t="s">
        <v>111</v>
      </c>
      <c r="X1244" s="2">
        <v>209.23</v>
      </c>
    </row>
    <row r="1245" spans="1:24" x14ac:dyDescent="0.3">
      <c r="A1245">
        <v>19133</v>
      </c>
      <c r="B1245" t="s">
        <v>4194</v>
      </c>
      <c r="C1245" s="3">
        <v>41940</v>
      </c>
      <c r="D1245" t="s">
        <v>25</v>
      </c>
      <c r="E1245">
        <v>20</v>
      </c>
      <c r="F1245" s="3">
        <f ca="1">41940+(RANDBETWEEN(1,10))</f>
        <v>41948</v>
      </c>
      <c r="G1245" t="s">
        <v>26</v>
      </c>
      <c r="H1245" t="s">
        <v>27</v>
      </c>
      <c r="I1245" t="s">
        <v>52</v>
      </c>
      <c r="J1245">
        <v>1055.04</v>
      </c>
      <c r="K1245">
        <v>0</v>
      </c>
      <c r="L1245">
        <v>0.38</v>
      </c>
      <c r="M1245">
        <v>25.094999999999999</v>
      </c>
      <c r="N1245">
        <v>186.59200000000001</v>
      </c>
      <c r="O1245" s="1" t="s">
        <v>225</v>
      </c>
      <c r="P1245" s="1" t="s">
        <v>3948</v>
      </c>
      <c r="Q1245" s="1" t="s">
        <v>3949</v>
      </c>
      <c r="R1245" s="1" t="s">
        <v>228</v>
      </c>
      <c r="S1245" s="1" t="s">
        <v>3950</v>
      </c>
      <c r="T1245" s="1" t="s">
        <v>3951</v>
      </c>
      <c r="U1245" s="2" t="s">
        <v>3914</v>
      </c>
      <c r="V1245" s="2" t="s">
        <v>47</v>
      </c>
      <c r="W1245" s="2" t="s">
        <v>111</v>
      </c>
      <c r="X1245" s="2">
        <v>50.575000000000003</v>
      </c>
    </row>
    <row r="1246" spans="1:24" x14ac:dyDescent="0.3">
      <c r="A1246">
        <v>19134</v>
      </c>
      <c r="B1246" t="s">
        <v>4195</v>
      </c>
      <c r="C1246" s="3">
        <v>40886</v>
      </c>
      <c r="D1246" t="s">
        <v>62</v>
      </c>
      <c r="E1246">
        <v>15</v>
      </c>
      <c r="F1246" s="3">
        <f ca="1">40888+(RANDBETWEEN(1,10))</f>
        <v>40893</v>
      </c>
      <c r="G1246" t="s">
        <v>26</v>
      </c>
      <c r="H1246" t="s">
        <v>27</v>
      </c>
      <c r="I1246" t="s">
        <v>97</v>
      </c>
      <c r="J1246">
        <v>342.93</v>
      </c>
      <c r="K1246">
        <v>0.04</v>
      </c>
      <c r="L1246">
        <v>0.39</v>
      </c>
      <c r="M1246">
        <v>1.75</v>
      </c>
      <c r="N1246">
        <v>236.6217</v>
      </c>
      <c r="O1246" s="1" t="s">
        <v>87</v>
      </c>
      <c r="P1246" s="1" t="s">
        <v>4196</v>
      </c>
      <c r="Q1246" s="1" t="s">
        <v>4197</v>
      </c>
      <c r="R1246" s="1" t="s">
        <v>497</v>
      </c>
      <c r="S1246" s="1" t="s">
        <v>4198</v>
      </c>
      <c r="T1246" s="1" t="s">
        <v>4199</v>
      </c>
      <c r="U1246" s="2" t="s">
        <v>2021</v>
      </c>
      <c r="V1246" s="2" t="s">
        <v>47</v>
      </c>
      <c r="W1246" s="2" t="s">
        <v>203</v>
      </c>
      <c r="X1246" s="2">
        <v>22.05</v>
      </c>
    </row>
    <row r="1247" spans="1:24" x14ac:dyDescent="0.3">
      <c r="A1247">
        <v>19135</v>
      </c>
      <c r="B1247" t="s">
        <v>4200</v>
      </c>
      <c r="C1247" s="3">
        <v>40940</v>
      </c>
      <c r="D1247" t="s">
        <v>50</v>
      </c>
      <c r="E1247">
        <v>5</v>
      </c>
      <c r="F1247" s="3">
        <f ca="1">40941+(RANDBETWEEN(1,10))</f>
        <v>40946</v>
      </c>
      <c r="G1247" t="s">
        <v>26</v>
      </c>
      <c r="H1247" t="s">
        <v>27</v>
      </c>
      <c r="I1247" t="s">
        <v>28</v>
      </c>
      <c r="J1247">
        <v>291.55</v>
      </c>
      <c r="K1247">
        <v>0.02</v>
      </c>
      <c r="L1247">
        <v>0.4</v>
      </c>
      <c r="M1247">
        <v>4.8650000000000002</v>
      </c>
      <c r="N1247">
        <v>201.1695</v>
      </c>
      <c r="O1247" s="1" t="s">
        <v>29</v>
      </c>
      <c r="P1247" s="1" t="s">
        <v>4201</v>
      </c>
      <c r="Q1247" s="1" t="s">
        <v>4202</v>
      </c>
      <c r="R1247" s="1" t="s">
        <v>460</v>
      </c>
      <c r="S1247" s="1" t="s">
        <v>4203</v>
      </c>
      <c r="T1247" s="1" t="s">
        <v>4204</v>
      </c>
      <c r="U1247" s="2" t="s">
        <v>1095</v>
      </c>
      <c r="V1247" s="2" t="s">
        <v>47</v>
      </c>
      <c r="W1247" s="2" t="s">
        <v>48</v>
      </c>
      <c r="X1247" s="2">
        <v>55.09</v>
      </c>
    </row>
    <row r="1248" spans="1:24" x14ac:dyDescent="0.3">
      <c r="A1248">
        <v>19136</v>
      </c>
      <c r="B1248" t="s">
        <v>4205</v>
      </c>
      <c r="C1248" s="3">
        <v>41861</v>
      </c>
      <c r="D1248" t="s">
        <v>25</v>
      </c>
      <c r="E1248">
        <v>11</v>
      </c>
      <c r="F1248" s="3">
        <f ca="1">41865+(RANDBETWEEN(1,10))</f>
        <v>41873</v>
      </c>
      <c r="G1248" t="s">
        <v>26</v>
      </c>
      <c r="H1248" t="s">
        <v>96</v>
      </c>
      <c r="I1248" t="s">
        <v>86</v>
      </c>
      <c r="J1248">
        <v>131.32</v>
      </c>
      <c r="K1248">
        <v>0.02</v>
      </c>
      <c r="L1248">
        <v>0.84</v>
      </c>
      <c r="M1248">
        <v>6.72</v>
      </c>
      <c r="N1248">
        <v>-438.40300000000002</v>
      </c>
      <c r="O1248" s="1" t="s">
        <v>87</v>
      </c>
      <c r="P1248" s="1" t="s">
        <v>4206</v>
      </c>
      <c r="Q1248" s="1" t="s">
        <v>4207</v>
      </c>
      <c r="R1248" s="1" t="s">
        <v>90</v>
      </c>
      <c r="S1248" s="1" t="s">
        <v>609</v>
      </c>
      <c r="T1248" s="1" t="s">
        <v>610</v>
      </c>
      <c r="U1248" s="2" t="s">
        <v>524</v>
      </c>
      <c r="V1248" s="2" t="s">
        <v>47</v>
      </c>
      <c r="W1248" s="2" t="s">
        <v>94</v>
      </c>
      <c r="X1248" s="2">
        <v>10.99</v>
      </c>
    </row>
    <row r="1249" spans="1:24" x14ac:dyDescent="0.3">
      <c r="A1249">
        <v>19137</v>
      </c>
      <c r="B1249" t="s">
        <v>4205</v>
      </c>
      <c r="C1249" s="3">
        <v>41861</v>
      </c>
      <c r="D1249" t="s">
        <v>25</v>
      </c>
      <c r="E1249">
        <v>25</v>
      </c>
      <c r="F1249" s="3">
        <f ca="1">41866+(RANDBETWEEN(1,10))</f>
        <v>41870</v>
      </c>
      <c r="G1249" t="s">
        <v>26</v>
      </c>
      <c r="H1249" t="s">
        <v>27</v>
      </c>
      <c r="I1249" t="s">
        <v>86</v>
      </c>
      <c r="J1249">
        <v>2621.08</v>
      </c>
      <c r="K1249">
        <v>0.04</v>
      </c>
      <c r="L1249">
        <v>0.55000000000000004</v>
      </c>
      <c r="M1249">
        <v>3.85</v>
      </c>
      <c r="N1249">
        <v>1808.5452</v>
      </c>
      <c r="O1249" s="1" t="s">
        <v>225</v>
      </c>
      <c r="P1249" s="1" t="s">
        <v>4208</v>
      </c>
      <c r="Q1249" s="1" t="s">
        <v>4209</v>
      </c>
      <c r="R1249" s="1" t="s">
        <v>391</v>
      </c>
      <c r="S1249" s="1" t="s">
        <v>4210</v>
      </c>
      <c r="T1249" s="1" t="s">
        <v>4211</v>
      </c>
      <c r="U1249" s="2" t="s">
        <v>1451</v>
      </c>
      <c r="V1249" s="2" t="s">
        <v>36</v>
      </c>
      <c r="W1249" s="2" t="s">
        <v>37</v>
      </c>
      <c r="X1249" s="2">
        <v>125.965</v>
      </c>
    </row>
    <row r="1250" spans="1:24" x14ac:dyDescent="0.3">
      <c r="A1250">
        <v>19138</v>
      </c>
      <c r="B1250" t="s">
        <v>4212</v>
      </c>
      <c r="C1250" s="3">
        <v>41810</v>
      </c>
      <c r="D1250" t="s">
        <v>148</v>
      </c>
      <c r="E1250">
        <v>11</v>
      </c>
      <c r="F1250" s="3">
        <f ca="1">41811+(RANDBETWEEN(1,10))</f>
        <v>41818</v>
      </c>
      <c r="G1250" t="s">
        <v>26</v>
      </c>
      <c r="H1250" t="s">
        <v>281</v>
      </c>
      <c r="I1250" t="s">
        <v>97</v>
      </c>
      <c r="J1250">
        <v>271.67</v>
      </c>
      <c r="K1250">
        <v>0.05</v>
      </c>
      <c r="L1250">
        <v>0.6</v>
      </c>
      <c r="M1250">
        <v>17.605</v>
      </c>
      <c r="N1250">
        <v>6.9551999999999996</v>
      </c>
      <c r="O1250" s="1" t="s">
        <v>29</v>
      </c>
      <c r="P1250" s="1" t="s">
        <v>4213</v>
      </c>
      <c r="Q1250" s="1" t="s">
        <v>4214</v>
      </c>
      <c r="R1250" s="1" t="s">
        <v>675</v>
      </c>
      <c r="S1250" s="1" t="s">
        <v>4215</v>
      </c>
      <c r="T1250" s="1" t="s">
        <v>4216</v>
      </c>
      <c r="U1250" s="2" t="s">
        <v>408</v>
      </c>
      <c r="V1250" s="2" t="s">
        <v>36</v>
      </c>
      <c r="W1250" s="2" t="s">
        <v>37</v>
      </c>
      <c r="X1250" s="2">
        <v>27.965</v>
      </c>
    </row>
    <row r="1251" spans="1:24" x14ac:dyDescent="0.3">
      <c r="A1251">
        <v>19139</v>
      </c>
      <c r="B1251" t="s">
        <v>4217</v>
      </c>
      <c r="C1251" s="3">
        <v>40634</v>
      </c>
      <c r="D1251" t="s">
        <v>39</v>
      </c>
      <c r="E1251">
        <v>8</v>
      </c>
      <c r="F1251" s="3">
        <f ca="1">40636+(RANDBETWEEN(1,10))</f>
        <v>40640</v>
      </c>
      <c r="G1251" t="s">
        <v>26</v>
      </c>
      <c r="H1251" t="s">
        <v>27</v>
      </c>
      <c r="I1251" t="s">
        <v>52</v>
      </c>
      <c r="J1251">
        <v>779.48500000000001</v>
      </c>
      <c r="K1251">
        <v>0.09</v>
      </c>
      <c r="L1251">
        <v>0.55000000000000004</v>
      </c>
      <c r="M1251">
        <v>3.85</v>
      </c>
      <c r="N1251">
        <v>67.724999999999994</v>
      </c>
      <c r="O1251" s="1" t="s">
        <v>87</v>
      </c>
      <c r="P1251" s="1" t="s">
        <v>4218</v>
      </c>
      <c r="Q1251" s="1" t="s">
        <v>4219</v>
      </c>
      <c r="R1251" s="1" t="s">
        <v>398</v>
      </c>
      <c r="S1251" s="1" t="s">
        <v>4220</v>
      </c>
      <c r="T1251" s="1" t="s">
        <v>4221</v>
      </c>
      <c r="U1251" s="2" t="s">
        <v>1451</v>
      </c>
      <c r="V1251" s="2" t="s">
        <v>36</v>
      </c>
      <c r="W1251" s="2" t="s">
        <v>37</v>
      </c>
      <c r="X1251" s="2">
        <v>125.965</v>
      </c>
    </row>
    <row r="1252" spans="1:24" x14ac:dyDescent="0.3">
      <c r="A1252">
        <v>19140</v>
      </c>
      <c r="B1252" t="s">
        <v>4217</v>
      </c>
      <c r="C1252" s="3">
        <v>40634</v>
      </c>
      <c r="D1252" t="s">
        <v>39</v>
      </c>
      <c r="E1252">
        <v>2</v>
      </c>
      <c r="F1252" s="3">
        <f ca="1">40635+(RANDBETWEEN(1,10))</f>
        <v>40644</v>
      </c>
      <c r="G1252" t="s">
        <v>26</v>
      </c>
      <c r="H1252" t="s">
        <v>27</v>
      </c>
      <c r="I1252" t="s">
        <v>52</v>
      </c>
      <c r="J1252">
        <v>771.82</v>
      </c>
      <c r="K1252">
        <v>0.01</v>
      </c>
      <c r="L1252">
        <v>0.6</v>
      </c>
      <c r="M1252">
        <v>8.75</v>
      </c>
      <c r="N1252">
        <v>-3387.4189999999999</v>
      </c>
      <c r="O1252" s="1" t="s">
        <v>87</v>
      </c>
      <c r="P1252" s="1" t="s">
        <v>4218</v>
      </c>
      <c r="Q1252" s="1" t="s">
        <v>4219</v>
      </c>
      <c r="R1252" s="1" t="s">
        <v>398</v>
      </c>
      <c r="S1252" s="1" t="s">
        <v>4220</v>
      </c>
      <c r="T1252" s="1" t="s">
        <v>4221</v>
      </c>
      <c r="U1252" s="2" t="s">
        <v>4222</v>
      </c>
      <c r="V1252" s="2" t="s">
        <v>36</v>
      </c>
      <c r="W1252" s="2" t="s">
        <v>37</v>
      </c>
      <c r="X1252" s="2">
        <v>440.96499999999997</v>
      </c>
    </row>
    <row r="1253" spans="1:24" x14ac:dyDescent="0.3">
      <c r="A1253">
        <v>19141</v>
      </c>
      <c r="B1253" t="s">
        <v>4223</v>
      </c>
      <c r="C1253" s="3">
        <v>40805</v>
      </c>
      <c r="D1253" t="s">
        <v>50</v>
      </c>
      <c r="E1253">
        <v>10</v>
      </c>
      <c r="F1253" s="3">
        <f ca="1">40807+(RANDBETWEEN(1,10))</f>
        <v>40811</v>
      </c>
      <c r="G1253" t="s">
        <v>156</v>
      </c>
      <c r="H1253" t="s">
        <v>27</v>
      </c>
      <c r="I1253" t="s">
        <v>97</v>
      </c>
      <c r="J1253">
        <v>239.19</v>
      </c>
      <c r="K1253">
        <v>0.06</v>
      </c>
      <c r="L1253">
        <v>0.37</v>
      </c>
      <c r="M1253">
        <v>17.989999999999998</v>
      </c>
      <c r="N1253">
        <v>-99.575000000000003</v>
      </c>
      <c r="O1253" s="1" t="s">
        <v>64</v>
      </c>
      <c r="P1253" s="1" t="s">
        <v>2496</v>
      </c>
      <c r="Q1253" s="1" t="s">
        <v>2497</v>
      </c>
      <c r="R1253" s="1" t="s">
        <v>128</v>
      </c>
      <c r="S1253" s="1" t="s">
        <v>2498</v>
      </c>
      <c r="T1253" s="1" t="s">
        <v>2499</v>
      </c>
      <c r="U1253" s="2" t="s">
        <v>146</v>
      </c>
      <c r="V1253" s="2" t="s">
        <v>47</v>
      </c>
      <c r="W1253" s="2" t="s">
        <v>74</v>
      </c>
      <c r="X1253" s="2">
        <v>22.68</v>
      </c>
    </row>
    <row r="1254" spans="1:24" x14ac:dyDescent="0.3">
      <c r="A1254">
        <v>19142</v>
      </c>
      <c r="B1254" t="s">
        <v>4223</v>
      </c>
      <c r="C1254" s="3">
        <v>40805</v>
      </c>
      <c r="D1254" t="s">
        <v>50</v>
      </c>
      <c r="E1254">
        <v>16</v>
      </c>
      <c r="F1254" s="3">
        <f ca="1">40808+(RANDBETWEEN(1,10))</f>
        <v>40817</v>
      </c>
      <c r="G1254" t="s">
        <v>26</v>
      </c>
      <c r="H1254" t="s">
        <v>27</v>
      </c>
      <c r="I1254" t="s">
        <v>97</v>
      </c>
      <c r="J1254">
        <v>1827.77</v>
      </c>
      <c r="K1254">
        <v>0.02</v>
      </c>
      <c r="L1254">
        <v>0.75</v>
      </c>
      <c r="M1254">
        <v>14</v>
      </c>
      <c r="N1254">
        <v>254.73</v>
      </c>
      <c r="O1254" s="1" t="s">
        <v>40</v>
      </c>
      <c r="P1254" s="1" t="s">
        <v>4224</v>
      </c>
      <c r="Q1254" s="1" t="s">
        <v>4225</v>
      </c>
      <c r="R1254" s="1" t="s">
        <v>43</v>
      </c>
      <c r="S1254" s="1" t="s">
        <v>2884</v>
      </c>
      <c r="T1254" s="1" t="s">
        <v>2885</v>
      </c>
      <c r="U1254" s="2" t="s">
        <v>216</v>
      </c>
      <c r="V1254" s="2" t="s">
        <v>36</v>
      </c>
      <c r="W1254" s="2" t="s">
        <v>60</v>
      </c>
      <c r="X1254" s="2">
        <v>107.55500000000001</v>
      </c>
    </row>
    <row r="1255" spans="1:24" x14ac:dyDescent="0.3">
      <c r="A1255">
        <v>19143</v>
      </c>
      <c r="B1255" t="s">
        <v>4226</v>
      </c>
      <c r="C1255" s="3">
        <v>41523</v>
      </c>
      <c r="D1255" t="s">
        <v>39</v>
      </c>
      <c r="E1255">
        <v>22</v>
      </c>
      <c r="F1255" s="3">
        <f ca="1">41524+(RANDBETWEEN(1,10))</f>
        <v>41526</v>
      </c>
      <c r="G1255" t="s">
        <v>156</v>
      </c>
      <c r="H1255" t="s">
        <v>96</v>
      </c>
      <c r="I1255" t="s">
        <v>97</v>
      </c>
      <c r="J1255">
        <v>1312.36</v>
      </c>
      <c r="K1255">
        <v>0.05</v>
      </c>
      <c r="L1255">
        <v>0.81</v>
      </c>
      <c r="M1255">
        <v>8.75</v>
      </c>
      <c r="N1255">
        <v>-308.88549999999998</v>
      </c>
      <c r="O1255" s="1" t="s">
        <v>40</v>
      </c>
      <c r="P1255" s="1" t="s">
        <v>4227</v>
      </c>
      <c r="Q1255" s="1" t="s">
        <v>4228</v>
      </c>
      <c r="R1255" s="1" t="s">
        <v>43</v>
      </c>
      <c r="S1255" s="1" t="s">
        <v>4229</v>
      </c>
      <c r="T1255" s="1" t="s">
        <v>4230</v>
      </c>
      <c r="U1255" s="2" t="s">
        <v>1282</v>
      </c>
      <c r="V1255" s="2" t="s">
        <v>36</v>
      </c>
      <c r="W1255" s="2" t="s">
        <v>37</v>
      </c>
      <c r="X1255" s="2">
        <v>73.465000000000003</v>
      </c>
    </row>
    <row r="1256" spans="1:24" x14ac:dyDescent="0.3">
      <c r="A1256">
        <v>19144</v>
      </c>
      <c r="B1256" t="s">
        <v>4231</v>
      </c>
      <c r="C1256" s="3">
        <v>40557</v>
      </c>
      <c r="D1256" t="s">
        <v>62</v>
      </c>
      <c r="E1256">
        <v>5</v>
      </c>
      <c r="F1256" s="3">
        <f ca="1">40559+(RANDBETWEEN(1,10))</f>
        <v>40563</v>
      </c>
      <c r="G1256" t="s">
        <v>76</v>
      </c>
      <c r="H1256" t="s">
        <v>77</v>
      </c>
      <c r="I1256" t="s">
        <v>97</v>
      </c>
      <c r="J1256">
        <v>1970.2550000000001</v>
      </c>
      <c r="K1256">
        <v>0.08</v>
      </c>
      <c r="L1256">
        <v>0.4</v>
      </c>
      <c r="M1256">
        <v>196.49</v>
      </c>
      <c r="N1256">
        <v>-955.01309400000002</v>
      </c>
      <c r="O1256" s="1" t="s">
        <v>29</v>
      </c>
      <c r="P1256" s="1" t="s">
        <v>4232</v>
      </c>
      <c r="Q1256" s="1" t="s">
        <v>4233</v>
      </c>
      <c r="R1256" s="1" t="s">
        <v>460</v>
      </c>
      <c r="S1256" s="1" t="s">
        <v>4234</v>
      </c>
      <c r="T1256" s="1" t="s">
        <v>4235</v>
      </c>
      <c r="U1256" s="2" t="s">
        <v>898</v>
      </c>
      <c r="V1256" s="2" t="s">
        <v>36</v>
      </c>
      <c r="W1256" s="2" t="s">
        <v>142</v>
      </c>
      <c r="X1256" s="2">
        <v>405.96499999999997</v>
      </c>
    </row>
    <row r="1257" spans="1:24" x14ac:dyDescent="0.3">
      <c r="A1257">
        <v>19145</v>
      </c>
      <c r="B1257" t="s">
        <v>4231</v>
      </c>
      <c r="C1257" s="3">
        <v>40557</v>
      </c>
      <c r="D1257" t="s">
        <v>62</v>
      </c>
      <c r="E1257">
        <v>7</v>
      </c>
      <c r="F1257" s="3">
        <f ca="1">40560+(RANDBETWEEN(1,10))</f>
        <v>40564</v>
      </c>
      <c r="G1257" t="s">
        <v>26</v>
      </c>
      <c r="H1257" t="s">
        <v>96</v>
      </c>
      <c r="I1257" t="s">
        <v>97</v>
      </c>
      <c r="J1257">
        <v>102.13</v>
      </c>
      <c r="K1257">
        <v>0.08</v>
      </c>
      <c r="L1257">
        <v>0.56000000000000005</v>
      </c>
      <c r="M1257">
        <v>3.29</v>
      </c>
      <c r="N1257">
        <v>37.027200000000001</v>
      </c>
      <c r="O1257" s="1" t="s">
        <v>29</v>
      </c>
      <c r="P1257" s="1" t="s">
        <v>4232</v>
      </c>
      <c r="Q1257" s="1" t="s">
        <v>4233</v>
      </c>
      <c r="R1257" s="1" t="s">
        <v>460</v>
      </c>
      <c r="S1257" s="1" t="s">
        <v>4234</v>
      </c>
      <c r="T1257" s="1" t="s">
        <v>4235</v>
      </c>
      <c r="U1257" s="2" t="s">
        <v>331</v>
      </c>
      <c r="V1257" s="2" t="s">
        <v>47</v>
      </c>
      <c r="W1257" s="2" t="s">
        <v>104</v>
      </c>
      <c r="X1257" s="2">
        <v>14.98</v>
      </c>
    </row>
    <row r="1258" spans="1:24" x14ac:dyDescent="0.3">
      <c r="A1258">
        <v>19146</v>
      </c>
      <c r="B1258" t="s">
        <v>4236</v>
      </c>
      <c r="C1258" s="3">
        <v>40678</v>
      </c>
      <c r="D1258" t="s">
        <v>148</v>
      </c>
      <c r="E1258">
        <v>12</v>
      </c>
      <c r="F1258" s="3">
        <f ca="1">40680+(RANDBETWEEN(1,10))</f>
        <v>40682</v>
      </c>
      <c r="G1258" t="s">
        <v>26</v>
      </c>
      <c r="H1258" t="s">
        <v>51</v>
      </c>
      <c r="I1258" t="s">
        <v>52</v>
      </c>
      <c r="J1258">
        <v>354.41</v>
      </c>
      <c r="K1258">
        <v>0.06</v>
      </c>
      <c r="L1258">
        <v>0.74</v>
      </c>
      <c r="M1258">
        <v>8.33</v>
      </c>
      <c r="N1258">
        <v>-128.20500000000001</v>
      </c>
      <c r="O1258" s="1" t="s">
        <v>53</v>
      </c>
      <c r="P1258" s="1" t="s">
        <v>3625</v>
      </c>
      <c r="Q1258" s="1" t="s">
        <v>3626</v>
      </c>
      <c r="R1258" s="1" t="s">
        <v>100</v>
      </c>
      <c r="S1258" s="1" t="s">
        <v>101</v>
      </c>
      <c r="T1258" s="1" t="s">
        <v>3627</v>
      </c>
      <c r="U1258" s="2" t="s">
        <v>152</v>
      </c>
      <c r="V1258" s="2" t="s">
        <v>36</v>
      </c>
      <c r="W1258" s="2" t="s">
        <v>60</v>
      </c>
      <c r="X1258" s="2">
        <v>29.12</v>
      </c>
    </row>
    <row r="1259" spans="1:24" x14ac:dyDescent="0.3">
      <c r="A1259">
        <v>19147</v>
      </c>
      <c r="B1259" t="s">
        <v>4236</v>
      </c>
      <c r="C1259" s="3">
        <v>40678</v>
      </c>
      <c r="D1259" t="s">
        <v>148</v>
      </c>
      <c r="E1259">
        <v>6</v>
      </c>
      <c r="F1259" s="3">
        <f ca="1">40680+(RANDBETWEEN(1,10))</f>
        <v>40689</v>
      </c>
      <c r="G1259" t="s">
        <v>26</v>
      </c>
      <c r="H1259" t="s">
        <v>96</v>
      </c>
      <c r="I1259" t="s">
        <v>52</v>
      </c>
      <c r="J1259">
        <v>60.9</v>
      </c>
      <c r="K1259">
        <v>0.08</v>
      </c>
      <c r="L1259">
        <v>0.57999999999999996</v>
      </c>
      <c r="M1259">
        <v>3.36</v>
      </c>
      <c r="N1259">
        <v>-7.42</v>
      </c>
      <c r="O1259" s="1" t="s">
        <v>53</v>
      </c>
      <c r="P1259" s="1" t="s">
        <v>3625</v>
      </c>
      <c r="Q1259" s="1" t="s">
        <v>3626</v>
      </c>
      <c r="R1259" s="1" t="s">
        <v>100</v>
      </c>
      <c r="S1259" s="1" t="s">
        <v>101</v>
      </c>
      <c r="T1259" s="1" t="s">
        <v>3627</v>
      </c>
      <c r="U1259" s="2" t="s">
        <v>154</v>
      </c>
      <c r="V1259" s="2" t="s">
        <v>47</v>
      </c>
      <c r="W1259" s="2" t="s">
        <v>104</v>
      </c>
      <c r="X1259" s="2">
        <v>10.29</v>
      </c>
    </row>
    <row r="1260" spans="1:24" x14ac:dyDescent="0.3">
      <c r="A1260">
        <v>19148</v>
      </c>
      <c r="B1260" t="s">
        <v>4237</v>
      </c>
      <c r="C1260" s="3">
        <v>41034</v>
      </c>
      <c r="D1260" t="s">
        <v>39</v>
      </c>
      <c r="E1260">
        <v>13</v>
      </c>
      <c r="F1260" s="3">
        <f ca="1">41035+(RANDBETWEEN(1,10))</f>
        <v>41039</v>
      </c>
      <c r="G1260" t="s">
        <v>76</v>
      </c>
      <c r="H1260" t="s">
        <v>258</v>
      </c>
      <c r="I1260" t="s">
        <v>86</v>
      </c>
      <c r="J1260">
        <v>6069.5950000000003</v>
      </c>
      <c r="K1260">
        <v>7.0000000000000007E-2</v>
      </c>
      <c r="L1260">
        <v>0.77</v>
      </c>
      <c r="M1260">
        <v>126.315</v>
      </c>
      <c r="N1260">
        <v>-747.44600000000003</v>
      </c>
      <c r="O1260" s="1" t="s">
        <v>87</v>
      </c>
      <c r="P1260" s="1" t="s">
        <v>4027</v>
      </c>
      <c r="Q1260" s="1" t="s">
        <v>4028</v>
      </c>
      <c r="R1260" s="1" t="s">
        <v>90</v>
      </c>
      <c r="S1260" s="1" t="s">
        <v>4029</v>
      </c>
      <c r="T1260" s="1" t="s">
        <v>4030</v>
      </c>
      <c r="U1260" s="2" t="s">
        <v>3136</v>
      </c>
      <c r="V1260" s="2" t="s">
        <v>83</v>
      </c>
      <c r="W1260" s="2" t="s">
        <v>298</v>
      </c>
      <c r="X1260" s="2">
        <v>493.43</v>
      </c>
    </row>
    <row r="1261" spans="1:24" x14ac:dyDescent="0.3">
      <c r="A1261">
        <v>19149</v>
      </c>
      <c r="B1261" t="s">
        <v>4238</v>
      </c>
      <c r="C1261" s="3">
        <v>40988</v>
      </c>
      <c r="D1261" t="s">
        <v>50</v>
      </c>
      <c r="E1261">
        <v>9</v>
      </c>
      <c r="F1261" s="3">
        <f ca="1">40989+(RANDBETWEEN(1,10))</f>
        <v>40994</v>
      </c>
      <c r="G1261" t="s">
        <v>26</v>
      </c>
      <c r="H1261" t="s">
        <v>27</v>
      </c>
      <c r="I1261" t="s">
        <v>28</v>
      </c>
      <c r="J1261">
        <v>1020.5650000000001</v>
      </c>
      <c r="K1261">
        <v>0.02</v>
      </c>
      <c r="L1261">
        <v>0.37</v>
      </c>
      <c r="M1261">
        <v>44.17</v>
      </c>
      <c r="N1261">
        <v>647.80624999999998</v>
      </c>
      <c r="O1261" s="1" t="s">
        <v>87</v>
      </c>
      <c r="P1261" s="1" t="s">
        <v>4239</v>
      </c>
      <c r="Q1261" s="1" t="s">
        <v>4240</v>
      </c>
      <c r="R1261" s="1" t="s">
        <v>90</v>
      </c>
      <c r="S1261" s="1" t="s">
        <v>4241</v>
      </c>
      <c r="T1261" s="1" t="s">
        <v>4242</v>
      </c>
      <c r="U1261" s="2" t="s">
        <v>4243</v>
      </c>
      <c r="V1261" s="2" t="s">
        <v>47</v>
      </c>
      <c r="W1261" s="2" t="s">
        <v>111</v>
      </c>
      <c r="X1261" s="2">
        <v>111.09</v>
      </c>
    </row>
    <row r="1262" spans="1:24" x14ac:dyDescent="0.3">
      <c r="A1262">
        <v>1915</v>
      </c>
      <c r="B1262" t="s">
        <v>4244</v>
      </c>
      <c r="C1262" s="3">
        <v>41403</v>
      </c>
      <c r="D1262" t="s">
        <v>39</v>
      </c>
      <c r="E1262">
        <v>41</v>
      </c>
      <c r="F1262" s="3">
        <f ca="1">41405+(RANDBETWEEN(1,10))</f>
        <v>41411</v>
      </c>
      <c r="G1262" t="s">
        <v>76</v>
      </c>
      <c r="H1262" t="s">
        <v>258</v>
      </c>
      <c r="I1262" t="s">
        <v>28</v>
      </c>
      <c r="J1262">
        <v>19966.59</v>
      </c>
      <c r="K1262">
        <v>7.0000000000000007E-2</v>
      </c>
      <c r="L1262">
        <v>0.64</v>
      </c>
      <c r="M1262">
        <v>153.125</v>
      </c>
      <c r="N1262">
        <v>-1648.452806</v>
      </c>
      <c r="O1262" s="1" t="s">
        <v>225</v>
      </c>
      <c r="P1262" s="1" t="s">
        <v>3977</v>
      </c>
      <c r="Q1262" s="1" t="s">
        <v>3978</v>
      </c>
      <c r="R1262" s="1" t="s">
        <v>228</v>
      </c>
      <c r="S1262" s="1" t="s">
        <v>349</v>
      </c>
      <c r="T1262" s="1" t="s">
        <v>350</v>
      </c>
      <c r="U1262" s="2" t="s">
        <v>262</v>
      </c>
      <c r="V1262" s="2" t="s">
        <v>83</v>
      </c>
      <c r="W1262" s="2" t="s">
        <v>263</v>
      </c>
      <c r="X1262" s="2">
        <v>512.19000000000005</v>
      </c>
    </row>
    <row r="1263" spans="1:24" x14ac:dyDescent="0.3">
      <c r="A1263">
        <v>19150</v>
      </c>
      <c r="B1263" t="s">
        <v>4245</v>
      </c>
      <c r="C1263" s="3">
        <v>41693</v>
      </c>
      <c r="D1263" t="s">
        <v>25</v>
      </c>
      <c r="E1263">
        <v>10</v>
      </c>
      <c r="F1263" s="3">
        <f ca="1">41695+(RANDBETWEEN(1,10))</f>
        <v>41705</v>
      </c>
      <c r="G1263" t="s">
        <v>26</v>
      </c>
      <c r="H1263" t="s">
        <v>96</v>
      </c>
      <c r="I1263" t="s">
        <v>97</v>
      </c>
      <c r="J1263">
        <v>260.54000000000002</v>
      </c>
      <c r="K1263">
        <v>7.0000000000000007E-2</v>
      </c>
      <c r="L1263">
        <v>0.42</v>
      </c>
      <c r="M1263">
        <v>14</v>
      </c>
      <c r="N1263">
        <v>88.06</v>
      </c>
      <c r="O1263" s="1" t="s">
        <v>29</v>
      </c>
      <c r="P1263" s="1" t="s">
        <v>962</v>
      </c>
      <c r="Q1263" s="1" t="s">
        <v>963</v>
      </c>
      <c r="R1263" s="1" t="s">
        <v>32</v>
      </c>
      <c r="S1263" s="1" t="s">
        <v>964</v>
      </c>
      <c r="T1263" s="1" t="s">
        <v>965</v>
      </c>
      <c r="U1263" s="2" t="s">
        <v>2801</v>
      </c>
      <c r="V1263" s="2" t="s">
        <v>83</v>
      </c>
      <c r="W1263" s="2" t="s">
        <v>178</v>
      </c>
      <c r="X1263" s="2">
        <v>26.565000000000001</v>
      </c>
    </row>
    <row r="1264" spans="1:24" x14ac:dyDescent="0.3">
      <c r="A1264">
        <v>19151</v>
      </c>
      <c r="B1264" t="s">
        <v>4245</v>
      </c>
      <c r="C1264" s="3">
        <v>41693</v>
      </c>
      <c r="D1264" t="s">
        <v>25</v>
      </c>
      <c r="E1264">
        <v>9</v>
      </c>
      <c r="F1264" s="3">
        <f ca="1">41695+(RANDBETWEEN(1,10))</f>
        <v>41698</v>
      </c>
      <c r="G1264" t="s">
        <v>26</v>
      </c>
      <c r="H1264" t="s">
        <v>27</v>
      </c>
      <c r="I1264" t="s">
        <v>97</v>
      </c>
      <c r="J1264">
        <v>369.565</v>
      </c>
      <c r="K1264">
        <v>0.02</v>
      </c>
      <c r="L1264">
        <v>0.4</v>
      </c>
      <c r="M1264">
        <v>19.704999999999998</v>
      </c>
      <c r="N1264">
        <v>86.989000000000004</v>
      </c>
      <c r="O1264" s="1" t="s">
        <v>87</v>
      </c>
      <c r="P1264" s="1" t="s">
        <v>4246</v>
      </c>
      <c r="Q1264" s="1" t="s">
        <v>4247</v>
      </c>
      <c r="R1264" s="1" t="s">
        <v>398</v>
      </c>
      <c r="S1264" s="1" t="s">
        <v>4248</v>
      </c>
      <c r="T1264" s="1" t="s">
        <v>4249</v>
      </c>
      <c r="U1264" s="2" t="s">
        <v>941</v>
      </c>
      <c r="V1264" s="2" t="s">
        <v>47</v>
      </c>
      <c r="W1264" s="2" t="s">
        <v>111</v>
      </c>
      <c r="X1264" s="2">
        <v>40.950000000000003</v>
      </c>
    </row>
    <row r="1265" spans="1:24" x14ac:dyDescent="0.3">
      <c r="A1265">
        <v>19152</v>
      </c>
      <c r="B1265" t="s">
        <v>4245</v>
      </c>
      <c r="C1265" s="3">
        <v>41693</v>
      </c>
      <c r="D1265" t="s">
        <v>25</v>
      </c>
      <c r="E1265">
        <v>11</v>
      </c>
      <c r="F1265" s="3">
        <f ca="1">41695+(RANDBETWEEN(1,10))</f>
        <v>41696</v>
      </c>
      <c r="G1265" t="s">
        <v>26</v>
      </c>
      <c r="H1265" t="s">
        <v>96</v>
      </c>
      <c r="I1265" t="s">
        <v>97</v>
      </c>
      <c r="J1265">
        <v>264.81</v>
      </c>
      <c r="K1265">
        <v>0.02</v>
      </c>
      <c r="L1265">
        <v>0.38</v>
      </c>
      <c r="M1265">
        <v>5.6</v>
      </c>
      <c r="N1265">
        <v>182.71889999999999</v>
      </c>
      <c r="O1265" s="1" t="s">
        <v>87</v>
      </c>
      <c r="P1265" s="1" t="s">
        <v>4246</v>
      </c>
      <c r="Q1265" s="1" t="s">
        <v>4247</v>
      </c>
      <c r="R1265" s="1" t="s">
        <v>398</v>
      </c>
      <c r="S1265" s="1" t="s">
        <v>4248</v>
      </c>
      <c r="T1265" s="1" t="s">
        <v>4249</v>
      </c>
      <c r="U1265" s="2" t="s">
        <v>4250</v>
      </c>
      <c r="V1265" s="2" t="s">
        <v>47</v>
      </c>
      <c r="W1265" s="2" t="s">
        <v>74</v>
      </c>
      <c r="X1265" s="2">
        <v>24.43</v>
      </c>
    </row>
    <row r="1266" spans="1:24" x14ac:dyDescent="0.3">
      <c r="A1266">
        <v>19153</v>
      </c>
      <c r="B1266" t="s">
        <v>4251</v>
      </c>
      <c r="C1266" s="3">
        <v>41750</v>
      </c>
      <c r="D1266" t="s">
        <v>148</v>
      </c>
      <c r="E1266">
        <v>6</v>
      </c>
      <c r="F1266" s="3">
        <f ca="1">41750+(RANDBETWEEN(1,10))</f>
        <v>41751</v>
      </c>
      <c r="G1266" t="s">
        <v>26</v>
      </c>
      <c r="H1266" t="s">
        <v>27</v>
      </c>
      <c r="I1266" t="s">
        <v>97</v>
      </c>
      <c r="J1266">
        <v>625.97500000000002</v>
      </c>
      <c r="K1266">
        <v>0.08</v>
      </c>
      <c r="L1266">
        <v>0.8</v>
      </c>
      <c r="M1266">
        <v>14</v>
      </c>
      <c r="N1266">
        <v>-347.69</v>
      </c>
      <c r="O1266" s="1" t="s">
        <v>87</v>
      </c>
      <c r="P1266" s="1" t="s">
        <v>1222</v>
      </c>
      <c r="Q1266" s="1" t="s">
        <v>1223</v>
      </c>
      <c r="R1266" s="1" t="s">
        <v>497</v>
      </c>
      <c r="S1266" s="1" t="s">
        <v>1224</v>
      </c>
      <c r="T1266" s="1" t="s">
        <v>1225</v>
      </c>
      <c r="U1266" s="2" t="s">
        <v>4252</v>
      </c>
      <c r="V1266" s="2" t="s">
        <v>36</v>
      </c>
      <c r="W1266" s="2" t="s">
        <v>60</v>
      </c>
      <c r="X1266" s="2">
        <v>108.43</v>
      </c>
    </row>
    <row r="1267" spans="1:24" x14ac:dyDescent="0.3">
      <c r="A1267">
        <v>19154</v>
      </c>
      <c r="B1267" t="s">
        <v>4253</v>
      </c>
      <c r="C1267" s="3">
        <v>41514</v>
      </c>
      <c r="D1267" t="s">
        <v>39</v>
      </c>
      <c r="E1267">
        <v>2</v>
      </c>
      <c r="F1267" s="3">
        <f ca="1">41515+(RANDBETWEEN(1,10))</f>
        <v>41524</v>
      </c>
      <c r="G1267" t="s">
        <v>76</v>
      </c>
      <c r="H1267" t="s">
        <v>77</v>
      </c>
      <c r="I1267" t="s">
        <v>28</v>
      </c>
      <c r="J1267">
        <v>2216.7600000000002</v>
      </c>
      <c r="K1267">
        <v>0.04</v>
      </c>
      <c r="L1267">
        <v>0.56000000000000005</v>
      </c>
      <c r="M1267">
        <v>226.55500000000001</v>
      </c>
      <c r="N1267">
        <v>-488.41520000000003</v>
      </c>
      <c r="O1267" s="1" t="s">
        <v>40</v>
      </c>
      <c r="P1267" s="1" t="s">
        <v>4254</v>
      </c>
      <c r="Q1267" s="1" t="s">
        <v>4255</v>
      </c>
      <c r="R1267" s="1" t="s">
        <v>220</v>
      </c>
      <c r="S1267" s="1" t="s">
        <v>4256</v>
      </c>
      <c r="T1267" s="1" t="s">
        <v>4257</v>
      </c>
      <c r="U1267" s="2" t="s">
        <v>3031</v>
      </c>
      <c r="V1267" s="2" t="s">
        <v>83</v>
      </c>
      <c r="W1267" s="2" t="s">
        <v>84</v>
      </c>
      <c r="X1267" s="2">
        <v>1053.43</v>
      </c>
    </row>
    <row r="1268" spans="1:24" x14ac:dyDescent="0.3">
      <c r="A1268">
        <v>19155</v>
      </c>
      <c r="B1268" t="s">
        <v>4258</v>
      </c>
      <c r="C1268" s="3">
        <v>41127</v>
      </c>
      <c r="D1268" t="s">
        <v>25</v>
      </c>
      <c r="E1268">
        <v>1</v>
      </c>
      <c r="F1268" s="3">
        <f ca="1">41131+(RANDBETWEEN(1,10))</f>
        <v>41141</v>
      </c>
      <c r="G1268" t="s">
        <v>26</v>
      </c>
      <c r="H1268" t="s">
        <v>27</v>
      </c>
      <c r="I1268" t="s">
        <v>86</v>
      </c>
      <c r="J1268">
        <v>38.64</v>
      </c>
      <c r="K1268">
        <v>7.0000000000000007E-2</v>
      </c>
      <c r="L1268">
        <v>0.4</v>
      </c>
      <c r="M1268">
        <v>36.365000000000002</v>
      </c>
      <c r="N1268">
        <v>-904.54</v>
      </c>
      <c r="O1268" s="1" t="s">
        <v>40</v>
      </c>
      <c r="P1268" s="1" t="s">
        <v>4259</v>
      </c>
      <c r="Q1268" s="1" t="s">
        <v>4260</v>
      </c>
      <c r="R1268" s="1" t="s">
        <v>220</v>
      </c>
      <c r="S1268" s="1" t="s">
        <v>1455</v>
      </c>
      <c r="T1268" s="1" t="s">
        <v>1456</v>
      </c>
      <c r="U1268" s="2" t="s">
        <v>3250</v>
      </c>
      <c r="V1268" s="2" t="s">
        <v>47</v>
      </c>
      <c r="W1268" s="2" t="s">
        <v>74</v>
      </c>
      <c r="X1268" s="2">
        <v>20.93</v>
      </c>
    </row>
    <row r="1269" spans="1:24" x14ac:dyDescent="0.3">
      <c r="A1269">
        <v>19156</v>
      </c>
      <c r="B1269" t="s">
        <v>4261</v>
      </c>
      <c r="C1269" s="3">
        <v>41546</v>
      </c>
      <c r="D1269" t="s">
        <v>62</v>
      </c>
      <c r="E1269">
        <v>9</v>
      </c>
      <c r="F1269" s="3">
        <f ca="1">41548+(RANDBETWEEN(1,10))</f>
        <v>41552</v>
      </c>
      <c r="G1269" t="s">
        <v>156</v>
      </c>
      <c r="H1269" t="s">
        <v>27</v>
      </c>
      <c r="I1269" t="s">
        <v>86</v>
      </c>
      <c r="J1269">
        <v>610.15499999999997</v>
      </c>
      <c r="K1269">
        <v>7.0000000000000007E-2</v>
      </c>
      <c r="L1269">
        <v>0.38</v>
      </c>
      <c r="M1269">
        <v>20.895</v>
      </c>
      <c r="N1269">
        <v>246.36500000000001</v>
      </c>
      <c r="O1269" s="1" t="s">
        <v>87</v>
      </c>
      <c r="P1269" s="1" t="s">
        <v>2403</v>
      </c>
      <c r="Q1269" s="1" t="s">
        <v>2404</v>
      </c>
      <c r="R1269" s="1" t="s">
        <v>90</v>
      </c>
      <c r="S1269" s="1" t="s">
        <v>2405</v>
      </c>
      <c r="T1269" s="1" t="s">
        <v>2406</v>
      </c>
      <c r="U1269" s="2" t="s">
        <v>161</v>
      </c>
      <c r="V1269" s="2" t="s">
        <v>47</v>
      </c>
      <c r="W1269" s="2" t="s">
        <v>74</v>
      </c>
      <c r="X1269" s="2">
        <v>69.930000000000007</v>
      </c>
    </row>
    <row r="1270" spans="1:24" x14ac:dyDescent="0.3">
      <c r="A1270">
        <v>19157</v>
      </c>
      <c r="B1270" t="s">
        <v>4261</v>
      </c>
      <c r="C1270" s="3">
        <v>41546</v>
      </c>
      <c r="D1270" t="s">
        <v>62</v>
      </c>
      <c r="E1270">
        <v>12</v>
      </c>
      <c r="F1270" s="3">
        <f ca="1">41547+(RANDBETWEEN(1,10))</f>
        <v>41557</v>
      </c>
      <c r="G1270" t="s">
        <v>26</v>
      </c>
      <c r="H1270" t="s">
        <v>27</v>
      </c>
      <c r="I1270" t="s">
        <v>86</v>
      </c>
      <c r="J1270">
        <v>267.05</v>
      </c>
      <c r="K1270">
        <v>0.1</v>
      </c>
      <c r="L1270">
        <v>0.37</v>
      </c>
      <c r="M1270">
        <v>24.605</v>
      </c>
      <c r="N1270">
        <v>-303.17</v>
      </c>
      <c r="O1270" s="1" t="s">
        <v>87</v>
      </c>
      <c r="P1270" s="1" t="s">
        <v>2403</v>
      </c>
      <c r="Q1270" s="1" t="s">
        <v>2404</v>
      </c>
      <c r="R1270" s="1" t="s">
        <v>90</v>
      </c>
      <c r="S1270" s="1" t="s">
        <v>2405</v>
      </c>
      <c r="T1270" s="1" t="s">
        <v>2406</v>
      </c>
      <c r="U1270" s="2" t="s">
        <v>162</v>
      </c>
      <c r="V1270" s="2" t="s">
        <v>47</v>
      </c>
      <c r="W1270" s="2" t="s">
        <v>74</v>
      </c>
      <c r="X1270" s="2">
        <v>22.68</v>
      </c>
    </row>
    <row r="1271" spans="1:24" x14ac:dyDescent="0.3">
      <c r="A1271">
        <v>19158</v>
      </c>
      <c r="B1271" t="s">
        <v>4262</v>
      </c>
      <c r="C1271" s="3">
        <v>40647</v>
      </c>
      <c r="D1271" t="s">
        <v>148</v>
      </c>
      <c r="E1271">
        <v>8</v>
      </c>
      <c r="F1271" s="3">
        <f ca="1">40649+(RANDBETWEEN(1,10))</f>
        <v>40659</v>
      </c>
      <c r="G1271" t="s">
        <v>156</v>
      </c>
      <c r="H1271" t="s">
        <v>27</v>
      </c>
      <c r="I1271" t="s">
        <v>97</v>
      </c>
      <c r="J1271">
        <v>851.62</v>
      </c>
      <c r="K1271">
        <v>0.01</v>
      </c>
      <c r="L1271">
        <v>0.78</v>
      </c>
      <c r="M1271">
        <v>14</v>
      </c>
      <c r="N1271">
        <v>-79.87</v>
      </c>
      <c r="O1271" s="1" t="s">
        <v>53</v>
      </c>
      <c r="P1271" s="1" t="s">
        <v>4263</v>
      </c>
      <c r="Q1271" s="1" t="s">
        <v>4264</v>
      </c>
      <c r="R1271" s="1" t="s">
        <v>100</v>
      </c>
      <c r="S1271" s="1" t="s">
        <v>4265</v>
      </c>
      <c r="T1271" s="1" t="s">
        <v>3707</v>
      </c>
      <c r="U1271" s="2" t="s">
        <v>4266</v>
      </c>
      <c r="V1271" s="2" t="s">
        <v>36</v>
      </c>
      <c r="W1271" s="2" t="s">
        <v>60</v>
      </c>
      <c r="X1271" s="2">
        <v>101.85</v>
      </c>
    </row>
    <row r="1272" spans="1:24" x14ac:dyDescent="0.3">
      <c r="A1272">
        <v>19159</v>
      </c>
      <c r="B1272" t="s">
        <v>4262</v>
      </c>
      <c r="C1272" s="3">
        <v>40647</v>
      </c>
      <c r="D1272" t="s">
        <v>148</v>
      </c>
      <c r="E1272">
        <v>5</v>
      </c>
      <c r="F1272" s="3">
        <f ca="1">40648+(RANDBETWEEN(1,10))</f>
        <v>40650</v>
      </c>
      <c r="G1272" t="s">
        <v>76</v>
      </c>
      <c r="H1272" t="s">
        <v>258</v>
      </c>
      <c r="I1272" t="s">
        <v>97</v>
      </c>
      <c r="J1272">
        <v>4095.7350000000001</v>
      </c>
      <c r="K1272">
        <v>0.06</v>
      </c>
      <c r="L1272">
        <v>0.76</v>
      </c>
      <c r="M1272">
        <v>189.42</v>
      </c>
      <c r="N1272">
        <v>-2505.2237209999998</v>
      </c>
      <c r="O1272" s="1" t="s">
        <v>87</v>
      </c>
      <c r="P1272" s="1" t="s">
        <v>4267</v>
      </c>
      <c r="Q1272" s="1" t="s">
        <v>4268</v>
      </c>
      <c r="R1272" s="1" t="s">
        <v>90</v>
      </c>
      <c r="S1272" s="1" t="s">
        <v>653</v>
      </c>
      <c r="T1272" s="1" t="s">
        <v>654</v>
      </c>
      <c r="U1272" s="2" t="s">
        <v>1007</v>
      </c>
      <c r="V1272" s="2" t="s">
        <v>83</v>
      </c>
      <c r="W1272" s="2" t="s">
        <v>263</v>
      </c>
      <c r="X1272" s="2">
        <v>1036.6300000000001</v>
      </c>
    </row>
    <row r="1273" spans="1:24" x14ac:dyDescent="0.3">
      <c r="A1273">
        <v>19160</v>
      </c>
      <c r="B1273" t="s">
        <v>4269</v>
      </c>
      <c r="C1273" s="3">
        <v>41742</v>
      </c>
      <c r="D1273" t="s">
        <v>50</v>
      </c>
      <c r="E1273">
        <v>6</v>
      </c>
      <c r="F1273" s="3">
        <f ca="1">41744+(RANDBETWEEN(1,10))</f>
        <v>41747</v>
      </c>
      <c r="G1273" t="s">
        <v>26</v>
      </c>
      <c r="H1273" t="s">
        <v>27</v>
      </c>
      <c r="I1273" t="s">
        <v>97</v>
      </c>
      <c r="J1273">
        <v>1143.625</v>
      </c>
      <c r="K1273">
        <v>0.02</v>
      </c>
      <c r="L1273">
        <v>0.56999999999999995</v>
      </c>
      <c r="M1273">
        <v>3.4649999999999999</v>
      </c>
      <c r="N1273">
        <v>138.34800000000001</v>
      </c>
      <c r="O1273" s="1" t="s">
        <v>64</v>
      </c>
      <c r="P1273" s="1" t="s">
        <v>4270</v>
      </c>
      <c r="Q1273" s="1" t="s">
        <v>4271</v>
      </c>
      <c r="R1273" s="1" t="s">
        <v>128</v>
      </c>
      <c r="S1273" s="1" t="s">
        <v>4272</v>
      </c>
      <c r="T1273" s="1" t="s">
        <v>4273</v>
      </c>
      <c r="U1273" s="2" t="s">
        <v>4274</v>
      </c>
      <c r="V1273" s="2" t="s">
        <v>47</v>
      </c>
      <c r="W1273" s="2" t="s">
        <v>71</v>
      </c>
      <c r="X1273" s="2">
        <v>190.68</v>
      </c>
    </row>
    <row r="1274" spans="1:24" x14ac:dyDescent="0.3">
      <c r="A1274">
        <v>19161</v>
      </c>
      <c r="B1274" t="s">
        <v>4269</v>
      </c>
      <c r="C1274" s="3">
        <v>41742</v>
      </c>
      <c r="D1274" t="s">
        <v>50</v>
      </c>
      <c r="E1274">
        <v>6</v>
      </c>
      <c r="F1274" s="3">
        <f ca="1">41743+(RANDBETWEEN(1,10))</f>
        <v>41753</v>
      </c>
      <c r="G1274" t="s">
        <v>26</v>
      </c>
      <c r="H1274" t="s">
        <v>27</v>
      </c>
      <c r="I1274" t="s">
        <v>97</v>
      </c>
      <c r="J1274">
        <v>39.515000000000001</v>
      </c>
      <c r="K1274">
        <v>0.09</v>
      </c>
      <c r="L1274">
        <v>0.37</v>
      </c>
      <c r="M1274">
        <v>5.2149999999999999</v>
      </c>
      <c r="N1274">
        <v>2.9820000000000002</v>
      </c>
      <c r="O1274" s="1" t="s">
        <v>64</v>
      </c>
      <c r="P1274" s="1" t="s">
        <v>4270</v>
      </c>
      <c r="Q1274" s="1" t="s">
        <v>4271</v>
      </c>
      <c r="R1274" s="1" t="s">
        <v>128</v>
      </c>
      <c r="S1274" s="1" t="s">
        <v>4272</v>
      </c>
      <c r="T1274" s="1" t="s">
        <v>4273</v>
      </c>
      <c r="U1274" s="2" t="s">
        <v>4275</v>
      </c>
      <c r="V1274" s="2" t="s">
        <v>47</v>
      </c>
      <c r="W1274" s="2" t="s">
        <v>111</v>
      </c>
      <c r="X1274" s="2">
        <v>6.58</v>
      </c>
    </row>
    <row r="1275" spans="1:24" x14ac:dyDescent="0.3">
      <c r="A1275">
        <v>19162</v>
      </c>
      <c r="B1275" t="s">
        <v>4276</v>
      </c>
      <c r="C1275" s="3">
        <v>41866</v>
      </c>
      <c r="D1275" t="s">
        <v>148</v>
      </c>
      <c r="E1275">
        <v>19</v>
      </c>
      <c r="F1275" s="3">
        <f ca="1">41869+(RANDBETWEEN(1,10))</f>
        <v>41875</v>
      </c>
      <c r="G1275" t="s">
        <v>26</v>
      </c>
      <c r="H1275" t="s">
        <v>27</v>
      </c>
      <c r="I1275" t="s">
        <v>86</v>
      </c>
      <c r="J1275">
        <v>382.86500000000001</v>
      </c>
      <c r="K1275">
        <v>0.03</v>
      </c>
      <c r="L1275">
        <v>0.37</v>
      </c>
      <c r="M1275">
        <v>27.23</v>
      </c>
      <c r="N1275">
        <v>-279.18269400000003</v>
      </c>
      <c r="O1275" s="1" t="s">
        <v>29</v>
      </c>
      <c r="P1275" s="1" t="s">
        <v>4277</v>
      </c>
      <c r="Q1275" s="1" t="s">
        <v>4278</v>
      </c>
      <c r="R1275" s="1" t="s">
        <v>32</v>
      </c>
      <c r="S1275" s="1" t="s">
        <v>4279</v>
      </c>
      <c r="T1275" s="1" t="s">
        <v>4280</v>
      </c>
      <c r="U1275" s="2" t="s">
        <v>599</v>
      </c>
      <c r="V1275" s="2" t="s">
        <v>47</v>
      </c>
      <c r="W1275" s="2" t="s">
        <v>111</v>
      </c>
      <c r="X1275" s="2">
        <v>18.899999999999999</v>
      </c>
    </row>
    <row r="1276" spans="1:24" x14ac:dyDescent="0.3">
      <c r="A1276">
        <v>19163</v>
      </c>
      <c r="B1276" t="s">
        <v>4281</v>
      </c>
      <c r="C1276" s="3">
        <v>41303</v>
      </c>
      <c r="D1276" t="s">
        <v>39</v>
      </c>
      <c r="E1276">
        <v>3</v>
      </c>
      <c r="F1276" s="3">
        <f ca="1">41305+(RANDBETWEEN(1,10))</f>
        <v>41314</v>
      </c>
      <c r="G1276" t="s">
        <v>26</v>
      </c>
      <c r="H1276" t="s">
        <v>27</v>
      </c>
      <c r="I1276" t="s">
        <v>28</v>
      </c>
      <c r="J1276">
        <v>72.905000000000001</v>
      </c>
      <c r="K1276">
        <v>7.0000000000000007E-2</v>
      </c>
      <c r="L1276">
        <v>0.36</v>
      </c>
      <c r="M1276">
        <v>30.59</v>
      </c>
      <c r="N1276">
        <v>-253.45599999999999</v>
      </c>
      <c r="O1276" s="1" t="s">
        <v>29</v>
      </c>
      <c r="P1276" s="1" t="s">
        <v>4282</v>
      </c>
      <c r="Q1276" s="1" t="s">
        <v>4283</v>
      </c>
      <c r="R1276" s="1" t="s">
        <v>675</v>
      </c>
      <c r="S1276" s="1" t="s">
        <v>4284</v>
      </c>
      <c r="T1276" s="1" t="s">
        <v>4285</v>
      </c>
      <c r="U1276" s="2" t="s">
        <v>578</v>
      </c>
      <c r="V1276" s="2" t="s">
        <v>47</v>
      </c>
      <c r="W1276" s="2" t="s">
        <v>74</v>
      </c>
      <c r="X1276" s="2">
        <v>22.68</v>
      </c>
    </row>
    <row r="1277" spans="1:24" x14ac:dyDescent="0.3">
      <c r="A1277">
        <v>19164</v>
      </c>
      <c r="B1277" t="s">
        <v>4281</v>
      </c>
      <c r="C1277" s="3">
        <v>41303</v>
      </c>
      <c r="D1277" t="s">
        <v>39</v>
      </c>
      <c r="E1277">
        <v>1</v>
      </c>
      <c r="F1277" s="3">
        <f ca="1">41305+(RANDBETWEEN(1,10))</f>
        <v>41314</v>
      </c>
      <c r="G1277" t="s">
        <v>26</v>
      </c>
      <c r="H1277" t="s">
        <v>27</v>
      </c>
      <c r="I1277" t="s">
        <v>28</v>
      </c>
      <c r="J1277">
        <v>361.55</v>
      </c>
      <c r="K1277">
        <v>0.09</v>
      </c>
      <c r="L1277">
        <v>0.57999999999999996</v>
      </c>
      <c r="M1277">
        <v>26.914999999999999</v>
      </c>
      <c r="N1277">
        <v>-2423.5210999999999</v>
      </c>
      <c r="O1277" s="1" t="s">
        <v>29</v>
      </c>
      <c r="P1277" s="1" t="s">
        <v>4282</v>
      </c>
      <c r="Q1277" s="1" t="s">
        <v>4283</v>
      </c>
      <c r="R1277" s="1" t="s">
        <v>675</v>
      </c>
      <c r="S1277" s="1" t="s">
        <v>4284</v>
      </c>
      <c r="T1277" s="1" t="s">
        <v>4285</v>
      </c>
      <c r="U1277" s="2" t="s">
        <v>2511</v>
      </c>
      <c r="V1277" s="2" t="s">
        <v>36</v>
      </c>
      <c r="W1277" s="2" t="s">
        <v>37</v>
      </c>
      <c r="X1277" s="2">
        <v>440.96499999999997</v>
      </c>
    </row>
    <row r="1278" spans="1:24" x14ac:dyDescent="0.3">
      <c r="A1278">
        <v>19165</v>
      </c>
      <c r="B1278" t="s">
        <v>4286</v>
      </c>
      <c r="C1278" s="3">
        <v>41470</v>
      </c>
      <c r="D1278" t="s">
        <v>25</v>
      </c>
      <c r="E1278">
        <v>3</v>
      </c>
      <c r="F1278" s="3">
        <f ca="1">41472+(RANDBETWEEN(1,10))</f>
        <v>41477</v>
      </c>
      <c r="G1278" t="s">
        <v>26</v>
      </c>
      <c r="H1278" t="s">
        <v>281</v>
      </c>
      <c r="I1278" t="s">
        <v>86</v>
      </c>
      <c r="J1278">
        <v>191.065</v>
      </c>
      <c r="K1278">
        <v>0.05</v>
      </c>
      <c r="L1278">
        <v>0.4</v>
      </c>
      <c r="M1278">
        <v>29.785</v>
      </c>
      <c r="N1278">
        <v>-150.60570000000001</v>
      </c>
      <c r="O1278" s="1" t="s">
        <v>40</v>
      </c>
      <c r="P1278" s="1" t="s">
        <v>4287</v>
      </c>
      <c r="Q1278" s="1" t="s">
        <v>4288</v>
      </c>
      <c r="R1278" s="1" t="s">
        <v>43</v>
      </c>
      <c r="S1278" s="1" t="s">
        <v>4289</v>
      </c>
      <c r="T1278" s="1" t="s">
        <v>4290</v>
      </c>
      <c r="U1278" s="2" t="s">
        <v>282</v>
      </c>
      <c r="V1278" s="2" t="s">
        <v>36</v>
      </c>
      <c r="W1278" s="2" t="s">
        <v>142</v>
      </c>
      <c r="X1278" s="2">
        <v>62.93</v>
      </c>
    </row>
    <row r="1279" spans="1:24" x14ac:dyDescent="0.3">
      <c r="A1279">
        <v>19166</v>
      </c>
      <c r="B1279" t="s">
        <v>4286</v>
      </c>
      <c r="C1279" s="3">
        <v>41470</v>
      </c>
      <c r="D1279" t="s">
        <v>25</v>
      </c>
      <c r="E1279">
        <v>3</v>
      </c>
      <c r="F1279" s="3">
        <f ca="1">41477+(RANDBETWEEN(1,10))</f>
        <v>41484</v>
      </c>
      <c r="G1279" t="s">
        <v>156</v>
      </c>
      <c r="H1279" t="s">
        <v>27</v>
      </c>
      <c r="I1279" t="s">
        <v>86</v>
      </c>
      <c r="J1279">
        <v>111.09</v>
      </c>
      <c r="K1279">
        <v>0</v>
      </c>
      <c r="L1279">
        <v>0.59</v>
      </c>
      <c r="M1279">
        <v>15.75</v>
      </c>
      <c r="N1279">
        <v>-32.515000000000001</v>
      </c>
      <c r="O1279" s="1" t="s">
        <v>64</v>
      </c>
      <c r="P1279" s="1" t="s">
        <v>4291</v>
      </c>
      <c r="Q1279" s="1" t="s">
        <v>4292</v>
      </c>
      <c r="R1279" s="1" t="s">
        <v>128</v>
      </c>
      <c r="S1279" s="1" t="s">
        <v>4293</v>
      </c>
      <c r="T1279" s="1" t="s">
        <v>4294</v>
      </c>
      <c r="U1279" s="2" t="s">
        <v>4295</v>
      </c>
      <c r="V1279" s="2" t="s">
        <v>47</v>
      </c>
      <c r="W1279" s="2" t="s">
        <v>71</v>
      </c>
      <c r="X1279" s="2">
        <v>30.17</v>
      </c>
    </row>
    <row r="1280" spans="1:24" x14ac:dyDescent="0.3">
      <c r="A1280">
        <v>19167</v>
      </c>
      <c r="B1280" t="s">
        <v>4296</v>
      </c>
      <c r="C1280" s="3">
        <v>41264</v>
      </c>
      <c r="D1280" t="s">
        <v>62</v>
      </c>
      <c r="E1280">
        <v>15</v>
      </c>
      <c r="F1280" s="3">
        <f ca="1">41265+(RANDBETWEEN(1,10))</f>
        <v>41267</v>
      </c>
      <c r="G1280" t="s">
        <v>26</v>
      </c>
      <c r="H1280" t="s">
        <v>27</v>
      </c>
      <c r="I1280" t="s">
        <v>86</v>
      </c>
      <c r="J1280">
        <v>1161.23</v>
      </c>
      <c r="K1280">
        <v>0</v>
      </c>
      <c r="L1280">
        <v>0.6</v>
      </c>
      <c r="M1280">
        <v>14</v>
      </c>
      <c r="N1280">
        <v>521.37750000000005</v>
      </c>
      <c r="O1280" s="1" t="s">
        <v>87</v>
      </c>
      <c r="P1280" s="1" t="s">
        <v>4297</v>
      </c>
      <c r="Q1280" s="1" t="s">
        <v>4298</v>
      </c>
      <c r="R1280" s="1" t="s">
        <v>90</v>
      </c>
      <c r="S1280" s="1" t="s">
        <v>4299</v>
      </c>
      <c r="T1280" s="1" t="s">
        <v>4300</v>
      </c>
      <c r="U1280" s="2" t="s">
        <v>3946</v>
      </c>
      <c r="V1280" s="2" t="s">
        <v>36</v>
      </c>
      <c r="W1280" s="2" t="s">
        <v>60</v>
      </c>
      <c r="X1280" s="2">
        <v>73.325000000000003</v>
      </c>
    </row>
    <row r="1281" spans="1:24" x14ac:dyDescent="0.3">
      <c r="A1281">
        <v>19168</v>
      </c>
      <c r="B1281" t="s">
        <v>4301</v>
      </c>
      <c r="C1281" s="3">
        <v>40711</v>
      </c>
      <c r="D1281" t="s">
        <v>25</v>
      </c>
      <c r="E1281">
        <v>9</v>
      </c>
      <c r="F1281" s="3">
        <f ca="1">40715+(RANDBETWEEN(1,10))</f>
        <v>40717</v>
      </c>
      <c r="G1281" t="s">
        <v>26</v>
      </c>
      <c r="H1281" t="s">
        <v>27</v>
      </c>
      <c r="I1281" t="s">
        <v>86</v>
      </c>
      <c r="J1281">
        <v>143.32499999999999</v>
      </c>
      <c r="K1281">
        <v>0</v>
      </c>
      <c r="L1281">
        <v>0.38</v>
      </c>
      <c r="M1281">
        <v>18.690000000000001</v>
      </c>
      <c r="N1281">
        <v>-216.54499999999999</v>
      </c>
      <c r="O1281" s="1" t="s">
        <v>40</v>
      </c>
      <c r="P1281" s="1" t="s">
        <v>4302</v>
      </c>
      <c r="Q1281" s="1" t="s">
        <v>4303</v>
      </c>
      <c r="R1281" s="1" t="s">
        <v>220</v>
      </c>
      <c r="S1281" s="1" t="s">
        <v>4304</v>
      </c>
      <c r="T1281" s="1" t="s">
        <v>4305</v>
      </c>
      <c r="U1281" s="2" t="s">
        <v>1664</v>
      </c>
      <c r="V1281" s="2" t="s">
        <v>47</v>
      </c>
      <c r="W1281" s="2" t="s">
        <v>111</v>
      </c>
      <c r="X1281" s="2">
        <v>14.455</v>
      </c>
    </row>
    <row r="1282" spans="1:24" x14ac:dyDescent="0.3">
      <c r="A1282">
        <v>19169</v>
      </c>
      <c r="B1282" t="s">
        <v>4301</v>
      </c>
      <c r="C1282" s="3">
        <v>40711</v>
      </c>
      <c r="D1282" t="s">
        <v>25</v>
      </c>
      <c r="E1282">
        <v>9</v>
      </c>
      <c r="F1282" s="3">
        <f ca="1">40715+(RANDBETWEEN(1,10))</f>
        <v>40722</v>
      </c>
      <c r="G1282" t="s">
        <v>76</v>
      </c>
      <c r="H1282" t="s">
        <v>258</v>
      </c>
      <c r="I1282" t="s">
        <v>86</v>
      </c>
      <c r="J1282">
        <v>4045.0549999999998</v>
      </c>
      <c r="K1282">
        <v>0.1</v>
      </c>
      <c r="L1282">
        <v>0.69</v>
      </c>
      <c r="M1282">
        <v>191.59</v>
      </c>
      <c r="N1282">
        <v>-1855.84</v>
      </c>
      <c r="O1282" s="1" t="s">
        <v>40</v>
      </c>
      <c r="P1282" s="1" t="s">
        <v>4302</v>
      </c>
      <c r="Q1282" s="1" t="s">
        <v>4303</v>
      </c>
      <c r="R1282" s="1" t="s">
        <v>220</v>
      </c>
      <c r="S1282" s="1" t="s">
        <v>4304</v>
      </c>
      <c r="T1282" s="1" t="s">
        <v>4305</v>
      </c>
      <c r="U1282" s="2" t="s">
        <v>493</v>
      </c>
      <c r="V1282" s="2" t="s">
        <v>83</v>
      </c>
      <c r="W1282" s="2" t="s">
        <v>298</v>
      </c>
      <c r="X1282" s="2">
        <v>458.43</v>
      </c>
    </row>
    <row r="1283" spans="1:24" x14ac:dyDescent="0.3">
      <c r="A1283">
        <v>1917</v>
      </c>
      <c r="B1283" t="s">
        <v>4306</v>
      </c>
      <c r="C1283" s="3">
        <v>40684</v>
      </c>
      <c r="D1283" t="s">
        <v>148</v>
      </c>
      <c r="E1283">
        <v>52</v>
      </c>
      <c r="F1283" s="3">
        <f ca="1">40686+(RANDBETWEEN(1,10))</f>
        <v>40691</v>
      </c>
      <c r="G1283" t="s">
        <v>26</v>
      </c>
      <c r="H1283" t="s">
        <v>27</v>
      </c>
      <c r="I1283" t="s">
        <v>97</v>
      </c>
      <c r="J1283">
        <v>1424.1849999999999</v>
      </c>
      <c r="K1283">
        <v>0.02</v>
      </c>
      <c r="L1283">
        <v>0.36</v>
      </c>
      <c r="M1283">
        <v>4.8650000000000002</v>
      </c>
      <c r="N1283">
        <v>410.83</v>
      </c>
      <c r="O1283" s="1" t="s">
        <v>64</v>
      </c>
      <c r="P1283" s="1" t="s">
        <v>233</v>
      </c>
      <c r="Q1283" s="1" t="s">
        <v>234</v>
      </c>
      <c r="R1283" s="1" t="s">
        <v>67</v>
      </c>
      <c r="S1283" s="1" t="s">
        <v>68</v>
      </c>
      <c r="T1283" s="1" t="s">
        <v>235</v>
      </c>
      <c r="U1283" s="2" t="s">
        <v>3975</v>
      </c>
      <c r="V1283" s="2" t="s">
        <v>47</v>
      </c>
      <c r="W1283" s="2" t="s">
        <v>48</v>
      </c>
      <c r="X1283" s="2">
        <v>26.74</v>
      </c>
    </row>
    <row r="1284" spans="1:24" x14ac:dyDescent="0.3">
      <c r="A1284">
        <v>19170</v>
      </c>
      <c r="B1284" t="s">
        <v>4307</v>
      </c>
      <c r="C1284" s="3">
        <v>41730</v>
      </c>
      <c r="D1284" t="s">
        <v>39</v>
      </c>
      <c r="E1284">
        <v>1</v>
      </c>
      <c r="F1284" s="3">
        <f ca="1">41732+(RANDBETWEEN(1,10))</f>
        <v>41741</v>
      </c>
      <c r="G1284" t="s">
        <v>156</v>
      </c>
      <c r="H1284" t="s">
        <v>51</v>
      </c>
      <c r="I1284" t="s">
        <v>86</v>
      </c>
      <c r="J1284">
        <v>45.465000000000003</v>
      </c>
      <c r="K1284">
        <v>0.03</v>
      </c>
      <c r="L1284">
        <v>0.41</v>
      </c>
      <c r="M1284">
        <v>6.9649999999999999</v>
      </c>
      <c r="N1284">
        <v>-86.974999999999994</v>
      </c>
      <c r="O1284" s="1" t="s">
        <v>29</v>
      </c>
      <c r="P1284" s="1" t="s">
        <v>4308</v>
      </c>
      <c r="Q1284" s="1" t="s">
        <v>4309</v>
      </c>
      <c r="R1284" s="1" t="s">
        <v>675</v>
      </c>
      <c r="S1284" s="1" t="s">
        <v>4310</v>
      </c>
      <c r="T1284" s="1" t="s">
        <v>4311</v>
      </c>
      <c r="U1284" s="2" t="s">
        <v>1365</v>
      </c>
      <c r="V1284" s="2" t="s">
        <v>36</v>
      </c>
      <c r="W1284" s="2" t="s">
        <v>60</v>
      </c>
      <c r="X1284" s="2">
        <v>35.034999999999997</v>
      </c>
    </row>
    <row r="1285" spans="1:24" x14ac:dyDescent="0.3">
      <c r="A1285">
        <v>19171</v>
      </c>
      <c r="B1285" t="s">
        <v>4312</v>
      </c>
      <c r="C1285" s="3">
        <v>40753</v>
      </c>
      <c r="D1285" t="s">
        <v>62</v>
      </c>
      <c r="E1285">
        <v>8</v>
      </c>
      <c r="F1285" s="3">
        <f ca="1">40756+(RANDBETWEEN(1,10))</f>
        <v>40757</v>
      </c>
      <c r="G1285" t="s">
        <v>26</v>
      </c>
      <c r="H1285" t="s">
        <v>27</v>
      </c>
      <c r="I1285" t="s">
        <v>28</v>
      </c>
      <c r="J1285">
        <v>207.9</v>
      </c>
      <c r="K1285">
        <v>0.1</v>
      </c>
      <c r="L1285">
        <v>0.4</v>
      </c>
      <c r="M1285">
        <v>21.98</v>
      </c>
      <c r="N1285">
        <v>-244.559</v>
      </c>
      <c r="O1285" s="1" t="s">
        <v>64</v>
      </c>
      <c r="P1285" s="1" t="s">
        <v>4313</v>
      </c>
      <c r="Q1285" s="1" t="s">
        <v>4314</v>
      </c>
      <c r="R1285" s="1" t="s">
        <v>67</v>
      </c>
      <c r="S1285" s="1" t="s">
        <v>4315</v>
      </c>
      <c r="T1285" s="1" t="s">
        <v>4316</v>
      </c>
      <c r="U1285" s="2" t="s">
        <v>1807</v>
      </c>
      <c r="V1285" s="2" t="s">
        <v>47</v>
      </c>
      <c r="W1285" s="2" t="s">
        <v>111</v>
      </c>
      <c r="X1285" s="2">
        <v>26.074999999999999</v>
      </c>
    </row>
    <row r="1286" spans="1:24" x14ac:dyDescent="0.3">
      <c r="A1286">
        <v>19172</v>
      </c>
      <c r="B1286" t="s">
        <v>4312</v>
      </c>
      <c r="C1286" s="3">
        <v>40753</v>
      </c>
      <c r="D1286" t="s">
        <v>62</v>
      </c>
      <c r="E1286">
        <v>10</v>
      </c>
      <c r="F1286" s="3">
        <f ca="1">40755+(RANDBETWEEN(1,10))</f>
        <v>40759</v>
      </c>
      <c r="G1286" t="s">
        <v>26</v>
      </c>
      <c r="H1286" t="s">
        <v>27</v>
      </c>
      <c r="I1286" t="s">
        <v>28</v>
      </c>
      <c r="J1286">
        <v>232.61</v>
      </c>
      <c r="K1286">
        <v>0.01</v>
      </c>
      <c r="L1286">
        <v>0.37</v>
      </c>
      <c r="M1286">
        <v>27.51</v>
      </c>
      <c r="N1286">
        <v>-475.09</v>
      </c>
      <c r="O1286" s="1" t="s">
        <v>64</v>
      </c>
      <c r="P1286" s="1" t="s">
        <v>4313</v>
      </c>
      <c r="Q1286" s="1" t="s">
        <v>4314</v>
      </c>
      <c r="R1286" s="1" t="s">
        <v>67</v>
      </c>
      <c r="S1286" s="1" t="s">
        <v>4315</v>
      </c>
      <c r="T1286" s="1" t="s">
        <v>4316</v>
      </c>
      <c r="U1286" s="2" t="s">
        <v>2667</v>
      </c>
      <c r="V1286" s="2" t="s">
        <v>47</v>
      </c>
      <c r="W1286" s="2" t="s">
        <v>74</v>
      </c>
      <c r="X1286" s="2">
        <v>22.68</v>
      </c>
    </row>
    <row r="1287" spans="1:24" x14ac:dyDescent="0.3">
      <c r="A1287">
        <v>19173</v>
      </c>
      <c r="B1287" t="s">
        <v>4317</v>
      </c>
      <c r="C1287" s="3">
        <v>40552</v>
      </c>
      <c r="D1287" t="s">
        <v>39</v>
      </c>
      <c r="E1287">
        <v>11</v>
      </c>
      <c r="F1287" s="3">
        <f ca="1">40554+(RANDBETWEEN(1,10))</f>
        <v>40557</v>
      </c>
      <c r="G1287" t="s">
        <v>156</v>
      </c>
      <c r="H1287" t="s">
        <v>51</v>
      </c>
      <c r="I1287" t="s">
        <v>28</v>
      </c>
      <c r="J1287">
        <v>484.78500000000003</v>
      </c>
      <c r="K1287">
        <v>0</v>
      </c>
      <c r="L1287">
        <v>0.59</v>
      </c>
      <c r="M1287">
        <v>31.465</v>
      </c>
      <c r="N1287">
        <v>-712.84500000000003</v>
      </c>
      <c r="O1287" s="1" t="s">
        <v>225</v>
      </c>
      <c r="P1287" s="1" t="s">
        <v>4318</v>
      </c>
      <c r="Q1287" s="1" t="s">
        <v>4319</v>
      </c>
      <c r="R1287" s="1" t="s">
        <v>391</v>
      </c>
      <c r="S1287" s="1" t="s">
        <v>4320</v>
      </c>
      <c r="T1287" s="1" t="s">
        <v>4321</v>
      </c>
      <c r="U1287" s="2" t="s">
        <v>2687</v>
      </c>
      <c r="V1287" s="2" t="s">
        <v>47</v>
      </c>
      <c r="W1287" s="2" t="s">
        <v>104</v>
      </c>
      <c r="X1287" s="2">
        <v>40.81</v>
      </c>
    </row>
    <row r="1288" spans="1:24" x14ac:dyDescent="0.3">
      <c r="A1288">
        <v>19174</v>
      </c>
      <c r="B1288" t="s">
        <v>4322</v>
      </c>
      <c r="C1288" s="3">
        <v>41519</v>
      </c>
      <c r="D1288" t="s">
        <v>39</v>
      </c>
      <c r="E1288">
        <v>20</v>
      </c>
      <c r="F1288" s="3">
        <f ca="1">41520+(RANDBETWEEN(1,10))</f>
        <v>41527</v>
      </c>
      <c r="G1288" t="s">
        <v>26</v>
      </c>
      <c r="H1288" t="s">
        <v>27</v>
      </c>
      <c r="I1288" t="s">
        <v>28</v>
      </c>
      <c r="J1288">
        <v>642.04</v>
      </c>
      <c r="K1288">
        <v>0.1</v>
      </c>
      <c r="L1288">
        <v>0.41</v>
      </c>
      <c r="M1288">
        <v>19.984999999999999</v>
      </c>
      <c r="N1288">
        <v>5.9009999999999998</v>
      </c>
      <c r="O1288" s="1" t="s">
        <v>29</v>
      </c>
      <c r="P1288" s="1" t="s">
        <v>2346</v>
      </c>
      <c r="Q1288" s="1" t="s">
        <v>2347</v>
      </c>
      <c r="R1288" s="1" t="s">
        <v>675</v>
      </c>
      <c r="S1288" s="1" t="s">
        <v>2348</v>
      </c>
      <c r="T1288" s="1" t="s">
        <v>2349</v>
      </c>
      <c r="U1288" s="2" t="s">
        <v>4323</v>
      </c>
      <c r="V1288" s="2" t="s">
        <v>83</v>
      </c>
      <c r="W1288" s="2" t="s">
        <v>178</v>
      </c>
      <c r="X1288" s="2">
        <v>34.090000000000003</v>
      </c>
    </row>
    <row r="1289" spans="1:24" x14ac:dyDescent="0.3">
      <c r="A1289">
        <v>19175</v>
      </c>
      <c r="B1289" t="s">
        <v>4324</v>
      </c>
      <c r="C1289" s="3">
        <v>41355</v>
      </c>
      <c r="D1289" t="s">
        <v>39</v>
      </c>
      <c r="E1289">
        <v>3</v>
      </c>
      <c r="F1289" s="3">
        <f ca="1">41355+(RANDBETWEEN(1,10))</f>
        <v>41363</v>
      </c>
      <c r="G1289" t="s">
        <v>26</v>
      </c>
      <c r="H1289" t="s">
        <v>27</v>
      </c>
      <c r="I1289" t="s">
        <v>52</v>
      </c>
      <c r="J1289">
        <v>132.54499999999999</v>
      </c>
      <c r="K1289">
        <v>0</v>
      </c>
      <c r="L1289">
        <v>0.35</v>
      </c>
      <c r="M1289">
        <v>24.395</v>
      </c>
      <c r="N1289">
        <v>-310.41500000000002</v>
      </c>
      <c r="O1289" s="1" t="s">
        <v>29</v>
      </c>
      <c r="P1289" s="1" t="s">
        <v>4325</v>
      </c>
      <c r="Q1289" s="1" t="s">
        <v>4326</v>
      </c>
      <c r="R1289" s="1" t="s">
        <v>32</v>
      </c>
      <c r="S1289" s="1" t="s">
        <v>4327</v>
      </c>
      <c r="T1289" s="1" t="s">
        <v>4328</v>
      </c>
      <c r="U1289" s="2" t="s">
        <v>2886</v>
      </c>
      <c r="V1289" s="2" t="s">
        <v>47</v>
      </c>
      <c r="W1289" s="2" t="s">
        <v>48</v>
      </c>
      <c r="X1289" s="2">
        <v>40.53</v>
      </c>
    </row>
    <row r="1290" spans="1:24" x14ac:dyDescent="0.3">
      <c r="A1290">
        <v>19176</v>
      </c>
      <c r="B1290" t="s">
        <v>4324</v>
      </c>
      <c r="C1290" s="3">
        <v>41355</v>
      </c>
      <c r="D1290" t="s">
        <v>39</v>
      </c>
      <c r="E1290">
        <v>10</v>
      </c>
      <c r="F1290" s="3">
        <f ca="1">41356+(RANDBETWEEN(1,10))</f>
        <v>41358</v>
      </c>
      <c r="G1290" t="s">
        <v>26</v>
      </c>
      <c r="H1290" t="s">
        <v>27</v>
      </c>
      <c r="I1290" t="s">
        <v>52</v>
      </c>
      <c r="J1290">
        <v>291.55</v>
      </c>
      <c r="K1290">
        <v>0</v>
      </c>
      <c r="L1290">
        <v>0.57999999999999996</v>
      </c>
      <c r="M1290">
        <v>32.305</v>
      </c>
      <c r="N1290">
        <v>-62.323099999999997</v>
      </c>
      <c r="O1290" s="1" t="s">
        <v>87</v>
      </c>
      <c r="P1290" s="1" t="s">
        <v>4329</v>
      </c>
      <c r="Q1290" s="1" t="s">
        <v>4330</v>
      </c>
      <c r="R1290" s="1" t="s">
        <v>646</v>
      </c>
      <c r="S1290" s="1" t="s">
        <v>4331</v>
      </c>
      <c r="T1290" s="1" t="s">
        <v>4332</v>
      </c>
      <c r="U1290" s="2" t="s">
        <v>4333</v>
      </c>
      <c r="V1290" s="2" t="s">
        <v>47</v>
      </c>
      <c r="W1290" s="2" t="s">
        <v>71</v>
      </c>
      <c r="X1290" s="2">
        <v>27.195</v>
      </c>
    </row>
    <row r="1291" spans="1:24" x14ac:dyDescent="0.3">
      <c r="A1291">
        <v>19177</v>
      </c>
      <c r="B1291" t="s">
        <v>4334</v>
      </c>
      <c r="C1291" s="3">
        <v>41233</v>
      </c>
      <c r="D1291" t="s">
        <v>25</v>
      </c>
      <c r="E1291">
        <v>13</v>
      </c>
      <c r="F1291" s="3">
        <f ca="1">41233+(RANDBETWEEN(1,10))</f>
        <v>41235</v>
      </c>
      <c r="G1291" t="s">
        <v>26</v>
      </c>
      <c r="H1291" t="s">
        <v>63</v>
      </c>
      <c r="I1291" t="s">
        <v>97</v>
      </c>
      <c r="J1291">
        <v>4721.5349999999999</v>
      </c>
      <c r="K1291">
        <v>0.04</v>
      </c>
      <c r="L1291">
        <v>0.61</v>
      </c>
      <c r="M1291">
        <v>85.715000000000003</v>
      </c>
      <c r="N1291">
        <v>3257.8591500000002</v>
      </c>
      <c r="O1291" s="1" t="s">
        <v>87</v>
      </c>
      <c r="P1291" s="1" t="s">
        <v>991</v>
      </c>
      <c r="Q1291" s="1" t="s">
        <v>992</v>
      </c>
      <c r="R1291" s="1" t="s">
        <v>90</v>
      </c>
      <c r="S1291" s="1" t="s">
        <v>993</v>
      </c>
      <c r="T1291" s="1" t="s">
        <v>994</v>
      </c>
      <c r="U1291" s="2" t="s">
        <v>4335</v>
      </c>
      <c r="V1291" s="2" t="s">
        <v>83</v>
      </c>
      <c r="W1291" s="2" t="s">
        <v>178</v>
      </c>
      <c r="X1291" s="2">
        <v>368.69</v>
      </c>
    </row>
    <row r="1292" spans="1:24" x14ac:dyDescent="0.3">
      <c r="A1292">
        <v>19178</v>
      </c>
      <c r="B1292" t="s">
        <v>4336</v>
      </c>
      <c r="C1292" s="3">
        <v>41743</v>
      </c>
      <c r="D1292" t="s">
        <v>62</v>
      </c>
      <c r="E1292">
        <v>1</v>
      </c>
      <c r="F1292" s="3">
        <f ca="1">41744+(RANDBETWEEN(1,10))</f>
        <v>41745</v>
      </c>
      <c r="G1292" t="s">
        <v>26</v>
      </c>
      <c r="H1292" t="s">
        <v>96</v>
      </c>
      <c r="I1292" t="s">
        <v>28</v>
      </c>
      <c r="J1292">
        <v>63</v>
      </c>
      <c r="K1292">
        <v>0.04</v>
      </c>
      <c r="L1292">
        <v>0.81</v>
      </c>
      <c r="M1292">
        <v>8.75</v>
      </c>
      <c r="N1292">
        <v>-378.26249999999999</v>
      </c>
      <c r="O1292" s="1" t="s">
        <v>64</v>
      </c>
      <c r="P1292" s="1" t="s">
        <v>1550</v>
      </c>
      <c r="Q1292" s="1" t="s">
        <v>1551</v>
      </c>
      <c r="R1292" s="1" t="s">
        <v>128</v>
      </c>
      <c r="S1292" s="1" t="s">
        <v>1552</v>
      </c>
      <c r="T1292" s="1" t="s">
        <v>1553</v>
      </c>
      <c r="U1292" s="2" t="s">
        <v>1282</v>
      </c>
      <c r="V1292" s="2" t="s">
        <v>36</v>
      </c>
      <c r="W1292" s="2" t="s">
        <v>37</v>
      </c>
      <c r="X1292" s="2">
        <v>73.465000000000003</v>
      </c>
    </row>
    <row r="1293" spans="1:24" x14ac:dyDescent="0.3">
      <c r="A1293">
        <v>19179</v>
      </c>
      <c r="B1293" t="s">
        <v>4337</v>
      </c>
      <c r="C1293" s="3">
        <v>40698</v>
      </c>
      <c r="D1293" t="s">
        <v>25</v>
      </c>
      <c r="E1293">
        <v>5</v>
      </c>
      <c r="F1293" s="3">
        <f ca="1">40700+(RANDBETWEEN(1,10))</f>
        <v>40701</v>
      </c>
      <c r="G1293" t="s">
        <v>26</v>
      </c>
      <c r="H1293" t="s">
        <v>27</v>
      </c>
      <c r="I1293" t="s">
        <v>28</v>
      </c>
      <c r="J1293">
        <v>1735.37</v>
      </c>
      <c r="K1293">
        <v>0.06</v>
      </c>
      <c r="L1293">
        <v>0.57999999999999996</v>
      </c>
      <c r="M1293">
        <v>20.72</v>
      </c>
      <c r="N1293">
        <v>-45.738</v>
      </c>
      <c r="O1293" s="1" t="s">
        <v>64</v>
      </c>
      <c r="P1293" s="1" t="s">
        <v>4022</v>
      </c>
      <c r="Q1293" s="1" t="s">
        <v>4023</v>
      </c>
      <c r="R1293" s="1" t="s">
        <v>128</v>
      </c>
      <c r="S1293" s="1" t="s">
        <v>4024</v>
      </c>
      <c r="T1293" s="1" t="s">
        <v>4025</v>
      </c>
      <c r="U1293" s="2">
        <v>8890</v>
      </c>
      <c r="V1293" s="2" t="s">
        <v>36</v>
      </c>
      <c r="W1293" s="2" t="s">
        <v>37</v>
      </c>
      <c r="X1293" s="2">
        <v>405.96499999999997</v>
      </c>
    </row>
    <row r="1294" spans="1:24" x14ac:dyDescent="0.3">
      <c r="A1294">
        <v>19180</v>
      </c>
      <c r="B1294" t="s">
        <v>4338</v>
      </c>
      <c r="C1294" s="3">
        <v>40924</v>
      </c>
      <c r="D1294" t="s">
        <v>39</v>
      </c>
      <c r="E1294">
        <v>7</v>
      </c>
      <c r="F1294" s="3">
        <f ca="1">40925+(RANDBETWEEN(1,10))</f>
        <v>40934</v>
      </c>
      <c r="G1294" t="s">
        <v>26</v>
      </c>
      <c r="H1294" t="s">
        <v>27</v>
      </c>
      <c r="I1294" t="s">
        <v>28</v>
      </c>
      <c r="J1294">
        <v>142.345</v>
      </c>
      <c r="K1294">
        <v>0.09</v>
      </c>
      <c r="L1294">
        <v>0.4</v>
      </c>
      <c r="M1294">
        <v>19.565000000000001</v>
      </c>
      <c r="N1294">
        <v>-1163.6030000000001</v>
      </c>
      <c r="O1294" s="1" t="s">
        <v>64</v>
      </c>
      <c r="P1294" s="1" t="s">
        <v>4339</v>
      </c>
      <c r="Q1294" s="1" t="s">
        <v>4340</v>
      </c>
      <c r="R1294" s="1" t="s">
        <v>128</v>
      </c>
      <c r="S1294" s="1" t="s">
        <v>4341</v>
      </c>
      <c r="T1294" s="1" t="s">
        <v>4342</v>
      </c>
      <c r="U1294" s="2" t="s">
        <v>3005</v>
      </c>
      <c r="V1294" s="2" t="s">
        <v>47</v>
      </c>
      <c r="W1294" s="2" t="s">
        <v>111</v>
      </c>
      <c r="X1294" s="2">
        <v>20.3</v>
      </c>
    </row>
    <row r="1295" spans="1:24" x14ac:dyDescent="0.3">
      <c r="A1295">
        <v>19181</v>
      </c>
      <c r="B1295" t="s">
        <v>4338</v>
      </c>
      <c r="C1295" s="3">
        <v>40924</v>
      </c>
      <c r="D1295" t="s">
        <v>39</v>
      </c>
      <c r="E1295">
        <v>3</v>
      </c>
      <c r="F1295" s="3">
        <f ca="1">40925+(RANDBETWEEN(1,10))</f>
        <v>40927</v>
      </c>
      <c r="G1295" t="s">
        <v>26</v>
      </c>
      <c r="H1295" t="s">
        <v>27</v>
      </c>
      <c r="I1295" t="s">
        <v>28</v>
      </c>
      <c r="J1295">
        <v>107.45</v>
      </c>
      <c r="K1295">
        <v>0.04</v>
      </c>
      <c r="L1295">
        <v>0.37</v>
      </c>
      <c r="M1295">
        <v>3.4649999999999999</v>
      </c>
      <c r="N1295">
        <v>-304.92700000000002</v>
      </c>
      <c r="O1295" s="1" t="s">
        <v>64</v>
      </c>
      <c r="P1295" s="1" t="s">
        <v>4339</v>
      </c>
      <c r="Q1295" s="1" t="s">
        <v>4340</v>
      </c>
      <c r="R1295" s="1" t="s">
        <v>128</v>
      </c>
      <c r="S1295" s="1" t="s">
        <v>4341</v>
      </c>
      <c r="T1295" s="1" t="s">
        <v>4342</v>
      </c>
      <c r="U1295" s="2" t="s">
        <v>4343</v>
      </c>
      <c r="V1295" s="2" t="s">
        <v>47</v>
      </c>
      <c r="W1295" s="2" t="s">
        <v>203</v>
      </c>
      <c r="X1295" s="2">
        <v>36.225000000000001</v>
      </c>
    </row>
    <row r="1296" spans="1:24" x14ac:dyDescent="0.3">
      <c r="A1296">
        <v>19182</v>
      </c>
      <c r="B1296" t="s">
        <v>4344</v>
      </c>
      <c r="C1296" s="3">
        <v>40642</v>
      </c>
      <c r="D1296" t="s">
        <v>39</v>
      </c>
      <c r="E1296">
        <v>2</v>
      </c>
      <c r="F1296" s="3">
        <f ca="1">40644+(RANDBETWEEN(1,10))</f>
        <v>40653</v>
      </c>
      <c r="G1296" t="s">
        <v>26</v>
      </c>
      <c r="H1296" t="s">
        <v>63</v>
      </c>
      <c r="I1296" t="s">
        <v>52</v>
      </c>
      <c r="J1296">
        <v>75.11</v>
      </c>
      <c r="K1296">
        <v>0.03</v>
      </c>
      <c r="L1296">
        <v>0.6</v>
      </c>
      <c r="M1296">
        <v>171.5</v>
      </c>
      <c r="N1296">
        <v>224.93100000000001</v>
      </c>
      <c r="O1296" s="1" t="s">
        <v>40</v>
      </c>
      <c r="P1296" s="1" t="s">
        <v>4345</v>
      </c>
      <c r="Q1296" s="1" t="s">
        <v>4346</v>
      </c>
      <c r="R1296" s="1" t="s">
        <v>43</v>
      </c>
      <c r="S1296" s="1" t="s">
        <v>4347</v>
      </c>
      <c r="T1296" s="1" t="s">
        <v>4348</v>
      </c>
      <c r="U1296" s="2" t="s">
        <v>919</v>
      </c>
      <c r="V1296" s="2" t="s">
        <v>47</v>
      </c>
      <c r="W1296" s="2" t="s">
        <v>71</v>
      </c>
      <c r="X1296" s="2">
        <v>15.68</v>
      </c>
    </row>
    <row r="1297" spans="1:24" x14ac:dyDescent="0.3">
      <c r="A1297">
        <v>19183</v>
      </c>
      <c r="B1297" t="s">
        <v>4344</v>
      </c>
      <c r="C1297" s="3">
        <v>40642</v>
      </c>
      <c r="D1297" t="s">
        <v>39</v>
      </c>
      <c r="E1297">
        <v>10</v>
      </c>
      <c r="F1297" s="3">
        <f ca="1">40644+(RANDBETWEEN(1,10))</f>
        <v>40654</v>
      </c>
      <c r="G1297" t="s">
        <v>76</v>
      </c>
      <c r="H1297" t="s">
        <v>77</v>
      </c>
      <c r="I1297" t="s">
        <v>52</v>
      </c>
      <c r="J1297">
        <v>12273.73</v>
      </c>
      <c r="K1297">
        <v>0.06</v>
      </c>
      <c r="L1297">
        <v>0.55000000000000004</v>
      </c>
      <c r="M1297">
        <v>136.5</v>
      </c>
      <c r="N1297">
        <v>-1059.1546000000001</v>
      </c>
      <c r="O1297" s="1" t="s">
        <v>40</v>
      </c>
      <c r="P1297" s="1" t="s">
        <v>4345</v>
      </c>
      <c r="Q1297" s="1" t="s">
        <v>4346</v>
      </c>
      <c r="R1297" s="1" t="s">
        <v>43</v>
      </c>
      <c r="S1297" s="1" t="s">
        <v>4347</v>
      </c>
      <c r="T1297" s="1" t="s">
        <v>4348</v>
      </c>
      <c r="U1297" s="2" t="s">
        <v>3927</v>
      </c>
      <c r="V1297" s="2" t="s">
        <v>83</v>
      </c>
      <c r="W1297" s="2" t="s">
        <v>84</v>
      </c>
      <c r="X1297" s="2">
        <v>1228.4649999999999</v>
      </c>
    </row>
    <row r="1298" spans="1:24" x14ac:dyDescent="0.3">
      <c r="A1298">
        <v>19184</v>
      </c>
      <c r="B1298" t="s">
        <v>4344</v>
      </c>
      <c r="C1298" s="3">
        <v>40642</v>
      </c>
      <c r="D1298" t="s">
        <v>39</v>
      </c>
      <c r="E1298">
        <v>7</v>
      </c>
      <c r="F1298" s="3">
        <f ca="1">40644+(RANDBETWEEN(1,10))</f>
        <v>40645</v>
      </c>
      <c r="G1298" t="s">
        <v>156</v>
      </c>
      <c r="H1298" t="s">
        <v>27</v>
      </c>
      <c r="I1298" t="s">
        <v>52</v>
      </c>
      <c r="J1298">
        <v>936.91499999999996</v>
      </c>
      <c r="K1298">
        <v>0.09</v>
      </c>
      <c r="L1298">
        <v>0.74</v>
      </c>
      <c r="M1298">
        <v>22.75</v>
      </c>
      <c r="N1298">
        <v>19.9206</v>
      </c>
      <c r="O1298" s="1" t="s">
        <v>40</v>
      </c>
      <c r="P1298" s="1" t="s">
        <v>4345</v>
      </c>
      <c r="Q1298" s="1" t="s">
        <v>4346</v>
      </c>
      <c r="R1298" s="1" t="s">
        <v>43</v>
      </c>
      <c r="S1298" s="1" t="s">
        <v>4347</v>
      </c>
      <c r="T1298" s="1" t="s">
        <v>4348</v>
      </c>
      <c r="U1298" s="2" t="s">
        <v>4349</v>
      </c>
      <c r="V1298" s="2" t="s">
        <v>36</v>
      </c>
      <c r="W1298" s="2" t="s">
        <v>60</v>
      </c>
      <c r="X1298" s="2">
        <v>143.43</v>
      </c>
    </row>
    <row r="1299" spans="1:24" x14ac:dyDescent="0.3">
      <c r="A1299">
        <v>19185</v>
      </c>
      <c r="B1299" t="s">
        <v>4344</v>
      </c>
      <c r="C1299" s="3">
        <v>40642</v>
      </c>
      <c r="D1299" t="s">
        <v>39</v>
      </c>
      <c r="E1299">
        <v>7</v>
      </c>
      <c r="F1299" s="3">
        <f ca="1">40643+(RANDBETWEEN(1,10))</f>
        <v>40646</v>
      </c>
      <c r="G1299" t="s">
        <v>76</v>
      </c>
      <c r="H1299" t="s">
        <v>77</v>
      </c>
      <c r="I1299" t="s">
        <v>52</v>
      </c>
      <c r="J1299">
        <v>8075.41</v>
      </c>
      <c r="K1299">
        <v>0.09</v>
      </c>
      <c r="L1299" t="s">
        <v>182</v>
      </c>
      <c r="M1299">
        <v>210</v>
      </c>
      <c r="N1299">
        <v>-1291.885</v>
      </c>
      <c r="O1299" s="1" t="s">
        <v>40</v>
      </c>
      <c r="P1299" s="1" t="s">
        <v>4345</v>
      </c>
      <c r="Q1299" s="1" t="s">
        <v>4346</v>
      </c>
      <c r="R1299" s="1" t="s">
        <v>43</v>
      </c>
      <c r="S1299" s="1" t="s">
        <v>4347</v>
      </c>
      <c r="T1299" s="1" t="s">
        <v>4348</v>
      </c>
      <c r="U1299" s="2" t="s">
        <v>3108</v>
      </c>
      <c r="V1299" s="2" t="s">
        <v>83</v>
      </c>
      <c r="W1299" s="2" t="s">
        <v>263</v>
      </c>
      <c r="X1299" s="2">
        <v>1223.075</v>
      </c>
    </row>
    <row r="1300" spans="1:24" x14ac:dyDescent="0.3">
      <c r="A1300">
        <v>19186</v>
      </c>
      <c r="B1300" t="s">
        <v>4350</v>
      </c>
      <c r="C1300" s="3">
        <v>41919</v>
      </c>
      <c r="D1300" t="s">
        <v>39</v>
      </c>
      <c r="E1300">
        <v>20</v>
      </c>
      <c r="F1300" s="3">
        <f ca="1">41921+(RANDBETWEEN(1,10))</f>
        <v>41931</v>
      </c>
      <c r="G1300" t="s">
        <v>26</v>
      </c>
      <c r="H1300" t="s">
        <v>27</v>
      </c>
      <c r="I1300" t="s">
        <v>28</v>
      </c>
      <c r="J1300">
        <v>2967.1950000000002</v>
      </c>
      <c r="K1300">
        <v>0.1</v>
      </c>
      <c r="L1300">
        <v>0.55000000000000004</v>
      </c>
      <c r="M1300">
        <v>57.26</v>
      </c>
      <c r="N1300">
        <v>-30.344999999999999</v>
      </c>
      <c r="O1300" s="1" t="s">
        <v>40</v>
      </c>
      <c r="P1300" s="1" t="s">
        <v>4351</v>
      </c>
      <c r="Q1300" s="1" t="s">
        <v>4352</v>
      </c>
      <c r="R1300" s="1" t="s">
        <v>220</v>
      </c>
      <c r="S1300" s="1" t="s">
        <v>586</v>
      </c>
      <c r="T1300" s="1" t="s">
        <v>587</v>
      </c>
      <c r="U1300" s="2" t="s">
        <v>4353</v>
      </c>
      <c r="V1300" s="2" t="s">
        <v>47</v>
      </c>
      <c r="W1300" s="2" t="s">
        <v>119</v>
      </c>
      <c r="X1300" s="2">
        <v>152.495</v>
      </c>
    </row>
    <row r="1301" spans="1:24" x14ac:dyDescent="0.3">
      <c r="A1301">
        <v>19187</v>
      </c>
      <c r="B1301" t="s">
        <v>4354</v>
      </c>
      <c r="C1301" s="3">
        <v>41912</v>
      </c>
      <c r="D1301" t="s">
        <v>25</v>
      </c>
      <c r="E1301">
        <v>16</v>
      </c>
      <c r="F1301" s="3">
        <f ca="1">41917+(RANDBETWEEN(1,10))</f>
        <v>41918</v>
      </c>
      <c r="G1301" t="s">
        <v>26</v>
      </c>
      <c r="H1301" t="s">
        <v>27</v>
      </c>
      <c r="I1301" t="s">
        <v>52</v>
      </c>
      <c r="J1301">
        <v>1694.105</v>
      </c>
      <c r="K1301">
        <v>0</v>
      </c>
      <c r="L1301">
        <v>0.7</v>
      </c>
      <c r="M1301">
        <v>23.24</v>
      </c>
      <c r="N1301">
        <v>126.126</v>
      </c>
      <c r="O1301" s="1" t="s">
        <v>53</v>
      </c>
      <c r="P1301" s="1" t="s">
        <v>2547</v>
      </c>
      <c r="Q1301" s="1" t="s">
        <v>2548</v>
      </c>
      <c r="R1301" s="1" t="s">
        <v>100</v>
      </c>
      <c r="S1301" s="1" t="s">
        <v>2549</v>
      </c>
      <c r="T1301" s="1" t="s">
        <v>2550</v>
      </c>
      <c r="U1301" s="2" t="s">
        <v>4355</v>
      </c>
      <c r="V1301" s="2" t="s">
        <v>47</v>
      </c>
      <c r="W1301" s="2" t="s">
        <v>119</v>
      </c>
      <c r="X1301" s="2">
        <v>104.09</v>
      </c>
    </row>
    <row r="1302" spans="1:24" x14ac:dyDescent="0.3">
      <c r="A1302">
        <v>19188</v>
      </c>
      <c r="B1302" t="s">
        <v>4356</v>
      </c>
      <c r="C1302" s="3">
        <v>41765</v>
      </c>
      <c r="D1302" t="s">
        <v>148</v>
      </c>
      <c r="E1302">
        <v>15</v>
      </c>
      <c r="F1302" s="3">
        <f ca="1">41766+(RANDBETWEEN(1,10))</f>
        <v>41776</v>
      </c>
      <c r="G1302" t="s">
        <v>26</v>
      </c>
      <c r="H1302" t="s">
        <v>96</v>
      </c>
      <c r="I1302" t="s">
        <v>97</v>
      </c>
      <c r="J1302">
        <v>509.07499999999999</v>
      </c>
      <c r="K1302">
        <v>0.01</v>
      </c>
      <c r="L1302">
        <v>0.4</v>
      </c>
      <c r="M1302">
        <v>7.5250000000000004</v>
      </c>
      <c r="N1302">
        <v>351.26175000000001</v>
      </c>
      <c r="O1302" s="1" t="s">
        <v>53</v>
      </c>
      <c r="P1302" s="1" t="s">
        <v>4357</v>
      </c>
      <c r="Q1302" s="1" t="s">
        <v>4358</v>
      </c>
      <c r="R1302" s="1" t="s">
        <v>440</v>
      </c>
      <c r="S1302" s="1" t="s">
        <v>3710</v>
      </c>
      <c r="T1302" s="1" t="s">
        <v>3711</v>
      </c>
      <c r="U1302" s="2" t="s">
        <v>4359</v>
      </c>
      <c r="V1302" s="2" t="s">
        <v>47</v>
      </c>
      <c r="W1302" s="2" t="s">
        <v>74</v>
      </c>
      <c r="X1302" s="2">
        <v>31.885000000000002</v>
      </c>
    </row>
    <row r="1303" spans="1:24" x14ac:dyDescent="0.3">
      <c r="A1303">
        <v>19189</v>
      </c>
      <c r="B1303" t="s">
        <v>4360</v>
      </c>
      <c r="C1303" s="3">
        <v>41455</v>
      </c>
      <c r="D1303" t="s">
        <v>148</v>
      </c>
      <c r="E1303">
        <v>18</v>
      </c>
      <c r="F1303" s="3">
        <f ca="1">41456+(RANDBETWEEN(1,10))</f>
        <v>41463</v>
      </c>
      <c r="G1303" t="s">
        <v>26</v>
      </c>
      <c r="H1303" t="s">
        <v>96</v>
      </c>
      <c r="I1303" t="s">
        <v>97</v>
      </c>
      <c r="J1303">
        <v>658.07</v>
      </c>
      <c r="K1303">
        <v>0.01</v>
      </c>
      <c r="L1303">
        <v>0.43</v>
      </c>
      <c r="M1303">
        <v>3.8149999999999999</v>
      </c>
      <c r="N1303">
        <v>-330.70100000000002</v>
      </c>
      <c r="O1303" s="1" t="s">
        <v>87</v>
      </c>
      <c r="P1303" s="1" t="s">
        <v>4361</v>
      </c>
      <c r="Q1303" s="1" t="s">
        <v>4362</v>
      </c>
      <c r="R1303" s="1" t="s">
        <v>646</v>
      </c>
      <c r="S1303" s="1" t="s">
        <v>4363</v>
      </c>
      <c r="T1303" s="1" t="s">
        <v>4364</v>
      </c>
      <c r="U1303" s="2" t="s">
        <v>1067</v>
      </c>
      <c r="V1303" s="2" t="s">
        <v>47</v>
      </c>
      <c r="W1303" s="2" t="s">
        <v>104</v>
      </c>
      <c r="X1303" s="2">
        <v>34.755000000000003</v>
      </c>
    </row>
    <row r="1304" spans="1:24" x14ac:dyDescent="0.3">
      <c r="A1304">
        <v>19190</v>
      </c>
      <c r="B1304" t="s">
        <v>4360</v>
      </c>
      <c r="C1304" s="3">
        <v>41455</v>
      </c>
      <c r="D1304" t="s">
        <v>148</v>
      </c>
      <c r="E1304">
        <v>16</v>
      </c>
      <c r="F1304" s="3">
        <f ca="1">41456+(RANDBETWEEN(1,10))</f>
        <v>41465</v>
      </c>
      <c r="G1304" t="s">
        <v>26</v>
      </c>
      <c r="H1304" t="s">
        <v>96</v>
      </c>
      <c r="I1304" t="s">
        <v>97</v>
      </c>
      <c r="J1304">
        <v>117.6</v>
      </c>
      <c r="K1304">
        <v>0.08</v>
      </c>
      <c r="L1304">
        <v>0.38</v>
      </c>
      <c r="M1304">
        <v>3.5</v>
      </c>
      <c r="N1304">
        <v>1688.82</v>
      </c>
      <c r="O1304" s="1" t="s">
        <v>87</v>
      </c>
      <c r="P1304" s="1" t="s">
        <v>4361</v>
      </c>
      <c r="Q1304" s="1" t="s">
        <v>4362</v>
      </c>
      <c r="R1304" s="1" t="s">
        <v>646</v>
      </c>
      <c r="S1304" s="1" t="s">
        <v>4363</v>
      </c>
      <c r="T1304" s="1" t="s">
        <v>4364</v>
      </c>
      <c r="U1304" s="2" t="s">
        <v>671</v>
      </c>
      <c r="V1304" s="2" t="s">
        <v>47</v>
      </c>
      <c r="W1304" s="2" t="s">
        <v>104</v>
      </c>
      <c r="X1304" s="2">
        <v>7.7350000000000003</v>
      </c>
    </row>
    <row r="1305" spans="1:24" x14ac:dyDescent="0.3">
      <c r="A1305">
        <v>19191</v>
      </c>
      <c r="B1305" t="s">
        <v>4365</v>
      </c>
      <c r="C1305" s="3">
        <v>40610</v>
      </c>
      <c r="D1305" t="s">
        <v>39</v>
      </c>
      <c r="E1305">
        <v>13</v>
      </c>
      <c r="F1305" s="3">
        <f ca="1">40612+(RANDBETWEEN(1,10))</f>
        <v>40622</v>
      </c>
      <c r="G1305" t="s">
        <v>26</v>
      </c>
      <c r="H1305" t="s">
        <v>281</v>
      </c>
      <c r="I1305" t="s">
        <v>97</v>
      </c>
      <c r="J1305">
        <v>2230.7950000000001</v>
      </c>
      <c r="K1305">
        <v>7.0000000000000007E-2</v>
      </c>
      <c r="L1305">
        <v>0.37</v>
      </c>
      <c r="M1305">
        <v>35.594999999999999</v>
      </c>
      <c r="N1305">
        <v>1539.24855</v>
      </c>
      <c r="O1305" s="1" t="s">
        <v>29</v>
      </c>
      <c r="P1305" s="1" t="s">
        <v>4366</v>
      </c>
      <c r="Q1305" s="1" t="s">
        <v>4367</v>
      </c>
      <c r="R1305" s="1" t="s">
        <v>32</v>
      </c>
      <c r="S1305" s="1" t="s">
        <v>4368</v>
      </c>
      <c r="T1305" s="1" t="s">
        <v>4369</v>
      </c>
      <c r="U1305" s="2" t="s">
        <v>3691</v>
      </c>
      <c r="V1305" s="2" t="s">
        <v>36</v>
      </c>
      <c r="W1305" s="2" t="s">
        <v>142</v>
      </c>
      <c r="X1305" s="2">
        <v>181.93</v>
      </c>
    </row>
    <row r="1306" spans="1:24" x14ac:dyDescent="0.3">
      <c r="A1306">
        <v>19192</v>
      </c>
      <c r="B1306" t="s">
        <v>4365</v>
      </c>
      <c r="C1306" s="3">
        <v>40610</v>
      </c>
      <c r="D1306" t="s">
        <v>39</v>
      </c>
      <c r="E1306">
        <v>3</v>
      </c>
      <c r="F1306" s="3">
        <f ca="1">40613+(RANDBETWEEN(1,10))</f>
        <v>40616</v>
      </c>
      <c r="G1306" t="s">
        <v>76</v>
      </c>
      <c r="H1306" t="s">
        <v>77</v>
      </c>
      <c r="I1306" t="s">
        <v>97</v>
      </c>
      <c r="J1306">
        <v>812.56</v>
      </c>
      <c r="K1306">
        <v>0.1</v>
      </c>
      <c r="L1306">
        <v>0.37</v>
      </c>
      <c r="M1306">
        <v>117.6</v>
      </c>
      <c r="N1306">
        <v>-523.10055</v>
      </c>
      <c r="O1306" s="1" t="s">
        <v>29</v>
      </c>
      <c r="P1306" s="1" t="s">
        <v>4366</v>
      </c>
      <c r="Q1306" s="1" t="s">
        <v>4367</v>
      </c>
      <c r="R1306" s="1" t="s">
        <v>32</v>
      </c>
      <c r="S1306" s="1" t="s">
        <v>4368</v>
      </c>
      <c r="T1306" s="1" t="s">
        <v>4369</v>
      </c>
      <c r="U1306" s="2" t="s">
        <v>3448</v>
      </c>
      <c r="V1306" s="2" t="s">
        <v>36</v>
      </c>
      <c r="W1306" s="2" t="s">
        <v>142</v>
      </c>
      <c r="X1306" s="2">
        <v>283.39499999999998</v>
      </c>
    </row>
    <row r="1307" spans="1:24" x14ac:dyDescent="0.3">
      <c r="A1307">
        <v>19193</v>
      </c>
      <c r="B1307" t="s">
        <v>4370</v>
      </c>
      <c r="C1307" s="3">
        <v>40547</v>
      </c>
      <c r="D1307" t="s">
        <v>62</v>
      </c>
      <c r="E1307">
        <v>4</v>
      </c>
      <c r="F1307" s="3">
        <f ca="1">40548+(RANDBETWEEN(1,10))</f>
        <v>40549</v>
      </c>
      <c r="G1307" t="s">
        <v>26</v>
      </c>
      <c r="H1307" t="s">
        <v>27</v>
      </c>
      <c r="I1307" t="s">
        <v>28</v>
      </c>
      <c r="J1307">
        <v>52.15</v>
      </c>
      <c r="K1307">
        <v>0.03</v>
      </c>
      <c r="L1307">
        <v>0.4</v>
      </c>
      <c r="M1307">
        <v>21.945</v>
      </c>
      <c r="N1307">
        <v>-329.9051</v>
      </c>
      <c r="O1307" s="1" t="s">
        <v>87</v>
      </c>
      <c r="P1307" s="1" t="s">
        <v>4371</v>
      </c>
      <c r="Q1307" s="1" t="s">
        <v>4372</v>
      </c>
      <c r="R1307" s="1" t="s">
        <v>398</v>
      </c>
      <c r="S1307" s="1" t="s">
        <v>1380</v>
      </c>
      <c r="T1307" s="1" t="s">
        <v>1381</v>
      </c>
      <c r="U1307" s="2" t="s">
        <v>1887</v>
      </c>
      <c r="V1307" s="2" t="s">
        <v>47</v>
      </c>
      <c r="W1307" s="2" t="s">
        <v>111</v>
      </c>
      <c r="X1307" s="2">
        <v>11.76</v>
      </c>
    </row>
    <row r="1308" spans="1:24" x14ac:dyDescent="0.3">
      <c r="A1308">
        <v>19194</v>
      </c>
      <c r="B1308" t="s">
        <v>4370</v>
      </c>
      <c r="C1308" s="3">
        <v>40547</v>
      </c>
      <c r="D1308" t="s">
        <v>62</v>
      </c>
      <c r="E1308">
        <v>11</v>
      </c>
      <c r="F1308" s="3">
        <f ca="1">40549+(RANDBETWEEN(1,10))</f>
        <v>40555</v>
      </c>
      <c r="G1308" t="s">
        <v>156</v>
      </c>
      <c r="H1308" t="s">
        <v>96</v>
      </c>
      <c r="I1308" t="s">
        <v>28</v>
      </c>
      <c r="J1308">
        <v>138.74</v>
      </c>
      <c r="K1308">
        <v>7.0000000000000007E-2</v>
      </c>
      <c r="L1308">
        <v>0.35</v>
      </c>
      <c r="M1308">
        <v>6.7549999999999999</v>
      </c>
      <c r="N1308">
        <v>22.157800000000002</v>
      </c>
      <c r="O1308" s="1" t="s">
        <v>87</v>
      </c>
      <c r="P1308" s="1" t="s">
        <v>4371</v>
      </c>
      <c r="Q1308" s="1" t="s">
        <v>4372</v>
      </c>
      <c r="R1308" s="1" t="s">
        <v>398</v>
      </c>
      <c r="S1308" s="1" t="s">
        <v>1380</v>
      </c>
      <c r="T1308" s="1" t="s">
        <v>1381</v>
      </c>
      <c r="U1308" s="2" t="s">
        <v>4373</v>
      </c>
      <c r="V1308" s="2" t="s">
        <v>47</v>
      </c>
      <c r="W1308" s="2" t="s">
        <v>74</v>
      </c>
      <c r="X1308" s="2">
        <v>12.984999999999999</v>
      </c>
    </row>
    <row r="1309" spans="1:24" x14ac:dyDescent="0.3">
      <c r="A1309">
        <v>19195</v>
      </c>
      <c r="B1309" t="s">
        <v>4374</v>
      </c>
      <c r="C1309" s="3">
        <v>41504</v>
      </c>
      <c r="D1309" t="s">
        <v>39</v>
      </c>
      <c r="E1309">
        <v>22</v>
      </c>
      <c r="F1309" s="3">
        <f ca="1">41505+(RANDBETWEEN(1,10))</f>
        <v>41515</v>
      </c>
      <c r="G1309" t="s">
        <v>26</v>
      </c>
      <c r="H1309" t="s">
        <v>27</v>
      </c>
      <c r="I1309" t="s">
        <v>86</v>
      </c>
      <c r="J1309">
        <v>4239.2700000000004</v>
      </c>
      <c r="K1309">
        <v>0.03</v>
      </c>
      <c r="L1309">
        <v>0.56999999999999995</v>
      </c>
      <c r="M1309">
        <v>18.585000000000001</v>
      </c>
      <c r="N1309">
        <v>2925.0963000000002</v>
      </c>
      <c r="O1309" s="1" t="s">
        <v>87</v>
      </c>
      <c r="P1309" s="1" t="s">
        <v>3961</v>
      </c>
      <c r="Q1309" s="1" t="s">
        <v>3962</v>
      </c>
      <c r="R1309" s="1" t="s">
        <v>90</v>
      </c>
      <c r="S1309" s="1" t="s">
        <v>1492</v>
      </c>
      <c r="T1309" s="1" t="s">
        <v>1493</v>
      </c>
      <c r="U1309" s="2">
        <v>3390</v>
      </c>
      <c r="V1309" s="2" t="s">
        <v>36</v>
      </c>
      <c r="W1309" s="2" t="s">
        <v>37</v>
      </c>
      <c r="X1309" s="2">
        <v>230.965</v>
      </c>
    </row>
    <row r="1310" spans="1:24" x14ac:dyDescent="0.3">
      <c r="A1310">
        <v>19196</v>
      </c>
      <c r="B1310" t="s">
        <v>4375</v>
      </c>
      <c r="C1310" s="3">
        <v>41569</v>
      </c>
      <c r="D1310" t="s">
        <v>62</v>
      </c>
      <c r="E1310">
        <v>2</v>
      </c>
      <c r="F1310" s="3">
        <f ca="1">41569+(RANDBETWEEN(1,10))</f>
        <v>41576</v>
      </c>
      <c r="G1310" t="s">
        <v>26</v>
      </c>
      <c r="H1310" t="s">
        <v>51</v>
      </c>
      <c r="I1310" t="s">
        <v>97</v>
      </c>
      <c r="J1310">
        <v>309.12</v>
      </c>
      <c r="K1310">
        <v>0.09</v>
      </c>
      <c r="L1310">
        <v>0.83</v>
      </c>
      <c r="M1310">
        <v>17.5</v>
      </c>
      <c r="N1310">
        <v>-1154.09448</v>
      </c>
      <c r="O1310" s="1" t="s">
        <v>87</v>
      </c>
      <c r="P1310" s="1" t="s">
        <v>1229</v>
      </c>
      <c r="Q1310" s="1" t="s">
        <v>1230</v>
      </c>
      <c r="R1310" s="1" t="s">
        <v>646</v>
      </c>
      <c r="S1310" s="1" t="s">
        <v>1231</v>
      </c>
      <c r="T1310" s="1" t="s">
        <v>1232</v>
      </c>
      <c r="U1310" s="2" t="s">
        <v>4376</v>
      </c>
      <c r="V1310" s="2" t="s">
        <v>36</v>
      </c>
      <c r="W1310" s="2" t="s">
        <v>37</v>
      </c>
      <c r="X1310" s="2">
        <v>195.965</v>
      </c>
    </row>
    <row r="1311" spans="1:24" x14ac:dyDescent="0.3">
      <c r="A1311">
        <v>19197</v>
      </c>
      <c r="B1311" t="s">
        <v>4377</v>
      </c>
      <c r="C1311" s="3">
        <v>41861</v>
      </c>
      <c r="D1311" t="s">
        <v>25</v>
      </c>
      <c r="E1311">
        <v>16</v>
      </c>
      <c r="F1311" s="3">
        <f ca="1">41866+(RANDBETWEEN(1,10))</f>
        <v>41868</v>
      </c>
      <c r="G1311" t="s">
        <v>156</v>
      </c>
      <c r="H1311" t="s">
        <v>281</v>
      </c>
      <c r="I1311" t="s">
        <v>52</v>
      </c>
      <c r="J1311">
        <v>4537.8900000000003</v>
      </c>
      <c r="K1311">
        <v>0</v>
      </c>
      <c r="L1311">
        <v>0.74</v>
      </c>
      <c r="M1311">
        <v>168.7</v>
      </c>
      <c r="N1311">
        <v>-999.19204000000002</v>
      </c>
      <c r="O1311" s="1" t="s">
        <v>87</v>
      </c>
      <c r="P1311" s="1" t="s">
        <v>4378</v>
      </c>
      <c r="Q1311" s="1" t="s">
        <v>4379</v>
      </c>
      <c r="R1311" s="1" t="s">
        <v>398</v>
      </c>
      <c r="S1311" s="1" t="s">
        <v>4380</v>
      </c>
      <c r="T1311" s="1" t="s">
        <v>4381</v>
      </c>
      <c r="U1311" s="2" t="s">
        <v>2660</v>
      </c>
      <c r="V1311" s="2" t="s">
        <v>83</v>
      </c>
      <c r="W1311" s="2" t="s">
        <v>178</v>
      </c>
      <c r="X1311" s="2">
        <v>278.32</v>
      </c>
    </row>
    <row r="1312" spans="1:24" x14ac:dyDescent="0.3">
      <c r="A1312">
        <v>19198</v>
      </c>
      <c r="B1312" t="s">
        <v>4377</v>
      </c>
      <c r="C1312" s="3">
        <v>41861</v>
      </c>
      <c r="D1312" t="s">
        <v>25</v>
      </c>
      <c r="E1312">
        <v>13</v>
      </c>
      <c r="F1312" s="3">
        <f ca="1">41863+(RANDBETWEEN(1,10))</f>
        <v>41872</v>
      </c>
      <c r="G1312" t="s">
        <v>156</v>
      </c>
      <c r="H1312" t="s">
        <v>27</v>
      </c>
      <c r="I1312" t="s">
        <v>52</v>
      </c>
      <c r="J1312">
        <v>4603.5150000000003</v>
      </c>
      <c r="K1312">
        <v>0.06</v>
      </c>
      <c r="L1312">
        <v>0.59</v>
      </c>
      <c r="M1312">
        <v>10.5</v>
      </c>
      <c r="N1312">
        <v>2047.6164240000001</v>
      </c>
      <c r="O1312" s="1" t="s">
        <v>87</v>
      </c>
      <c r="P1312" s="1" t="s">
        <v>4378</v>
      </c>
      <c r="Q1312" s="1" t="s">
        <v>4379</v>
      </c>
      <c r="R1312" s="1" t="s">
        <v>398</v>
      </c>
      <c r="S1312" s="1" t="s">
        <v>4380</v>
      </c>
      <c r="T1312" s="1" t="s">
        <v>4381</v>
      </c>
      <c r="U1312" s="2" t="s">
        <v>1744</v>
      </c>
      <c r="V1312" s="2" t="s">
        <v>36</v>
      </c>
      <c r="W1312" s="2" t="s">
        <v>37</v>
      </c>
      <c r="X1312" s="2">
        <v>440.96499999999997</v>
      </c>
    </row>
    <row r="1313" spans="1:24" x14ac:dyDescent="0.3">
      <c r="A1313">
        <v>19199</v>
      </c>
      <c r="B1313" t="s">
        <v>4382</v>
      </c>
      <c r="C1313" s="3">
        <v>41305</v>
      </c>
      <c r="D1313" t="s">
        <v>148</v>
      </c>
      <c r="E1313">
        <v>4</v>
      </c>
      <c r="F1313" s="3">
        <f ca="1">41307+(RANDBETWEEN(1,10))</f>
        <v>41314</v>
      </c>
      <c r="G1313" t="s">
        <v>26</v>
      </c>
      <c r="H1313" t="s">
        <v>63</v>
      </c>
      <c r="I1313" t="s">
        <v>86</v>
      </c>
      <c r="J1313">
        <v>1741.7049999999999</v>
      </c>
      <c r="K1313">
        <v>7.0000000000000007E-2</v>
      </c>
      <c r="L1313">
        <v>0.46</v>
      </c>
      <c r="M1313">
        <v>85.715000000000003</v>
      </c>
      <c r="N1313">
        <v>-410.375</v>
      </c>
      <c r="O1313" s="1" t="s">
        <v>40</v>
      </c>
      <c r="P1313" s="1" t="s">
        <v>4383</v>
      </c>
      <c r="Q1313" s="1" t="s">
        <v>4384</v>
      </c>
      <c r="R1313" s="1" t="s">
        <v>43</v>
      </c>
      <c r="S1313" s="1" t="s">
        <v>4385</v>
      </c>
      <c r="T1313" s="1" t="s">
        <v>4386</v>
      </c>
      <c r="U1313" s="2" t="s">
        <v>4387</v>
      </c>
      <c r="V1313" s="2" t="s">
        <v>47</v>
      </c>
      <c r="W1313" s="2" t="s">
        <v>71</v>
      </c>
      <c r="X1313" s="2">
        <v>431.83</v>
      </c>
    </row>
    <row r="1314" spans="1:24" x14ac:dyDescent="0.3">
      <c r="A1314">
        <v>19200</v>
      </c>
      <c r="B1314" t="s">
        <v>4388</v>
      </c>
      <c r="C1314" s="3">
        <v>41993</v>
      </c>
      <c r="D1314" t="s">
        <v>50</v>
      </c>
      <c r="E1314">
        <v>3</v>
      </c>
      <c r="F1314" s="3">
        <f ca="1">41994+(RANDBETWEEN(1,10))</f>
        <v>41997</v>
      </c>
      <c r="G1314" t="s">
        <v>26</v>
      </c>
      <c r="H1314" t="s">
        <v>27</v>
      </c>
      <c r="I1314" t="s">
        <v>28</v>
      </c>
      <c r="J1314">
        <v>2072.21</v>
      </c>
      <c r="K1314">
        <v>7.0000000000000007E-2</v>
      </c>
      <c r="L1314">
        <v>0.71</v>
      </c>
      <c r="M1314">
        <v>69.965000000000003</v>
      </c>
      <c r="N1314">
        <v>-84.299599999999998</v>
      </c>
      <c r="O1314" s="1" t="s">
        <v>40</v>
      </c>
      <c r="P1314" s="1" t="s">
        <v>3111</v>
      </c>
      <c r="Q1314" s="1" t="s">
        <v>3112</v>
      </c>
      <c r="R1314" s="1" t="s">
        <v>43</v>
      </c>
      <c r="S1314" s="1" t="s">
        <v>3113</v>
      </c>
      <c r="T1314" s="1" t="s">
        <v>3114</v>
      </c>
      <c r="U1314" s="2" t="s">
        <v>624</v>
      </c>
      <c r="V1314" s="2" t="s">
        <v>47</v>
      </c>
      <c r="W1314" s="2" t="s">
        <v>119</v>
      </c>
      <c r="X1314" s="2">
        <v>676.09500000000003</v>
      </c>
    </row>
    <row r="1315" spans="1:24" x14ac:dyDescent="0.3">
      <c r="A1315">
        <v>19201</v>
      </c>
      <c r="B1315" t="s">
        <v>4388</v>
      </c>
      <c r="C1315" s="3">
        <v>41993</v>
      </c>
      <c r="D1315" t="s">
        <v>50</v>
      </c>
      <c r="E1315">
        <v>9</v>
      </c>
      <c r="F1315" s="3">
        <f ca="1">41996+(RANDBETWEEN(1,10))</f>
        <v>42000</v>
      </c>
      <c r="G1315" t="s">
        <v>26</v>
      </c>
      <c r="H1315" t="s">
        <v>27</v>
      </c>
      <c r="I1315" t="s">
        <v>28</v>
      </c>
      <c r="J1315">
        <v>952.80499999999995</v>
      </c>
      <c r="K1315">
        <v>0.02</v>
      </c>
      <c r="L1315">
        <v>0.35</v>
      </c>
      <c r="M1315">
        <v>10.465</v>
      </c>
      <c r="N1315">
        <v>400.26</v>
      </c>
      <c r="O1315" s="1" t="s">
        <v>40</v>
      </c>
      <c r="P1315" s="1" t="s">
        <v>4389</v>
      </c>
      <c r="Q1315" s="1" t="s">
        <v>4390</v>
      </c>
      <c r="R1315" s="1" t="s">
        <v>43</v>
      </c>
      <c r="S1315" s="1" t="s">
        <v>4391</v>
      </c>
      <c r="T1315" s="1" t="s">
        <v>4392</v>
      </c>
      <c r="U1315" s="2" t="s">
        <v>4393</v>
      </c>
      <c r="V1315" s="2" t="s">
        <v>47</v>
      </c>
      <c r="W1315" s="2" t="s">
        <v>111</v>
      </c>
      <c r="X1315" s="2">
        <v>106.96</v>
      </c>
    </row>
    <row r="1316" spans="1:24" x14ac:dyDescent="0.3">
      <c r="A1316">
        <v>19202</v>
      </c>
      <c r="B1316" t="s">
        <v>4394</v>
      </c>
      <c r="C1316" s="3">
        <v>40964</v>
      </c>
      <c r="D1316" t="s">
        <v>25</v>
      </c>
      <c r="E1316">
        <v>5</v>
      </c>
      <c r="F1316" s="3">
        <f ca="1">40966+(RANDBETWEEN(1,10))</f>
        <v>40968</v>
      </c>
      <c r="G1316" t="s">
        <v>26</v>
      </c>
      <c r="H1316" t="s">
        <v>27</v>
      </c>
      <c r="I1316" t="s">
        <v>52</v>
      </c>
      <c r="J1316">
        <v>394.34500000000003</v>
      </c>
      <c r="K1316">
        <v>0.04</v>
      </c>
      <c r="L1316">
        <v>0.39</v>
      </c>
      <c r="M1316">
        <v>40.39</v>
      </c>
      <c r="N1316">
        <v>-21.14</v>
      </c>
      <c r="O1316" s="1" t="s">
        <v>53</v>
      </c>
      <c r="P1316" s="1" t="s">
        <v>4395</v>
      </c>
      <c r="Q1316" s="1" t="s">
        <v>4396</v>
      </c>
      <c r="R1316" s="1" t="s">
        <v>56</v>
      </c>
      <c r="S1316" s="1" t="s">
        <v>4397</v>
      </c>
      <c r="T1316" s="1" t="s">
        <v>4398</v>
      </c>
      <c r="U1316" s="2" t="s">
        <v>642</v>
      </c>
      <c r="V1316" s="2" t="s">
        <v>47</v>
      </c>
      <c r="W1316" s="2" t="s">
        <v>74</v>
      </c>
      <c r="X1316" s="2">
        <v>79.94</v>
      </c>
    </row>
    <row r="1317" spans="1:24" x14ac:dyDescent="0.3">
      <c r="A1317">
        <v>19203</v>
      </c>
      <c r="B1317" t="s">
        <v>4394</v>
      </c>
      <c r="C1317" s="3">
        <v>40964</v>
      </c>
      <c r="D1317" t="s">
        <v>25</v>
      </c>
      <c r="E1317">
        <v>4</v>
      </c>
      <c r="F1317" s="3">
        <f ca="1">40972+(RANDBETWEEN(1,10))</f>
        <v>40979</v>
      </c>
      <c r="G1317" t="s">
        <v>26</v>
      </c>
      <c r="H1317" t="s">
        <v>27</v>
      </c>
      <c r="I1317" t="s">
        <v>52</v>
      </c>
      <c r="J1317">
        <v>1379.35</v>
      </c>
      <c r="K1317">
        <v>0.08</v>
      </c>
      <c r="L1317">
        <v>0.56999999999999995</v>
      </c>
      <c r="M1317">
        <v>14.7</v>
      </c>
      <c r="N1317">
        <v>-274.89</v>
      </c>
      <c r="O1317" s="1" t="s">
        <v>225</v>
      </c>
      <c r="P1317" s="1" t="s">
        <v>4399</v>
      </c>
      <c r="Q1317" s="1" t="s">
        <v>4400</v>
      </c>
      <c r="R1317" s="1" t="s">
        <v>228</v>
      </c>
      <c r="S1317" s="1" t="s">
        <v>1285</v>
      </c>
      <c r="T1317" s="1" t="s">
        <v>1286</v>
      </c>
      <c r="U1317" s="2" t="s">
        <v>4401</v>
      </c>
      <c r="V1317" s="2" t="s">
        <v>36</v>
      </c>
      <c r="W1317" s="2" t="s">
        <v>37</v>
      </c>
      <c r="X1317" s="2">
        <v>440.96499999999997</v>
      </c>
    </row>
    <row r="1318" spans="1:24" x14ac:dyDescent="0.3">
      <c r="A1318">
        <v>19204</v>
      </c>
      <c r="B1318" t="s">
        <v>4402</v>
      </c>
      <c r="C1318" s="3">
        <v>41672</v>
      </c>
      <c r="D1318" t="s">
        <v>25</v>
      </c>
      <c r="E1318">
        <v>10</v>
      </c>
      <c r="F1318" s="3">
        <f ca="1">41676+(RANDBETWEEN(1,10))</f>
        <v>41686</v>
      </c>
      <c r="G1318" t="s">
        <v>26</v>
      </c>
      <c r="H1318" t="s">
        <v>51</v>
      </c>
      <c r="I1318" t="s">
        <v>86</v>
      </c>
      <c r="J1318">
        <v>581.38499999999999</v>
      </c>
      <c r="K1318">
        <v>0.1</v>
      </c>
      <c r="L1318">
        <v>0.47</v>
      </c>
      <c r="M1318">
        <v>31.465</v>
      </c>
      <c r="N1318">
        <v>30.274999999999999</v>
      </c>
      <c r="O1318" s="1" t="s">
        <v>87</v>
      </c>
      <c r="P1318" s="1" t="s">
        <v>3400</v>
      </c>
      <c r="Q1318" s="1" t="s">
        <v>3401</v>
      </c>
      <c r="R1318" s="1" t="s">
        <v>398</v>
      </c>
      <c r="S1318" s="1" t="s">
        <v>3402</v>
      </c>
      <c r="T1318" s="1" t="s">
        <v>3403</v>
      </c>
      <c r="U1318" s="2" t="s">
        <v>1320</v>
      </c>
      <c r="V1318" s="2" t="s">
        <v>83</v>
      </c>
      <c r="W1318" s="2" t="s">
        <v>178</v>
      </c>
      <c r="X1318" s="2">
        <v>61.844999999999999</v>
      </c>
    </row>
    <row r="1319" spans="1:24" x14ac:dyDescent="0.3">
      <c r="A1319">
        <v>19205</v>
      </c>
      <c r="B1319" t="s">
        <v>4403</v>
      </c>
      <c r="C1319" s="3">
        <v>41763</v>
      </c>
      <c r="D1319" t="s">
        <v>25</v>
      </c>
      <c r="E1319">
        <v>13</v>
      </c>
      <c r="F1319" s="3">
        <f ca="1">41767+(RANDBETWEEN(1,10))</f>
        <v>41771</v>
      </c>
      <c r="G1319" t="s">
        <v>26</v>
      </c>
      <c r="H1319" t="s">
        <v>63</v>
      </c>
      <c r="I1319" t="s">
        <v>86</v>
      </c>
      <c r="J1319">
        <v>3798.0949999999998</v>
      </c>
      <c r="K1319">
        <v>0</v>
      </c>
      <c r="L1319">
        <v>0.81</v>
      </c>
      <c r="M1319">
        <v>122.5</v>
      </c>
      <c r="N1319">
        <v>-2963.5549999999998</v>
      </c>
      <c r="O1319" s="1" t="s">
        <v>87</v>
      </c>
      <c r="P1319" s="1" t="s">
        <v>2403</v>
      </c>
      <c r="Q1319" s="1" t="s">
        <v>2404</v>
      </c>
      <c r="R1319" s="1" t="s">
        <v>90</v>
      </c>
      <c r="S1319" s="1" t="s">
        <v>2405</v>
      </c>
      <c r="T1319" s="1" t="s">
        <v>2406</v>
      </c>
      <c r="U1319" s="2" t="s">
        <v>166</v>
      </c>
      <c r="V1319" s="2" t="s">
        <v>47</v>
      </c>
      <c r="W1319" s="2" t="s">
        <v>119</v>
      </c>
      <c r="X1319" s="2">
        <v>283.43</v>
      </c>
    </row>
    <row r="1320" spans="1:24" x14ac:dyDescent="0.3">
      <c r="A1320">
        <v>19206</v>
      </c>
      <c r="B1320" t="s">
        <v>4404</v>
      </c>
      <c r="C1320" s="3">
        <v>41221</v>
      </c>
      <c r="D1320" t="s">
        <v>39</v>
      </c>
      <c r="E1320">
        <v>38</v>
      </c>
      <c r="F1320" s="3">
        <f ca="1">41222+(RANDBETWEEN(1,10))</f>
        <v>41227</v>
      </c>
      <c r="G1320" t="s">
        <v>26</v>
      </c>
      <c r="H1320" t="s">
        <v>281</v>
      </c>
      <c r="I1320" t="s">
        <v>52</v>
      </c>
      <c r="J1320">
        <v>19767.09</v>
      </c>
      <c r="K1320">
        <v>0.08</v>
      </c>
      <c r="L1320">
        <v>0.38</v>
      </c>
      <c r="M1320">
        <v>48.965000000000003</v>
      </c>
      <c r="N1320">
        <v>-651.25900000000001</v>
      </c>
      <c r="O1320" s="1" t="s">
        <v>53</v>
      </c>
      <c r="P1320" s="1" t="s">
        <v>4405</v>
      </c>
      <c r="Q1320" s="1" t="s">
        <v>4406</v>
      </c>
      <c r="R1320" s="1" t="s">
        <v>100</v>
      </c>
      <c r="S1320" s="1" t="s">
        <v>4407</v>
      </c>
      <c r="T1320" s="1" t="s">
        <v>4408</v>
      </c>
      <c r="U1320" s="2" t="s">
        <v>480</v>
      </c>
      <c r="V1320" s="2" t="s">
        <v>36</v>
      </c>
      <c r="W1320" s="2" t="s">
        <v>142</v>
      </c>
      <c r="X1320" s="2">
        <v>528.42999999999995</v>
      </c>
    </row>
    <row r="1321" spans="1:24" x14ac:dyDescent="0.3">
      <c r="A1321">
        <v>19207</v>
      </c>
      <c r="B1321" t="s">
        <v>4404</v>
      </c>
      <c r="C1321" s="3">
        <v>41221</v>
      </c>
      <c r="D1321" t="s">
        <v>39</v>
      </c>
      <c r="E1321">
        <v>1</v>
      </c>
      <c r="F1321" s="3">
        <f ca="1">41222+(RANDBETWEEN(1,10))</f>
        <v>41224</v>
      </c>
      <c r="G1321" t="s">
        <v>26</v>
      </c>
      <c r="H1321" t="s">
        <v>51</v>
      </c>
      <c r="I1321" t="s">
        <v>52</v>
      </c>
      <c r="J1321">
        <v>58.555</v>
      </c>
      <c r="K1321">
        <v>0.08</v>
      </c>
      <c r="L1321">
        <v>0.48</v>
      </c>
      <c r="M1321">
        <v>17.43</v>
      </c>
      <c r="N1321">
        <v>4.8719999999999999</v>
      </c>
      <c r="O1321" s="1" t="s">
        <v>87</v>
      </c>
      <c r="P1321" s="1" t="s">
        <v>4409</v>
      </c>
      <c r="Q1321" s="1" t="s">
        <v>4410</v>
      </c>
      <c r="R1321" s="1" t="s">
        <v>398</v>
      </c>
      <c r="S1321" s="1" t="s">
        <v>4411</v>
      </c>
      <c r="T1321" s="1" t="s">
        <v>4412</v>
      </c>
      <c r="U1321" s="2" t="s">
        <v>430</v>
      </c>
      <c r="V1321" s="2" t="s">
        <v>83</v>
      </c>
      <c r="W1321" s="2" t="s">
        <v>178</v>
      </c>
      <c r="X1321" s="2">
        <v>44.24</v>
      </c>
    </row>
    <row r="1322" spans="1:24" x14ac:dyDescent="0.3">
      <c r="A1322">
        <v>19208</v>
      </c>
      <c r="B1322" t="s">
        <v>4413</v>
      </c>
      <c r="C1322" s="3">
        <v>40829</v>
      </c>
      <c r="D1322" t="s">
        <v>62</v>
      </c>
      <c r="E1322">
        <v>5</v>
      </c>
      <c r="F1322" s="3">
        <f ca="1">40830+(RANDBETWEEN(1,10))</f>
        <v>40833</v>
      </c>
      <c r="G1322" t="s">
        <v>26</v>
      </c>
      <c r="H1322" t="s">
        <v>51</v>
      </c>
      <c r="I1322" t="s">
        <v>28</v>
      </c>
      <c r="J1322">
        <v>223.755</v>
      </c>
      <c r="K1322">
        <v>0.05</v>
      </c>
      <c r="L1322">
        <v>0.43</v>
      </c>
      <c r="M1322">
        <v>21.07</v>
      </c>
      <c r="N1322">
        <v>-23.247</v>
      </c>
      <c r="O1322" s="1" t="s">
        <v>53</v>
      </c>
      <c r="P1322" s="1" t="s">
        <v>2247</v>
      </c>
      <c r="Q1322" s="1" t="s">
        <v>2248</v>
      </c>
      <c r="R1322" s="1" t="s">
        <v>440</v>
      </c>
      <c r="S1322" s="1" t="s">
        <v>2249</v>
      </c>
      <c r="T1322" s="1" t="s">
        <v>2250</v>
      </c>
      <c r="U1322" s="2" t="s">
        <v>4414</v>
      </c>
      <c r="V1322" s="2" t="s">
        <v>83</v>
      </c>
      <c r="W1322" s="2" t="s">
        <v>178</v>
      </c>
      <c r="X1322" s="2">
        <v>42.7</v>
      </c>
    </row>
    <row r="1323" spans="1:24" x14ac:dyDescent="0.3">
      <c r="A1323">
        <v>19209</v>
      </c>
      <c r="B1323" t="s">
        <v>4415</v>
      </c>
      <c r="C1323" s="3">
        <v>40571</v>
      </c>
      <c r="D1323" t="s">
        <v>25</v>
      </c>
      <c r="E1323">
        <v>1</v>
      </c>
      <c r="F1323" s="3">
        <f ca="1">40580+(RANDBETWEEN(1,10))</f>
        <v>40586</v>
      </c>
      <c r="G1323" t="s">
        <v>26</v>
      </c>
      <c r="H1323" t="s">
        <v>27</v>
      </c>
      <c r="I1323" t="s">
        <v>28</v>
      </c>
      <c r="J1323">
        <v>222.18</v>
      </c>
      <c r="K1323">
        <v>0.02</v>
      </c>
      <c r="L1323">
        <v>0.56999999999999995</v>
      </c>
      <c r="M1323">
        <v>13.965</v>
      </c>
      <c r="N1323">
        <v>-191.17699999999999</v>
      </c>
      <c r="O1323" s="1" t="s">
        <v>40</v>
      </c>
      <c r="P1323" s="1" t="s">
        <v>1906</v>
      </c>
      <c r="Q1323" s="1" t="s">
        <v>1907</v>
      </c>
      <c r="R1323" s="1" t="s">
        <v>220</v>
      </c>
      <c r="S1323" s="1" t="s">
        <v>1908</v>
      </c>
      <c r="T1323" s="1" t="s">
        <v>1909</v>
      </c>
      <c r="U1323" s="2" t="s">
        <v>1024</v>
      </c>
      <c r="V1323" s="2" t="s">
        <v>47</v>
      </c>
      <c r="W1323" s="2" t="s">
        <v>71</v>
      </c>
      <c r="X1323" s="2">
        <v>209.93</v>
      </c>
    </row>
    <row r="1324" spans="1:24" x14ac:dyDescent="0.3">
      <c r="A1324">
        <v>19210</v>
      </c>
      <c r="B1324" t="s">
        <v>4415</v>
      </c>
      <c r="C1324" s="3">
        <v>40571</v>
      </c>
      <c r="D1324" t="s">
        <v>25</v>
      </c>
      <c r="E1324">
        <v>9</v>
      </c>
      <c r="F1324" s="3">
        <f ca="1">40575+(RANDBETWEEN(1,10))</f>
        <v>40585</v>
      </c>
      <c r="G1324" t="s">
        <v>26</v>
      </c>
      <c r="H1324" t="s">
        <v>27</v>
      </c>
      <c r="I1324" t="s">
        <v>28</v>
      </c>
      <c r="J1324">
        <v>166.74</v>
      </c>
      <c r="K1324">
        <v>0.03</v>
      </c>
      <c r="L1324">
        <v>0.36</v>
      </c>
      <c r="M1324">
        <v>20.09</v>
      </c>
      <c r="N1324">
        <v>-443.84962999999999</v>
      </c>
      <c r="O1324" s="1" t="s">
        <v>40</v>
      </c>
      <c r="P1324" s="1" t="s">
        <v>1906</v>
      </c>
      <c r="Q1324" s="1" t="s">
        <v>1907</v>
      </c>
      <c r="R1324" s="1" t="s">
        <v>220</v>
      </c>
      <c r="S1324" s="1" t="s">
        <v>1908</v>
      </c>
      <c r="T1324" s="1" t="s">
        <v>1909</v>
      </c>
      <c r="U1324" s="2" t="s">
        <v>1239</v>
      </c>
      <c r="V1324" s="2" t="s">
        <v>47</v>
      </c>
      <c r="W1324" s="2" t="s">
        <v>111</v>
      </c>
      <c r="X1324" s="2">
        <v>18.13</v>
      </c>
    </row>
    <row r="1325" spans="1:24" x14ac:dyDescent="0.3">
      <c r="A1325">
        <v>19211</v>
      </c>
      <c r="B1325" t="s">
        <v>4416</v>
      </c>
      <c r="C1325" s="3">
        <v>40973</v>
      </c>
      <c r="D1325" t="s">
        <v>50</v>
      </c>
      <c r="E1325">
        <v>4</v>
      </c>
      <c r="F1325" s="3">
        <f ca="1">40974+(RANDBETWEEN(1,10))</f>
        <v>40976</v>
      </c>
      <c r="G1325" t="s">
        <v>26</v>
      </c>
      <c r="H1325" t="s">
        <v>27</v>
      </c>
      <c r="I1325" t="s">
        <v>86</v>
      </c>
      <c r="J1325">
        <v>412.125</v>
      </c>
      <c r="K1325">
        <v>7.0000000000000007E-2</v>
      </c>
      <c r="L1325">
        <v>0.4</v>
      </c>
      <c r="M1325">
        <v>17.815000000000001</v>
      </c>
      <c r="N1325">
        <v>284.36624999999998</v>
      </c>
      <c r="O1325" s="1" t="s">
        <v>87</v>
      </c>
      <c r="P1325" s="1" t="s">
        <v>4151</v>
      </c>
      <c r="Q1325" s="1" t="s">
        <v>4152</v>
      </c>
      <c r="R1325" s="1" t="s">
        <v>90</v>
      </c>
      <c r="S1325" s="1" t="s">
        <v>4153</v>
      </c>
      <c r="T1325" s="1" t="s">
        <v>4154</v>
      </c>
      <c r="U1325" s="2" t="s">
        <v>4417</v>
      </c>
      <c r="V1325" s="2" t="s">
        <v>47</v>
      </c>
      <c r="W1325" s="2" t="s">
        <v>74</v>
      </c>
      <c r="X1325" s="2">
        <v>108.43</v>
      </c>
    </row>
    <row r="1326" spans="1:24" x14ac:dyDescent="0.3">
      <c r="A1326">
        <v>19212</v>
      </c>
      <c r="B1326" t="s">
        <v>4418</v>
      </c>
      <c r="C1326" s="3">
        <v>41506</v>
      </c>
      <c r="D1326" t="s">
        <v>25</v>
      </c>
      <c r="E1326">
        <v>7</v>
      </c>
      <c r="F1326" s="3">
        <f ca="1">41513+(RANDBETWEEN(1,10))</f>
        <v>41519</v>
      </c>
      <c r="G1326" t="s">
        <v>156</v>
      </c>
      <c r="H1326" t="s">
        <v>281</v>
      </c>
      <c r="I1326" t="s">
        <v>52</v>
      </c>
      <c r="J1326">
        <v>275.87</v>
      </c>
      <c r="K1326">
        <v>0.09</v>
      </c>
      <c r="L1326">
        <v>0.36</v>
      </c>
      <c r="M1326">
        <v>21.84</v>
      </c>
      <c r="N1326">
        <v>-29.467074</v>
      </c>
      <c r="O1326" s="1" t="s">
        <v>29</v>
      </c>
      <c r="P1326" s="1" t="s">
        <v>4419</v>
      </c>
      <c r="Q1326" s="1" t="s">
        <v>4420</v>
      </c>
      <c r="R1326" s="1" t="s">
        <v>32</v>
      </c>
      <c r="S1326" s="1" t="s">
        <v>4421</v>
      </c>
      <c r="T1326" s="1" t="s">
        <v>4422</v>
      </c>
      <c r="U1326" s="2" t="s">
        <v>4423</v>
      </c>
      <c r="V1326" s="2" t="s">
        <v>36</v>
      </c>
      <c r="W1326" s="2" t="s">
        <v>142</v>
      </c>
      <c r="X1326" s="2">
        <v>34.965000000000003</v>
      </c>
    </row>
    <row r="1327" spans="1:24" x14ac:dyDescent="0.3">
      <c r="A1327">
        <v>19213</v>
      </c>
      <c r="B1327" t="s">
        <v>4424</v>
      </c>
      <c r="C1327" s="3">
        <v>41444</v>
      </c>
      <c r="D1327" t="s">
        <v>39</v>
      </c>
      <c r="E1327">
        <v>11</v>
      </c>
      <c r="F1327" s="3">
        <f ca="1">41446+(RANDBETWEEN(1,10))</f>
        <v>41450</v>
      </c>
      <c r="G1327" t="s">
        <v>26</v>
      </c>
      <c r="H1327" t="s">
        <v>27</v>
      </c>
      <c r="I1327" t="s">
        <v>52</v>
      </c>
      <c r="J1327">
        <v>257.32</v>
      </c>
      <c r="K1327">
        <v>0.05</v>
      </c>
      <c r="L1327">
        <v>0.37</v>
      </c>
      <c r="M1327">
        <v>20.79</v>
      </c>
      <c r="N1327">
        <v>-161.33600000000001</v>
      </c>
      <c r="O1327" s="1" t="s">
        <v>40</v>
      </c>
      <c r="P1327" s="1" t="s">
        <v>3801</v>
      </c>
      <c r="Q1327" s="1" t="s">
        <v>3802</v>
      </c>
      <c r="R1327" s="1" t="s">
        <v>43</v>
      </c>
      <c r="S1327" s="1" t="s">
        <v>3803</v>
      </c>
      <c r="T1327" s="1" t="s">
        <v>3804</v>
      </c>
      <c r="U1327" s="2" t="s">
        <v>3813</v>
      </c>
      <c r="V1327" s="2" t="s">
        <v>47</v>
      </c>
      <c r="W1327" s="2" t="s">
        <v>74</v>
      </c>
      <c r="X1327" s="2">
        <v>22.68</v>
      </c>
    </row>
    <row r="1328" spans="1:24" x14ac:dyDescent="0.3">
      <c r="A1328">
        <v>19214</v>
      </c>
      <c r="B1328" t="s">
        <v>4425</v>
      </c>
      <c r="C1328" s="3">
        <v>40682</v>
      </c>
      <c r="D1328" t="s">
        <v>148</v>
      </c>
      <c r="E1328">
        <v>5</v>
      </c>
      <c r="F1328" s="3">
        <f ca="1">40684+(RANDBETWEEN(1,10))</f>
        <v>40689</v>
      </c>
      <c r="G1328" t="s">
        <v>26</v>
      </c>
      <c r="H1328" t="s">
        <v>27</v>
      </c>
      <c r="I1328" t="s">
        <v>28</v>
      </c>
      <c r="J1328">
        <v>182.315</v>
      </c>
      <c r="K1328">
        <v>0.04</v>
      </c>
      <c r="L1328">
        <v>0.4</v>
      </c>
      <c r="M1328">
        <v>40.564999999999998</v>
      </c>
      <c r="N1328">
        <v>-323.12</v>
      </c>
      <c r="O1328" s="1" t="s">
        <v>53</v>
      </c>
      <c r="P1328" s="1" t="s">
        <v>4426</v>
      </c>
      <c r="Q1328" s="1" t="s">
        <v>4427</v>
      </c>
      <c r="R1328" s="1" t="s">
        <v>100</v>
      </c>
      <c r="S1328" s="1" t="s">
        <v>4428</v>
      </c>
      <c r="T1328" s="1" t="s">
        <v>4429</v>
      </c>
      <c r="U1328" s="2" t="s">
        <v>4430</v>
      </c>
      <c r="V1328" s="2" t="s">
        <v>47</v>
      </c>
      <c r="W1328" s="2" t="s">
        <v>74</v>
      </c>
      <c r="X1328" s="2">
        <v>34.965000000000003</v>
      </c>
    </row>
    <row r="1329" spans="1:24" x14ac:dyDescent="0.3">
      <c r="A1329">
        <v>19215</v>
      </c>
      <c r="B1329" t="s">
        <v>4431</v>
      </c>
      <c r="C1329" s="3">
        <v>41189</v>
      </c>
      <c r="D1329" t="s">
        <v>39</v>
      </c>
      <c r="E1329">
        <v>17</v>
      </c>
      <c r="F1329" s="3">
        <f ca="1">41190+(RANDBETWEEN(1,10))</f>
        <v>41193</v>
      </c>
      <c r="G1329" t="s">
        <v>26</v>
      </c>
      <c r="H1329" t="s">
        <v>27</v>
      </c>
      <c r="I1329" t="s">
        <v>52</v>
      </c>
      <c r="J1329">
        <v>2444.75</v>
      </c>
      <c r="K1329">
        <v>0.04</v>
      </c>
      <c r="L1329">
        <v>0.36</v>
      </c>
      <c r="M1329">
        <v>10.465</v>
      </c>
      <c r="N1329">
        <v>-276.11500000000001</v>
      </c>
      <c r="O1329" s="1" t="s">
        <v>29</v>
      </c>
      <c r="P1329" s="1" t="s">
        <v>1714</v>
      </c>
      <c r="Q1329" s="1" t="s">
        <v>1715</v>
      </c>
      <c r="R1329" s="1" t="s">
        <v>460</v>
      </c>
      <c r="S1329" s="1" t="s">
        <v>1716</v>
      </c>
      <c r="T1329" s="1" t="s">
        <v>1717</v>
      </c>
      <c r="U1329" s="2" t="s">
        <v>4432</v>
      </c>
      <c r="V1329" s="2" t="s">
        <v>47</v>
      </c>
      <c r="W1329" s="2" t="s">
        <v>111</v>
      </c>
      <c r="X1329" s="2">
        <v>149.80000000000001</v>
      </c>
    </row>
    <row r="1330" spans="1:24" x14ac:dyDescent="0.3">
      <c r="A1330">
        <v>19216</v>
      </c>
      <c r="B1330" t="s">
        <v>4431</v>
      </c>
      <c r="C1330" s="3">
        <v>41189</v>
      </c>
      <c r="D1330" t="s">
        <v>39</v>
      </c>
      <c r="E1330">
        <v>14</v>
      </c>
      <c r="F1330" s="3">
        <f ca="1">41191+(RANDBETWEEN(1,10))</f>
        <v>41193</v>
      </c>
      <c r="G1330" t="s">
        <v>26</v>
      </c>
      <c r="H1330" t="s">
        <v>27</v>
      </c>
      <c r="I1330" t="s">
        <v>52</v>
      </c>
      <c r="J1330">
        <v>1123.78</v>
      </c>
      <c r="K1330">
        <v>0.06</v>
      </c>
      <c r="L1330">
        <v>0.51</v>
      </c>
      <c r="M1330">
        <v>26.53</v>
      </c>
      <c r="N1330">
        <v>-108.38800000000001</v>
      </c>
      <c r="O1330" s="1" t="s">
        <v>29</v>
      </c>
      <c r="P1330" s="1" t="s">
        <v>1714</v>
      </c>
      <c r="Q1330" s="1" t="s">
        <v>1715</v>
      </c>
      <c r="R1330" s="1" t="s">
        <v>460</v>
      </c>
      <c r="S1330" s="1" t="s">
        <v>1716</v>
      </c>
      <c r="T1330" s="1" t="s">
        <v>1717</v>
      </c>
      <c r="U1330" s="2" t="s">
        <v>1676</v>
      </c>
      <c r="V1330" s="2" t="s">
        <v>83</v>
      </c>
      <c r="W1330" s="2" t="s">
        <v>178</v>
      </c>
      <c r="X1330" s="2">
        <v>80.430000000000007</v>
      </c>
    </row>
    <row r="1331" spans="1:24" x14ac:dyDescent="0.3">
      <c r="A1331">
        <v>19217</v>
      </c>
      <c r="B1331" t="s">
        <v>4433</v>
      </c>
      <c r="C1331" s="3">
        <v>41065</v>
      </c>
      <c r="D1331" t="s">
        <v>148</v>
      </c>
      <c r="E1331">
        <v>17</v>
      </c>
      <c r="F1331" s="3">
        <f ca="1">41067+(RANDBETWEEN(1,10))</f>
        <v>41076</v>
      </c>
      <c r="G1331" t="s">
        <v>156</v>
      </c>
      <c r="H1331" t="s">
        <v>27</v>
      </c>
      <c r="I1331" t="s">
        <v>86</v>
      </c>
      <c r="J1331">
        <v>5607.665</v>
      </c>
      <c r="K1331">
        <v>7.0000000000000007E-2</v>
      </c>
      <c r="L1331">
        <v>0.52</v>
      </c>
      <c r="M1331">
        <v>69.965000000000003</v>
      </c>
      <c r="N1331">
        <v>2201.1779999999999</v>
      </c>
      <c r="O1331" s="1" t="s">
        <v>29</v>
      </c>
      <c r="P1331" s="1" t="s">
        <v>4277</v>
      </c>
      <c r="Q1331" s="1" t="s">
        <v>4278</v>
      </c>
      <c r="R1331" s="1" t="s">
        <v>32</v>
      </c>
      <c r="S1331" s="1" t="s">
        <v>4279</v>
      </c>
      <c r="T1331" s="1" t="s">
        <v>4280</v>
      </c>
      <c r="U1331" s="2" t="s">
        <v>1438</v>
      </c>
      <c r="V1331" s="2" t="s">
        <v>36</v>
      </c>
      <c r="W1331" s="2" t="s">
        <v>60</v>
      </c>
      <c r="X1331" s="2">
        <v>349.96499999999997</v>
      </c>
    </row>
    <row r="1332" spans="1:24" x14ac:dyDescent="0.3">
      <c r="A1332">
        <v>19218</v>
      </c>
      <c r="B1332" t="s">
        <v>4433</v>
      </c>
      <c r="C1332" s="3">
        <v>41065</v>
      </c>
      <c r="D1332" t="s">
        <v>148</v>
      </c>
      <c r="E1332">
        <v>6</v>
      </c>
      <c r="F1332" s="3">
        <f ca="1">41067+(RANDBETWEEN(1,10))</f>
        <v>41069</v>
      </c>
      <c r="G1332" t="s">
        <v>26</v>
      </c>
      <c r="H1332" t="s">
        <v>51</v>
      </c>
      <c r="I1332" t="s">
        <v>86</v>
      </c>
      <c r="J1332">
        <v>1610.7349999999999</v>
      </c>
      <c r="K1332">
        <v>0.01</v>
      </c>
      <c r="L1332">
        <v>0.39</v>
      </c>
      <c r="M1332">
        <v>4.375</v>
      </c>
      <c r="N1332">
        <v>1111.40715</v>
      </c>
      <c r="O1332" s="1" t="s">
        <v>29</v>
      </c>
      <c r="P1332" s="1" t="s">
        <v>4277</v>
      </c>
      <c r="Q1332" s="1" t="s">
        <v>4278</v>
      </c>
      <c r="R1332" s="1" t="s">
        <v>32</v>
      </c>
      <c r="S1332" s="1" t="s">
        <v>4279</v>
      </c>
      <c r="T1332" s="1" t="s">
        <v>4280</v>
      </c>
      <c r="U1332" s="2" t="s">
        <v>1978</v>
      </c>
      <c r="V1332" s="2" t="s">
        <v>36</v>
      </c>
      <c r="W1332" s="2" t="s">
        <v>37</v>
      </c>
      <c r="X1332" s="2">
        <v>300.96499999999997</v>
      </c>
    </row>
    <row r="1333" spans="1:24" x14ac:dyDescent="0.3">
      <c r="A1333">
        <v>19219</v>
      </c>
      <c r="B1333" t="s">
        <v>4434</v>
      </c>
      <c r="C1333" s="3">
        <v>41453</v>
      </c>
      <c r="D1333" t="s">
        <v>25</v>
      </c>
      <c r="E1333">
        <v>20</v>
      </c>
      <c r="F1333" s="3">
        <f ca="1">41458+(RANDBETWEEN(1,10))</f>
        <v>41460</v>
      </c>
      <c r="G1333" t="s">
        <v>76</v>
      </c>
      <c r="H1333" t="s">
        <v>77</v>
      </c>
      <c r="I1333" t="s">
        <v>86</v>
      </c>
      <c r="J1333">
        <v>6773.76</v>
      </c>
      <c r="K1333">
        <v>0.08</v>
      </c>
      <c r="L1333">
        <v>0.59</v>
      </c>
      <c r="M1333">
        <v>210</v>
      </c>
      <c r="N1333">
        <v>-3615.8919999999998</v>
      </c>
      <c r="O1333" s="1" t="s">
        <v>87</v>
      </c>
      <c r="P1333" s="1" t="s">
        <v>3331</v>
      </c>
      <c r="Q1333" s="1" t="s">
        <v>3332</v>
      </c>
      <c r="R1333" s="1" t="s">
        <v>398</v>
      </c>
      <c r="S1333" s="1" t="s">
        <v>3333</v>
      </c>
      <c r="T1333" s="1" t="s">
        <v>3334</v>
      </c>
      <c r="U1333" s="2" t="s">
        <v>1185</v>
      </c>
      <c r="V1333" s="2" t="s">
        <v>83</v>
      </c>
      <c r="W1333" s="2" t="s">
        <v>263</v>
      </c>
      <c r="X1333" s="2">
        <v>352.8</v>
      </c>
    </row>
    <row r="1334" spans="1:24" x14ac:dyDescent="0.3">
      <c r="A1334">
        <v>19220</v>
      </c>
      <c r="B1334" t="s">
        <v>4434</v>
      </c>
      <c r="C1334" s="3">
        <v>41453</v>
      </c>
      <c r="D1334" t="s">
        <v>25</v>
      </c>
      <c r="E1334">
        <v>6</v>
      </c>
      <c r="F1334" s="3">
        <f ca="1">41458+(RANDBETWEEN(1,10))</f>
        <v>41466</v>
      </c>
      <c r="G1334" t="s">
        <v>26</v>
      </c>
      <c r="H1334" t="s">
        <v>27</v>
      </c>
      <c r="I1334" t="s">
        <v>86</v>
      </c>
      <c r="J1334">
        <v>878.78</v>
      </c>
      <c r="K1334">
        <v>0</v>
      </c>
      <c r="L1334">
        <v>0.7</v>
      </c>
      <c r="M1334">
        <v>14</v>
      </c>
      <c r="N1334">
        <v>-33.655999999999999</v>
      </c>
      <c r="O1334" s="1" t="s">
        <v>29</v>
      </c>
      <c r="P1334" s="1" t="s">
        <v>4435</v>
      </c>
      <c r="Q1334" s="1" t="s">
        <v>4436</v>
      </c>
      <c r="R1334" s="1" t="s">
        <v>32</v>
      </c>
      <c r="S1334" s="1" t="s">
        <v>4437</v>
      </c>
      <c r="T1334" s="1" t="s">
        <v>4438</v>
      </c>
      <c r="U1334" s="2" t="s">
        <v>2111</v>
      </c>
      <c r="V1334" s="2" t="s">
        <v>36</v>
      </c>
      <c r="W1334" s="2" t="s">
        <v>60</v>
      </c>
      <c r="X1334" s="2">
        <v>139.93</v>
      </c>
    </row>
    <row r="1335" spans="1:24" x14ac:dyDescent="0.3">
      <c r="A1335">
        <v>19221</v>
      </c>
      <c r="B1335" t="s">
        <v>4439</v>
      </c>
      <c r="C1335" s="3">
        <v>41225</v>
      </c>
      <c r="D1335" t="s">
        <v>39</v>
      </c>
      <c r="E1335">
        <v>3</v>
      </c>
      <c r="F1335" s="3">
        <f ca="1">41226+(RANDBETWEEN(1,10))</f>
        <v>41235</v>
      </c>
      <c r="G1335" t="s">
        <v>26</v>
      </c>
      <c r="H1335" t="s">
        <v>63</v>
      </c>
      <c r="I1335" t="s">
        <v>28</v>
      </c>
      <c r="J1335">
        <v>1545.0050000000001</v>
      </c>
      <c r="K1335">
        <v>0.06</v>
      </c>
      <c r="L1335">
        <v>0.56999999999999995</v>
      </c>
      <c r="M1335">
        <v>85.715000000000003</v>
      </c>
      <c r="N1335">
        <v>108.11499999999999</v>
      </c>
      <c r="O1335" s="1" t="s">
        <v>29</v>
      </c>
      <c r="P1335" s="1" t="s">
        <v>2858</v>
      </c>
      <c r="Q1335" s="1" t="s">
        <v>2859</v>
      </c>
      <c r="R1335" s="1" t="s">
        <v>460</v>
      </c>
      <c r="S1335" s="1" t="s">
        <v>2860</v>
      </c>
      <c r="T1335" s="1" t="s">
        <v>2861</v>
      </c>
      <c r="U1335" s="2" t="s">
        <v>4440</v>
      </c>
      <c r="V1335" s="2" t="s">
        <v>83</v>
      </c>
      <c r="W1335" s="2" t="s">
        <v>84</v>
      </c>
      <c r="X1335" s="2">
        <v>492.83499999999998</v>
      </c>
    </row>
    <row r="1336" spans="1:24" x14ac:dyDescent="0.3">
      <c r="A1336">
        <v>19222</v>
      </c>
      <c r="B1336" t="s">
        <v>4439</v>
      </c>
      <c r="C1336" s="3">
        <v>41225</v>
      </c>
      <c r="D1336" t="s">
        <v>39</v>
      </c>
      <c r="E1336">
        <v>12</v>
      </c>
      <c r="F1336" s="3">
        <f ca="1">41227+(RANDBETWEEN(1,10))</f>
        <v>41235</v>
      </c>
      <c r="G1336" t="s">
        <v>26</v>
      </c>
      <c r="H1336" t="s">
        <v>27</v>
      </c>
      <c r="I1336" t="s">
        <v>28</v>
      </c>
      <c r="J1336">
        <v>6437.0950000000003</v>
      </c>
      <c r="K1336">
        <v>0.08</v>
      </c>
      <c r="L1336">
        <v>0.6</v>
      </c>
      <c r="M1336">
        <v>14.7</v>
      </c>
      <c r="N1336">
        <v>123.7544</v>
      </c>
      <c r="O1336" s="1" t="s">
        <v>29</v>
      </c>
      <c r="P1336" s="1" t="s">
        <v>2858</v>
      </c>
      <c r="Q1336" s="1" t="s">
        <v>2859</v>
      </c>
      <c r="R1336" s="1" t="s">
        <v>460</v>
      </c>
      <c r="S1336" s="1" t="s">
        <v>2860</v>
      </c>
      <c r="T1336" s="1" t="s">
        <v>2861</v>
      </c>
      <c r="U1336" s="2">
        <v>688</v>
      </c>
      <c r="V1336" s="2" t="s">
        <v>36</v>
      </c>
      <c r="W1336" s="2" t="s">
        <v>37</v>
      </c>
      <c r="X1336" s="2">
        <v>685.96500000000003</v>
      </c>
    </row>
    <row r="1337" spans="1:24" x14ac:dyDescent="0.3">
      <c r="A1337">
        <v>19223</v>
      </c>
      <c r="B1337" t="s">
        <v>4439</v>
      </c>
      <c r="C1337" s="3">
        <v>41225</v>
      </c>
      <c r="D1337" t="s">
        <v>39</v>
      </c>
      <c r="E1337">
        <v>15</v>
      </c>
      <c r="F1337" s="3">
        <f ca="1">41226+(RANDBETWEEN(1,10))</f>
        <v>41234</v>
      </c>
      <c r="G1337" t="s">
        <v>26</v>
      </c>
      <c r="H1337" t="s">
        <v>27</v>
      </c>
      <c r="I1337" t="s">
        <v>28</v>
      </c>
      <c r="J1337">
        <v>3914.05</v>
      </c>
      <c r="K1337">
        <v>0</v>
      </c>
      <c r="L1337">
        <v>0.57999999999999996</v>
      </c>
      <c r="M1337">
        <v>9.7650000000000006</v>
      </c>
      <c r="N1337">
        <v>1392.0291</v>
      </c>
      <c r="O1337" s="1" t="s">
        <v>29</v>
      </c>
      <c r="P1337" s="1" t="s">
        <v>2858</v>
      </c>
      <c r="Q1337" s="1" t="s">
        <v>2859</v>
      </c>
      <c r="R1337" s="1" t="s">
        <v>460</v>
      </c>
      <c r="S1337" s="1" t="s">
        <v>2860</v>
      </c>
      <c r="T1337" s="1" t="s">
        <v>2861</v>
      </c>
      <c r="U1337" s="2">
        <v>6340</v>
      </c>
      <c r="V1337" s="2" t="s">
        <v>36</v>
      </c>
      <c r="W1337" s="2" t="s">
        <v>37</v>
      </c>
      <c r="X1337" s="2">
        <v>300.96499999999997</v>
      </c>
    </row>
    <row r="1338" spans="1:24" x14ac:dyDescent="0.3">
      <c r="A1338">
        <v>19224</v>
      </c>
      <c r="B1338" t="s">
        <v>4441</v>
      </c>
      <c r="C1338" s="3">
        <v>41422</v>
      </c>
      <c r="D1338" t="s">
        <v>148</v>
      </c>
      <c r="E1338">
        <v>16</v>
      </c>
      <c r="F1338" s="3">
        <f ca="1">41424+(RANDBETWEEN(1,10))</f>
        <v>41427</v>
      </c>
      <c r="G1338" t="s">
        <v>156</v>
      </c>
      <c r="H1338" t="s">
        <v>27</v>
      </c>
      <c r="I1338" t="s">
        <v>28</v>
      </c>
      <c r="J1338">
        <v>235.13</v>
      </c>
      <c r="K1338">
        <v>0.02</v>
      </c>
      <c r="L1338">
        <v>0.38</v>
      </c>
      <c r="M1338">
        <v>1.75</v>
      </c>
      <c r="N1338">
        <v>-305.90699999999998</v>
      </c>
      <c r="O1338" s="1" t="s">
        <v>87</v>
      </c>
      <c r="P1338" s="1" t="s">
        <v>4442</v>
      </c>
      <c r="Q1338" s="1" t="s">
        <v>4443</v>
      </c>
      <c r="R1338" s="1" t="s">
        <v>646</v>
      </c>
      <c r="S1338" s="1" t="s">
        <v>4444</v>
      </c>
      <c r="T1338" s="1" t="s">
        <v>4445</v>
      </c>
      <c r="U1338" s="2" t="s">
        <v>1307</v>
      </c>
      <c r="V1338" s="2" t="s">
        <v>47</v>
      </c>
      <c r="W1338" s="2" t="s">
        <v>203</v>
      </c>
      <c r="X1338" s="2">
        <v>12.914999999999999</v>
      </c>
    </row>
    <row r="1339" spans="1:24" x14ac:dyDescent="0.3">
      <c r="A1339">
        <v>19225</v>
      </c>
      <c r="B1339" t="s">
        <v>4446</v>
      </c>
      <c r="C1339" s="3">
        <v>40640</v>
      </c>
      <c r="D1339" t="s">
        <v>25</v>
      </c>
      <c r="E1339">
        <v>9</v>
      </c>
      <c r="F1339" s="3">
        <f ca="1">40642+(RANDBETWEEN(1,10))</f>
        <v>40649</v>
      </c>
      <c r="G1339" t="s">
        <v>26</v>
      </c>
      <c r="H1339" t="s">
        <v>27</v>
      </c>
      <c r="I1339" t="s">
        <v>28</v>
      </c>
      <c r="J1339">
        <v>1245.44</v>
      </c>
      <c r="K1339">
        <v>0.1</v>
      </c>
      <c r="L1339">
        <v>0.77</v>
      </c>
      <c r="M1339">
        <v>69.965000000000003</v>
      </c>
      <c r="N1339">
        <v>-2031.12</v>
      </c>
      <c r="O1339" s="1" t="s">
        <v>53</v>
      </c>
      <c r="P1339" s="1" t="s">
        <v>4447</v>
      </c>
      <c r="Q1339" s="1" t="s">
        <v>4448</v>
      </c>
      <c r="R1339" s="1" t="s">
        <v>100</v>
      </c>
      <c r="S1339" s="1" t="s">
        <v>4449</v>
      </c>
      <c r="T1339" s="1" t="s">
        <v>4450</v>
      </c>
      <c r="U1339" s="2" t="s">
        <v>171</v>
      </c>
      <c r="V1339" s="2" t="s">
        <v>36</v>
      </c>
      <c r="W1339" s="2" t="s">
        <v>60</v>
      </c>
      <c r="X1339" s="2">
        <v>141.68</v>
      </c>
    </row>
    <row r="1340" spans="1:24" x14ac:dyDescent="0.3">
      <c r="A1340">
        <v>19226</v>
      </c>
      <c r="B1340" t="s">
        <v>4451</v>
      </c>
      <c r="C1340" s="3">
        <v>41411</v>
      </c>
      <c r="D1340" t="s">
        <v>39</v>
      </c>
      <c r="E1340">
        <v>2</v>
      </c>
      <c r="F1340" s="3">
        <f ca="1">41412+(RANDBETWEEN(1,10))</f>
        <v>41419</v>
      </c>
      <c r="G1340" t="s">
        <v>156</v>
      </c>
      <c r="H1340" t="s">
        <v>27</v>
      </c>
      <c r="I1340" t="s">
        <v>52</v>
      </c>
      <c r="J1340">
        <v>33.81</v>
      </c>
      <c r="K1340">
        <v>0.08</v>
      </c>
      <c r="L1340">
        <v>0.37</v>
      </c>
      <c r="M1340">
        <v>5.2149999999999999</v>
      </c>
      <c r="N1340">
        <v>23.328900000000001</v>
      </c>
      <c r="O1340" s="1" t="s">
        <v>53</v>
      </c>
      <c r="P1340" s="1" t="s">
        <v>4033</v>
      </c>
      <c r="Q1340" s="1" t="s">
        <v>4034</v>
      </c>
      <c r="R1340" s="1" t="s">
        <v>100</v>
      </c>
      <c r="S1340" s="1" t="s">
        <v>4035</v>
      </c>
      <c r="T1340" s="1" t="s">
        <v>4036</v>
      </c>
      <c r="U1340" s="2" t="s">
        <v>4275</v>
      </c>
      <c r="V1340" s="2" t="s">
        <v>47</v>
      </c>
      <c r="W1340" s="2" t="s">
        <v>111</v>
      </c>
      <c r="X1340" s="2">
        <v>6.58</v>
      </c>
    </row>
    <row r="1341" spans="1:24" x14ac:dyDescent="0.3">
      <c r="A1341">
        <v>19227</v>
      </c>
      <c r="B1341" t="s">
        <v>4451</v>
      </c>
      <c r="C1341" s="3">
        <v>41411</v>
      </c>
      <c r="D1341" t="s">
        <v>39</v>
      </c>
      <c r="E1341">
        <v>16</v>
      </c>
      <c r="F1341" s="3">
        <f ca="1">41412+(RANDBETWEEN(1,10))</f>
        <v>41419</v>
      </c>
      <c r="G1341" t="s">
        <v>156</v>
      </c>
      <c r="H1341" t="s">
        <v>27</v>
      </c>
      <c r="I1341" t="s">
        <v>52</v>
      </c>
      <c r="J1341">
        <v>369.91500000000002</v>
      </c>
      <c r="K1341">
        <v>0.1</v>
      </c>
      <c r="L1341">
        <v>0.36</v>
      </c>
      <c r="M1341">
        <v>20.51</v>
      </c>
      <c r="N1341">
        <v>-273.07</v>
      </c>
      <c r="O1341" s="1" t="s">
        <v>53</v>
      </c>
      <c r="P1341" s="1" t="s">
        <v>4033</v>
      </c>
      <c r="Q1341" s="1" t="s">
        <v>4034</v>
      </c>
      <c r="R1341" s="1" t="s">
        <v>100</v>
      </c>
      <c r="S1341" s="1" t="s">
        <v>4035</v>
      </c>
      <c r="T1341" s="1" t="s">
        <v>4036</v>
      </c>
      <c r="U1341" s="2" t="s">
        <v>2014</v>
      </c>
      <c r="V1341" s="2" t="s">
        <v>47</v>
      </c>
      <c r="W1341" s="2" t="s">
        <v>74</v>
      </c>
      <c r="X1341" s="2">
        <v>22.68</v>
      </c>
    </row>
    <row r="1342" spans="1:24" x14ac:dyDescent="0.3">
      <c r="A1342">
        <v>19228</v>
      </c>
      <c r="B1342" t="s">
        <v>4451</v>
      </c>
      <c r="C1342" s="3">
        <v>41411</v>
      </c>
      <c r="D1342" t="s">
        <v>39</v>
      </c>
      <c r="E1342">
        <v>14</v>
      </c>
      <c r="F1342" s="3">
        <f ca="1">41412+(RANDBETWEEN(1,10))</f>
        <v>41422</v>
      </c>
      <c r="G1342" t="s">
        <v>156</v>
      </c>
      <c r="H1342" t="s">
        <v>63</v>
      </c>
      <c r="I1342" t="s">
        <v>52</v>
      </c>
      <c r="J1342">
        <v>4745.8950000000004</v>
      </c>
      <c r="K1342">
        <v>0.08</v>
      </c>
      <c r="L1342">
        <v>0.59</v>
      </c>
      <c r="M1342">
        <v>74.41</v>
      </c>
      <c r="N1342">
        <v>2582.79</v>
      </c>
      <c r="O1342" s="1" t="s">
        <v>29</v>
      </c>
      <c r="P1342" s="1" t="s">
        <v>4452</v>
      </c>
      <c r="Q1342" s="1" t="s">
        <v>4453</v>
      </c>
      <c r="R1342" s="1" t="s">
        <v>32</v>
      </c>
      <c r="S1342" s="1" t="s">
        <v>4454</v>
      </c>
      <c r="T1342" s="1" t="s">
        <v>4455</v>
      </c>
      <c r="U1342" s="2" t="s">
        <v>4456</v>
      </c>
      <c r="V1342" s="2" t="s">
        <v>83</v>
      </c>
      <c r="W1342" s="2" t="s">
        <v>178</v>
      </c>
      <c r="X1342" s="2">
        <v>358.05</v>
      </c>
    </row>
    <row r="1343" spans="1:24" x14ac:dyDescent="0.3">
      <c r="A1343">
        <v>19229</v>
      </c>
      <c r="B1343" t="s">
        <v>4451</v>
      </c>
      <c r="C1343" s="3">
        <v>41411</v>
      </c>
      <c r="D1343" t="s">
        <v>39</v>
      </c>
      <c r="E1343">
        <v>16</v>
      </c>
      <c r="F1343" s="3">
        <f ca="1">41412+(RANDBETWEEN(1,10))</f>
        <v>41414</v>
      </c>
      <c r="G1343" t="s">
        <v>26</v>
      </c>
      <c r="H1343" t="s">
        <v>27</v>
      </c>
      <c r="I1343" t="s">
        <v>52</v>
      </c>
      <c r="J1343">
        <v>355.14499999999998</v>
      </c>
      <c r="K1343">
        <v>7.0000000000000007E-2</v>
      </c>
      <c r="L1343">
        <v>0.37</v>
      </c>
      <c r="M1343">
        <v>28.664999999999999</v>
      </c>
      <c r="N1343">
        <v>-669.48</v>
      </c>
      <c r="O1343" s="1" t="s">
        <v>29</v>
      </c>
      <c r="P1343" s="1" t="s">
        <v>4452</v>
      </c>
      <c r="Q1343" s="1" t="s">
        <v>4453</v>
      </c>
      <c r="R1343" s="1" t="s">
        <v>32</v>
      </c>
      <c r="S1343" s="1" t="s">
        <v>4454</v>
      </c>
      <c r="T1343" s="1" t="s">
        <v>4455</v>
      </c>
      <c r="U1343" s="2" t="s">
        <v>474</v>
      </c>
      <c r="V1343" s="2" t="s">
        <v>47</v>
      </c>
      <c r="W1343" s="2" t="s">
        <v>74</v>
      </c>
      <c r="X1343" s="2">
        <v>22.68</v>
      </c>
    </row>
    <row r="1344" spans="1:24" x14ac:dyDescent="0.3">
      <c r="A1344">
        <v>19230</v>
      </c>
      <c r="B1344" t="s">
        <v>4451</v>
      </c>
      <c r="C1344" s="3">
        <v>41411</v>
      </c>
      <c r="D1344" t="s">
        <v>39</v>
      </c>
      <c r="E1344">
        <v>18</v>
      </c>
      <c r="F1344" s="3">
        <f ca="1">41413+(RANDBETWEEN(1,10))</f>
        <v>41421</v>
      </c>
      <c r="G1344" t="s">
        <v>26</v>
      </c>
      <c r="H1344" t="s">
        <v>96</v>
      </c>
      <c r="I1344" t="s">
        <v>52</v>
      </c>
      <c r="J1344">
        <v>122.465</v>
      </c>
      <c r="K1344">
        <v>0.01</v>
      </c>
      <c r="L1344">
        <v>0.83</v>
      </c>
      <c r="M1344">
        <v>2.66</v>
      </c>
      <c r="N1344">
        <v>-75.215000000000003</v>
      </c>
      <c r="O1344" s="1" t="s">
        <v>29</v>
      </c>
      <c r="P1344" s="1" t="s">
        <v>4452</v>
      </c>
      <c r="Q1344" s="1" t="s">
        <v>4453</v>
      </c>
      <c r="R1344" s="1" t="s">
        <v>32</v>
      </c>
      <c r="S1344" s="1" t="s">
        <v>4454</v>
      </c>
      <c r="T1344" s="1" t="s">
        <v>4455</v>
      </c>
      <c r="U1344" s="2" t="s">
        <v>4457</v>
      </c>
      <c r="V1344" s="2" t="s">
        <v>47</v>
      </c>
      <c r="W1344" s="2" t="s">
        <v>176</v>
      </c>
      <c r="X1344" s="2">
        <v>6.6150000000000002</v>
      </c>
    </row>
    <row r="1345" spans="1:24" x14ac:dyDescent="0.3">
      <c r="A1345">
        <v>19231</v>
      </c>
      <c r="B1345" t="s">
        <v>4458</v>
      </c>
      <c r="C1345" s="3">
        <v>41427</v>
      </c>
      <c r="D1345" t="s">
        <v>25</v>
      </c>
      <c r="E1345">
        <v>5</v>
      </c>
      <c r="F1345" s="3">
        <f ca="1">41431+(RANDBETWEEN(1,10))</f>
        <v>41437</v>
      </c>
      <c r="G1345" t="s">
        <v>26</v>
      </c>
      <c r="H1345" t="s">
        <v>27</v>
      </c>
      <c r="I1345" t="s">
        <v>28</v>
      </c>
      <c r="J1345">
        <v>1039.605</v>
      </c>
      <c r="K1345">
        <v>0.02</v>
      </c>
      <c r="L1345">
        <v>0.59</v>
      </c>
      <c r="M1345">
        <v>31.465</v>
      </c>
      <c r="N1345">
        <v>-1163.9656</v>
      </c>
      <c r="O1345" s="1" t="s">
        <v>53</v>
      </c>
      <c r="P1345" s="1" t="s">
        <v>2791</v>
      </c>
      <c r="Q1345" s="1" t="s">
        <v>2792</v>
      </c>
      <c r="R1345" s="1" t="s">
        <v>100</v>
      </c>
      <c r="S1345" s="1" t="s">
        <v>2793</v>
      </c>
      <c r="T1345" s="1" t="s">
        <v>2794</v>
      </c>
      <c r="U1345" s="2" t="s">
        <v>1359</v>
      </c>
      <c r="V1345" s="2" t="s">
        <v>36</v>
      </c>
      <c r="W1345" s="2" t="s">
        <v>37</v>
      </c>
      <c r="X1345" s="2">
        <v>230.965</v>
      </c>
    </row>
    <row r="1346" spans="1:24" x14ac:dyDescent="0.3">
      <c r="A1346">
        <v>19232</v>
      </c>
      <c r="B1346" t="s">
        <v>4459</v>
      </c>
      <c r="C1346" s="3">
        <v>40725</v>
      </c>
      <c r="D1346" t="s">
        <v>25</v>
      </c>
      <c r="E1346">
        <v>12</v>
      </c>
      <c r="F1346" s="3">
        <f ca="1">40729+(RANDBETWEEN(1,10))</f>
        <v>40736</v>
      </c>
      <c r="G1346" t="s">
        <v>26</v>
      </c>
      <c r="H1346" t="s">
        <v>63</v>
      </c>
      <c r="I1346" t="s">
        <v>86</v>
      </c>
      <c r="J1346">
        <v>18143.615000000002</v>
      </c>
      <c r="K1346">
        <v>0.04</v>
      </c>
      <c r="L1346">
        <v>0.52</v>
      </c>
      <c r="M1346">
        <v>85.715000000000003</v>
      </c>
      <c r="N1346">
        <v>12519.094349999999</v>
      </c>
      <c r="O1346" s="1" t="s">
        <v>53</v>
      </c>
      <c r="P1346" s="1" t="s">
        <v>2971</v>
      </c>
      <c r="Q1346" s="1" t="s">
        <v>2972</v>
      </c>
      <c r="R1346" s="1" t="s">
        <v>440</v>
      </c>
      <c r="S1346" s="1" t="s">
        <v>2973</v>
      </c>
      <c r="T1346" s="1" t="s">
        <v>2974</v>
      </c>
      <c r="U1346" s="2" t="s">
        <v>1480</v>
      </c>
      <c r="V1346" s="2" t="s">
        <v>36</v>
      </c>
      <c r="W1346" s="2" t="s">
        <v>1327</v>
      </c>
      <c r="X1346" s="2">
        <v>1574.9649999999999</v>
      </c>
    </row>
    <row r="1347" spans="1:24" x14ac:dyDescent="0.3">
      <c r="A1347">
        <v>19233</v>
      </c>
      <c r="B1347" t="s">
        <v>4459</v>
      </c>
      <c r="C1347" s="3">
        <v>40725</v>
      </c>
      <c r="D1347" t="s">
        <v>25</v>
      </c>
      <c r="E1347">
        <v>6</v>
      </c>
      <c r="F1347" s="3">
        <f ca="1">40734+(RANDBETWEEN(1,10))</f>
        <v>40738</v>
      </c>
      <c r="G1347" t="s">
        <v>26</v>
      </c>
      <c r="H1347" t="s">
        <v>96</v>
      </c>
      <c r="I1347" t="s">
        <v>86</v>
      </c>
      <c r="J1347">
        <v>126.315</v>
      </c>
      <c r="K1347">
        <v>0.01</v>
      </c>
      <c r="L1347">
        <v>0.55000000000000004</v>
      </c>
      <c r="M1347">
        <v>4.2</v>
      </c>
      <c r="N1347">
        <v>71.33</v>
      </c>
      <c r="O1347" s="1" t="s">
        <v>53</v>
      </c>
      <c r="P1347" s="1" t="s">
        <v>2971</v>
      </c>
      <c r="Q1347" s="1" t="s">
        <v>2972</v>
      </c>
      <c r="R1347" s="1" t="s">
        <v>440</v>
      </c>
      <c r="S1347" s="1" t="s">
        <v>2973</v>
      </c>
      <c r="T1347" s="1" t="s">
        <v>2974</v>
      </c>
      <c r="U1347" s="2" t="s">
        <v>4460</v>
      </c>
      <c r="V1347" s="2" t="s">
        <v>47</v>
      </c>
      <c r="W1347" s="2" t="s">
        <v>104</v>
      </c>
      <c r="X1347" s="2">
        <v>20.440000000000001</v>
      </c>
    </row>
    <row r="1348" spans="1:24" x14ac:dyDescent="0.3">
      <c r="A1348">
        <v>19234</v>
      </c>
      <c r="B1348" t="s">
        <v>4461</v>
      </c>
      <c r="C1348" s="3">
        <v>40911</v>
      </c>
      <c r="D1348" t="s">
        <v>25</v>
      </c>
      <c r="E1348">
        <v>9</v>
      </c>
      <c r="F1348" s="3">
        <f ca="1">40915+(RANDBETWEEN(1,10))</f>
        <v>40918</v>
      </c>
      <c r="G1348" t="s">
        <v>26</v>
      </c>
      <c r="H1348" t="s">
        <v>27</v>
      </c>
      <c r="I1348" t="s">
        <v>52</v>
      </c>
      <c r="J1348">
        <v>1505.07</v>
      </c>
      <c r="K1348">
        <v>7.0000000000000007E-2</v>
      </c>
      <c r="L1348">
        <v>0.57999999999999996</v>
      </c>
      <c r="M1348">
        <v>47.81</v>
      </c>
      <c r="N1348">
        <v>1742.433</v>
      </c>
      <c r="O1348" s="1" t="s">
        <v>87</v>
      </c>
      <c r="P1348" s="1" t="s">
        <v>1400</v>
      </c>
      <c r="Q1348" s="1" t="s">
        <v>1401</v>
      </c>
      <c r="R1348" s="1" t="s">
        <v>646</v>
      </c>
      <c r="S1348" s="1" t="s">
        <v>1402</v>
      </c>
      <c r="T1348" s="1" t="s">
        <v>1403</v>
      </c>
      <c r="U1348" s="2" t="s">
        <v>3345</v>
      </c>
      <c r="V1348" s="2" t="s">
        <v>47</v>
      </c>
      <c r="W1348" s="2" t="s">
        <v>71</v>
      </c>
      <c r="X1348" s="2">
        <v>178.43</v>
      </c>
    </row>
    <row r="1349" spans="1:24" x14ac:dyDescent="0.3">
      <c r="A1349">
        <v>19235</v>
      </c>
      <c r="B1349" t="s">
        <v>4461</v>
      </c>
      <c r="C1349" s="3">
        <v>40911</v>
      </c>
      <c r="D1349" t="s">
        <v>25</v>
      </c>
      <c r="E1349">
        <v>3</v>
      </c>
      <c r="F1349" s="3">
        <f ca="1">40913+(RANDBETWEEN(1,10))</f>
        <v>40923</v>
      </c>
      <c r="G1349" t="s">
        <v>26</v>
      </c>
      <c r="H1349" t="s">
        <v>51</v>
      </c>
      <c r="I1349" t="s">
        <v>52</v>
      </c>
      <c r="J1349">
        <v>242.76</v>
      </c>
      <c r="K1349">
        <v>0.01</v>
      </c>
      <c r="L1349">
        <v>0.43</v>
      </c>
      <c r="M1349">
        <v>6.9649999999999999</v>
      </c>
      <c r="N1349">
        <v>777.48299999999995</v>
      </c>
      <c r="O1349" s="1" t="s">
        <v>87</v>
      </c>
      <c r="P1349" s="1" t="s">
        <v>1400</v>
      </c>
      <c r="Q1349" s="1" t="s">
        <v>1401</v>
      </c>
      <c r="R1349" s="1" t="s">
        <v>646</v>
      </c>
      <c r="S1349" s="1" t="s">
        <v>1402</v>
      </c>
      <c r="T1349" s="1" t="s">
        <v>1403</v>
      </c>
      <c r="U1349" s="2" t="s">
        <v>4462</v>
      </c>
      <c r="V1349" s="2" t="s">
        <v>36</v>
      </c>
      <c r="W1349" s="2" t="s">
        <v>60</v>
      </c>
      <c r="X1349" s="2">
        <v>77.84</v>
      </c>
    </row>
    <row r="1350" spans="1:24" x14ac:dyDescent="0.3">
      <c r="A1350">
        <v>19236</v>
      </c>
      <c r="B1350" t="s">
        <v>4461</v>
      </c>
      <c r="C1350" s="3">
        <v>40911</v>
      </c>
      <c r="D1350" t="s">
        <v>25</v>
      </c>
      <c r="E1350">
        <v>3</v>
      </c>
      <c r="F1350" s="3">
        <f ca="1">40916+(RANDBETWEEN(1,10))</f>
        <v>40918</v>
      </c>
      <c r="G1350" t="s">
        <v>26</v>
      </c>
      <c r="H1350" t="s">
        <v>27</v>
      </c>
      <c r="I1350" t="s">
        <v>52</v>
      </c>
      <c r="J1350">
        <v>143.88499999999999</v>
      </c>
      <c r="K1350">
        <v>0.04</v>
      </c>
      <c r="L1350">
        <v>0.56999999999999995</v>
      </c>
      <c r="M1350">
        <v>19.25</v>
      </c>
      <c r="N1350">
        <v>-277.33999999999997</v>
      </c>
      <c r="O1350" s="1" t="s">
        <v>87</v>
      </c>
      <c r="P1350" s="1" t="s">
        <v>1400</v>
      </c>
      <c r="Q1350" s="1" t="s">
        <v>1401</v>
      </c>
      <c r="R1350" s="1" t="s">
        <v>646</v>
      </c>
      <c r="S1350" s="1" t="s">
        <v>1402</v>
      </c>
      <c r="T1350" s="1" t="s">
        <v>1403</v>
      </c>
      <c r="U1350" s="2" t="s">
        <v>3384</v>
      </c>
      <c r="V1350" s="2" t="s">
        <v>47</v>
      </c>
      <c r="W1350" s="2" t="s">
        <v>119</v>
      </c>
      <c r="X1350" s="2">
        <v>47.005000000000003</v>
      </c>
    </row>
    <row r="1351" spans="1:24" x14ac:dyDescent="0.3">
      <c r="A1351">
        <v>19237</v>
      </c>
      <c r="B1351" t="s">
        <v>4463</v>
      </c>
      <c r="C1351" s="3">
        <v>40706</v>
      </c>
      <c r="D1351" t="s">
        <v>39</v>
      </c>
      <c r="E1351">
        <v>11</v>
      </c>
      <c r="F1351" s="3">
        <f ca="1">40708+(RANDBETWEEN(1,10))</f>
        <v>40711</v>
      </c>
      <c r="G1351" t="s">
        <v>26</v>
      </c>
      <c r="H1351" t="s">
        <v>27</v>
      </c>
      <c r="I1351" t="s">
        <v>28</v>
      </c>
      <c r="J1351">
        <v>2305.17</v>
      </c>
      <c r="K1351">
        <v>0</v>
      </c>
      <c r="L1351">
        <v>0.37</v>
      </c>
      <c r="M1351">
        <v>50.05</v>
      </c>
      <c r="N1351">
        <v>1590.5672999999999</v>
      </c>
      <c r="O1351" s="1" t="s">
        <v>225</v>
      </c>
      <c r="P1351" s="1" t="s">
        <v>4464</v>
      </c>
      <c r="Q1351" s="1" t="s">
        <v>4465</v>
      </c>
      <c r="R1351" s="1" t="s">
        <v>391</v>
      </c>
      <c r="S1351" s="1" t="s">
        <v>4466</v>
      </c>
      <c r="T1351" s="1" t="s">
        <v>4467</v>
      </c>
      <c r="U1351" s="2" t="s">
        <v>1168</v>
      </c>
      <c r="V1351" s="2" t="s">
        <v>47</v>
      </c>
      <c r="W1351" s="2" t="s">
        <v>74</v>
      </c>
      <c r="X1351" s="2">
        <v>194.18</v>
      </c>
    </row>
    <row r="1352" spans="1:24" x14ac:dyDescent="0.3">
      <c r="A1352">
        <v>19238</v>
      </c>
      <c r="B1352" t="s">
        <v>4468</v>
      </c>
      <c r="C1352" s="3">
        <v>41792</v>
      </c>
      <c r="D1352" t="s">
        <v>148</v>
      </c>
      <c r="E1352">
        <v>1</v>
      </c>
      <c r="F1352" s="3">
        <f ca="1">41793+(RANDBETWEEN(1,10))</f>
        <v>41797</v>
      </c>
      <c r="G1352" t="s">
        <v>26</v>
      </c>
      <c r="H1352" t="s">
        <v>96</v>
      </c>
      <c r="I1352" t="s">
        <v>97</v>
      </c>
      <c r="J1352">
        <v>21.21</v>
      </c>
      <c r="K1352">
        <v>0.03</v>
      </c>
      <c r="L1352">
        <v>0.36</v>
      </c>
      <c r="M1352">
        <v>3.3250000000000002</v>
      </c>
      <c r="N1352">
        <v>-12.74</v>
      </c>
      <c r="O1352" s="1" t="s">
        <v>87</v>
      </c>
      <c r="P1352" s="1" t="s">
        <v>4469</v>
      </c>
      <c r="Q1352" s="1" t="s">
        <v>4470</v>
      </c>
      <c r="R1352" s="1" t="s">
        <v>398</v>
      </c>
      <c r="S1352" s="1" t="s">
        <v>4471</v>
      </c>
      <c r="T1352" s="1" t="s">
        <v>4472</v>
      </c>
      <c r="U1352" s="2" t="s">
        <v>3882</v>
      </c>
      <c r="V1352" s="2" t="s">
        <v>47</v>
      </c>
      <c r="W1352" s="2" t="s">
        <v>74</v>
      </c>
      <c r="X1352" s="2">
        <v>19.004999999999999</v>
      </c>
    </row>
    <row r="1353" spans="1:24" x14ac:dyDescent="0.3">
      <c r="A1353">
        <v>19239</v>
      </c>
      <c r="B1353" t="s">
        <v>4468</v>
      </c>
      <c r="C1353" s="3">
        <v>41792</v>
      </c>
      <c r="D1353" t="s">
        <v>148</v>
      </c>
      <c r="E1353">
        <v>17</v>
      </c>
      <c r="F1353" s="3">
        <f ca="1">41792+(RANDBETWEEN(1,10))</f>
        <v>41800</v>
      </c>
      <c r="G1353" t="s">
        <v>26</v>
      </c>
      <c r="H1353" t="s">
        <v>27</v>
      </c>
      <c r="I1353" t="s">
        <v>97</v>
      </c>
      <c r="J1353">
        <v>3134.8449999999998</v>
      </c>
      <c r="K1353">
        <v>7.0000000000000007E-2</v>
      </c>
      <c r="L1353">
        <v>0.56000000000000005</v>
      </c>
      <c r="M1353">
        <v>9.7650000000000006</v>
      </c>
      <c r="N1353">
        <v>2163.0430500000002</v>
      </c>
      <c r="O1353" s="1" t="s">
        <v>64</v>
      </c>
      <c r="P1353" s="1" t="s">
        <v>4473</v>
      </c>
      <c r="Q1353" s="1" t="s">
        <v>4474</v>
      </c>
      <c r="R1353" s="1" t="s">
        <v>128</v>
      </c>
      <c r="S1353" s="1" t="s">
        <v>4475</v>
      </c>
      <c r="T1353" s="1" t="s">
        <v>4476</v>
      </c>
      <c r="U1353" s="2" t="s">
        <v>3842</v>
      </c>
      <c r="V1353" s="2" t="s">
        <v>36</v>
      </c>
      <c r="W1353" s="2" t="s">
        <v>37</v>
      </c>
      <c r="X1353" s="2">
        <v>230.965</v>
      </c>
    </row>
    <row r="1354" spans="1:24" x14ac:dyDescent="0.3">
      <c r="A1354">
        <v>19240</v>
      </c>
      <c r="B1354" t="s">
        <v>4468</v>
      </c>
      <c r="C1354" s="3">
        <v>41792</v>
      </c>
      <c r="D1354" t="s">
        <v>148</v>
      </c>
      <c r="E1354">
        <v>11</v>
      </c>
      <c r="F1354" s="3">
        <f ca="1">41794+(RANDBETWEEN(1,10))</f>
        <v>41803</v>
      </c>
      <c r="G1354" t="s">
        <v>26</v>
      </c>
      <c r="H1354" t="s">
        <v>27</v>
      </c>
      <c r="I1354" t="s">
        <v>97</v>
      </c>
      <c r="J1354">
        <v>1458.415</v>
      </c>
      <c r="K1354">
        <v>0.09</v>
      </c>
      <c r="L1354">
        <v>0.64</v>
      </c>
      <c r="M1354">
        <v>22.75</v>
      </c>
      <c r="N1354">
        <v>-26.04</v>
      </c>
      <c r="O1354" s="1" t="s">
        <v>40</v>
      </c>
      <c r="P1354" s="1" t="s">
        <v>4477</v>
      </c>
      <c r="Q1354" s="1" t="s">
        <v>4478</v>
      </c>
      <c r="R1354" s="1" t="s">
        <v>220</v>
      </c>
      <c r="S1354" s="1" t="s">
        <v>4479</v>
      </c>
      <c r="T1354" s="1" t="s">
        <v>4480</v>
      </c>
      <c r="U1354" s="2" t="s">
        <v>4481</v>
      </c>
      <c r="V1354" s="2" t="s">
        <v>36</v>
      </c>
      <c r="W1354" s="2" t="s">
        <v>60</v>
      </c>
      <c r="X1354" s="2">
        <v>143.43</v>
      </c>
    </row>
    <row r="1355" spans="1:24" x14ac:dyDescent="0.3">
      <c r="A1355">
        <v>19241</v>
      </c>
      <c r="B1355" t="s">
        <v>4482</v>
      </c>
      <c r="C1355" s="3">
        <v>41519</v>
      </c>
      <c r="D1355" t="s">
        <v>25</v>
      </c>
      <c r="E1355">
        <v>15</v>
      </c>
      <c r="F1355" s="3">
        <f ca="1">41528+(RANDBETWEEN(1,10))</f>
        <v>41529</v>
      </c>
      <c r="G1355" t="s">
        <v>26</v>
      </c>
      <c r="H1355" t="s">
        <v>51</v>
      </c>
      <c r="I1355" t="s">
        <v>52</v>
      </c>
      <c r="J1355">
        <v>1632.575</v>
      </c>
      <c r="K1355">
        <v>0.05</v>
      </c>
      <c r="L1355">
        <v>0.35</v>
      </c>
      <c r="M1355">
        <v>3.4649999999999999</v>
      </c>
      <c r="N1355">
        <v>1126.47675</v>
      </c>
      <c r="O1355" s="1" t="s">
        <v>53</v>
      </c>
      <c r="P1355" s="1" t="s">
        <v>894</v>
      </c>
      <c r="Q1355" s="1" t="s">
        <v>895</v>
      </c>
      <c r="R1355" s="1" t="s">
        <v>56</v>
      </c>
      <c r="S1355" s="1" t="s">
        <v>896</v>
      </c>
      <c r="T1355" s="1" t="s">
        <v>897</v>
      </c>
      <c r="U1355" s="2" t="s">
        <v>1868</v>
      </c>
      <c r="V1355" s="2" t="s">
        <v>36</v>
      </c>
      <c r="W1355" s="2" t="s">
        <v>37</v>
      </c>
      <c r="X1355" s="2">
        <v>125.965</v>
      </c>
    </row>
    <row r="1356" spans="1:24" x14ac:dyDescent="0.3">
      <c r="A1356">
        <v>19242</v>
      </c>
      <c r="B1356" t="s">
        <v>4483</v>
      </c>
      <c r="C1356" s="3">
        <v>41264</v>
      </c>
      <c r="D1356" t="s">
        <v>25</v>
      </c>
      <c r="E1356">
        <v>22</v>
      </c>
      <c r="F1356" s="3">
        <f ca="1">41268+(RANDBETWEEN(1,10))</f>
        <v>41275</v>
      </c>
      <c r="G1356" t="s">
        <v>76</v>
      </c>
      <c r="H1356" t="s">
        <v>77</v>
      </c>
      <c r="I1356" t="s">
        <v>86</v>
      </c>
      <c r="J1356">
        <v>23351.334999999999</v>
      </c>
      <c r="K1356">
        <v>0.04</v>
      </c>
      <c r="L1356">
        <v>0.56000000000000005</v>
      </c>
      <c r="M1356">
        <v>92.855000000000004</v>
      </c>
      <c r="N1356">
        <v>16112.42115</v>
      </c>
      <c r="O1356" s="1" t="s">
        <v>40</v>
      </c>
      <c r="P1356" s="1" t="s">
        <v>4484</v>
      </c>
      <c r="Q1356" s="1" t="s">
        <v>4485</v>
      </c>
      <c r="R1356" s="1" t="s">
        <v>43</v>
      </c>
      <c r="S1356" s="1" t="s">
        <v>4486</v>
      </c>
      <c r="T1356" s="1" t="s">
        <v>4487</v>
      </c>
      <c r="U1356" s="2" t="s">
        <v>481</v>
      </c>
      <c r="V1356" s="2" t="s">
        <v>36</v>
      </c>
      <c r="W1356" s="2" t="s">
        <v>142</v>
      </c>
      <c r="X1356" s="2">
        <v>1071.49</v>
      </c>
    </row>
    <row r="1357" spans="1:24" x14ac:dyDescent="0.3">
      <c r="A1357">
        <v>19243</v>
      </c>
      <c r="B1357" t="s">
        <v>4488</v>
      </c>
      <c r="C1357" s="3">
        <v>40851</v>
      </c>
      <c r="D1357" t="s">
        <v>62</v>
      </c>
      <c r="E1357">
        <v>17</v>
      </c>
      <c r="F1357" s="3">
        <f ca="1">40851+(RANDBETWEEN(1,10))</f>
        <v>40856</v>
      </c>
      <c r="G1357" t="s">
        <v>26</v>
      </c>
      <c r="H1357" t="s">
        <v>96</v>
      </c>
      <c r="I1357" t="s">
        <v>97</v>
      </c>
      <c r="J1357">
        <v>476.875</v>
      </c>
      <c r="K1357">
        <v>0.01</v>
      </c>
      <c r="L1357">
        <v>0.42</v>
      </c>
      <c r="M1357">
        <v>14</v>
      </c>
      <c r="N1357">
        <v>10.395</v>
      </c>
      <c r="O1357" s="1" t="s">
        <v>29</v>
      </c>
      <c r="P1357" s="1" t="s">
        <v>2294</v>
      </c>
      <c r="Q1357" s="1" t="s">
        <v>2295</v>
      </c>
      <c r="R1357" s="1" t="s">
        <v>32</v>
      </c>
      <c r="S1357" s="1" t="s">
        <v>2296</v>
      </c>
      <c r="T1357" s="1" t="s">
        <v>2297</v>
      </c>
      <c r="U1357" s="2" t="s">
        <v>2801</v>
      </c>
      <c r="V1357" s="2" t="s">
        <v>83</v>
      </c>
      <c r="W1357" s="2" t="s">
        <v>178</v>
      </c>
      <c r="X1357" s="2">
        <v>26.565000000000001</v>
      </c>
    </row>
    <row r="1358" spans="1:24" x14ac:dyDescent="0.3">
      <c r="A1358">
        <v>19244</v>
      </c>
      <c r="B1358" t="s">
        <v>4489</v>
      </c>
      <c r="C1358" s="3">
        <v>41353</v>
      </c>
      <c r="D1358" t="s">
        <v>39</v>
      </c>
      <c r="E1358">
        <v>9</v>
      </c>
      <c r="F1358" s="3">
        <f ca="1">41354+(RANDBETWEEN(1,10))</f>
        <v>41364</v>
      </c>
      <c r="G1358" t="s">
        <v>26</v>
      </c>
      <c r="H1358" t="s">
        <v>96</v>
      </c>
      <c r="I1358" t="s">
        <v>52</v>
      </c>
      <c r="J1358">
        <v>117.355</v>
      </c>
      <c r="K1358">
        <v>0.06</v>
      </c>
      <c r="L1358">
        <v>0.39</v>
      </c>
      <c r="M1358">
        <v>3.4649999999999999</v>
      </c>
      <c r="N1358">
        <v>80.974950000000007</v>
      </c>
      <c r="O1358" s="1" t="s">
        <v>64</v>
      </c>
      <c r="P1358" s="1" t="s">
        <v>4490</v>
      </c>
      <c r="Q1358" s="1" t="s">
        <v>4491</v>
      </c>
      <c r="R1358" s="1" t="s">
        <v>128</v>
      </c>
      <c r="S1358" s="1" t="s">
        <v>2332</v>
      </c>
      <c r="T1358" s="1" t="s">
        <v>2333</v>
      </c>
      <c r="U1358" s="2" t="s">
        <v>175</v>
      </c>
      <c r="V1358" s="2" t="s">
        <v>47</v>
      </c>
      <c r="W1358" s="2" t="s">
        <v>176</v>
      </c>
      <c r="X1358" s="2">
        <v>13.755000000000001</v>
      </c>
    </row>
    <row r="1359" spans="1:24" x14ac:dyDescent="0.3">
      <c r="A1359">
        <v>19245</v>
      </c>
      <c r="B1359" t="s">
        <v>4489</v>
      </c>
      <c r="C1359" s="3">
        <v>41353</v>
      </c>
      <c r="D1359" t="s">
        <v>39</v>
      </c>
      <c r="E1359">
        <v>5</v>
      </c>
      <c r="F1359" s="3">
        <f ca="1">41356+(RANDBETWEEN(1,10))</f>
        <v>41359</v>
      </c>
      <c r="G1359" t="s">
        <v>26</v>
      </c>
      <c r="H1359" t="s">
        <v>51</v>
      </c>
      <c r="I1359" t="s">
        <v>52</v>
      </c>
      <c r="J1359">
        <v>1681.2950000000001</v>
      </c>
      <c r="K1359">
        <v>0.06</v>
      </c>
      <c r="L1359">
        <v>0.35</v>
      </c>
      <c r="M1359">
        <v>31.465</v>
      </c>
      <c r="N1359">
        <v>1160.0935500000001</v>
      </c>
      <c r="O1359" s="1" t="s">
        <v>29</v>
      </c>
      <c r="P1359" s="1" t="s">
        <v>4492</v>
      </c>
      <c r="Q1359" s="1" t="s">
        <v>4493</v>
      </c>
      <c r="R1359" s="1" t="s">
        <v>460</v>
      </c>
      <c r="S1359" s="1" t="s">
        <v>4494</v>
      </c>
      <c r="T1359" s="1" t="s">
        <v>4495</v>
      </c>
      <c r="U1359" s="2" t="s">
        <v>177</v>
      </c>
      <c r="V1359" s="2" t="s">
        <v>83</v>
      </c>
      <c r="W1359" s="2" t="s">
        <v>178</v>
      </c>
      <c r="X1359" s="2">
        <v>347.30500000000001</v>
      </c>
    </row>
    <row r="1360" spans="1:24" x14ac:dyDescent="0.3">
      <c r="A1360">
        <v>19246</v>
      </c>
      <c r="B1360" t="s">
        <v>4496</v>
      </c>
      <c r="C1360" s="3">
        <v>40716</v>
      </c>
      <c r="D1360" t="s">
        <v>62</v>
      </c>
      <c r="E1360">
        <v>19</v>
      </c>
      <c r="F1360" s="3">
        <f ca="1">40718+(RANDBETWEEN(1,10))</f>
        <v>40720</v>
      </c>
      <c r="G1360" t="s">
        <v>26</v>
      </c>
      <c r="H1360" t="s">
        <v>27</v>
      </c>
      <c r="I1360" t="s">
        <v>97</v>
      </c>
      <c r="J1360">
        <v>20460.334999999999</v>
      </c>
      <c r="K1360">
        <v>0.03</v>
      </c>
      <c r="L1360">
        <v>0.4</v>
      </c>
      <c r="M1360">
        <v>69.965000000000003</v>
      </c>
      <c r="N1360">
        <v>14117.631149999999</v>
      </c>
      <c r="O1360" s="1" t="s">
        <v>40</v>
      </c>
      <c r="P1360" s="1" t="s">
        <v>4497</v>
      </c>
      <c r="Q1360" s="1" t="s">
        <v>4498</v>
      </c>
      <c r="R1360" s="1" t="s">
        <v>43</v>
      </c>
      <c r="S1360" s="1" t="s">
        <v>4499</v>
      </c>
      <c r="T1360" s="1" t="s">
        <v>4500</v>
      </c>
      <c r="U1360" s="2" t="s">
        <v>2149</v>
      </c>
      <c r="V1360" s="2" t="s">
        <v>47</v>
      </c>
      <c r="W1360" s="2" t="s">
        <v>111</v>
      </c>
      <c r="X1360" s="2">
        <v>1067.4649999999999</v>
      </c>
    </row>
    <row r="1361" spans="1:24" x14ac:dyDescent="0.3">
      <c r="A1361">
        <v>19247</v>
      </c>
      <c r="B1361" t="s">
        <v>4496</v>
      </c>
      <c r="C1361" s="3">
        <v>40716</v>
      </c>
      <c r="D1361" t="s">
        <v>62</v>
      </c>
      <c r="E1361">
        <v>12</v>
      </c>
      <c r="F1361" s="3">
        <f ca="1">40718+(RANDBETWEEN(1,10))</f>
        <v>40728</v>
      </c>
      <c r="G1361" t="s">
        <v>26</v>
      </c>
      <c r="H1361" t="s">
        <v>27</v>
      </c>
      <c r="I1361" t="s">
        <v>97</v>
      </c>
      <c r="J1361">
        <v>2218.4749999999999</v>
      </c>
      <c r="K1361">
        <v>0.09</v>
      </c>
      <c r="L1361">
        <v>0.57999999999999996</v>
      </c>
      <c r="M1361">
        <v>31.465</v>
      </c>
      <c r="N1361">
        <v>496.23840000000001</v>
      </c>
      <c r="O1361" s="1" t="s">
        <v>40</v>
      </c>
      <c r="P1361" s="1" t="s">
        <v>4497</v>
      </c>
      <c r="Q1361" s="1" t="s">
        <v>4498</v>
      </c>
      <c r="R1361" s="1" t="s">
        <v>43</v>
      </c>
      <c r="S1361" s="1" t="s">
        <v>4499</v>
      </c>
      <c r="T1361" s="1" t="s">
        <v>4500</v>
      </c>
      <c r="U1361" s="2" t="s">
        <v>4501</v>
      </c>
      <c r="V1361" s="2" t="s">
        <v>36</v>
      </c>
      <c r="W1361" s="2" t="s">
        <v>37</v>
      </c>
      <c r="X1361" s="2">
        <v>230.965</v>
      </c>
    </row>
    <row r="1362" spans="1:24" x14ac:dyDescent="0.3">
      <c r="A1362">
        <v>19248</v>
      </c>
      <c r="B1362" t="s">
        <v>4502</v>
      </c>
      <c r="C1362" s="3">
        <v>41052</v>
      </c>
      <c r="D1362" t="s">
        <v>62</v>
      </c>
      <c r="E1362">
        <v>3</v>
      </c>
      <c r="F1362" s="3">
        <f ca="1">41053+(RANDBETWEEN(1,10))</f>
        <v>41063</v>
      </c>
      <c r="G1362" t="s">
        <v>156</v>
      </c>
      <c r="H1362" t="s">
        <v>27</v>
      </c>
      <c r="I1362" t="s">
        <v>86</v>
      </c>
      <c r="J1362">
        <v>1079.33</v>
      </c>
      <c r="K1362">
        <v>0.1</v>
      </c>
      <c r="L1362">
        <v>0.59</v>
      </c>
      <c r="M1362">
        <v>30.8</v>
      </c>
      <c r="N1362">
        <v>-1261.0675000000001</v>
      </c>
      <c r="O1362" s="1" t="s">
        <v>53</v>
      </c>
      <c r="P1362" s="1" t="s">
        <v>4503</v>
      </c>
      <c r="Q1362" s="1" t="s">
        <v>4504</v>
      </c>
      <c r="R1362" s="1" t="s">
        <v>440</v>
      </c>
      <c r="S1362" s="1" t="s">
        <v>4505</v>
      </c>
      <c r="T1362" s="1" t="s">
        <v>4506</v>
      </c>
      <c r="U1362" s="2" t="s">
        <v>1548</v>
      </c>
      <c r="V1362" s="2" t="s">
        <v>36</v>
      </c>
      <c r="W1362" s="2" t="s">
        <v>37</v>
      </c>
      <c r="X1362" s="2">
        <v>440.96499999999997</v>
      </c>
    </row>
    <row r="1363" spans="1:24" x14ac:dyDescent="0.3">
      <c r="A1363">
        <v>19249</v>
      </c>
      <c r="B1363" t="s">
        <v>4507</v>
      </c>
      <c r="C1363" s="3">
        <v>41224</v>
      </c>
      <c r="D1363" t="s">
        <v>39</v>
      </c>
      <c r="E1363">
        <v>36</v>
      </c>
      <c r="F1363" s="3">
        <f ca="1">41225+(RANDBETWEEN(1,10))</f>
        <v>41229</v>
      </c>
      <c r="G1363" t="s">
        <v>26</v>
      </c>
      <c r="H1363" t="s">
        <v>51</v>
      </c>
      <c r="I1363" t="s">
        <v>28</v>
      </c>
      <c r="J1363">
        <v>1817.3050000000001</v>
      </c>
      <c r="K1363">
        <v>0.05</v>
      </c>
      <c r="L1363">
        <v>0.49</v>
      </c>
      <c r="M1363">
        <v>17.5</v>
      </c>
      <c r="N1363">
        <v>995.84100000000001</v>
      </c>
      <c r="O1363" s="1" t="s">
        <v>87</v>
      </c>
      <c r="P1363" s="1" t="s">
        <v>1857</v>
      </c>
      <c r="Q1363" s="1" t="s">
        <v>1858</v>
      </c>
      <c r="R1363" s="1" t="s">
        <v>497</v>
      </c>
      <c r="S1363" s="1" t="s">
        <v>1859</v>
      </c>
      <c r="T1363" s="1" t="s">
        <v>1860</v>
      </c>
      <c r="U1363" s="2" t="s">
        <v>830</v>
      </c>
      <c r="V1363" s="2" t="s">
        <v>83</v>
      </c>
      <c r="W1363" s="2" t="s">
        <v>178</v>
      </c>
      <c r="X1363" s="2">
        <v>50.19</v>
      </c>
    </row>
    <row r="1364" spans="1:24" x14ac:dyDescent="0.3">
      <c r="A1364">
        <v>19250</v>
      </c>
      <c r="B1364" t="s">
        <v>4507</v>
      </c>
      <c r="C1364" s="3">
        <v>41224</v>
      </c>
      <c r="D1364" t="s">
        <v>39</v>
      </c>
      <c r="E1364">
        <v>37</v>
      </c>
      <c r="F1364" s="3">
        <f ca="1">41225+(RANDBETWEEN(1,10))</f>
        <v>41231</v>
      </c>
      <c r="G1364" t="s">
        <v>26</v>
      </c>
      <c r="H1364" t="s">
        <v>27</v>
      </c>
      <c r="I1364" t="s">
        <v>28</v>
      </c>
      <c r="J1364">
        <v>4358.585</v>
      </c>
      <c r="K1364">
        <v>0</v>
      </c>
      <c r="L1364">
        <v>0.4</v>
      </c>
      <c r="M1364">
        <v>30.59</v>
      </c>
      <c r="N1364">
        <v>3007.4236500000002</v>
      </c>
      <c r="O1364" s="1" t="s">
        <v>87</v>
      </c>
      <c r="P1364" s="1" t="s">
        <v>1857</v>
      </c>
      <c r="Q1364" s="1" t="s">
        <v>1858</v>
      </c>
      <c r="R1364" s="1" t="s">
        <v>497</v>
      </c>
      <c r="S1364" s="1" t="s">
        <v>1859</v>
      </c>
      <c r="T1364" s="1" t="s">
        <v>1860</v>
      </c>
      <c r="U1364" s="2" t="s">
        <v>1346</v>
      </c>
      <c r="V1364" s="2" t="s">
        <v>47</v>
      </c>
      <c r="W1364" s="2" t="s">
        <v>74</v>
      </c>
      <c r="X1364" s="2">
        <v>108.43</v>
      </c>
    </row>
    <row r="1365" spans="1:24" x14ac:dyDescent="0.3">
      <c r="A1365">
        <v>19251</v>
      </c>
      <c r="B1365" t="s">
        <v>4508</v>
      </c>
      <c r="C1365" s="3">
        <v>40748</v>
      </c>
      <c r="D1365" t="s">
        <v>50</v>
      </c>
      <c r="E1365">
        <v>10</v>
      </c>
      <c r="F1365" s="3">
        <f ca="1">40749+(RANDBETWEEN(1,10))</f>
        <v>40759</v>
      </c>
      <c r="G1365" t="s">
        <v>156</v>
      </c>
      <c r="H1365" t="s">
        <v>63</v>
      </c>
      <c r="I1365" t="s">
        <v>28</v>
      </c>
      <c r="J1365">
        <v>3865.12</v>
      </c>
      <c r="K1365">
        <v>0</v>
      </c>
      <c r="L1365">
        <v>0.82</v>
      </c>
      <c r="M1365">
        <v>122.5</v>
      </c>
      <c r="N1365">
        <v>-1602.0550000000001</v>
      </c>
      <c r="O1365" s="1" t="s">
        <v>87</v>
      </c>
      <c r="P1365" s="1" t="s">
        <v>4509</v>
      </c>
      <c r="Q1365" s="1" t="s">
        <v>4510</v>
      </c>
      <c r="R1365" s="1" t="s">
        <v>646</v>
      </c>
      <c r="S1365" s="1" t="s">
        <v>4511</v>
      </c>
      <c r="T1365" s="1" t="s">
        <v>4512</v>
      </c>
      <c r="U1365" s="2" t="s">
        <v>4513</v>
      </c>
      <c r="V1365" s="2" t="s">
        <v>47</v>
      </c>
      <c r="W1365" s="2" t="s">
        <v>119</v>
      </c>
      <c r="X1365" s="2">
        <v>354.935</v>
      </c>
    </row>
    <row r="1366" spans="1:24" x14ac:dyDescent="0.3">
      <c r="A1366">
        <v>19252</v>
      </c>
      <c r="B1366" t="s">
        <v>4508</v>
      </c>
      <c r="C1366" s="3">
        <v>40748</v>
      </c>
      <c r="D1366" t="s">
        <v>50</v>
      </c>
      <c r="E1366">
        <v>2</v>
      </c>
      <c r="F1366" s="3">
        <f ca="1">40749+(RANDBETWEEN(1,10))</f>
        <v>40750</v>
      </c>
      <c r="G1366" t="s">
        <v>26</v>
      </c>
      <c r="H1366" t="s">
        <v>27</v>
      </c>
      <c r="I1366" t="s">
        <v>28</v>
      </c>
      <c r="J1366">
        <v>524.29999999999995</v>
      </c>
      <c r="K1366">
        <v>0.1</v>
      </c>
      <c r="L1366">
        <v>0.56000000000000005</v>
      </c>
      <c r="M1366">
        <v>17.149999999999999</v>
      </c>
      <c r="N1366">
        <v>-940.32399999999996</v>
      </c>
      <c r="O1366" s="1" t="s">
        <v>87</v>
      </c>
      <c r="P1366" s="1" t="s">
        <v>4509</v>
      </c>
      <c r="Q1366" s="1" t="s">
        <v>4510</v>
      </c>
      <c r="R1366" s="1" t="s">
        <v>646</v>
      </c>
      <c r="S1366" s="1" t="s">
        <v>4511</v>
      </c>
      <c r="T1366" s="1" t="s">
        <v>4512</v>
      </c>
      <c r="U1366" s="2" t="s">
        <v>35</v>
      </c>
      <c r="V1366" s="2" t="s">
        <v>36</v>
      </c>
      <c r="W1366" s="2" t="s">
        <v>37</v>
      </c>
      <c r="X1366" s="2">
        <v>335.96499999999997</v>
      </c>
    </row>
    <row r="1367" spans="1:24" x14ac:dyDescent="0.3">
      <c r="A1367">
        <v>19253</v>
      </c>
      <c r="B1367" t="s">
        <v>4514</v>
      </c>
      <c r="C1367" s="3">
        <v>41617</v>
      </c>
      <c r="D1367" t="s">
        <v>148</v>
      </c>
      <c r="E1367">
        <v>18</v>
      </c>
      <c r="F1367" s="3">
        <f ca="1">41617+(RANDBETWEEN(1,10))</f>
        <v>41626</v>
      </c>
      <c r="G1367" t="s">
        <v>26</v>
      </c>
      <c r="H1367" t="s">
        <v>51</v>
      </c>
      <c r="I1367" t="s">
        <v>52</v>
      </c>
      <c r="J1367">
        <v>469.98</v>
      </c>
      <c r="K1367">
        <v>0.1</v>
      </c>
      <c r="L1367">
        <v>0.77</v>
      </c>
      <c r="M1367">
        <v>9.9049999999999994</v>
      </c>
      <c r="N1367">
        <v>-173.285</v>
      </c>
      <c r="O1367" s="1" t="s">
        <v>40</v>
      </c>
      <c r="P1367" s="1" t="s">
        <v>4515</v>
      </c>
      <c r="Q1367" s="1" t="s">
        <v>4516</v>
      </c>
      <c r="R1367" s="1" t="s">
        <v>220</v>
      </c>
      <c r="S1367" s="1" t="s">
        <v>4517</v>
      </c>
      <c r="T1367" s="1" t="s">
        <v>4518</v>
      </c>
      <c r="U1367" s="2" t="s">
        <v>2563</v>
      </c>
      <c r="V1367" s="2" t="s">
        <v>36</v>
      </c>
      <c r="W1367" s="2" t="s">
        <v>60</v>
      </c>
      <c r="X1367" s="2">
        <v>28.42</v>
      </c>
    </row>
    <row r="1368" spans="1:24" x14ac:dyDescent="0.3">
      <c r="A1368">
        <v>19254</v>
      </c>
      <c r="B1368" t="s">
        <v>4519</v>
      </c>
      <c r="C1368" s="3">
        <v>41435</v>
      </c>
      <c r="D1368" t="s">
        <v>39</v>
      </c>
      <c r="E1368">
        <v>9</v>
      </c>
      <c r="F1368" s="3">
        <f ca="1">41437+(RANDBETWEEN(1,10))</f>
        <v>41442</v>
      </c>
      <c r="G1368" t="s">
        <v>26</v>
      </c>
      <c r="H1368" t="s">
        <v>281</v>
      </c>
      <c r="I1368" t="s">
        <v>86</v>
      </c>
      <c r="J1368">
        <v>403.9</v>
      </c>
      <c r="K1368">
        <v>0.03</v>
      </c>
      <c r="L1368">
        <v>0.56999999999999995</v>
      </c>
      <c r="M1368">
        <v>21.945</v>
      </c>
      <c r="N1368">
        <v>726.89400000000001</v>
      </c>
      <c r="O1368" s="1" t="s">
        <v>87</v>
      </c>
      <c r="P1368" s="1" t="s">
        <v>4520</v>
      </c>
      <c r="Q1368" s="1" t="s">
        <v>4521</v>
      </c>
      <c r="R1368" s="1" t="s">
        <v>90</v>
      </c>
      <c r="S1368" s="1" t="s">
        <v>4522</v>
      </c>
      <c r="T1368" s="1" t="s">
        <v>4523</v>
      </c>
      <c r="U1368" s="2" t="s">
        <v>517</v>
      </c>
      <c r="V1368" s="2" t="s">
        <v>47</v>
      </c>
      <c r="W1368" s="2" t="s">
        <v>119</v>
      </c>
      <c r="X1368" s="2">
        <v>43.54</v>
      </c>
    </row>
    <row r="1369" spans="1:24" x14ac:dyDescent="0.3">
      <c r="A1369">
        <v>19255</v>
      </c>
      <c r="B1369" t="s">
        <v>4524</v>
      </c>
      <c r="C1369" s="3">
        <v>41086</v>
      </c>
      <c r="D1369" t="s">
        <v>62</v>
      </c>
      <c r="E1369">
        <v>10</v>
      </c>
      <c r="F1369" s="3">
        <f ca="1">41087+(RANDBETWEEN(1,10))</f>
        <v>41090</v>
      </c>
      <c r="G1369" t="s">
        <v>156</v>
      </c>
      <c r="H1369" t="s">
        <v>27</v>
      </c>
      <c r="I1369" t="s">
        <v>52</v>
      </c>
      <c r="J1369">
        <v>498.96</v>
      </c>
      <c r="K1369">
        <v>7.0000000000000007E-2</v>
      </c>
      <c r="L1369">
        <v>0.56000000000000005</v>
      </c>
      <c r="M1369">
        <v>32.795000000000002</v>
      </c>
      <c r="N1369">
        <v>-303.18400000000003</v>
      </c>
      <c r="O1369" s="1" t="s">
        <v>29</v>
      </c>
      <c r="P1369" s="1" t="s">
        <v>4525</v>
      </c>
      <c r="Q1369" s="1" t="s">
        <v>4526</v>
      </c>
      <c r="R1369" s="1" t="s">
        <v>460</v>
      </c>
      <c r="S1369" s="1" t="s">
        <v>4527</v>
      </c>
      <c r="T1369" s="1" t="s">
        <v>4528</v>
      </c>
      <c r="U1369" s="2" t="s">
        <v>2863</v>
      </c>
      <c r="V1369" s="2" t="s">
        <v>47</v>
      </c>
      <c r="W1369" s="2" t="s">
        <v>119</v>
      </c>
      <c r="X1369" s="2">
        <v>49.104999999999997</v>
      </c>
    </row>
    <row r="1370" spans="1:24" x14ac:dyDescent="0.3">
      <c r="A1370">
        <v>19256</v>
      </c>
      <c r="B1370" t="s">
        <v>4529</v>
      </c>
      <c r="C1370" s="3">
        <v>41563</v>
      </c>
      <c r="D1370" t="s">
        <v>25</v>
      </c>
      <c r="E1370">
        <v>8</v>
      </c>
      <c r="F1370" s="3">
        <f ca="1">41563+(RANDBETWEEN(1,10))</f>
        <v>41566</v>
      </c>
      <c r="G1370" t="s">
        <v>26</v>
      </c>
      <c r="H1370" t="s">
        <v>27</v>
      </c>
      <c r="I1370" t="s">
        <v>86</v>
      </c>
      <c r="J1370">
        <v>4344.585</v>
      </c>
      <c r="K1370">
        <v>0.04</v>
      </c>
      <c r="L1370">
        <v>0.74</v>
      </c>
      <c r="M1370">
        <v>22.75</v>
      </c>
      <c r="N1370">
        <v>-382.83699999999999</v>
      </c>
      <c r="O1370" s="1" t="s">
        <v>225</v>
      </c>
      <c r="P1370" s="1" t="s">
        <v>3506</v>
      </c>
      <c r="Q1370" s="1" t="s">
        <v>3507</v>
      </c>
      <c r="R1370" s="1" t="s">
        <v>391</v>
      </c>
      <c r="S1370" s="1" t="s">
        <v>3508</v>
      </c>
      <c r="T1370" s="1" t="s">
        <v>3509</v>
      </c>
      <c r="U1370" s="2" t="s">
        <v>192</v>
      </c>
      <c r="V1370" s="2" t="s">
        <v>36</v>
      </c>
      <c r="W1370" s="2" t="s">
        <v>60</v>
      </c>
      <c r="X1370" s="2">
        <v>533.67999999999995</v>
      </c>
    </row>
    <row r="1371" spans="1:24" x14ac:dyDescent="0.3">
      <c r="A1371">
        <v>19257</v>
      </c>
      <c r="B1371" t="s">
        <v>4529</v>
      </c>
      <c r="C1371" s="3">
        <v>41563</v>
      </c>
      <c r="D1371" t="s">
        <v>25</v>
      </c>
      <c r="E1371">
        <v>14</v>
      </c>
      <c r="F1371" s="3">
        <f ca="1">41568+(RANDBETWEEN(1,10))</f>
        <v>41570</v>
      </c>
      <c r="G1371" t="s">
        <v>26</v>
      </c>
      <c r="H1371" t="s">
        <v>27</v>
      </c>
      <c r="I1371" t="s">
        <v>86</v>
      </c>
      <c r="J1371">
        <v>265.96499999999997</v>
      </c>
      <c r="K1371">
        <v>0.01</v>
      </c>
      <c r="L1371">
        <v>0.38</v>
      </c>
      <c r="M1371">
        <v>25.48</v>
      </c>
      <c r="N1371">
        <v>-833.8673</v>
      </c>
      <c r="O1371" s="1" t="s">
        <v>225</v>
      </c>
      <c r="P1371" s="1" t="s">
        <v>3506</v>
      </c>
      <c r="Q1371" s="1" t="s">
        <v>3507</v>
      </c>
      <c r="R1371" s="1" t="s">
        <v>391</v>
      </c>
      <c r="S1371" s="1" t="s">
        <v>3508</v>
      </c>
      <c r="T1371" s="1" t="s">
        <v>3509</v>
      </c>
      <c r="U1371" s="2" t="s">
        <v>4530</v>
      </c>
      <c r="V1371" s="2" t="s">
        <v>47</v>
      </c>
      <c r="W1371" s="2" t="s">
        <v>74</v>
      </c>
      <c r="X1371" s="2">
        <v>17.43</v>
      </c>
    </row>
    <row r="1372" spans="1:24" x14ac:dyDescent="0.3">
      <c r="A1372">
        <v>19258</v>
      </c>
      <c r="B1372" t="s">
        <v>4531</v>
      </c>
      <c r="C1372" s="3">
        <v>40864</v>
      </c>
      <c r="D1372" t="s">
        <v>148</v>
      </c>
      <c r="E1372">
        <v>40</v>
      </c>
      <c r="F1372" s="3">
        <f ca="1">40865+(RANDBETWEEN(1,10))</f>
        <v>40874</v>
      </c>
      <c r="G1372" t="s">
        <v>26</v>
      </c>
      <c r="H1372" t="s">
        <v>27</v>
      </c>
      <c r="I1372" t="s">
        <v>28</v>
      </c>
      <c r="J1372">
        <v>8339.52</v>
      </c>
      <c r="K1372">
        <v>0.04</v>
      </c>
      <c r="L1372">
        <v>0.55000000000000004</v>
      </c>
      <c r="M1372">
        <v>13.965</v>
      </c>
      <c r="N1372">
        <v>5754.2687999999998</v>
      </c>
      <c r="O1372" s="1" t="s">
        <v>40</v>
      </c>
      <c r="P1372" s="1" t="s">
        <v>4254</v>
      </c>
      <c r="Q1372" s="1" t="s">
        <v>4255</v>
      </c>
      <c r="R1372" s="1" t="s">
        <v>220</v>
      </c>
      <c r="S1372" s="1" t="s">
        <v>4256</v>
      </c>
      <c r="T1372" s="1" t="s">
        <v>4257</v>
      </c>
      <c r="U1372" s="2" t="s">
        <v>4532</v>
      </c>
      <c r="V1372" s="2" t="s">
        <v>47</v>
      </c>
      <c r="W1372" s="2" t="s">
        <v>71</v>
      </c>
      <c r="X1372" s="2">
        <v>217.17500000000001</v>
      </c>
    </row>
    <row r="1373" spans="1:24" x14ac:dyDescent="0.3">
      <c r="A1373">
        <v>19259</v>
      </c>
      <c r="B1373" t="s">
        <v>4533</v>
      </c>
      <c r="C1373" s="3">
        <v>41557</v>
      </c>
      <c r="D1373" t="s">
        <v>50</v>
      </c>
      <c r="E1373">
        <v>3</v>
      </c>
      <c r="F1373" s="3">
        <f ca="1">41559+(RANDBETWEEN(1,10))</f>
        <v>41562</v>
      </c>
      <c r="G1373" t="s">
        <v>156</v>
      </c>
      <c r="H1373" t="s">
        <v>63</v>
      </c>
      <c r="I1373" t="s">
        <v>28</v>
      </c>
      <c r="J1373">
        <v>3059.35</v>
      </c>
      <c r="K1373">
        <v>0.04</v>
      </c>
      <c r="L1373">
        <v>0.8</v>
      </c>
      <c r="M1373">
        <v>122.5</v>
      </c>
      <c r="N1373">
        <v>-1245.4721999999999</v>
      </c>
      <c r="O1373" s="1" t="s">
        <v>53</v>
      </c>
      <c r="P1373" s="1" t="s">
        <v>4534</v>
      </c>
      <c r="Q1373" s="1" t="s">
        <v>4535</v>
      </c>
      <c r="R1373" s="1" t="s">
        <v>56</v>
      </c>
      <c r="S1373" s="1" t="s">
        <v>4536</v>
      </c>
      <c r="T1373" s="1" t="s">
        <v>897</v>
      </c>
      <c r="U1373" s="2" t="s">
        <v>2645</v>
      </c>
      <c r="V1373" s="2" t="s">
        <v>47</v>
      </c>
      <c r="W1373" s="2" t="s">
        <v>119</v>
      </c>
      <c r="X1373" s="2">
        <v>978.18</v>
      </c>
    </row>
    <row r="1374" spans="1:24" x14ac:dyDescent="0.3">
      <c r="A1374">
        <v>19260</v>
      </c>
      <c r="B1374" t="s">
        <v>4537</v>
      </c>
      <c r="C1374" s="3">
        <v>41141</v>
      </c>
      <c r="D1374" t="s">
        <v>50</v>
      </c>
      <c r="E1374">
        <v>19</v>
      </c>
      <c r="F1374" s="3">
        <f ca="1">41141+(RANDBETWEEN(1,10))</f>
        <v>41142</v>
      </c>
      <c r="G1374" t="s">
        <v>26</v>
      </c>
      <c r="H1374" t="s">
        <v>281</v>
      </c>
      <c r="I1374" t="s">
        <v>97</v>
      </c>
      <c r="J1374">
        <v>452.83</v>
      </c>
      <c r="K1374">
        <v>0.05</v>
      </c>
      <c r="L1374">
        <v>0.6</v>
      </c>
      <c r="M1374">
        <v>17.605</v>
      </c>
      <c r="N1374">
        <v>-835.61170000000004</v>
      </c>
      <c r="O1374" s="1" t="s">
        <v>87</v>
      </c>
      <c r="P1374" s="1" t="s">
        <v>4538</v>
      </c>
      <c r="Q1374" s="1" t="s">
        <v>4539</v>
      </c>
      <c r="R1374" s="1" t="s">
        <v>646</v>
      </c>
      <c r="S1374" s="1" t="s">
        <v>4444</v>
      </c>
      <c r="T1374" s="1" t="s">
        <v>4445</v>
      </c>
      <c r="U1374" s="2" t="s">
        <v>408</v>
      </c>
      <c r="V1374" s="2" t="s">
        <v>36</v>
      </c>
      <c r="W1374" s="2" t="s">
        <v>37</v>
      </c>
      <c r="X1374" s="2">
        <v>27.965</v>
      </c>
    </row>
    <row r="1375" spans="1:24" x14ac:dyDescent="0.3">
      <c r="A1375">
        <v>19261</v>
      </c>
      <c r="B1375" t="s">
        <v>4540</v>
      </c>
      <c r="C1375" s="3">
        <v>41881</v>
      </c>
      <c r="D1375" t="s">
        <v>62</v>
      </c>
      <c r="E1375">
        <v>9</v>
      </c>
      <c r="F1375" s="3">
        <f ca="1">41882+(RANDBETWEEN(1,10))</f>
        <v>41883</v>
      </c>
      <c r="G1375" t="s">
        <v>26</v>
      </c>
      <c r="H1375" t="s">
        <v>27</v>
      </c>
      <c r="I1375" t="s">
        <v>52</v>
      </c>
      <c r="J1375">
        <v>961.31</v>
      </c>
      <c r="K1375">
        <v>0.1</v>
      </c>
      <c r="L1375">
        <v>0.37</v>
      </c>
      <c r="M1375">
        <v>40.704999999999998</v>
      </c>
      <c r="N1375">
        <v>301.336322</v>
      </c>
      <c r="O1375" s="1" t="s">
        <v>87</v>
      </c>
      <c r="P1375" s="1" t="s">
        <v>4409</v>
      </c>
      <c r="Q1375" s="1" t="s">
        <v>4410</v>
      </c>
      <c r="R1375" s="1" t="s">
        <v>398</v>
      </c>
      <c r="S1375" s="1" t="s">
        <v>4411</v>
      </c>
      <c r="T1375" s="1" t="s">
        <v>4412</v>
      </c>
      <c r="U1375" s="2" t="s">
        <v>4541</v>
      </c>
      <c r="V1375" s="2" t="s">
        <v>47</v>
      </c>
      <c r="W1375" s="2" t="s">
        <v>111</v>
      </c>
      <c r="X1375" s="2">
        <v>108.43</v>
      </c>
    </row>
    <row r="1376" spans="1:24" x14ac:dyDescent="0.3">
      <c r="A1376">
        <v>19262</v>
      </c>
      <c r="B1376" t="s">
        <v>4542</v>
      </c>
      <c r="C1376" s="3">
        <v>40776</v>
      </c>
      <c r="D1376" t="s">
        <v>39</v>
      </c>
      <c r="E1376">
        <v>18</v>
      </c>
      <c r="F1376" s="3">
        <f ca="1">40777+(RANDBETWEEN(1,10))</f>
        <v>40784</v>
      </c>
      <c r="G1376" t="s">
        <v>26</v>
      </c>
      <c r="H1376" t="s">
        <v>27</v>
      </c>
      <c r="I1376" t="s">
        <v>86</v>
      </c>
      <c r="J1376">
        <v>275.065</v>
      </c>
      <c r="K1376">
        <v>0.04</v>
      </c>
      <c r="L1376">
        <v>0.59</v>
      </c>
      <c r="M1376">
        <v>18.024999999999999</v>
      </c>
      <c r="N1376">
        <v>-260.67860000000002</v>
      </c>
      <c r="O1376" s="1" t="s">
        <v>53</v>
      </c>
      <c r="P1376" s="1" t="s">
        <v>3324</v>
      </c>
      <c r="Q1376" s="1" t="s">
        <v>3325</v>
      </c>
      <c r="R1376" s="1" t="s">
        <v>440</v>
      </c>
      <c r="S1376" s="1" t="s">
        <v>3326</v>
      </c>
      <c r="T1376" s="1" t="s">
        <v>3327</v>
      </c>
      <c r="U1376" s="2" t="s">
        <v>3610</v>
      </c>
      <c r="V1376" s="2" t="s">
        <v>47</v>
      </c>
      <c r="W1376" s="2" t="s">
        <v>71</v>
      </c>
      <c r="X1376" s="2">
        <v>15.295</v>
      </c>
    </row>
    <row r="1377" spans="1:24" x14ac:dyDescent="0.3">
      <c r="A1377">
        <v>19263</v>
      </c>
      <c r="B1377" t="s">
        <v>4542</v>
      </c>
      <c r="C1377" s="3">
        <v>40776</v>
      </c>
      <c r="D1377" t="s">
        <v>39</v>
      </c>
      <c r="E1377">
        <v>4</v>
      </c>
      <c r="F1377" s="3">
        <f ca="1">40778+(RANDBETWEEN(1,10))</f>
        <v>40782</v>
      </c>
      <c r="G1377" t="s">
        <v>26</v>
      </c>
      <c r="H1377" t="s">
        <v>27</v>
      </c>
      <c r="I1377" t="s">
        <v>86</v>
      </c>
      <c r="J1377">
        <v>1739.885</v>
      </c>
      <c r="K1377">
        <v>0.09</v>
      </c>
      <c r="L1377">
        <v>0.57999999999999996</v>
      </c>
      <c r="M1377">
        <v>31.465</v>
      </c>
      <c r="N1377">
        <v>-812.77196000000004</v>
      </c>
      <c r="O1377" s="1" t="s">
        <v>53</v>
      </c>
      <c r="P1377" s="1" t="s">
        <v>3324</v>
      </c>
      <c r="Q1377" s="1" t="s">
        <v>3325</v>
      </c>
      <c r="R1377" s="1" t="s">
        <v>440</v>
      </c>
      <c r="S1377" s="1" t="s">
        <v>3326</v>
      </c>
      <c r="T1377" s="1" t="s">
        <v>3327</v>
      </c>
      <c r="U1377" s="2" t="s">
        <v>307</v>
      </c>
      <c r="V1377" s="2" t="s">
        <v>36</v>
      </c>
      <c r="W1377" s="2" t="s">
        <v>37</v>
      </c>
      <c r="X1377" s="2">
        <v>545.96500000000003</v>
      </c>
    </row>
    <row r="1378" spans="1:24" x14ac:dyDescent="0.3">
      <c r="A1378">
        <v>19264</v>
      </c>
      <c r="B1378" t="s">
        <v>4543</v>
      </c>
      <c r="C1378" s="3">
        <v>41378</v>
      </c>
      <c r="D1378" t="s">
        <v>148</v>
      </c>
      <c r="E1378">
        <v>10</v>
      </c>
      <c r="F1378" s="3">
        <f ca="1">41380+(RANDBETWEEN(1,10))</f>
        <v>41387</v>
      </c>
      <c r="G1378" t="s">
        <v>76</v>
      </c>
      <c r="H1378" t="s">
        <v>77</v>
      </c>
      <c r="I1378" t="s">
        <v>52</v>
      </c>
      <c r="J1378">
        <v>5811.5749999999998</v>
      </c>
      <c r="K1378">
        <v>0.1</v>
      </c>
      <c r="L1378">
        <v>0.56999999999999995</v>
      </c>
      <c r="M1378">
        <v>193.34</v>
      </c>
      <c r="N1378">
        <v>-303.38</v>
      </c>
      <c r="O1378" s="1" t="s">
        <v>53</v>
      </c>
      <c r="P1378" s="1" t="s">
        <v>894</v>
      </c>
      <c r="Q1378" s="1" t="s">
        <v>895</v>
      </c>
      <c r="R1378" s="1" t="s">
        <v>56</v>
      </c>
      <c r="S1378" s="1" t="s">
        <v>896</v>
      </c>
      <c r="T1378" s="1" t="s">
        <v>897</v>
      </c>
      <c r="U1378" s="2" t="s">
        <v>4544</v>
      </c>
      <c r="V1378" s="2" t="s">
        <v>47</v>
      </c>
      <c r="W1378" s="2" t="s">
        <v>71</v>
      </c>
      <c r="X1378" s="2">
        <v>633.42999999999995</v>
      </c>
    </row>
    <row r="1379" spans="1:24" x14ac:dyDescent="0.3">
      <c r="A1379">
        <v>19265</v>
      </c>
      <c r="B1379" t="s">
        <v>4545</v>
      </c>
      <c r="C1379" s="3">
        <v>40814</v>
      </c>
      <c r="D1379" t="s">
        <v>25</v>
      </c>
      <c r="E1379">
        <v>11</v>
      </c>
      <c r="F1379" s="3">
        <f ca="1">40819+(RANDBETWEEN(1,10))</f>
        <v>40820</v>
      </c>
      <c r="G1379" t="s">
        <v>26</v>
      </c>
      <c r="H1379" t="s">
        <v>27</v>
      </c>
      <c r="I1379" t="s">
        <v>52</v>
      </c>
      <c r="J1379">
        <v>1988.875</v>
      </c>
      <c r="K1379">
        <v>0.04</v>
      </c>
      <c r="L1379">
        <v>0.73</v>
      </c>
      <c r="M1379">
        <v>22.75</v>
      </c>
      <c r="N1379">
        <v>-46.48</v>
      </c>
      <c r="O1379" s="1" t="s">
        <v>29</v>
      </c>
      <c r="P1379" s="1" t="s">
        <v>4546</v>
      </c>
      <c r="Q1379" s="1" t="s">
        <v>4547</v>
      </c>
      <c r="R1379" s="1" t="s">
        <v>32</v>
      </c>
      <c r="S1379" s="1" t="s">
        <v>3891</v>
      </c>
      <c r="T1379" s="1" t="s">
        <v>3892</v>
      </c>
      <c r="U1379" s="2" t="s">
        <v>4548</v>
      </c>
      <c r="V1379" s="2" t="s">
        <v>36</v>
      </c>
      <c r="W1379" s="2" t="s">
        <v>60</v>
      </c>
      <c r="X1379" s="2">
        <v>178.43</v>
      </c>
    </row>
    <row r="1380" spans="1:24" x14ac:dyDescent="0.3">
      <c r="A1380">
        <v>19266</v>
      </c>
      <c r="B1380" t="s">
        <v>4545</v>
      </c>
      <c r="C1380" s="3">
        <v>40814</v>
      </c>
      <c r="D1380" t="s">
        <v>25</v>
      </c>
      <c r="E1380">
        <v>19</v>
      </c>
      <c r="F1380" s="3">
        <f ca="1">40816+(RANDBETWEEN(1,10))</f>
        <v>40825</v>
      </c>
      <c r="G1380" t="s">
        <v>26</v>
      </c>
      <c r="H1380" t="s">
        <v>27</v>
      </c>
      <c r="I1380" t="s">
        <v>52</v>
      </c>
      <c r="J1380">
        <v>443.31</v>
      </c>
      <c r="K1380">
        <v>0.02</v>
      </c>
      <c r="L1380">
        <v>0.37</v>
      </c>
      <c r="M1380">
        <v>17.989999999999998</v>
      </c>
      <c r="N1380">
        <v>-170.38</v>
      </c>
      <c r="O1380" s="1" t="s">
        <v>29</v>
      </c>
      <c r="P1380" s="1" t="s">
        <v>4546</v>
      </c>
      <c r="Q1380" s="1" t="s">
        <v>4547</v>
      </c>
      <c r="R1380" s="1" t="s">
        <v>32</v>
      </c>
      <c r="S1380" s="1" t="s">
        <v>3891</v>
      </c>
      <c r="T1380" s="1" t="s">
        <v>3892</v>
      </c>
      <c r="U1380" s="2" t="s">
        <v>146</v>
      </c>
      <c r="V1380" s="2" t="s">
        <v>47</v>
      </c>
      <c r="W1380" s="2" t="s">
        <v>74</v>
      </c>
      <c r="X1380" s="2">
        <v>22.68</v>
      </c>
    </row>
    <row r="1381" spans="1:24" x14ac:dyDescent="0.3">
      <c r="A1381">
        <v>19267</v>
      </c>
      <c r="B1381" t="s">
        <v>4549</v>
      </c>
      <c r="C1381" s="3">
        <v>41277</v>
      </c>
      <c r="D1381" t="s">
        <v>25</v>
      </c>
      <c r="E1381">
        <v>3</v>
      </c>
      <c r="F1381" s="3">
        <f ca="1">41281+(RANDBETWEEN(1,10))</f>
        <v>41284</v>
      </c>
      <c r="G1381" t="s">
        <v>26</v>
      </c>
      <c r="H1381" t="s">
        <v>63</v>
      </c>
      <c r="I1381" t="s">
        <v>52</v>
      </c>
      <c r="J1381">
        <v>92.924999999999997</v>
      </c>
      <c r="K1381">
        <v>0.03</v>
      </c>
      <c r="L1381">
        <v>0.56000000000000005</v>
      </c>
      <c r="M1381">
        <v>171.5</v>
      </c>
      <c r="N1381">
        <v>-1639.3915999999999</v>
      </c>
      <c r="O1381" s="1" t="s">
        <v>53</v>
      </c>
      <c r="P1381" s="1" t="s">
        <v>4550</v>
      </c>
      <c r="Q1381" s="1" t="s">
        <v>4551</v>
      </c>
      <c r="R1381" s="1" t="s">
        <v>440</v>
      </c>
      <c r="S1381" s="1" t="s">
        <v>4552</v>
      </c>
      <c r="T1381" s="1" t="s">
        <v>4553</v>
      </c>
      <c r="U1381" s="2" t="s">
        <v>4554</v>
      </c>
      <c r="V1381" s="2" t="s">
        <v>47</v>
      </c>
      <c r="W1381" s="2" t="s">
        <v>71</v>
      </c>
      <c r="X1381" s="2">
        <v>11.375</v>
      </c>
    </row>
    <row r="1382" spans="1:24" x14ac:dyDescent="0.3">
      <c r="A1382">
        <v>19268</v>
      </c>
      <c r="B1382" t="s">
        <v>4549</v>
      </c>
      <c r="C1382" s="3">
        <v>41277</v>
      </c>
      <c r="D1382" t="s">
        <v>25</v>
      </c>
      <c r="E1382">
        <v>7</v>
      </c>
      <c r="F1382" s="3">
        <f ca="1">41281+(RANDBETWEEN(1,10))</f>
        <v>41284</v>
      </c>
      <c r="G1382" t="s">
        <v>26</v>
      </c>
      <c r="H1382" t="s">
        <v>27</v>
      </c>
      <c r="I1382" t="s">
        <v>52</v>
      </c>
      <c r="J1382">
        <v>1496.88</v>
      </c>
      <c r="K1382">
        <v>0.04</v>
      </c>
      <c r="L1382">
        <v>0.38</v>
      </c>
      <c r="M1382">
        <v>69.965000000000003</v>
      </c>
      <c r="N1382">
        <v>868.22400000000005</v>
      </c>
      <c r="O1382" s="1" t="s">
        <v>53</v>
      </c>
      <c r="P1382" s="1" t="s">
        <v>4550</v>
      </c>
      <c r="Q1382" s="1" t="s">
        <v>4551</v>
      </c>
      <c r="R1382" s="1" t="s">
        <v>440</v>
      </c>
      <c r="S1382" s="1" t="s">
        <v>4552</v>
      </c>
      <c r="T1382" s="1" t="s">
        <v>4553</v>
      </c>
      <c r="U1382" s="2" t="s">
        <v>3909</v>
      </c>
      <c r="V1382" s="2" t="s">
        <v>47</v>
      </c>
      <c r="W1382" s="2" t="s">
        <v>48</v>
      </c>
      <c r="X1382" s="2">
        <v>213.43</v>
      </c>
    </row>
    <row r="1383" spans="1:24" x14ac:dyDescent="0.3">
      <c r="A1383">
        <v>19269</v>
      </c>
      <c r="B1383" t="s">
        <v>4555</v>
      </c>
      <c r="C1383" s="3">
        <v>40584</v>
      </c>
      <c r="D1383" t="s">
        <v>39</v>
      </c>
      <c r="E1383">
        <v>10</v>
      </c>
      <c r="F1383" s="3">
        <f ca="1">40585+(RANDBETWEEN(1,10))</f>
        <v>40590</v>
      </c>
      <c r="G1383" t="s">
        <v>26</v>
      </c>
      <c r="H1383" t="s">
        <v>27</v>
      </c>
      <c r="I1383" t="s">
        <v>97</v>
      </c>
      <c r="J1383">
        <v>404.35500000000002</v>
      </c>
      <c r="K1383">
        <v>0.04</v>
      </c>
      <c r="L1383">
        <v>0.36</v>
      </c>
      <c r="M1383">
        <v>17.535</v>
      </c>
      <c r="N1383">
        <v>-662.28399999999999</v>
      </c>
      <c r="O1383" s="1" t="s">
        <v>53</v>
      </c>
      <c r="P1383" s="1" t="s">
        <v>3394</v>
      </c>
      <c r="Q1383" s="1" t="s">
        <v>3395</v>
      </c>
      <c r="R1383" s="1" t="s">
        <v>440</v>
      </c>
      <c r="S1383" s="1" t="s">
        <v>3396</v>
      </c>
      <c r="T1383" s="1" t="s">
        <v>3397</v>
      </c>
      <c r="U1383" s="2" t="s">
        <v>4556</v>
      </c>
      <c r="V1383" s="2" t="s">
        <v>47</v>
      </c>
      <c r="W1383" s="2" t="s">
        <v>74</v>
      </c>
      <c r="X1383" s="2">
        <v>39.69</v>
      </c>
    </row>
    <row r="1384" spans="1:24" x14ac:dyDescent="0.3">
      <c r="A1384">
        <v>19270</v>
      </c>
      <c r="B1384" t="s">
        <v>4557</v>
      </c>
      <c r="C1384" s="3">
        <v>40900</v>
      </c>
      <c r="D1384" t="s">
        <v>50</v>
      </c>
      <c r="E1384">
        <v>19</v>
      </c>
      <c r="F1384" s="3">
        <f ca="1">40901+(RANDBETWEEN(1,10))</f>
        <v>40910</v>
      </c>
      <c r="G1384" t="s">
        <v>26</v>
      </c>
      <c r="H1384" t="s">
        <v>63</v>
      </c>
      <c r="I1384" t="s">
        <v>97</v>
      </c>
      <c r="J1384">
        <v>4560.43</v>
      </c>
      <c r="K1384">
        <v>0.09</v>
      </c>
      <c r="L1384">
        <v>0.68</v>
      </c>
      <c r="M1384">
        <v>241.5</v>
      </c>
      <c r="N1384">
        <v>-5379.9745999999996</v>
      </c>
      <c r="O1384" s="1" t="s">
        <v>53</v>
      </c>
      <c r="P1384" s="1" t="s">
        <v>4558</v>
      </c>
      <c r="Q1384" s="1" t="s">
        <v>4559</v>
      </c>
      <c r="R1384" s="1" t="s">
        <v>440</v>
      </c>
      <c r="S1384" s="1" t="s">
        <v>4560</v>
      </c>
      <c r="T1384" s="1" t="s">
        <v>4561</v>
      </c>
      <c r="U1384" s="2" t="s">
        <v>1152</v>
      </c>
      <c r="V1384" s="2" t="s">
        <v>83</v>
      </c>
      <c r="W1384" s="2" t="s">
        <v>263</v>
      </c>
      <c r="X1384" s="2">
        <v>249.79499999999999</v>
      </c>
    </row>
    <row r="1385" spans="1:24" x14ac:dyDescent="0.3">
      <c r="A1385">
        <v>19271</v>
      </c>
      <c r="B1385" t="s">
        <v>4562</v>
      </c>
      <c r="C1385" s="3">
        <v>41048</v>
      </c>
      <c r="D1385" t="s">
        <v>39</v>
      </c>
      <c r="E1385">
        <v>17</v>
      </c>
      <c r="F1385" s="3">
        <f ca="1">41049+(RANDBETWEEN(1,10))</f>
        <v>41051</v>
      </c>
      <c r="G1385" t="s">
        <v>26</v>
      </c>
      <c r="H1385" t="s">
        <v>51</v>
      </c>
      <c r="I1385" t="s">
        <v>86</v>
      </c>
      <c r="J1385">
        <v>228.30500000000001</v>
      </c>
      <c r="K1385">
        <v>0.01</v>
      </c>
      <c r="L1385">
        <v>0.59</v>
      </c>
      <c r="M1385">
        <v>14.595000000000001</v>
      </c>
      <c r="N1385">
        <v>-417.72500000000002</v>
      </c>
      <c r="O1385" s="1" t="s">
        <v>29</v>
      </c>
      <c r="P1385" s="1" t="s">
        <v>4563</v>
      </c>
      <c r="Q1385" s="1" t="s">
        <v>4564</v>
      </c>
      <c r="R1385" s="1" t="s">
        <v>460</v>
      </c>
      <c r="S1385" s="1" t="s">
        <v>4565</v>
      </c>
      <c r="T1385" s="1" t="s">
        <v>4566</v>
      </c>
      <c r="U1385" s="2" t="s">
        <v>1747</v>
      </c>
      <c r="V1385" s="2" t="s">
        <v>47</v>
      </c>
      <c r="W1385" s="2" t="s">
        <v>104</v>
      </c>
      <c r="X1385" s="2">
        <v>12.494999999999999</v>
      </c>
    </row>
    <row r="1386" spans="1:24" x14ac:dyDescent="0.3">
      <c r="A1386">
        <v>19272</v>
      </c>
      <c r="B1386" t="s">
        <v>4562</v>
      </c>
      <c r="C1386" s="3">
        <v>41048</v>
      </c>
      <c r="D1386" t="s">
        <v>39</v>
      </c>
      <c r="E1386">
        <v>15</v>
      </c>
      <c r="F1386" s="3">
        <f ca="1">41049+(RANDBETWEEN(1,10))</f>
        <v>41058</v>
      </c>
      <c r="G1386" t="s">
        <v>26</v>
      </c>
      <c r="H1386" t="s">
        <v>27</v>
      </c>
      <c r="I1386" t="s">
        <v>86</v>
      </c>
      <c r="J1386">
        <v>1933.5050000000001</v>
      </c>
      <c r="K1386">
        <v>7.0000000000000007E-2</v>
      </c>
      <c r="L1386">
        <v>0.56999999999999995</v>
      </c>
      <c r="M1386">
        <v>45.15</v>
      </c>
      <c r="N1386">
        <v>89.284999999999997</v>
      </c>
      <c r="O1386" s="1" t="s">
        <v>29</v>
      </c>
      <c r="P1386" s="1" t="s">
        <v>4563</v>
      </c>
      <c r="Q1386" s="1" t="s">
        <v>4564</v>
      </c>
      <c r="R1386" s="1" t="s">
        <v>460</v>
      </c>
      <c r="S1386" s="1" t="s">
        <v>4565</v>
      </c>
      <c r="T1386" s="1" t="s">
        <v>4566</v>
      </c>
      <c r="U1386" s="2" t="s">
        <v>4567</v>
      </c>
      <c r="V1386" s="2" t="s">
        <v>47</v>
      </c>
      <c r="W1386" s="2" t="s">
        <v>119</v>
      </c>
      <c r="X1386" s="2">
        <v>132.16</v>
      </c>
    </row>
    <row r="1387" spans="1:24" x14ac:dyDescent="0.3">
      <c r="A1387">
        <v>19273</v>
      </c>
      <c r="B1387" t="s">
        <v>4562</v>
      </c>
      <c r="C1387" s="3">
        <v>41048</v>
      </c>
      <c r="D1387" t="s">
        <v>39</v>
      </c>
      <c r="E1387">
        <v>13</v>
      </c>
      <c r="F1387" s="3">
        <f ca="1">41050+(RANDBETWEEN(1,10))</f>
        <v>41054</v>
      </c>
      <c r="G1387" t="s">
        <v>76</v>
      </c>
      <c r="H1387" t="s">
        <v>258</v>
      </c>
      <c r="I1387" t="s">
        <v>86</v>
      </c>
      <c r="J1387">
        <v>4494.84</v>
      </c>
      <c r="K1387">
        <v>0.02</v>
      </c>
      <c r="L1387">
        <v>0.63</v>
      </c>
      <c r="M1387">
        <v>181.79</v>
      </c>
      <c r="N1387">
        <v>-1279.04</v>
      </c>
      <c r="O1387" s="1" t="s">
        <v>29</v>
      </c>
      <c r="P1387" s="1" t="s">
        <v>4563</v>
      </c>
      <c r="Q1387" s="1" t="s">
        <v>4564</v>
      </c>
      <c r="R1387" s="1" t="s">
        <v>460</v>
      </c>
      <c r="S1387" s="1" t="s">
        <v>4565</v>
      </c>
      <c r="T1387" s="1" t="s">
        <v>4566</v>
      </c>
      <c r="U1387" s="2" t="s">
        <v>360</v>
      </c>
      <c r="V1387" s="2" t="s">
        <v>83</v>
      </c>
      <c r="W1387" s="2" t="s">
        <v>263</v>
      </c>
      <c r="X1387" s="2">
        <v>435.71499999999997</v>
      </c>
    </row>
    <row r="1388" spans="1:24" x14ac:dyDescent="0.3">
      <c r="A1388">
        <v>19274</v>
      </c>
      <c r="B1388" t="s">
        <v>4568</v>
      </c>
      <c r="C1388" s="3">
        <v>41150</v>
      </c>
      <c r="D1388" t="s">
        <v>148</v>
      </c>
      <c r="E1388">
        <v>17</v>
      </c>
      <c r="F1388" s="3">
        <f ca="1">41152+(RANDBETWEEN(1,10))</f>
        <v>41162</v>
      </c>
      <c r="G1388" t="s">
        <v>76</v>
      </c>
      <c r="H1388" t="s">
        <v>77</v>
      </c>
      <c r="I1388" t="s">
        <v>28</v>
      </c>
      <c r="J1388">
        <v>5687.8850000000002</v>
      </c>
      <c r="K1388">
        <v>0</v>
      </c>
      <c r="L1388">
        <v>0.66</v>
      </c>
      <c r="M1388">
        <v>147</v>
      </c>
      <c r="N1388">
        <v>-728.60059999999999</v>
      </c>
      <c r="O1388" s="1" t="s">
        <v>87</v>
      </c>
      <c r="P1388" s="1" t="s">
        <v>3400</v>
      </c>
      <c r="Q1388" s="1" t="s">
        <v>3401</v>
      </c>
      <c r="R1388" s="1" t="s">
        <v>398</v>
      </c>
      <c r="S1388" s="1" t="s">
        <v>3402</v>
      </c>
      <c r="T1388" s="1" t="s">
        <v>3403</v>
      </c>
      <c r="U1388" s="2" t="s">
        <v>2462</v>
      </c>
      <c r="V1388" s="2" t="s">
        <v>83</v>
      </c>
      <c r="W1388" s="2" t="s">
        <v>84</v>
      </c>
      <c r="X1388" s="2">
        <v>314.96499999999997</v>
      </c>
    </row>
    <row r="1389" spans="1:24" x14ac:dyDescent="0.3">
      <c r="A1389">
        <v>19275</v>
      </c>
      <c r="B1389" t="s">
        <v>4569</v>
      </c>
      <c r="C1389" s="3">
        <v>41669</v>
      </c>
      <c r="D1389" t="s">
        <v>62</v>
      </c>
      <c r="E1389">
        <v>10</v>
      </c>
      <c r="F1389" s="3">
        <f ca="1">41671+(RANDBETWEEN(1,10))</f>
        <v>41678</v>
      </c>
      <c r="G1389" t="s">
        <v>26</v>
      </c>
      <c r="H1389" t="s">
        <v>27</v>
      </c>
      <c r="I1389" t="s">
        <v>86</v>
      </c>
      <c r="J1389">
        <v>1598.5550000000001</v>
      </c>
      <c r="K1389">
        <v>0.05</v>
      </c>
      <c r="L1389">
        <v>0.44</v>
      </c>
      <c r="M1389">
        <v>23.695</v>
      </c>
      <c r="N1389">
        <v>1103.0029500000001</v>
      </c>
      <c r="O1389" s="1" t="s">
        <v>87</v>
      </c>
      <c r="P1389" s="1" t="s">
        <v>4570</v>
      </c>
      <c r="Q1389" s="1" t="s">
        <v>4571</v>
      </c>
      <c r="R1389" s="1" t="s">
        <v>90</v>
      </c>
      <c r="S1389" s="1" t="s">
        <v>4572</v>
      </c>
      <c r="T1389" s="1" t="s">
        <v>1620</v>
      </c>
      <c r="U1389" s="2" t="s">
        <v>4573</v>
      </c>
      <c r="V1389" s="2" t="s">
        <v>83</v>
      </c>
      <c r="W1389" s="2" t="s">
        <v>178</v>
      </c>
      <c r="X1389" s="2">
        <v>164.29</v>
      </c>
    </row>
    <row r="1390" spans="1:24" x14ac:dyDescent="0.3">
      <c r="A1390">
        <v>19276</v>
      </c>
      <c r="B1390" t="s">
        <v>4574</v>
      </c>
      <c r="C1390" s="3">
        <v>41043</v>
      </c>
      <c r="D1390" t="s">
        <v>148</v>
      </c>
      <c r="E1390">
        <v>9</v>
      </c>
      <c r="F1390" s="3">
        <f ca="1">41045+(RANDBETWEEN(1,10))</f>
        <v>41046</v>
      </c>
      <c r="G1390" t="s">
        <v>156</v>
      </c>
      <c r="H1390" t="s">
        <v>27</v>
      </c>
      <c r="I1390" t="s">
        <v>52</v>
      </c>
      <c r="J1390">
        <v>172.79499999999999</v>
      </c>
      <c r="K1390">
        <v>0.01</v>
      </c>
      <c r="L1390">
        <v>0.36</v>
      </c>
      <c r="M1390">
        <v>1.75</v>
      </c>
      <c r="N1390">
        <v>211.68</v>
      </c>
      <c r="O1390" s="1" t="s">
        <v>40</v>
      </c>
      <c r="P1390" s="1" t="s">
        <v>4575</v>
      </c>
      <c r="Q1390" s="1" t="s">
        <v>4576</v>
      </c>
      <c r="R1390" s="1" t="s">
        <v>43</v>
      </c>
      <c r="S1390" s="1" t="s">
        <v>2055</v>
      </c>
      <c r="T1390" s="1" t="s">
        <v>2056</v>
      </c>
      <c r="U1390" s="2" t="s">
        <v>4577</v>
      </c>
      <c r="V1390" s="2" t="s">
        <v>47</v>
      </c>
      <c r="W1390" s="2" t="s">
        <v>203</v>
      </c>
      <c r="X1390" s="2">
        <v>17.184999999999999</v>
      </c>
    </row>
    <row r="1391" spans="1:24" x14ac:dyDescent="0.3">
      <c r="A1391">
        <v>19277</v>
      </c>
      <c r="B1391" t="s">
        <v>4578</v>
      </c>
      <c r="C1391" s="3">
        <v>41693</v>
      </c>
      <c r="D1391" t="s">
        <v>62</v>
      </c>
      <c r="E1391">
        <v>8</v>
      </c>
      <c r="F1391" s="3">
        <f ca="1">41695+(RANDBETWEEN(1,10))</f>
        <v>41701</v>
      </c>
      <c r="G1391" t="s">
        <v>156</v>
      </c>
      <c r="H1391" t="s">
        <v>27</v>
      </c>
      <c r="I1391" t="s">
        <v>86</v>
      </c>
      <c r="J1391">
        <v>180.46</v>
      </c>
      <c r="K1391">
        <v>0.08</v>
      </c>
      <c r="L1391">
        <v>0.36</v>
      </c>
      <c r="M1391">
        <v>23.835000000000001</v>
      </c>
      <c r="N1391">
        <v>-338.065</v>
      </c>
      <c r="O1391" s="1" t="s">
        <v>87</v>
      </c>
      <c r="P1391" s="1" t="s">
        <v>1641</v>
      </c>
      <c r="Q1391" s="1" t="s">
        <v>1642</v>
      </c>
      <c r="R1391" s="1" t="s">
        <v>497</v>
      </c>
      <c r="S1391" s="1" t="s">
        <v>1643</v>
      </c>
      <c r="T1391" s="1" t="s">
        <v>1644</v>
      </c>
      <c r="U1391" s="2" t="s">
        <v>2113</v>
      </c>
      <c r="V1391" s="2" t="s">
        <v>47</v>
      </c>
      <c r="W1391" s="2" t="s">
        <v>74</v>
      </c>
      <c r="X1391" s="2">
        <v>22.68</v>
      </c>
    </row>
    <row r="1392" spans="1:24" x14ac:dyDescent="0.3">
      <c r="A1392">
        <v>19278</v>
      </c>
      <c r="B1392" t="s">
        <v>4578</v>
      </c>
      <c r="C1392" s="3">
        <v>41693</v>
      </c>
      <c r="D1392" t="s">
        <v>62</v>
      </c>
      <c r="E1392">
        <v>6</v>
      </c>
      <c r="F1392" s="3">
        <f ca="1">41695+(RANDBETWEEN(1,10))</f>
        <v>41702</v>
      </c>
      <c r="G1392" t="s">
        <v>26</v>
      </c>
      <c r="H1392" t="s">
        <v>96</v>
      </c>
      <c r="I1392" t="s">
        <v>86</v>
      </c>
      <c r="J1392">
        <v>60.34</v>
      </c>
      <c r="K1392">
        <v>0.02</v>
      </c>
      <c r="L1392">
        <v>0.59</v>
      </c>
      <c r="M1392">
        <v>3.395</v>
      </c>
      <c r="N1392">
        <v>2.6949999999999998</v>
      </c>
      <c r="O1392" s="1" t="s">
        <v>87</v>
      </c>
      <c r="P1392" s="1" t="s">
        <v>1641</v>
      </c>
      <c r="Q1392" s="1" t="s">
        <v>1642</v>
      </c>
      <c r="R1392" s="1" t="s">
        <v>497</v>
      </c>
      <c r="S1392" s="1" t="s">
        <v>1643</v>
      </c>
      <c r="T1392" s="1" t="s">
        <v>1644</v>
      </c>
      <c r="U1392" s="2" t="s">
        <v>4579</v>
      </c>
      <c r="V1392" s="2" t="s">
        <v>47</v>
      </c>
      <c r="W1392" s="2" t="s">
        <v>104</v>
      </c>
      <c r="X1392" s="2">
        <v>9.73</v>
      </c>
    </row>
    <row r="1393" spans="1:24" x14ac:dyDescent="0.3">
      <c r="A1393">
        <v>19279</v>
      </c>
      <c r="B1393" t="s">
        <v>4580</v>
      </c>
      <c r="C1393" s="3">
        <v>40545</v>
      </c>
      <c r="D1393" t="s">
        <v>62</v>
      </c>
      <c r="E1393">
        <v>1</v>
      </c>
      <c r="F1393" s="3">
        <f ca="1">40547+(RANDBETWEEN(1,10))</f>
        <v>40549</v>
      </c>
      <c r="G1393" t="s">
        <v>26</v>
      </c>
      <c r="H1393" t="s">
        <v>27</v>
      </c>
      <c r="I1393" t="s">
        <v>52</v>
      </c>
      <c r="J1393">
        <v>145.6</v>
      </c>
      <c r="K1393">
        <v>0.06</v>
      </c>
      <c r="L1393">
        <v>0.36</v>
      </c>
      <c r="M1393">
        <v>10.465</v>
      </c>
      <c r="N1393">
        <v>-51.806579999999997</v>
      </c>
      <c r="O1393" s="1" t="s">
        <v>87</v>
      </c>
      <c r="P1393" s="1" t="s">
        <v>3357</v>
      </c>
      <c r="Q1393" s="1" t="s">
        <v>3358</v>
      </c>
      <c r="R1393" s="1" t="s">
        <v>90</v>
      </c>
      <c r="S1393" s="1" t="s">
        <v>3063</v>
      </c>
      <c r="T1393" s="1" t="s">
        <v>3064</v>
      </c>
      <c r="U1393" s="2" t="s">
        <v>180</v>
      </c>
      <c r="V1393" s="2" t="s">
        <v>47</v>
      </c>
      <c r="W1393" s="2" t="s">
        <v>111</v>
      </c>
      <c r="X1393" s="2">
        <v>143.43</v>
      </c>
    </row>
    <row r="1394" spans="1:24" x14ac:dyDescent="0.3">
      <c r="A1394">
        <v>19280</v>
      </c>
      <c r="B1394" t="s">
        <v>4581</v>
      </c>
      <c r="C1394" s="3">
        <v>41367</v>
      </c>
      <c r="D1394" t="s">
        <v>62</v>
      </c>
      <c r="E1394">
        <v>7</v>
      </c>
      <c r="F1394" s="3">
        <f ca="1">41369+(RANDBETWEEN(1,10))</f>
        <v>41375</v>
      </c>
      <c r="G1394" t="s">
        <v>26</v>
      </c>
      <c r="H1394" t="s">
        <v>96</v>
      </c>
      <c r="I1394" t="s">
        <v>52</v>
      </c>
      <c r="J1394">
        <v>116.06</v>
      </c>
      <c r="K1394">
        <v>0.1</v>
      </c>
      <c r="L1394">
        <v>0.36</v>
      </c>
      <c r="M1394">
        <v>2.8</v>
      </c>
      <c r="N1394">
        <v>80.081400000000002</v>
      </c>
      <c r="O1394" s="1" t="s">
        <v>87</v>
      </c>
      <c r="P1394" s="1" t="s">
        <v>3104</v>
      </c>
      <c r="Q1394" s="1" t="s">
        <v>3105</v>
      </c>
      <c r="R1394" s="1" t="s">
        <v>646</v>
      </c>
      <c r="S1394" s="1" t="s">
        <v>3106</v>
      </c>
      <c r="T1394" s="1" t="s">
        <v>3107</v>
      </c>
      <c r="U1394" s="2" t="s">
        <v>1416</v>
      </c>
      <c r="V1394" s="2" t="s">
        <v>47</v>
      </c>
      <c r="W1394" s="2" t="s">
        <v>74</v>
      </c>
      <c r="X1394" s="2">
        <v>17.43</v>
      </c>
    </row>
    <row r="1395" spans="1:24" x14ac:dyDescent="0.3">
      <c r="A1395">
        <v>19281</v>
      </c>
      <c r="B1395" t="s">
        <v>4582</v>
      </c>
      <c r="C1395" s="3">
        <v>41777</v>
      </c>
      <c r="D1395" t="s">
        <v>50</v>
      </c>
      <c r="E1395">
        <v>14</v>
      </c>
      <c r="F1395" s="3">
        <f ca="1">41778+(RANDBETWEEN(1,10))</f>
        <v>41787</v>
      </c>
      <c r="G1395" t="s">
        <v>76</v>
      </c>
      <c r="H1395" t="s">
        <v>77</v>
      </c>
      <c r="I1395" t="s">
        <v>97</v>
      </c>
      <c r="J1395">
        <v>1322.4749999999999</v>
      </c>
      <c r="K1395">
        <v>0.05</v>
      </c>
      <c r="L1395">
        <v>0.6</v>
      </c>
      <c r="M1395">
        <v>50.26</v>
      </c>
      <c r="N1395">
        <v>16.254000000000001</v>
      </c>
      <c r="O1395" s="1" t="s">
        <v>87</v>
      </c>
      <c r="P1395" s="1" t="s">
        <v>4538</v>
      </c>
      <c r="Q1395" s="1" t="s">
        <v>4539</v>
      </c>
      <c r="R1395" s="1" t="s">
        <v>646</v>
      </c>
      <c r="S1395" s="1" t="s">
        <v>4444</v>
      </c>
      <c r="T1395" s="1" t="s">
        <v>4445</v>
      </c>
      <c r="U1395" s="2" t="s">
        <v>4583</v>
      </c>
      <c r="V1395" s="2" t="s">
        <v>83</v>
      </c>
      <c r="W1395" s="2" t="s">
        <v>84</v>
      </c>
      <c r="X1395" s="2">
        <v>90.93</v>
      </c>
    </row>
    <row r="1396" spans="1:24" x14ac:dyDescent="0.3">
      <c r="A1396">
        <v>19282</v>
      </c>
      <c r="B1396" t="s">
        <v>4584</v>
      </c>
      <c r="C1396" s="3">
        <v>41614</v>
      </c>
      <c r="D1396" t="s">
        <v>25</v>
      </c>
      <c r="E1396">
        <v>9</v>
      </c>
      <c r="F1396" s="3">
        <f ca="1">41616+(RANDBETWEEN(1,10))</f>
        <v>41617</v>
      </c>
      <c r="G1396" t="s">
        <v>26</v>
      </c>
      <c r="H1396" t="s">
        <v>63</v>
      </c>
      <c r="I1396" t="s">
        <v>52</v>
      </c>
      <c r="J1396">
        <v>3032.9250000000002</v>
      </c>
      <c r="K1396">
        <v>0.09</v>
      </c>
      <c r="L1396" t="s">
        <v>182</v>
      </c>
      <c r="M1396">
        <v>122.5</v>
      </c>
      <c r="N1396">
        <v>-884.95749999999998</v>
      </c>
      <c r="O1396" s="1" t="s">
        <v>64</v>
      </c>
      <c r="P1396" s="1" t="s">
        <v>2937</v>
      </c>
      <c r="Q1396" s="1" t="s">
        <v>2938</v>
      </c>
      <c r="R1396" s="1" t="s">
        <v>67</v>
      </c>
      <c r="S1396" s="1" t="s">
        <v>2939</v>
      </c>
      <c r="T1396" s="1" t="s">
        <v>2940</v>
      </c>
      <c r="U1396" s="2" t="s">
        <v>186</v>
      </c>
      <c r="V1396" s="2" t="s">
        <v>47</v>
      </c>
      <c r="W1396" s="2" t="s">
        <v>119</v>
      </c>
      <c r="X1396" s="2">
        <v>335.96499999999997</v>
      </c>
    </row>
    <row r="1397" spans="1:24" x14ac:dyDescent="0.3">
      <c r="A1397">
        <v>19283</v>
      </c>
      <c r="B1397" t="s">
        <v>4584</v>
      </c>
      <c r="C1397" s="3">
        <v>41614</v>
      </c>
      <c r="D1397" t="s">
        <v>25</v>
      </c>
      <c r="E1397">
        <v>16</v>
      </c>
      <c r="F1397" s="3">
        <f ca="1">41614+(RANDBETWEEN(1,10))</f>
        <v>41624</v>
      </c>
      <c r="G1397" t="s">
        <v>26</v>
      </c>
      <c r="H1397" t="s">
        <v>27</v>
      </c>
      <c r="I1397" t="s">
        <v>52</v>
      </c>
      <c r="J1397">
        <v>6229.8249999999998</v>
      </c>
      <c r="K1397">
        <v>0.02</v>
      </c>
      <c r="L1397">
        <v>0.55000000000000004</v>
      </c>
      <c r="M1397">
        <v>31.465</v>
      </c>
      <c r="N1397">
        <v>4298.5792499999998</v>
      </c>
      <c r="O1397" s="1" t="s">
        <v>64</v>
      </c>
      <c r="P1397" s="1" t="s">
        <v>2937</v>
      </c>
      <c r="Q1397" s="1" t="s">
        <v>2938</v>
      </c>
      <c r="R1397" s="1" t="s">
        <v>67</v>
      </c>
      <c r="S1397" s="1" t="s">
        <v>2939</v>
      </c>
      <c r="T1397" s="1" t="s">
        <v>2940</v>
      </c>
      <c r="U1397" s="2" t="s">
        <v>187</v>
      </c>
      <c r="V1397" s="2" t="s">
        <v>36</v>
      </c>
      <c r="W1397" s="2" t="s">
        <v>37</v>
      </c>
      <c r="X1397" s="2">
        <v>440.96499999999997</v>
      </c>
    </row>
    <row r="1398" spans="1:24" x14ac:dyDescent="0.3">
      <c r="A1398">
        <v>19284</v>
      </c>
      <c r="B1398" t="s">
        <v>4585</v>
      </c>
      <c r="C1398" s="3">
        <v>41860</v>
      </c>
      <c r="D1398" t="s">
        <v>25</v>
      </c>
      <c r="E1398">
        <v>16</v>
      </c>
      <c r="F1398" s="3">
        <f ca="1">41869+(RANDBETWEEN(1,10))</f>
        <v>41875</v>
      </c>
      <c r="G1398" t="s">
        <v>26</v>
      </c>
      <c r="H1398" t="s">
        <v>27</v>
      </c>
      <c r="I1398" t="s">
        <v>28</v>
      </c>
      <c r="J1398">
        <v>237.02</v>
      </c>
      <c r="K1398">
        <v>0.01</v>
      </c>
      <c r="L1398">
        <v>0.59</v>
      </c>
      <c r="M1398">
        <v>17.954999999999998</v>
      </c>
      <c r="N1398">
        <v>-160.24232000000001</v>
      </c>
      <c r="O1398" s="1" t="s">
        <v>53</v>
      </c>
      <c r="P1398" s="1" t="s">
        <v>4558</v>
      </c>
      <c r="Q1398" s="1" t="s">
        <v>4559</v>
      </c>
      <c r="R1398" s="1" t="s">
        <v>440</v>
      </c>
      <c r="S1398" s="1" t="s">
        <v>4560</v>
      </c>
      <c r="T1398" s="1" t="s">
        <v>4561</v>
      </c>
      <c r="U1398" s="2" t="s">
        <v>1645</v>
      </c>
      <c r="V1398" s="2" t="s">
        <v>47</v>
      </c>
      <c r="W1398" s="2" t="s">
        <v>71</v>
      </c>
      <c r="X1398" s="2">
        <v>13.824999999999999</v>
      </c>
    </row>
    <row r="1399" spans="1:24" x14ac:dyDescent="0.3">
      <c r="A1399">
        <v>19285</v>
      </c>
      <c r="B1399" t="s">
        <v>4586</v>
      </c>
      <c r="C1399" s="3">
        <v>41943</v>
      </c>
      <c r="D1399" t="s">
        <v>62</v>
      </c>
      <c r="E1399">
        <v>7</v>
      </c>
      <c r="F1399" s="3">
        <f ca="1">41944+(RANDBETWEEN(1,10))</f>
        <v>41946</v>
      </c>
      <c r="G1399" t="s">
        <v>76</v>
      </c>
      <c r="H1399" t="s">
        <v>258</v>
      </c>
      <c r="I1399" t="s">
        <v>28</v>
      </c>
      <c r="J1399">
        <v>3271.59</v>
      </c>
      <c r="K1399">
        <v>0.1</v>
      </c>
      <c r="L1399">
        <v>0.65</v>
      </c>
      <c r="M1399">
        <v>187.18</v>
      </c>
      <c r="N1399">
        <v>-1513.89</v>
      </c>
      <c r="O1399" s="1" t="s">
        <v>40</v>
      </c>
      <c r="P1399" s="1" t="s">
        <v>4007</v>
      </c>
      <c r="Q1399" s="1" t="s">
        <v>4008</v>
      </c>
      <c r="R1399" s="1" t="s">
        <v>43</v>
      </c>
      <c r="S1399" s="1" t="s">
        <v>4009</v>
      </c>
      <c r="T1399" s="1" t="s">
        <v>4010</v>
      </c>
      <c r="U1399" s="2" t="s">
        <v>3123</v>
      </c>
      <c r="V1399" s="2" t="s">
        <v>83</v>
      </c>
      <c r="W1399" s="2" t="s">
        <v>298</v>
      </c>
      <c r="X1399" s="2">
        <v>493.43</v>
      </c>
    </row>
    <row r="1400" spans="1:24" x14ac:dyDescent="0.3">
      <c r="A1400">
        <v>19286</v>
      </c>
      <c r="B1400" t="s">
        <v>4586</v>
      </c>
      <c r="C1400" s="3">
        <v>41943</v>
      </c>
      <c r="D1400" t="s">
        <v>62</v>
      </c>
      <c r="E1400">
        <v>1</v>
      </c>
      <c r="F1400" s="3">
        <f ca="1">41945+(RANDBETWEEN(1,10))</f>
        <v>41954</v>
      </c>
      <c r="G1400" t="s">
        <v>26</v>
      </c>
      <c r="H1400" t="s">
        <v>281</v>
      </c>
      <c r="I1400" t="s">
        <v>28</v>
      </c>
      <c r="J1400">
        <v>590.79999999999995</v>
      </c>
      <c r="K1400">
        <v>0.1</v>
      </c>
      <c r="L1400">
        <v>0.64</v>
      </c>
      <c r="M1400">
        <v>69.965000000000003</v>
      </c>
      <c r="N1400">
        <v>-737.74225000000001</v>
      </c>
      <c r="O1400" s="1" t="s">
        <v>40</v>
      </c>
      <c r="P1400" s="1" t="s">
        <v>4007</v>
      </c>
      <c r="Q1400" s="1" t="s">
        <v>4008</v>
      </c>
      <c r="R1400" s="1" t="s">
        <v>43</v>
      </c>
      <c r="S1400" s="1" t="s">
        <v>4009</v>
      </c>
      <c r="T1400" s="1" t="s">
        <v>4010</v>
      </c>
      <c r="U1400" s="2" t="s">
        <v>2775</v>
      </c>
      <c r="V1400" s="2" t="s">
        <v>83</v>
      </c>
      <c r="W1400" s="2" t="s">
        <v>178</v>
      </c>
      <c r="X1400" s="2">
        <v>605.46500000000003</v>
      </c>
    </row>
    <row r="1401" spans="1:24" x14ac:dyDescent="0.3">
      <c r="A1401">
        <v>19287</v>
      </c>
      <c r="B1401" t="s">
        <v>4587</v>
      </c>
      <c r="C1401" s="3">
        <v>40618</v>
      </c>
      <c r="D1401" t="s">
        <v>50</v>
      </c>
      <c r="E1401">
        <v>3</v>
      </c>
      <c r="F1401" s="3">
        <f ca="1">40620+(RANDBETWEEN(1,10))</f>
        <v>40628</v>
      </c>
      <c r="G1401" t="s">
        <v>26</v>
      </c>
      <c r="H1401" t="s">
        <v>96</v>
      </c>
      <c r="I1401" t="s">
        <v>28</v>
      </c>
      <c r="J1401">
        <v>78.680000000000007</v>
      </c>
      <c r="K1401">
        <v>7.0000000000000007E-2</v>
      </c>
      <c r="L1401">
        <v>0.42</v>
      </c>
      <c r="M1401">
        <v>14</v>
      </c>
      <c r="N1401">
        <v>-584.66800000000001</v>
      </c>
      <c r="O1401" s="1" t="s">
        <v>29</v>
      </c>
      <c r="P1401" s="1" t="s">
        <v>1920</v>
      </c>
      <c r="Q1401" s="1" t="s">
        <v>1921</v>
      </c>
      <c r="R1401" s="1" t="s">
        <v>675</v>
      </c>
      <c r="S1401" s="1" t="s">
        <v>1922</v>
      </c>
      <c r="T1401" s="1" t="s">
        <v>1923</v>
      </c>
      <c r="U1401" s="2" t="s">
        <v>2801</v>
      </c>
      <c r="V1401" s="2" t="s">
        <v>83</v>
      </c>
      <c r="W1401" s="2" t="s">
        <v>178</v>
      </c>
      <c r="X1401" s="2">
        <v>26.565000000000001</v>
      </c>
    </row>
    <row r="1402" spans="1:24" x14ac:dyDescent="0.3">
      <c r="A1402">
        <v>19288</v>
      </c>
      <c r="B1402" t="s">
        <v>4588</v>
      </c>
      <c r="C1402" s="3">
        <v>41764</v>
      </c>
      <c r="D1402" t="s">
        <v>62</v>
      </c>
      <c r="E1402">
        <v>4</v>
      </c>
      <c r="F1402" s="3">
        <f ca="1">41766+(RANDBETWEEN(1,10))</f>
        <v>41767</v>
      </c>
      <c r="G1402" t="s">
        <v>26</v>
      </c>
      <c r="H1402" t="s">
        <v>27</v>
      </c>
      <c r="I1402" t="s">
        <v>97</v>
      </c>
      <c r="J1402">
        <v>1998.115</v>
      </c>
      <c r="K1402">
        <v>0.1</v>
      </c>
      <c r="L1402">
        <v>0.79</v>
      </c>
      <c r="M1402">
        <v>14</v>
      </c>
      <c r="N1402">
        <v>-1367.6949999999999</v>
      </c>
      <c r="O1402" s="1" t="s">
        <v>87</v>
      </c>
      <c r="P1402" s="1" t="s">
        <v>4589</v>
      </c>
      <c r="Q1402" s="1" t="s">
        <v>4590</v>
      </c>
      <c r="R1402" s="1" t="s">
        <v>90</v>
      </c>
      <c r="S1402" s="1" t="s">
        <v>4299</v>
      </c>
      <c r="T1402" s="1" t="s">
        <v>4591</v>
      </c>
      <c r="U1402" s="2" t="s">
        <v>192</v>
      </c>
      <c r="V1402" s="2" t="s">
        <v>36</v>
      </c>
      <c r="W1402" s="2" t="s">
        <v>60</v>
      </c>
      <c r="X1402" s="2">
        <v>533.67999999999995</v>
      </c>
    </row>
    <row r="1403" spans="1:24" x14ac:dyDescent="0.3">
      <c r="A1403">
        <v>19289</v>
      </c>
      <c r="B1403" t="s">
        <v>4592</v>
      </c>
      <c r="C1403" s="3">
        <v>41441</v>
      </c>
      <c r="D1403" t="s">
        <v>62</v>
      </c>
      <c r="E1403">
        <v>7</v>
      </c>
      <c r="F1403" s="3">
        <f ca="1">41444+(RANDBETWEEN(1,10))</f>
        <v>41447</v>
      </c>
      <c r="G1403" t="s">
        <v>26</v>
      </c>
      <c r="H1403" t="s">
        <v>27</v>
      </c>
      <c r="I1403" t="s">
        <v>97</v>
      </c>
      <c r="J1403">
        <v>77.7</v>
      </c>
      <c r="K1403">
        <v>0.05</v>
      </c>
      <c r="L1403">
        <v>0.37</v>
      </c>
      <c r="M1403">
        <v>1.7150000000000001</v>
      </c>
      <c r="N1403">
        <v>53.613</v>
      </c>
      <c r="O1403" s="1" t="s">
        <v>87</v>
      </c>
      <c r="P1403" s="1" t="s">
        <v>4593</v>
      </c>
      <c r="Q1403" s="1" t="s">
        <v>4594</v>
      </c>
      <c r="R1403" s="1" t="s">
        <v>497</v>
      </c>
      <c r="S1403" s="1" t="s">
        <v>4595</v>
      </c>
      <c r="T1403" s="1" t="s">
        <v>4596</v>
      </c>
      <c r="U1403" s="2" t="s">
        <v>2455</v>
      </c>
      <c r="V1403" s="2" t="s">
        <v>47</v>
      </c>
      <c r="W1403" s="2" t="s">
        <v>203</v>
      </c>
      <c r="X1403" s="2">
        <v>11.025</v>
      </c>
    </row>
    <row r="1404" spans="1:24" x14ac:dyDescent="0.3">
      <c r="A1404">
        <v>19290</v>
      </c>
      <c r="B1404" t="s">
        <v>4597</v>
      </c>
      <c r="C1404" s="3">
        <v>41923</v>
      </c>
      <c r="D1404" t="s">
        <v>50</v>
      </c>
      <c r="E1404">
        <v>2</v>
      </c>
      <c r="F1404" s="3">
        <f ca="1">41925+(RANDBETWEEN(1,10))</f>
        <v>41928</v>
      </c>
      <c r="G1404" t="s">
        <v>26</v>
      </c>
      <c r="H1404" t="s">
        <v>27</v>
      </c>
      <c r="I1404" t="s">
        <v>28</v>
      </c>
      <c r="J1404">
        <v>74.55</v>
      </c>
      <c r="K1404">
        <v>0.1</v>
      </c>
      <c r="L1404">
        <v>0.4</v>
      </c>
      <c r="M1404">
        <v>31.29</v>
      </c>
      <c r="N1404">
        <v>1748.4956999999999</v>
      </c>
      <c r="O1404" s="1" t="s">
        <v>29</v>
      </c>
      <c r="P1404" s="1" t="s">
        <v>3544</v>
      </c>
      <c r="Q1404" s="1" t="s">
        <v>3545</v>
      </c>
      <c r="R1404" s="1" t="s">
        <v>460</v>
      </c>
      <c r="S1404" s="1" t="s">
        <v>3546</v>
      </c>
      <c r="T1404" s="1" t="s">
        <v>3547</v>
      </c>
      <c r="U1404" s="2" t="s">
        <v>2966</v>
      </c>
      <c r="V1404" s="2" t="s">
        <v>47</v>
      </c>
      <c r="W1404" s="2" t="s">
        <v>111</v>
      </c>
      <c r="X1404" s="2">
        <v>28.14</v>
      </c>
    </row>
    <row r="1405" spans="1:24" x14ac:dyDescent="0.3">
      <c r="A1405">
        <v>19291</v>
      </c>
      <c r="B1405" t="s">
        <v>4597</v>
      </c>
      <c r="C1405" s="3">
        <v>41923</v>
      </c>
      <c r="D1405" t="s">
        <v>50</v>
      </c>
      <c r="E1405">
        <v>18</v>
      </c>
      <c r="F1405" s="3">
        <f ca="1">41924+(RANDBETWEEN(1,10))</f>
        <v>41928</v>
      </c>
      <c r="G1405" t="s">
        <v>26</v>
      </c>
      <c r="H1405" t="s">
        <v>27</v>
      </c>
      <c r="I1405" t="s">
        <v>28</v>
      </c>
      <c r="J1405">
        <v>1044.7149999999999</v>
      </c>
      <c r="K1405">
        <v>0.03</v>
      </c>
      <c r="L1405">
        <v>0.37</v>
      </c>
      <c r="M1405">
        <v>10.465</v>
      </c>
      <c r="N1405">
        <v>20007.690149999999</v>
      </c>
      <c r="O1405" s="1" t="s">
        <v>29</v>
      </c>
      <c r="P1405" s="1" t="s">
        <v>3544</v>
      </c>
      <c r="Q1405" s="1" t="s">
        <v>3545</v>
      </c>
      <c r="R1405" s="1" t="s">
        <v>460</v>
      </c>
      <c r="S1405" s="1" t="s">
        <v>3546</v>
      </c>
      <c r="T1405" s="1" t="s">
        <v>3547</v>
      </c>
      <c r="U1405" s="2" t="s">
        <v>3285</v>
      </c>
      <c r="V1405" s="2" t="s">
        <v>47</v>
      </c>
      <c r="W1405" s="2" t="s">
        <v>111</v>
      </c>
      <c r="X1405" s="2">
        <v>57.784999999999997</v>
      </c>
    </row>
    <row r="1406" spans="1:24" x14ac:dyDescent="0.3">
      <c r="A1406">
        <v>19292</v>
      </c>
      <c r="B1406" t="s">
        <v>4597</v>
      </c>
      <c r="C1406" s="3">
        <v>41923</v>
      </c>
      <c r="D1406" t="s">
        <v>50</v>
      </c>
      <c r="E1406">
        <v>16</v>
      </c>
      <c r="F1406" s="3">
        <f ca="1">41925+(RANDBETWEEN(1,10))</f>
        <v>41931</v>
      </c>
      <c r="G1406" t="s">
        <v>26</v>
      </c>
      <c r="H1406" t="s">
        <v>27</v>
      </c>
      <c r="I1406" t="s">
        <v>28</v>
      </c>
      <c r="J1406">
        <v>907.62</v>
      </c>
      <c r="K1406">
        <v>0.04</v>
      </c>
      <c r="L1406">
        <v>0.59</v>
      </c>
      <c r="M1406">
        <v>62.23</v>
      </c>
      <c r="N1406">
        <v>3929.6460000000002</v>
      </c>
      <c r="O1406" s="1" t="s">
        <v>29</v>
      </c>
      <c r="P1406" s="1" t="s">
        <v>3544</v>
      </c>
      <c r="Q1406" s="1" t="s">
        <v>3545</v>
      </c>
      <c r="R1406" s="1" t="s">
        <v>460</v>
      </c>
      <c r="S1406" s="1" t="s">
        <v>3546</v>
      </c>
      <c r="T1406" s="1" t="s">
        <v>3547</v>
      </c>
      <c r="U1406" s="2" t="s">
        <v>4598</v>
      </c>
      <c r="V1406" s="2" t="s">
        <v>47</v>
      </c>
      <c r="W1406" s="2" t="s">
        <v>119</v>
      </c>
      <c r="X1406" s="2">
        <v>54.284999999999997</v>
      </c>
    </row>
    <row r="1407" spans="1:24" x14ac:dyDescent="0.3">
      <c r="A1407">
        <v>19293</v>
      </c>
      <c r="B1407" t="s">
        <v>4599</v>
      </c>
      <c r="C1407" s="3">
        <v>40688</v>
      </c>
      <c r="D1407" t="s">
        <v>50</v>
      </c>
      <c r="E1407">
        <v>4</v>
      </c>
      <c r="F1407" s="3">
        <f ca="1">40690+(RANDBETWEEN(1,10))</f>
        <v>40692</v>
      </c>
      <c r="G1407" t="s">
        <v>156</v>
      </c>
      <c r="H1407" t="s">
        <v>27</v>
      </c>
      <c r="I1407" t="s">
        <v>28</v>
      </c>
      <c r="J1407">
        <v>231.07</v>
      </c>
      <c r="K1407">
        <v>0.08</v>
      </c>
      <c r="L1407">
        <v>0.37</v>
      </c>
      <c r="M1407">
        <v>46.13</v>
      </c>
      <c r="N1407">
        <v>-233.04750000000001</v>
      </c>
      <c r="O1407" s="1" t="s">
        <v>87</v>
      </c>
      <c r="P1407" s="1" t="s">
        <v>396</v>
      </c>
      <c r="Q1407" s="1" t="s">
        <v>397</v>
      </c>
      <c r="R1407" s="1" t="s">
        <v>398</v>
      </c>
      <c r="S1407" s="1" t="s">
        <v>399</v>
      </c>
      <c r="T1407" s="1" t="s">
        <v>400</v>
      </c>
      <c r="U1407" s="2" t="s">
        <v>197</v>
      </c>
      <c r="V1407" s="2" t="s">
        <v>47</v>
      </c>
      <c r="W1407" s="2" t="s">
        <v>111</v>
      </c>
      <c r="X1407" s="2">
        <v>55.965000000000003</v>
      </c>
    </row>
    <row r="1408" spans="1:24" x14ac:dyDescent="0.3">
      <c r="A1408">
        <v>19294</v>
      </c>
      <c r="B1408" t="s">
        <v>4600</v>
      </c>
      <c r="C1408" s="3">
        <v>40630</v>
      </c>
      <c r="D1408" t="s">
        <v>39</v>
      </c>
      <c r="E1408">
        <v>12</v>
      </c>
      <c r="F1408" s="3">
        <f ca="1">40631+(RANDBETWEEN(1,10))</f>
        <v>40641</v>
      </c>
      <c r="G1408" t="s">
        <v>26</v>
      </c>
      <c r="H1408" t="s">
        <v>51</v>
      </c>
      <c r="I1408" t="s">
        <v>28</v>
      </c>
      <c r="J1408">
        <v>457.59</v>
      </c>
      <c r="K1408">
        <v>0.04</v>
      </c>
      <c r="L1408">
        <v>0.51</v>
      </c>
      <c r="M1408">
        <v>18.899999999999999</v>
      </c>
      <c r="N1408">
        <v>104.93</v>
      </c>
      <c r="O1408" s="1" t="s">
        <v>87</v>
      </c>
      <c r="P1408" s="1" t="s">
        <v>2471</v>
      </c>
      <c r="Q1408" s="1" t="s">
        <v>2472</v>
      </c>
      <c r="R1408" s="1" t="s">
        <v>646</v>
      </c>
      <c r="S1408" s="1" t="s">
        <v>2473</v>
      </c>
      <c r="T1408" s="1" t="s">
        <v>2474</v>
      </c>
      <c r="U1408" s="2" t="s">
        <v>4601</v>
      </c>
      <c r="V1408" s="2" t="s">
        <v>83</v>
      </c>
      <c r="W1408" s="2" t="s">
        <v>178</v>
      </c>
      <c r="X1408" s="2">
        <v>36.4</v>
      </c>
    </row>
    <row r="1409" spans="1:24" x14ac:dyDescent="0.3">
      <c r="A1409">
        <v>19295</v>
      </c>
      <c r="B1409" t="s">
        <v>4600</v>
      </c>
      <c r="C1409" s="3">
        <v>40630</v>
      </c>
      <c r="D1409" t="s">
        <v>39</v>
      </c>
      <c r="E1409">
        <v>12</v>
      </c>
      <c r="F1409" s="3">
        <f ca="1">40632+(RANDBETWEEN(1,10))</f>
        <v>40636</v>
      </c>
      <c r="G1409" t="s">
        <v>26</v>
      </c>
      <c r="H1409" t="s">
        <v>27</v>
      </c>
      <c r="I1409" t="s">
        <v>28</v>
      </c>
      <c r="J1409">
        <v>174.54499999999999</v>
      </c>
      <c r="K1409">
        <v>0.08</v>
      </c>
      <c r="L1409">
        <v>0.4</v>
      </c>
      <c r="M1409">
        <v>16.765000000000001</v>
      </c>
      <c r="N1409">
        <v>-424.2</v>
      </c>
      <c r="O1409" s="1" t="s">
        <v>87</v>
      </c>
      <c r="P1409" s="1" t="s">
        <v>2471</v>
      </c>
      <c r="Q1409" s="1" t="s">
        <v>2472</v>
      </c>
      <c r="R1409" s="1" t="s">
        <v>646</v>
      </c>
      <c r="S1409" s="1" t="s">
        <v>2473</v>
      </c>
      <c r="T1409" s="1" t="s">
        <v>2474</v>
      </c>
      <c r="U1409" s="2" t="s">
        <v>4602</v>
      </c>
      <c r="V1409" s="2" t="s">
        <v>47</v>
      </c>
      <c r="W1409" s="2" t="s">
        <v>74</v>
      </c>
      <c r="X1409" s="2">
        <v>14.98</v>
      </c>
    </row>
    <row r="1410" spans="1:24" x14ac:dyDescent="0.3">
      <c r="A1410">
        <v>19296</v>
      </c>
      <c r="B1410" t="s">
        <v>4603</v>
      </c>
      <c r="C1410" s="3">
        <v>41968</v>
      </c>
      <c r="D1410" t="s">
        <v>148</v>
      </c>
      <c r="E1410">
        <v>15</v>
      </c>
      <c r="F1410" s="3">
        <f ca="1">41970+(RANDBETWEEN(1,10))</f>
        <v>41972</v>
      </c>
      <c r="G1410" t="s">
        <v>26</v>
      </c>
      <c r="H1410" t="s">
        <v>27</v>
      </c>
      <c r="I1410" t="s">
        <v>86</v>
      </c>
      <c r="J1410">
        <v>6036.87</v>
      </c>
      <c r="K1410">
        <v>0.05</v>
      </c>
      <c r="L1410">
        <v>0.59</v>
      </c>
      <c r="M1410">
        <v>14.7</v>
      </c>
      <c r="N1410">
        <v>848.18764799999997</v>
      </c>
      <c r="O1410" s="1" t="s">
        <v>40</v>
      </c>
      <c r="P1410" s="1" t="s">
        <v>1556</v>
      </c>
      <c r="Q1410" s="1" t="s">
        <v>1557</v>
      </c>
      <c r="R1410" s="1" t="s">
        <v>220</v>
      </c>
      <c r="S1410" s="1" t="s">
        <v>1558</v>
      </c>
      <c r="T1410" s="1" t="s">
        <v>1559</v>
      </c>
      <c r="U1410" s="2">
        <v>7160</v>
      </c>
      <c r="V1410" s="2" t="s">
        <v>36</v>
      </c>
      <c r="W1410" s="2" t="s">
        <v>37</v>
      </c>
      <c r="X1410" s="2">
        <v>493.46499999999997</v>
      </c>
    </row>
    <row r="1411" spans="1:24" x14ac:dyDescent="0.3">
      <c r="A1411">
        <v>19297</v>
      </c>
      <c r="B1411" t="s">
        <v>4604</v>
      </c>
      <c r="C1411" s="3">
        <v>41797</v>
      </c>
      <c r="D1411" t="s">
        <v>39</v>
      </c>
      <c r="E1411">
        <v>1</v>
      </c>
      <c r="F1411" s="3">
        <f ca="1">41799+(RANDBETWEEN(1,10))</f>
        <v>41801</v>
      </c>
      <c r="G1411" t="s">
        <v>26</v>
      </c>
      <c r="H1411" t="s">
        <v>27</v>
      </c>
      <c r="I1411" t="s">
        <v>97</v>
      </c>
      <c r="J1411">
        <v>553.91</v>
      </c>
      <c r="K1411">
        <v>0.03</v>
      </c>
      <c r="L1411">
        <v>0.79</v>
      </c>
      <c r="M1411">
        <v>14</v>
      </c>
      <c r="N1411">
        <v>-1518.4960000000001</v>
      </c>
      <c r="O1411" s="1" t="s">
        <v>225</v>
      </c>
      <c r="P1411" s="1" t="s">
        <v>1792</v>
      </c>
      <c r="Q1411" s="1" t="s">
        <v>1793</v>
      </c>
      <c r="R1411" s="1" t="s">
        <v>228</v>
      </c>
      <c r="S1411" s="1" t="s">
        <v>1794</v>
      </c>
      <c r="T1411" s="1" t="s">
        <v>548</v>
      </c>
      <c r="U1411" s="2" t="s">
        <v>192</v>
      </c>
      <c r="V1411" s="2" t="s">
        <v>36</v>
      </c>
      <c r="W1411" s="2" t="s">
        <v>60</v>
      </c>
      <c r="X1411" s="2">
        <v>533.67999999999995</v>
      </c>
    </row>
    <row r="1412" spans="1:24" x14ac:dyDescent="0.3">
      <c r="A1412">
        <v>19298</v>
      </c>
      <c r="B1412" t="s">
        <v>4604</v>
      </c>
      <c r="C1412" s="3">
        <v>41797</v>
      </c>
      <c r="D1412" t="s">
        <v>39</v>
      </c>
      <c r="E1412">
        <v>2</v>
      </c>
      <c r="F1412" s="3">
        <f ca="1">41800+(RANDBETWEEN(1,10))</f>
        <v>41801</v>
      </c>
      <c r="G1412" t="s">
        <v>26</v>
      </c>
      <c r="H1412" t="s">
        <v>27</v>
      </c>
      <c r="I1412" t="s">
        <v>97</v>
      </c>
      <c r="J1412">
        <v>217.56</v>
      </c>
      <c r="K1412">
        <v>0.1</v>
      </c>
      <c r="L1412">
        <v>0.75</v>
      </c>
      <c r="M1412">
        <v>19.25</v>
      </c>
      <c r="N1412">
        <v>-357.56</v>
      </c>
      <c r="O1412" s="1" t="s">
        <v>225</v>
      </c>
      <c r="P1412" s="1" t="s">
        <v>1792</v>
      </c>
      <c r="Q1412" s="1" t="s">
        <v>1793</v>
      </c>
      <c r="R1412" s="1" t="s">
        <v>228</v>
      </c>
      <c r="S1412" s="1" t="s">
        <v>1794</v>
      </c>
      <c r="T1412" s="1" t="s">
        <v>548</v>
      </c>
      <c r="U1412" s="2" t="s">
        <v>2960</v>
      </c>
      <c r="V1412" s="2" t="s">
        <v>36</v>
      </c>
      <c r="W1412" s="2" t="s">
        <v>60</v>
      </c>
      <c r="X1412" s="2">
        <v>115.43</v>
      </c>
    </row>
    <row r="1413" spans="1:24" x14ac:dyDescent="0.3">
      <c r="A1413">
        <v>19299</v>
      </c>
      <c r="B1413" t="s">
        <v>4605</v>
      </c>
      <c r="C1413" s="3">
        <v>41919</v>
      </c>
      <c r="D1413" t="s">
        <v>50</v>
      </c>
      <c r="E1413">
        <v>19</v>
      </c>
      <c r="F1413" s="3">
        <f ca="1">41920+(RANDBETWEEN(1,10))</f>
        <v>41924</v>
      </c>
      <c r="G1413" t="s">
        <v>76</v>
      </c>
      <c r="H1413" t="s">
        <v>77</v>
      </c>
      <c r="I1413" t="s">
        <v>97</v>
      </c>
      <c r="J1413">
        <v>22491.455000000002</v>
      </c>
      <c r="K1413">
        <v>0.02</v>
      </c>
      <c r="L1413">
        <v>0.56999999999999995</v>
      </c>
      <c r="M1413">
        <v>206.32499999999999</v>
      </c>
      <c r="N1413">
        <v>9888.0249999999996</v>
      </c>
      <c r="O1413" s="1" t="s">
        <v>40</v>
      </c>
      <c r="P1413" s="1" t="s">
        <v>3386</v>
      </c>
      <c r="Q1413" s="1" t="s">
        <v>3387</v>
      </c>
      <c r="R1413" s="1" t="s">
        <v>43</v>
      </c>
      <c r="S1413" s="1" t="s">
        <v>3388</v>
      </c>
      <c r="T1413" s="1" t="s">
        <v>3389</v>
      </c>
      <c r="U1413" s="2" t="s">
        <v>850</v>
      </c>
      <c r="V1413" s="2" t="s">
        <v>83</v>
      </c>
      <c r="W1413" s="2" t="s">
        <v>84</v>
      </c>
      <c r="X1413" s="2">
        <v>1123.43</v>
      </c>
    </row>
    <row r="1414" spans="1:24" x14ac:dyDescent="0.3">
      <c r="A1414">
        <v>19300</v>
      </c>
      <c r="B1414" t="s">
        <v>4605</v>
      </c>
      <c r="C1414" s="3">
        <v>41919</v>
      </c>
      <c r="D1414" t="s">
        <v>50</v>
      </c>
      <c r="E1414">
        <v>3</v>
      </c>
      <c r="F1414" s="3">
        <f ca="1">41920+(RANDBETWEEN(1,10))</f>
        <v>41921</v>
      </c>
      <c r="G1414" t="s">
        <v>156</v>
      </c>
      <c r="H1414" t="s">
        <v>27</v>
      </c>
      <c r="I1414" t="s">
        <v>97</v>
      </c>
      <c r="J1414">
        <v>212.55500000000001</v>
      </c>
      <c r="K1414">
        <v>0.1</v>
      </c>
      <c r="L1414">
        <v>0.37</v>
      </c>
      <c r="M1414">
        <v>18.234999999999999</v>
      </c>
      <c r="N1414">
        <v>7.4550000000000001</v>
      </c>
      <c r="O1414" s="1" t="s">
        <v>40</v>
      </c>
      <c r="P1414" s="1" t="s">
        <v>3386</v>
      </c>
      <c r="Q1414" s="1" t="s">
        <v>3387</v>
      </c>
      <c r="R1414" s="1" t="s">
        <v>43</v>
      </c>
      <c r="S1414" s="1" t="s">
        <v>3388</v>
      </c>
      <c r="T1414" s="1" t="s">
        <v>3389</v>
      </c>
      <c r="U1414" s="2" t="s">
        <v>4606</v>
      </c>
      <c r="V1414" s="2" t="s">
        <v>47</v>
      </c>
      <c r="W1414" s="2" t="s">
        <v>74</v>
      </c>
      <c r="X1414" s="2">
        <v>66.394999999999996</v>
      </c>
    </row>
    <row r="1415" spans="1:24" x14ac:dyDescent="0.3">
      <c r="A1415">
        <v>19301</v>
      </c>
      <c r="B1415" t="s">
        <v>4605</v>
      </c>
      <c r="C1415" s="3">
        <v>41919</v>
      </c>
      <c r="D1415" t="s">
        <v>50</v>
      </c>
      <c r="E1415">
        <v>17</v>
      </c>
      <c r="F1415" s="3">
        <f ca="1">41919+(RANDBETWEEN(1,10))</f>
        <v>41925</v>
      </c>
      <c r="G1415" t="s">
        <v>26</v>
      </c>
      <c r="H1415" t="s">
        <v>27</v>
      </c>
      <c r="I1415" t="s">
        <v>97</v>
      </c>
      <c r="J1415">
        <v>2948.2950000000001</v>
      </c>
      <c r="K1415">
        <v>0.02</v>
      </c>
      <c r="L1415">
        <v>0.38</v>
      </c>
      <c r="M1415">
        <v>20.335000000000001</v>
      </c>
      <c r="N1415">
        <v>2034.3235500000001</v>
      </c>
      <c r="O1415" s="1" t="s">
        <v>40</v>
      </c>
      <c r="P1415" s="1" t="s">
        <v>3386</v>
      </c>
      <c r="Q1415" s="1" t="s">
        <v>3387</v>
      </c>
      <c r="R1415" s="1" t="s">
        <v>43</v>
      </c>
      <c r="S1415" s="1" t="s">
        <v>3388</v>
      </c>
      <c r="T1415" s="1" t="s">
        <v>3389</v>
      </c>
      <c r="U1415" s="2" t="s">
        <v>1912</v>
      </c>
      <c r="V1415" s="2" t="s">
        <v>47</v>
      </c>
      <c r="W1415" s="2" t="s">
        <v>74</v>
      </c>
      <c r="X1415" s="2">
        <v>171.185</v>
      </c>
    </row>
    <row r="1416" spans="1:24" x14ac:dyDescent="0.3">
      <c r="A1416">
        <v>19302</v>
      </c>
      <c r="B1416" t="s">
        <v>4607</v>
      </c>
      <c r="C1416" s="3">
        <v>41318</v>
      </c>
      <c r="D1416" t="s">
        <v>50</v>
      </c>
      <c r="E1416">
        <v>2</v>
      </c>
      <c r="F1416" s="3">
        <f ca="1">41320+(RANDBETWEEN(1,10))</f>
        <v>41322</v>
      </c>
      <c r="G1416" t="s">
        <v>76</v>
      </c>
      <c r="H1416" t="s">
        <v>258</v>
      </c>
      <c r="I1416" t="s">
        <v>86</v>
      </c>
      <c r="J1416">
        <v>1057.0350000000001</v>
      </c>
      <c r="K1416">
        <v>0.1</v>
      </c>
      <c r="L1416">
        <v>0.65</v>
      </c>
      <c r="M1416">
        <v>231.94499999999999</v>
      </c>
      <c r="N1416">
        <v>-1338.33</v>
      </c>
      <c r="O1416" s="1" t="s">
        <v>40</v>
      </c>
      <c r="P1416" s="1" t="s">
        <v>1825</v>
      </c>
      <c r="Q1416" s="1" t="s">
        <v>1826</v>
      </c>
      <c r="R1416" s="1" t="s">
        <v>43</v>
      </c>
      <c r="S1416" s="1" t="s">
        <v>1827</v>
      </c>
      <c r="T1416" s="1" t="s">
        <v>1212</v>
      </c>
      <c r="U1416" s="2" t="s">
        <v>3398</v>
      </c>
      <c r="V1416" s="2" t="s">
        <v>83</v>
      </c>
      <c r="W1416" s="2" t="s">
        <v>298</v>
      </c>
      <c r="X1416" s="2">
        <v>528.42999999999995</v>
      </c>
    </row>
    <row r="1417" spans="1:24" x14ac:dyDescent="0.3">
      <c r="A1417">
        <v>19303</v>
      </c>
      <c r="B1417" t="s">
        <v>4607</v>
      </c>
      <c r="C1417" s="3">
        <v>41318</v>
      </c>
      <c r="D1417" t="s">
        <v>50</v>
      </c>
      <c r="E1417">
        <v>12</v>
      </c>
      <c r="F1417" s="3">
        <f ca="1">41320+(RANDBETWEEN(1,10))</f>
        <v>41327</v>
      </c>
      <c r="G1417" t="s">
        <v>26</v>
      </c>
      <c r="H1417" t="s">
        <v>27</v>
      </c>
      <c r="I1417" t="s">
        <v>86</v>
      </c>
      <c r="J1417">
        <v>166.91499999999999</v>
      </c>
      <c r="K1417">
        <v>0.01</v>
      </c>
      <c r="L1417">
        <v>0.36</v>
      </c>
      <c r="M1417">
        <v>19.04</v>
      </c>
      <c r="N1417">
        <v>-521.80100000000004</v>
      </c>
      <c r="O1417" s="1" t="s">
        <v>87</v>
      </c>
      <c r="P1417" s="1" t="s">
        <v>4608</v>
      </c>
      <c r="Q1417" s="1" t="s">
        <v>4609</v>
      </c>
      <c r="R1417" s="1" t="s">
        <v>497</v>
      </c>
      <c r="S1417" s="1" t="s">
        <v>4610</v>
      </c>
      <c r="T1417" s="1" t="s">
        <v>4611</v>
      </c>
      <c r="U1417" s="2" t="s">
        <v>2432</v>
      </c>
      <c r="V1417" s="2" t="s">
        <v>47</v>
      </c>
      <c r="W1417" s="2" t="s">
        <v>111</v>
      </c>
      <c r="X1417" s="2">
        <v>13.335000000000001</v>
      </c>
    </row>
    <row r="1418" spans="1:24" x14ac:dyDescent="0.3">
      <c r="A1418">
        <v>19304</v>
      </c>
      <c r="B1418" t="s">
        <v>4612</v>
      </c>
      <c r="C1418" s="3">
        <v>40975</v>
      </c>
      <c r="D1418" t="s">
        <v>50</v>
      </c>
      <c r="E1418">
        <v>12</v>
      </c>
      <c r="F1418" s="3">
        <f ca="1">40977+(RANDBETWEEN(1,10))</f>
        <v>40987</v>
      </c>
      <c r="G1418" t="s">
        <v>26</v>
      </c>
      <c r="H1418" t="s">
        <v>63</v>
      </c>
      <c r="I1418" t="s">
        <v>28</v>
      </c>
      <c r="J1418">
        <v>3401.58</v>
      </c>
      <c r="K1418">
        <v>0</v>
      </c>
      <c r="L1418">
        <v>0.54</v>
      </c>
      <c r="M1418">
        <v>69.825000000000003</v>
      </c>
      <c r="N1418">
        <v>2347.0902000000001</v>
      </c>
      <c r="O1418" s="1" t="s">
        <v>29</v>
      </c>
      <c r="P1418" s="1" t="s">
        <v>4613</v>
      </c>
      <c r="Q1418" s="1" t="s">
        <v>4614</v>
      </c>
      <c r="R1418" s="1" t="s">
        <v>32</v>
      </c>
      <c r="S1418" s="1" t="s">
        <v>4615</v>
      </c>
      <c r="T1418" s="1" t="s">
        <v>4616</v>
      </c>
      <c r="U1418" s="2" t="s">
        <v>3037</v>
      </c>
      <c r="V1418" s="2" t="s">
        <v>47</v>
      </c>
      <c r="W1418" s="2" t="s">
        <v>71</v>
      </c>
      <c r="X1418" s="2">
        <v>268.52</v>
      </c>
    </row>
    <row r="1419" spans="1:24" x14ac:dyDescent="0.3">
      <c r="A1419">
        <v>19305</v>
      </c>
      <c r="B1419" t="s">
        <v>4617</v>
      </c>
      <c r="C1419" s="3">
        <v>41803</v>
      </c>
      <c r="D1419" t="s">
        <v>148</v>
      </c>
      <c r="E1419">
        <v>15</v>
      </c>
      <c r="F1419" s="3">
        <f ca="1">41804+(RANDBETWEEN(1,10))</f>
        <v>41814</v>
      </c>
      <c r="G1419" t="s">
        <v>26</v>
      </c>
      <c r="H1419" t="s">
        <v>96</v>
      </c>
      <c r="I1419" t="s">
        <v>97</v>
      </c>
      <c r="J1419">
        <v>170.59</v>
      </c>
      <c r="K1419">
        <v>0</v>
      </c>
      <c r="L1419">
        <v>0.84</v>
      </c>
      <c r="M1419">
        <v>6.72</v>
      </c>
      <c r="N1419">
        <v>-167.74799999999999</v>
      </c>
      <c r="O1419" s="1" t="s">
        <v>87</v>
      </c>
      <c r="P1419" s="1" t="s">
        <v>1222</v>
      </c>
      <c r="Q1419" s="1" t="s">
        <v>1223</v>
      </c>
      <c r="R1419" s="1" t="s">
        <v>497</v>
      </c>
      <c r="S1419" s="1" t="s">
        <v>1224</v>
      </c>
      <c r="T1419" s="1" t="s">
        <v>1225</v>
      </c>
      <c r="U1419" s="2" t="s">
        <v>524</v>
      </c>
      <c r="V1419" s="2" t="s">
        <v>47</v>
      </c>
      <c r="W1419" s="2" t="s">
        <v>94</v>
      </c>
      <c r="X1419" s="2">
        <v>10.99</v>
      </c>
    </row>
    <row r="1420" spans="1:24" x14ac:dyDescent="0.3">
      <c r="A1420">
        <v>19306</v>
      </c>
      <c r="B1420" t="s">
        <v>4617</v>
      </c>
      <c r="C1420" s="3">
        <v>41803</v>
      </c>
      <c r="D1420" t="s">
        <v>148</v>
      </c>
      <c r="E1420">
        <v>8</v>
      </c>
      <c r="F1420" s="3">
        <f ca="1">41804+(RANDBETWEEN(1,10))</f>
        <v>41806</v>
      </c>
      <c r="G1420" t="s">
        <v>156</v>
      </c>
      <c r="H1420" t="s">
        <v>96</v>
      </c>
      <c r="I1420" t="s">
        <v>97</v>
      </c>
      <c r="J1420">
        <v>194.98500000000001</v>
      </c>
      <c r="K1420">
        <v>0.01</v>
      </c>
      <c r="L1420">
        <v>0.39</v>
      </c>
      <c r="M1420">
        <v>3.57</v>
      </c>
      <c r="N1420">
        <v>134.53964999999999</v>
      </c>
      <c r="O1420" s="1" t="s">
        <v>87</v>
      </c>
      <c r="P1420" s="1" t="s">
        <v>4618</v>
      </c>
      <c r="Q1420" s="1" t="s">
        <v>4619</v>
      </c>
      <c r="R1420" s="1" t="s">
        <v>90</v>
      </c>
      <c r="S1420" s="1" t="s">
        <v>4620</v>
      </c>
      <c r="T1420" s="1" t="s">
        <v>4621</v>
      </c>
      <c r="U1420" s="2" t="s">
        <v>3728</v>
      </c>
      <c r="V1420" s="2" t="s">
        <v>47</v>
      </c>
      <c r="W1420" s="2" t="s">
        <v>74</v>
      </c>
      <c r="X1420" s="2">
        <v>22.225000000000001</v>
      </c>
    </row>
    <row r="1421" spans="1:24" x14ac:dyDescent="0.3">
      <c r="A1421">
        <v>19307</v>
      </c>
      <c r="B1421" t="s">
        <v>4622</v>
      </c>
      <c r="C1421" s="3">
        <v>41485</v>
      </c>
      <c r="D1421" t="s">
        <v>148</v>
      </c>
      <c r="E1421">
        <v>14</v>
      </c>
      <c r="F1421" s="3">
        <f ca="1">41486+(RANDBETWEEN(1,10))</f>
        <v>41489</v>
      </c>
      <c r="G1421" t="s">
        <v>26</v>
      </c>
      <c r="H1421" t="s">
        <v>27</v>
      </c>
      <c r="I1421" t="s">
        <v>28</v>
      </c>
      <c r="J1421">
        <v>532.41999999999996</v>
      </c>
      <c r="K1421">
        <v>0.08</v>
      </c>
      <c r="L1421">
        <v>0.4</v>
      </c>
      <c r="M1421">
        <v>25.164999999999999</v>
      </c>
      <c r="N1421">
        <v>-241.4195</v>
      </c>
      <c r="O1421" s="1" t="s">
        <v>40</v>
      </c>
      <c r="P1421" s="1" t="s">
        <v>4623</v>
      </c>
      <c r="Q1421" s="1" t="s">
        <v>4624</v>
      </c>
      <c r="R1421" s="1" t="s">
        <v>43</v>
      </c>
      <c r="S1421" s="1" t="s">
        <v>4625</v>
      </c>
      <c r="T1421" s="1" t="s">
        <v>4626</v>
      </c>
      <c r="U1421" s="2" t="s">
        <v>1736</v>
      </c>
      <c r="V1421" s="2" t="s">
        <v>47</v>
      </c>
      <c r="W1421" s="2" t="s">
        <v>111</v>
      </c>
      <c r="X1421" s="2">
        <v>40.25</v>
      </c>
    </row>
    <row r="1422" spans="1:24" x14ac:dyDescent="0.3">
      <c r="A1422">
        <v>19308</v>
      </c>
      <c r="B1422" t="s">
        <v>4627</v>
      </c>
      <c r="C1422" s="3">
        <v>41953</v>
      </c>
      <c r="D1422" t="s">
        <v>62</v>
      </c>
      <c r="E1422">
        <v>24</v>
      </c>
      <c r="F1422" s="3">
        <f ca="1">41955+(RANDBETWEEN(1,10))</f>
        <v>41965</v>
      </c>
      <c r="G1422" t="s">
        <v>76</v>
      </c>
      <c r="H1422" t="s">
        <v>77</v>
      </c>
      <c r="I1422" t="s">
        <v>52</v>
      </c>
      <c r="J1422">
        <v>8257.375</v>
      </c>
      <c r="K1422">
        <v>0.01</v>
      </c>
      <c r="L1422">
        <v>0.38</v>
      </c>
      <c r="M1422">
        <v>98</v>
      </c>
      <c r="N1422">
        <v>5182.4203200000002</v>
      </c>
      <c r="O1422" s="1" t="s">
        <v>64</v>
      </c>
      <c r="P1422" s="1" t="s">
        <v>4628</v>
      </c>
      <c r="Q1422" s="1" t="s">
        <v>4629</v>
      </c>
      <c r="R1422" s="1" t="s">
        <v>67</v>
      </c>
      <c r="S1422" s="1" t="s">
        <v>4630</v>
      </c>
      <c r="T1422" s="1" t="s">
        <v>4631</v>
      </c>
      <c r="U1422" s="2" t="s">
        <v>4632</v>
      </c>
      <c r="V1422" s="2" t="s">
        <v>36</v>
      </c>
      <c r="W1422" s="2" t="s">
        <v>142</v>
      </c>
      <c r="X1422" s="2">
        <v>318.39499999999998</v>
      </c>
    </row>
    <row r="1423" spans="1:24" x14ac:dyDescent="0.3">
      <c r="A1423">
        <v>19309</v>
      </c>
      <c r="B1423" t="s">
        <v>4627</v>
      </c>
      <c r="C1423" s="3">
        <v>41953</v>
      </c>
      <c r="D1423" t="s">
        <v>62</v>
      </c>
      <c r="E1423">
        <v>14</v>
      </c>
      <c r="F1423" s="3">
        <f ca="1">41955+(RANDBETWEEN(1,10))</f>
        <v>41956</v>
      </c>
      <c r="G1423" t="s">
        <v>26</v>
      </c>
      <c r="H1423" t="s">
        <v>51</v>
      </c>
      <c r="I1423" t="s">
        <v>52</v>
      </c>
      <c r="J1423">
        <v>110.95</v>
      </c>
      <c r="K1423">
        <v>0.02</v>
      </c>
      <c r="L1423">
        <v>0.55000000000000004</v>
      </c>
      <c r="M1423">
        <v>6.9649999999999999</v>
      </c>
      <c r="N1423">
        <v>40.38888</v>
      </c>
      <c r="O1423" s="1" t="s">
        <v>40</v>
      </c>
      <c r="P1423" s="1" t="s">
        <v>4633</v>
      </c>
      <c r="Q1423" s="1" t="s">
        <v>4634</v>
      </c>
      <c r="R1423" s="1" t="s">
        <v>220</v>
      </c>
      <c r="S1423" s="1" t="s">
        <v>4635</v>
      </c>
      <c r="T1423" s="1" t="s">
        <v>4636</v>
      </c>
      <c r="U1423" s="2" t="s">
        <v>1910</v>
      </c>
      <c r="V1423" s="2" t="s">
        <v>36</v>
      </c>
      <c r="W1423" s="2" t="s">
        <v>60</v>
      </c>
      <c r="X1423" s="2">
        <v>7.42</v>
      </c>
    </row>
    <row r="1424" spans="1:24" x14ac:dyDescent="0.3">
      <c r="A1424">
        <v>19310</v>
      </c>
      <c r="B1424" t="s">
        <v>4627</v>
      </c>
      <c r="C1424" s="3">
        <v>41953</v>
      </c>
      <c r="D1424" t="s">
        <v>62</v>
      </c>
      <c r="E1424">
        <v>14</v>
      </c>
      <c r="F1424" s="3">
        <f ca="1">41954+(RANDBETWEEN(1,10))</f>
        <v>41961</v>
      </c>
      <c r="G1424" t="s">
        <v>76</v>
      </c>
      <c r="H1424" t="s">
        <v>258</v>
      </c>
      <c r="I1424" t="s">
        <v>52</v>
      </c>
      <c r="J1424">
        <v>5627.335</v>
      </c>
      <c r="K1424">
        <v>0.05</v>
      </c>
      <c r="L1424">
        <v>0.65</v>
      </c>
      <c r="M1424">
        <v>179.97</v>
      </c>
      <c r="N1424">
        <v>649.06407999999999</v>
      </c>
      <c r="O1424" s="1" t="s">
        <v>87</v>
      </c>
      <c r="P1424" s="1" t="s">
        <v>4637</v>
      </c>
      <c r="Q1424" s="1" t="s">
        <v>4638</v>
      </c>
      <c r="R1424" s="1" t="s">
        <v>90</v>
      </c>
      <c r="S1424" s="1" t="s">
        <v>4639</v>
      </c>
      <c r="T1424" s="1" t="s">
        <v>4640</v>
      </c>
      <c r="U1424" s="2" t="s">
        <v>4641</v>
      </c>
      <c r="V1424" s="2" t="s">
        <v>83</v>
      </c>
      <c r="W1424" s="2" t="s">
        <v>298</v>
      </c>
      <c r="X1424" s="2">
        <v>402.43</v>
      </c>
    </row>
    <row r="1425" spans="1:24" x14ac:dyDescent="0.3">
      <c r="A1425">
        <v>19311</v>
      </c>
      <c r="B1425" t="s">
        <v>4642</v>
      </c>
      <c r="C1425" s="3">
        <v>40751</v>
      </c>
      <c r="D1425" t="s">
        <v>50</v>
      </c>
      <c r="E1425">
        <v>12</v>
      </c>
      <c r="F1425" s="3">
        <f ca="1">40751+(RANDBETWEEN(1,10))</f>
        <v>40754</v>
      </c>
      <c r="G1425" t="s">
        <v>26</v>
      </c>
      <c r="H1425" t="s">
        <v>27</v>
      </c>
      <c r="I1425" t="s">
        <v>86</v>
      </c>
      <c r="J1425">
        <v>531.19500000000005</v>
      </c>
      <c r="K1425">
        <v>0.02</v>
      </c>
      <c r="L1425">
        <v>0.38</v>
      </c>
      <c r="M1425">
        <v>1.7150000000000001</v>
      </c>
      <c r="N1425">
        <v>366.52454999999998</v>
      </c>
      <c r="O1425" s="1" t="s">
        <v>29</v>
      </c>
      <c r="P1425" s="1" t="s">
        <v>744</v>
      </c>
      <c r="Q1425" s="1" t="s">
        <v>745</v>
      </c>
      <c r="R1425" s="1" t="s">
        <v>675</v>
      </c>
      <c r="S1425" s="1" t="s">
        <v>746</v>
      </c>
      <c r="T1425" s="1" t="s">
        <v>747</v>
      </c>
      <c r="U1425" s="2" t="s">
        <v>202</v>
      </c>
      <c r="V1425" s="2" t="s">
        <v>47</v>
      </c>
      <c r="W1425" s="2" t="s">
        <v>203</v>
      </c>
      <c r="X1425" s="2">
        <v>43.854999999999997</v>
      </c>
    </row>
    <row r="1426" spans="1:24" x14ac:dyDescent="0.3">
      <c r="A1426">
        <v>19312</v>
      </c>
      <c r="B1426" t="s">
        <v>4642</v>
      </c>
      <c r="C1426" s="3">
        <v>40751</v>
      </c>
      <c r="D1426" t="s">
        <v>50</v>
      </c>
      <c r="E1426">
        <v>11</v>
      </c>
      <c r="F1426" s="3">
        <f ca="1">40753+(RANDBETWEEN(1,10))</f>
        <v>40754</v>
      </c>
      <c r="G1426" t="s">
        <v>156</v>
      </c>
      <c r="H1426" t="s">
        <v>96</v>
      </c>
      <c r="I1426" t="s">
        <v>86</v>
      </c>
      <c r="J1426">
        <v>199.95500000000001</v>
      </c>
      <c r="K1426">
        <v>7.0000000000000007E-2</v>
      </c>
      <c r="L1426">
        <v>0.36</v>
      </c>
      <c r="M1426">
        <v>7.14</v>
      </c>
      <c r="N1426">
        <v>130.58500000000001</v>
      </c>
      <c r="O1426" s="1" t="s">
        <v>29</v>
      </c>
      <c r="P1426" s="1" t="s">
        <v>744</v>
      </c>
      <c r="Q1426" s="1" t="s">
        <v>745</v>
      </c>
      <c r="R1426" s="1" t="s">
        <v>675</v>
      </c>
      <c r="S1426" s="1" t="s">
        <v>746</v>
      </c>
      <c r="T1426" s="1" t="s">
        <v>747</v>
      </c>
      <c r="U1426" s="2" t="s">
        <v>204</v>
      </c>
      <c r="V1426" s="2" t="s">
        <v>47</v>
      </c>
      <c r="W1426" s="2" t="s">
        <v>74</v>
      </c>
      <c r="X1426" s="2">
        <v>18.13</v>
      </c>
    </row>
    <row r="1427" spans="1:24" x14ac:dyDescent="0.3">
      <c r="A1427">
        <v>19313</v>
      </c>
      <c r="B1427" t="s">
        <v>4643</v>
      </c>
      <c r="C1427" s="3">
        <v>41655</v>
      </c>
      <c r="D1427" t="s">
        <v>25</v>
      </c>
      <c r="E1427">
        <v>9</v>
      </c>
      <c r="F1427" s="3">
        <f ca="1">41659+(RANDBETWEEN(1,10))</f>
        <v>41661</v>
      </c>
      <c r="G1427" t="s">
        <v>26</v>
      </c>
      <c r="H1427" t="s">
        <v>27</v>
      </c>
      <c r="I1427" t="s">
        <v>97</v>
      </c>
      <c r="J1427">
        <v>3467.9050000000002</v>
      </c>
      <c r="K1427">
        <v>0.09</v>
      </c>
      <c r="L1427">
        <v>0.35</v>
      </c>
      <c r="M1427">
        <v>31.745000000000001</v>
      </c>
      <c r="N1427">
        <v>2392.8544499999998</v>
      </c>
      <c r="O1427" s="1" t="s">
        <v>40</v>
      </c>
      <c r="P1427" s="1" t="s">
        <v>4644</v>
      </c>
      <c r="Q1427" s="1" t="s">
        <v>4645</v>
      </c>
      <c r="R1427" s="1" t="s">
        <v>43</v>
      </c>
      <c r="S1427" s="1" t="s">
        <v>2543</v>
      </c>
      <c r="T1427" s="1" t="s">
        <v>2544</v>
      </c>
      <c r="U1427" s="2" t="s">
        <v>4646</v>
      </c>
      <c r="V1427" s="2" t="s">
        <v>47</v>
      </c>
      <c r="W1427" s="2" t="s">
        <v>111</v>
      </c>
      <c r="X1427" s="2">
        <v>423.43</v>
      </c>
    </row>
    <row r="1428" spans="1:24" x14ac:dyDescent="0.3">
      <c r="A1428">
        <v>19314</v>
      </c>
      <c r="B1428" t="s">
        <v>4647</v>
      </c>
      <c r="C1428" s="3">
        <v>40646</v>
      </c>
      <c r="D1428" t="s">
        <v>62</v>
      </c>
      <c r="E1428">
        <v>1</v>
      </c>
      <c r="F1428" s="3">
        <f ca="1">40648+(RANDBETWEEN(1,10))</f>
        <v>40649</v>
      </c>
      <c r="G1428" t="s">
        <v>26</v>
      </c>
      <c r="H1428" t="s">
        <v>27</v>
      </c>
      <c r="I1428" t="s">
        <v>28</v>
      </c>
      <c r="J1428">
        <v>11.97</v>
      </c>
      <c r="K1428">
        <v>0.05</v>
      </c>
      <c r="L1428">
        <v>0.37</v>
      </c>
      <c r="M1428">
        <v>5.2149999999999999</v>
      </c>
      <c r="N1428">
        <v>-10.183249999999999</v>
      </c>
      <c r="O1428" s="1" t="s">
        <v>64</v>
      </c>
      <c r="P1428" s="1" t="s">
        <v>4648</v>
      </c>
      <c r="Q1428" s="1" t="s">
        <v>4649</v>
      </c>
      <c r="R1428" s="1" t="s">
        <v>67</v>
      </c>
      <c r="S1428" s="1" t="s">
        <v>4650</v>
      </c>
      <c r="T1428" s="1" t="s">
        <v>4651</v>
      </c>
      <c r="U1428" s="2" t="s">
        <v>4275</v>
      </c>
      <c r="V1428" s="2" t="s">
        <v>47</v>
      </c>
      <c r="W1428" s="2" t="s">
        <v>111</v>
      </c>
      <c r="X1428" s="2">
        <v>6.58</v>
      </c>
    </row>
    <row r="1429" spans="1:24" x14ac:dyDescent="0.3">
      <c r="A1429">
        <v>19315</v>
      </c>
      <c r="B1429" t="s">
        <v>4652</v>
      </c>
      <c r="C1429" s="3">
        <v>40546</v>
      </c>
      <c r="D1429" t="s">
        <v>25</v>
      </c>
      <c r="E1429">
        <v>3</v>
      </c>
      <c r="F1429" s="3">
        <f ca="1">40548+(RANDBETWEEN(1,10))</f>
        <v>40557</v>
      </c>
      <c r="G1429" t="s">
        <v>26</v>
      </c>
      <c r="H1429" t="s">
        <v>27</v>
      </c>
      <c r="I1429" t="s">
        <v>28</v>
      </c>
      <c r="J1429">
        <v>457.17</v>
      </c>
      <c r="K1429">
        <v>0.08</v>
      </c>
      <c r="L1429">
        <v>0.66</v>
      </c>
      <c r="M1429">
        <v>58.484999999999999</v>
      </c>
      <c r="N1429">
        <v>980.96103000000005</v>
      </c>
      <c r="O1429" s="1" t="s">
        <v>64</v>
      </c>
      <c r="P1429" s="1" t="s">
        <v>4653</v>
      </c>
      <c r="Q1429" s="1" t="s">
        <v>4654</v>
      </c>
      <c r="R1429" s="1" t="s">
        <v>67</v>
      </c>
      <c r="S1429" s="1" t="s">
        <v>4655</v>
      </c>
      <c r="T1429" s="1" t="s">
        <v>4656</v>
      </c>
      <c r="U1429" s="2" t="s">
        <v>4657</v>
      </c>
      <c r="V1429" s="2" t="s">
        <v>36</v>
      </c>
      <c r="W1429" s="2" t="s">
        <v>60</v>
      </c>
      <c r="X1429" s="2">
        <v>151.27000000000001</v>
      </c>
    </row>
    <row r="1430" spans="1:24" x14ac:dyDescent="0.3">
      <c r="A1430">
        <v>19316</v>
      </c>
      <c r="B1430" t="s">
        <v>4652</v>
      </c>
      <c r="C1430" s="3">
        <v>40546</v>
      </c>
      <c r="D1430" t="s">
        <v>25</v>
      </c>
      <c r="E1430">
        <v>12</v>
      </c>
      <c r="F1430" s="3">
        <f ca="1">40553+(RANDBETWEEN(1,10))</f>
        <v>40557</v>
      </c>
      <c r="G1430" t="s">
        <v>26</v>
      </c>
      <c r="H1430" t="s">
        <v>63</v>
      </c>
      <c r="I1430" t="s">
        <v>28</v>
      </c>
      <c r="J1430">
        <v>24308.06</v>
      </c>
      <c r="K1430">
        <v>0.05</v>
      </c>
      <c r="L1430">
        <v>0.37</v>
      </c>
      <c r="M1430">
        <v>85.715000000000003</v>
      </c>
      <c r="N1430">
        <v>-393.49205000000001</v>
      </c>
      <c r="O1430" s="1" t="s">
        <v>64</v>
      </c>
      <c r="P1430" s="1" t="s">
        <v>4653</v>
      </c>
      <c r="Q1430" s="1" t="s">
        <v>4654</v>
      </c>
      <c r="R1430" s="1" t="s">
        <v>67</v>
      </c>
      <c r="S1430" s="1" t="s">
        <v>4655</v>
      </c>
      <c r="T1430" s="1" t="s">
        <v>4656</v>
      </c>
      <c r="U1430" s="2" t="s">
        <v>4658</v>
      </c>
      <c r="V1430" s="2" t="s">
        <v>36</v>
      </c>
      <c r="W1430" s="2" t="s">
        <v>142</v>
      </c>
      <c r="X1430" s="2">
        <v>2011.59</v>
      </c>
    </row>
    <row r="1431" spans="1:24" x14ac:dyDescent="0.3">
      <c r="A1431">
        <v>19317</v>
      </c>
      <c r="B1431" t="s">
        <v>4652</v>
      </c>
      <c r="C1431" s="3">
        <v>40546</v>
      </c>
      <c r="D1431" t="s">
        <v>25</v>
      </c>
      <c r="E1431">
        <v>3</v>
      </c>
      <c r="F1431" s="3">
        <f ca="1">40550+(RANDBETWEEN(1,10))</f>
        <v>40553</v>
      </c>
      <c r="G1431" t="s">
        <v>26</v>
      </c>
      <c r="H1431" t="s">
        <v>96</v>
      </c>
      <c r="I1431" t="s">
        <v>28</v>
      </c>
      <c r="J1431">
        <v>108.29</v>
      </c>
      <c r="K1431">
        <v>0.04</v>
      </c>
      <c r="L1431">
        <v>0.36</v>
      </c>
      <c r="M1431">
        <v>7.9450000000000003</v>
      </c>
      <c r="N1431">
        <v>87.233999999999995</v>
      </c>
      <c r="O1431" s="1" t="s">
        <v>64</v>
      </c>
      <c r="P1431" s="1" t="s">
        <v>4653</v>
      </c>
      <c r="Q1431" s="1" t="s">
        <v>4654</v>
      </c>
      <c r="R1431" s="1" t="s">
        <v>67</v>
      </c>
      <c r="S1431" s="1" t="s">
        <v>4655</v>
      </c>
      <c r="T1431" s="1" t="s">
        <v>4656</v>
      </c>
      <c r="U1431" s="2" t="s">
        <v>4659</v>
      </c>
      <c r="V1431" s="2" t="s">
        <v>47</v>
      </c>
      <c r="W1431" s="2" t="s">
        <v>74</v>
      </c>
      <c r="X1431" s="2">
        <v>35.49</v>
      </c>
    </row>
    <row r="1432" spans="1:24" x14ac:dyDescent="0.3">
      <c r="A1432">
        <v>19318</v>
      </c>
      <c r="B1432" t="s">
        <v>4660</v>
      </c>
      <c r="C1432" s="3">
        <v>41157</v>
      </c>
      <c r="D1432" t="s">
        <v>50</v>
      </c>
      <c r="E1432">
        <v>21</v>
      </c>
      <c r="F1432" s="3">
        <f ca="1">41159+(RANDBETWEEN(1,10))</f>
        <v>41169</v>
      </c>
      <c r="G1432" t="s">
        <v>76</v>
      </c>
      <c r="H1432" t="s">
        <v>77</v>
      </c>
      <c r="I1432" t="s">
        <v>28</v>
      </c>
      <c r="J1432">
        <v>1758.2249999999999</v>
      </c>
      <c r="K1432">
        <v>0.1</v>
      </c>
      <c r="L1432">
        <v>0.6</v>
      </c>
      <c r="M1432">
        <v>50.26</v>
      </c>
      <c r="N1432">
        <v>-1173.27</v>
      </c>
      <c r="O1432" s="1" t="s">
        <v>29</v>
      </c>
      <c r="P1432" s="1" t="s">
        <v>4661</v>
      </c>
      <c r="Q1432" s="1" t="s">
        <v>4662</v>
      </c>
      <c r="R1432" s="1" t="s">
        <v>460</v>
      </c>
      <c r="S1432" s="1" t="s">
        <v>4663</v>
      </c>
      <c r="T1432" s="1" t="s">
        <v>4664</v>
      </c>
      <c r="U1432" s="2" t="s">
        <v>4583</v>
      </c>
      <c r="V1432" s="2" t="s">
        <v>83</v>
      </c>
      <c r="W1432" s="2" t="s">
        <v>84</v>
      </c>
      <c r="X1432" s="2">
        <v>90.93</v>
      </c>
    </row>
    <row r="1433" spans="1:24" x14ac:dyDescent="0.3">
      <c r="A1433">
        <v>19319</v>
      </c>
      <c r="B1433" t="s">
        <v>4660</v>
      </c>
      <c r="C1433" s="3">
        <v>41157</v>
      </c>
      <c r="D1433" t="s">
        <v>50</v>
      </c>
      <c r="E1433">
        <v>5</v>
      </c>
      <c r="F1433" s="3">
        <f ca="1">41157+(RANDBETWEEN(1,10))</f>
        <v>41159</v>
      </c>
      <c r="G1433" t="s">
        <v>26</v>
      </c>
      <c r="H1433" t="s">
        <v>27</v>
      </c>
      <c r="I1433" t="s">
        <v>28</v>
      </c>
      <c r="J1433">
        <v>69.3</v>
      </c>
      <c r="K1433">
        <v>0.09</v>
      </c>
      <c r="L1433">
        <v>0.39</v>
      </c>
      <c r="M1433">
        <v>3.4649999999999999</v>
      </c>
      <c r="N1433">
        <v>23.45</v>
      </c>
      <c r="O1433" s="1" t="s">
        <v>29</v>
      </c>
      <c r="P1433" s="1" t="s">
        <v>4661</v>
      </c>
      <c r="Q1433" s="1" t="s">
        <v>4662</v>
      </c>
      <c r="R1433" s="1" t="s">
        <v>460</v>
      </c>
      <c r="S1433" s="1" t="s">
        <v>4663</v>
      </c>
      <c r="T1433" s="1" t="s">
        <v>4664</v>
      </c>
      <c r="U1433" s="2" t="s">
        <v>2720</v>
      </c>
      <c r="V1433" s="2" t="s">
        <v>47</v>
      </c>
      <c r="W1433" s="2" t="s">
        <v>203</v>
      </c>
      <c r="X1433" s="2">
        <v>14.455</v>
      </c>
    </row>
    <row r="1434" spans="1:24" x14ac:dyDescent="0.3">
      <c r="A1434">
        <v>19320</v>
      </c>
      <c r="B1434" t="s">
        <v>4660</v>
      </c>
      <c r="C1434" s="3">
        <v>41157</v>
      </c>
      <c r="D1434" t="s">
        <v>50</v>
      </c>
      <c r="E1434">
        <v>10</v>
      </c>
      <c r="F1434" s="3">
        <f ca="1">41157+(RANDBETWEEN(1,10))</f>
        <v>41165</v>
      </c>
      <c r="G1434" t="s">
        <v>26</v>
      </c>
      <c r="H1434" t="s">
        <v>27</v>
      </c>
      <c r="I1434" t="s">
        <v>28</v>
      </c>
      <c r="J1434">
        <v>3973.0949999999998</v>
      </c>
      <c r="K1434">
        <v>0</v>
      </c>
      <c r="L1434">
        <v>0.6</v>
      </c>
      <c r="M1434">
        <v>19.704999999999998</v>
      </c>
      <c r="N1434">
        <v>1806.6510000000001</v>
      </c>
      <c r="O1434" s="1" t="s">
        <v>29</v>
      </c>
      <c r="P1434" s="1" t="s">
        <v>4661</v>
      </c>
      <c r="Q1434" s="1" t="s">
        <v>4662</v>
      </c>
      <c r="R1434" s="1" t="s">
        <v>460</v>
      </c>
      <c r="S1434" s="1" t="s">
        <v>4663</v>
      </c>
      <c r="T1434" s="1" t="s">
        <v>4664</v>
      </c>
      <c r="U1434" s="2">
        <v>8290</v>
      </c>
      <c r="V1434" s="2" t="s">
        <v>36</v>
      </c>
      <c r="W1434" s="2" t="s">
        <v>37</v>
      </c>
      <c r="X1434" s="2">
        <v>440.96499999999997</v>
      </c>
    </row>
    <row r="1435" spans="1:24" x14ac:dyDescent="0.3">
      <c r="A1435">
        <v>19321</v>
      </c>
      <c r="B1435" t="s">
        <v>4665</v>
      </c>
      <c r="C1435" s="3">
        <v>41006</v>
      </c>
      <c r="D1435" t="s">
        <v>39</v>
      </c>
      <c r="E1435">
        <v>3</v>
      </c>
      <c r="F1435" s="3">
        <f ca="1">41009+(RANDBETWEEN(1,10))</f>
        <v>41016</v>
      </c>
      <c r="G1435" t="s">
        <v>26</v>
      </c>
      <c r="H1435" t="s">
        <v>27</v>
      </c>
      <c r="I1435" t="s">
        <v>86</v>
      </c>
      <c r="J1435">
        <v>71.400000000000006</v>
      </c>
      <c r="K1435">
        <v>0.06</v>
      </c>
      <c r="L1435">
        <v>0.37</v>
      </c>
      <c r="M1435">
        <v>29.4</v>
      </c>
      <c r="N1435">
        <v>-227.32499999999999</v>
      </c>
      <c r="O1435" s="1" t="s">
        <v>40</v>
      </c>
      <c r="P1435" s="1" t="s">
        <v>4666</v>
      </c>
      <c r="Q1435" s="1" t="s">
        <v>4667</v>
      </c>
      <c r="R1435" s="1" t="s">
        <v>43</v>
      </c>
      <c r="S1435" s="1" t="s">
        <v>4668</v>
      </c>
      <c r="T1435" s="1" t="s">
        <v>4669</v>
      </c>
      <c r="U1435" s="2" t="s">
        <v>2097</v>
      </c>
      <c r="V1435" s="2" t="s">
        <v>47</v>
      </c>
      <c r="W1435" s="2" t="s">
        <v>74</v>
      </c>
      <c r="X1435" s="2">
        <v>22.68</v>
      </c>
    </row>
    <row r="1436" spans="1:24" x14ac:dyDescent="0.3">
      <c r="A1436">
        <v>19322</v>
      </c>
      <c r="B1436" t="s">
        <v>4670</v>
      </c>
      <c r="C1436" s="3">
        <v>40656</v>
      </c>
      <c r="D1436" t="s">
        <v>25</v>
      </c>
      <c r="E1436">
        <v>13</v>
      </c>
      <c r="F1436" s="3">
        <f ca="1">40656+(RANDBETWEEN(1,10))</f>
        <v>40662</v>
      </c>
      <c r="G1436" t="s">
        <v>26</v>
      </c>
      <c r="H1436" t="s">
        <v>281</v>
      </c>
      <c r="I1436" t="s">
        <v>97</v>
      </c>
      <c r="J1436">
        <v>2137.2750000000001</v>
      </c>
      <c r="K1436">
        <v>0.02</v>
      </c>
      <c r="L1436">
        <v>0.46</v>
      </c>
      <c r="M1436">
        <v>17.850000000000001</v>
      </c>
      <c r="N1436">
        <v>1474.71975</v>
      </c>
      <c r="O1436" s="1" t="s">
        <v>29</v>
      </c>
      <c r="P1436" s="1" t="s">
        <v>4671</v>
      </c>
      <c r="Q1436" s="1" t="s">
        <v>4672</v>
      </c>
      <c r="R1436" s="1" t="s">
        <v>460</v>
      </c>
      <c r="S1436" s="1" t="s">
        <v>4673</v>
      </c>
      <c r="T1436" s="1" t="s">
        <v>4674</v>
      </c>
      <c r="U1436" s="2" t="s">
        <v>4675</v>
      </c>
      <c r="V1436" s="2" t="s">
        <v>47</v>
      </c>
      <c r="W1436" s="2" t="s">
        <v>71</v>
      </c>
      <c r="X1436" s="2">
        <v>164.11500000000001</v>
      </c>
    </row>
    <row r="1437" spans="1:24" x14ac:dyDescent="0.3">
      <c r="A1437">
        <v>19323</v>
      </c>
      <c r="B1437" t="s">
        <v>4670</v>
      </c>
      <c r="C1437" s="3">
        <v>40656</v>
      </c>
      <c r="D1437" t="s">
        <v>25</v>
      </c>
      <c r="E1437">
        <v>5</v>
      </c>
      <c r="F1437" s="3">
        <f ca="1">40658+(RANDBETWEEN(1,10))</f>
        <v>40668</v>
      </c>
      <c r="G1437" t="s">
        <v>76</v>
      </c>
      <c r="H1437" t="s">
        <v>258</v>
      </c>
      <c r="I1437" t="s">
        <v>97</v>
      </c>
      <c r="J1437">
        <v>2447.34</v>
      </c>
      <c r="K1437">
        <v>0.05</v>
      </c>
      <c r="L1437">
        <v>0.77</v>
      </c>
      <c r="M1437">
        <v>126.315</v>
      </c>
      <c r="N1437">
        <v>-1305.8150000000001</v>
      </c>
      <c r="O1437" s="1" t="s">
        <v>29</v>
      </c>
      <c r="P1437" s="1" t="s">
        <v>4671</v>
      </c>
      <c r="Q1437" s="1" t="s">
        <v>4672</v>
      </c>
      <c r="R1437" s="1" t="s">
        <v>460</v>
      </c>
      <c r="S1437" s="1" t="s">
        <v>4673</v>
      </c>
      <c r="T1437" s="1" t="s">
        <v>4674</v>
      </c>
      <c r="U1437" s="2" t="s">
        <v>3136</v>
      </c>
      <c r="V1437" s="2" t="s">
        <v>83</v>
      </c>
      <c r="W1437" s="2" t="s">
        <v>298</v>
      </c>
      <c r="X1437" s="2">
        <v>493.43</v>
      </c>
    </row>
    <row r="1438" spans="1:24" x14ac:dyDescent="0.3">
      <c r="A1438">
        <v>19324</v>
      </c>
      <c r="B1438" t="s">
        <v>4670</v>
      </c>
      <c r="C1438" s="3">
        <v>40656</v>
      </c>
      <c r="D1438" t="s">
        <v>25</v>
      </c>
      <c r="E1438">
        <v>12</v>
      </c>
      <c r="F1438" s="3">
        <f ca="1">40658+(RANDBETWEEN(1,10))</f>
        <v>40667</v>
      </c>
      <c r="G1438" t="s">
        <v>76</v>
      </c>
      <c r="H1438" t="s">
        <v>258</v>
      </c>
      <c r="I1438" t="s">
        <v>97</v>
      </c>
      <c r="J1438">
        <v>8211.1049999999996</v>
      </c>
      <c r="K1438">
        <v>0.1</v>
      </c>
      <c r="L1438">
        <v>0.73</v>
      </c>
      <c r="M1438">
        <v>385.7</v>
      </c>
      <c r="N1438">
        <v>-12127.752</v>
      </c>
      <c r="O1438" s="1" t="s">
        <v>29</v>
      </c>
      <c r="P1438" s="1" t="s">
        <v>4671</v>
      </c>
      <c r="Q1438" s="1" t="s">
        <v>4672</v>
      </c>
      <c r="R1438" s="1" t="s">
        <v>460</v>
      </c>
      <c r="S1438" s="1" t="s">
        <v>4673</v>
      </c>
      <c r="T1438" s="1" t="s">
        <v>4674</v>
      </c>
      <c r="U1438" s="2" t="s">
        <v>1775</v>
      </c>
      <c r="V1438" s="2" t="s">
        <v>83</v>
      </c>
      <c r="W1438" s="2" t="s">
        <v>263</v>
      </c>
      <c r="X1438" s="2">
        <v>744.1</v>
      </c>
    </row>
    <row r="1439" spans="1:24" x14ac:dyDescent="0.3">
      <c r="A1439">
        <v>19325</v>
      </c>
      <c r="B1439" t="s">
        <v>4676</v>
      </c>
      <c r="C1439" s="3">
        <v>40792</v>
      </c>
      <c r="D1439" t="s">
        <v>25</v>
      </c>
      <c r="E1439">
        <v>5</v>
      </c>
      <c r="F1439" s="3">
        <f ca="1">40794+(RANDBETWEEN(1,10))</f>
        <v>40799</v>
      </c>
      <c r="G1439" t="s">
        <v>26</v>
      </c>
      <c r="H1439" t="s">
        <v>27</v>
      </c>
      <c r="I1439" t="s">
        <v>86</v>
      </c>
      <c r="J1439">
        <v>74.69</v>
      </c>
      <c r="K1439">
        <v>0.06</v>
      </c>
      <c r="L1439">
        <v>0.37</v>
      </c>
      <c r="M1439">
        <v>10.465</v>
      </c>
      <c r="N1439">
        <v>-44.516500000000001</v>
      </c>
      <c r="O1439" s="1" t="s">
        <v>40</v>
      </c>
      <c r="P1439" s="1" t="s">
        <v>2656</v>
      </c>
      <c r="Q1439" s="1" t="s">
        <v>2657</v>
      </c>
      <c r="R1439" s="1" t="s">
        <v>43</v>
      </c>
      <c r="S1439" s="1" t="s">
        <v>2658</v>
      </c>
      <c r="T1439" s="1" t="s">
        <v>2659</v>
      </c>
      <c r="U1439" s="2" t="s">
        <v>4677</v>
      </c>
      <c r="V1439" s="2" t="s">
        <v>47</v>
      </c>
      <c r="W1439" s="2" t="s">
        <v>111</v>
      </c>
      <c r="X1439" s="2">
        <v>14.63</v>
      </c>
    </row>
    <row r="1440" spans="1:24" x14ac:dyDescent="0.3">
      <c r="A1440">
        <v>19326</v>
      </c>
      <c r="B1440" t="s">
        <v>4678</v>
      </c>
      <c r="C1440" s="3">
        <v>40655</v>
      </c>
      <c r="D1440" t="s">
        <v>148</v>
      </c>
      <c r="E1440">
        <v>5</v>
      </c>
      <c r="F1440" s="3">
        <f ca="1">40656+(RANDBETWEEN(1,10))</f>
        <v>40662</v>
      </c>
      <c r="G1440" t="s">
        <v>156</v>
      </c>
      <c r="H1440" t="s">
        <v>27</v>
      </c>
      <c r="I1440" t="s">
        <v>28</v>
      </c>
      <c r="J1440">
        <v>283.99</v>
      </c>
      <c r="K1440">
        <v>0.04</v>
      </c>
      <c r="L1440">
        <v>0.57999999999999996</v>
      </c>
      <c r="M1440">
        <v>37.380000000000003</v>
      </c>
      <c r="N1440">
        <v>-383.964</v>
      </c>
      <c r="O1440" s="1" t="s">
        <v>40</v>
      </c>
      <c r="P1440" s="1" t="s">
        <v>3153</v>
      </c>
      <c r="Q1440" s="1" t="s">
        <v>3154</v>
      </c>
      <c r="R1440" s="1" t="s">
        <v>43</v>
      </c>
      <c r="S1440" s="1" t="s">
        <v>1505</v>
      </c>
      <c r="T1440" s="1" t="s">
        <v>2374</v>
      </c>
      <c r="U1440" s="2" t="s">
        <v>543</v>
      </c>
      <c r="V1440" s="2" t="s">
        <v>47</v>
      </c>
      <c r="W1440" s="2" t="s">
        <v>119</v>
      </c>
      <c r="X1440" s="2">
        <v>53.97</v>
      </c>
    </row>
    <row r="1441" spans="1:24" x14ac:dyDescent="0.3">
      <c r="A1441">
        <v>19327</v>
      </c>
      <c r="B1441" t="s">
        <v>4679</v>
      </c>
      <c r="C1441" s="3">
        <v>41529</v>
      </c>
      <c r="D1441" t="s">
        <v>39</v>
      </c>
      <c r="E1441">
        <v>3</v>
      </c>
      <c r="F1441" s="3">
        <f ca="1">41531+(RANDBETWEEN(1,10))</f>
        <v>41535</v>
      </c>
      <c r="G1441" t="s">
        <v>26</v>
      </c>
      <c r="H1441" t="s">
        <v>27</v>
      </c>
      <c r="I1441" t="s">
        <v>28</v>
      </c>
      <c r="J1441">
        <v>22.085000000000001</v>
      </c>
      <c r="K1441">
        <v>7.0000000000000007E-2</v>
      </c>
      <c r="L1441">
        <v>0.37</v>
      </c>
      <c r="M1441">
        <v>5.2149999999999999</v>
      </c>
      <c r="N1441">
        <v>9.2232000000000003</v>
      </c>
      <c r="O1441" s="1" t="s">
        <v>64</v>
      </c>
      <c r="P1441" s="1" t="s">
        <v>1187</v>
      </c>
      <c r="Q1441" s="1" t="s">
        <v>1188</v>
      </c>
      <c r="R1441" s="1" t="s">
        <v>128</v>
      </c>
      <c r="S1441" s="1" t="s">
        <v>1189</v>
      </c>
      <c r="T1441" s="1" t="s">
        <v>1190</v>
      </c>
      <c r="U1441" s="2" t="s">
        <v>4275</v>
      </c>
      <c r="V1441" s="2" t="s">
        <v>47</v>
      </c>
      <c r="W1441" s="2" t="s">
        <v>111</v>
      </c>
      <c r="X1441" s="2">
        <v>6.58</v>
      </c>
    </row>
    <row r="1442" spans="1:24" x14ac:dyDescent="0.3">
      <c r="A1442">
        <v>19328</v>
      </c>
      <c r="B1442" t="s">
        <v>4680</v>
      </c>
      <c r="C1442" s="3">
        <v>41324</v>
      </c>
      <c r="D1442" t="s">
        <v>50</v>
      </c>
      <c r="E1442">
        <v>4</v>
      </c>
      <c r="F1442" s="3">
        <f ca="1">41326+(RANDBETWEEN(1,10))</f>
        <v>41336</v>
      </c>
      <c r="G1442" t="s">
        <v>26</v>
      </c>
      <c r="H1442" t="s">
        <v>27</v>
      </c>
      <c r="I1442" t="s">
        <v>28</v>
      </c>
      <c r="J1442">
        <v>102.795</v>
      </c>
      <c r="K1442">
        <v>0.02</v>
      </c>
      <c r="L1442">
        <v>0.35</v>
      </c>
      <c r="M1442">
        <v>10.465</v>
      </c>
      <c r="N1442">
        <v>48.670999999999999</v>
      </c>
      <c r="O1442" s="1" t="s">
        <v>225</v>
      </c>
      <c r="P1442" s="1" t="s">
        <v>1128</v>
      </c>
      <c r="Q1442" s="1" t="s">
        <v>1129</v>
      </c>
      <c r="R1442" s="1" t="s">
        <v>391</v>
      </c>
      <c r="S1442" s="1" t="s">
        <v>1130</v>
      </c>
      <c r="T1442" s="1" t="s">
        <v>1131</v>
      </c>
      <c r="U1442" s="2" t="s">
        <v>4681</v>
      </c>
      <c r="V1442" s="2" t="s">
        <v>47</v>
      </c>
      <c r="W1442" s="2" t="s">
        <v>111</v>
      </c>
      <c r="X1442" s="2">
        <v>23.625</v>
      </c>
    </row>
    <row r="1443" spans="1:24" x14ac:dyDescent="0.3">
      <c r="A1443">
        <v>19329</v>
      </c>
      <c r="B1443" t="s">
        <v>4680</v>
      </c>
      <c r="C1443" s="3">
        <v>41324</v>
      </c>
      <c r="D1443" t="s">
        <v>50</v>
      </c>
      <c r="E1443">
        <v>4</v>
      </c>
      <c r="F1443" s="3">
        <f ca="1">41326+(RANDBETWEEN(1,10))</f>
        <v>41332</v>
      </c>
      <c r="G1443" t="s">
        <v>76</v>
      </c>
      <c r="H1443" t="s">
        <v>77</v>
      </c>
      <c r="I1443" t="s">
        <v>28</v>
      </c>
      <c r="J1443">
        <v>3591.84</v>
      </c>
      <c r="K1443">
        <v>0.03</v>
      </c>
      <c r="L1443">
        <v>0.55000000000000004</v>
      </c>
      <c r="M1443">
        <v>151.62</v>
      </c>
      <c r="N1443">
        <v>1888.915</v>
      </c>
      <c r="O1443" s="1" t="s">
        <v>225</v>
      </c>
      <c r="P1443" s="1" t="s">
        <v>1128</v>
      </c>
      <c r="Q1443" s="1" t="s">
        <v>1129</v>
      </c>
      <c r="R1443" s="1" t="s">
        <v>391</v>
      </c>
      <c r="S1443" s="1" t="s">
        <v>1130</v>
      </c>
      <c r="T1443" s="1" t="s">
        <v>1131</v>
      </c>
      <c r="U1443" s="2" t="s">
        <v>1924</v>
      </c>
      <c r="V1443" s="2" t="s">
        <v>83</v>
      </c>
      <c r="W1443" s="2" t="s">
        <v>84</v>
      </c>
      <c r="X1443" s="2">
        <v>853.93</v>
      </c>
    </row>
    <row r="1444" spans="1:24" x14ac:dyDescent="0.3">
      <c r="A1444">
        <v>19330</v>
      </c>
      <c r="B1444" t="s">
        <v>4682</v>
      </c>
      <c r="C1444" s="3">
        <v>41494</v>
      </c>
      <c r="D1444" t="s">
        <v>62</v>
      </c>
      <c r="E1444">
        <v>17</v>
      </c>
      <c r="F1444" s="3">
        <f ca="1">41495+(RANDBETWEEN(1,10))</f>
        <v>41503</v>
      </c>
      <c r="G1444" t="s">
        <v>26</v>
      </c>
      <c r="H1444" t="s">
        <v>96</v>
      </c>
      <c r="I1444" t="s">
        <v>52</v>
      </c>
      <c r="J1444">
        <v>180.285</v>
      </c>
      <c r="K1444">
        <v>0.08</v>
      </c>
      <c r="L1444">
        <v>0.84</v>
      </c>
      <c r="M1444">
        <v>6.72</v>
      </c>
      <c r="N1444">
        <v>443.18400000000003</v>
      </c>
      <c r="O1444" s="1" t="s">
        <v>64</v>
      </c>
      <c r="P1444" s="1" t="s">
        <v>4683</v>
      </c>
      <c r="Q1444" s="1" t="s">
        <v>4684</v>
      </c>
      <c r="R1444" s="1" t="s">
        <v>128</v>
      </c>
      <c r="S1444" s="1" t="s">
        <v>4685</v>
      </c>
      <c r="T1444" s="1" t="s">
        <v>4686</v>
      </c>
      <c r="U1444" s="2" t="s">
        <v>524</v>
      </c>
      <c r="V1444" s="2" t="s">
        <v>47</v>
      </c>
      <c r="W1444" s="2" t="s">
        <v>94</v>
      </c>
      <c r="X1444" s="2">
        <v>10.99</v>
      </c>
    </row>
    <row r="1445" spans="1:24" x14ac:dyDescent="0.3">
      <c r="A1445">
        <v>19331</v>
      </c>
      <c r="B1445" t="s">
        <v>4687</v>
      </c>
      <c r="C1445" s="3">
        <v>40966</v>
      </c>
      <c r="D1445" t="s">
        <v>25</v>
      </c>
      <c r="E1445">
        <v>2</v>
      </c>
      <c r="F1445" s="3">
        <f ca="1">40972+(RANDBETWEEN(1,10))</f>
        <v>40974</v>
      </c>
      <c r="G1445" t="s">
        <v>26</v>
      </c>
      <c r="H1445" t="s">
        <v>27</v>
      </c>
      <c r="I1445" t="s">
        <v>86</v>
      </c>
      <c r="J1445">
        <v>90.79</v>
      </c>
      <c r="K1445">
        <v>0.01</v>
      </c>
      <c r="L1445">
        <v>0.35</v>
      </c>
      <c r="M1445">
        <v>5.2149999999999999</v>
      </c>
      <c r="N1445">
        <v>62.645099999999999</v>
      </c>
      <c r="O1445" s="1" t="s">
        <v>53</v>
      </c>
      <c r="P1445" s="1" t="s">
        <v>2457</v>
      </c>
      <c r="Q1445" s="1" t="s">
        <v>2458</v>
      </c>
      <c r="R1445" s="1" t="s">
        <v>56</v>
      </c>
      <c r="S1445" s="1" t="s">
        <v>2459</v>
      </c>
      <c r="T1445" s="1" t="s">
        <v>2460</v>
      </c>
      <c r="U1445" s="2" t="s">
        <v>2551</v>
      </c>
      <c r="V1445" s="2" t="s">
        <v>47</v>
      </c>
      <c r="W1445" s="2" t="s">
        <v>111</v>
      </c>
      <c r="X1445" s="2">
        <v>45.395000000000003</v>
      </c>
    </row>
    <row r="1446" spans="1:24" x14ac:dyDescent="0.3">
      <c r="A1446">
        <v>19332</v>
      </c>
      <c r="B1446" t="s">
        <v>4687</v>
      </c>
      <c r="C1446" s="3">
        <v>40966</v>
      </c>
      <c r="D1446" t="s">
        <v>25</v>
      </c>
      <c r="E1446">
        <v>2</v>
      </c>
      <c r="F1446" s="3">
        <f ca="1">40971+(RANDBETWEEN(1,10))</f>
        <v>40981</v>
      </c>
      <c r="G1446" t="s">
        <v>26</v>
      </c>
      <c r="H1446" t="s">
        <v>27</v>
      </c>
      <c r="I1446" t="s">
        <v>86</v>
      </c>
      <c r="J1446">
        <v>665.66499999999996</v>
      </c>
      <c r="K1446">
        <v>0.04</v>
      </c>
      <c r="L1446">
        <v>0.56999999999999995</v>
      </c>
      <c r="M1446">
        <v>8.75</v>
      </c>
      <c r="N1446">
        <v>-538.73050000000001</v>
      </c>
      <c r="O1446" s="1" t="s">
        <v>53</v>
      </c>
      <c r="P1446" s="1" t="s">
        <v>2457</v>
      </c>
      <c r="Q1446" s="1" t="s">
        <v>2458</v>
      </c>
      <c r="R1446" s="1" t="s">
        <v>56</v>
      </c>
      <c r="S1446" s="1" t="s">
        <v>2459</v>
      </c>
      <c r="T1446" s="1" t="s">
        <v>2460</v>
      </c>
      <c r="U1446" s="2" t="s">
        <v>3011</v>
      </c>
      <c r="V1446" s="2" t="s">
        <v>36</v>
      </c>
      <c r="W1446" s="2" t="s">
        <v>37</v>
      </c>
      <c r="X1446" s="2">
        <v>388.46499999999997</v>
      </c>
    </row>
    <row r="1447" spans="1:24" x14ac:dyDescent="0.3">
      <c r="A1447">
        <v>19333</v>
      </c>
      <c r="B1447" t="s">
        <v>4688</v>
      </c>
      <c r="C1447" s="3">
        <v>40619</v>
      </c>
      <c r="D1447" t="s">
        <v>50</v>
      </c>
      <c r="E1447">
        <v>10</v>
      </c>
      <c r="F1447" s="3">
        <f ca="1">40619+(RANDBETWEEN(1,10))</f>
        <v>40623</v>
      </c>
      <c r="G1447" t="s">
        <v>26</v>
      </c>
      <c r="H1447" t="s">
        <v>27</v>
      </c>
      <c r="I1447" t="s">
        <v>97</v>
      </c>
      <c r="J1447">
        <v>200.69</v>
      </c>
      <c r="K1447">
        <v>0.1</v>
      </c>
      <c r="L1447">
        <v>0.4</v>
      </c>
      <c r="M1447">
        <v>18.725000000000001</v>
      </c>
      <c r="N1447">
        <v>-315.91000000000003</v>
      </c>
      <c r="O1447" s="1" t="s">
        <v>40</v>
      </c>
      <c r="P1447" s="1" t="s">
        <v>4689</v>
      </c>
      <c r="Q1447" s="1" t="s">
        <v>4690</v>
      </c>
      <c r="R1447" s="1" t="s">
        <v>220</v>
      </c>
      <c r="S1447" s="1" t="s">
        <v>828</v>
      </c>
      <c r="T1447" s="1" t="s">
        <v>829</v>
      </c>
      <c r="U1447" s="2" t="s">
        <v>2740</v>
      </c>
      <c r="V1447" s="2" t="s">
        <v>47</v>
      </c>
      <c r="W1447" s="2" t="s">
        <v>74</v>
      </c>
      <c r="X1447" s="2">
        <v>20.93</v>
      </c>
    </row>
    <row r="1448" spans="1:24" x14ac:dyDescent="0.3">
      <c r="A1448">
        <v>19334</v>
      </c>
      <c r="B1448" t="s">
        <v>4691</v>
      </c>
      <c r="C1448" s="3">
        <v>41661</v>
      </c>
      <c r="D1448" t="s">
        <v>50</v>
      </c>
      <c r="E1448">
        <v>1</v>
      </c>
      <c r="F1448" s="3">
        <f ca="1">41662+(RANDBETWEEN(1,10))</f>
        <v>41668</v>
      </c>
      <c r="G1448" t="s">
        <v>76</v>
      </c>
      <c r="H1448" t="s">
        <v>77</v>
      </c>
      <c r="I1448" t="s">
        <v>86</v>
      </c>
      <c r="J1448">
        <v>354.62</v>
      </c>
      <c r="K1448">
        <v>0.04</v>
      </c>
      <c r="L1448">
        <v>0.36</v>
      </c>
      <c r="M1448">
        <v>49</v>
      </c>
      <c r="N1448">
        <v>-961.84729200000004</v>
      </c>
      <c r="O1448" s="1" t="s">
        <v>87</v>
      </c>
      <c r="P1448" s="1" t="s">
        <v>3693</v>
      </c>
      <c r="Q1448" s="1" t="s">
        <v>3694</v>
      </c>
      <c r="R1448" s="1" t="s">
        <v>646</v>
      </c>
      <c r="S1448" s="1" t="s">
        <v>3695</v>
      </c>
      <c r="T1448" s="1" t="s">
        <v>3696</v>
      </c>
      <c r="U1448" s="2" t="s">
        <v>2449</v>
      </c>
      <c r="V1448" s="2" t="s">
        <v>36</v>
      </c>
      <c r="W1448" s="2" t="s">
        <v>142</v>
      </c>
      <c r="X1448" s="2">
        <v>318.39499999999998</v>
      </c>
    </row>
    <row r="1449" spans="1:24" x14ac:dyDescent="0.3">
      <c r="A1449">
        <v>19335</v>
      </c>
      <c r="B1449" t="s">
        <v>4691</v>
      </c>
      <c r="C1449" s="3">
        <v>41661</v>
      </c>
      <c r="D1449" t="s">
        <v>50</v>
      </c>
      <c r="E1449">
        <v>6</v>
      </c>
      <c r="F1449" s="3">
        <f ca="1">41663+(RANDBETWEEN(1,10))</f>
        <v>41667</v>
      </c>
      <c r="G1449" t="s">
        <v>26</v>
      </c>
      <c r="H1449" t="s">
        <v>27</v>
      </c>
      <c r="I1449" t="s">
        <v>86</v>
      </c>
      <c r="J1449">
        <v>122.08</v>
      </c>
      <c r="K1449">
        <v>0.08</v>
      </c>
      <c r="L1449">
        <v>0.36</v>
      </c>
      <c r="M1449">
        <v>25.024999999999999</v>
      </c>
      <c r="N1449">
        <v>-400.27820000000003</v>
      </c>
      <c r="O1449" s="1" t="s">
        <v>29</v>
      </c>
      <c r="P1449" s="1" t="s">
        <v>4692</v>
      </c>
      <c r="Q1449" s="1" t="s">
        <v>4693</v>
      </c>
      <c r="R1449" s="1" t="s">
        <v>460</v>
      </c>
      <c r="S1449" s="1" t="s">
        <v>4694</v>
      </c>
      <c r="T1449" s="1" t="s">
        <v>4695</v>
      </c>
      <c r="U1449" s="2" t="s">
        <v>1746</v>
      </c>
      <c r="V1449" s="2" t="s">
        <v>47</v>
      </c>
      <c r="W1449" s="2" t="s">
        <v>74</v>
      </c>
      <c r="X1449" s="2">
        <v>20.93</v>
      </c>
    </row>
    <row r="1450" spans="1:24" x14ac:dyDescent="0.3">
      <c r="A1450">
        <v>19336</v>
      </c>
      <c r="B1450" t="s">
        <v>4696</v>
      </c>
      <c r="C1450" s="3">
        <v>40546</v>
      </c>
      <c r="D1450" t="s">
        <v>39</v>
      </c>
      <c r="E1450">
        <v>3</v>
      </c>
      <c r="F1450" s="3">
        <f ca="1">40547+(RANDBETWEEN(1,10))</f>
        <v>40549</v>
      </c>
      <c r="G1450" t="s">
        <v>26</v>
      </c>
      <c r="H1450" t="s">
        <v>281</v>
      </c>
      <c r="I1450" t="s">
        <v>97</v>
      </c>
      <c r="J1450">
        <v>229.91499999999999</v>
      </c>
      <c r="K1450">
        <v>0.05</v>
      </c>
      <c r="L1450">
        <v>0.78</v>
      </c>
      <c r="M1450">
        <v>74.2</v>
      </c>
      <c r="N1450">
        <v>-633.85699999999997</v>
      </c>
      <c r="O1450" s="1" t="s">
        <v>64</v>
      </c>
      <c r="P1450" s="1" t="s">
        <v>4697</v>
      </c>
      <c r="Q1450" s="1" t="s">
        <v>4698</v>
      </c>
      <c r="R1450" s="1" t="s">
        <v>67</v>
      </c>
      <c r="S1450" s="1" t="s">
        <v>4699</v>
      </c>
      <c r="T1450" s="1" t="s">
        <v>4700</v>
      </c>
      <c r="U1450" s="2" t="s">
        <v>4701</v>
      </c>
      <c r="V1450" s="2" t="s">
        <v>83</v>
      </c>
      <c r="W1450" s="2" t="s">
        <v>178</v>
      </c>
      <c r="X1450" s="2">
        <v>73.430000000000007</v>
      </c>
    </row>
    <row r="1451" spans="1:24" x14ac:dyDescent="0.3">
      <c r="A1451">
        <v>19337</v>
      </c>
      <c r="B1451" t="s">
        <v>4702</v>
      </c>
      <c r="C1451" s="3">
        <v>41499</v>
      </c>
      <c r="D1451" t="s">
        <v>148</v>
      </c>
      <c r="E1451">
        <v>22</v>
      </c>
      <c r="F1451" s="3">
        <f ca="1">41502+(RANDBETWEEN(1,10))</f>
        <v>41507</v>
      </c>
      <c r="G1451" t="s">
        <v>26</v>
      </c>
      <c r="H1451" t="s">
        <v>27</v>
      </c>
      <c r="I1451" t="s">
        <v>28</v>
      </c>
      <c r="J1451">
        <v>308.45499999999998</v>
      </c>
      <c r="K1451">
        <v>7.0000000000000007E-2</v>
      </c>
      <c r="L1451">
        <v>0.39</v>
      </c>
      <c r="M1451">
        <v>1.75</v>
      </c>
      <c r="N1451">
        <v>212.83394999999999</v>
      </c>
      <c r="O1451" s="1" t="s">
        <v>29</v>
      </c>
      <c r="P1451" s="1" t="s">
        <v>1893</v>
      </c>
      <c r="Q1451" s="1" t="s">
        <v>1894</v>
      </c>
      <c r="R1451" s="1" t="s">
        <v>32</v>
      </c>
      <c r="S1451" s="1" t="s">
        <v>1895</v>
      </c>
      <c r="T1451" s="1" t="s">
        <v>1896</v>
      </c>
      <c r="U1451" s="2" t="s">
        <v>1889</v>
      </c>
      <c r="V1451" s="2" t="s">
        <v>47</v>
      </c>
      <c r="W1451" s="2" t="s">
        <v>203</v>
      </c>
      <c r="X1451" s="2">
        <v>14.455</v>
      </c>
    </row>
    <row r="1452" spans="1:24" x14ac:dyDescent="0.3">
      <c r="A1452">
        <v>19338</v>
      </c>
      <c r="B1452" t="s">
        <v>4703</v>
      </c>
      <c r="C1452" s="3">
        <v>41924</v>
      </c>
      <c r="D1452" t="s">
        <v>25</v>
      </c>
      <c r="E1452">
        <v>14</v>
      </c>
      <c r="F1452" s="3">
        <f ca="1">41931+(RANDBETWEEN(1,10))</f>
        <v>41935</v>
      </c>
      <c r="G1452" t="s">
        <v>26</v>
      </c>
      <c r="H1452" t="s">
        <v>281</v>
      </c>
      <c r="I1452" t="s">
        <v>97</v>
      </c>
      <c r="J1452">
        <v>6606.7049999999999</v>
      </c>
      <c r="K1452">
        <v>0.03</v>
      </c>
      <c r="L1452" t="s">
        <v>182</v>
      </c>
      <c r="M1452">
        <v>44.274999999999999</v>
      </c>
      <c r="N1452">
        <v>3568.95</v>
      </c>
      <c r="O1452" s="1" t="s">
        <v>29</v>
      </c>
      <c r="P1452" s="1" t="s">
        <v>4366</v>
      </c>
      <c r="Q1452" s="1" t="s">
        <v>4367</v>
      </c>
      <c r="R1452" s="1" t="s">
        <v>32</v>
      </c>
      <c r="S1452" s="1" t="s">
        <v>4368</v>
      </c>
      <c r="T1452" s="1" t="s">
        <v>4369</v>
      </c>
      <c r="U1452" s="2" t="s">
        <v>1695</v>
      </c>
      <c r="V1452" s="2" t="s">
        <v>83</v>
      </c>
      <c r="W1452" s="2" t="s">
        <v>84</v>
      </c>
      <c r="X1452" s="2">
        <v>448.84</v>
      </c>
    </row>
    <row r="1453" spans="1:24" x14ac:dyDescent="0.3">
      <c r="A1453">
        <v>19339</v>
      </c>
      <c r="B1453" t="s">
        <v>4704</v>
      </c>
      <c r="C1453" s="3">
        <v>41478</v>
      </c>
      <c r="D1453" t="s">
        <v>25</v>
      </c>
      <c r="E1453">
        <v>5</v>
      </c>
      <c r="F1453" s="3">
        <f ca="1">41478+(RANDBETWEEN(1,10))</f>
        <v>41485</v>
      </c>
      <c r="G1453" t="s">
        <v>26</v>
      </c>
      <c r="H1453" t="s">
        <v>27</v>
      </c>
      <c r="I1453" t="s">
        <v>52</v>
      </c>
      <c r="J1453">
        <v>105.105</v>
      </c>
      <c r="K1453">
        <v>0.02</v>
      </c>
      <c r="L1453">
        <v>0.37</v>
      </c>
      <c r="M1453">
        <v>27.23</v>
      </c>
      <c r="N1453">
        <v>-255.99</v>
      </c>
      <c r="O1453" s="1" t="s">
        <v>53</v>
      </c>
      <c r="P1453" s="1" t="s">
        <v>4705</v>
      </c>
      <c r="Q1453" s="1" t="s">
        <v>4706</v>
      </c>
      <c r="R1453" s="1" t="s">
        <v>100</v>
      </c>
      <c r="S1453" s="1" t="s">
        <v>4707</v>
      </c>
      <c r="T1453" s="1" t="s">
        <v>4708</v>
      </c>
      <c r="U1453" s="2" t="s">
        <v>599</v>
      </c>
      <c r="V1453" s="2" t="s">
        <v>47</v>
      </c>
      <c r="W1453" s="2" t="s">
        <v>111</v>
      </c>
      <c r="X1453" s="2">
        <v>18.899999999999999</v>
      </c>
    </row>
    <row r="1454" spans="1:24" x14ac:dyDescent="0.3">
      <c r="A1454">
        <v>19340</v>
      </c>
      <c r="B1454" t="s">
        <v>4709</v>
      </c>
      <c r="C1454" s="3">
        <v>41722</v>
      </c>
      <c r="D1454" t="s">
        <v>50</v>
      </c>
      <c r="E1454">
        <v>6</v>
      </c>
      <c r="F1454" s="3">
        <f ca="1">41723+(RANDBETWEEN(1,10))</f>
        <v>41724</v>
      </c>
      <c r="G1454" t="s">
        <v>26</v>
      </c>
      <c r="H1454" t="s">
        <v>51</v>
      </c>
      <c r="I1454" t="s">
        <v>52</v>
      </c>
      <c r="J1454">
        <v>113.61</v>
      </c>
      <c r="K1454">
        <v>0.1</v>
      </c>
      <c r="L1454">
        <v>0.56000000000000005</v>
      </c>
      <c r="M1454">
        <v>12.6</v>
      </c>
      <c r="N1454">
        <v>-159.77500000000001</v>
      </c>
      <c r="O1454" s="1" t="s">
        <v>53</v>
      </c>
      <c r="P1454" s="1" t="s">
        <v>2784</v>
      </c>
      <c r="Q1454" s="1" t="s">
        <v>2785</v>
      </c>
      <c r="R1454" s="1" t="s">
        <v>56</v>
      </c>
      <c r="S1454" s="1" t="s">
        <v>2786</v>
      </c>
      <c r="T1454" s="1" t="s">
        <v>2787</v>
      </c>
      <c r="U1454" s="2" t="s">
        <v>4710</v>
      </c>
      <c r="V1454" s="2" t="s">
        <v>47</v>
      </c>
      <c r="W1454" s="2" t="s">
        <v>94</v>
      </c>
      <c r="X1454" s="2">
        <v>19.88</v>
      </c>
    </row>
    <row r="1455" spans="1:24" x14ac:dyDescent="0.3">
      <c r="A1455">
        <v>19341</v>
      </c>
      <c r="B1455" t="s">
        <v>4711</v>
      </c>
      <c r="C1455" s="3">
        <v>41162</v>
      </c>
      <c r="D1455" t="s">
        <v>62</v>
      </c>
      <c r="E1455">
        <v>13</v>
      </c>
      <c r="F1455" s="3">
        <f ca="1">41163+(RANDBETWEEN(1,10))</f>
        <v>41170</v>
      </c>
      <c r="G1455" t="s">
        <v>26</v>
      </c>
      <c r="H1455" t="s">
        <v>51</v>
      </c>
      <c r="I1455" t="s">
        <v>28</v>
      </c>
      <c r="J1455">
        <v>1918.21</v>
      </c>
      <c r="K1455">
        <v>0.02</v>
      </c>
      <c r="L1455">
        <v>0.42</v>
      </c>
      <c r="M1455">
        <v>6.9649999999999999</v>
      </c>
      <c r="N1455">
        <v>1323.5649000000001</v>
      </c>
      <c r="O1455" s="1" t="s">
        <v>53</v>
      </c>
      <c r="P1455" s="1" t="s">
        <v>2537</v>
      </c>
      <c r="Q1455" s="1" t="s">
        <v>2538</v>
      </c>
      <c r="R1455" s="1" t="s">
        <v>100</v>
      </c>
      <c r="S1455" s="1" t="s">
        <v>2539</v>
      </c>
      <c r="T1455" s="1" t="s">
        <v>2540</v>
      </c>
      <c r="U1455" s="2" t="s">
        <v>1997</v>
      </c>
      <c r="V1455" s="2" t="s">
        <v>36</v>
      </c>
      <c r="W1455" s="2" t="s">
        <v>60</v>
      </c>
      <c r="X1455" s="2">
        <v>143.39500000000001</v>
      </c>
    </row>
    <row r="1456" spans="1:24" x14ac:dyDescent="0.3">
      <c r="A1456">
        <v>19342</v>
      </c>
      <c r="B1456" t="s">
        <v>4712</v>
      </c>
      <c r="C1456" s="3">
        <v>41296</v>
      </c>
      <c r="D1456" t="s">
        <v>62</v>
      </c>
      <c r="E1456">
        <v>11</v>
      </c>
      <c r="F1456" s="3">
        <f ca="1">41298+(RANDBETWEEN(1,10))</f>
        <v>41303</v>
      </c>
      <c r="G1456" t="s">
        <v>156</v>
      </c>
      <c r="H1456" t="s">
        <v>27</v>
      </c>
      <c r="I1456" t="s">
        <v>52</v>
      </c>
      <c r="J1456">
        <v>1914.78</v>
      </c>
      <c r="K1456">
        <v>0.03</v>
      </c>
      <c r="L1456">
        <v>0.59</v>
      </c>
      <c r="M1456">
        <v>15.75</v>
      </c>
      <c r="N1456">
        <v>1321.1982</v>
      </c>
      <c r="O1456" s="1" t="s">
        <v>225</v>
      </c>
      <c r="P1456" s="1" t="s">
        <v>2569</v>
      </c>
      <c r="Q1456" s="1" t="s">
        <v>2570</v>
      </c>
      <c r="R1456" s="1" t="s">
        <v>228</v>
      </c>
      <c r="S1456" s="1" t="s">
        <v>2571</v>
      </c>
      <c r="T1456" s="1" t="s">
        <v>2572</v>
      </c>
      <c r="U1456" s="2" t="s">
        <v>4713</v>
      </c>
      <c r="V1456" s="2" t="s">
        <v>47</v>
      </c>
      <c r="W1456" s="2" t="s">
        <v>71</v>
      </c>
      <c r="X1456" s="2">
        <v>171.22</v>
      </c>
    </row>
    <row r="1457" spans="1:24" x14ac:dyDescent="0.3">
      <c r="A1457">
        <v>19343</v>
      </c>
      <c r="B1457" t="s">
        <v>4712</v>
      </c>
      <c r="C1457" s="3">
        <v>41296</v>
      </c>
      <c r="D1457" t="s">
        <v>62</v>
      </c>
      <c r="E1457">
        <v>1</v>
      </c>
      <c r="F1457" s="3">
        <f ca="1">41298+(RANDBETWEEN(1,10))</f>
        <v>41302</v>
      </c>
      <c r="G1457" t="s">
        <v>26</v>
      </c>
      <c r="H1457" t="s">
        <v>27</v>
      </c>
      <c r="I1457" t="s">
        <v>52</v>
      </c>
      <c r="J1457">
        <v>15.085000000000001</v>
      </c>
      <c r="K1457">
        <v>0</v>
      </c>
      <c r="L1457">
        <v>0.39</v>
      </c>
      <c r="M1457">
        <v>1.75</v>
      </c>
      <c r="N1457">
        <v>7.3150000000000004</v>
      </c>
      <c r="O1457" s="1" t="s">
        <v>225</v>
      </c>
      <c r="P1457" s="1" t="s">
        <v>2569</v>
      </c>
      <c r="Q1457" s="1" t="s">
        <v>2570</v>
      </c>
      <c r="R1457" s="1" t="s">
        <v>228</v>
      </c>
      <c r="S1457" s="1" t="s">
        <v>2571</v>
      </c>
      <c r="T1457" s="1" t="s">
        <v>2572</v>
      </c>
      <c r="U1457" s="2" t="s">
        <v>1889</v>
      </c>
      <c r="V1457" s="2" t="s">
        <v>47</v>
      </c>
      <c r="W1457" s="2" t="s">
        <v>203</v>
      </c>
      <c r="X1457" s="2">
        <v>14.455</v>
      </c>
    </row>
    <row r="1458" spans="1:24" x14ac:dyDescent="0.3">
      <c r="A1458">
        <v>19344</v>
      </c>
      <c r="B1458" t="s">
        <v>4712</v>
      </c>
      <c r="C1458" s="3">
        <v>41296</v>
      </c>
      <c r="D1458" t="s">
        <v>62</v>
      </c>
      <c r="E1458">
        <v>12</v>
      </c>
      <c r="F1458" s="3">
        <f ca="1">41298+(RANDBETWEEN(1,10))</f>
        <v>41304</v>
      </c>
      <c r="G1458" t="s">
        <v>26</v>
      </c>
      <c r="H1458" t="s">
        <v>96</v>
      </c>
      <c r="I1458" t="s">
        <v>52</v>
      </c>
      <c r="J1458">
        <v>113.12</v>
      </c>
      <c r="K1458">
        <v>0.1</v>
      </c>
      <c r="L1458">
        <v>0.55000000000000004</v>
      </c>
      <c r="M1458">
        <v>3.5350000000000001</v>
      </c>
      <c r="N1458">
        <v>-6.4665999999999997</v>
      </c>
      <c r="O1458" s="1" t="s">
        <v>225</v>
      </c>
      <c r="P1458" s="1" t="s">
        <v>2569</v>
      </c>
      <c r="Q1458" s="1" t="s">
        <v>2570</v>
      </c>
      <c r="R1458" s="1" t="s">
        <v>228</v>
      </c>
      <c r="S1458" s="1" t="s">
        <v>2571</v>
      </c>
      <c r="T1458" s="1" t="s">
        <v>2572</v>
      </c>
      <c r="U1458" s="2" t="s">
        <v>4714</v>
      </c>
      <c r="V1458" s="2" t="s">
        <v>47</v>
      </c>
      <c r="W1458" s="2" t="s">
        <v>104</v>
      </c>
      <c r="X1458" s="2">
        <v>10.08</v>
      </c>
    </row>
    <row r="1459" spans="1:24" x14ac:dyDescent="0.3">
      <c r="A1459">
        <v>19345</v>
      </c>
      <c r="B1459" t="s">
        <v>4715</v>
      </c>
      <c r="C1459" s="3">
        <v>41720</v>
      </c>
      <c r="D1459" t="s">
        <v>148</v>
      </c>
      <c r="E1459">
        <v>2</v>
      </c>
      <c r="F1459" s="3">
        <f ca="1">41722+(RANDBETWEEN(1,10))</f>
        <v>41730</v>
      </c>
      <c r="G1459" t="s">
        <v>26</v>
      </c>
      <c r="H1459" t="s">
        <v>51</v>
      </c>
      <c r="I1459" t="s">
        <v>52</v>
      </c>
      <c r="J1459">
        <v>131.6</v>
      </c>
      <c r="K1459">
        <v>0.01</v>
      </c>
      <c r="L1459">
        <v>0.45</v>
      </c>
      <c r="M1459">
        <v>6.9649999999999999</v>
      </c>
      <c r="N1459">
        <v>1310.6583000000001</v>
      </c>
      <c r="O1459" s="1" t="s">
        <v>225</v>
      </c>
      <c r="P1459" s="1" t="s">
        <v>3116</v>
      </c>
      <c r="Q1459" s="1" t="s">
        <v>3117</v>
      </c>
      <c r="R1459" s="1" t="s">
        <v>228</v>
      </c>
      <c r="S1459" s="1" t="s">
        <v>1879</v>
      </c>
      <c r="T1459" s="1" t="s">
        <v>1880</v>
      </c>
      <c r="U1459" s="2" t="s">
        <v>59</v>
      </c>
      <c r="V1459" s="2" t="s">
        <v>36</v>
      </c>
      <c r="W1459" s="2" t="s">
        <v>60</v>
      </c>
      <c r="X1459" s="2">
        <v>61.18</v>
      </c>
    </row>
    <row r="1460" spans="1:24" x14ac:dyDescent="0.3">
      <c r="A1460">
        <v>19346</v>
      </c>
      <c r="B1460" t="s">
        <v>4716</v>
      </c>
      <c r="C1460" s="3">
        <v>41616</v>
      </c>
      <c r="D1460" t="s">
        <v>62</v>
      </c>
      <c r="E1460">
        <v>12</v>
      </c>
      <c r="F1460" s="3">
        <f ca="1">41617+(RANDBETWEEN(1,10))</f>
        <v>41621</v>
      </c>
      <c r="G1460" t="s">
        <v>26</v>
      </c>
      <c r="H1460" t="s">
        <v>27</v>
      </c>
      <c r="I1460" t="s">
        <v>52</v>
      </c>
      <c r="J1460">
        <v>1370.2850000000001</v>
      </c>
      <c r="K1460">
        <v>0.04</v>
      </c>
      <c r="L1460">
        <v>0.37</v>
      </c>
      <c r="M1460">
        <v>40.704999999999998</v>
      </c>
      <c r="N1460">
        <v>-279.15300000000002</v>
      </c>
      <c r="O1460" s="1" t="s">
        <v>87</v>
      </c>
      <c r="P1460" s="1" t="s">
        <v>607</v>
      </c>
      <c r="Q1460" s="1" t="s">
        <v>608</v>
      </c>
      <c r="R1460" s="1" t="s">
        <v>90</v>
      </c>
      <c r="S1460" s="1" t="s">
        <v>609</v>
      </c>
      <c r="T1460" s="1" t="s">
        <v>610</v>
      </c>
      <c r="U1460" s="2" t="s">
        <v>4541</v>
      </c>
      <c r="V1460" s="2" t="s">
        <v>47</v>
      </c>
      <c r="W1460" s="2" t="s">
        <v>111</v>
      </c>
      <c r="X1460" s="2">
        <v>108.43</v>
      </c>
    </row>
    <row r="1461" spans="1:24" x14ac:dyDescent="0.3">
      <c r="A1461">
        <v>19347</v>
      </c>
      <c r="B1461" t="s">
        <v>4716</v>
      </c>
      <c r="C1461" s="3">
        <v>41616</v>
      </c>
      <c r="D1461" t="s">
        <v>62</v>
      </c>
      <c r="E1461">
        <v>2</v>
      </c>
      <c r="F1461" s="3">
        <f ca="1">41618+(RANDBETWEEN(1,10))</f>
        <v>41622</v>
      </c>
      <c r="G1461" t="s">
        <v>26</v>
      </c>
      <c r="H1461" t="s">
        <v>27</v>
      </c>
      <c r="I1461" t="s">
        <v>52</v>
      </c>
      <c r="J1461">
        <v>32.305</v>
      </c>
      <c r="K1461">
        <v>0.06</v>
      </c>
      <c r="L1461">
        <v>0.36</v>
      </c>
      <c r="M1461">
        <v>1.75</v>
      </c>
      <c r="N1461">
        <v>-110.005</v>
      </c>
      <c r="O1461" s="1" t="s">
        <v>87</v>
      </c>
      <c r="P1461" s="1" t="s">
        <v>607</v>
      </c>
      <c r="Q1461" s="1" t="s">
        <v>608</v>
      </c>
      <c r="R1461" s="1" t="s">
        <v>90</v>
      </c>
      <c r="S1461" s="1" t="s">
        <v>609</v>
      </c>
      <c r="T1461" s="1" t="s">
        <v>610</v>
      </c>
      <c r="U1461" s="2" t="s">
        <v>2281</v>
      </c>
      <c r="V1461" s="2" t="s">
        <v>47</v>
      </c>
      <c r="W1461" s="2" t="s">
        <v>203</v>
      </c>
      <c r="X1461" s="2">
        <v>17.184999999999999</v>
      </c>
    </row>
    <row r="1462" spans="1:24" x14ac:dyDescent="0.3">
      <c r="A1462">
        <v>19348</v>
      </c>
      <c r="B1462" t="s">
        <v>4717</v>
      </c>
      <c r="C1462" s="3">
        <v>41040</v>
      </c>
      <c r="D1462" t="s">
        <v>39</v>
      </c>
      <c r="E1462">
        <v>6</v>
      </c>
      <c r="F1462" s="3">
        <f ca="1">41042+(RANDBETWEEN(1,10))</f>
        <v>41051</v>
      </c>
      <c r="G1462" t="s">
        <v>26</v>
      </c>
      <c r="H1462" t="s">
        <v>27</v>
      </c>
      <c r="I1462" t="s">
        <v>97</v>
      </c>
      <c r="J1462">
        <v>3105.62</v>
      </c>
      <c r="K1462">
        <v>0.1</v>
      </c>
      <c r="L1462">
        <v>0.39</v>
      </c>
      <c r="M1462">
        <v>69.965000000000003</v>
      </c>
      <c r="N1462">
        <v>2142.8778000000002</v>
      </c>
      <c r="O1462" s="1" t="s">
        <v>64</v>
      </c>
      <c r="P1462" s="1" t="s">
        <v>4718</v>
      </c>
      <c r="Q1462" s="1" t="s">
        <v>4719</v>
      </c>
      <c r="R1462" s="1" t="s">
        <v>67</v>
      </c>
      <c r="S1462" s="1" t="s">
        <v>4720</v>
      </c>
      <c r="T1462" s="1" t="s">
        <v>4721</v>
      </c>
      <c r="U1462" s="2" t="s">
        <v>2128</v>
      </c>
      <c r="V1462" s="2" t="s">
        <v>47</v>
      </c>
      <c r="W1462" s="2" t="s">
        <v>48</v>
      </c>
      <c r="X1462" s="2">
        <v>570.255</v>
      </c>
    </row>
    <row r="1463" spans="1:24" x14ac:dyDescent="0.3">
      <c r="A1463">
        <v>19349</v>
      </c>
      <c r="B1463" t="s">
        <v>4717</v>
      </c>
      <c r="C1463" s="3">
        <v>41040</v>
      </c>
      <c r="D1463" t="s">
        <v>39</v>
      </c>
      <c r="E1463">
        <v>18</v>
      </c>
      <c r="F1463" s="3">
        <f ca="1">41040+(RANDBETWEEN(1,10))</f>
        <v>41041</v>
      </c>
      <c r="G1463" t="s">
        <v>26</v>
      </c>
      <c r="H1463" t="s">
        <v>27</v>
      </c>
      <c r="I1463" t="s">
        <v>97</v>
      </c>
      <c r="J1463">
        <v>868.77</v>
      </c>
      <c r="K1463">
        <v>0.06</v>
      </c>
      <c r="L1463">
        <v>0.43</v>
      </c>
      <c r="M1463">
        <v>30.73</v>
      </c>
      <c r="N1463">
        <v>-61.215000000000003</v>
      </c>
      <c r="O1463" s="1" t="s">
        <v>64</v>
      </c>
      <c r="P1463" s="1" t="s">
        <v>4718</v>
      </c>
      <c r="Q1463" s="1" t="s">
        <v>4719</v>
      </c>
      <c r="R1463" s="1" t="s">
        <v>67</v>
      </c>
      <c r="S1463" s="1" t="s">
        <v>4720</v>
      </c>
      <c r="T1463" s="1" t="s">
        <v>4721</v>
      </c>
      <c r="U1463" s="2" t="s">
        <v>4722</v>
      </c>
      <c r="V1463" s="2" t="s">
        <v>83</v>
      </c>
      <c r="W1463" s="2" t="s">
        <v>178</v>
      </c>
      <c r="X1463" s="2">
        <v>48.265000000000001</v>
      </c>
    </row>
    <row r="1464" spans="1:24" x14ac:dyDescent="0.3">
      <c r="A1464">
        <v>19350</v>
      </c>
      <c r="B1464" t="s">
        <v>4717</v>
      </c>
      <c r="C1464" s="3">
        <v>41040</v>
      </c>
      <c r="D1464" t="s">
        <v>39</v>
      </c>
      <c r="E1464">
        <v>6</v>
      </c>
      <c r="F1464" s="3">
        <f ca="1">41042+(RANDBETWEEN(1,10))</f>
        <v>41047</v>
      </c>
      <c r="G1464" t="s">
        <v>26</v>
      </c>
      <c r="H1464" t="s">
        <v>51</v>
      </c>
      <c r="I1464" t="s">
        <v>97</v>
      </c>
      <c r="J1464">
        <v>384.54500000000002</v>
      </c>
      <c r="K1464">
        <v>0.05</v>
      </c>
      <c r="L1464">
        <v>0.81</v>
      </c>
      <c r="M1464">
        <v>11.55</v>
      </c>
      <c r="N1464">
        <v>-327.63499999999999</v>
      </c>
      <c r="O1464" s="1" t="s">
        <v>64</v>
      </c>
      <c r="P1464" s="1" t="s">
        <v>4718</v>
      </c>
      <c r="Q1464" s="1" t="s">
        <v>4719</v>
      </c>
      <c r="R1464" s="1" t="s">
        <v>67</v>
      </c>
      <c r="S1464" s="1" t="s">
        <v>4720</v>
      </c>
      <c r="T1464" s="1" t="s">
        <v>4721</v>
      </c>
      <c r="U1464" s="2" t="s">
        <v>2224</v>
      </c>
      <c r="V1464" s="2" t="s">
        <v>36</v>
      </c>
      <c r="W1464" s="2" t="s">
        <v>37</v>
      </c>
      <c r="X1464" s="2">
        <v>73.465000000000003</v>
      </c>
    </row>
    <row r="1465" spans="1:24" x14ac:dyDescent="0.3">
      <c r="A1465">
        <v>19351</v>
      </c>
      <c r="B1465" t="s">
        <v>4717</v>
      </c>
      <c r="C1465" s="3">
        <v>41040</v>
      </c>
      <c r="D1465" t="s">
        <v>39</v>
      </c>
      <c r="E1465">
        <v>18</v>
      </c>
      <c r="F1465" s="3">
        <f ca="1">41042+(RANDBETWEEN(1,10))</f>
        <v>41043</v>
      </c>
      <c r="G1465" t="s">
        <v>26</v>
      </c>
      <c r="H1465" t="s">
        <v>51</v>
      </c>
      <c r="I1465" t="s">
        <v>97</v>
      </c>
      <c r="J1465">
        <v>4555.95</v>
      </c>
      <c r="K1465">
        <v>0.03</v>
      </c>
      <c r="L1465">
        <v>0.37</v>
      </c>
      <c r="M1465">
        <v>11.55</v>
      </c>
      <c r="N1465">
        <v>3143.6055000000001</v>
      </c>
      <c r="O1465" s="1" t="s">
        <v>29</v>
      </c>
      <c r="P1465" s="1" t="s">
        <v>4723</v>
      </c>
      <c r="Q1465" s="1" t="s">
        <v>4724</v>
      </c>
      <c r="R1465" s="1" t="s">
        <v>460</v>
      </c>
      <c r="S1465" s="1" t="s">
        <v>4725</v>
      </c>
      <c r="T1465" s="1" t="s">
        <v>4726</v>
      </c>
      <c r="U1465" s="2" t="s">
        <v>1240</v>
      </c>
      <c r="V1465" s="2" t="s">
        <v>36</v>
      </c>
      <c r="W1465" s="2" t="s">
        <v>37</v>
      </c>
      <c r="X1465" s="2">
        <v>300.96499999999997</v>
      </c>
    </row>
    <row r="1466" spans="1:24" x14ac:dyDescent="0.3">
      <c r="A1466">
        <v>19352</v>
      </c>
      <c r="B1466" t="s">
        <v>4727</v>
      </c>
      <c r="C1466" s="3">
        <v>41192</v>
      </c>
      <c r="D1466" t="s">
        <v>62</v>
      </c>
      <c r="E1466">
        <v>19</v>
      </c>
      <c r="F1466" s="3">
        <f ca="1">41193+(RANDBETWEEN(1,10))</f>
        <v>41195</v>
      </c>
      <c r="G1466" t="s">
        <v>26</v>
      </c>
      <c r="H1466" t="s">
        <v>51</v>
      </c>
      <c r="I1466" t="s">
        <v>97</v>
      </c>
      <c r="J1466">
        <v>494.41</v>
      </c>
      <c r="K1466">
        <v>0</v>
      </c>
      <c r="L1466">
        <v>0.68</v>
      </c>
      <c r="M1466">
        <v>12.32</v>
      </c>
      <c r="N1466">
        <v>-278.4348</v>
      </c>
      <c r="O1466" s="1" t="s">
        <v>53</v>
      </c>
      <c r="P1466" s="1" t="s">
        <v>3932</v>
      </c>
      <c r="Q1466" s="1" t="s">
        <v>3933</v>
      </c>
      <c r="R1466" s="1" t="s">
        <v>56</v>
      </c>
      <c r="S1466" s="1" t="s">
        <v>3934</v>
      </c>
      <c r="T1466" s="1" t="s">
        <v>3935</v>
      </c>
      <c r="U1466" s="2" t="s">
        <v>2862</v>
      </c>
      <c r="V1466" s="2" t="s">
        <v>36</v>
      </c>
      <c r="W1466" s="2" t="s">
        <v>60</v>
      </c>
      <c r="X1466" s="2">
        <v>25.48</v>
      </c>
    </row>
    <row r="1467" spans="1:24" x14ac:dyDescent="0.3">
      <c r="A1467">
        <v>19353</v>
      </c>
      <c r="B1467" t="s">
        <v>4728</v>
      </c>
      <c r="C1467" s="3">
        <v>41940</v>
      </c>
      <c r="D1467" t="s">
        <v>25</v>
      </c>
      <c r="E1467">
        <v>25</v>
      </c>
      <c r="F1467" s="3">
        <f ca="1">41944+(RANDBETWEEN(1,10))</f>
        <v>41945</v>
      </c>
      <c r="G1467" t="s">
        <v>26</v>
      </c>
      <c r="H1467" t="s">
        <v>51</v>
      </c>
      <c r="I1467" t="s">
        <v>28</v>
      </c>
      <c r="J1467">
        <v>1315.615</v>
      </c>
      <c r="K1467">
        <v>0.1</v>
      </c>
      <c r="L1467">
        <v>0.55000000000000004</v>
      </c>
      <c r="M1467">
        <v>19.074999999999999</v>
      </c>
      <c r="N1467">
        <v>23.1</v>
      </c>
      <c r="O1467" s="1" t="s">
        <v>40</v>
      </c>
      <c r="P1467" s="1" t="s">
        <v>3637</v>
      </c>
      <c r="Q1467" s="1" t="s">
        <v>3638</v>
      </c>
      <c r="R1467" s="1" t="s">
        <v>43</v>
      </c>
      <c r="S1467" s="1" t="s">
        <v>3639</v>
      </c>
      <c r="T1467" s="1" t="s">
        <v>3640</v>
      </c>
      <c r="U1467" s="2" t="s">
        <v>2180</v>
      </c>
      <c r="V1467" s="2" t="s">
        <v>47</v>
      </c>
      <c r="W1467" s="2" t="s">
        <v>104</v>
      </c>
      <c r="X1467" s="2">
        <v>55.79</v>
      </c>
    </row>
    <row r="1468" spans="1:24" x14ac:dyDescent="0.3">
      <c r="A1468">
        <v>19354</v>
      </c>
      <c r="B1468" t="s">
        <v>4729</v>
      </c>
      <c r="C1468" s="3">
        <v>41521</v>
      </c>
      <c r="D1468" t="s">
        <v>62</v>
      </c>
      <c r="E1468">
        <v>9</v>
      </c>
      <c r="F1468" s="3">
        <f ca="1">41523+(RANDBETWEEN(1,10))</f>
        <v>41525</v>
      </c>
      <c r="G1468" t="s">
        <v>26</v>
      </c>
      <c r="H1468" t="s">
        <v>96</v>
      </c>
      <c r="I1468" t="s">
        <v>97</v>
      </c>
      <c r="J1468">
        <v>59.43</v>
      </c>
      <c r="K1468">
        <v>0</v>
      </c>
      <c r="L1468">
        <v>0.56000000000000005</v>
      </c>
      <c r="M1468">
        <v>2.4500000000000002</v>
      </c>
      <c r="N1468">
        <v>0.35</v>
      </c>
      <c r="O1468" s="1" t="s">
        <v>40</v>
      </c>
      <c r="P1468" s="1" t="s">
        <v>1441</v>
      </c>
      <c r="Q1468" s="1" t="s">
        <v>1442</v>
      </c>
      <c r="R1468" s="1" t="s">
        <v>43</v>
      </c>
      <c r="S1468" s="1" t="s">
        <v>1443</v>
      </c>
      <c r="T1468" s="1" t="s">
        <v>1444</v>
      </c>
      <c r="U1468" s="2" t="s">
        <v>384</v>
      </c>
      <c r="V1468" s="2" t="s">
        <v>47</v>
      </c>
      <c r="W1468" s="2" t="s">
        <v>104</v>
      </c>
      <c r="X1468" s="2">
        <v>6.16</v>
      </c>
    </row>
    <row r="1469" spans="1:24" x14ac:dyDescent="0.3">
      <c r="A1469">
        <v>19355</v>
      </c>
      <c r="B1469" t="s">
        <v>4730</v>
      </c>
      <c r="C1469" s="3">
        <v>40798</v>
      </c>
      <c r="D1469" t="s">
        <v>25</v>
      </c>
      <c r="E1469">
        <v>22</v>
      </c>
      <c r="F1469" s="3">
        <f ca="1">40805+(RANDBETWEEN(1,10))</f>
        <v>40808</v>
      </c>
      <c r="G1469" t="s">
        <v>26</v>
      </c>
      <c r="H1469" t="s">
        <v>27</v>
      </c>
      <c r="I1469" t="s">
        <v>28</v>
      </c>
      <c r="J1469">
        <v>13433.49</v>
      </c>
      <c r="K1469">
        <v>0.06</v>
      </c>
      <c r="L1469">
        <v>0.56000000000000005</v>
      </c>
      <c r="M1469">
        <v>31.465</v>
      </c>
      <c r="N1469">
        <v>8988.3359999999993</v>
      </c>
      <c r="O1469" s="1" t="s">
        <v>29</v>
      </c>
      <c r="P1469" s="1" t="s">
        <v>4731</v>
      </c>
      <c r="Q1469" s="1" t="s">
        <v>4732</v>
      </c>
      <c r="R1469" s="1" t="s">
        <v>32</v>
      </c>
      <c r="S1469" s="1" t="s">
        <v>4733</v>
      </c>
      <c r="T1469" s="1" t="s">
        <v>4734</v>
      </c>
      <c r="U1469" s="2" t="s">
        <v>4735</v>
      </c>
      <c r="V1469" s="2" t="s">
        <v>36</v>
      </c>
      <c r="W1469" s="2" t="s">
        <v>37</v>
      </c>
      <c r="X1469" s="2">
        <v>720.96500000000003</v>
      </c>
    </row>
    <row r="1470" spans="1:24" x14ac:dyDescent="0.3">
      <c r="A1470">
        <v>19356</v>
      </c>
      <c r="B1470" t="s">
        <v>4736</v>
      </c>
      <c r="C1470" s="3">
        <v>41836</v>
      </c>
      <c r="D1470" t="s">
        <v>148</v>
      </c>
      <c r="E1470">
        <v>18</v>
      </c>
      <c r="F1470" s="3">
        <f ca="1">41837+(RANDBETWEEN(1,10))</f>
        <v>41847</v>
      </c>
      <c r="G1470" t="s">
        <v>26</v>
      </c>
      <c r="H1470" t="s">
        <v>27</v>
      </c>
      <c r="I1470" t="s">
        <v>28</v>
      </c>
      <c r="J1470">
        <v>1772.365</v>
      </c>
      <c r="K1470">
        <v>0.02</v>
      </c>
      <c r="L1470">
        <v>0.38</v>
      </c>
      <c r="M1470">
        <v>28.805</v>
      </c>
      <c r="N1470">
        <v>1222.9318499999999</v>
      </c>
      <c r="O1470" s="1" t="s">
        <v>87</v>
      </c>
      <c r="P1470" s="1" t="s">
        <v>4737</v>
      </c>
      <c r="Q1470" s="1" t="s">
        <v>4738</v>
      </c>
      <c r="R1470" s="1" t="s">
        <v>398</v>
      </c>
      <c r="S1470" s="1" t="s">
        <v>4739</v>
      </c>
      <c r="T1470" s="1" t="s">
        <v>4740</v>
      </c>
      <c r="U1470" s="2" t="s">
        <v>4741</v>
      </c>
      <c r="V1470" s="2" t="s">
        <v>47</v>
      </c>
      <c r="W1470" s="2" t="s">
        <v>48</v>
      </c>
      <c r="X1470" s="2">
        <v>95.13</v>
      </c>
    </row>
    <row r="1471" spans="1:24" x14ac:dyDescent="0.3">
      <c r="A1471">
        <v>19357</v>
      </c>
      <c r="B1471" t="s">
        <v>4742</v>
      </c>
      <c r="C1471" s="3">
        <v>40771</v>
      </c>
      <c r="D1471" t="s">
        <v>148</v>
      </c>
      <c r="E1471">
        <v>1</v>
      </c>
      <c r="F1471" s="3">
        <f ca="1">40774+(RANDBETWEEN(1,10))</f>
        <v>40781</v>
      </c>
      <c r="G1471" t="s">
        <v>76</v>
      </c>
      <c r="H1471" t="s">
        <v>77</v>
      </c>
      <c r="I1471" t="s">
        <v>97</v>
      </c>
      <c r="J1471">
        <v>673.71500000000003</v>
      </c>
      <c r="K1471">
        <v>0.02</v>
      </c>
      <c r="L1471">
        <v>0.62</v>
      </c>
      <c r="M1471">
        <v>105</v>
      </c>
      <c r="N1471">
        <v>-178.90600000000001</v>
      </c>
      <c r="O1471" s="1" t="s">
        <v>29</v>
      </c>
      <c r="P1471" s="1" t="s">
        <v>997</v>
      </c>
      <c r="Q1471" s="1" t="s">
        <v>998</v>
      </c>
      <c r="R1471" s="1" t="s">
        <v>32</v>
      </c>
      <c r="S1471" s="1" t="s">
        <v>999</v>
      </c>
      <c r="T1471" s="1" t="s">
        <v>1000</v>
      </c>
      <c r="U1471" s="2" t="s">
        <v>2089</v>
      </c>
      <c r="V1471" s="2" t="s">
        <v>83</v>
      </c>
      <c r="W1471" s="2" t="s">
        <v>84</v>
      </c>
      <c r="X1471" s="2">
        <v>563.42999999999995</v>
      </c>
    </row>
    <row r="1472" spans="1:24" x14ac:dyDescent="0.3">
      <c r="A1472">
        <v>19358</v>
      </c>
      <c r="B1472" t="s">
        <v>4743</v>
      </c>
      <c r="C1472" s="3">
        <v>40620</v>
      </c>
      <c r="D1472" t="s">
        <v>39</v>
      </c>
      <c r="E1472">
        <v>4</v>
      </c>
      <c r="F1472" s="3">
        <f ca="1">40622+(RANDBETWEEN(1,10))</f>
        <v>40626</v>
      </c>
      <c r="G1472" t="s">
        <v>76</v>
      </c>
      <c r="H1472" t="s">
        <v>77</v>
      </c>
      <c r="I1472" t="s">
        <v>86</v>
      </c>
      <c r="J1472">
        <v>4728.29</v>
      </c>
      <c r="K1472">
        <v>0.08</v>
      </c>
      <c r="L1472">
        <v>0.64</v>
      </c>
      <c r="M1472">
        <v>206.22</v>
      </c>
      <c r="N1472">
        <v>363.40499999999997</v>
      </c>
      <c r="O1472" s="1" t="s">
        <v>40</v>
      </c>
      <c r="P1472" s="1" t="s">
        <v>4744</v>
      </c>
      <c r="Q1472" s="1" t="s">
        <v>4745</v>
      </c>
      <c r="R1472" s="1" t="s">
        <v>220</v>
      </c>
      <c r="S1472" s="1" t="s">
        <v>4746</v>
      </c>
      <c r="T1472" s="1" t="s">
        <v>4747</v>
      </c>
      <c r="U1472" s="2" t="s">
        <v>207</v>
      </c>
      <c r="V1472" s="2" t="s">
        <v>83</v>
      </c>
      <c r="W1472" s="2" t="s">
        <v>84</v>
      </c>
      <c r="X1472" s="2">
        <v>1245.93</v>
      </c>
    </row>
    <row r="1473" spans="1:24" x14ac:dyDescent="0.3">
      <c r="A1473">
        <v>19359</v>
      </c>
      <c r="B1473" t="s">
        <v>4748</v>
      </c>
      <c r="C1473" s="3">
        <v>41019</v>
      </c>
      <c r="D1473" t="s">
        <v>25</v>
      </c>
      <c r="E1473">
        <v>2</v>
      </c>
      <c r="F1473" s="3">
        <f ca="1">41023+(RANDBETWEEN(1,10))</f>
        <v>41030</v>
      </c>
      <c r="G1473" t="s">
        <v>26</v>
      </c>
      <c r="H1473" t="s">
        <v>96</v>
      </c>
      <c r="I1473" t="s">
        <v>86</v>
      </c>
      <c r="J1473">
        <v>42.63</v>
      </c>
      <c r="K1473">
        <v>0.05</v>
      </c>
      <c r="L1473">
        <v>0.56000000000000005</v>
      </c>
      <c r="M1473">
        <v>7.9450000000000003</v>
      </c>
      <c r="N1473">
        <v>-23.87</v>
      </c>
      <c r="O1473" s="1" t="s">
        <v>225</v>
      </c>
      <c r="P1473" s="1" t="s">
        <v>4749</v>
      </c>
      <c r="Q1473" s="1" t="s">
        <v>4750</v>
      </c>
      <c r="R1473" s="1" t="s">
        <v>228</v>
      </c>
      <c r="S1473" s="1" t="s">
        <v>4751</v>
      </c>
      <c r="T1473" s="1" t="s">
        <v>4752</v>
      </c>
      <c r="U1473" s="2" t="s">
        <v>212</v>
      </c>
      <c r="V1473" s="2" t="s">
        <v>47</v>
      </c>
      <c r="W1473" s="2" t="s">
        <v>104</v>
      </c>
      <c r="X1473" s="2">
        <v>20.475000000000001</v>
      </c>
    </row>
    <row r="1474" spans="1:24" x14ac:dyDescent="0.3">
      <c r="A1474">
        <v>19360</v>
      </c>
      <c r="B1474" t="s">
        <v>4753</v>
      </c>
      <c r="C1474" s="3">
        <v>41408</v>
      </c>
      <c r="D1474" t="s">
        <v>25</v>
      </c>
      <c r="E1474">
        <v>9</v>
      </c>
      <c r="F1474" s="3">
        <f ca="1">41408+(RANDBETWEEN(1,10))</f>
        <v>41409</v>
      </c>
      <c r="G1474" t="s">
        <v>26</v>
      </c>
      <c r="H1474" t="s">
        <v>27</v>
      </c>
      <c r="I1474" t="s">
        <v>97</v>
      </c>
      <c r="J1474">
        <v>487.69</v>
      </c>
      <c r="K1474">
        <v>0.05</v>
      </c>
      <c r="L1474">
        <v>0.38</v>
      </c>
      <c r="M1474">
        <v>4.8650000000000002</v>
      </c>
      <c r="N1474">
        <v>-214.34363999999999</v>
      </c>
      <c r="O1474" s="1" t="s">
        <v>87</v>
      </c>
      <c r="P1474" s="1" t="s">
        <v>4001</v>
      </c>
      <c r="Q1474" s="1" t="s">
        <v>4002</v>
      </c>
      <c r="R1474" s="1" t="s">
        <v>398</v>
      </c>
      <c r="S1474" s="1" t="s">
        <v>4003</v>
      </c>
      <c r="T1474" s="1" t="s">
        <v>4004</v>
      </c>
      <c r="U1474" s="2" t="s">
        <v>2854</v>
      </c>
      <c r="V1474" s="2" t="s">
        <v>47</v>
      </c>
      <c r="W1474" s="2" t="s">
        <v>48</v>
      </c>
      <c r="X1474" s="2">
        <v>54.844999999999999</v>
      </c>
    </row>
    <row r="1475" spans="1:24" x14ac:dyDescent="0.3">
      <c r="A1475">
        <v>19361</v>
      </c>
      <c r="B1475" t="s">
        <v>4754</v>
      </c>
      <c r="C1475" s="3">
        <v>41367</v>
      </c>
      <c r="D1475" t="s">
        <v>50</v>
      </c>
      <c r="E1475">
        <v>7</v>
      </c>
      <c r="F1475" s="3">
        <f ca="1">41368+(RANDBETWEEN(1,10))</f>
        <v>41374</v>
      </c>
      <c r="G1475" t="s">
        <v>26</v>
      </c>
      <c r="H1475" t="s">
        <v>27</v>
      </c>
      <c r="I1475" t="s">
        <v>52</v>
      </c>
      <c r="J1475">
        <v>1013.845</v>
      </c>
      <c r="K1475">
        <v>0.03</v>
      </c>
      <c r="L1475">
        <v>0.67</v>
      </c>
      <c r="M1475">
        <v>24.92</v>
      </c>
      <c r="N1475">
        <v>20.895</v>
      </c>
      <c r="O1475" s="1" t="s">
        <v>29</v>
      </c>
      <c r="P1475" s="1" t="s">
        <v>4755</v>
      </c>
      <c r="Q1475" s="1" t="s">
        <v>4756</v>
      </c>
      <c r="R1475" s="1" t="s">
        <v>675</v>
      </c>
      <c r="S1475" s="1" t="s">
        <v>4757</v>
      </c>
      <c r="T1475" s="1" t="s">
        <v>4758</v>
      </c>
      <c r="U1475" s="2" t="s">
        <v>3979</v>
      </c>
      <c r="V1475" s="2" t="s">
        <v>36</v>
      </c>
      <c r="W1475" s="2" t="s">
        <v>60</v>
      </c>
      <c r="X1475" s="2">
        <v>139.93</v>
      </c>
    </row>
    <row r="1476" spans="1:24" x14ac:dyDescent="0.3">
      <c r="A1476">
        <v>19362</v>
      </c>
      <c r="B1476" t="s">
        <v>4754</v>
      </c>
      <c r="C1476" s="3">
        <v>41367</v>
      </c>
      <c r="D1476" t="s">
        <v>50</v>
      </c>
      <c r="E1476">
        <v>6</v>
      </c>
      <c r="F1476" s="3">
        <f ca="1">41368+(RANDBETWEEN(1,10))</f>
        <v>41372</v>
      </c>
      <c r="G1476" t="s">
        <v>26</v>
      </c>
      <c r="H1476" t="s">
        <v>27</v>
      </c>
      <c r="I1476" t="s">
        <v>52</v>
      </c>
      <c r="J1476">
        <v>1176.875</v>
      </c>
      <c r="K1476">
        <v>0.03</v>
      </c>
      <c r="L1476">
        <v>0.59</v>
      </c>
      <c r="M1476">
        <v>13.965</v>
      </c>
      <c r="N1476">
        <v>-1874.5880999999999</v>
      </c>
      <c r="O1476" s="1" t="s">
        <v>29</v>
      </c>
      <c r="P1476" s="1" t="s">
        <v>4755</v>
      </c>
      <c r="Q1476" s="1" t="s">
        <v>4756</v>
      </c>
      <c r="R1476" s="1" t="s">
        <v>675</v>
      </c>
      <c r="S1476" s="1" t="s">
        <v>4757</v>
      </c>
      <c r="T1476" s="1" t="s">
        <v>4758</v>
      </c>
      <c r="U1476" s="2" t="s">
        <v>1991</v>
      </c>
      <c r="V1476" s="2" t="s">
        <v>36</v>
      </c>
      <c r="W1476" s="2" t="s">
        <v>37</v>
      </c>
      <c r="X1476" s="2">
        <v>230.965</v>
      </c>
    </row>
    <row r="1477" spans="1:24" x14ac:dyDescent="0.3">
      <c r="A1477">
        <v>19363</v>
      </c>
      <c r="B1477" t="s">
        <v>4754</v>
      </c>
      <c r="C1477" s="3">
        <v>41367</v>
      </c>
      <c r="D1477" t="s">
        <v>50</v>
      </c>
      <c r="E1477">
        <v>7</v>
      </c>
      <c r="F1477" s="3">
        <f ca="1">41368+(RANDBETWEEN(1,10))</f>
        <v>41372</v>
      </c>
      <c r="G1477" t="s">
        <v>76</v>
      </c>
      <c r="H1477" t="s">
        <v>258</v>
      </c>
      <c r="I1477" t="s">
        <v>52</v>
      </c>
      <c r="J1477">
        <v>6541.8149999999996</v>
      </c>
      <c r="K1477">
        <v>0.1</v>
      </c>
      <c r="L1477">
        <v>0.66</v>
      </c>
      <c r="M1477">
        <v>124.845</v>
      </c>
      <c r="N1477">
        <v>1888.39</v>
      </c>
      <c r="O1477" s="1" t="s">
        <v>53</v>
      </c>
      <c r="P1477" s="1" t="s">
        <v>1732</v>
      </c>
      <c r="Q1477" s="1" t="s">
        <v>1733</v>
      </c>
      <c r="R1477" s="1" t="s">
        <v>100</v>
      </c>
      <c r="S1477" s="1" t="s">
        <v>1734</v>
      </c>
      <c r="T1477" s="1" t="s">
        <v>1735</v>
      </c>
      <c r="U1477" s="2" t="s">
        <v>1073</v>
      </c>
      <c r="V1477" s="2" t="s">
        <v>83</v>
      </c>
      <c r="W1477" s="2" t="s">
        <v>263</v>
      </c>
      <c r="X1477" s="2">
        <v>983.43</v>
      </c>
    </row>
    <row r="1478" spans="1:24" x14ac:dyDescent="0.3">
      <c r="A1478">
        <v>19364</v>
      </c>
      <c r="B1478" t="s">
        <v>4759</v>
      </c>
      <c r="C1478" s="3">
        <v>40821</v>
      </c>
      <c r="D1478" t="s">
        <v>39</v>
      </c>
      <c r="E1478">
        <v>12</v>
      </c>
      <c r="F1478" s="3">
        <f ca="1">40821+(RANDBETWEEN(1,10))</f>
        <v>40830</v>
      </c>
      <c r="G1478" t="s">
        <v>26</v>
      </c>
      <c r="H1478" t="s">
        <v>27</v>
      </c>
      <c r="I1478" t="s">
        <v>28</v>
      </c>
      <c r="J1478">
        <v>99.12</v>
      </c>
      <c r="K1478">
        <v>0.01</v>
      </c>
      <c r="L1478">
        <v>0.43</v>
      </c>
      <c r="M1478">
        <v>18.655000000000001</v>
      </c>
      <c r="N1478">
        <v>-362.99340000000001</v>
      </c>
      <c r="O1478" s="1" t="s">
        <v>40</v>
      </c>
      <c r="P1478" s="1" t="s">
        <v>3637</v>
      </c>
      <c r="Q1478" s="1" t="s">
        <v>3638</v>
      </c>
      <c r="R1478" s="1" t="s">
        <v>43</v>
      </c>
      <c r="S1478" s="1" t="s">
        <v>3639</v>
      </c>
      <c r="T1478" s="1" t="s">
        <v>3640</v>
      </c>
      <c r="U1478" s="2" t="s">
        <v>2500</v>
      </c>
      <c r="V1478" s="2" t="s">
        <v>83</v>
      </c>
      <c r="W1478" s="2" t="s">
        <v>178</v>
      </c>
      <c r="X1478" s="2">
        <v>7.28</v>
      </c>
    </row>
    <row r="1479" spans="1:24" x14ac:dyDescent="0.3">
      <c r="A1479">
        <v>19365</v>
      </c>
      <c r="B1479" t="s">
        <v>4759</v>
      </c>
      <c r="C1479" s="3">
        <v>40821</v>
      </c>
      <c r="D1479" t="s">
        <v>39</v>
      </c>
      <c r="E1479">
        <v>6</v>
      </c>
      <c r="F1479" s="3">
        <f ca="1">40822+(RANDBETWEEN(1,10))</f>
        <v>40825</v>
      </c>
      <c r="G1479" t="s">
        <v>76</v>
      </c>
      <c r="H1479" t="s">
        <v>77</v>
      </c>
      <c r="I1479" t="s">
        <v>28</v>
      </c>
      <c r="J1479">
        <v>8083.2150000000001</v>
      </c>
      <c r="K1479">
        <v>0.03</v>
      </c>
      <c r="L1479">
        <v>0.65</v>
      </c>
      <c r="M1479">
        <v>346.5</v>
      </c>
      <c r="N1479">
        <v>-435.00240000000002</v>
      </c>
      <c r="O1479" s="1" t="s">
        <v>40</v>
      </c>
      <c r="P1479" s="1" t="s">
        <v>3637</v>
      </c>
      <c r="Q1479" s="1" t="s">
        <v>3638</v>
      </c>
      <c r="R1479" s="1" t="s">
        <v>43</v>
      </c>
      <c r="S1479" s="1" t="s">
        <v>3639</v>
      </c>
      <c r="T1479" s="1" t="s">
        <v>3640</v>
      </c>
      <c r="U1479" s="2" t="s">
        <v>1540</v>
      </c>
      <c r="V1479" s="2" t="s">
        <v>47</v>
      </c>
      <c r="W1479" s="2" t="s">
        <v>119</v>
      </c>
      <c r="X1479" s="2">
        <v>1298.43</v>
      </c>
    </row>
    <row r="1480" spans="1:24" x14ac:dyDescent="0.3">
      <c r="A1480">
        <v>19366</v>
      </c>
      <c r="B1480" t="s">
        <v>4760</v>
      </c>
      <c r="C1480" s="3">
        <v>41669</v>
      </c>
      <c r="D1480" t="s">
        <v>62</v>
      </c>
      <c r="E1480">
        <v>12</v>
      </c>
      <c r="F1480" s="3">
        <f ca="1">41672+(RANDBETWEEN(1,10))</f>
        <v>41673</v>
      </c>
      <c r="G1480" t="s">
        <v>156</v>
      </c>
      <c r="H1480" t="s">
        <v>27</v>
      </c>
      <c r="I1480" t="s">
        <v>28</v>
      </c>
      <c r="J1480">
        <v>1710.94</v>
      </c>
      <c r="K1480">
        <v>0.1</v>
      </c>
      <c r="L1480">
        <v>0.35</v>
      </c>
      <c r="M1480">
        <v>10.465</v>
      </c>
      <c r="N1480">
        <v>1180.5486000000001</v>
      </c>
      <c r="O1480" s="1" t="s">
        <v>40</v>
      </c>
      <c r="P1480" s="1" t="s">
        <v>3637</v>
      </c>
      <c r="Q1480" s="1" t="s">
        <v>3638</v>
      </c>
      <c r="R1480" s="1" t="s">
        <v>43</v>
      </c>
      <c r="S1480" s="1" t="s">
        <v>3639</v>
      </c>
      <c r="T1480" s="1" t="s">
        <v>3640</v>
      </c>
      <c r="U1480" s="2" t="s">
        <v>4761</v>
      </c>
      <c r="V1480" s="2" t="s">
        <v>47</v>
      </c>
      <c r="W1480" s="2" t="s">
        <v>111</v>
      </c>
      <c r="X1480" s="2">
        <v>146.79</v>
      </c>
    </row>
    <row r="1481" spans="1:24" x14ac:dyDescent="0.3">
      <c r="A1481">
        <v>19367</v>
      </c>
      <c r="B1481" t="s">
        <v>4760</v>
      </c>
      <c r="C1481" s="3">
        <v>41669</v>
      </c>
      <c r="D1481" t="s">
        <v>62</v>
      </c>
      <c r="E1481">
        <v>5</v>
      </c>
      <c r="F1481" s="3">
        <f ca="1">41671+(RANDBETWEEN(1,10))</f>
        <v>41680</v>
      </c>
      <c r="G1481" t="s">
        <v>26</v>
      </c>
      <c r="H1481" t="s">
        <v>27</v>
      </c>
      <c r="I1481" t="s">
        <v>28</v>
      </c>
      <c r="J1481">
        <v>89.004999999999995</v>
      </c>
      <c r="K1481">
        <v>7.0000000000000007E-2</v>
      </c>
      <c r="L1481">
        <v>0.37</v>
      </c>
      <c r="M1481">
        <v>10.465</v>
      </c>
      <c r="N1481">
        <v>-40.576830000000001</v>
      </c>
      <c r="O1481" s="1" t="s">
        <v>40</v>
      </c>
      <c r="P1481" s="1" t="s">
        <v>3637</v>
      </c>
      <c r="Q1481" s="1" t="s">
        <v>3638</v>
      </c>
      <c r="R1481" s="1" t="s">
        <v>43</v>
      </c>
      <c r="S1481" s="1" t="s">
        <v>3639</v>
      </c>
      <c r="T1481" s="1" t="s">
        <v>3640</v>
      </c>
      <c r="U1481" s="2" t="s">
        <v>1041</v>
      </c>
      <c r="V1481" s="2" t="s">
        <v>47</v>
      </c>
      <c r="W1481" s="2" t="s">
        <v>111</v>
      </c>
      <c r="X1481" s="2">
        <v>18.48</v>
      </c>
    </row>
    <row r="1482" spans="1:24" x14ac:dyDescent="0.3">
      <c r="A1482">
        <v>19368</v>
      </c>
      <c r="B1482" t="s">
        <v>4760</v>
      </c>
      <c r="C1482" s="3">
        <v>41669</v>
      </c>
      <c r="D1482" t="s">
        <v>62</v>
      </c>
      <c r="E1482">
        <v>9</v>
      </c>
      <c r="F1482" s="3">
        <f ca="1">41671+(RANDBETWEEN(1,10))</f>
        <v>41677</v>
      </c>
      <c r="G1482" t="s">
        <v>26</v>
      </c>
      <c r="H1482" t="s">
        <v>51</v>
      </c>
      <c r="I1482" t="s">
        <v>28</v>
      </c>
      <c r="J1482">
        <v>695.55499999999995</v>
      </c>
      <c r="K1482">
        <v>0.02</v>
      </c>
      <c r="L1482">
        <v>0.59</v>
      </c>
      <c r="M1482">
        <v>31.465</v>
      </c>
      <c r="N1482">
        <v>-121.4766</v>
      </c>
      <c r="O1482" s="1" t="s">
        <v>40</v>
      </c>
      <c r="P1482" s="1" t="s">
        <v>3637</v>
      </c>
      <c r="Q1482" s="1" t="s">
        <v>3638</v>
      </c>
      <c r="R1482" s="1" t="s">
        <v>43</v>
      </c>
      <c r="S1482" s="1" t="s">
        <v>3639</v>
      </c>
      <c r="T1482" s="1" t="s">
        <v>3640</v>
      </c>
      <c r="U1482" s="2" t="s">
        <v>2789</v>
      </c>
      <c r="V1482" s="2" t="s">
        <v>47</v>
      </c>
      <c r="W1482" s="2" t="s">
        <v>104</v>
      </c>
      <c r="X1482" s="2">
        <v>74.83</v>
      </c>
    </row>
    <row r="1483" spans="1:24" x14ac:dyDescent="0.3">
      <c r="A1483">
        <v>19369</v>
      </c>
      <c r="B1483" t="s">
        <v>4762</v>
      </c>
      <c r="C1483" s="3">
        <v>40827</v>
      </c>
      <c r="D1483" t="s">
        <v>39</v>
      </c>
      <c r="E1483">
        <v>11</v>
      </c>
      <c r="F1483" s="3">
        <f ca="1">40829+(RANDBETWEEN(1,10))</f>
        <v>40834</v>
      </c>
      <c r="G1483" t="s">
        <v>26</v>
      </c>
      <c r="H1483" t="s">
        <v>281</v>
      </c>
      <c r="I1483" t="s">
        <v>97</v>
      </c>
      <c r="J1483">
        <v>244.61500000000001</v>
      </c>
      <c r="K1483">
        <v>0</v>
      </c>
      <c r="L1483">
        <v>0.55000000000000004</v>
      </c>
      <c r="M1483">
        <v>20.72</v>
      </c>
      <c r="N1483">
        <v>-215.3466</v>
      </c>
      <c r="O1483" s="1" t="s">
        <v>40</v>
      </c>
      <c r="P1483" s="1" t="s">
        <v>4763</v>
      </c>
      <c r="Q1483" s="1" t="s">
        <v>4764</v>
      </c>
      <c r="R1483" s="1" t="s">
        <v>220</v>
      </c>
      <c r="S1483" s="1" t="s">
        <v>4765</v>
      </c>
      <c r="T1483" s="1" t="s">
        <v>4766</v>
      </c>
      <c r="U1483" s="2" t="s">
        <v>3267</v>
      </c>
      <c r="V1483" s="2" t="s">
        <v>83</v>
      </c>
      <c r="W1483" s="2" t="s">
        <v>178</v>
      </c>
      <c r="X1483" s="2">
        <v>20.195</v>
      </c>
    </row>
    <row r="1484" spans="1:24" x14ac:dyDescent="0.3">
      <c r="A1484">
        <v>19370</v>
      </c>
      <c r="B1484" t="s">
        <v>4767</v>
      </c>
      <c r="C1484" s="3">
        <v>41502</v>
      </c>
      <c r="D1484" t="s">
        <v>39</v>
      </c>
      <c r="E1484">
        <v>16</v>
      </c>
      <c r="F1484" s="3">
        <f ca="1">41503+(RANDBETWEEN(1,10))</f>
        <v>41504</v>
      </c>
      <c r="G1484" t="s">
        <v>76</v>
      </c>
      <c r="H1484" t="s">
        <v>258</v>
      </c>
      <c r="I1484" t="s">
        <v>28</v>
      </c>
      <c r="J1484">
        <v>8146.39</v>
      </c>
      <c r="K1484">
        <v>0</v>
      </c>
      <c r="L1484">
        <v>0.65</v>
      </c>
      <c r="M1484">
        <v>187.18</v>
      </c>
      <c r="N1484">
        <v>-492.54660000000001</v>
      </c>
      <c r="O1484" s="1" t="s">
        <v>53</v>
      </c>
      <c r="P1484" s="1" t="s">
        <v>1777</v>
      </c>
      <c r="Q1484" s="1" t="s">
        <v>1778</v>
      </c>
      <c r="R1484" s="1" t="s">
        <v>56</v>
      </c>
      <c r="S1484" s="1" t="s">
        <v>1779</v>
      </c>
      <c r="T1484" s="1" t="s">
        <v>1780</v>
      </c>
      <c r="U1484" s="2" t="s">
        <v>3123</v>
      </c>
      <c r="V1484" s="2" t="s">
        <v>83</v>
      </c>
      <c r="W1484" s="2" t="s">
        <v>298</v>
      </c>
      <c r="X1484" s="2">
        <v>493.43</v>
      </c>
    </row>
    <row r="1485" spans="1:24" x14ac:dyDescent="0.3">
      <c r="A1485">
        <v>19371</v>
      </c>
      <c r="B1485" t="s">
        <v>4767</v>
      </c>
      <c r="C1485" s="3">
        <v>41502</v>
      </c>
      <c r="D1485" t="s">
        <v>39</v>
      </c>
      <c r="E1485">
        <v>22</v>
      </c>
      <c r="F1485" s="3">
        <f ca="1">41503+(RANDBETWEEN(1,10))</f>
        <v>41509</v>
      </c>
      <c r="G1485" t="s">
        <v>26</v>
      </c>
      <c r="H1485" t="s">
        <v>63</v>
      </c>
      <c r="I1485" t="s">
        <v>28</v>
      </c>
      <c r="J1485">
        <v>17653.3</v>
      </c>
      <c r="K1485">
        <v>0.01</v>
      </c>
      <c r="L1485">
        <v>0.56999999999999995</v>
      </c>
      <c r="M1485">
        <v>63.21</v>
      </c>
      <c r="N1485">
        <v>12180.777</v>
      </c>
      <c r="O1485" s="1" t="s">
        <v>53</v>
      </c>
      <c r="P1485" s="1" t="s">
        <v>1777</v>
      </c>
      <c r="Q1485" s="1" t="s">
        <v>1778</v>
      </c>
      <c r="R1485" s="1" t="s">
        <v>56</v>
      </c>
      <c r="S1485" s="1" t="s">
        <v>1779</v>
      </c>
      <c r="T1485" s="1" t="s">
        <v>1780</v>
      </c>
      <c r="U1485" s="2" t="s">
        <v>773</v>
      </c>
      <c r="V1485" s="2" t="s">
        <v>83</v>
      </c>
      <c r="W1485" s="2" t="s">
        <v>84</v>
      </c>
      <c r="X1485" s="2">
        <v>763.28</v>
      </c>
    </row>
    <row r="1486" spans="1:24" x14ac:dyDescent="0.3">
      <c r="A1486">
        <v>19372</v>
      </c>
      <c r="B1486" t="s">
        <v>4767</v>
      </c>
      <c r="C1486" s="3">
        <v>41502</v>
      </c>
      <c r="D1486" t="s">
        <v>39</v>
      </c>
      <c r="E1486">
        <v>17</v>
      </c>
      <c r="F1486" s="3">
        <f ca="1">41503+(RANDBETWEEN(1,10))</f>
        <v>41505</v>
      </c>
      <c r="G1486" t="s">
        <v>156</v>
      </c>
      <c r="H1486" t="s">
        <v>27</v>
      </c>
      <c r="I1486" t="s">
        <v>28</v>
      </c>
      <c r="J1486">
        <v>2814.14</v>
      </c>
      <c r="K1486">
        <v>0.09</v>
      </c>
      <c r="L1486">
        <v>0.73</v>
      </c>
      <c r="M1486">
        <v>22.75</v>
      </c>
      <c r="N1486">
        <v>-149.53120000000001</v>
      </c>
      <c r="O1486" s="1" t="s">
        <v>53</v>
      </c>
      <c r="P1486" s="1" t="s">
        <v>1777</v>
      </c>
      <c r="Q1486" s="1" t="s">
        <v>1778</v>
      </c>
      <c r="R1486" s="1" t="s">
        <v>56</v>
      </c>
      <c r="S1486" s="1" t="s">
        <v>1779</v>
      </c>
      <c r="T1486" s="1" t="s">
        <v>1780</v>
      </c>
      <c r="U1486" s="2" t="s">
        <v>4548</v>
      </c>
      <c r="V1486" s="2" t="s">
        <v>36</v>
      </c>
      <c r="W1486" s="2" t="s">
        <v>60</v>
      </c>
      <c r="X1486" s="2">
        <v>178.43</v>
      </c>
    </row>
    <row r="1487" spans="1:24" x14ac:dyDescent="0.3">
      <c r="A1487">
        <v>19373</v>
      </c>
      <c r="B1487" t="s">
        <v>4768</v>
      </c>
      <c r="C1487" s="3">
        <v>41760</v>
      </c>
      <c r="D1487" t="s">
        <v>39</v>
      </c>
      <c r="E1487">
        <v>15</v>
      </c>
      <c r="F1487" s="3">
        <f ca="1">41762+(RANDBETWEEN(1,10))</f>
        <v>41772</v>
      </c>
      <c r="G1487" t="s">
        <v>156</v>
      </c>
      <c r="H1487" t="s">
        <v>63</v>
      </c>
      <c r="I1487" t="s">
        <v>97</v>
      </c>
      <c r="J1487">
        <v>8814.2950000000001</v>
      </c>
      <c r="K1487">
        <v>0.01</v>
      </c>
      <c r="L1487">
        <v>0.85</v>
      </c>
      <c r="M1487">
        <v>122.5</v>
      </c>
      <c r="N1487">
        <v>6284.88</v>
      </c>
      <c r="O1487" s="1" t="s">
        <v>53</v>
      </c>
      <c r="P1487" s="1" t="s">
        <v>4769</v>
      </c>
      <c r="Q1487" s="1" t="s">
        <v>4770</v>
      </c>
      <c r="R1487" s="1" t="s">
        <v>440</v>
      </c>
      <c r="S1487" s="1" t="s">
        <v>1363</v>
      </c>
      <c r="T1487" s="1" t="s">
        <v>1364</v>
      </c>
      <c r="U1487" s="2" t="s">
        <v>4771</v>
      </c>
      <c r="V1487" s="2" t="s">
        <v>47</v>
      </c>
      <c r="W1487" s="2" t="s">
        <v>119</v>
      </c>
      <c r="X1487" s="2">
        <v>585.44500000000005</v>
      </c>
    </row>
    <row r="1488" spans="1:24" x14ac:dyDescent="0.3">
      <c r="A1488">
        <v>19374</v>
      </c>
      <c r="B1488" t="s">
        <v>4772</v>
      </c>
      <c r="C1488" s="3">
        <v>40713</v>
      </c>
      <c r="D1488" t="s">
        <v>50</v>
      </c>
      <c r="E1488">
        <v>14</v>
      </c>
      <c r="F1488" s="3">
        <f ca="1">40714+(RANDBETWEEN(1,10))</f>
        <v>40719</v>
      </c>
      <c r="G1488" t="s">
        <v>76</v>
      </c>
      <c r="H1488" t="s">
        <v>77</v>
      </c>
      <c r="I1488" t="s">
        <v>28</v>
      </c>
      <c r="J1488">
        <v>13778.135</v>
      </c>
      <c r="K1488">
        <v>7.0000000000000007E-2</v>
      </c>
      <c r="L1488">
        <v>0.78</v>
      </c>
      <c r="M1488">
        <v>199.5</v>
      </c>
      <c r="N1488">
        <v>-993.96990000000005</v>
      </c>
      <c r="O1488" s="1" t="s">
        <v>64</v>
      </c>
      <c r="P1488" s="1" t="s">
        <v>4773</v>
      </c>
      <c r="Q1488" s="1" t="s">
        <v>4774</v>
      </c>
      <c r="R1488" s="1" t="s">
        <v>67</v>
      </c>
      <c r="S1488" s="1" t="s">
        <v>4775</v>
      </c>
      <c r="T1488" s="1" t="s">
        <v>4776</v>
      </c>
      <c r="U1488" s="2" t="s">
        <v>3811</v>
      </c>
      <c r="V1488" s="2" t="s">
        <v>83</v>
      </c>
      <c r="W1488" s="2" t="s">
        <v>84</v>
      </c>
      <c r="X1488" s="2">
        <v>983.43</v>
      </c>
    </row>
    <row r="1489" spans="1:24" x14ac:dyDescent="0.3">
      <c r="A1489">
        <v>19375</v>
      </c>
      <c r="B1489" t="s">
        <v>4772</v>
      </c>
      <c r="C1489" s="3">
        <v>40713</v>
      </c>
      <c r="D1489" t="s">
        <v>50</v>
      </c>
      <c r="E1489">
        <v>15</v>
      </c>
      <c r="F1489" s="3">
        <f ca="1">40715+(RANDBETWEEN(1,10))</f>
        <v>40719</v>
      </c>
      <c r="G1489" t="s">
        <v>26</v>
      </c>
      <c r="H1489" t="s">
        <v>27</v>
      </c>
      <c r="I1489" t="s">
        <v>28</v>
      </c>
      <c r="J1489">
        <v>274.08499999999998</v>
      </c>
      <c r="K1489">
        <v>0</v>
      </c>
      <c r="L1489">
        <v>0.36</v>
      </c>
      <c r="M1489">
        <v>26.04</v>
      </c>
      <c r="N1489">
        <v>-683.697</v>
      </c>
      <c r="O1489" s="1" t="s">
        <v>64</v>
      </c>
      <c r="P1489" s="1" t="s">
        <v>4773</v>
      </c>
      <c r="Q1489" s="1" t="s">
        <v>4774</v>
      </c>
      <c r="R1489" s="1" t="s">
        <v>67</v>
      </c>
      <c r="S1489" s="1" t="s">
        <v>4775</v>
      </c>
      <c r="T1489" s="1" t="s">
        <v>4776</v>
      </c>
      <c r="U1489" s="2" t="s">
        <v>131</v>
      </c>
      <c r="V1489" s="2" t="s">
        <v>47</v>
      </c>
      <c r="W1489" s="2" t="s">
        <v>74</v>
      </c>
      <c r="X1489" s="2">
        <v>17.43</v>
      </c>
    </row>
    <row r="1490" spans="1:24" x14ac:dyDescent="0.3">
      <c r="A1490">
        <v>19376</v>
      </c>
      <c r="B1490" t="s">
        <v>4772</v>
      </c>
      <c r="C1490" s="3">
        <v>40713</v>
      </c>
      <c r="D1490" t="s">
        <v>50</v>
      </c>
      <c r="E1490">
        <v>11</v>
      </c>
      <c r="F1490" s="3">
        <f ca="1">40715+(RANDBETWEEN(1,10))</f>
        <v>40723</v>
      </c>
      <c r="G1490" t="s">
        <v>26</v>
      </c>
      <c r="H1490" t="s">
        <v>96</v>
      </c>
      <c r="I1490" t="s">
        <v>28</v>
      </c>
      <c r="J1490">
        <v>148.61000000000001</v>
      </c>
      <c r="K1490">
        <v>0.1</v>
      </c>
      <c r="L1490">
        <v>0.51</v>
      </c>
      <c r="M1490">
        <v>2.9049999999999998</v>
      </c>
      <c r="N1490">
        <v>-313.98219999999998</v>
      </c>
      <c r="O1490" s="1" t="s">
        <v>64</v>
      </c>
      <c r="P1490" s="1" t="s">
        <v>4773</v>
      </c>
      <c r="Q1490" s="1" t="s">
        <v>4774</v>
      </c>
      <c r="R1490" s="1" t="s">
        <v>67</v>
      </c>
      <c r="S1490" s="1" t="s">
        <v>4775</v>
      </c>
      <c r="T1490" s="1" t="s">
        <v>4776</v>
      </c>
      <c r="U1490" s="2" t="s">
        <v>4777</v>
      </c>
      <c r="V1490" s="2" t="s">
        <v>47</v>
      </c>
      <c r="W1490" s="2" t="s">
        <v>104</v>
      </c>
      <c r="X1490" s="2">
        <v>13.93</v>
      </c>
    </row>
    <row r="1491" spans="1:24" x14ac:dyDescent="0.3">
      <c r="A1491">
        <v>19377</v>
      </c>
      <c r="B1491" t="s">
        <v>4778</v>
      </c>
      <c r="C1491" s="3">
        <v>41521</v>
      </c>
      <c r="D1491" t="s">
        <v>62</v>
      </c>
      <c r="E1491">
        <v>18</v>
      </c>
      <c r="F1491" s="3">
        <f ca="1">41523+(RANDBETWEEN(1,10))</f>
        <v>41524</v>
      </c>
      <c r="G1491" t="s">
        <v>26</v>
      </c>
      <c r="H1491" t="s">
        <v>27</v>
      </c>
      <c r="I1491" t="s">
        <v>28</v>
      </c>
      <c r="J1491">
        <v>4958.3100000000004</v>
      </c>
      <c r="K1491">
        <v>0.09</v>
      </c>
      <c r="L1491">
        <v>0.56000000000000005</v>
      </c>
      <c r="M1491">
        <v>17.149999999999999</v>
      </c>
      <c r="N1491">
        <v>2443.5810000000001</v>
      </c>
      <c r="O1491" s="1" t="s">
        <v>29</v>
      </c>
      <c r="P1491" s="1" t="s">
        <v>403</v>
      </c>
      <c r="Q1491" s="1" t="s">
        <v>404</v>
      </c>
      <c r="R1491" s="1" t="s">
        <v>32</v>
      </c>
      <c r="S1491" s="1" t="s">
        <v>405</v>
      </c>
      <c r="T1491" s="1" t="s">
        <v>406</v>
      </c>
      <c r="U1491" s="2" t="s">
        <v>35</v>
      </c>
      <c r="V1491" s="2" t="s">
        <v>36</v>
      </c>
      <c r="W1491" s="2" t="s">
        <v>37</v>
      </c>
      <c r="X1491" s="2">
        <v>335.96499999999997</v>
      </c>
    </row>
    <row r="1492" spans="1:24" x14ac:dyDescent="0.3">
      <c r="A1492">
        <v>19378</v>
      </c>
      <c r="B1492" t="s">
        <v>4779</v>
      </c>
      <c r="C1492" s="3">
        <v>41243</v>
      </c>
      <c r="D1492" t="s">
        <v>50</v>
      </c>
      <c r="E1492">
        <v>26</v>
      </c>
      <c r="F1492" s="3">
        <f ca="1">41244+(RANDBETWEEN(1,10))</f>
        <v>41247</v>
      </c>
      <c r="G1492" t="s">
        <v>156</v>
      </c>
      <c r="H1492" t="s">
        <v>96</v>
      </c>
      <c r="I1492" t="s">
        <v>28</v>
      </c>
      <c r="J1492">
        <v>219.41499999999999</v>
      </c>
      <c r="K1492">
        <v>0.06</v>
      </c>
      <c r="L1492">
        <v>0.41</v>
      </c>
      <c r="M1492">
        <v>18.2</v>
      </c>
      <c r="N1492">
        <v>1411.0929000000001</v>
      </c>
      <c r="O1492" s="1" t="s">
        <v>40</v>
      </c>
      <c r="P1492" s="1" t="s">
        <v>4383</v>
      </c>
      <c r="Q1492" s="1" t="s">
        <v>4384</v>
      </c>
      <c r="R1492" s="1" t="s">
        <v>43</v>
      </c>
      <c r="S1492" s="1" t="s">
        <v>4385</v>
      </c>
      <c r="T1492" s="1" t="s">
        <v>4386</v>
      </c>
      <c r="U1492" s="2" t="s">
        <v>4780</v>
      </c>
      <c r="V1492" s="2" t="s">
        <v>47</v>
      </c>
      <c r="W1492" s="2" t="s">
        <v>104</v>
      </c>
      <c r="X1492" s="2">
        <v>7.98</v>
      </c>
    </row>
    <row r="1493" spans="1:24" x14ac:dyDescent="0.3">
      <c r="A1493">
        <v>19379</v>
      </c>
      <c r="B1493" t="s">
        <v>4781</v>
      </c>
      <c r="C1493" s="3">
        <v>41128</v>
      </c>
      <c r="D1493" t="s">
        <v>25</v>
      </c>
      <c r="E1493">
        <v>5</v>
      </c>
      <c r="F1493" s="3">
        <f ca="1">41128+(RANDBETWEEN(1,10))</f>
        <v>41130</v>
      </c>
      <c r="G1493" t="s">
        <v>26</v>
      </c>
      <c r="H1493" t="s">
        <v>27</v>
      </c>
      <c r="I1493" t="s">
        <v>52</v>
      </c>
      <c r="J1493">
        <v>119.455</v>
      </c>
      <c r="K1493">
        <v>0.08</v>
      </c>
      <c r="L1493">
        <v>0.37</v>
      </c>
      <c r="M1493">
        <v>18.2</v>
      </c>
      <c r="N1493">
        <v>-42.806399999999996</v>
      </c>
      <c r="O1493" s="1" t="s">
        <v>225</v>
      </c>
      <c r="P1493" s="1" t="s">
        <v>4782</v>
      </c>
      <c r="Q1493" s="1" t="s">
        <v>4783</v>
      </c>
      <c r="R1493" s="1" t="s">
        <v>228</v>
      </c>
      <c r="S1493" s="1" t="s">
        <v>4784</v>
      </c>
      <c r="T1493" s="1" t="s">
        <v>4785</v>
      </c>
      <c r="U1493" s="2" t="s">
        <v>4079</v>
      </c>
      <c r="V1493" s="2" t="s">
        <v>47</v>
      </c>
      <c r="W1493" s="2" t="s">
        <v>74</v>
      </c>
      <c r="X1493" s="2">
        <v>23.38</v>
      </c>
    </row>
    <row r="1494" spans="1:24" x14ac:dyDescent="0.3">
      <c r="A1494">
        <v>19380</v>
      </c>
      <c r="B1494" t="s">
        <v>4786</v>
      </c>
      <c r="C1494" s="3">
        <v>40606</v>
      </c>
      <c r="D1494" t="s">
        <v>25</v>
      </c>
      <c r="E1494">
        <v>1</v>
      </c>
      <c r="F1494" s="3">
        <f ca="1">40606+(RANDBETWEEN(1,10))</f>
        <v>40614</v>
      </c>
      <c r="G1494" t="s">
        <v>26</v>
      </c>
      <c r="H1494" t="s">
        <v>96</v>
      </c>
      <c r="I1494" t="s">
        <v>86</v>
      </c>
      <c r="J1494">
        <v>42.63</v>
      </c>
      <c r="K1494">
        <v>0.06</v>
      </c>
      <c r="L1494">
        <v>0.36</v>
      </c>
      <c r="M1494">
        <v>7.9450000000000003</v>
      </c>
      <c r="N1494">
        <v>-13.58</v>
      </c>
      <c r="O1494" s="1" t="s">
        <v>29</v>
      </c>
      <c r="P1494" s="1" t="s">
        <v>4787</v>
      </c>
      <c r="Q1494" s="1" t="s">
        <v>4788</v>
      </c>
      <c r="R1494" s="1" t="s">
        <v>32</v>
      </c>
      <c r="S1494" s="1" t="s">
        <v>4789</v>
      </c>
      <c r="T1494" s="1" t="s">
        <v>4790</v>
      </c>
      <c r="U1494" s="2" t="s">
        <v>4659</v>
      </c>
      <c r="V1494" s="2" t="s">
        <v>47</v>
      </c>
      <c r="W1494" s="2" t="s">
        <v>74</v>
      </c>
      <c r="X1494" s="2">
        <v>35.49</v>
      </c>
    </row>
    <row r="1495" spans="1:24" x14ac:dyDescent="0.3">
      <c r="A1495">
        <v>19381</v>
      </c>
      <c r="B1495" t="s">
        <v>4791</v>
      </c>
      <c r="C1495" s="3">
        <v>40678</v>
      </c>
      <c r="D1495" t="s">
        <v>50</v>
      </c>
      <c r="E1495">
        <v>17</v>
      </c>
      <c r="F1495" s="3">
        <f ca="1">40681+(RANDBETWEEN(1,10))</f>
        <v>40684</v>
      </c>
      <c r="G1495" t="s">
        <v>26</v>
      </c>
      <c r="H1495" t="s">
        <v>27</v>
      </c>
      <c r="I1495" t="s">
        <v>28</v>
      </c>
      <c r="J1495">
        <v>4135.8450000000003</v>
      </c>
      <c r="K1495">
        <v>0.08</v>
      </c>
      <c r="L1495">
        <v>0.77</v>
      </c>
      <c r="M1495">
        <v>14</v>
      </c>
      <c r="N1495">
        <v>340.06</v>
      </c>
      <c r="O1495" s="1" t="s">
        <v>64</v>
      </c>
      <c r="P1495" s="1" t="s">
        <v>590</v>
      </c>
      <c r="Q1495" s="1" t="s">
        <v>591</v>
      </c>
      <c r="R1495" s="1" t="s">
        <v>128</v>
      </c>
      <c r="S1495" s="1" t="s">
        <v>592</v>
      </c>
      <c r="T1495" s="1" t="s">
        <v>593</v>
      </c>
      <c r="U1495" s="2" t="s">
        <v>1651</v>
      </c>
      <c r="V1495" s="2" t="s">
        <v>36</v>
      </c>
      <c r="W1495" s="2" t="s">
        <v>60</v>
      </c>
      <c r="X1495" s="2">
        <v>258.93</v>
      </c>
    </row>
    <row r="1496" spans="1:24" x14ac:dyDescent="0.3">
      <c r="A1496">
        <v>19382</v>
      </c>
      <c r="B1496" t="s">
        <v>4791</v>
      </c>
      <c r="C1496" s="3">
        <v>40678</v>
      </c>
      <c r="D1496" t="s">
        <v>50</v>
      </c>
      <c r="E1496">
        <v>8</v>
      </c>
      <c r="F1496" s="3">
        <f ca="1">40680+(RANDBETWEEN(1,10))</f>
        <v>40683</v>
      </c>
      <c r="G1496" t="s">
        <v>26</v>
      </c>
      <c r="H1496" t="s">
        <v>96</v>
      </c>
      <c r="I1496" t="s">
        <v>28</v>
      </c>
      <c r="J1496">
        <v>104.755</v>
      </c>
      <c r="K1496">
        <v>0.02</v>
      </c>
      <c r="L1496">
        <v>0.83</v>
      </c>
      <c r="M1496">
        <v>4.62</v>
      </c>
      <c r="N1496">
        <v>-72.275000000000006</v>
      </c>
      <c r="O1496" s="1" t="s">
        <v>64</v>
      </c>
      <c r="P1496" s="1" t="s">
        <v>590</v>
      </c>
      <c r="Q1496" s="1" t="s">
        <v>591</v>
      </c>
      <c r="R1496" s="1" t="s">
        <v>128</v>
      </c>
      <c r="S1496" s="1" t="s">
        <v>592</v>
      </c>
      <c r="T1496" s="1" t="s">
        <v>593</v>
      </c>
      <c r="U1496" s="2" t="s">
        <v>3023</v>
      </c>
      <c r="V1496" s="2" t="s">
        <v>47</v>
      </c>
      <c r="W1496" s="2" t="s">
        <v>94</v>
      </c>
      <c r="X1496" s="2">
        <v>12.88</v>
      </c>
    </row>
    <row r="1497" spans="1:24" x14ac:dyDescent="0.3">
      <c r="A1497">
        <v>19383</v>
      </c>
      <c r="B1497" t="s">
        <v>4792</v>
      </c>
      <c r="C1497" s="3">
        <v>40793</v>
      </c>
      <c r="D1497" t="s">
        <v>50</v>
      </c>
      <c r="E1497">
        <v>7</v>
      </c>
      <c r="F1497" s="3">
        <f ca="1">40794+(RANDBETWEEN(1,10))</f>
        <v>40803</v>
      </c>
      <c r="G1497" t="s">
        <v>26</v>
      </c>
      <c r="H1497" t="s">
        <v>96</v>
      </c>
      <c r="I1497" t="s">
        <v>28</v>
      </c>
      <c r="J1497">
        <v>146.86000000000001</v>
      </c>
      <c r="K1497">
        <v>7.0000000000000007E-2</v>
      </c>
      <c r="L1497">
        <v>0.51</v>
      </c>
      <c r="M1497">
        <v>3.1850000000000001</v>
      </c>
      <c r="N1497">
        <v>68.495000000000005</v>
      </c>
      <c r="O1497" s="1" t="s">
        <v>40</v>
      </c>
      <c r="P1497" s="1" t="s">
        <v>2751</v>
      </c>
      <c r="Q1497" s="1" t="s">
        <v>2752</v>
      </c>
      <c r="R1497" s="1" t="s">
        <v>43</v>
      </c>
      <c r="S1497" s="1" t="s">
        <v>2753</v>
      </c>
      <c r="T1497" s="1" t="s">
        <v>2754</v>
      </c>
      <c r="U1497" s="2" t="s">
        <v>4793</v>
      </c>
      <c r="V1497" s="2" t="s">
        <v>47</v>
      </c>
      <c r="W1497" s="2" t="s">
        <v>104</v>
      </c>
      <c r="X1497" s="2">
        <v>21.28</v>
      </c>
    </row>
    <row r="1498" spans="1:24" x14ac:dyDescent="0.3">
      <c r="A1498">
        <v>19384</v>
      </c>
      <c r="B1498" t="s">
        <v>4792</v>
      </c>
      <c r="C1498" s="3">
        <v>40793</v>
      </c>
      <c r="D1498" t="s">
        <v>50</v>
      </c>
      <c r="E1498">
        <v>13</v>
      </c>
      <c r="F1498" s="3">
        <f ca="1">40795+(RANDBETWEEN(1,10))</f>
        <v>40805</v>
      </c>
      <c r="G1498" t="s">
        <v>26</v>
      </c>
      <c r="H1498" t="s">
        <v>281</v>
      </c>
      <c r="I1498" t="s">
        <v>28</v>
      </c>
      <c r="J1498">
        <v>841.61</v>
      </c>
      <c r="K1498">
        <v>0.08</v>
      </c>
      <c r="L1498">
        <v>0.4</v>
      </c>
      <c r="M1498">
        <v>18.515000000000001</v>
      </c>
      <c r="N1498">
        <v>374.88499999999999</v>
      </c>
      <c r="O1498" s="1" t="s">
        <v>40</v>
      </c>
      <c r="P1498" s="1" t="s">
        <v>4794</v>
      </c>
      <c r="Q1498" s="1" t="s">
        <v>4795</v>
      </c>
      <c r="R1498" s="1" t="s">
        <v>220</v>
      </c>
      <c r="S1498" s="1" t="s">
        <v>4517</v>
      </c>
      <c r="T1498" s="1" t="s">
        <v>4518</v>
      </c>
      <c r="U1498" s="2" t="s">
        <v>4796</v>
      </c>
      <c r="V1498" s="2" t="s">
        <v>47</v>
      </c>
      <c r="W1498" s="2" t="s">
        <v>71</v>
      </c>
      <c r="X1498" s="2">
        <v>69.650000000000006</v>
      </c>
    </row>
    <row r="1499" spans="1:24" x14ac:dyDescent="0.3">
      <c r="A1499">
        <v>19385</v>
      </c>
      <c r="B1499" t="s">
        <v>4792</v>
      </c>
      <c r="C1499" s="3">
        <v>40793</v>
      </c>
      <c r="D1499" t="s">
        <v>50</v>
      </c>
      <c r="E1499">
        <v>21</v>
      </c>
      <c r="F1499" s="3">
        <f ca="1">40795+(RANDBETWEEN(1,10))</f>
        <v>40803</v>
      </c>
      <c r="G1499" t="s">
        <v>26</v>
      </c>
      <c r="H1499" t="s">
        <v>27</v>
      </c>
      <c r="I1499" t="s">
        <v>28</v>
      </c>
      <c r="J1499">
        <v>259.27999999999997</v>
      </c>
      <c r="K1499">
        <v>0.02</v>
      </c>
      <c r="L1499">
        <v>0.4</v>
      </c>
      <c r="M1499">
        <v>21.945</v>
      </c>
      <c r="N1499">
        <v>-756.53899999999999</v>
      </c>
      <c r="O1499" s="1" t="s">
        <v>40</v>
      </c>
      <c r="P1499" s="1" t="s">
        <v>4794</v>
      </c>
      <c r="Q1499" s="1" t="s">
        <v>4795</v>
      </c>
      <c r="R1499" s="1" t="s">
        <v>220</v>
      </c>
      <c r="S1499" s="1" t="s">
        <v>4517</v>
      </c>
      <c r="T1499" s="1" t="s">
        <v>4518</v>
      </c>
      <c r="U1499" s="2" t="s">
        <v>1887</v>
      </c>
      <c r="V1499" s="2" t="s">
        <v>47</v>
      </c>
      <c r="W1499" s="2" t="s">
        <v>111</v>
      </c>
      <c r="X1499" s="2">
        <v>11.76</v>
      </c>
    </row>
    <row r="1500" spans="1:24" x14ac:dyDescent="0.3">
      <c r="A1500">
        <v>19386</v>
      </c>
      <c r="B1500" t="s">
        <v>4797</v>
      </c>
      <c r="C1500" s="3">
        <v>41649</v>
      </c>
      <c r="D1500" t="s">
        <v>39</v>
      </c>
      <c r="E1500">
        <v>9</v>
      </c>
      <c r="F1500" s="3">
        <f ca="1">41652+(RANDBETWEEN(1,10))</f>
        <v>41660</v>
      </c>
      <c r="G1500" t="s">
        <v>26</v>
      </c>
      <c r="H1500" t="s">
        <v>51</v>
      </c>
      <c r="I1500" t="s">
        <v>86</v>
      </c>
      <c r="J1500">
        <v>165.2</v>
      </c>
      <c r="K1500">
        <v>0</v>
      </c>
      <c r="L1500">
        <v>0.66</v>
      </c>
      <c r="M1500">
        <v>17.254999999999999</v>
      </c>
      <c r="N1500">
        <v>24.611999999999998</v>
      </c>
      <c r="O1500" s="1" t="s">
        <v>64</v>
      </c>
      <c r="P1500" s="1" t="s">
        <v>4798</v>
      </c>
      <c r="Q1500" s="1" t="s">
        <v>4799</v>
      </c>
      <c r="R1500" s="1" t="s">
        <v>128</v>
      </c>
      <c r="S1500" s="1" t="s">
        <v>4800</v>
      </c>
      <c r="T1500" s="1" t="s">
        <v>4801</v>
      </c>
      <c r="U1500" s="2" t="s">
        <v>1387</v>
      </c>
      <c r="V1500" s="2" t="s">
        <v>36</v>
      </c>
      <c r="W1500" s="2" t="s">
        <v>60</v>
      </c>
      <c r="X1500" s="2">
        <v>17.114999999999998</v>
      </c>
    </row>
    <row r="1501" spans="1:24" x14ac:dyDescent="0.3">
      <c r="A1501">
        <v>19387</v>
      </c>
      <c r="B1501" t="s">
        <v>4797</v>
      </c>
      <c r="C1501" s="3">
        <v>41649</v>
      </c>
      <c r="D1501" t="s">
        <v>39</v>
      </c>
      <c r="E1501">
        <v>12</v>
      </c>
      <c r="F1501" s="3">
        <f ca="1">41651+(RANDBETWEEN(1,10))</f>
        <v>41660</v>
      </c>
      <c r="G1501" t="s">
        <v>76</v>
      </c>
      <c r="H1501" t="s">
        <v>258</v>
      </c>
      <c r="I1501" t="s">
        <v>86</v>
      </c>
      <c r="J1501">
        <v>6505.45</v>
      </c>
      <c r="K1501">
        <v>0</v>
      </c>
      <c r="L1501">
        <v>0.75</v>
      </c>
      <c r="M1501">
        <v>137.375</v>
      </c>
      <c r="N1501">
        <v>-11.858000000000001</v>
      </c>
      <c r="O1501" s="1" t="s">
        <v>64</v>
      </c>
      <c r="P1501" s="1" t="s">
        <v>4798</v>
      </c>
      <c r="Q1501" s="1" t="s">
        <v>4799</v>
      </c>
      <c r="R1501" s="1" t="s">
        <v>128</v>
      </c>
      <c r="S1501" s="1" t="s">
        <v>4800</v>
      </c>
      <c r="T1501" s="1" t="s">
        <v>4801</v>
      </c>
      <c r="U1501" s="2" t="s">
        <v>342</v>
      </c>
      <c r="V1501" s="2" t="s">
        <v>83</v>
      </c>
      <c r="W1501" s="2" t="s">
        <v>263</v>
      </c>
      <c r="X1501" s="2">
        <v>528.42999999999995</v>
      </c>
    </row>
    <row r="1502" spans="1:24" x14ac:dyDescent="0.3">
      <c r="A1502">
        <v>19388</v>
      </c>
      <c r="B1502" t="s">
        <v>4802</v>
      </c>
      <c r="C1502" s="3">
        <v>41392</v>
      </c>
      <c r="D1502" t="s">
        <v>39</v>
      </c>
      <c r="E1502">
        <v>1</v>
      </c>
      <c r="F1502" s="3">
        <f ca="1">41394+(RANDBETWEEN(1,10))</f>
        <v>41397</v>
      </c>
      <c r="G1502" t="s">
        <v>26</v>
      </c>
      <c r="H1502" t="s">
        <v>281</v>
      </c>
      <c r="I1502" t="s">
        <v>97</v>
      </c>
      <c r="J1502">
        <v>355.77499999999998</v>
      </c>
      <c r="K1502">
        <v>0.08</v>
      </c>
      <c r="L1502">
        <v>0.74</v>
      </c>
      <c r="M1502">
        <v>168.7</v>
      </c>
      <c r="N1502">
        <v>245.48474999999999</v>
      </c>
      <c r="O1502" s="1" t="s">
        <v>64</v>
      </c>
      <c r="P1502" s="1" t="s">
        <v>4803</v>
      </c>
      <c r="Q1502" s="1" t="s">
        <v>4804</v>
      </c>
      <c r="R1502" s="1" t="s">
        <v>128</v>
      </c>
      <c r="S1502" s="1" t="s">
        <v>4805</v>
      </c>
      <c r="T1502" s="1" t="s">
        <v>4806</v>
      </c>
      <c r="U1502" s="2" t="s">
        <v>2660</v>
      </c>
      <c r="V1502" s="2" t="s">
        <v>83</v>
      </c>
      <c r="W1502" s="2" t="s">
        <v>178</v>
      </c>
      <c r="X1502" s="2">
        <v>278.32</v>
      </c>
    </row>
    <row r="1503" spans="1:24" x14ac:dyDescent="0.3">
      <c r="A1503">
        <v>19389</v>
      </c>
      <c r="B1503" t="s">
        <v>4802</v>
      </c>
      <c r="C1503" s="3">
        <v>41392</v>
      </c>
      <c r="D1503" t="s">
        <v>39</v>
      </c>
      <c r="E1503">
        <v>1</v>
      </c>
      <c r="F1503" s="3">
        <f ca="1">41392+(RANDBETWEEN(1,10))</f>
        <v>41400</v>
      </c>
      <c r="G1503" t="s">
        <v>26</v>
      </c>
      <c r="H1503" t="s">
        <v>27</v>
      </c>
      <c r="I1503" t="s">
        <v>97</v>
      </c>
      <c r="J1503">
        <v>344.505</v>
      </c>
      <c r="K1503">
        <v>0.09</v>
      </c>
      <c r="L1503">
        <v>0.56000000000000005</v>
      </c>
      <c r="M1503">
        <v>20.965</v>
      </c>
      <c r="N1503">
        <v>-2123.0825</v>
      </c>
      <c r="O1503" s="1" t="s">
        <v>64</v>
      </c>
      <c r="P1503" s="1" t="s">
        <v>4803</v>
      </c>
      <c r="Q1503" s="1" t="s">
        <v>4804</v>
      </c>
      <c r="R1503" s="1" t="s">
        <v>128</v>
      </c>
      <c r="S1503" s="1" t="s">
        <v>4805</v>
      </c>
      <c r="T1503" s="1" t="s">
        <v>4806</v>
      </c>
      <c r="U1503" s="2" t="s">
        <v>3000</v>
      </c>
      <c r="V1503" s="2" t="s">
        <v>36</v>
      </c>
      <c r="W1503" s="2" t="s">
        <v>37</v>
      </c>
      <c r="X1503" s="2">
        <v>440.96499999999997</v>
      </c>
    </row>
    <row r="1504" spans="1:24" x14ac:dyDescent="0.3">
      <c r="A1504">
        <v>19390</v>
      </c>
      <c r="B1504" t="s">
        <v>4807</v>
      </c>
      <c r="C1504" s="3">
        <v>40951</v>
      </c>
      <c r="D1504" t="s">
        <v>25</v>
      </c>
      <c r="E1504">
        <v>5</v>
      </c>
      <c r="F1504" s="3">
        <f ca="1">40958+(RANDBETWEEN(1,10))</f>
        <v>40963</v>
      </c>
      <c r="G1504" t="s">
        <v>26</v>
      </c>
      <c r="H1504" t="s">
        <v>27</v>
      </c>
      <c r="I1504" t="s">
        <v>28</v>
      </c>
      <c r="J1504">
        <v>557.41</v>
      </c>
      <c r="K1504">
        <v>0</v>
      </c>
      <c r="L1504">
        <v>0.75</v>
      </c>
      <c r="M1504">
        <v>14</v>
      </c>
      <c r="N1504">
        <v>-93.905000000000001</v>
      </c>
      <c r="O1504" s="1" t="s">
        <v>225</v>
      </c>
      <c r="P1504" s="1" t="s">
        <v>3306</v>
      </c>
      <c r="Q1504" s="1" t="s">
        <v>3307</v>
      </c>
      <c r="R1504" s="1" t="s">
        <v>391</v>
      </c>
      <c r="S1504" s="1" t="s">
        <v>3308</v>
      </c>
      <c r="T1504" s="1" t="s">
        <v>3309</v>
      </c>
      <c r="U1504" s="2" t="s">
        <v>216</v>
      </c>
      <c r="V1504" s="2" t="s">
        <v>36</v>
      </c>
      <c r="W1504" s="2" t="s">
        <v>60</v>
      </c>
      <c r="X1504" s="2">
        <v>107.55500000000001</v>
      </c>
    </row>
    <row r="1505" spans="1:24" x14ac:dyDescent="0.3">
      <c r="A1505">
        <v>19391</v>
      </c>
      <c r="B1505" t="s">
        <v>4808</v>
      </c>
      <c r="C1505" s="3">
        <v>41128</v>
      </c>
      <c r="D1505" t="s">
        <v>50</v>
      </c>
      <c r="E1505">
        <v>22</v>
      </c>
      <c r="F1505" s="3">
        <f ca="1">41129+(RANDBETWEEN(1,10))</f>
        <v>41137</v>
      </c>
      <c r="G1505" t="s">
        <v>26</v>
      </c>
      <c r="H1505" t="s">
        <v>27</v>
      </c>
      <c r="I1505" t="s">
        <v>97</v>
      </c>
      <c r="J1505">
        <v>1663.2349999999999</v>
      </c>
      <c r="K1505">
        <v>0.02</v>
      </c>
      <c r="L1505">
        <v>0.53</v>
      </c>
      <c r="M1505">
        <v>23.38</v>
      </c>
      <c r="N1505">
        <v>1973.307</v>
      </c>
      <c r="O1505" s="1" t="s">
        <v>64</v>
      </c>
      <c r="P1505" s="1" t="s">
        <v>4809</v>
      </c>
      <c r="Q1505" s="1" t="s">
        <v>4810</v>
      </c>
      <c r="R1505" s="1" t="s">
        <v>67</v>
      </c>
      <c r="S1505" s="1" t="s">
        <v>4811</v>
      </c>
      <c r="T1505" s="1" t="s">
        <v>4812</v>
      </c>
      <c r="U1505" s="2" t="s">
        <v>223</v>
      </c>
      <c r="V1505" s="2" t="s">
        <v>83</v>
      </c>
      <c r="W1505" s="2" t="s">
        <v>178</v>
      </c>
      <c r="X1505" s="2">
        <v>70.98</v>
      </c>
    </row>
    <row r="1506" spans="1:24" x14ac:dyDescent="0.3">
      <c r="A1506">
        <v>19392</v>
      </c>
      <c r="B1506" t="s">
        <v>4813</v>
      </c>
      <c r="C1506" s="3">
        <v>40947</v>
      </c>
      <c r="D1506" t="s">
        <v>62</v>
      </c>
      <c r="E1506">
        <v>10</v>
      </c>
      <c r="F1506" s="3">
        <f ca="1">40949+(RANDBETWEEN(1,10))</f>
        <v>40952</v>
      </c>
      <c r="G1506" t="s">
        <v>26</v>
      </c>
      <c r="H1506" t="s">
        <v>27</v>
      </c>
      <c r="I1506" t="s">
        <v>86</v>
      </c>
      <c r="J1506">
        <v>132.72</v>
      </c>
      <c r="K1506">
        <v>0</v>
      </c>
      <c r="L1506">
        <v>0.37</v>
      </c>
      <c r="M1506">
        <v>19.145</v>
      </c>
      <c r="N1506">
        <v>-500.18675000000002</v>
      </c>
      <c r="O1506" s="1" t="s">
        <v>64</v>
      </c>
      <c r="P1506" s="1" t="s">
        <v>4814</v>
      </c>
      <c r="Q1506" s="1" t="s">
        <v>4815</v>
      </c>
      <c r="R1506" s="1" t="s">
        <v>67</v>
      </c>
      <c r="S1506" s="1" t="s">
        <v>4816</v>
      </c>
      <c r="T1506" s="1" t="s">
        <v>4817</v>
      </c>
      <c r="U1506" s="2" t="s">
        <v>879</v>
      </c>
      <c r="V1506" s="2" t="s">
        <v>47</v>
      </c>
      <c r="W1506" s="2" t="s">
        <v>111</v>
      </c>
      <c r="X1506" s="2">
        <v>12.53</v>
      </c>
    </row>
    <row r="1507" spans="1:24" x14ac:dyDescent="0.3">
      <c r="A1507">
        <v>19393</v>
      </c>
      <c r="B1507" t="s">
        <v>4818</v>
      </c>
      <c r="C1507" s="3">
        <v>41229</v>
      </c>
      <c r="D1507" t="s">
        <v>148</v>
      </c>
      <c r="E1507">
        <v>5</v>
      </c>
      <c r="F1507" s="3">
        <f ca="1">41230+(RANDBETWEEN(1,10))</f>
        <v>41232</v>
      </c>
      <c r="G1507" t="s">
        <v>156</v>
      </c>
      <c r="H1507" t="s">
        <v>27</v>
      </c>
      <c r="I1507" t="s">
        <v>52</v>
      </c>
      <c r="J1507">
        <v>187.74</v>
      </c>
      <c r="K1507">
        <v>7.0000000000000007E-2</v>
      </c>
      <c r="L1507">
        <v>0.36</v>
      </c>
      <c r="M1507">
        <v>19.600000000000001</v>
      </c>
      <c r="N1507">
        <v>4.8702500000000004</v>
      </c>
      <c r="O1507" s="1" t="s">
        <v>225</v>
      </c>
      <c r="P1507" s="1" t="s">
        <v>4819</v>
      </c>
      <c r="Q1507" s="1" t="s">
        <v>4820</v>
      </c>
      <c r="R1507" s="1" t="s">
        <v>228</v>
      </c>
      <c r="S1507" s="1" t="s">
        <v>4821</v>
      </c>
      <c r="T1507" s="1" t="s">
        <v>4822</v>
      </c>
      <c r="U1507" s="2" t="s">
        <v>3792</v>
      </c>
      <c r="V1507" s="2" t="s">
        <v>47</v>
      </c>
      <c r="W1507" s="2" t="s">
        <v>111</v>
      </c>
      <c r="X1507" s="2">
        <v>30.975000000000001</v>
      </c>
    </row>
    <row r="1508" spans="1:24" x14ac:dyDescent="0.3">
      <c r="A1508">
        <v>19394</v>
      </c>
      <c r="B1508" t="s">
        <v>4818</v>
      </c>
      <c r="C1508" s="3">
        <v>41229</v>
      </c>
      <c r="D1508" t="s">
        <v>148</v>
      </c>
      <c r="E1508">
        <v>9</v>
      </c>
      <c r="F1508" s="3">
        <f ca="1">41231+(RANDBETWEEN(1,10))</f>
        <v>41233</v>
      </c>
      <c r="G1508" t="s">
        <v>26</v>
      </c>
      <c r="H1508" t="s">
        <v>63</v>
      </c>
      <c r="I1508" t="s">
        <v>52</v>
      </c>
      <c r="J1508">
        <v>14453.95</v>
      </c>
      <c r="K1508">
        <v>0.01</v>
      </c>
      <c r="L1508">
        <v>0.52</v>
      </c>
      <c r="M1508">
        <v>85.715000000000003</v>
      </c>
      <c r="N1508">
        <v>186.63679999999999</v>
      </c>
      <c r="O1508" s="1" t="s">
        <v>225</v>
      </c>
      <c r="P1508" s="1" t="s">
        <v>4819</v>
      </c>
      <c r="Q1508" s="1" t="s">
        <v>4820</v>
      </c>
      <c r="R1508" s="1" t="s">
        <v>228</v>
      </c>
      <c r="S1508" s="1" t="s">
        <v>4821</v>
      </c>
      <c r="T1508" s="1" t="s">
        <v>4822</v>
      </c>
      <c r="U1508" s="2" t="s">
        <v>1480</v>
      </c>
      <c r="V1508" s="2" t="s">
        <v>36</v>
      </c>
      <c r="W1508" s="2" t="s">
        <v>1327</v>
      </c>
      <c r="X1508" s="2">
        <v>1574.9649999999999</v>
      </c>
    </row>
    <row r="1509" spans="1:24" x14ac:dyDescent="0.3">
      <c r="A1509">
        <v>19395</v>
      </c>
      <c r="B1509" t="s">
        <v>4823</v>
      </c>
      <c r="C1509" s="3">
        <v>41276</v>
      </c>
      <c r="D1509" t="s">
        <v>62</v>
      </c>
      <c r="E1509">
        <v>4</v>
      </c>
      <c r="F1509" s="3">
        <f ca="1">41278+(RANDBETWEEN(1,10))</f>
        <v>41280</v>
      </c>
      <c r="G1509" t="s">
        <v>76</v>
      </c>
      <c r="H1509" t="s">
        <v>77</v>
      </c>
      <c r="I1509" t="s">
        <v>28</v>
      </c>
      <c r="J1509">
        <v>4728.29</v>
      </c>
      <c r="K1509">
        <v>0.08</v>
      </c>
      <c r="L1509">
        <v>0.64</v>
      </c>
      <c r="M1509">
        <v>206.22</v>
      </c>
      <c r="N1509">
        <v>276.18779999999998</v>
      </c>
      <c r="O1509" s="1" t="s">
        <v>40</v>
      </c>
      <c r="P1509" s="1" t="s">
        <v>4824</v>
      </c>
      <c r="Q1509" s="1" t="s">
        <v>4825</v>
      </c>
      <c r="R1509" s="1" t="s">
        <v>220</v>
      </c>
      <c r="S1509" s="1" t="s">
        <v>4826</v>
      </c>
      <c r="T1509" s="1" t="s">
        <v>4827</v>
      </c>
      <c r="U1509" s="2" t="s">
        <v>207</v>
      </c>
      <c r="V1509" s="2" t="s">
        <v>83</v>
      </c>
      <c r="W1509" s="2" t="s">
        <v>84</v>
      </c>
      <c r="X1509" s="2">
        <v>1245.93</v>
      </c>
    </row>
    <row r="1510" spans="1:24" x14ac:dyDescent="0.3">
      <c r="A1510">
        <v>19396</v>
      </c>
      <c r="B1510" t="s">
        <v>4823</v>
      </c>
      <c r="C1510" s="3">
        <v>41276</v>
      </c>
      <c r="D1510" t="s">
        <v>62</v>
      </c>
      <c r="E1510">
        <v>1</v>
      </c>
      <c r="F1510" s="3">
        <f ca="1">41278+(RANDBETWEEN(1,10))</f>
        <v>41282</v>
      </c>
      <c r="G1510" t="s">
        <v>76</v>
      </c>
      <c r="H1510" t="s">
        <v>77</v>
      </c>
      <c r="I1510" t="s">
        <v>28</v>
      </c>
      <c r="J1510">
        <v>673.71500000000003</v>
      </c>
      <c r="K1510">
        <v>0.02</v>
      </c>
      <c r="L1510">
        <v>0.62</v>
      </c>
      <c r="M1510">
        <v>105</v>
      </c>
      <c r="N1510">
        <v>-426.62200000000001</v>
      </c>
      <c r="O1510" s="1" t="s">
        <v>40</v>
      </c>
      <c r="P1510" s="1" t="s">
        <v>4824</v>
      </c>
      <c r="Q1510" s="1" t="s">
        <v>4825</v>
      </c>
      <c r="R1510" s="1" t="s">
        <v>220</v>
      </c>
      <c r="S1510" s="1" t="s">
        <v>4826</v>
      </c>
      <c r="T1510" s="1" t="s">
        <v>4827</v>
      </c>
      <c r="U1510" s="2" t="s">
        <v>2089</v>
      </c>
      <c r="V1510" s="2" t="s">
        <v>83</v>
      </c>
      <c r="W1510" s="2" t="s">
        <v>84</v>
      </c>
      <c r="X1510" s="2">
        <v>563.42999999999995</v>
      </c>
    </row>
    <row r="1511" spans="1:24" x14ac:dyDescent="0.3">
      <c r="A1511">
        <v>19397</v>
      </c>
      <c r="B1511" t="s">
        <v>4823</v>
      </c>
      <c r="C1511" s="3">
        <v>41276</v>
      </c>
      <c r="D1511" t="s">
        <v>62</v>
      </c>
      <c r="E1511">
        <v>7</v>
      </c>
      <c r="F1511" s="3">
        <f ca="1">41276+(RANDBETWEEN(1,10))</f>
        <v>41285</v>
      </c>
      <c r="G1511" t="s">
        <v>76</v>
      </c>
      <c r="H1511" t="s">
        <v>258</v>
      </c>
      <c r="I1511" t="s">
        <v>28</v>
      </c>
      <c r="J1511">
        <v>6541.8149999999996</v>
      </c>
      <c r="K1511">
        <v>0.1</v>
      </c>
      <c r="L1511">
        <v>0.66</v>
      </c>
      <c r="M1511">
        <v>124.845</v>
      </c>
      <c r="N1511">
        <v>1435.1764000000001</v>
      </c>
      <c r="O1511" s="1" t="s">
        <v>40</v>
      </c>
      <c r="P1511" s="1" t="s">
        <v>4824</v>
      </c>
      <c r="Q1511" s="1" t="s">
        <v>4825</v>
      </c>
      <c r="R1511" s="1" t="s">
        <v>220</v>
      </c>
      <c r="S1511" s="1" t="s">
        <v>4826</v>
      </c>
      <c r="T1511" s="1" t="s">
        <v>4827</v>
      </c>
      <c r="U1511" s="2" t="s">
        <v>1073</v>
      </c>
      <c r="V1511" s="2" t="s">
        <v>83</v>
      </c>
      <c r="W1511" s="2" t="s">
        <v>263</v>
      </c>
      <c r="X1511" s="2">
        <v>983.43</v>
      </c>
    </row>
    <row r="1512" spans="1:24" x14ac:dyDescent="0.3">
      <c r="A1512">
        <v>19398</v>
      </c>
      <c r="B1512" t="s">
        <v>4828</v>
      </c>
      <c r="C1512" s="3">
        <v>40664</v>
      </c>
      <c r="D1512" t="s">
        <v>25</v>
      </c>
      <c r="E1512">
        <v>7</v>
      </c>
      <c r="F1512" s="3">
        <f ca="1">40669+(RANDBETWEEN(1,10))</f>
        <v>40670</v>
      </c>
      <c r="G1512" t="s">
        <v>26</v>
      </c>
      <c r="H1512" t="s">
        <v>27</v>
      </c>
      <c r="I1512" t="s">
        <v>28</v>
      </c>
      <c r="J1512">
        <v>768.81</v>
      </c>
      <c r="K1512">
        <v>0.1</v>
      </c>
      <c r="L1512">
        <v>0.55000000000000004</v>
      </c>
      <c r="M1512">
        <v>17.57</v>
      </c>
      <c r="N1512">
        <v>530.47889999999995</v>
      </c>
      <c r="O1512" s="1" t="s">
        <v>29</v>
      </c>
      <c r="P1512" s="1" t="s">
        <v>3083</v>
      </c>
      <c r="Q1512" s="1" t="s">
        <v>3084</v>
      </c>
      <c r="R1512" s="1" t="s">
        <v>460</v>
      </c>
      <c r="S1512" s="1" t="s">
        <v>3085</v>
      </c>
      <c r="T1512" s="1" t="s">
        <v>3086</v>
      </c>
      <c r="U1512" s="2" t="s">
        <v>4829</v>
      </c>
      <c r="V1512" s="2" t="s">
        <v>83</v>
      </c>
      <c r="W1512" s="2" t="s">
        <v>178</v>
      </c>
      <c r="X1512" s="2">
        <v>119.80500000000001</v>
      </c>
    </row>
    <row r="1513" spans="1:24" x14ac:dyDescent="0.3">
      <c r="A1513">
        <v>19399</v>
      </c>
      <c r="B1513" t="s">
        <v>4830</v>
      </c>
      <c r="C1513" s="3">
        <v>41191</v>
      </c>
      <c r="D1513" t="s">
        <v>39</v>
      </c>
      <c r="E1513">
        <v>10</v>
      </c>
      <c r="F1513" s="3">
        <f ca="1">41192+(RANDBETWEEN(1,10))</f>
        <v>41194</v>
      </c>
      <c r="G1513" t="s">
        <v>26</v>
      </c>
      <c r="H1513" t="s">
        <v>27</v>
      </c>
      <c r="I1513" t="s">
        <v>97</v>
      </c>
      <c r="J1513">
        <v>153.93</v>
      </c>
      <c r="K1513">
        <v>0.04</v>
      </c>
      <c r="L1513">
        <v>0.35</v>
      </c>
      <c r="M1513">
        <v>18.934999999999999</v>
      </c>
      <c r="N1513">
        <v>-275.59980000000002</v>
      </c>
      <c r="O1513" s="1" t="s">
        <v>40</v>
      </c>
      <c r="P1513" s="1" t="s">
        <v>705</v>
      </c>
      <c r="Q1513" s="1" t="s">
        <v>706</v>
      </c>
      <c r="R1513" s="1" t="s">
        <v>220</v>
      </c>
      <c r="S1513" s="1" t="s">
        <v>707</v>
      </c>
      <c r="T1513" s="1" t="s">
        <v>708</v>
      </c>
      <c r="U1513" s="2" t="s">
        <v>231</v>
      </c>
      <c r="V1513" s="2" t="s">
        <v>47</v>
      </c>
      <c r="W1513" s="2" t="s">
        <v>111</v>
      </c>
      <c r="X1513" s="2">
        <v>14.84</v>
      </c>
    </row>
    <row r="1514" spans="1:24" x14ac:dyDescent="0.3">
      <c r="A1514">
        <v>19400</v>
      </c>
      <c r="B1514" t="s">
        <v>4831</v>
      </c>
      <c r="C1514" s="3">
        <v>40627</v>
      </c>
      <c r="D1514" t="s">
        <v>25</v>
      </c>
      <c r="E1514">
        <v>7</v>
      </c>
      <c r="F1514" s="3">
        <f ca="1">40627+(RANDBETWEEN(1,10))</f>
        <v>40636</v>
      </c>
      <c r="G1514" t="s">
        <v>76</v>
      </c>
      <c r="H1514" t="s">
        <v>258</v>
      </c>
      <c r="I1514" t="s">
        <v>86</v>
      </c>
      <c r="J1514">
        <v>13028.434999999999</v>
      </c>
      <c r="K1514">
        <v>0.02</v>
      </c>
      <c r="L1514">
        <v>0.66</v>
      </c>
      <c r="M1514">
        <v>145.04</v>
      </c>
      <c r="N1514">
        <v>8989.6201500000006</v>
      </c>
      <c r="O1514" s="1" t="s">
        <v>29</v>
      </c>
      <c r="P1514" s="1" t="s">
        <v>2598</v>
      </c>
      <c r="Q1514" s="1" t="s">
        <v>2599</v>
      </c>
      <c r="R1514" s="1" t="s">
        <v>460</v>
      </c>
      <c r="S1514" s="1" t="s">
        <v>2600</v>
      </c>
      <c r="T1514" s="1" t="s">
        <v>2601</v>
      </c>
      <c r="U1514" s="2" t="s">
        <v>2654</v>
      </c>
      <c r="V1514" s="2" t="s">
        <v>83</v>
      </c>
      <c r="W1514" s="2" t="s">
        <v>298</v>
      </c>
      <c r="X1514" s="2">
        <v>1753.43</v>
      </c>
    </row>
    <row r="1515" spans="1:24" x14ac:dyDescent="0.3">
      <c r="A1515">
        <v>19401</v>
      </c>
      <c r="B1515" t="s">
        <v>4832</v>
      </c>
      <c r="C1515" s="3">
        <v>40871</v>
      </c>
      <c r="D1515" t="s">
        <v>62</v>
      </c>
      <c r="E1515">
        <v>41</v>
      </c>
      <c r="F1515" s="3">
        <f ca="1">40872+(RANDBETWEEN(1,10))</f>
        <v>40874</v>
      </c>
      <c r="G1515" t="s">
        <v>76</v>
      </c>
      <c r="H1515" t="s">
        <v>77</v>
      </c>
      <c r="I1515" t="s">
        <v>28</v>
      </c>
      <c r="J1515">
        <v>3617.46</v>
      </c>
      <c r="K1515">
        <v>0.06</v>
      </c>
      <c r="L1515">
        <v>0.6</v>
      </c>
      <c r="M1515">
        <v>50.26</v>
      </c>
      <c r="N1515">
        <v>195.608</v>
      </c>
      <c r="O1515" s="1" t="s">
        <v>40</v>
      </c>
      <c r="P1515" s="1" t="s">
        <v>4007</v>
      </c>
      <c r="Q1515" s="1" t="s">
        <v>4008</v>
      </c>
      <c r="R1515" s="1" t="s">
        <v>43</v>
      </c>
      <c r="S1515" s="1" t="s">
        <v>4009</v>
      </c>
      <c r="T1515" s="1" t="s">
        <v>4010</v>
      </c>
      <c r="U1515" s="2" t="s">
        <v>4583</v>
      </c>
      <c r="V1515" s="2" t="s">
        <v>83</v>
      </c>
      <c r="W1515" s="2" t="s">
        <v>84</v>
      </c>
      <c r="X1515" s="2">
        <v>90.93</v>
      </c>
    </row>
    <row r="1516" spans="1:24" x14ac:dyDescent="0.3">
      <c r="A1516">
        <v>19402</v>
      </c>
      <c r="B1516" t="s">
        <v>4833</v>
      </c>
      <c r="C1516" s="3">
        <v>41242</v>
      </c>
      <c r="D1516" t="s">
        <v>148</v>
      </c>
      <c r="E1516">
        <v>12</v>
      </c>
      <c r="F1516" s="3">
        <f ca="1">41242+(RANDBETWEEN(1,10))</f>
        <v>41252</v>
      </c>
      <c r="G1516" t="s">
        <v>26</v>
      </c>
      <c r="H1516" t="s">
        <v>27</v>
      </c>
      <c r="I1516" t="s">
        <v>28</v>
      </c>
      <c r="J1516">
        <v>1384.635</v>
      </c>
      <c r="K1516">
        <v>0.09</v>
      </c>
      <c r="L1516">
        <v>0.55000000000000004</v>
      </c>
      <c r="M1516">
        <v>69.965000000000003</v>
      </c>
      <c r="N1516">
        <v>8.4</v>
      </c>
      <c r="O1516" s="1" t="s">
        <v>225</v>
      </c>
      <c r="P1516" s="1" t="s">
        <v>4834</v>
      </c>
      <c r="Q1516" s="1" t="s">
        <v>4835</v>
      </c>
      <c r="R1516" s="1" t="s">
        <v>391</v>
      </c>
      <c r="S1516" s="1" t="s">
        <v>2880</v>
      </c>
      <c r="T1516" s="1" t="s">
        <v>2881</v>
      </c>
      <c r="U1516" s="2" t="s">
        <v>3861</v>
      </c>
      <c r="V1516" s="2" t="s">
        <v>83</v>
      </c>
      <c r="W1516" s="2" t="s">
        <v>178</v>
      </c>
      <c r="X1516" s="2">
        <v>118.93</v>
      </c>
    </row>
    <row r="1517" spans="1:24" x14ac:dyDescent="0.3">
      <c r="A1517">
        <v>19403</v>
      </c>
      <c r="B1517" t="s">
        <v>4833</v>
      </c>
      <c r="C1517" s="3">
        <v>41242</v>
      </c>
      <c r="D1517" t="s">
        <v>148</v>
      </c>
      <c r="E1517">
        <v>41</v>
      </c>
      <c r="F1517" s="3">
        <f ca="1">41244+(RANDBETWEEN(1,10))</f>
        <v>41252</v>
      </c>
      <c r="G1517" t="s">
        <v>26</v>
      </c>
      <c r="H1517" t="s">
        <v>27</v>
      </c>
      <c r="I1517" t="s">
        <v>28</v>
      </c>
      <c r="J1517">
        <v>1252.0899999999999</v>
      </c>
      <c r="K1517">
        <v>0.02</v>
      </c>
      <c r="L1517">
        <v>0.38</v>
      </c>
      <c r="M1517">
        <v>21.664999999999999</v>
      </c>
      <c r="N1517">
        <v>42.149799999999999</v>
      </c>
      <c r="O1517" s="1" t="s">
        <v>87</v>
      </c>
      <c r="P1517" s="1" t="s">
        <v>4836</v>
      </c>
      <c r="Q1517" s="1" t="s">
        <v>4837</v>
      </c>
      <c r="R1517" s="1" t="s">
        <v>90</v>
      </c>
      <c r="S1517" s="1" t="s">
        <v>653</v>
      </c>
      <c r="T1517" s="1" t="s">
        <v>654</v>
      </c>
      <c r="U1517" s="2" t="s">
        <v>1202</v>
      </c>
      <c r="V1517" s="2" t="s">
        <v>47</v>
      </c>
      <c r="W1517" s="2" t="s">
        <v>111</v>
      </c>
      <c r="X1517" s="2">
        <v>30.1</v>
      </c>
    </row>
    <row r="1518" spans="1:24" x14ac:dyDescent="0.3">
      <c r="A1518">
        <v>19404</v>
      </c>
      <c r="B1518" t="s">
        <v>4838</v>
      </c>
      <c r="C1518" s="3">
        <v>41448</v>
      </c>
      <c r="D1518" t="s">
        <v>50</v>
      </c>
      <c r="E1518">
        <v>4</v>
      </c>
      <c r="F1518" s="3">
        <f ca="1">41449+(RANDBETWEEN(1,10))</f>
        <v>41454</v>
      </c>
      <c r="G1518" t="s">
        <v>26</v>
      </c>
      <c r="H1518" t="s">
        <v>27</v>
      </c>
      <c r="I1518" t="s">
        <v>28</v>
      </c>
      <c r="J1518">
        <v>1074.29</v>
      </c>
      <c r="K1518">
        <v>0.04</v>
      </c>
      <c r="L1518">
        <v>0.65</v>
      </c>
      <c r="M1518">
        <v>50.82</v>
      </c>
      <c r="N1518">
        <v>272.89499999999998</v>
      </c>
      <c r="O1518" s="1" t="s">
        <v>40</v>
      </c>
      <c r="P1518" s="1" t="s">
        <v>2215</v>
      </c>
      <c r="Q1518" s="1" t="s">
        <v>2216</v>
      </c>
      <c r="R1518" s="1" t="s">
        <v>43</v>
      </c>
      <c r="S1518" s="1" t="s">
        <v>2217</v>
      </c>
      <c r="T1518" s="1" t="s">
        <v>2218</v>
      </c>
      <c r="U1518" s="2" t="s">
        <v>2448</v>
      </c>
      <c r="V1518" s="2" t="s">
        <v>36</v>
      </c>
      <c r="W1518" s="2" t="s">
        <v>60</v>
      </c>
      <c r="X1518" s="2">
        <v>258.93</v>
      </c>
    </row>
    <row r="1519" spans="1:24" x14ac:dyDescent="0.3">
      <c r="A1519">
        <v>19405</v>
      </c>
      <c r="B1519" t="s">
        <v>4839</v>
      </c>
      <c r="C1519" s="3">
        <v>41052</v>
      </c>
      <c r="D1519" t="s">
        <v>25</v>
      </c>
      <c r="E1519">
        <v>5</v>
      </c>
      <c r="F1519" s="3">
        <f ca="1">41054+(RANDBETWEEN(1,10))</f>
        <v>41061</v>
      </c>
      <c r="G1519" t="s">
        <v>26</v>
      </c>
      <c r="H1519" t="s">
        <v>96</v>
      </c>
      <c r="I1519" t="s">
        <v>52</v>
      </c>
      <c r="J1519">
        <v>92.54</v>
      </c>
      <c r="K1519">
        <v>0.02</v>
      </c>
      <c r="L1519">
        <v>0.51</v>
      </c>
      <c r="M1519">
        <v>12.705</v>
      </c>
      <c r="N1519">
        <v>-10.185</v>
      </c>
      <c r="O1519" s="1" t="s">
        <v>87</v>
      </c>
      <c r="P1519" s="1" t="s">
        <v>3104</v>
      </c>
      <c r="Q1519" s="1" t="s">
        <v>3105</v>
      </c>
      <c r="R1519" s="1" t="s">
        <v>646</v>
      </c>
      <c r="S1519" s="1" t="s">
        <v>3106</v>
      </c>
      <c r="T1519" s="1" t="s">
        <v>3107</v>
      </c>
      <c r="U1519" s="2" t="s">
        <v>4165</v>
      </c>
      <c r="V1519" s="2" t="s">
        <v>83</v>
      </c>
      <c r="W1519" s="2" t="s">
        <v>178</v>
      </c>
      <c r="X1519" s="2">
        <v>17.78</v>
      </c>
    </row>
    <row r="1520" spans="1:24" x14ac:dyDescent="0.3">
      <c r="A1520">
        <v>19406</v>
      </c>
      <c r="B1520" t="s">
        <v>4839</v>
      </c>
      <c r="C1520" s="3">
        <v>41052</v>
      </c>
      <c r="D1520" t="s">
        <v>25</v>
      </c>
      <c r="E1520">
        <v>8</v>
      </c>
      <c r="F1520" s="3">
        <f ca="1">41056+(RANDBETWEEN(1,10))</f>
        <v>41063</v>
      </c>
      <c r="G1520" t="s">
        <v>26</v>
      </c>
      <c r="H1520" t="s">
        <v>27</v>
      </c>
      <c r="I1520" t="s">
        <v>52</v>
      </c>
      <c r="J1520">
        <v>1624.21</v>
      </c>
      <c r="K1520">
        <v>0</v>
      </c>
      <c r="L1520">
        <v>0.37</v>
      </c>
      <c r="M1520">
        <v>23.765000000000001</v>
      </c>
      <c r="N1520">
        <v>1120.7049</v>
      </c>
      <c r="O1520" s="1" t="s">
        <v>87</v>
      </c>
      <c r="P1520" s="1" t="s">
        <v>3104</v>
      </c>
      <c r="Q1520" s="1" t="s">
        <v>3105</v>
      </c>
      <c r="R1520" s="1" t="s">
        <v>646</v>
      </c>
      <c r="S1520" s="1" t="s">
        <v>3106</v>
      </c>
      <c r="T1520" s="1" t="s">
        <v>3107</v>
      </c>
      <c r="U1520" s="2" t="s">
        <v>4840</v>
      </c>
      <c r="V1520" s="2" t="s">
        <v>47</v>
      </c>
      <c r="W1520" s="2" t="s">
        <v>74</v>
      </c>
      <c r="X1520" s="2">
        <v>194.18</v>
      </c>
    </row>
    <row r="1521" spans="1:24" x14ac:dyDescent="0.3">
      <c r="A1521">
        <v>19407</v>
      </c>
      <c r="B1521" t="s">
        <v>4841</v>
      </c>
      <c r="C1521" s="3">
        <v>41322</v>
      </c>
      <c r="D1521" t="s">
        <v>39</v>
      </c>
      <c r="E1521">
        <v>3</v>
      </c>
      <c r="F1521" s="3">
        <f ca="1">41324+(RANDBETWEEN(1,10))</f>
        <v>41329</v>
      </c>
      <c r="G1521" t="s">
        <v>26</v>
      </c>
      <c r="H1521" t="s">
        <v>27</v>
      </c>
      <c r="I1521" t="s">
        <v>28</v>
      </c>
      <c r="J1521">
        <v>406.49</v>
      </c>
      <c r="K1521">
        <v>0.04</v>
      </c>
      <c r="L1521">
        <v>0.7</v>
      </c>
      <c r="M1521">
        <v>14</v>
      </c>
      <c r="N1521">
        <v>-277.13</v>
      </c>
      <c r="O1521" s="1" t="s">
        <v>53</v>
      </c>
      <c r="P1521" s="1" t="s">
        <v>4842</v>
      </c>
      <c r="Q1521" s="1" t="s">
        <v>4843</v>
      </c>
      <c r="R1521" s="1" t="s">
        <v>100</v>
      </c>
      <c r="S1521" s="1" t="s">
        <v>4844</v>
      </c>
      <c r="T1521" s="1" t="s">
        <v>4845</v>
      </c>
      <c r="U1521" s="2" t="s">
        <v>2111</v>
      </c>
      <c r="V1521" s="2" t="s">
        <v>36</v>
      </c>
      <c r="W1521" s="2" t="s">
        <v>60</v>
      </c>
      <c r="X1521" s="2">
        <v>139.93</v>
      </c>
    </row>
    <row r="1522" spans="1:24" x14ac:dyDescent="0.3">
      <c r="A1522">
        <v>19408</v>
      </c>
      <c r="B1522" t="s">
        <v>4846</v>
      </c>
      <c r="C1522" s="3">
        <v>41255</v>
      </c>
      <c r="D1522" t="s">
        <v>148</v>
      </c>
      <c r="E1522">
        <v>15</v>
      </c>
      <c r="F1522" s="3">
        <f ca="1">41256+(RANDBETWEEN(1,10))</f>
        <v>41261</v>
      </c>
      <c r="G1522" t="s">
        <v>26</v>
      </c>
      <c r="H1522" t="s">
        <v>27</v>
      </c>
      <c r="I1522" t="s">
        <v>97</v>
      </c>
      <c r="J1522">
        <v>1133.4749999999999</v>
      </c>
      <c r="K1522">
        <v>0.08</v>
      </c>
      <c r="L1522">
        <v>0.51</v>
      </c>
      <c r="M1522">
        <v>26.53</v>
      </c>
      <c r="N1522">
        <v>626.0625</v>
      </c>
      <c r="O1522" s="1" t="s">
        <v>29</v>
      </c>
      <c r="P1522" s="1" t="s">
        <v>4847</v>
      </c>
      <c r="Q1522" s="1" t="s">
        <v>4848</v>
      </c>
      <c r="R1522" s="1" t="s">
        <v>675</v>
      </c>
      <c r="S1522" s="1" t="s">
        <v>1805</v>
      </c>
      <c r="T1522" s="1" t="s">
        <v>1806</v>
      </c>
      <c r="U1522" s="2" t="s">
        <v>1676</v>
      </c>
      <c r="V1522" s="2" t="s">
        <v>83</v>
      </c>
      <c r="W1522" s="2" t="s">
        <v>178</v>
      </c>
      <c r="X1522" s="2">
        <v>80.430000000000007</v>
      </c>
    </row>
    <row r="1523" spans="1:24" x14ac:dyDescent="0.3">
      <c r="A1523">
        <v>19409</v>
      </c>
      <c r="B1523" t="s">
        <v>4849</v>
      </c>
      <c r="C1523" s="3">
        <v>41632</v>
      </c>
      <c r="D1523" t="s">
        <v>39</v>
      </c>
      <c r="E1523">
        <v>6</v>
      </c>
      <c r="F1523" s="3">
        <f ca="1">41633+(RANDBETWEEN(1,10))</f>
        <v>41636</v>
      </c>
      <c r="G1523" t="s">
        <v>26</v>
      </c>
      <c r="H1523" t="s">
        <v>27</v>
      </c>
      <c r="I1523" t="s">
        <v>52</v>
      </c>
      <c r="J1523">
        <v>49.734999999999999</v>
      </c>
      <c r="K1523">
        <v>7.0000000000000007E-2</v>
      </c>
      <c r="L1523">
        <v>0.4</v>
      </c>
      <c r="M1523">
        <v>16.695</v>
      </c>
      <c r="N1523">
        <v>1074.171</v>
      </c>
      <c r="O1523" s="1" t="s">
        <v>29</v>
      </c>
      <c r="P1523" s="1" t="s">
        <v>4850</v>
      </c>
      <c r="Q1523" s="1" t="s">
        <v>4851</v>
      </c>
      <c r="R1523" s="1" t="s">
        <v>460</v>
      </c>
      <c r="S1523" s="1" t="s">
        <v>4852</v>
      </c>
      <c r="T1523" s="1" t="s">
        <v>4853</v>
      </c>
      <c r="U1523" s="2" t="s">
        <v>2166</v>
      </c>
      <c r="V1523" s="2" t="s">
        <v>47</v>
      </c>
      <c r="W1523" s="2" t="s">
        <v>111</v>
      </c>
      <c r="X1523" s="2">
        <v>6.93</v>
      </c>
    </row>
    <row r="1524" spans="1:24" x14ac:dyDescent="0.3">
      <c r="A1524">
        <v>19410</v>
      </c>
      <c r="B1524" t="s">
        <v>4854</v>
      </c>
      <c r="C1524" s="3">
        <v>41318</v>
      </c>
      <c r="D1524" t="s">
        <v>148</v>
      </c>
      <c r="E1524">
        <v>8</v>
      </c>
      <c r="F1524" s="3">
        <f ca="1">41319+(RANDBETWEEN(1,10))</f>
        <v>41323</v>
      </c>
      <c r="G1524" t="s">
        <v>76</v>
      </c>
      <c r="H1524" t="s">
        <v>258</v>
      </c>
      <c r="I1524" t="s">
        <v>28</v>
      </c>
      <c r="J1524">
        <v>2743.86</v>
      </c>
      <c r="K1524">
        <v>0.06</v>
      </c>
      <c r="L1524">
        <v>0.78</v>
      </c>
      <c r="M1524">
        <v>200.83</v>
      </c>
      <c r="N1524">
        <v>-4311.93</v>
      </c>
      <c r="O1524" s="1" t="s">
        <v>64</v>
      </c>
      <c r="P1524" s="1" t="s">
        <v>3651</v>
      </c>
      <c r="Q1524" s="1" t="s">
        <v>3652</v>
      </c>
      <c r="R1524" s="1" t="s">
        <v>67</v>
      </c>
      <c r="S1524" s="1" t="s">
        <v>3653</v>
      </c>
      <c r="T1524" s="1" t="s">
        <v>3654</v>
      </c>
      <c r="U1524" s="2" t="s">
        <v>1795</v>
      </c>
      <c r="V1524" s="2" t="s">
        <v>83</v>
      </c>
      <c r="W1524" s="2" t="s">
        <v>298</v>
      </c>
      <c r="X1524" s="2">
        <v>353.43</v>
      </c>
    </row>
    <row r="1525" spans="1:24" x14ac:dyDescent="0.3">
      <c r="A1525">
        <v>19411</v>
      </c>
      <c r="B1525" t="s">
        <v>4854</v>
      </c>
      <c r="C1525" s="3">
        <v>41318</v>
      </c>
      <c r="D1525" t="s">
        <v>148</v>
      </c>
      <c r="E1525">
        <v>6</v>
      </c>
      <c r="F1525" s="3">
        <f ca="1">41319+(RANDBETWEEN(1,10))</f>
        <v>41324</v>
      </c>
      <c r="G1525" t="s">
        <v>76</v>
      </c>
      <c r="H1525" t="s">
        <v>77</v>
      </c>
      <c r="I1525" t="s">
        <v>28</v>
      </c>
      <c r="J1525">
        <v>2701.9650000000001</v>
      </c>
      <c r="K1525">
        <v>0.04</v>
      </c>
      <c r="L1525">
        <v>0.74</v>
      </c>
      <c r="M1525">
        <v>245.7</v>
      </c>
      <c r="N1525">
        <v>-3139.29</v>
      </c>
      <c r="O1525" s="1" t="s">
        <v>53</v>
      </c>
      <c r="P1525" s="1" t="s">
        <v>4855</v>
      </c>
      <c r="Q1525" s="1" t="s">
        <v>4856</v>
      </c>
      <c r="R1525" s="1" t="s">
        <v>100</v>
      </c>
      <c r="S1525" s="1" t="s">
        <v>3040</v>
      </c>
      <c r="T1525" s="1" t="s">
        <v>3041</v>
      </c>
      <c r="U1525" s="2" t="s">
        <v>358</v>
      </c>
      <c r="V1525" s="2" t="s">
        <v>83</v>
      </c>
      <c r="W1525" s="2" t="s">
        <v>84</v>
      </c>
      <c r="X1525" s="2">
        <v>430.46499999999997</v>
      </c>
    </row>
    <row r="1526" spans="1:24" x14ac:dyDescent="0.3">
      <c r="A1526">
        <v>19412</v>
      </c>
      <c r="B1526" t="s">
        <v>4854</v>
      </c>
      <c r="C1526" s="3">
        <v>41318</v>
      </c>
      <c r="D1526" t="s">
        <v>148</v>
      </c>
      <c r="E1526">
        <v>6</v>
      </c>
      <c r="F1526" s="3">
        <f ca="1">41320+(RANDBETWEEN(1,10))</f>
        <v>41329</v>
      </c>
      <c r="G1526" t="s">
        <v>26</v>
      </c>
      <c r="H1526" t="s">
        <v>27</v>
      </c>
      <c r="I1526" t="s">
        <v>28</v>
      </c>
      <c r="J1526">
        <v>116.095</v>
      </c>
      <c r="K1526">
        <v>0.1</v>
      </c>
      <c r="L1526">
        <v>0.39</v>
      </c>
      <c r="M1526">
        <v>24.43</v>
      </c>
      <c r="N1526">
        <v>-378.47075000000001</v>
      </c>
      <c r="O1526" s="1" t="s">
        <v>87</v>
      </c>
      <c r="P1526" s="1" t="s">
        <v>4857</v>
      </c>
      <c r="Q1526" s="1" t="s">
        <v>4858</v>
      </c>
      <c r="R1526" s="1" t="s">
        <v>90</v>
      </c>
      <c r="S1526" s="1" t="s">
        <v>2953</v>
      </c>
      <c r="T1526" s="1" t="s">
        <v>3586</v>
      </c>
      <c r="U1526" s="2" t="s">
        <v>4859</v>
      </c>
      <c r="V1526" s="2" t="s">
        <v>47</v>
      </c>
      <c r="W1526" s="2" t="s">
        <v>111</v>
      </c>
      <c r="X1526" s="2">
        <v>19.355</v>
      </c>
    </row>
    <row r="1527" spans="1:24" x14ac:dyDescent="0.3">
      <c r="A1527">
        <v>19413</v>
      </c>
      <c r="B1527" t="s">
        <v>4860</v>
      </c>
      <c r="C1527" s="3">
        <v>40918</v>
      </c>
      <c r="D1527" t="s">
        <v>148</v>
      </c>
      <c r="E1527">
        <v>5</v>
      </c>
      <c r="F1527" s="3">
        <f ca="1">40919+(RANDBETWEEN(1,10))</f>
        <v>40927</v>
      </c>
      <c r="G1527" t="s">
        <v>26</v>
      </c>
      <c r="H1527" t="s">
        <v>27</v>
      </c>
      <c r="I1527" t="s">
        <v>97</v>
      </c>
      <c r="J1527">
        <v>93.064999999999998</v>
      </c>
      <c r="K1527">
        <v>0.06</v>
      </c>
      <c r="L1527">
        <v>0.38</v>
      </c>
      <c r="M1527">
        <v>19.215</v>
      </c>
      <c r="N1527">
        <v>-231.4522</v>
      </c>
      <c r="O1527" s="1" t="s">
        <v>53</v>
      </c>
      <c r="P1527" s="1" t="s">
        <v>2253</v>
      </c>
      <c r="Q1527" s="1" t="s">
        <v>2254</v>
      </c>
      <c r="R1527" s="1" t="s">
        <v>56</v>
      </c>
      <c r="S1527" s="1" t="s">
        <v>2255</v>
      </c>
      <c r="T1527" s="1" t="s">
        <v>2256</v>
      </c>
      <c r="U1527" s="2" t="s">
        <v>236</v>
      </c>
      <c r="V1527" s="2" t="s">
        <v>47</v>
      </c>
      <c r="W1527" s="2" t="s">
        <v>74</v>
      </c>
      <c r="X1527" s="2">
        <v>17.43</v>
      </c>
    </row>
    <row r="1528" spans="1:24" x14ac:dyDescent="0.3">
      <c r="A1528">
        <v>19414</v>
      </c>
      <c r="B1528" t="s">
        <v>4860</v>
      </c>
      <c r="C1528" s="3">
        <v>40918</v>
      </c>
      <c r="D1528" t="s">
        <v>148</v>
      </c>
      <c r="E1528">
        <v>6</v>
      </c>
      <c r="F1528" s="3">
        <f ca="1">40920+(RANDBETWEEN(1,10))</f>
        <v>40930</v>
      </c>
      <c r="G1528" t="s">
        <v>26</v>
      </c>
      <c r="H1528" t="s">
        <v>51</v>
      </c>
      <c r="I1528" t="s">
        <v>97</v>
      </c>
      <c r="J1528">
        <v>202.965</v>
      </c>
      <c r="K1528">
        <v>0.03</v>
      </c>
      <c r="L1528">
        <v>0.43</v>
      </c>
      <c r="M1528">
        <v>6.9649999999999999</v>
      </c>
      <c r="N1528">
        <v>117.41240000000001</v>
      </c>
      <c r="O1528" s="1" t="s">
        <v>64</v>
      </c>
      <c r="P1528" s="1" t="s">
        <v>4861</v>
      </c>
      <c r="Q1528" s="1" t="s">
        <v>4862</v>
      </c>
      <c r="R1528" s="1" t="s">
        <v>67</v>
      </c>
      <c r="S1528" s="1" t="s">
        <v>4863</v>
      </c>
      <c r="T1528" s="1" t="s">
        <v>4864</v>
      </c>
      <c r="U1528" s="2" t="s">
        <v>237</v>
      </c>
      <c r="V1528" s="2" t="s">
        <v>36</v>
      </c>
      <c r="W1528" s="2" t="s">
        <v>60</v>
      </c>
      <c r="X1528" s="2">
        <v>34.229999999999997</v>
      </c>
    </row>
    <row r="1529" spans="1:24" x14ac:dyDescent="0.3">
      <c r="A1529">
        <v>19415</v>
      </c>
      <c r="B1529" t="s">
        <v>4865</v>
      </c>
      <c r="C1529" s="3">
        <v>40560</v>
      </c>
      <c r="D1529" t="s">
        <v>148</v>
      </c>
      <c r="E1529">
        <v>1</v>
      </c>
      <c r="F1529" s="3">
        <f ca="1">40562+(RANDBETWEEN(1,10))</f>
        <v>40568</v>
      </c>
      <c r="G1529" t="s">
        <v>26</v>
      </c>
      <c r="H1529" t="s">
        <v>27</v>
      </c>
      <c r="I1529" t="s">
        <v>28</v>
      </c>
      <c r="J1529">
        <v>348.91500000000002</v>
      </c>
      <c r="K1529">
        <v>0.03</v>
      </c>
      <c r="L1529">
        <v>0.4</v>
      </c>
      <c r="M1529">
        <v>69.965000000000003</v>
      </c>
      <c r="N1529">
        <v>53.738999999999997</v>
      </c>
      <c r="O1529" s="1" t="s">
        <v>29</v>
      </c>
      <c r="P1529" s="1" t="s">
        <v>4866</v>
      </c>
      <c r="Q1529" s="1" t="s">
        <v>4867</v>
      </c>
      <c r="R1529" s="1" t="s">
        <v>32</v>
      </c>
      <c r="S1529" s="1" t="s">
        <v>4868</v>
      </c>
      <c r="T1529" s="1" t="s">
        <v>4869</v>
      </c>
      <c r="U1529" s="2" t="s">
        <v>2845</v>
      </c>
      <c r="V1529" s="2" t="s">
        <v>47</v>
      </c>
      <c r="W1529" s="2" t="s">
        <v>48</v>
      </c>
      <c r="X1529" s="2">
        <v>316.68</v>
      </c>
    </row>
    <row r="1530" spans="1:24" x14ac:dyDescent="0.3">
      <c r="A1530">
        <v>19416</v>
      </c>
      <c r="B1530" t="s">
        <v>4865</v>
      </c>
      <c r="C1530" s="3">
        <v>40560</v>
      </c>
      <c r="D1530" t="s">
        <v>148</v>
      </c>
      <c r="E1530">
        <v>7</v>
      </c>
      <c r="F1530" s="3">
        <f ca="1">40560+(RANDBETWEEN(1,10))</f>
        <v>40563</v>
      </c>
      <c r="G1530" t="s">
        <v>26</v>
      </c>
      <c r="H1530" t="s">
        <v>27</v>
      </c>
      <c r="I1530" t="s">
        <v>28</v>
      </c>
      <c r="J1530">
        <v>533.71500000000003</v>
      </c>
      <c r="K1530">
        <v>0.06</v>
      </c>
      <c r="L1530">
        <v>0.39</v>
      </c>
      <c r="M1530">
        <v>28.63</v>
      </c>
      <c r="N1530">
        <v>-1252.7339999999999</v>
      </c>
      <c r="O1530" s="1" t="s">
        <v>29</v>
      </c>
      <c r="P1530" s="1" t="s">
        <v>4866</v>
      </c>
      <c r="Q1530" s="1" t="s">
        <v>4867</v>
      </c>
      <c r="R1530" s="1" t="s">
        <v>32</v>
      </c>
      <c r="S1530" s="1" t="s">
        <v>4868</v>
      </c>
      <c r="T1530" s="1" t="s">
        <v>4869</v>
      </c>
      <c r="U1530" s="2" t="s">
        <v>4870</v>
      </c>
      <c r="V1530" s="2" t="s">
        <v>47</v>
      </c>
      <c r="W1530" s="2" t="s">
        <v>74</v>
      </c>
      <c r="X1530" s="2">
        <v>79.94</v>
      </c>
    </row>
    <row r="1531" spans="1:24" x14ac:dyDescent="0.3">
      <c r="A1531">
        <v>19417</v>
      </c>
      <c r="B1531" t="s">
        <v>4871</v>
      </c>
      <c r="C1531" s="3">
        <v>40640</v>
      </c>
      <c r="D1531" t="s">
        <v>148</v>
      </c>
      <c r="E1531">
        <v>9</v>
      </c>
      <c r="F1531" s="3">
        <f ca="1">40641+(RANDBETWEEN(1,10))</f>
        <v>40650</v>
      </c>
      <c r="G1531" t="s">
        <v>26</v>
      </c>
      <c r="H1531" t="s">
        <v>27</v>
      </c>
      <c r="I1531" t="s">
        <v>28</v>
      </c>
      <c r="J1531">
        <v>1876.8050000000001</v>
      </c>
      <c r="K1531">
        <v>0</v>
      </c>
      <c r="L1531">
        <v>0.59</v>
      </c>
      <c r="M1531">
        <v>18.41</v>
      </c>
      <c r="N1531">
        <v>1294.9954499999999</v>
      </c>
      <c r="O1531" s="1" t="s">
        <v>225</v>
      </c>
      <c r="P1531" s="1" t="s">
        <v>3306</v>
      </c>
      <c r="Q1531" s="1" t="s">
        <v>3307</v>
      </c>
      <c r="R1531" s="1" t="s">
        <v>391</v>
      </c>
      <c r="S1531" s="1" t="s">
        <v>3308</v>
      </c>
      <c r="T1531" s="1" t="s">
        <v>3309</v>
      </c>
      <c r="U1531" s="2" t="s">
        <v>239</v>
      </c>
      <c r="V1531" s="2" t="s">
        <v>36</v>
      </c>
      <c r="W1531" s="2" t="s">
        <v>37</v>
      </c>
      <c r="X1531" s="2">
        <v>230.965</v>
      </c>
    </row>
    <row r="1532" spans="1:24" x14ac:dyDescent="0.3">
      <c r="A1532">
        <v>19418</v>
      </c>
      <c r="B1532" t="s">
        <v>4872</v>
      </c>
      <c r="C1532" s="3">
        <v>41529</v>
      </c>
      <c r="D1532" t="s">
        <v>25</v>
      </c>
      <c r="E1532">
        <v>12</v>
      </c>
      <c r="F1532" s="3">
        <f ca="1">41536+(RANDBETWEEN(1,10))</f>
        <v>41542</v>
      </c>
      <c r="G1532" t="s">
        <v>76</v>
      </c>
      <c r="H1532" t="s">
        <v>258</v>
      </c>
      <c r="I1532" t="s">
        <v>97</v>
      </c>
      <c r="J1532">
        <v>3204.95</v>
      </c>
      <c r="K1532">
        <v>0</v>
      </c>
      <c r="L1532">
        <v>0.6</v>
      </c>
      <c r="M1532">
        <v>93.59</v>
      </c>
      <c r="N1532">
        <v>-354.76979999999998</v>
      </c>
      <c r="O1532" s="1" t="s">
        <v>29</v>
      </c>
      <c r="P1532" s="1" t="s">
        <v>3246</v>
      </c>
      <c r="Q1532" s="1" t="s">
        <v>3247</v>
      </c>
      <c r="R1532" s="1" t="s">
        <v>32</v>
      </c>
      <c r="S1532" s="1" t="s">
        <v>3248</v>
      </c>
      <c r="T1532" s="1" t="s">
        <v>3249</v>
      </c>
      <c r="U1532" s="2" t="s">
        <v>3851</v>
      </c>
      <c r="V1532" s="2" t="s">
        <v>83</v>
      </c>
      <c r="W1532" s="2" t="s">
        <v>298</v>
      </c>
      <c r="X1532" s="2">
        <v>248.43</v>
      </c>
    </row>
    <row r="1533" spans="1:24" x14ac:dyDescent="0.3">
      <c r="A1533">
        <v>19419</v>
      </c>
      <c r="B1533" t="s">
        <v>4873</v>
      </c>
      <c r="C1533" s="3">
        <v>40731</v>
      </c>
      <c r="D1533" t="s">
        <v>25</v>
      </c>
      <c r="E1533">
        <v>4</v>
      </c>
      <c r="F1533" s="3">
        <f ca="1">40736+(RANDBETWEEN(1,10))</f>
        <v>40743</v>
      </c>
      <c r="G1533" t="s">
        <v>26</v>
      </c>
      <c r="H1533" t="s">
        <v>96</v>
      </c>
      <c r="I1533" t="s">
        <v>97</v>
      </c>
      <c r="J1533">
        <v>76.86</v>
      </c>
      <c r="K1533">
        <v>0.03</v>
      </c>
      <c r="L1533">
        <v>0.51</v>
      </c>
      <c r="M1533">
        <v>7.1050000000000004</v>
      </c>
      <c r="N1533">
        <v>53.0334</v>
      </c>
      <c r="O1533" s="1" t="s">
        <v>225</v>
      </c>
      <c r="P1533" s="1" t="s">
        <v>4464</v>
      </c>
      <c r="Q1533" s="1" t="s">
        <v>4465</v>
      </c>
      <c r="R1533" s="1" t="s">
        <v>391</v>
      </c>
      <c r="S1533" s="1" t="s">
        <v>4466</v>
      </c>
      <c r="T1533" s="1" t="s">
        <v>4467</v>
      </c>
      <c r="U1533" s="2" t="s">
        <v>3434</v>
      </c>
      <c r="V1533" s="2" t="s">
        <v>83</v>
      </c>
      <c r="W1533" s="2" t="s">
        <v>178</v>
      </c>
      <c r="X1533" s="2">
        <v>17.78</v>
      </c>
    </row>
    <row r="1534" spans="1:24" x14ac:dyDescent="0.3">
      <c r="A1534">
        <v>19420</v>
      </c>
      <c r="B1534" t="s">
        <v>4874</v>
      </c>
      <c r="C1534" s="3">
        <v>41111</v>
      </c>
      <c r="D1534" t="s">
        <v>25</v>
      </c>
      <c r="E1534">
        <v>6</v>
      </c>
      <c r="F1534" s="3">
        <f ca="1">41111+(RANDBETWEEN(1,10))</f>
        <v>41120</v>
      </c>
      <c r="G1534" t="s">
        <v>26</v>
      </c>
      <c r="H1534" t="s">
        <v>27</v>
      </c>
      <c r="I1534" t="s">
        <v>28</v>
      </c>
      <c r="J1534">
        <v>325.815</v>
      </c>
      <c r="K1534">
        <v>0.02</v>
      </c>
      <c r="L1534">
        <v>0.48</v>
      </c>
      <c r="M1534">
        <v>25.9</v>
      </c>
      <c r="N1534">
        <v>180.25</v>
      </c>
      <c r="O1534" s="1" t="s">
        <v>40</v>
      </c>
      <c r="P1534" s="1" t="s">
        <v>2743</v>
      </c>
      <c r="Q1534" s="1" t="s">
        <v>2744</v>
      </c>
      <c r="R1534" s="1" t="s">
        <v>43</v>
      </c>
      <c r="S1534" s="1" t="s">
        <v>1989</v>
      </c>
      <c r="T1534" s="1" t="s">
        <v>2745</v>
      </c>
      <c r="U1534" s="2" t="s">
        <v>1025</v>
      </c>
      <c r="V1534" s="2" t="s">
        <v>83</v>
      </c>
      <c r="W1534" s="2" t="s">
        <v>178</v>
      </c>
      <c r="X1534" s="2">
        <v>51.03</v>
      </c>
    </row>
    <row r="1535" spans="1:24" x14ac:dyDescent="0.3">
      <c r="A1535">
        <v>19421</v>
      </c>
      <c r="B1535" t="s">
        <v>4875</v>
      </c>
      <c r="C1535" s="3">
        <v>41384</v>
      </c>
      <c r="D1535" t="s">
        <v>39</v>
      </c>
      <c r="E1535">
        <v>11</v>
      </c>
      <c r="F1535" s="3">
        <f ca="1">41386+(RANDBETWEEN(1,10))</f>
        <v>41391</v>
      </c>
      <c r="G1535" t="s">
        <v>26</v>
      </c>
      <c r="H1535" t="s">
        <v>27</v>
      </c>
      <c r="I1535" t="s">
        <v>86</v>
      </c>
      <c r="J1535">
        <v>5345.76</v>
      </c>
      <c r="K1535">
        <v>0.09</v>
      </c>
      <c r="L1535">
        <v>0.56999999999999995</v>
      </c>
      <c r="M1535">
        <v>31.465</v>
      </c>
      <c r="N1535">
        <v>-68.012</v>
      </c>
      <c r="O1535" s="1" t="s">
        <v>87</v>
      </c>
      <c r="P1535" s="1" t="s">
        <v>4094</v>
      </c>
      <c r="Q1535" s="1" t="s">
        <v>4095</v>
      </c>
      <c r="R1535" s="1" t="s">
        <v>90</v>
      </c>
      <c r="S1535" s="1" t="s">
        <v>4096</v>
      </c>
      <c r="T1535" s="1" t="s">
        <v>4097</v>
      </c>
      <c r="U1535" s="2">
        <v>2180</v>
      </c>
      <c r="V1535" s="2" t="s">
        <v>36</v>
      </c>
      <c r="W1535" s="2" t="s">
        <v>37</v>
      </c>
      <c r="X1535" s="2">
        <v>615.96500000000003</v>
      </c>
    </row>
    <row r="1536" spans="1:24" x14ac:dyDescent="0.3">
      <c r="A1536">
        <v>19422</v>
      </c>
      <c r="B1536" t="s">
        <v>4876</v>
      </c>
      <c r="C1536" s="3">
        <v>40868</v>
      </c>
      <c r="D1536" t="s">
        <v>25</v>
      </c>
      <c r="E1536">
        <v>20</v>
      </c>
      <c r="F1536" s="3">
        <f ca="1">40868+(RANDBETWEEN(1,10))</f>
        <v>40874</v>
      </c>
      <c r="G1536" t="s">
        <v>26</v>
      </c>
      <c r="H1536" t="s">
        <v>27</v>
      </c>
      <c r="I1536" t="s">
        <v>86</v>
      </c>
      <c r="J1536">
        <v>1510.0050000000001</v>
      </c>
      <c r="K1536">
        <v>0.03</v>
      </c>
      <c r="L1536">
        <v>0.35</v>
      </c>
      <c r="M1536">
        <v>5.2149999999999999</v>
      </c>
      <c r="N1536">
        <v>105.084</v>
      </c>
      <c r="O1536" s="1" t="s">
        <v>53</v>
      </c>
      <c r="P1536" s="1" t="s">
        <v>4877</v>
      </c>
      <c r="Q1536" s="1" t="s">
        <v>4878</v>
      </c>
      <c r="R1536" s="1" t="s">
        <v>56</v>
      </c>
      <c r="S1536" s="1" t="s">
        <v>4879</v>
      </c>
      <c r="T1536" s="1" t="s">
        <v>4880</v>
      </c>
      <c r="U1536" s="2" t="s">
        <v>3361</v>
      </c>
      <c r="V1536" s="2" t="s">
        <v>47</v>
      </c>
      <c r="W1536" s="2" t="s">
        <v>111</v>
      </c>
      <c r="X1536" s="2">
        <v>73.430000000000007</v>
      </c>
    </row>
    <row r="1537" spans="1:24" x14ac:dyDescent="0.3">
      <c r="A1537">
        <v>19423</v>
      </c>
      <c r="B1537" t="s">
        <v>4881</v>
      </c>
      <c r="C1537" s="3">
        <v>40579</v>
      </c>
      <c r="D1537" t="s">
        <v>25</v>
      </c>
      <c r="E1537">
        <v>12</v>
      </c>
      <c r="F1537" s="3">
        <f ca="1">40583+(RANDBETWEEN(1,10))</f>
        <v>40587</v>
      </c>
      <c r="G1537" t="s">
        <v>26</v>
      </c>
      <c r="H1537" t="s">
        <v>96</v>
      </c>
      <c r="I1537" t="s">
        <v>86</v>
      </c>
      <c r="J1537">
        <v>122.395</v>
      </c>
      <c r="K1537">
        <v>7.0000000000000007E-2</v>
      </c>
      <c r="L1537">
        <v>0.55000000000000004</v>
      </c>
      <c r="M1537">
        <v>3.5350000000000001</v>
      </c>
      <c r="N1537">
        <v>33.564999999999998</v>
      </c>
      <c r="O1537" s="1" t="s">
        <v>225</v>
      </c>
      <c r="P1537" s="1" t="s">
        <v>4173</v>
      </c>
      <c r="Q1537" s="1" t="s">
        <v>4174</v>
      </c>
      <c r="R1537" s="1" t="s">
        <v>228</v>
      </c>
      <c r="S1537" s="1" t="s">
        <v>4175</v>
      </c>
      <c r="T1537" s="1" t="s">
        <v>2326</v>
      </c>
      <c r="U1537" s="2" t="s">
        <v>4714</v>
      </c>
      <c r="V1537" s="2" t="s">
        <v>47</v>
      </c>
      <c r="W1537" s="2" t="s">
        <v>104</v>
      </c>
      <c r="X1537" s="2">
        <v>10.08</v>
      </c>
    </row>
    <row r="1538" spans="1:24" x14ac:dyDescent="0.3">
      <c r="A1538">
        <v>19424</v>
      </c>
      <c r="B1538" t="s">
        <v>4881</v>
      </c>
      <c r="C1538" s="3">
        <v>40579</v>
      </c>
      <c r="D1538" t="s">
        <v>25</v>
      </c>
      <c r="E1538">
        <v>2</v>
      </c>
      <c r="F1538" s="3">
        <f ca="1">40586+(RANDBETWEEN(1,10))</f>
        <v>40588</v>
      </c>
      <c r="G1538" t="s">
        <v>26</v>
      </c>
      <c r="H1538" t="s">
        <v>27</v>
      </c>
      <c r="I1538" t="s">
        <v>86</v>
      </c>
      <c r="J1538">
        <v>1081.01</v>
      </c>
      <c r="K1538">
        <v>0.1</v>
      </c>
      <c r="L1538">
        <v>0.57999999999999996</v>
      </c>
      <c r="M1538">
        <v>13.965</v>
      </c>
      <c r="N1538">
        <v>-2293.9839999999999</v>
      </c>
      <c r="O1538" s="1" t="s">
        <v>225</v>
      </c>
      <c r="P1538" s="1" t="s">
        <v>4173</v>
      </c>
      <c r="Q1538" s="1" t="s">
        <v>4174</v>
      </c>
      <c r="R1538" s="1" t="s">
        <v>228</v>
      </c>
      <c r="S1538" s="1" t="s">
        <v>4175</v>
      </c>
      <c r="T1538" s="1" t="s">
        <v>2326</v>
      </c>
      <c r="U1538" s="2" t="s">
        <v>761</v>
      </c>
      <c r="V1538" s="2" t="s">
        <v>36</v>
      </c>
      <c r="W1538" s="2" t="s">
        <v>37</v>
      </c>
      <c r="X1538" s="2">
        <v>685.96500000000003</v>
      </c>
    </row>
    <row r="1539" spans="1:24" x14ac:dyDescent="0.3">
      <c r="A1539">
        <v>19425</v>
      </c>
      <c r="B1539" t="s">
        <v>4882</v>
      </c>
      <c r="C1539" s="3">
        <v>41469</v>
      </c>
      <c r="D1539" t="s">
        <v>50</v>
      </c>
      <c r="E1539">
        <v>3</v>
      </c>
      <c r="F1539" s="3">
        <f ca="1">41471+(RANDBETWEEN(1,10))</f>
        <v>41478</v>
      </c>
      <c r="G1539" t="s">
        <v>76</v>
      </c>
      <c r="H1539" t="s">
        <v>77</v>
      </c>
      <c r="I1539" t="s">
        <v>28</v>
      </c>
      <c r="J1539">
        <v>933.31</v>
      </c>
      <c r="K1539">
        <v>0.04</v>
      </c>
      <c r="L1539">
        <v>0.36</v>
      </c>
      <c r="M1539">
        <v>49</v>
      </c>
      <c r="N1539">
        <v>53.76</v>
      </c>
      <c r="O1539" s="1" t="s">
        <v>64</v>
      </c>
      <c r="P1539" s="1" t="s">
        <v>4883</v>
      </c>
      <c r="Q1539" s="1" t="s">
        <v>4884</v>
      </c>
      <c r="R1539" s="1" t="s">
        <v>128</v>
      </c>
      <c r="S1539" s="1" t="s">
        <v>4885</v>
      </c>
      <c r="T1539" s="1" t="s">
        <v>4886</v>
      </c>
      <c r="U1539" s="2" t="s">
        <v>2449</v>
      </c>
      <c r="V1539" s="2" t="s">
        <v>36</v>
      </c>
      <c r="W1539" s="2" t="s">
        <v>142</v>
      </c>
      <c r="X1539" s="2">
        <v>318.39499999999998</v>
      </c>
    </row>
    <row r="1540" spans="1:24" x14ac:dyDescent="0.3">
      <c r="A1540">
        <v>19426</v>
      </c>
      <c r="B1540" t="s">
        <v>4882</v>
      </c>
      <c r="C1540" s="3">
        <v>41469</v>
      </c>
      <c r="D1540" t="s">
        <v>50</v>
      </c>
      <c r="E1540">
        <v>2</v>
      </c>
      <c r="F1540" s="3">
        <f ca="1">41471+(RANDBETWEEN(1,10))</f>
        <v>41475</v>
      </c>
      <c r="G1540" t="s">
        <v>76</v>
      </c>
      <c r="H1540" t="s">
        <v>258</v>
      </c>
      <c r="I1540" t="s">
        <v>28</v>
      </c>
      <c r="J1540">
        <v>363.58</v>
      </c>
      <c r="K1540">
        <v>0.02</v>
      </c>
      <c r="L1540">
        <v>0.67</v>
      </c>
      <c r="M1540">
        <v>163.065</v>
      </c>
      <c r="N1540">
        <v>118.961325</v>
      </c>
      <c r="O1540" s="1" t="s">
        <v>87</v>
      </c>
      <c r="P1540" s="1" t="s">
        <v>4887</v>
      </c>
      <c r="Q1540" s="1" t="s">
        <v>4888</v>
      </c>
      <c r="R1540" s="1" t="s">
        <v>398</v>
      </c>
      <c r="S1540" s="1" t="s">
        <v>4889</v>
      </c>
      <c r="T1540" s="1" t="s">
        <v>4890</v>
      </c>
      <c r="U1540" s="2" t="s">
        <v>4100</v>
      </c>
      <c r="V1540" s="2" t="s">
        <v>83</v>
      </c>
      <c r="W1540" s="2" t="s">
        <v>263</v>
      </c>
      <c r="X1540" s="2">
        <v>155.505</v>
      </c>
    </row>
    <row r="1541" spans="1:24" x14ac:dyDescent="0.3">
      <c r="A1541">
        <v>19427</v>
      </c>
      <c r="B1541" t="s">
        <v>4891</v>
      </c>
      <c r="C1541" s="3">
        <v>41558</v>
      </c>
      <c r="D1541" t="s">
        <v>25</v>
      </c>
      <c r="E1541">
        <v>24</v>
      </c>
      <c r="F1541" s="3">
        <f ca="1">41562+(RANDBETWEEN(1,10))</f>
        <v>41568</v>
      </c>
      <c r="G1541" t="s">
        <v>26</v>
      </c>
      <c r="H1541" t="s">
        <v>63</v>
      </c>
      <c r="I1541" t="s">
        <v>86</v>
      </c>
      <c r="J1541">
        <v>16718.134999999998</v>
      </c>
      <c r="K1541">
        <v>0.09</v>
      </c>
      <c r="L1541">
        <v>0.59</v>
      </c>
      <c r="M1541">
        <v>74.234999999999999</v>
      </c>
      <c r="N1541">
        <v>9873.0673999999999</v>
      </c>
      <c r="O1541" s="1" t="s">
        <v>87</v>
      </c>
      <c r="P1541" s="1" t="s">
        <v>2226</v>
      </c>
      <c r="Q1541" s="1" t="s">
        <v>2227</v>
      </c>
      <c r="R1541" s="1" t="s">
        <v>646</v>
      </c>
      <c r="S1541" s="1" t="s">
        <v>2228</v>
      </c>
      <c r="T1541" s="1" t="s">
        <v>2229</v>
      </c>
      <c r="U1541" s="2" t="s">
        <v>3118</v>
      </c>
      <c r="V1541" s="2" t="s">
        <v>83</v>
      </c>
      <c r="W1541" s="2" t="s">
        <v>178</v>
      </c>
      <c r="X1541" s="2">
        <v>734.44</v>
      </c>
    </row>
    <row r="1542" spans="1:24" x14ac:dyDescent="0.3">
      <c r="A1542">
        <v>19428</v>
      </c>
      <c r="B1542" t="s">
        <v>4892</v>
      </c>
      <c r="C1542" s="3">
        <v>41447</v>
      </c>
      <c r="D1542" t="s">
        <v>39</v>
      </c>
      <c r="E1542">
        <v>10</v>
      </c>
      <c r="F1542" s="3">
        <f ca="1">41448+(RANDBETWEEN(1,10))</f>
        <v>41457</v>
      </c>
      <c r="G1542" t="s">
        <v>26</v>
      </c>
      <c r="H1542" t="s">
        <v>63</v>
      </c>
      <c r="I1542" t="s">
        <v>97</v>
      </c>
      <c r="J1542">
        <v>11006.24</v>
      </c>
      <c r="K1542">
        <v>0.03</v>
      </c>
      <c r="L1542">
        <v>0.55000000000000004</v>
      </c>
      <c r="M1542">
        <v>85.715000000000003</v>
      </c>
      <c r="N1542">
        <v>7594.3055999999997</v>
      </c>
      <c r="O1542" s="1" t="s">
        <v>87</v>
      </c>
      <c r="P1542" s="1" t="s">
        <v>1635</v>
      </c>
      <c r="Q1542" s="1" t="s">
        <v>1636</v>
      </c>
      <c r="R1542" s="1" t="s">
        <v>646</v>
      </c>
      <c r="S1542" s="1" t="s">
        <v>1637</v>
      </c>
      <c r="T1542" s="1" t="s">
        <v>1638</v>
      </c>
      <c r="U1542" s="2" t="s">
        <v>4893</v>
      </c>
      <c r="V1542" s="2" t="s">
        <v>83</v>
      </c>
      <c r="W1542" s="2" t="s">
        <v>84</v>
      </c>
      <c r="X1542" s="2">
        <v>1123.43</v>
      </c>
    </row>
    <row r="1543" spans="1:24" x14ac:dyDescent="0.3">
      <c r="A1543">
        <v>19429</v>
      </c>
      <c r="B1543" t="s">
        <v>4892</v>
      </c>
      <c r="C1543" s="3">
        <v>41447</v>
      </c>
      <c r="D1543" t="s">
        <v>39</v>
      </c>
      <c r="E1543">
        <v>1</v>
      </c>
      <c r="F1543" s="3">
        <f ca="1">41448+(RANDBETWEEN(1,10))</f>
        <v>41455</v>
      </c>
      <c r="G1543" t="s">
        <v>26</v>
      </c>
      <c r="H1543" t="s">
        <v>281</v>
      </c>
      <c r="I1543" t="s">
        <v>97</v>
      </c>
      <c r="J1543">
        <v>392.56</v>
      </c>
      <c r="K1543">
        <v>0.08</v>
      </c>
      <c r="L1543">
        <v>0.69</v>
      </c>
      <c r="M1543">
        <v>48.965000000000003</v>
      </c>
      <c r="N1543">
        <v>-500.55599999999998</v>
      </c>
      <c r="O1543" s="1" t="s">
        <v>225</v>
      </c>
      <c r="P1543" s="1" t="s">
        <v>4894</v>
      </c>
      <c r="Q1543" s="1" t="s">
        <v>4895</v>
      </c>
      <c r="R1543" s="1" t="s">
        <v>391</v>
      </c>
      <c r="S1543" s="1" t="s">
        <v>4896</v>
      </c>
      <c r="T1543" s="1" t="s">
        <v>4897</v>
      </c>
      <c r="U1543" s="2" t="s">
        <v>1145</v>
      </c>
      <c r="V1543" s="2" t="s">
        <v>83</v>
      </c>
      <c r="W1543" s="2" t="s">
        <v>178</v>
      </c>
      <c r="X1543" s="2">
        <v>388.43</v>
      </c>
    </row>
    <row r="1544" spans="1:24" x14ac:dyDescent="0.3">
      <c r="A1544">
        <v>19430</v>
      </c>
      <c r="B1544" t="s">
        <v>4892</v>
      </c>
      <c r="C1544" s="3">
        <v>41447</v>
      </c>
      <c r="D1544" t="s">
        <v>39</v>
      </c>
      <c r="E1544">
        <v>6</v>
      </c>
      <c r="F1544" s="3">
        <f ca="1">41450+(RANDBETWEEN(1,10))</f>
        <v>41456</v>
      </c>
      <c r="G1544" t="s">
        <v>26</v>
      </c>
      <c r="H1544" t="s">
        <v>51</v>
      </c>
      <c r="I1544" t="s">
        <v>97</v>
      </c>
      <c r="J1544">
        <v>436.76499999999999</v>
      </c>
      <c r="K1544">
        <v>0.09</v>
      </c>
      <c r="L1544">
        <v>0.59</v>
      </c>
      <c r="M1544">
        <v>19.355</v>
      </c>
      <c r="N1544">
        <v>-27.384</v>
      </c>
      <c r="O1544" s="1" t="s">
        <v>225</v>
      </c>
      <c r="P1544" s="1" t="s">
        <v>4894</v>
      </c>
      <c r="Q1544" s="1" t="s">
        <v>4895</v>
      </c>
      <c r="R1544" s="1" t="s">
        <v>391</v>
      </c>
      <c r="S1544" s="1" t="s">
        <v>4896</v>
      </c>
      <c r="T1544" s="1" t="s">
        <v>4897</v>
      </c>
      <c r="U1544" s="2" t="s">
        <v>2037</v>
      </c>
      <c r="V1544" s="2" t="s">
        <v>47</v>
      </c>
      <c r="W1544" s="2" t="s">
        <v>104</v>
      </c>
      <c r="X1544" s="2">
        <v>77.034999999999997</v>
      </c>
    </row>
    <row r="1545" spans="1:24" x14ac:dyDescent="0.3">
      <c r="A1545">
        <v>19431</v>
      </c>
      <c r="B1545" t="s">
        <v>4898</v>
      </c>
      <c r="C1545" s="3">
        <v>41994</v>
      </c>
      <c r="D1545" t="s">
        <v>39</v>
      </c>
      <c r="E1545">
        <v>9</v>
      </c>
      <c r="F1545" s="3">
        <f ca="1">41995+(RANDBETWEEN(1,10))</f>
        <v>42005</v>
      </c>
      <c r="G1545" t="s">
        <v>76</v>
      </c>
      <c r="H1545" t="s">
        <v>77</v>
      </c>
      <c r="I1545" t="s">
        <v>86</v>
      </c>
      <c r="J1545">
        <v>4285.7849999999999</v>
      </c>
      <c r="K1545">
        <v>0.09</v>
      </c>
      <c r="L1545">
        <v>0.56000000000000005</v>
      </c>
      <c r="M1545">
        <v>62.475000000000001</v>
      </c>
      <c r="N1545">
        <v>250.60672</v>
      </c>
      <c r="O1545" s="1" t="s">
        <v>40</v>
      </c>
      <c r="P1545" s="1" t="s">
        <v>1556</v>
      </c>
      <c r="Q1545" s="1" t="s">
        <v>1557</v>
      </c>
      <c r="R1545" s="1" t="s">
        <v>220</v>
      </c>
      <c r="S1545" s="1" t="s">
        <v>1558</v>
      </c>
      <c r="T1545" s="1" t="s">
        <v>1559</v>
      </c>
      <c r="U1545" s="2" t="s">
        <v>881</v>
      </c>
      <c r="V1545" s="2" t="s">
        <v>36</v>
      </c>
      <c r="W1545" s="2" t="s">
        <v>142</v>
      </c>
      <c r="X1545" s="2">
        <v>509.07499999999999</v>
      </c>
    </row>
    <row r="1546" spans="1:24" x14ac:dyDescent="0.3">
      <c r="A1546">
        <v>19432</v>
      </c>
      <c r="B1546" t="s">
        <v>4899</v>
      </c>
      <c r="C1546" s="3">
        <v>41600</v>
      </c>
      <c r="D1546" t="s">
        <v>148</v>
      </c>
      <c r="E1546">
        <v>38</v>
      </c>
      <c r="F1546" s="3">
        <f ca="1">41602+(RANDBETWEEN(1,10))</f>
        <v>41612</v>
      </c>
      <c r="G1546" t="s">
        <v>76</v>
      </c>
      <c r="H1546" t="s">
        <v>258</v>
      </c>
      <c r="I1546" t="s">
        <v>52</v>
      </c>
      <c r="J1546">
        <v>15312.955</v>
      </c>
      <c r="K1546">
        <v>0.01</v>
      </c>
      <c r="L1546">
        <v>0.76</v>
      </c>
      <c r="M1546">
        <v>205.52</v>
      </c>
      <c r="N1546">
        <v>1136.52</v>
      </c>
      <c r="O1546" s="1" t="s">
        <v>87</v>
      </c>
      <c r="P1546" s="1" t="s">
        <v>4090</v>
      </c>
      <c r="Q1546" s="1" t="s">
        <v>4091</v>
      </c>
      <c r="R1546" s="1" t="s">
        <v>646</v>
      </c>
      <c r="S1546" s="1" t="s">
        <v>4092</v>
      </c>
      <c r="T1546" s="1" t="s">
        <v>3447</v>
      </c>
      <c r="U1546" s="2" t="s">
        <v>4900</v>
      </c>
      <c r="V1546" s="2" t="s">
        <v>83</v>
      </c>
      <c r="W1546" s="2" t="s">
        <v>298</v>
      </c>
      <c r="X1546" s="2">
        <v>402.43</v>
      </c>
    </row>
    <row r="1547" spans="1:24" x14ac:dyDescent="0.3">
      <c r="A1547">
        <v>19433</v>
      </c>
      <c r="B1547" t="s">
        <v>4899</v>
      </c>
      <c r="C1547" s="3">
        <v>41600</v>
      </c>
      <c r="D1547" t="s">
        <v>148</v>
      </c>
      <c r="E1547">
        <v>32</v>
      </c>
      <c r="F1547" s="3">
        <f ca="1">41601+(RANDBETWEEN(1,10))</f>
        <v>41611</v>
      </c>
      <c r="G1547" t="s">
        <v>26</v>
      </c>
      <c r="H1547" t="s">
        <v>63</v>
      </c>
      <c r="I1547" t="s">
        <v>52</v>
      </c>
      <c r="J1547">
        <v>31146.185000000001</v>
      </c>
      <c r="K1547">
        <v>0.1</v>
      </c>
      <c r="L1547">
        <v>0.5</v>
      </c>
      <c r="M1547">
        <v>40.74</v>
      </c>
      <c r="N1547">
        <v>21490.86765</v>
      </c>
      <c r="O1547" s="1" t="s">
        <v>87</v>
      </c>
      <c r="P1547" s="1" t="s">
        <v>4090</v>
      </c>
      <c r="Q1547" s="1" t="s">
        <v>4091</v>
      </c>
      <c r="R1547" s="1" t="s">
        <v>646</v>
      </c>
      <c r="S1547" s="1" t="s">
        <v>4092</v>
      </c>
      <c r="T1547" s="1" t="s">
        <v>3447</v>
      </c>
      <c r="U1547" s="2" t="s">
        <v>2872</v>
      </c>
      <c r="V1547" s="2" t="s">
        <v>36</v>
      </c>
      <c r="W1547" s="2" t="s">
        <v>1327</v>
      </c>
      <c r="X1547" s="2">
        <v>1049.9649999999999</v>
      </c>
    </row>
    <row r="1548" spans="1:24" x14ac:dyDescent="0.3">
      <c r="A1548">
        <v>19434</v>
      </c>
      <c r="B1548" t="s">
        <v>4899</v>
      </c>
      <c r="C1548" s="3">
        <v>41600</v>
      </c>
      <c r="D1548" t="s">
        <v>148</v>
      </c>
      <c r="E1548">
        <v>32</v>
      </c>
      <c r="F1548" s="3">
        <f ca="1">41602+(RANDBETWEEN(1,10))</f>
        <v>41609</v>
      </c>
      <c r="G1548" t="s">
        <v>26</v>
      </c>
      <c r="H1548" t="s">
        <v>63</v>
      </c>
      <c r="I1548" t="s">
        <v>52</v>
      </c>
      <c r="J1548">
        <v>4948.7550000000001</v>
      </c>
      <c r="K1548">
        <v>0.01</v>
      </c>
      <c r="L1548">
        <v>0.56999999999999995</v>
      </c>
      <c r="M1548">
        <v>50.575000000000003</v>
      </c>
      <c r="N1548">
        <v>2498.4189999999999</v>
      </c>
      <c r="O1548" s="1" t="s">
        <v>87</v>
      </c>
      <c r="P1548" s="1" t="s">
        <v>4090</v>
      </c>
      <c r="Q1548" s="1" t="s">
        <v>4091</v>
      </c>
      <c r="R1548" s="1" t="s">
        <v>646</v>
      </c>
      <c r="S1548" s="1" t="s">
        <v>4092</v>
      </c>
      <c r="T1548" s="1" t="s">
        <v>3447</v>
      </c>
      <c r="U1548" s="2" t="s">
        <v>1470</v>
      </c>
      <c r="V1548" s="2" t="s">
        <v>83</v>
      </c>
      <c r="W1548" s="2" t="s">
        <v>178</v>
      </c>
      <c r="X1548" s="2">
        <v>143.39500000000001</v>
      </c>
    </row>
    <row r="1549" spans="1:24" x14ac:dyDescent="0.3">
      <c r="A1549">
        <v>19435</v>
      </c>
      <c r="B1549" t="s">
        <v>4899</v>
      </c>
      <c r="C1549" s="3">
        <v>41600</v>
      </c>
      <c r="D1549" t="s">
        <v>148</v>
      </c>
      <c r="E1549">
        <v>2</v>
      </c>
      <c r="F1549" s="3">
        <f ca="1">41602+(RANDBETWEEN(1,10))</f>
        <v>41610</v>
      </c>
      <c r="G1549" t="s">
        <v>156</v>
      </c>
      <c r="H1549" t="s">
        <v>281</v>
      </c>
      <c r="I1549" t="s">
        <v>52</v>
      </c>
      <c r="J1549">
        <v>7195.8950000000004</v>
      </c>
      <c r="K1549">
        <v>0.05</v>
      </c>
      <c r="L1549">
        <v>0.36</v>
      </c>
      <c r="M1549">
        <v>48.965000000000003</v>
      </c>
      <c r="N1549">
        <v>1639.40364</v>
      </c>
      <c r="O1549" s="1" t="s">
        <v>87</v>
      </c>
      <c r="P1549" s="1" t="s">
        <v>4090</v>
      </c>
      <c r="Q1549" s="1" t="s">
        <v>4091</v>
      </c>
      <c r="R1549" s="1" t="s">
        <v>646</v>
      </c>
      <c r="S1549" s="1" t="s">
        <v>4092</v>
      </c>
      <c r="T1549" s="1" t="s">
        <v>3447</v>
      </c>
      <c r="U1549" s="2" t="s">
        <v>4901</v>
      </c>
      <c r="V1549" s="2" t="s">
        <v>36</v>
      </c>
      <c r="W1549" s="2" t="s">
        <v>142</v>
      </c>
      <c r="X1549" s="2">
        <v>3499.9650000000001</v>
      </c>
    </row>
    <row r="1550" spans="1:24" x14ac:dyDescent="0.3">
      <c r="A1550">
        <v>19436</v>
      </c>
      <c r="B1550" t="s">
        <v>4902</v>
      </c>
      <c r="C1550" s="3">
        <v>41587</v>
      </c>
      <c r="D1550" t="s">
        <v>25</v>
      </c>
      <c r="E1550">
        <v>3</v>
      </c>
      <c r="F1550" s="3">
        <f ca="1">41589+(RANDBETWEEN(1,10))</f>
        <v>41597</v>
      </c>
      <c r="G1550" t="s">
        <v>26</v>
      </c>
      <c r="H1550" t="s">
        <v>27</v>
      </c>
      <c r="I1550" t="s">
        <v>97</v>
      </c>
      <c r="J1550">
        <v>71.784999999999997</v>
      </c>
      <c r="K1550">
        <v>0.06</v>
      </c>
      <c r="L1550">
        <v>0.36</v>
      </c>
      <c r="M1550">
        <v>17.36</v>
      </c>
      <c r="N1550">
        <v>8.6660000000000004</v>
      </c>
      <c r="O1550" s="1" t="s">
        <v>53</v>
      </c>
      <c r="P1550" s="1" t="s">
        <v>3932</v>
      </c>
      <c r="Q1550" s="1" t="s">
        <v>3933</v>
      </c>
      <c r="R1550" s="1" t="s">
        <v>56</v>
      </c>
      <c r="S1550" s="1" t="s">
        <v>3934</v>
      </c>
      <c r="T1550" s="1" t="s">
        <v>3935</v>
      </c>
      <c r="U1550" s="2" t="s">
        <v>1834</v>
      </c>
      <c r="V1550" s="2" t="s">
        <v>47</v>
      </c>
      <c r="W1550" s="2" t="s">
        <v>74</v>
      </c>
      <c r="X1550" s="2">
        <v>20.23</v>
      </c>
    </row>
    <row r="1551" spans="1:24" x14ac:dyDescent="0.3">
      <c r="A1551">
        <v>19437</v>
      </c>
      <c r="B1551" t="s">
        <v>4902</v>
      </c>
      <c r="C1551" s="3">
        <v>41587</v>
      </c>
      <c r="D1551" t="s">
        <v>25</v>
      </c>
      <c r="E1551">
        <v>20</v>
      </c>
      <c r="F1551" s="3">
        <f ca="1">41592+(RANDBETWEEN(1,10))</f>
        <v>41594</v>
      </c>
      <c r="G1551" t="s">
        <v>26</v>
      </c>
      <c r="H1551" t="s">
        <v>51</v>
      </c>
      <c r="I1551" t="s">
        <v>97</v>
      </c>
      <c r="J1551">
        <v>2080.75</v>
      </c>
      <c r="K1551">
        <v>0</v>
      </c>
      <c r="L1551">
        <v>0.7</v>
      </c>
      <c r="M1551">
        <v>31.465</v>
      </c>
      <c r="N1551">
        <v>66.878</v>
      </c>
      <c r="O1551" s="1" t="s">
        <v>53</v>
      </c>
      <c r="P1551" s="1" t="s">
        <v>4903</v>
      </c>
      <c r="Q1551" s="1" t="s">
        <v>4904</v>
      </c>
      <c r="R1551" s="1" t="s">
        <v>56</v>
      </c>
      <c r="S1551" s="1" t="s">
        <v>4905</v>
      </c>
      <c r="T1551" s="1" t="s">
        <v>4906</v>
      </c>
      <c r="U1551" s="2" t="s">
        <v>4907</v>
      </c>
      <c r="V1551" s="2" t="s">
        <v>36</v>
      </c>
      <c r="W1551" s="2" t="s">
        <v>60</v>
      </c>
      <c r="X1551" s="2">
        <v>99.68</v>
      </c>
    </row>
    <row r="1552" spans="1:24" x14ac:dyDescent="0.3">
      <c r="A1552">
        <v>19438</v>
      </c>
      <c r="B1552" t="s">
        <v>4908</v>
      </c>
      <c r="C1552" s="3">
        <v>40802</v>
      </c>
      <c r="D1552" t="s">
        <v>39</v>
      </c>
      <c r="E1552">
        <v>5</v>
      </c>
      <c r="F1552" s="3">
        <f ca="1">40804+(RANDBETWEEN(1,10))</f>
        <v>40811</v>
      </c>
      <c r="G1552" t="s">
        <v>156</v>
      </c>
      <c r="H1552" t="s">
        <v>51</v>
      </c>
      <c r="I1552" t="s">
        <v>28</v>
      </c>
      <c r="J1552">
        <v>273.27999999999997</v>
      </c>
      <c r="K1552">
        <v>0.08</v>
      </c>
      <c r="L1552">
        <v>0.56000000000000005</v>
      </c>
      <c r="M1552">
        <v>25.97</v>
      </c>
      <c r="N1552">
        <v>-131.6</v>
      </c>
      <c r="O1552" s="1" t="s">
        <v>53</v>
      </c>
      <c r="P1552" s="1" t="s">
        <v>4909</v>
      </c>
      <c r="Q1552" s="1" t="s">
        <v>4910</v>
      </c>
      <c r="R1552" s="1" t="s">
        <v>440</v>
      </c>
      <c r="S1552" s="1" t="s">
        <v>4911</v>
      </c>
      <c r="T1552" s="1" t="s">
        <v>4912</v>
      </c>
      <c r="U1552" s="2" t="s">
        <v>4913</v>
      </c>
      <c r="V1552" s="2" t="s">
        <v>47</v>
      </c>
      <c r="W1552" s="2" t="s">
        <v>94</v>
      </c>
      <c r="X1552" s="2">
        <v>55.055</v>
      </c>
    </row>
    <row r="1553" spans="1:24" x14ac:dyDescent="0.3">
      <c r="A1553">
        <v>19439</v>
      </c>
      <c r="B1553" t="s">
        <v>4914</v>
      </c>
      <c r="C1553" s="3">
        <v>41085</v>
      </c>
      <c r="D1553" t="s">
        <v>62</v>
      </c>
      <c r="E1553">
        <v>11</v>
      </c>
      <c r="F1553" s="3">
        <f ca="1">41087+(RANDBETWEEN(1,10))</f>
        <v>41093</v>
      </c>
      <c r="G1553" t="s">
        <v>26</v>
      </c>
      <c r="H1553" t="s">
        <v>27</v>
      </c>
      <c r="I1553" t="s">
        <v>52</v>
      </c>
      <c r="J1553">
        <v>265.58</v>
      </c>
      <c r="K1553">
        <v>0.03</v>
      </c>
      <c r="L1553">
        <v>0.37</v>
      </c>
      <c r="M1553">
        <v>23.1</v>
      </c>
      <c r="N1553">
        <v>-200.84399999999999</v>
      </c>
      <c r="O1553" s="1" t="s">
        <v>53</v>
      </c>
      <c r="P1553" s="1" t="s">
        <v>4915</v>
      </c>
      <c r="Q1553" s="1" t="s">
        <v>4916</v>
      </c>
      <c r="R1553" s="1" t="s">
        <v>100</v>
      </c>
      <c r="S1553" s="1" t="s">
        <v>4917</v>
      </c>
      <c r="T1553" s="1" t="s">
        <v>4918</v>
      </c>
      <c r="U1553" s="2" t="s">
        <v>241</v>
      </c>
      <c r="V1553" s="2" t="s">
        <v>47</v>
      </c>
      <c r="W1553" s="2" t="s">
        <v>74</v>
      </c>
      <c r="X1553" s="2">
        <v>22.68</v>
      </c>
    </row>
    <row r="1554" spans="1:24" x14ac:dyDescent="0.3">
      <c r="A1554">
        <v>19440</v>
      </c>
      <c r="B1554" t="s">
        <v>4919</v>
      </c>
      <c r="C1554" s="3">
        <v>41644</v>
      </c>
      <c r="D1554" t="s">
        <v>25</v>
      </c>
      <c r="E1554">
        <v>4</v>
      </c>
      <c r="F1554" s="3">
        <f ca="1">41651+(RANDBETWEEN(1,10))</f>
        <v>41656</v>
      </c>
      <c r="G1554" t="s">
        <v>26</v>
      </c>
      <c r="H1554" t="s">
        <v>27</v>
      </c>
      <c r="I1554" t="s">
        <v>28</v>
      </c>
      <c r="J1554">
        <v>2502.08</v>
      </c>
      <c r="K1554">
        <v>0.08</v>
      </c>
      <c r="L1554">
        <v>0.48</v>
      </c>
      <c r="M1554">
        <v>69.965000000000003</v>
      </c>
      <c r="N1554">
        <v>586.23739999999998</v>
      </c>
      <c r="O1554" s="1" t="s">
        <v>40</v>
      </c>
      <c r="P1554" s="1" t="s">
        <v>4824</v>
      </c>
      <c r="Q1554" s="1" t="s">
        <v>4825</v>
      </c>
      <c r="R1554" s="1" t="s">
        <v>220</v>
      </c>
      <c r="S1554" s="1" t="s">
        <v>4826</v>
      </c>
      <c r="T1554" s="1" t="s">
        <v>4827</v>
      </c>
      <c r="U1554" s="2" t="s">
        <v>2205</v>
      </c>
      <c r="V1554" s="2" t="s">
        <v>36</v>
      </c>
      <c r="W1554" s="2" t="s">
        <v>60</v>
      </c>
      <c r="X1554" s="2">
        <v>629.96500000000003</v>
      </c>
    </row>
    <row r="1555" spans="1:24" x14ac:dyDescent="0.3">
      <c r="A1555">
        <v>19441</v>
      </c>
      <c r="B1555" t="s">
        <v>4920</v>
      </c>
      <c r="C1555" s="3">
        <v>40900</v>
      </c>
      <c r="D1555" t="s">
        <v>39</v>
      </c>
      <c r="E1555">
        <v>1</v>
      </c>
      <c r="F1555" s="3">
        <f ca="1">40901+(RANDBETWEEN(1,10))</f>
        <v>40902</v>
      </c>
      <c r="G1555" t="s">
        <v>76</v>
      </c>
      <c r="H1555" t="s">
        <v>77</v>
      </c>
      <c r="I1555" t="s">
        <v>86</v>
      </c>
      <c r="J1555">
        <v>671.05499999999995</v>
      </c>
      <c r="K1555">
        <v>0.06</v>
      </c>
      <c r="L1555">
        <v>0.59</v>
      </c>
      <c r="M1555">
        <v>91.7</v>
      </c>
      <c r="N1555">
        <v>-427.82249999999999</v>
      </c>
      <c r="O1555" s="1" t="s">
        <v>53</v>
      </c>
      <c r="P1555" s="1" t="s">
        <v>4921</v>
      </c>
      <c r="Q1555" s="1" t="s">
        <v>4922</v>
      </c>
      <c r="R1555" s="1" t="s">
        <v>56</v>
      </c>
      <c r="S1555" s="1" t="s">
        <v>4923</v>
      </c>
      <c r="T1555" s="1" t="s">
        <v>4924</v>
      </c>
      <c r="U1555" s="2" t="s">
        <v>4925</v>
      </c>
      <c r="V1555" s="2" t="s">
        <v>83</v>
      </c>
      <c r="W1555" s="2" t="s">
        <v>84</v>
      </c>
      <c r="X1555" s="2">
        <v>633.42999999999995</v>
      </c>
    </row>
    <row r="1556" spans="1:24" x14ac:dyDescent="0.3">
      <c r="A1556">
        <v>19442</v>
      </c>
      <c r="B1556" t="s">
        <v>4926</v>
      </c>
      <c r="C1556" s="3">
        <v>41131</v>
      </c>
      <c r="D1556" t="s">
        <v>148</v>
      </c>
      <c r="E1556">
        <v>17</v>
      </c>
      <c r="F1556" s="3">
        <f ca="1">41133+(RANDBETWEEN(1,10))</f>
        <v>41140</v>
      </c>
      <c r="G1556" t="s">
        <v>26</v>
      </c>
      <c r="H1556" t="s">
        <v>51</v>
      </c>
      <c r="I1556" t="s">
        <v>28</v>
      </c>
      <c r="J1556">
        <v>1364.1949999999999</v>
      </c>
      <c r="K1556">
        <v>0.06</v>
      </c>
      <c r="L1556">
        <v>0.56999999999999995</v>
      </c>
      <c r="M1556">
        <v>31.465</v>
      </c>
      <c r="N1556">
        <v>-26.0442</v>
      </c>
      <c r="O1556" s="1" t="s">
        <v>225</v>
      </c>
      <c r="P1556" s="1" t="s">
        <v>4927</v>
      </c>
      <c r="Q1556" s="1" t="s">
        <v>4928</v>
      </c>
      <c r="R1556" s="1" t="s">
        <v>391</v>
      </c>
      <c r="S1556" s="1" t="s">
        <v>4929</v>
      </c>
      <c r="T1556" s="1" t="s">
        <v>4930</v>
      </c>
      <c r="U1556" s="2" t="s">
        <v>246</v>
      </c>
      <c r="V1556" s="2" t="s">
        <v>47</v>
      </c>
      <c r="W1556" s="2" t="s">
        <v>104</v>
      </c>
      <c r="X1556" s="2">
        <v>80.465000000000003</v>
      </c>
    </row>
    <row r="1557" spans="1:24" x14ac:dyDescent="0.3">
      <c r="A1557">
        <v>19443</v>
      </c>
      <c r="B1557" t="s">
        <v>4926</v>
      </c>
      <c r="C1557" s="3">
        <v>41131</v>
      </c>
      <c r="D1557" t="s">
        <v>148</v>
      </c>
      <c r="E1557">
        <v>21</v>
      </c>
      <c r="F1557" s="3">
        <f ca="1">41132+(RANDBETWEEN(1,10))</f>
        <v>41134</v>
      </c>
      <c r="G1557" t="s">
        <v>26</v>
      </c>
      <c r="H1557" t="s">
        <v>51</v>
      </c>
      <c r="I1557" t="s">
        <v>28</v>
      </c>
      <c r="J1557">
        <v>859.42499999999995</v>
      </c>
      <c r="K1557">
        <v>0.05</v>
      </c>
      <c r="L1557">
        <v>0.57999999999999996</v>
      </c>
      <c r="M1557">
        <v>27.824999999999999</v>
      </c>
      <c r="N1557">
        <v>-295.27679999999998</v>
      </c>
      <c r="O1557" s="1" t="s">
        <v>225</v>
      </c>
      <c r="P1557" s="1" t="s">
        <v>4927</v>
      </c>
      <c r="Q1557" s="1" t="s">
        <v>4928</v>
      </c>
      <c r="R1557" s="1" t="s">
        <v>391</v>
      </c>
      <c r="S1557" s="1" t="s">
        <v>4929</v>
      </c>
      <c r="T1557" s="1" t="s">
        <v>4930</v>
      </c>
      <c r="U1557" s="2" t="s">
        <v>248</v>
      </c>
      <c r="V1557" s="2" t="s">
        <v>47</v>
      </c>
      <c r="W1557" s="2" t="s">
        <v>104</v>
      </c>
      <c r="X1557" s="2">
        <v>40.81</v>
      </c>
    </row>
    <row r="1558" spans="1:24" x14ac:dyDescent="0.3">
      <c r="A1558">
        <v>19444</v>
      </c>
      <c r="B1558" t="s">
        <v>4931</v>
      </c>
      <c r="C1558" s="3">
        <v>41276</v>
      </c>
      <c r="D1558" t="s">
        <v>25</v>
      </c>
      <c r="E1558">
        <v>7</v>
      </c>
      <c r="F1558" s="3">
        <f ca="1">41283+(RANDBETWEEN(1,10))</f>
        <v>41291</v>
      </c>
      <c r="G1558" t="s">
        <v>26</v>
      </c>
      <c r="H1558" t="s">
        <v>96</v>
      </c>
      <c r="I1558" t="s">
        <v>28</v>
      </c>
      <c r="J1558">
        <v>141.64500000000001</v>
      </c>
      <c r="K1558">
        <v>0.09</v>
      </c>
      <c r="L1558">
        <v>0.38</v>
      </c>
      <c r="M1558">
        <v>3.5</v>
      </c>
      <c r="N1558">
        <v>97.735050000000001</v>
      </c>
      <c r="O1558" s="1" t="s">
        <v>29</v>
      </c>
      <c r="P1558" s="1" t="s">
        <v>4932</v>
      </c>
      <c r="Q1558" s="1" t="s">
        <v>4933</v>
      </c>
      <c r="R1558" s="1" t="s">
        <v>460</v>
      </c>
      <c r="S1558" s="1" t="s">
        <v>4934</v>
      </c>
      <c r="T1558" s="1" t="s">
        <v>4935</v>
      </c>
      <c r="U1558" s="2" t="s">
        <v>3510</v>
      </c>
      <c r="V1558" s="2" t="s">
        <v>47</v>
      </c>
      <c r="W1558" s="2" t="s">
        <v>104</v>
      </c>
      <c r="X1558" s="2">
        <v>20.440000000000001</v>
      </c>
    </row>
    <row r="1559" spans="1:24" x14ac:dyDescent="0.3">
      <c r="A1559">
        <v>19445</v>
      </c>
      <c r="B1559" t="s">
        <v>4936</v>
      </c>
      <c r="C1559" s="3">
        <v>40773</v>
      </c>
      <c r="D1559" t="s">
        <v>62</v>
      </c>
      <c r="E1559">
        <v>23</v>
      </c>
      <c r="F1559" s="3">
        <f ca="1">40775+(RANDBETWEEN(1,10))</f>
        <v>40785</v>
      </c>
      <c r="G1559" t="s">
        <v>26</v>
      </c>
      <c r="H1559" t="s">
        <v>27</v>
      </c>
      <c r="I1559" t="s">
        <v>28</v>
      </c>
      <c r="J1559">
        <v>1321.04</v>
      </c>
      <c r="K1559">
        <v>0.01</v>
      </c>
      <c r="L1559">
        <v>0.37</v>
      </c>
      <c r="M1559">
        <v>46.13</v>
      </c>
      <c r="N1559">
        <v>-348.02404000000001</v>
      </c>
      <c r="O1559" s="1" t="s">
        <v>64</v>
      </c>
      <c r="P1559" s="1" t="s">
        <v>3160</v>
      </c>
      <c r="Q1559" s="1" t="s">
        <v>3161</v>
      </c>
      <c r="R1559" s="1" t="s">
        <v>128</v>
      </c>
      <c r="S1559" s="1" t="s">
        <v>3162</v>
      </c>
      <c r="T1559" s="1" t="s">
        <v>3163</v>
      </c>
      <c r="U1559" s="2" t="s">
        <v>197</v>
      </c>
      <c r="V1559" s="2" t="s">
        <v>47</v>
      </c>
      <c r="W1559" s="2" t="s">
        <v>111</v>
      </c>
      <c r="X1559" s="2">
        <v>55.965000000000003</v>
      </c>
    </row>
    <row r="1560" spans="1:24" x14ac:dyDescent="0.3">
      <c r="A1560">
        <v>19446</v>
      </c>
      <c r="B1560" t="s">
        <v>4937</v>
      </c>
      <c r="C1560" s="3">
        <v>41726</v>
      </c>
      <c r="D1560" t="s">
        <v>50</v>
      </c>
      <c r="E1560">
        <v>10</v>
      </c>
      <c r="F1560" s="3">
        <f ca="1">41728+(RANDBETWEEN(1,10))</f>
        <v>41736</v>
      </c>
      <c r="G1560" t="s">
        <v>26</v>
      </c>
      <c r="H1560" t="s">
        <v>27</v>
      </c>
      <c r="I1560" t="s">
        <v>52</v>
      </c>
      <c r="J1560">
        <v>702.66</v>
      </c>
      <c r="K1560">
        <v>0</v>
      </c>
      <c r="L1560">
        <v>0.35</v>
      </c>
      <c r="M1560">
        <v>5.2149999999999999</v>
      </c>
      <c r="N1560">
        <v>484.83539999999999</v>
      </c>
      <c r="O1560" s="1" t="s">
        <v>225</v>
      </c>
      <c r="P1560" s="1" t="s">
        <v>4782</v>
      </c>
      <c r="Q1560" s="1" t="s">
        <v>4783</v>
      </c>
      <c r="R1560" s="1" t="s">
        <v>228</v>
      </c>
      <c r="S1560" s="1" t="s">
        <v>4784</v>
      </c>
      <c r="T1560" s="1" t="s">
        <v>4785</v>
      </c>
      <c r="U1560" s="2" t="s">
        <v>292</v>
      </c>
      <c r="V1560" s="2" t="s">
        <v>47</v>
      </c>
      <c r="W1560" s="2" t="s">
        <v>111</v>
      </c>
      <c r="X1560" s="2">
        <v>66.290000000000006</v>
      </c>
    </row>
    <row r="1561" spans="1:24" x14ac:dyDescent="0.3">
      <c r="A1561">
        <v>19447</v>
      </c>
      <c r="B1561" t="s">
        <v>4937</v>
      </c>
      <c r="C1561" s="3">
        <v>41726</v>
      </c>
      <c r="D1561" t="s">
        <v>50</v>
      </c>
      <c r="E1561">
        <v>8</v>
      </c>
      <c r="F1561" s="3">
        <f ca="1">41728+(RANDBETWEEN(1,10))</f>
        <v>41735</v>
      </c>
      <c r="G1561" t="s">
        <v>26</v>
      </c>
      <c r="H1561" t="s">
        <v>27</v>
      </c>
      <c r="I1561" t="s">
        <v>52</v>
      </c>
      <c r="J1561">
        <v>531.65</v>
      </c>
      <c r="K1561">
        <v>0.02</v>
      </c>
      <c r="L1561">
        <v>0.79</v>
      </c>
      <c r="M1561">
        <v>14</v>
      </c>
      <c r="N1561">
        <v>-169.54</v>
      </c>
      <c r="O1561" s="1" t="s">
        <v>225</v>
      </c>
      <c r="P1561" s="1" t="s">
        <v>4782</v>
      </c>
      <c r="Q1561" s="1" t="s">
        <v>4783</v>
      </c>
      <c r="R1561" s="1" t="s">
        <v>228</v>
      </c>
      <c r="S1561" s="1" t="s">
        <v>4784</v>
      </c>
      <c r="T1561" s="1" t="s">
        <v>4785</v>
      </c>
      <c r="U1561" s="2" t="s">
        <v>4938</v>
      </c>
      <c r="V1561" s="2" t="s">
        <v>36</v>
      </c>
      <c r="W1561" s="2" t="s">
        <v>60</v>
      </c>
      <c r="X1561" s="2">
        <v>62.93</v>
      </c>
    </row>
    <row r="1562" spans="1:24" x14ac:dyDescent="0.3">
      <c r="A1562">
        <v>19448</v>
      </c>
      <c r="B1562" t="s">
        <v>4937</v>
      </c>
      <c r="C1562" s="3">
        <v>41726</v>
      </c>
      <c r="D1562" t="s">
        <v>50</v>
      </c>
      <c r="E1562">
        <v>7</v>
      </c>
      <c r="F1562" s="3">
        <f ca="1">41727+(RANDBETWEEN(1,10))</f>
        <v>41728</v>
      </c>
      <c r="G1562" t="s">
        <v>26</v>
      </c>
      <c r="H1562" t="s">
        <v>27</v>
      </c>
      <c r="I1562" t="s">
        <v>52</v>
      </c>
      <c r="J1562">
        <v>68.11</v>
      </c>
      <c r="K1562">
        <v>0.09</v>
      </c>
      <c r="L1562">
        <v>0.38</v>
      </c>
      <c r="M1562">
        <v>1.75</v>
      </c>
      <c r="N1562">
        <v>46.995899999999999</v>
      </c>
      <c r="O1562" s="1" t="s">
        <v>225</v>
      </c>
      <c r="P1562" s="1" t="s">
        <v>4782</v>
      </c>
      <c r="Q1562" s="1" t="s">
        <v>4783</v>
      </c>
      <c r="R1562" s="1" t="s">
        <v>228</v>
      </c>
      <c r="S1562" s="1" t="s">
        <v>4784</v>
      </c>
      <c r="T1562" s="1" t="s">
        <v>4785</v>
      </c>
      <c r="U1562" s="2" t="s">
        <v>468</v>
      </c>
      <c r="V1562" s="2" t="s">
        <v>47</v>
      </c>
      <c r="W1562" s="2" t="s">
        <v>203</v>
      </c>
      <c r="X1562" s="2">
        <v>10.115</v>
      </c>
    </row>
    <row r="1563" spans="1:24" x14ac:dyDescent="0.3">
      <c r="A1563">
        <v>19449</v>
      </c>
      <c r="B1563" t="s">
        <v>4937</v>
      </c>
      <c r="C1563" s="3">
        <v>41726</v>
      </c>
      <c r="D1563" t="s">
        <v>50</v>
      </c>
      <c r="E1563">
        <v>12</v>
      </c>
      <c r="F1563" s="3">
        <f ca="1">41728+(RANDBETWEEN(1,10))</f>
        <v>41730</v>
      </c>
      <c r="G1563" t="s">
        <v>156</v>
      </c>
      <c r="H1563" t="s">
        <v>27</v>
      </c>
      <c r="I1563" t="s">
        <v>52</v>
      </c>
      <c r="J1563">
        <v>205.55500000000001</v>
      </c>
      <c r="K1563">
        <v>0.01</v>
      </c>
      <c r="L1563">
        <v>0.54</v>
      </c>
      <c r="M1563">
        <v>25.34</v>
      </c>
      <c r="N1563">
        <v>-720.125</v>
      </c>
      <c r="O1563" s="1" t="s">
        <v>225</v>
      </c>
      <c r="P1563" s="1" t="s">
        <v>4782</v>
      </c>
      <c r="Q1563" s="1" t="s">
        <v>4783</v>
      </c>
      <c r="R1563" s="1" t="s">
        <v>228</v>
      </c>
      <c r="S1563" s="1" t="s">
        <v>4784</v>
      </c>
      <c r="T1563" s="1" t="s">
        <v>4785</v>
      </c>
      <c r="U1563" s="2" t="s">
        <v>4939</v>
      </c>
      <c r="V1563" s="2" t="s">
        <v>83</v>
      </c>
      <c r="W1563" s="2" t="s">
        <v>178</v>
      </c>
      <c r="X1563" s="2">
        <v>15.68</v>
      </c>
    </row>
    <row r="1564" spans="1:24" x14ac:dyDescent="0.3">
      <c r="A1564">
        <v>19450</v>
      </c>
      <c r="B1564" t="s">
        <v>4940</v>
      </c>
      <c r="C1564" s="3">
        <v>40765</v>
      </c>
      <c r="D1564" t="s">
        <v>62</v>
      </c>
      <c r="E1564">
        <v>10</v>
      </c>
      <c r="F1564" s="3">
        <f ca="1">40766+(RANDBETWEEN(1,10))</f>
        <v>40768</v>
      </c>
      <c r="G1564" t="s">
        <v>26</v>
      </c>
      <c r="H1564" t="s">
        <v>27</v>
      </c>
      <c r="I1564" t="s">
        <v>52</v>
      </c>
      <c r="J1564">
        <v>185.255</v>
      </c>
      <c r="K1564">
        <v>0.01</v>
      </c>
      <c r="L1564">
        <v>0.36</v>
      </c>
      <c r="M1564">
        <v>21.245000000000001</v>
      </c>
      <c r="N1564">
        <v>-125.70740000000001</v>
      </c>
      <c r="O1564" s="1" t="s">
        <v>53</v>
      </c>
      <c r="P1564" s="1" t="s">
        <v>3625</v>
      </c>
      <c r="Q1564" s="1" t="s">
        <v>3626</v>
      </c>
      <c r="R1564" s="1" t="s">
        <v>100</v>
      </c>
      <c r="S1564" s="1" t="s">
        <v>101</v>
      </c>
      <c r="T1564" s="1" t="s">
        <v>3627</v>
      </c>
      <c r="U1564" s="2" t="s">
        <v>250</v>
      </c>
      <c r="V1564" s="2" t="s">
        <v>47</v>
      </c>
      <c r="W1564" s="2" t="s">
        <v>74</v>
      </c>
      <c r="X1564" s="2">
        <v>17.43</v>
      </c>
    </row>
    <row r="1565" spans="1:24" x14ac:dyDescent="0.3">
      <c r="A1565">
        <v>19451</v>
      </c>
      <c r="B1565" t="s">
        <v>4941</v>
      </c>
      <c r="C1565" s="3">
        <v>41998</v>
      </c>
      <c r="D1565" t="s">
        <v>39</v>
      </c>
      <c r="E1565">
        <v>14</v>
      </c>
      <c r="F1565" s="3">
        <f ca="1">41999+(RANDBETWEEN(1,10))</f>
        <v>42003</v>
      </c>
      <c r="G1565" t="s">
        <v>26</v>
      </c>
      <c r="H1565" t="s">
        <v>96</v>
      </c>
      <c r="I1565" t="s">
        <v>28</v>
      </c>
      <c r="J1565">
        <v>208.46</v>
      </c>
      <c r="K1565">
        <v>7.0000000000000007E-2</v>
      </c>
      <c r="L1565">
        <v>0.56000000000000005</v>
      </c>
      <c r="M1565">
        <v>3.29</v>
      </c>
      <c r="N1565">
        <v>94.407039999999995</v>
      </c>
      <c r="O1565" s="1" t="s">
        <v>29</v>
      </c>
      <c r="P1565" s="1" t="s">
        <v>3083</v>
      </c>
      <c r="Q1565" s="1" t="s">
        <v>3084</v>
      </c>
      <c r="R1565" s="1" t="s">
        <v>460</v>
      </c>
      <c r="S1565" s="1" t="s">
        <v>3085</v>
      </c>
      <c r="T1565" s="1" t="s">
        <v>3086</v>
      </c>
      <c r="U1565" s="2" t="s">
        <v>331</v>
      </c>
      <c r="V1565" s="2" t="s">
        <v>47</v>
      </c>
      <c r="W1565" s="2" t="s">
        <v>104</v>
      </c>
      <c r="X1565" s="2">
        <v>14.98</v>
      </c>
    </row>
    <row r="1566" spans="1:24" x14ac:dyDescent="0.3">
      <c r="A1566">
        <v>19452</v>
      </c>
      <c r="B1566" t="s">
        <v>4942</v>
      </c>
      <c r="C1566" s="3">
        <v>41763</v>
      </c>
      <c r="D1566" t="s">
        <v>25</v>
      </c>
      <c r="E1566">
        <v>13</v>
      </c>
      <c r="F1566" s="3">
        <f ca="1">41765+(RANDBETWEEN(1,10))</f>
        <v>41771</v>
      </c>
      <c r="G1566" t="s">
        <v>156</v>
      </c>
      <c r="H1566" t="s">
        <v>27</v>
      </c>
      <c r="I1566" t="s">
        <v>28</v>
      </c>
      <c r="J1566">
        <v>1999.06</v>
      </c>
      <c r="K1566">
        <v>0.02</v>
      </c>
      <c r="L1566">
        <v>0.59</v>
      </c>
      <c r="M1566">
        <v>12.25</v>
      </c>
      <c r="N1566">
        <v>1379.3514</v>
      </c>
      <c r="O1566" s="1" t="s">
        <v>40</v>
      </c>
      <c r="P1566" s="1" t="s">
        <v>4943</v>
      </c>
      <c r="Q1566" s="1" t="s">
        <v>4944</v>
      </c>
      <c r="R1566" s="1" t="s">
        <v>220</v>
      </c>
      <c r="S1566" s="1" t="s">
        <v>4945</v>
      </c>
      <c r="T1566" s="1" t="s">
        <v>4946</v>
      </c>
      <c r="U1566" s="2" t="s">
        <v>4947</v>
      </c>
      <c r="V1566" s="2" t="s">
        <v>47</v>
      </c>
      <c r="W1566" s="2" t="s">
        <v>71</v>
      </c>
      <c r="X1566" s="2">
        <v>154.035</v>
      </c>
    </row>
    <row r="1567" spans="1:24" x14ac:dyDescent="0.3">
      <c r="A1567">
        <v>19453</v>
      </c>
      <c r="B1567" t="s">
        <v>4942</v>
      </c>
      <c r="C1567" s="3">
        <v>41763</v>
      </c>
      <c r="D1567" t="s">
        <v>25</v>
      </c>
      <c r="E1567">
        <v>3</v>
      </c>
      <c r="F1567" s="3">
        <f ca="1">41770+(RANDBETWEEN(1,10))</f>
        <v>41777</v>
      </c>
      <c r="G1567" t="s">
        <v>26</v>
      </c>
      <c r="H1567" t="s">
        <v>27</v>
      </c>
      <c r="I1567" t="s">
        <v>28</v>
      </c>
      <c r="J1567">
        <v>180.14500000000001</v>
      </c>
      <c r="K1567">
        <v>0.03</v>
      </c>
      <c r="L1567">
        <v>0.37</v>
      </c>
      <c r="M1567">
        <v>46.13</v>
      </c>
      <c r="N1567">
        <v>-191.14725000000001</v>
      </c>
      <c r="O1567" s="1" t="s">
        <v>40</v>
      </c>
      <c r="P1567" s="1" t="s">
        <v>4943</v>
      </c>
      <c r="Q1567" s="1" t="s">
        <v>4944</v>
      </c>
      <c r="R1567" s="1" t="s">
        <v>220</v>
      </c>
      <c r="S1567" s="1" t="s">
        <v>4945</v>
      </c>
      <c r="T1567" s="1" t="s">
        <v>4946</v>
      </c>
      <c r="U1567" s="2" t="s">
        <v>197</v>
      </c>
      <c r="V1567" s="2" t="s">
        <v>47</v>
      </c>
      <c r="W1567" s="2" t="s">
        <v>111</v>
      </c>
      <c r="X1567" s="2">
        <v>55.965000000000003</v>
      </c>
    </row>
    <row r="1568" spans="1:24" x14ac:dyDescent="0.3">
      <c r="A1568">
        <v>19454</v>
      </c>
      <c r="B1568" t="s">
        <v>4942</v>
      </c>
      <c r="C1568" s="3">
        <v>41763</v>
      </c>
      <c r="D1568" t="s">
        <v>25</v>
      </c>
      <c r="E1568">
        <v>7</v>
      </c>
      <c r="F1568" s="3">
        <f ca="1">41765+(RANDBETWEEN(1,10))</f>
        <v>41775</v>
      </c>
      <c r="G1568" t="s">
        <v>26</v>
      </c>
      <c r="H1568" t="s">
        <v>27</v>
      </c>
      <c r="I1568" t="s">
        <v>28</v>
      </c>
      <c r="J1568">
        <v>3568.6</v>
      </c>
      <c r="K1568">
        <v>0.09</v>
      </c>
      <c r="L1568">
        <v>0.59</v>
      </c>
      <c r="M1568">
        <v>17.465</v>
      </c>
      <c r="N1568">
        <v>1168.02</v>
      </c>
      <c r="O1568" s="1" t="s">
        <v>40</v>
      </c>
      <c r="P1568" s="1" t="s">
        <v>4943</v>
      </c>
      <c r="Q1568" s="1" t="s">
        <v>4944</v>
      </c>
      <c r="R1568" s="1" t="s">
        <v>220</v>
      </c>
      <c r="S1568" s="1" t="s">
        <v>4945</v>
      </c>
      <c r="T1568" s="1" t="s">
        <v>4946</v>
      </c>
      <c r="U1568" s="2">
        <v>5165</v>
      </c>
      <c r="V1568" s="2" t="s">
        <v>36</v>
      </c>
      <c r="W1568" s="2" t="s">
        <v>37</v>
      </c>
      <c r="X1568" s="2">
        <v>615.96500000000003</v>
      </c>
    </row>
    <row r="1569" spans="1:24" x14ac:dyDescent="0.3">
      <c r="A1569">
        <v>19455</v>
      </c>
      <c r="B1569" t="s">
        <v>4948</v>
      </c>
      <c r="C1569" s="3">
        <v>41763</v>
      </c>
      <c r="D1569" t="s">
        <v>62</v>
      </c>
      <c r="E1569">
        <v>11</v>
      </c>
      <c r="F1569" s="3">
        <f ca="1">41768+(RANDBETWEEN(1,10))</f>
        <v>41770</v>
      </c>
      <c r="G1569" t="s">
        <v>26</v>
      </c>
      <c r="H1569" t="s">
        <v>27</v>
      </c>
      <c r="I1569" t="s">
        <v>28</v>
      </c>
      <c r="J1569">
        <v>271.67</v>
      </c>
      <c r="K1569">
        <v>0.1</v>
      </c>
      <c r="L1569">
        <v>0.56000000000000005</v>
      </c>
      <c r="M1569">
        <v>18.234999999999999</v>
      </c>
      <c r="N1569">
        <v>-331.73</v>
      </c>
      <c r="O1569" s="1" t="s">
        <v>87</v>
      </c>
      <c r="P1569" s="1" t="s">
        <v>3132</v>
      </c>
      <c r="Q1569" s="1" t="s">
        <v>3133</v>
      </c>
      <c r="R1569" s="1" t="s">
        <v>497</v>
      </c>
      <c r="S1569" s="1" t="s">
        <v>3134</v>
      </c>
      <c r="T1569" s="1" t="s">
        <v>3135</v>
      </c>
      <c r="U1569" s="2" t="s">
        <v>256</v>
      </c>
      <c r="V1569" s="2" t="s">
        <v>83</v>
      </c>
      <c r="W1569" s="2" t="s">
        <v>178</v>
      </c>
      <c r="X1569" s="2">
        <v>25.83</v>
      </c>
    </row>
    <row r="1570" spans="1:24" x14ac:dyDescent="0.3">
      <c r="A1570">
        <v>19456</v>
      </c>
      <c r="B1570" t="s">
        <v>4949</v>
      </c>
      <c r="C1570" s="3">
        <v>41205</v>
      </c>
      <c r="D1570" t="s">
        <v>25</v>
      </c>
      <c r="E1570">
        <v>21</v>
      </c>
      <c r="F1570" s="3">
        <f ca="1">41212+(RANDBETWEEN(1,10))</f>
        <v>41218</v>
      </c>
      <c r="G1570" t="s">
        <v>26</v>
      </c>
      <c r="H1570" t="s">
        <v>51</v>
      </c>
      <c r="I1570" t="s">
        <v>86</v>
      </c>
      <c r="J1570">
        <v>3078.355</v>
      </c>
      <c r="K1570">
        <v>0.04</v>
      </c>
      <c r="L1570">
        <v>0.59</v>
      </c>
      <c r="M1570">
        <v>31.465</v>
      </c>
      <c r="N1570">
        <v>1055.838</v>
      </c>
      <c r="O1570" s="1" t="s">
        <v>40</v>
      </c>
      <c r="P1570" s="1" t="s">
        <v>4950</v>
      </c>
      <c r="Q1570" s="1" t="s">
        <v>4951</v>
      </c>
      <c r="R1570" s="1" t="s">
        <v>220</v>
      </c>
      <c r="S1570" s="1" t="s">
        <v>4952</v>
      </c>
      <c r="T1570" s="1" t="s">
        <v>4953</v>
      </c>
      <c r="U1570" s="2" t="s">
        <v>2755</v>
      </c>
      <c r="V1570" s="2" t="s">
        <v>47</v>
      </c>
      <c r="W1570" s="2" t="s">
        <v>104</v>
      </c>
      <c r="X1570" s="2">
        <v>143.39500000000001</v>
      </c>
    </row>
    <row r="1571" spans="1:24" x14ac:dyDescent="0.3">
      <c r="A1571">
        <v>19457</v>
      </c>
      <c r="B1571" t="s">
        <v>4954</v>
      </c>
      <c r="C1571" s="3">
        <v>41229</v>
      </c>
      <c r="D1571" t="s">
        <v>50</v>
      </c>
      <c r="E1571">
        <v>25</v>
      </c>
      <c r="F1571" s="3">
        <f ca="1">41230+(RANDBETWEEN(1,10))</f>
        <v>41237</v>
      </c>
      <c r="G1571" t="s">
        <v>76</v>
      </c>
      <c r="H1571" t="s">
        <v>258</v>
      </c>
      <c r="I1571" t="s">
        <v>28</v>
      </c>
      <c r="J1571">
        <v>18860.59</v>
      </c>
      <c r="K1571">
        <v>0.01</v>
      </c>
      <c r="L1571">
        <v>0.75</v>
      </c>
      <c r="M1571">
        <v>219.59</v>
      </c>
      <c r="N1571">
        <v>240.31700000000001</v>
      </c>
      <c r="O1571" s="1" t="s">
        <v>225</v>
      </c>
      <c r="P1571" s="1" t="s">
        <v>4955</v>
      </c>
      <c r="Q1571" s="1" t="s">
        <v>4956</v>
      </c>
      <c r="R1571" s="1" t="s">
        <v>228</v>
      </c>
      <c r="S1571" s="1" t="s">
        <v>865</v>
      </c>
      <c r="T1571" s="1" t="s">
        <v>866</v>
      </c>
      <c r="U1571" s="2" t="s">
        <v>4957</v>
      </c>
      <c r="V1571" s="2" t="s">
        <v>83</v>
      </c>
      <c r="W1571" s="2" t="s">
        <v>263</v>
      </c>
      <c r="X1571" s="2">
        <v>917.38499999999999</v>
      </c>
    </row>
    <row r="1572" spans="1:24" x14ac:dyDescent="0.3">
      <c r="A1572">
        <v>19458</v>
      </c>
      <c r="B1572" t="s">
        <v>4958</v>
      </c>
      <c r="C1572" s="3">
        <v>41043</v>
      </c>
      <c r="D1572" t="s">
        <v>50</v>
      </c>
      <c r="E1572">
        <v>12</v>
      </c>
      <c r="F1572" s="3">
        <f ca="1">41044+(RANDBETWEEN(1,10))</f>
        <v>41054</v>
      </c>
      <c r="G1572" t="s">
        <v>76</v>
      </c>
      <c r="H1572" t="s">
        <v>77</v>
      </c>
      <c r="I1572" t="s">
        <v>52</v>
      </c>
      <c r="J1572">
        <v>10015.355</v>
      </c>
      <c r="K1572">
        <v>0.1</v>
      </c>
      <c r="L1572">
        <v>0.55000000000000004</v>
      </c>
      <c r="M1572">
        <v>151.62</v>
      </c>
      <c r="N1572">
        <v>-494.36099999999999</v>
      </c>
      <c r="O1572" s="1" t="s">
        <v>87</v>
      </c>
      <c r="P1572" s="1" t="s">
        <v>4218</v>
      </c>
      <c r="Q1572" s="1" t="s">
        <v>4219</v>
      </c>
      <c r="R1572" s="1" t="s">
        <v>398</v>
      </c>
      <c r="S1572" s="1" t="s">
        <v>4220</v>
      </c>
      <c r="T1572" s="1" t="s">
        <v>4221</v>
      </c>
      <c r="U1572" s="2" t="s">
        <v>1924</v>
      </c>
      <c r="V1572" s="2" t="s">
        <v>83</v>
      </c>
      <c r="W1572" s="2" t="s">
        <v>84</v>
      </c>
      <c r="X1572" s="2">
        <v>853.93</v>
      </c>
    </row>
    <row r="1573" spans="1:24" x14ac:dyDescent="0.3">
      <c r="A1573">
        <v>19459</v>
      </c>
      <c r="B1573" t="s">
        <v>4958</v>
      </c>
      <c r="C1573" s="3">
        <v>41043</v>
      </c>
      <c r="D1573" t="s">
        <v>50</v>
      </c>
      <c r="E1573">
        <v>13</v>
      </c>
      <c r="F1573" s="3">
        <f ca="1">41045+(RANDBETWEEN(1,10))</f>
        <v>41050</v>
      </c>
      <c r="G1573" t="s">
        <v>26</v>
      </c>
      <c r="H1573" t="s">
        <v>51</v>
      </c>
      <c r="I1573" t="s">
        <v>52</v>
      </c>
      <c r="J1573">
        <v>1153.2149999999999</v>
      </c>
      <c r="K1573">
        <v>0.04</v>
      </c>
      <c r="L1573">
        <v>0.5</v>
      </c>
      <c r="M1573">
        <v>31.465</v>
      </c>
      <c r="N1573">
        <v>-144.15799999999999</v>
      </c>
      <c r="O1573" s="1" t="s">
        <v>87</v>
      </c>
      <c r="P1573" s="1" t="s">
        <v>4218</v>
      </c>
      <c r="Q1573" s="1" t="s">
        <v>4219</v>
      </c>
      <c r="R1573" s="1" t="s">
        <v>398</v>
      </c>
      <c r="S1573" s="1" t="s">
        <v>4220</v>
      </c>
      <c r="T1573" s="1" t="s">
        <v>4221</v>
      </c>
      <c r="U1573" s="2" t="s">
        <v>2788</v>
      </c>
      <c r="V1573" s="2" t="s">
        <v>83</v>
      </c>
      <c r="W1573" s="2" t="s">
        <v>178</v>
      </c>
      <c r="X1573" s="2">
        <v>88.83</v>
      </c>
    </row>
    <row r="1574" spans="1:24" x14ac:dyDescent="0.3">
      <c r="A1574">
        <v>19460</v>
      </c>
      <c r="B1574" t="s">
        <v>4959</v>
      </c>
      <c r="C1574" s="3">
        <v>40799</v>
      </c>
      <c r="D1574" t="s">
        <v>148</v>
      </c>
      <c r="E1574">
        <v>21</v>
      </c>
      <c r="F1574" s="3">
        <f ca="1">40801+(RANDBETWEEN(1,10))</f>
        <v>40810</v>
      </c>
      <c r="G1574" t="s">
        <v>156</v>
      </c>
      <c r="H1574" t="s">
        <v>27</v>
      </c>
      <c r="I1574" t="s">
        <v>28</v>
      </c>
      <c r="J1574">
        <v>1311.1</v>
      </c>
      <c r="K1574">
        <v>0.02</v>
      </c>
      <c r="L1574">
        <v>0.59</v>
      </c>
      <c r="M1574">
        <v>33.145000000000003</v>
      </c>
      <c r="N1574">
        <v>-297.577</v>
      </c>
      <c r="O1574" s="1" t="s">
        <v>87</v>
      </c>
      <c r="P1574" s="1" t="s">
        <v>4960</v>
      </c>
      <c r="Q1574" s="1" t="s">
        <v>4961</v>
      </c>
      <c r="R1574" s="1" t="s">
        <v>90</v>
      </c>
      <c r="S1574" s="1" t="s">
        <v>4962</v>
      </c>
      <c r="T1574" s="1" t="s">
        <v>4963</v>
      </c>
      <c r="U1574" s="2" t="s">
        <v>811</v>
      </c>
      <c r="V1574" s="2" t="s">
        <v>47</v>
      </c>
      <c r="W1574" s="2" t="s">
        <v>119</v>
      </c>
      <c r="X1574" s="2">
        <v>61.95</v>
      </c>
    </row>
    <row r="1575" spans="1:24" x14ac:dyDescent="0.3">
      <c r="A1575">
        <v>19461</v>
      </c>
      <c r="B1575" t="s">
        <v>4964</v>
      </c>
      <c r="C1575" s="3">
        <v>40570</v>
      </c>
      <c r="D1575" t="s">
        <v>148</v>
      </c>
      <c r="E1575">
        <v>1</v>
      </c>
      <c r="F1575" s="3">
        <f ca="1">40572+(RANDBETWEEN(1,10))</f>
        <v>40573</v>
      </c>
      <c r="G1575" t="s">
        <v>26</v>
      </c>
      <c r="H1575" t="s">
        <v>27</v>
      </c>
      <c r="I1575" t="s">
        <v>52</v>
      </c>
      <c r="J1575">
        <v>330.05</v>
      </c>
      <c r="K1575">
        <v>0.02</v>
      </c>
      <c r="L1575">
        <v>0.56999999999999995</v>
      </c>
      <c r="M1575">
        <v>8.75</v>
      </c>
      <c r="N1575">
        <v>-139.33150000000001</v>
      </c>
      <c r="O1575" s="1" t="s">
        <v>225</v>
      </c>
      <c r="P1575" s="1" t="s">
        <v>3713</v>
      </c>
      <c r="Q1575" s="1" t="s">
        <v>3714</v>
      </c>
      <c r="R1575" s="1" t="s">
        <v>228</v>
      </c>
      <c r="S1575" s="1" t="s">
        <v>3715</v>
      </c>
      <c r="T1575" s="1" t="s">
        <v>3716</v>
      </c>
      <c r="U1575" s="2" t="s">
        <v>3011</v>
      </c>
      <c r="V1575" s="2" t="s">
        <v>36</v>
      </c>
      <c r="W1575" s="2" t="s">
        <v>37</v>
      </c>
      <c r="X1575" s="2">
        <v>388.46499999999997</v>
      </c>
    </row>
    <row r="1576" spans="1:24" x14ac:dyDescent="0.3">
      <c r="A1576">
        <v>19462</v>
      </c>
      <c r="B1576" t="s">
        <v>4965</v>
      </c>
      <c r="C1576" s="3">
        <v>41421</v>
      </c>
      <c r="D1576" t="s">
        <v>25</v>
      </c>
      <c r="E1576">
        <v>10</v>
      </c>
      <c r="F1576" s="3">
        <f ca="1">41423+(RANDBETWEEN(1,10))</f>
        <v>41431</v>
      </c>
      <c r="G1576" t="s">
        <v>26</v>
      </c>
      <c r="H1576" t="s">
        <v>27</v>
      </c>
      <c r="I1576" t="s">
        <v>28</v>
      </c>
      <c r="J1576">
        <v>1196.825</v>
      </c>
      <c r="K1576">
        <v>0.09</v>
      </c>
      <c r="L1576">
        <v>0.55000000000000004</v>
      </c>
      <c r="M1576">
        <v>69.965000000000003</v>
      </c>
      <c r="N1576">
        <v>-154.49</v>
      </c>
      <c r="O1576" s="1" t="s">
        <v>225</v>
      </c>
      <c r="P1576" s="1" t="s">
        <v>4955</v>
      </c>
      <c r="Q1576" s="1" t="s">
        <v>4956</v>
      </c>
      <c r="R1576" s="1" t="s">
        <v>228</v>
      </c>
      <c r="S1576" s="1" t="s">
        <v>865</v>
      </c>
      <c r="T1576" s="1" t="s">
        <v>866</v>
      </c>
      <c r="U1576" s="2" t="s">
        <v>3861</v>
      </c>
      <c r="V1576" s="2" t="s">
        <v>83</v>
      </c>
      <c r="W1576" s="2" t="s">
        <v>178</v>
      </c>
      <c r="X1576" s="2">
        <v>118.93</v>
      </c>
    </row>
    <row r="1577" spans="1:24" x14ac:dyDescent="0.3">
      <c r="A1577">
        <v>19463</v>
      </c>
      <c r="B1577" t="s">
        <v>4965</v>
      </c>
      <c r="C1577" s="3">
        <v>41421</v>
      </c>
      <c r="D1577" t="s">
        <v>25</v>
      </c>
      <c r="E1577">
        <v>18</v>
      </c>
      <c r="F1577" s="3">
        <f ca="1">41428+(RANDBETWEEN(1,10))</f>
        <v>41435</v>
      </c>
      <c r="G1577" t="s">
        <v>26</v>
      </c>
      <c r="H1577" t="s">
        <v>96</v>
      </c>
      <c r="I1577" t="s">
        <v>28</v>
      </c>
      <c r="J1577">
        <v>109.935</v>
      </c>
      <c r="K1577">
        <v>0.09</v>
      </c>
      <c r="L1577">
        <v>0.56000000000000005</v>
      </c>
      <c r="M1577">
        <v>2.4500000000000002</v>
      </c>
      <c r="N1577">
        <v>-2.7650000000000001</v>
      </c>
      <c r="O1577" s="1" t="s">
        <v>225</v>
      </c>
      <c r="P1577" s="1" t="s">
        <v>4955</v>
      </c>
      <c r="Q1577" s="1" t="s">
        <v>4956</v>
      </c>
      <c r="R1577" s="1" t="s">
        <v>228</v>
      </c>
      <c r="S1577" s="1" t="s">
        <v>865</v>
      </c>
      <c r="T1577" s="1" t="s">
        <v>866</v>
      </c>
      <c r="U1577" s="2" t="s">
        <v>873</v>
      </c>
      <c r="V1577" s="2" t="s">
        <v>47</v>
      </c>
      <c r="W1577" s="2" t="s">
        <v>104</v>
      </c>
      <c r="X1577" s="2">
        <v>6.16</v>
      </c>
    </row>
    <row r="1578" spans="1:24" x14ac:dyDescent="0.3">
      <c r="A1578">
        <v>19464</v>
      </c>
      <c r="B1578" t="s">
        <v>4966</v>
      </c>
      <c r="C1578" s="3">
        <v>40858</v>
      </c>
      <c r="D1578" t="s">
        <v>50</v>
      </c>
      <c r="E1578">
        <v>9</v>
      </c>
      <c r="F1578" s="3">
        <f ca="1">40859+(RANDBETWEEN(1,10))</f>
        <v>40860</v>
      </c>
      <c r="G1578" t="s">
        <v>26</v>
      </c>
      <c r="H1578" t="s">
        <v>63</v>
      </c>
      <c r="I1578" t="s">
        <v>28</v>
      </c>
      <c r="J1578">
        <v>3131.24</v>
      </c>
      <c r="K1578">
        <v>0.03</v>
      </c>
      <c r="L1578" t="s">
        <v>182</v>
      </c>
      <c r="M1578">
        <v>122.5</v>
      </c>
      <c r="N1578">
        <v>234.542</v>
      </c>
      <c r="O1578" s="1" t="s">
        <v>40</v>
      </c>
      <c r="P1578" s="1" t="s">
        <v>4967</v>
      </c>
      <c r="Q1578" s="1" t="s">
        <v>4968</v>
      </c>
      <c r="R1578" s="1" t="s">
        <v>220</v>
      </c>
      <c r="S1578" s="1" t="s">
        <v>4969</v>
      </c>
      <c r="T1578" s="1" t="s">
        <v>4970</v>
      </c>
      <c r="U1578" s="2" t="s">
        <v>186</v>
      </c>
      <c r="V1578" s="2" t="s">
        <v>47</v>
      </c>
      <c r="W1578" s="2" t="s">
        <v>119</v>
      </c>
      <c r="X1578" s="2">
        <v>335.96499999999997</v>
      </c>
    </row>
    <row r="1579" spans="1:24" x14ac:dyDescent="0.3">
      <c r="A1579">
        <v>19465</v>
      </c>
      <c r="B1579" t="s">
        <v>4971</v>
      </c>
      <c r="C1579" s="3">
        <v>41181</v>
      </c>
      <c r="D1579" t="s">
        <v>62</v>
      </c>
      <c r="E1579">
        <v>17</v>
      </c>
      <c r="F1579" s="3">
        <f ca="1">41182+(RANDBETWEEN(1,10))</f>
        <v>41191</v>
      </c>
      <c r="G1579" t="s">
        <v>26</v>
      </c>
      <c r="H1579" t="s">
        <v>27</v>
      </c>
      <c r="I1579" t="s">
        <v>28</v>
      </c>
      <c r="J1579">
        <v>16007.355</v>
      </c>
      <c r="K1579">
        <v>0.08</v>
      </c>
      <c r="L1579">
        <v>0.56000000000000005</v>
      </c>
      <c r="M1579">
        <v>69.965000000000003</v>
      </c>
      <c r="N1579">
        <v>9531.5849999999991</v>
      </c>
      <c r="O1579" s="1" t="s">
        <v>225</v>
      </c>
      <c r="P1579" s="1" t="s">
        <v>4464</v>
      </c>
      <c r="Q1579" s="1" t="s">
        <v>4465</v>
      </c>
      <c r="R1579" s="1" t="s">
        <v>391</v>
      </c>
      <c r="S1579" s="1" t="s">
        <v>4466</v>
      </c>
      <c r="T1579" s="1" t="s">
        <v>4467</v>
      </c>
      <c r="U1579" s="2" t="s">
        <v>4972</v>
      </c>
      <c r="V1579" s="2" t="s">
        <v>47</v>
      </c>
      <c r="W1579" s="2" t="s">
        <v>71</v>
      </c>
      <c r="X1579" s="2">
        <v>1013.355</v>
      </c>
    </row>
    <row r="1580" spans="1:24" x14ac:dyDescent="0.3">
      <c r="A1580">
        <v>19466</v>
      </c>
      <c r="B1580" t="s">
        <v>4971</v>
      </c>
      <c r="C1580" s="3">
        <v>41181</v>
      </c>
      <c r="D1580" t="s">
        <v>62</v>
      </c>
      <c r="E1580">
        <v>23</v>
      </c>
      <c r="F1580" s="3">
        <f ca="1">41183+(RANDBETWEEN(1,10))</f>
        <v>41185</v>
      </c>
      <c r="G1580" t="s">
        <v>26</v>
      </c>
      <c r="H1580" t="s">
        <v>27</v>
      </c>
      <c r="I1580" t="s">
        <v>28</v>
      </c>
      <c r="J1580">
        <v>502.98500000000001</v>
      </c>
      <c r="K1580">
        <v>0.08</v>
      </c>
      <c r="L1580">
        <v>0.37</v>
      </c>
      <c r="M1580">
        <v>18.899999999999999</v>
      </c>
      <c r="N1580">
        <v>-316.47000000000003</v>
      </c>
      <c r="O1580" s="1" t="s">
        <v>225</v>
      </c>
      <c r="P1580" s="1" t="s">
        <v>4464</v>
      </c>
      <c r="Q1580" s="1" t="s">
        <v>4465</v>
      </c>
      <c r="R1580" s="1" t="s">
        <v>391</v>
      </c>
      <c r="S1580" s="1" t="s">
        <v>4466</v>
      </c>
      <c r="T1580" s="1" t="s">
        <v>4467</v>
      </c>
      <c r="U1580" s="2" t="s">
        <v>1582</v>
      </c>
      <c r="V1580" s="2" t="s">
        <v>47</v>
      </c>
      <c r="W1580" s="2" t="s">
        <v>74</v>
      </c>
      <c r="X1580" s="2">
        <v>22.68</v>
      </c>
    </row>
    <row r="1581" spans="1:24" x14ac:dyDescent="0.3">
      <c r="A1581">
        <v>19467</v>
      </c>
      <c r="B1581" t="s">
        <v>4973</v>
      </c>
      <c r="C1581" s="3">
        <v>41727</v>
      </c>
      <c r="D1581" t="s">
        <v>39</v>
      </c>
      <c r="E1581">
        <v>3</v>
      </c>
      <c r="F1581" s="3">
        <f ca="1">41728+(RANDBETWEEN(1,10))</f>
        <v>41735</v>
      </c>
      <c r="G1581" t="s">
        <v>76</v>
      </c>
      <c r="H1581" t="s">
        <v>258</v>
      </c>
      <c r="I1581" t="s">
        <v>97</v>
      </c>
      <c r="J1581">
        <v>1166.55</v>
      </c>
      <c r="K1581">
        <v>0.09</v>
      </c>
      <c r="L1581">
        <v>0.65</v>
      </c>
      <c r="M1581">
        <v>153.125</v>
      </c>
      <c r="N1581">
        <v>1143.03</v>
      </c>
      <c r="O1581" s="1" t="s">
        <v>64</v>
      </c>
      <c r="P1581" s="1" t="s">
        <v>4974</v>
      </c>
      <c r="Q1581" s="1" t="s">
        <v>4975</v>
      </c>
      <c r="R1581" s="1" t="s">
        <v>67</v>
      </c>
      <c r="S1581" s="1" t="s">
        <v>4976</v>
      </c>
      <c r="T1581" s="1" t="s">
        <v>4977</v>
      </c>
      <c r="U1581" s="2" t="s">
        <v>262</v>
      </c>
      <c r="V1581" s="2" t="s">
        <v>83</v>
      </c>
      <c r="W1581" s="2" t="s">
        <v>263</v>
      </c>
      <c r="X1581" s="2">
        <v>512.19000000000005</v>
      </c>
    </row>
    <row r="1582" spans="1:24" x14ac:dyDescent="0.3">
      <c r="A1582">
        <v>19468</v>
      </c>
      <c r="B1582" t="s">
        <v>4978</v>
      </c>
      <c r="C1582" s="3">
        <v>41682</v>
      </c>
      <c r="D1582" t="s">
        <v>39</v>
      </c>
      <c r="E1582">
        <v>7</v>
      </c>
      <c r="F1582" s="3">
        <f ca="1">41683+(RANDBETWEEN(1,10))</f>
        <v>41689</v>
      </c>
      <c r="G1582" t="s">
        <v>26</v>
      </c>
      <c r="H1582" t="s">
        <v>51</v>
      </c>
      <c r="I1582" t="s">
        <v>97</v>
      </c>
      <c r="J1582">
        <v>394.97500000000002</v>
      </c>
      <c r="K1582">
        <v>0.05</v>
      </c>
      <c r="L1582">
        <v>0.64</v>
      </c>
      <c r="M1582">
        <v>31.465</v>
      </c>
      <c r="N1582">
        <v>-516.28499999999997</v>
      </c>
      <c r="O1582" s="1" t="s">
        <v>87</v>
      </c>
      <c r="P1582" s="1" t="s">
        <v>1229</v>
      </c>
      <c r="Q1582" s="1" t="s">
        <v>1230</v>
      </c>
      <c r="R1582" s="1" t="s">
        <v>646</v>
      </c>
      <c r="S1582" s="1" t="s">
        <v>1231</v>
      </c>
      <c r="T1582" s="1" t="s">
        <v>1232</v>
      </c>
      <c r="U1582" s="2" t="s">
        <v>3697</v>
      </c>
      <c r="V1582" s="2" t="s">
        <v>36</v>
      </c>
      <c r="W1582" s="2" t="s">
        <v>60</v>
      </c>
      <c r="X1582" s="2">
        <v>55.93</v>
      </c>
    </row>
    <row r="1583" spans="1:24" x14ac:dyDescent="0.3">
      <c r="A1583">
        <v>19469</v>
      </c>
      <c r="B1583" t="s">
        <v>4978</v>
      </c>
      <c r="C1583" s="3">
        <v>41682</v>
      </c>
      <c r="D1583" t="s">
        <v>39</v>
      </c>
      <c r="E1583">
        <v>7</v>
      </c>
      <c r="F1583" s="3">
        <f ca="1">41684+(RANDBETWEEN(1,10))</f>
        <v>41686</v>
      </c>
      <c r="G1583" t="s">
        <v>26</v>
      </c>
      <c r="H1583" t="s">
        <v>27</v>
      </c>
      <c r="I1583" t="s">
        <v>97</v>
      </c>
      <c r="J1583">
        <v>682.04499999999996</v>
      </c>
      <c r="K1583">
        <v>0.05</v>
      </c>
      <c r="L1583">
        <v>0.44</v>
      </c>
      <c r="M1583">
        <v>68.11</v>
      </c>
      <c r="N1583">
        <v>-143.43</v>
      </c>
      <c r="O1583" s="1" t="s">
        <v>87</v>
      </c>
      <c r="P1583" s="1" t="s">
        <v>1229</v>
      </c>
      <c r="Q1583" s="1" t="s">
        <v>1230</v>
      </c>
      <c r="R1583" s="1" t="s">
        <v>646</v>
      </c>
      <c r="S1583" s="1" t="s">
        <v>1231</v>
      </c>
      <c r="T1583" s="1" t="s">
        <v>1232</v>
      </c>
      <c r="U1583" s="2" t="s">
        <v>3998</v>
      </c>
      <c r="V1583" s="2" t="s">
        <v>83</v>
      </c>
      <c r="W1583" s="2" t="s">
        <v>178</v>
      </c>
      <c r="X1583" s="2">
        <v>95.97</v>
      </c>
    </row>
    <row r="1584" spans="1:24" x14ac:dyDescent="0.3">
      <c r="A1584">
        <v>19470</v>
      </c>
      <c r="B1584" t="s">
        <v>4979</v>
      </c>
      <c r="C1584" s="3">
        <v>40897</v>
      </c>
      <c r="D1584" t="s">
        <v>62</v>
      </c>
      <c r="E1584">
        <v>11</v>
      </c>
      <c r="F1584" s="3">
        <f ca="1">40899+(RANDBETWEEN(1,10))</f>
        <v>40902</v>
      </c>
      <c r="G1584" t="s">
        <v>26</v>
      </c>
      <c r="H1584" t="s">
        <v>51</v>
      </c>
      <c r="I1584" t="s">
        <v>28</v>
      </c>
      <c r="J1584">
        <v>1811.88</v>
      </c>
      <c r="K1584">
        <v>0.06</v>
      </c>
      <c r="L1584">
        <v>0.71</v>
      </c>
      <c r="M1584">
        <v>12.635</v>
      </c>
      <c r="N1584">
        <v>125.8425</v>
      </c>
      <c r="O1584" s="1" t="s">
        <v>225</v>
      </c>
      <c r="P1584" s="1" t="s">
        <v>4980</v>
      </c>
      <c r="Q1584" s="1" t="s">
        <v>4981</v>
      </c>
      <c r="R1584" s="1" t="s">
        <v>228</v>
      </c>
      <c r="S1584" s="1" t="s">
        <v>4982</v>
      </c>
      <c r="T1584" s="1" t="s">
        <v>4983</v>
      </c>
      <c r="U1584" s="2" t="s">
        <v>267</v>
      </c>
      <c r="V1584" s="2" t="s">
        <v>36</v>
      </c>
      <c r="W1584" s="2" t="s">
        <v>60</v>
      </c>
      <c r="X1584" s="2">
        <v>167.93</v>
      </c>
    </row>
    <row r="1585" spans="1:24" x14ac:dyDescent="0.3">
      <c r="A1585">
        <v>19471</v>
      </c>
      <c r="B1585" t="s">
        <v>4984</v>
      </c>
      <c r="C1585" s="3">
        <v>40963</v>
      </c>
      <c r="D1585" t="s">
        <v>25</v>
      </c>
      <c r="E1585">
        <v>1</v>
      </c>
      <c r="F1585" s="3">
        <f ca="1">40969+(RANDBETWEEN(1,10))</f>
        <v>40979</v>
      </c>
      <c r="G1585" t="s">
        <v>26</v>
      </c>
      <c r="H1585" t="s">
        <v>27</v>
      </c>
      <c r="I1585" t="s">
        <v>97</v>
      </c>
      <c r="J1585">
        <v>35.21</v>
      </c>
      <c r="K1585">
        <v>0.05</v>
      </c>
      <c r="L1585">
        <v>0.57999999999999996</v>
      </c>
      <c r="M1585">
        <v>32.305</v>
      </c>
      <c r="N1585">
        <v>-105.91</v>
      </c>
      <c r="O1585" s="1" t="s">
        <v>53</v>
      </c>
      <c r="P1585" s="1" t="s">
        <v>4985</v>
      </c>
      <c r="Q1585" s="1" t="s">
        <v>4986</v>
      </c>
      <c r="R1585" s="1" t="s">
        <v>440</v>
      </c>
      <c r="S1585" s="1" t="s">
        <v>4987</v>
      </c>
      <c r="T1585" s="1" t="s">
        <v>4988</v>
      </c>
      <c r="U1585" s="2" t="s">
        <v>4333</v>
      </c>
      <c r="V1585" s="2" t="s">
        <v>47</v>
      </c>
      <c r="W1585" s="2" t="s">
        <v>71</v>
      </c>
      <c r="X1585" s="2">
        <v>27.195</v>
      </c>
    </row>
    <row r="1586" spans="1:24" x14ac:dyDescent="0.3">
      <c r="A1586">
        <v>19472</v>
      </c>
      <c r="B1586" t="s">
        <v>4989</v>
      </c>
      <c r="C1586" s="3">
        <v>40797</v>
      </c>
      <c r="D1586" t="s">
        <v>62</v>
      </c>
      <c r="E1586">
        <v>18</v>
      </c>
      <c r="F1586" s="3">
        <f ca="1">40799+(RANDBETWEEN(1,10))</f>
        <v>40805</v>
      </c>
      <c r="G1586" t="s">
        <v>26</v>
      </c>
      <c r="H1586" t="s">
        <v>63</v>
      </c>
      <c r="I1586" t="s">
        <v>28</v>
      </c>
      <c r="J1586">
        <v>551.74</v>
      </c>
      <c r="K1586">
        <v>0.06</v>
      </c>
      <c r="L1586">
        <v>0.59</v>
      </c>
      <c r="M1586">
        <v>35.56</v>
      </c>
      <c r="N1586">
        <v>-894.77499999999998</v>
      </c>
      <c r="O1586" s="1" t="s">
        <v>64</v>
      </c>
      <c r="P1586" s="1" t="s">
        <v>4803</v>
      </c>
      <c r="Q1586" s="1" t="s">
        <v>4804</v>
      </c>
      <c r="R1586" s="1" t="s">
        <v>128</v>
      </c>
      <c r="S1586" s="1" t="s">
        <v>4805</v>
      </c>
      <c r="T1586" s="1" t="s">
        <v>4806</v>
      </c>
      <c r="U1586" s="2" t="s">
        <v>4990</v>
      </c>
      <c r="V1586" s="2" t="s">
        <v>83</v>
      </c>
      <c r="W1586" s="2" t="s">
        <v>178</v>
      </c>
      <c r="X1586" s="2">
        <v>29.295000000000002</v>
      </c>
    </row>
    <row r="1587" spans="1:24" x14ac:dyDescent="0.3">
      <c r="A1587">
        <v>19473</v>
      </c>
      <c r="B1587" t="s">
        <v>4989</v>
      </c>
      <c r="C1587" s="3">
        <v>40797</v>
      </c>
      <c r="D1587" t="s">
        <v>62</v>
      </c>
      <c r="E1587">
        <v>6</v>
      </c>
      <c r="F1587" s="3">
        <f ca="1">40799+(RANDBETWEEN(1,10))</f>
        <v>40805</v>
      </c>
      <c r="G1587" t="s">
        <v>156</v>
      </c>
      <c r="H1587" t="s">
        <v>27</v>
      </c>
      <c r="I1587" t="s">
        <v>28</v>
      </c>
      <c r="J1587">
        <v>147.56</v>
      </c>
      <c r="K1587">
        <v>0.09</v>
      </c>
      <c r="L1587">
        <v>0.37</v>
      </c>
      <c r="M1587">
        <v>32.094999999999999</v>
      </c>
      <c r="N1587">
        <v>-267.89</v>
      </c>
      <c r="O1587" s="1" t="s">
        <v>64</v>
      </c>
      <c r="P1587" s="1" t="s">
        <v>4803</v>
      </c>
      <c r="Q1587" s="1" t="s">
        <v>4804</v>
      </c>
      <c r="R1587" s="1" t="s">
        <v>128</v>
      </c>
      <c r="S1587" s="1" t="s">
        <v>4805</v>
      </c>
      <c r="T1587" s="1" t="s">
        <v>4806</v>
      </c>
      <c r="U1587" s="2" t="s">
        <v>4991</v>
      </c>
      <c r="V1587" s="2" t="s">
        <v>47</v>
      </c>
      <c r="W1587" s="2" t="s">
        <v>74</v>
      </c>
      <c r="X1587" s="2">
        <v>22.68</v>
      </c>
    </row>
    <row r="1588" spans="1:24" x14ac:dyDescent="0.3">
      <c r="A1588">
        <v>19474</v>
      </c>
      <c r="B1588" t="s">
        <v>4992</v>
      </c>
      <c r="C1588" s="3">
        <v>40943</v>
      </c>
      <c r="D1588" t="s">
        <v>148</v>
      </c>
      <c r="E1588">
        <v>11</v>
      </c>
      <c r="F1588" s="3">
        <f ca="1">40945+(RANDBETWEEN(1,10))</f>
        <v>40949</v>
      </c>
      <c r="G1588" t="s">
        <v>76</v>
      </c>
      <c r="H1588" t="s">
        <v>258</v>
      </c>
      <c r="I1588" t="s">
        <v>28</v>
      </c>
      <c r="J1588">
        <v>2427.11</v>
      </c>
      <c r="K1588">
        <v>0</v>
      </c>
      <c r="L1588">
        <v>0.61</v>
      </c>
      <c r="M1588">
        <v>128.13499999999999</v>
      </c>
      <c r="N1588">
        <v>2.226</v>
      </c>
      <c r="O1588" s="1" t="s">
        <v>29</v>
      </c>
      <c r="P1588" s="1" t="s">
        <v>4993</v>
      </c>
      <c r="Q1588" s="1" t="s">
        <v>4994</v>
      </c>
      <c r="R1588" s="1" t="s">
        <v>32</v>
      </c>
      <c r="S1588" s="1" t="s">
        <v>4995</v>
      </c>
      <c r="T1588" s="1" t="s">
        <v>4996</v>
      </c>
      <c r="U1588" s="2" t="s">
        <v>4050</v>
      </c>
      <c r="V1588" s="2" t="s">
        <v>83</v>
      </c>
      <c r="W1588" s="2" t="s">
        <v>298</v>
      </c>
      <c r="X1588" s="2">
        <v>203.49</v>
      </c>
    </row>
    <row r="1589" spans="1:24" x14ac:dyDescent="0.3">
      <c r="A1589">
        <v>19475</v>
      </c>
      <c r="B1589" t="s">
        <v>4997</v>
      </c>
      <c r="C1589" s="3">
        <v>41177</v>
      </c>
      <c r="D1589" t="s">
        <v>148</v>
      </c>
      <c r="E1589">
        <v>20</v>
      </c>
      <c r="F1589" s="3">
        <f ca="1">41179+(RANDBETWEEN(1,10))</f>
        <v>41187</v>
      </c>
      <c r="G1589" t="s">
        <v>26</v>
      </c>
      <c r="H1589" t="s">
        <v>27</v>
      </c>
      <c r="I1589" t="s">
        <v>52</v>
      </c>
      <c r="J1589">
        <v>461.26499999999999</v>
      </c>
      <c r="K1589">
        <v>7.0000000000000007E-2</v>
      </c>
      <c r="L1589">
        <v>0.37</v>
      </c>
      <c r="M1589">
        <v>21.77</v>
      </c>
      <c r="N1589">
        <v>-1641.7940000000001</v>
      </c>
      <c r="O1589" s="1" t="s">
        <v>40</v>
      </c>
      <c r="P1589" s="1" t="s">
        <v>2398</v>
      </c>
      <c r="Q1589" s="1" t="s">
        <v>2399</v>
      </c>
      <c r="R1589" s="1" t="s">
        <v>43</v>
      </c>
      <c r="S1589" s="1" t="s">
        <v>2400</v>
      </c>
      <c r="T1589" s="1" t="s">
        <v>2401</v>
      </c>
      <c r="U1589" s="2" t="s">
        <v>4158</v>
      </c>
      <c r="V1589" s="2" t="s">
        <v>47</v>
      </c>
      <c r="W1589" s="2" t="s">
        <v>74</v>
      </c>
      <c r="X1589" s="2">
        <v>22.68</v>
      </c>
    </row>
    <row r="1590" spans="1:24" x14ac:dyDescent="0.3">
      <c r="A1590">
        <v>19476</v>
      </c>
      <c r="B1590" t="s">
        <v>4997</v>
      </c>
      <c r="C1590" s="3">
        <v>41177</v>
      </c>
      <c r="D1590" t="s">
        <v>148</v>
      </c>
      <c r="E1590">
        <v>4</v>
      </c>
      <c r="F1590" s="3">
        <f ca="1">41178+(RANDBETWEEN(1,10))</f>
        <v>41184</v>
      </c>
      <c r="G1590" t="s">
        <v>76</v>
      </c>
      <c r="H1590" t="s">
        <v>258</v>
      </c>
      <c r="I1590" t="s">
        <v>52</v>
      </c>
      <c r="J1590">
        <v>3234.91</v>
      </c>
      <c r="K1590">
        <v>0.05</v>
      </c>
      <c r="L1590">
        <v>0.77</v>
      </c>
      <c r="M1590">
        <v>243.74</v>
      </c>
      <c r="N1590">
        <v>5005.1819999999998</v>
      </c>
      <c r="O1590" s="1" t="s">
        <v>40</v>
      </c>
      <c r="P1590" s="1" t="s">
        <v>2398</v>
      </c>
      <c r="Q1590" s="1" t="s">
        <v>2399</v>
      </c>
      <c r="R1590" s="1" t="s">
        <v>43</v>
      </c>
      <c r="S1590" s="1" t="s">
        <v>2400</v>
      </c>
      <c r="T1590" s="1" t="s">
        <v>2401</v>
      </c>
      <c r="U1590" s="2" t="s">
        <v>1233</v>
      </c>
      <c r="V1590" s="2" t="s">
        <v>83</v>
      </c>
      <c r="W1590" s="2" t="s">
        <v>263</v>
      </c>
      <c r="X1590" s="2">
        <v>765.625</v>
      </c>
    </row>
    <row r="1591" spans="1:24" x14ac:dyDescent="0.3">
      <c r="A1591">
        <v>19477</v>
      </c>
      <c r="B1591" t="s">
        <v>4998</v>
      </c>
      <c r="C1591" s="3">
        <v>40782</v>
      </c>
      <c r="D1591" t="s">
        <v>25</v>
      </c>
      <c r="E1591">
        <v>14</v>
      </c>
      <c r="F1591" s="3">
        <f ca="1">40786+(RANDBETWEEN(1,10))</f>
        <v>40794</v>
      </c>
      <c r="G1591" t="s">
        <v>26</v>
      </c>
      <c r="H1591" t="s">
        <v>51</v>
      </c>
      <c r="I1591" t="s">
        <v>52</v>
      </c>
      <c r="J1591">
        <v>414.995</v>
      </c>
      <c r="K1591">
        <v>0.04</v>
      </c>
      <c r="L1591">
        <v>0.49</v>
      </c>
      <c r="M1591">
        <v>6.9649999999999999</v>
      </c>
      <c r="N1591">
        <v>151.4632</v>
      </c>
      <c r="O1591" s="1" t="s">
        <v>87</v>
      </c>
      <c r="P1591" s="1" t="s">
        <v>4999</v>
      </c>
      <c r="Q1591" s="1" t="s">
        <v>5000</v>
      </c>
      <c r="R1591" s="1" t="s">
        <v>90</v>
      </c>
      <c r="S1591" s="1" t="s">
        <v>5001</v>
      </c>
      <c r="T1591" s="1" t="s">
        <v>5002</v>
      </c>
      <c r="U1591" s="2" t="s">
        <v>2723</v>
      </c>
      <c r="V1591" s="2" t="s">
        <v>36</v>
      </c>
      <c r="W1591" s="2" t="s">
        <v>60</v>
      </c>
      <c r="X1591" s="2">
        <v>29.75</v>
      </c>
    </row>
    <row r="1592" spans="1:24" x14ac:dyDescent="0.3">
      <c r="A1592">
        <v>19478</v>
      </c>
      <c r="B1592" t="s">
        <v>4998</v>
      </c>
      <c r="C1592" s="3">
        <v>40782</v>
      </c>
      <c r="D1592" t="s">
        <v>25</v>
      </c>
      <c r="E1592">
        <v>5</v>
      </c>
      <c r="F1592" s="3">
        <f ca="1">40782+(RANDBETWEEN(1,10))</f>
        <v>40791</v>
      </c>
      <c r="G1592" t="s">
        <v>26</v>
      </c>
      <c r="H1592" t="s">
        <v>27</v>
      </c>
      <c r="I1592" t="s">
        <v>52</v>
      </c>
      <c r="J1592">
        <v>278.14499999999998</v>
      </c>
      <c r="K1592">
        <v>0.1</v>
      </c>
      <c r="L1592">
        <v>0.49</v>
      </c>
      <c r="M1592">
        <v>32.9</v>
      </c>
      <c r="N1592">
        <v>-126.75117</v>
      </c>
      <c r="O1592" s="1" t="s">
        <v>87</v>
      </c>
      <c r="P1592" s="1" t="s">
        <v>4999</v>
      </c>
      <c r="Q1592" s="1" t="s">
        <v>5000</v>
      </c>
      <c r="R1592" s="1" t="s">
        <v>90</v>
      </c>
      <c r="S1592" s="1" t="s">
        <v>5001</v>
      </c>
      <c r="T1592" s="1" t="s">
        <v>5002</v>
      </c>
      <c r="U1592" s="2" t="s">
        <v>942</v>
      </c>
      <c r="V1592" s="2" t="s">
        <v>36</v>
      </c>
      <c r="W1592" s="2" t="s">
        <v>142</v>
      </c>
      <c r="X1592" s="2">
        <v>55.965000000000003</v>
      </c>
    </row>
    <row r="1593" spans="1:24" x14ac:dyDescent="0.3">
      <c r="A1593">
        <v>19479</v>
      </c>
      <c r="B1593" t="s">
        <v>4998</v>
      </c>
      <c r="C1593" s="3">
        <v>40782</v>
      </c>
      <c r="D1593" t="s">
        <v>25</v>
      </c>
      <c r="E1593">
        <v>8</v>
      </c>
      <c r="F1593" s="3">
        <f ca="1">40789+(RANDBETWEEN(1,10))</f>
        <v>40796</v>
      </c>
      <c r="G1593" t="s">
        <v>26</v>
      </c>
      <c r="H1593" t="s">
        <v>27</v>
      </c>
      <c r="I1593" t="s">
        <v>52</v>
      </c>
      <c r="J1593">
        <v>2195.48</v>
      </c>
      <c r="K1593">
        <v>0.09</v>
      </c>
      <c r="L1593">
        <v>0.56999999999999995</v>
      </c>
      <c r="M1593">
        <v>31.465</v>
      </c>
      <c r="N1593">
        <v>24.615359999999999</v>
      </c>
      <c r="O1593" s="1" t="s">
        <v>87</v>
      </c>
      <c r="P1593" s="1" t="s">
        <v>4999</v>
      </c>
      <c r="Q1593" s="1" t="s">
        <v>5000</v>
      </c>
      <c r="R1593" s="1" t="s">
        <v>90</v>
      </c>
      <c r="S1593" s="1" t="s">
        <v>5001</v>
      </c>
      <c r="T1593" s="1" t="s">
        <v>5002</v>
      </c>
      <c r="U1593" s="2" t="s">
        <v>5003</v>
      </c>
      <c r="V1593" s="2" t="s">
        <v>36</v>
      </c>
      <c r="W1593" s="2" t="s">
        <v>37</v>
      </c>
      <c r="X1593" s="2">
        <v>335.96499999999997</v>
      </c>
    </row>
    <row r="1594" spans="1:24" x14ac:dyDescent="0.3">
      <c r="A1594">
        <v>19480</v>
      </c>
      <c r="B1594" t="s">
        <v>5004</v>
      </c>
      <c r="C1594" s="3">
        <v>40677</v>
      </c>
      <c r="D1594" t="s">
        <v>62</v>
      </c>
      <c r="E1594">
        <v>15</v>
      </c>
      <c r="F1594" s="3">
        <f ca="1">40677+(RANDBETWEEN(1,10))</f>
        <v>40685</v>
      </c>
      <c r="G1594" t="s">
        <v>26</v>
      </c>
      <c r="H1594" t="s">
        <v>27</v>
      </c>
      <c r="I1594" t="s">
        <v>28</v>
      </c>
      <c r="J1594">
        <v>298.41000000000003</v>
      </c>
      <c r="K1594">
        <v>0</v>
      </c>
      <c r="L1594">
        <v>0.4</v>
      </c>
      <c r="M1594">
        <v>19.635000000000002</v>
      </c>
      <c r="N1594">
        <v>-522.24199999999996</v>
      </c>
      <c r="O1594" s="1" t="s">
        <v>225</v>
      </c>
      <c r="P1594" s="1" t="s">
        <v>5005</v>
      </c>
      <c r="Q1594" s="1" t="s">
        <v>5006</v>
      </c>
      <c r="R1594" s="1" t="s">
        <v>391</v>
      </c>
      <c r="S1594" s="1" t="s">
        <v>5007</v>
      </c>
      <c r="T1594" s="1" t="s">
        <v>5008</v>
      </c>
      <c r="U1594" s="2" t="s">
        <v>5009</v>
      </c>
      <c r="V1594" s="2" t="s">
        <v>47</v>
      </c>
      <c r="W1594" s="2" t="s">
        <v>74</v>
      </c>
      <c r="X1594" s="2">
        <v>18.48</v>
      </c>
    </row>
    <row r="1595" spans="1:24" x14ac:dyDescent="0.3">
      <c r="A1595">
        <v>19481</v>
      </c>
      <c r="B1595" t="s">
        <v>5010</v>
      </c>
      <c r="C1595" s="3">
        <v>40566</v>
      </c>
      <c r="D1595" t="s">
        <v>50</v>
      </c>
      <c r="E1595">
        <v>5</v>
      </c>
      <c r="F1595" s="3">
        <f ca="1">40567+(RANDBETWEEN(1,10))</f>
        <v>40572</v>
      </c>
      <c r="G1595" t="s">
        <v>26</v>
      </c>
      <c r="H1595" t="s">
        <v>51</v>
      </c>
      <c r="I1595" t="s">
        <v>52</v>
      </c>
      <c r="J1595">
        <v>132.61500000000001</v>
      </c>
      <c r="K1595">
        <v>0</v>
      </c>
      <c r="L1595">
        <v>0.57999999999999996</v>
      </c>
      <c r="M1595">
        <v>29.295000000000002</v>
      </c>
      <c r="N1595">
        <v>-431.13560000000001</v>
      </c>
      <c r="O1595" s="1" t="s">
        <v>40</v>
      </c>
      <c r="P1595" s="1" t="s">
        <v>5011</v>
      </c>
      <c r="Q1595" s="1" t="s">
        <v>5012</v>
      </c>
      <c r="R1595" s="1" t="s">
        <v>43</v>
      </c>
      <c r="S1595" s="1" t="s">
        <v>5013</v>
      </c>
      <c r="T1595" s="1" t="s">
        <v>5014</v>
      </c>
      <c r="U1595" s="2" t="s">
        <v>3635</v>
      </c>
      <c r="V1595" s="2" t="s">
        <v>47</v>
      </c>
      <c r="W1595" s="2" t="s">
        <v>94</v>
      </c>
      <c r="X1595" s="2">
        <v>23.94</v>
      </c>
    </row>
    <row r="1596" spans="1:24" x14ac:dyDescent="0.3">
      <c r="A1596">
        <v>19482</v>
      </c>
      <c r="B1596" t="s">
        <v>5010</v>
      </c>
      <c r="C1596" s="3">
        <v>40566</v>
      </c>
      <c r="D1596" t="s">
        <v>50</v>
      </c>
      <c r="E1596">
        <v>11</v>
      </c>
      <c r="F1596" s="3">
        <f ca="1">40568+(RANDBETWEEN(1,10))</f>
        <v>40574</v>
      </c>
      <c r="G1596" t="s">
        <v>26</v>
      </c>
      <c r="H1596" t="s">
        <v>27</v>
      </c>
      <c r="I1596" t="s">
        <v>52</v>
      </c>
      <c r="J1596">
        <v>1203.2650000000001</v>
      </c>
      <c r="K1596">
        <v>7.0000000000000007E-2</v>
      </c>
      <c r="L1596">
        <v>0.4</v>
      </c>
      <c r="M1596">
        <v>20.16</v>
      </c>
      <c r="N1596">
        <v>-100.79300000000001</v>
      </c>
      <c r="O1596" s="1" t="s">
        <v>87</v>
      </c>
      <c r="P1596" s="1" t="s">
        <v>5015</v>
      </c>
      <c r="Q1596" s="1" t="s">
        <v>5016</v>
      </c>
      <c r="R1596" s="1" t="s">
        <v>398</v>
      </c>
      <c r="S1596" s="1" t="s">
        <v>1674</v>
      </c>
      <c r="T1596" s="1" t="s">
        <v>1675</v>
      </c>
      <c r="U1596" s="2" t="s">
        <v>2045</v>
      </c>
      <c r="V1596" s="2" t="s">
        <v>47</v>
      </c>
      <c r="W1596" s="2" t="s">
        <v>74</v>
      </c>
      <c r="X1596" s="2">
        <v>108.43</v>
      </c>
    </row>
    <row r="1597" spans="1:24" x14ac:dyDescent="0.3">
      <c r="A1597">
        <v>19483</v>
      </c>
      <c r="B1597" t="s">
        <v>5017</v>
      </c>
      <c r="C1597" s="3">
        <v>41406</v>
      </c>
      <c r="D1597" t="s">
        <v>25</v>
      </c>
      <c r="E1597">
        <v>18</v>
      </c>
      <c r="F1597" s="3">
        <f ca="1">41415+(RANDBETWEEN(1,10))</f>
        <v>41417</v>
      </c>
      <c r="G1597" t="s">
        <v>26</v>
      </c>
      <c r="H1597" t="s">
        <v>27</v>
      </c>
      <c r="I1597" t="s">
        <v>97</v>
      </c>
      <c r="J1597">
        <v>396.375</v>
      </c>
      <c r="K1597">
        <v>0.08</v>
      </c>
      <c r="L1597">
        <v>0.36</v>
      </c>
      <c r="M1597">
        <v>23.835000000000001</v>
      </c>
      <c r="N1597">
        <v>-494.41</v>
      </c>
      <c r="O1597" s="1" t="s">
        <v>87</v>
      </c>
      <c r="P1597" s="1" t="s">
        <v>5018</v>
      </c>
      <c r="Q1597" s="1" t="s">
        <v>5019</v>
      </c>
      <c r="R1597" s="1" t="s">
        <v>90</v>
      </c>
      <c r="S1597" s="1" t="s">
        <v>5020</v>
      </c>
      <c r="T1597" s="1" t="s">
        <v>5021</v>
      </c>
      <c r="U1597" s="2" t="s">
        <v>2113</v>
      </c>
      <c r="V1597" s="2" t="s">
        <v>47</v>
      </c>
      <c r="W1597" s="2" t="s">
        <v>74</v>
      </c>
      <c r="X1597" s="2">
        <v>22.68</v>
      </c>
    </row>
    <row r="1598" spans="1:24" x14ac:dyDescent="0.3">
      <c r="A1598">
        <v>19484</v>
      </c>
      <c r="B1598" t="s">
        <v>5022</v>
      </c>
      <c r="C1598" s="3">
        <v>40686</v>
      </c>
      <c r="D1598" t="s">
        <v>39</v>
      </c>
      <c r="E1598">
        <v>15</v>
      </c>
      <c r="F1598" s="3">
        <f ca="1">40686+(RANDBETWEEN(1,10))</f>
        <v>40695</v>
      </c>
      <c r="G1598" t="s">
        <v>26</v>
      </c>
      <c r="H1598" t="s">
        <v>27</v>
      </c>
      <c r="I1598" t="s">
        <v>97</v>
      </c>
      <c r="J1598">
        <v>137.02500000000001</v>
      </c>
      <c r="K1598">
        <v>7.0000000000000007E-2</v>
      </c>
      <c r="L1598">
        <v>0.39</v>
      </c>
      <c r="M1598">
        <v>1.75</v>
      </c>
      <c r="N1598">
        <v>94.547250000000005</v>
      </c>
      <c r="O1598" s="1" t="s">
        <v>87</v>
      </c>
      <c r="P1598" s="1" t="s">
        <v>4618</v>
      </c>
      <c r="Q1598" s="1" t="s">
        <v>4619</v>
      </c>
      <c r="R1598" s="1" t="s">
        <v>90</v>
      </c>
      <c r="S1598" s="1" t="s">
        <v>4620</v>
      </c>
      <c r="T1598" s="1" t="s">
        <v>4621</v>
      </c>
      <c r="U1598" s="2" t="s">
        <v>1726</v>
      </c>
      <c r="V1598" s="2" t="s">
        <v>47</v>
      </c>
      <c r="W1598" s="2" t="s">
        <v>203</v>
      </c>
      <c r="X1598" s="2">
        <v>9.1349999999999998</v>
      </c>
    </row>
    <row r="1599" spans="1:24" x14ac:dyDescent="0.3">
      <c r="A1599">
        <v>19485</v>
      </c>
      <c r="B1599" t="s">
        <v>5023</v>
      </c>
      <c r="C1599" s="3">
        <v>41771</v>
      </c>
      <c r="D1599" t="s">
        <v>148</v>
      </c>
      <c r="E1599">
        <v>5</v>
      </c>
      <c r="F1599" s="3">
        <f ca="1">41772+(RANDBETWEEN(1,10))</f>
        <v>41781</v>
      </c>
      <c r="G1599" t="s">
        <v>26</v>
      </c>
      <c r="H1599" t="s">
        <v>96</v>
      </c>
      <c r="I1599" t="s">
        <v>28</v>
      </c>
      <c r="J1599">
        <v>773.53499999999997</v>
      </c>
      <c r="K1599">
        <v>0.05</v>
      </c>
      <c r="L1599">
        <v>0.73</v>
      </c>
      <c r="M1599">
        <v>119.7</v>
      </c>
      <c r="N1599">
        <v>-702.94</v>
      </c>
      <c r="O1599" s="1" t="s">
        <v>40</v>
      </c>
      <c r="P1599" s="1" t="s">
        <v>5024</v>
      </c>
      <c r="Q1599" s="1" t="s">
        <v>5025</v>
      </c>
      <c r="R1599" s="1" t="s">
        <v>43</v>
      </c>
      <c r="S1599" s="1" t="s">
        <v>4054</v>
      </c>
      <c r="T1599" s="1" t="s">
        <v>4055</v>
      </c>
      <c r="U1599" s="2" t="s">
        <v>5026</v>
      </c>
      <c r="V1599" s="2" t="s">
        <v>83</v>
      </c>
      <c r="W1599" s="2" t="s">
        <v>178</v>
      </c>
      <c r="X1599" s="2">
        <v>145.14500000000001</v>
      </c>
    </row>
    <row r="1600" spans="1:24" x14ac:dyDescent="0.3">
      <c r="A1600">
        <v>19486</v>
      </c>
      <c r="B1600" t="s">
        <v>5027</v>
      </c>
      <c r="C1600" s="3">
        <v>40750</v>
      </c>
      <c r="D1600" t="s">
        <v>25</v>
      </c>
      <c r="E1600">
        <v>8</v>
      </c>
      <c r="F1600" s="3">
        <f ca="1">40752+(RANDBETWEEN(1,10))</f>
        <v>40758</v>
      </c>
      <c r="G1600" t="s">
        <v>26</v>
      </c>
      <c r="H1600" t="s">
        <v>51</v>
      </c>
      <c r="I1600" t="s">
        <v>28</v>
      </c>
      <c r="J1600">
        <v>108.15</v>
      </c>
      <c r="K1600">
        <v>0.04</v>
      </c>
      <c r="L1600">
        <v>0.59</v>
      </c>
      <c r="M1600">
        <v>14.595000000000001</v>
      </c>
      <c r="N1600">
        <v>-244.685</v>
      </c>
      <c r="O1600" s="1" t="s">
        <v>87</v>
      </c>
      <c r="P1600" s="1" t="s">
        <v>5028</v>
      </c>
      <c r="Q1600" s="1" t="s">
        <v>5029</v>
      </c>
      <c r="R1600" s="1" t="s">
        <v>497</v>
      </c>
      <c r="S1600" s="1" t="s">
        <v>5030</v>
      </c>
      <c r="T1600" s="1" t="s">
        <v>5031</v>
      </c>
      <c r="U1600" s="2" t="s">
        <v>1747</v>
      </c>
      <c r="V1600" s="2" t="s">
        <v>47</v>
      </c>
      <c r="W1600" s="2" t="s">
        <v>104</v>
      </c>
      <c r="X1600" s="2">
        <v>12.494999999999999</v>
      </c>
    </row>
    <row r="1601" spans="1:24" x14ac:dyDescent="0.3">
      <c r="A1601">
        <v>19487</v>
      </c>
      <c r="B1601" t="s">
        <v>5027</v>
      </c>
      <c r="C1601" s="3">
        <v>40750</v>
      </c>
      <c r="D1601" t="s">
        <v>25</v>
      </c>
      <c r="E1601">
        <v>14</v>
      </c>
      <c r="F1601" s="3">
        <f ca="1">40754+(RANDBETWEEN(1,10))</f>
        <v>40762</v>
      </c>
      <c r="G1601" t="s">
        <v>26</v>
      </c>
      <c r="H1601" t="s">
        <v>27</v>
      </c>
      <c r="I1601" t="s">
        <v>28</v>
      </c>
      <c r="J1601">
        <v>8270.7800000000007</v>
      </c>
      <c r="K1601">
        <v>0.05</v>
      </c>
      <c r="L1601">
        <v>0.59</v>
      </c>
      <c r="M1601">
        <v>14.7</v>
      </c>
      <c r="N1601">
        <v>5706.8382000000001</v>
      </c>
      <c r="O1601" s="1" t="s">
        <v>87</v>
      </c>
      <c r="P1601" s="1" t="s">
        <v>5028</v>
      </c>
      <c r="Q1601" s="1" t="s">
        <v>5029</v>
      </c>
      <c r="R1601" s="1" t="s">
        <v>497</v>
      </c>
      <c r="S1601" s="1" t="s">
        <v>5030</v>
      </c>
      <c r="T1601" s="1" t="s">
        <v>5031</v>
      </c>
      <c r="U1601" s="2" t="s">
        <v>2133</v>
      </c>
      <c r="V1601" s="2" t="s">
        <v>36</v>
      </c>
      <c r="W1601" s="2" t="s">
        <v>37</v>
      </c>
      <c r="X1601" s="2">
        <v>703.46500000000003</v>
      </c>
    </row>
    <row r="1602" spans="1:24" x14ac:dyDescent="0.3">
      <c r="A1602">
        <v>19488</v>
      </c>
      <c r="B1602" t="s">
        <v>5027</v>
      </c>
      <c r="C1602" s="3">
        <v>40750</v>
      </c>
      <c r="D1602" t="s">
        <v>25</v>
      </c>
      <c r="E1602">
        <v>2</v>
      </c>
      <c r="F1602" s="3">
        <f ca="1">40750+(RANDBETWEEN(1,10))</f>
        <v>40757</v>
      </c>
      <c r="G1602" t="s">
        <v>26</v>
      </c>
      <c r="H1602" t="s">
        <v>27</v>
      </c>
      <c r="I1602" t="s">
        <v>28</v>
      </c>
      <c r="J1602">
        <v>1149.575</v>
      </c>
      <c r="K1602">
        <v>7.0000000000000007E-2</v>
      </c>
      <c r="L1602">
        <v>0.57999999999999996</v>
      </c>
      <c r="M1602">
        <v>31.465</v>
      </c>
      <c r="N1602">
        <v>-1600.06</v>
      </c>
      <c r="O1602" s="1" t="s">
        <v>87</v>
      </c>
      <c r="P1602" s="1" t="s">
        <v>5028</v>
      </c>
      <c r="Q1602" s="1" t="s">
        <v>5029</v>
      </c>
      <c r="R1602" s="1" t="s">
        <v>497</v>
      </c>
      <c r="S1602" s="1" t="s">
        <v>5030</v>
      </c>
      <c r="T1602" s="1" t="s">
        <v>5031</v>
      </c>
      <c r="U1602" s="2" t="s">
        <v>5032</v>
      </c>
      <c r="V1602" s="2" t="s">
        <v>36</v>
      </c>
      <c r="W1602" s="2" t="s">
        <v>37</v>
      </c>
      <c r="X1602" s="2">
        <v>685.96500000000003</v>
      </c>
    </row>
    <row r="1603" spans="1:24" x14ac:dyDescent="0.3">
      <c r="A1603">
        <v>19489</v>
      </c>
      <c r="B1603" t="s">
        <v>5033</v>
      </c>
      <c r="C1603" s="3">
        <v>41396</v>
      </c>
      <c r="D1603" t="s">
        <v>39</v>
      </c>
      <c r="E1603">
        <v>15</v>
      </c>
      <c r="F1603" s="3">
        <f ca="1">41397+(RANDBETWEEN(1,10))</f>
        <v>41405</v>
      </c>
      <c r="G1603" t="s">
        <v>26</v>
      </c>
      <c r="H1603" t="s">
        <v>27</v>
      </c>
      <c r="I1603" t="s">
        <v>28</v>
      </c>
      <c r="J1603">
        <v>8521.2749999999996</v>
      </c>
      <c r="K1603">
        <v>0.1</v>
      </c>
      <c r="L1603">
        <v>0.59</v>
      </c>
      <c r="M1603">
        <v>8.75</v>
      </c>
      <c r="N1603">
        <v>2880.6624000000002</v>
      </c>
      <c r="O1603" s="1" t="s">
        <v>40</v>
      </c>
      <c r="P1603" s="1" t="s">
        <v>5034</v>
      </c>
      <c r="Q1603" s="1" t="s">
        <v>5035</v>
      </c>
      <c r="R1603" s="1" t="s">
        <v>220</v>
      </c>
      <c r="S1603" s="1" t="s">
        <v>5036</v>
      </c>
      <c r="T1603" s="1" t="s">
        <v>5037</v>
      </c>
      <c r="U1603" s="2" t="s">
        <v>5038</v>
      </c>
      <c r="V1603" s="2" t="s">
        <v>36</v>
      </c>
      <c r="W1603" s="2" t="s">
        <v>37</v>
      </c>
      <c r="X1603" s="2">
        <v>720.96500000000003</v>
      </c>
    </row>
    <row r="1604" spans="1:24" x14ac:dyDescent="0.3">
      <c r="A1604">
        <v>19490</v>
      </c>
      <c r="B1604" t="s">
        <v>5039</v>
      </c>
      <c r="C1604" s="3">
        <v>41293</v>
      </c>
      <c r="D1604" t="s">
        <v>50</v>
      </c>
      <c r="E1604">
        <v>2</v>
      </c>
      <c r="F1604" s="3">
        <f ca="1">41295+(RANDBETWEEN(1,10))</f>
        <v>41304</v>
      </c>
      <c r="G1604" t="s">
        <v>26</v>
      </c>
      <c r="H1604" t="s">
        <v>27</v>
      </c>
      <c r="I1604" t="s">
        <v>97</v>
      </c>
      <c r="J1604">
        <v>35.244999999999997</v>
      </c>
      <c r="K1604">
        <v>0.01</v>
      </c>
      <c r="L1604">
        <v>0.4</v>
      </c>
      <c r="M1604">
        <v>19.88</v>
      </c>
      <c r="N1604">
        <v>-119.0896</v>
      </c>
      <c r="O1604" s="1" t="s">
        <v>87</v>
      </c>
      <c r="P1604" s="1" t="s">
        <v>601</v>
      </c>
      <c r="Q1604" s="1" t="s">
        <v>602</v>
      </c>
      <c r="R1604" s="1" t="s">
        <v>497</v>
      </c>
      <c r="S1604" s="1" t="s">
        <v>603</v>
      </c>
      <c r="T1604" s="1" t="s">
        <v>604</v>
      </c>
      <c r="U1604" s="2" t="s">
        <v>5040</v>
      </c>
      <c r="V1604" s="2" t="s">
        <v>47</v>
      </c>
      <c r="W1604" s="2" t="s">
        <v>74</v>
      </c>
      <c r="X1604" s="2">
        <v>14.98</v>
      </c>
    </row>
    <row r="1605" spans="1:24" x14ac:dyDescent="0.3">
      <c r="A1605">
        <v>19491</v>
      </c>
      <c r="B1605" t="s">
        <v>5041</v>
      </c>
      <c r="C1605" s="3">
        <v>41527</v>
      </c>
      <c r="D1605" t="s">
        <v>62</v>
      </c>
      <c r="E1605">
        <v>2</v>
      </c>
      <c r="F1605" s="3">
        <f ca="1">41528+(RANDBETWEEN(1,10))</f>
        <v>41529</v>
      </c>
      <c r="G1605" t="s">
        <v>26</v>
      </c>
      <c r="H1605" t="s">
        <v>27</v>
      </c>
      <c r="I1605" t="s">
        <v>86</v>
      </c>
      <c r="J1605">
        <v>133.52500000000001</v>
      </c>
      <c r="K1605">
        <v>0.03</v>
      </c>
      <c r="L1605">
        <v>0.37</v>
      </c>
      <c r="M1605">
        <v>46.13</v>
      </c>
      <c r="N1605">
        <v>-129.12200000000001</v>
      </c>
      <c r="O1605" s="1" t="s">
        <v>87</v>
      </c>
      <c r="P1605" s="1" t="s">
        <v>5042</v>
      </c>
      <c r="Q1605" s="1" t="s">
        <v>5043</v>
      </c>
      <c r="R1605" s="1" t="s">
        <v>398</v>
      </c>
      <c r="S1605" s="1" t="s">
        <v>1799</v>
      </c>
      <c r="T1605" s="1" t="s">
        <v>1800</v>
      </c>
      <c r="U1605" s="2" t="s">
        <v>197</v>
      </c>
      <c r="V1605" s="2" t="s">
        <v>47</v>
      </c>
      <c r="W1605" s="2" t="s">
        <v>111</v>
      </c>
      <c r="X1605" s="2">
        <v>55.965000000000003</v>
      </c>
    </row>
    <row r="1606" spans="1:24" x14ac:dyDescent="0.3">
      <c r="A1606">
        <v>19492</v>
      </c>
      <c r="B1606" t="s">
        <v>5044</v>
      </c>
      <c r="C1606" s="3">
        <v>40985</v>
      </c>
      <c r="D1606" t="s">
        <v>25</v>
      </c>
      <c r="E1606">
        <v>2</v>
      </c>
      <c r="F1606" s="3">
        <f ca="1">40987+(RANDBETWEEN(1,10))</f>
        <v>40992</v>
      </c>
      <c r="G1606" t="s">
        <v>26</v>
      </c>
      <c r="H1606" t="s">
        <v>27</v>
      </c>
      <c r="I1606" t="s">
        <v>28</v>
      </c>
      <c r="J1606">
        <v>48.055</v>
      </c>
      <c r="K1606">
        <v>0.09</v>
      </c>
      <c r="L1606">
        <v>0.37</v>
      </c>
      <c r="M1606">
        <v>20.79</v>
      </c>
      <c r="N1606">
        <v>-902.38400000000001</v>
      </c>
      <c r="O1606" s="1" t="s">
        <v>53</v>
      </c>
      <c r="P1606" s="1" t="s">
        <v>5045</v>
      </c>
      <c r="Q1606" s="1" t="s">
        <v>5046</v>
      </c>
      <c r="R1606" s="1" t="s">
        <v>100</v>
      </c>
      <c r="S1606" s="1" t="s">
        <v>5047</v>
      </c>
      <c r="T1606" s="1" t="s">
        <v>5048</v>
      </c>
      <c r="U1606" s="2" t="s">
        <v>3813</v>
      </c>
      <c r="V1606" s="2" t="s">
        <v>47</v>
      </c>
      <c r="W1606" s="2" t="s">
        <v>74</v>
      </c>
      <c r="X1606" s="2">
        <v>22.68</v>
      </c>
    </row>
    <row r="1607" spans="1:24" x14ac:dyDescent="0.3">
      <c r="A1607">
        <v>19493</v>
      </c>
      <c r="B1607" t="s">
        <v>5049</v>
      </c>
      <c r="C1607" s="3">
        <v>41095</v>
      </c>
      <c r="D1607" t="s">
        <v>50</v>
      </c>
      <c r="E1607">
        <v>1</v>
      </c>
      <c r="F1607" s="3">
        <f ca="1">41096+(RANDBETWEEN(1,10))</f>
        <v>41106</v>
      </c>
      <c r="G1607" t="s">
        <v>26</v>
      </c>
      <c r="H1607" t="s">
        <v>27</v>
      </c>
      <c r="I1607" t="s">
        <v>97</v>
      </c>
      <c r="J1607">
        <v>33.880000000000003</v>
      </c>
      <c r="K1607">
        <v>0.1</v>
      </c>
      <c r="L1607">
        <v>0.39</v>
      </c>
      <c r="M1607">
        <v>21.63</v>
      </c>
      <c r="N1607">
        <v>-41.475000000000001</v>
      </c>
      <c r="O1607" s="1" t="s">
        <v>53</v>
      </c>
      <c r="P1607" s="1" t="s">
        <v>1720</v>
      </c>
      <c r="Q1607" s="1" t="s">
        <v>1721</v>
      </c>
      <c r="R1607" s="1" t="s">
        <v>56</v>
      </c>
      <c r="S1607" s="1" t="s">
        <v>1722</v>
      </c>
      <c r="T1607" s="1" t="s">
        <v>1723</v>
      </c>
      <c r="U1607" s="2" t="s">
        <v>1445</v>
      </c>
      <c r="V1607" s="2" t="s">
        <v>47</v>
      </c>
      <c r="W1607" s="2" t="s">
        <v>74</v>
      </c>
      <c r="X1607" s="2">
        <v>23.73</v>
      </c>
    </row>
    <row r="1608" spans="1:24" x14ac:dyDescent="0.3">
      <c r="A1608">
        <v>19494</v>
      </c>
      <c r="B1608" t="s">
        <v>5049</v>
      </c>
      <c r="C1608" s="3">
        <v>41095</v>
      </c>
      <c r="D1608" t="s">
        <v>50</v>
      </c>
      <c r="E1608">
        <v>9</v>
      </c>
      <c r="F1608" s="3">
        <f ca="1">41097+(RANDBETWEEN(1,10))</f>
        <v>41105</v>
      </c>
      <c r="G1608" t="s">
        <v>26</v>
      </c>
      <c r="H1608" t="s">
        <v>27</v>
      </c>
      <c r="I1608" t="s">
        <v>97</v>
      </c>
      <c r="J1608">
        <v>216.58</v>
      </c>
      <c r="K1608">
        <v>0.09</v>
      </c>
      <c r="L1608">
        <v>0.37</v>
      </c>
      <c r="M1608">
        <v>19.18</v>
      </c>
      <c r="N1608">
        <v>-190.54349999999999</v>
      </c>
      <c r="O1608" s="1" t="s">
        <v>29</v>
      </c>
      <c r="P1608" s="1" t="s">
        <v>5050</v>
      </c>
      <c r="Q1608" s="1" t="s">
        <v>5051</v>
      </c>
      <c r="R1608" s="1" t="s">
        <v>675</v>
      </c>
      <c r="S1608" s="1" t="s">
        <v>5052</v>
      </c>
      <c r="T1608" s="1" t="s">
        <v>5053</v>
      </c>
      <c r="U1608" s="2" t="s">
        <v>5054</v>
      </c>
      <c r="V1608" s="2" t="s">
        <v>47</v>
      </c>
      <c r="W1608" s="2" t="s">
        <v>111</v>
      </c>
      <c r="X1608" s="2">
        <v>23.835000000000001</v>
      </c>
    </row>
    <row r="1609" spans="1:24" x14ac:dyDescent="0.3">
      <c r="A1609">
        <v>19495</v>
      </c>
      <c r="B1609" t="s">
        <v>5055</v>
      </c>
      <c r="C1609" s="3">
        <v>41144</v>
      </c>
      <c r="D1609" t="s">
        <v>50</v>
      </c>
      <c r="E1609">
        <v>7</v>
      </c>
      <c r="F1609" s="3">
        <f ca="1">41145+(RANDBETWEEN(1,10))</f>
        <v>41152</v>
      </c>
      <c r="G1609" t="s">
        <v>156</v>
      </c>
      <c r="H1609" t="s">
        <v>96</v>
      </c>
      <c r="I1609" t="s">
        <v>28</v>
      </c>
      <c r="J1609">
        <v>503.96499999999997</v>
      </c>
      <c r="K1609">
        <v>0</v>
      </c>
      <c r="L1609">
        <v>0.44</v>
      </c>
      <c r="M1609">
        <v>14.35</v>
      </c>
      <c r="N1609">
        <v>347.73585000000003</v>
      </c>
      <c r="O1609" s="1" t="s">
        <v>87</v>
      </c>
      <c r="P1609" s="1" t="s">
        <v>5056</v>
      </c>
      <c r="Q1609" s="1" t="s">
        <v>5057</v>
      </c>
      <c r="R1609" s="1" t="s">
        <v>90</v>
      </c>
      <c r="S1609" s="1" t="s">
        <v>5058</v>
      </c>
      <c r="T1609" s="1" t="s">
        <v>5059</v>
      </c>
      <c r="U1609" s="2" t="s">
        <v>550</v>
      </c>
      <c r="V1609" s="2" t="s">
        <v>47</v>
      </c>
      <c r="W1609" s="2" t="s">
        <v>104</v>
      </c>
      <c r="X1609" s="2">
        <v>69.44</v>
      </c>
    </row>
    <row r="1610" spans="1:24" x14ac:dyDescent="0.3">
      <c r="A1610">
        <v>19496</v>
      </c>
      <c r="B1610" t="s">
        <v>5060</v>
      </c>
      <c r="C1610" s="3">
        <v>41505</v>
      </c>
      <c r="D1610" t="s">
        <v>50</v>
      </c>
      <c r="E1610">
        <v>10</v>
      </c>
      <c r="F1610" s="3">
        <f ca="1">41507+(RANDBETWEEN(1,10))</f>
        <v>41517</v>
      </c>
      <c r="G1610" t="s">
        <v>26</v>
      </c>
      <c r="H1610" t="s">
        <v>27</v>
      </c>
      <c r="I1610" t="s">
        <v>86</v>
      </c>
      <c r="J1610">
        <v>701.01499999999999</v>
      </c>
      <c r="K1610">
        <v>0.05</v>
      </c>
      <c r="L1610">
        <v>0.38</v>
      </c>
      <c r="M1610">
        <v>20.195</v>
      </c>
      <c r="N1610">
        <v>483.60480000000001</v>
      </c>
      <c r="O1610" s="1" t="s">
        <v>53</v>
      </c>
      <c r="P1610" s="1" t="s">
        <v>5061</v>
      </c>
      <c r="Q1610" s="1" t="s">
        <v>5062</v>
      </c>
      <c r="R1610" s="1" t="s">
        <v>440</v>
      </c>
      <c r="S1610" s="1" t="s">
        <v>5063</v>
      </c>
      <c r="T1610" s="1" t="s">
        <v>5064</v>
      </c>
      <c r="U1610" s="2" t="s">
        <v>5065</v>
      </c>
      <c r="V1610" s="2" t="s">
        <v>47</v>
      </c>
      <c r="W1610" s="2" t="s">
        <v>74</v>
      </c>
      <c r="X1610" s="2">
        <v>69.930000000000007</v>
      </c>
    </row>
    <row r="1611" spans="1:24" x14ac:dyDescent="0.3">
      <c r="A1611">
        <v>19497</v>
      </c>
      <c r="B1611" t="s">
        <v>5066</v>
      </c>
      <c r="C1611" s="3">
        <v>41145</v>
      </c>
      <c r="D1611" t="s">
        <v>62</v>
      </c>
      <c r="E1611">
        <v>16</v>
      </c>
      <c r="F1611" s="3">
        <f ca="1">41145+(RANDBETWEEN(1,10))</f>
        <v>41151</v>
      </c>
      <c r="G1611" t="s">
        <v>26</v>
      </c>
      <c r="H1611" t="s">
        <v>27</v>
      </c>
      <c r="I1611" t="s">
        <v>86</v>
      </c>
      <c r="J1611">
        <v>373.41500000000002</v>
      </c>
      <c r="K1611">
        <v>0.06</v>
      </c>
      <c r="L1611">
        <v>0.37</v>
      </c>
      <c r="M1611">
        <v>33.39</v>
      </c>
      <c r="N1611">
        <v>-359.24979999999999</v>
      </c>
      <c r="O1611" s="1" t="s">
        <v>87</v>
      </c>
      <c r="P1611" s="1" t="s">
        <v>1053</v>
      </c>
      <c r="Q1611" s="1" t="s">
        <v>1054</v>
      </c>
      <c r="R1611" s="1" t="s">
        <v>90</v>
      </c>
      <c r="S1611" s="1" t="s">
        <v>1055</v>
      </c>
      <c r="T1611" s="1" t="s">
        <v>1056</v>
      </c>
      <c r="U1611" s="2" t="s">
        <v>272</v>
      </c>
      <c r="V1611" s="2" t="s">
        <v>47</v>
      </c>
      <c r="W1611" s="2" t="s">
        <v>74</v>
      </c>
      <c r="X1611" s="2">
        <v>22.68</v>
      </c>
    </row>
    <row r="1612" spans="1:24" x14ac:dyDescent="0.3">
      <c r="A1612">
        <v>19498</v>
      </c>
      <c r="B1612" t="s">
        <v>5067</v>
      </c>
      <c r="C1612" s="3">
        <v>41635</v>
      </c>
      <c r="D1612" t="s">
        <v>50</v>
      </c>
      <c r="E1612">
        <v>25</v>
      </c>
      <c r="F1612" s="3">
        <f ca="1">41636+(RANDBETWEEN(1,10))</f>
        <v>41637</v>
      </c>
      <c r="G1612" t="s">
        <v>156</v>
      </c>
      <c r="H1612" t="s">
        <v>51</v>
      </c>
      <c r="I1612" t="s">
        <v>86</v>
      </c>
      <c r="J1612">
        <v>3700.2</v>
      </c>
      <c r="K1612">
        <v>0.04</v>
      </c>
      <c r="L1612">
        <v>0.59</v>
      </c>
      <c r="M1612">
        <v>31.465</v>
      </c>
      <c r="N1612">
        <v>1917.4575</v>
      </c>
      <c r="O1612" s="1" t="s">
        <v>64</v>
      </c>
      <c r="P1612" s="1" t="s">
        <v>5068</v>
      </c>
      <c r="Q1612" s="1" t="s">
        <v>5069</v>
      </c>
      <c r="R1612" s="1" t="s">
        <v>128</v>
      </c>
      <c r="S1612" s="1" t="s">
        <v>1767</v>
      </c>
      <c r="T1612" s="1" t="s">
        <v>1768</v>
      </c>
      <c r="U1612" s="2" t="s">
        <v>2755</v>
      </c>
      <c r="V1612" s="2" t="s">
        <v>47</v>
      </c>
      <c r="W1612" s="2" t="s">
        <v>104</v>
      </c>
      <c r="X1612" s="2">
        <v>143.39500000000001</v>
      </c>
    </row>
    <row r="1613" spans="1:24" x14ac:dyDescent="0.3">
      <c r="A1613">
        <v>19499</v>
      </c>
      <c r="B1613" t="s">
        <v>5067</v>
      </c>
      <c r="C1613" s="3">
        <v>41635</v>
      </c>
      <c r="D1613" t="s">
        <v>50</v>
      </c>
      <c r="E1613">
        <v>17</v>
      </c>
      <c r="F1613" s="3">
        <f ca="1">41635+(RANDBETWEEN(1,10))</f>
        <v>41643</v>
      </c>
      <c r="G1613" t="s">
        <v>26</v>
      </c>
      <c r="H1613" t="s">
        <v>96</v>
      </c>
      <c r="I1613" t="s">
        <v>86</v>
      </c>
      <c r="J1613">
        <v>272.61500000000001</v>
      </c>
      <c r="K1613">
        <v>0.06</v>
      </c>
      <c r="L1613">
        <v>0.85</v>
      </c>
      <c r="M1613">
        <v>2.4500000000000002</v>
      </c>
      <c r="N1613">
        <v>-23.537500000000001</v>
      </c>
      <c r="O1613" s="1" t="s">
        <v>64</v>
      </c>
      <c r="P1613" s="1" t="s">
        <v>5068</v>
      </c>
      <c r="Q1613" s="1" t="s">
        <v>5069</v>
      </c>
      <c r="R1613" s="1" t="s">
        <v>128</v>
      </c>
      <c r="S1613" s="1" t="s">
        <v>1767</v>
      </c>
      <c r="T1613" s="1" t="s">
        <v>1768</v>
      </c>
      <c r="U1613" s="2" t="s">
        <v>2251</v>
      </c>
      <c r="V1613" s="2" t="s">
        <v>47</v>
      </c>
      <c r="W1613" s="2" t="s">
        <v>176</v>
      </c>
      <c r="X1613" s="2">
        <v>16.484999999999999</v>
      </c>
    </row>
    <row r="1614" spans="1:24" x14ac:dyDescent="0.3">
      <c r="A1614">
        <v>1950</v>
      </c>
      <c r="B1614" t="s">
        <v>5070</v>
      </c>
      <c r="C1614" s="3">
        <v>40637</v>
      </c>
      <c r="D1614" t="s">
        <v>148</v>
      </c>
      <c r="E1614">
        <v>47</v>
      </c>
      <c r="F1614" s="3">
        <f ca="1">40639+(RANDBETWEEN(1,10))</f>
        <v>40642</v>
      </c>
      <c r="G1614" t="s">
        <v>26</v>
      </c>
      <c r="H1614" t="s">
        <v>27</v>
      </c>
      <c r="I1614" t="s">
        <v>97</v>
      </c>
      <c r="J1614">
        <v>799.61</v>
      </c>
      <c r="K1614">
        <v>0.01</v>
      </c>
      <c r="L1614">
        <v>0.36</v>
      </c>
      <c r="M1614">
        <v>1.75</v>
      </c>
      <c r="N1614">
        <v>392.21</v>
      </c>
      <c r="O1614" s="1" t="s">
        <v>53</v>
      </c>
      <c r="P1614" s="1" t="s">
        <v>98</v>
      </c>
      <c r="Q1614" s="1" t="s">
        <v>99</v>
      </c>
      <c r="R1614" s="1" t="s">
        <v>100</v>
      </c>
      <c r="S1614" s="1" t="s">
        <v>101</v>
      </c>
      <c r="T1614" s="1" t="s">
        <v>102</v>
      </c>
      <c r="U1614" s="2" t="s">
        <v>1158</v>
      </c>
      <c r="V1614" s="2" t="s">
        <v>47</v>
      </c>
      <c r="W1614" s="2" t="s">
        <v>203</v>
      </c>
      <c r="X1614" s="2">
        <v>17.184999999999999</v>
      </c>
    </row>
    <row r="1615" spans="1:24" x14ac:dyDescent="0.3">
      <c r="A1615">
        <v>19500</v>
      </c>
      <c r="B1615" t="s">
        <v>5071</v>
      </c>
      <c r="C1615" s="3">
        <v>41802</v>
      </c>
      <c r="D1615" t="s">
        <v>25</v>
      </c>
      <c r="E1615">
        <v>1</v>
      </c>
      <c r="F1615" s="3">
        <f ca="1">41802+(RANDBETWEEN(1,10))</f>
        <v>41809</v>
      </c>
      <c r="G1615" t="s">
        <v>26</v>
      </c>
      <c r="H1615" t="s">
        <v>27</v>
      </c>
      <c r="I1615" t="s">
        <v>97</v>
      </c>
      <c r="J1615">
        <v>156.20500000000001</v>
      </c>
      <c r="K1615">
        <v>0.03</v>
      </c>
      <c r="L1615">
        <v>0.39</v>
      </c>
      <c r="M1615">
        <v>10.465</v>
      </c>
      <c r="N1615">
        <v>-40.829599999999999</v>
      </c>
      <c r="O1615" s="1" t="s">
        <v>64</v>
      </c>
      <c r="P1615" s="1" t="s">
        <v>4803</v>
      </c>
      <c r="Q1615" s="1" t="s">
        <v>4804</v>
      </c>
      <c r="R1615" s="1" t="s">
        <v>128</v>
      </c>
      <c r="S1615" s="1" t="s">
        <v>4805</v>
      </c>
      <c r="T1615" s="1" t="s">
        <v>4806</v>
      </c>
      <c r="U1615" s="2" t="s">
        <v>2837</v>
      </c>
      <c r="V1615" s="2" t="s">
        <v>47</v>
      </c>
      <c r="W1615" s="2" t="s">
        <v>111</v>
      </c>
      <c r="X1615" s="2">
        <v>151.935</v>
      </c>
    </row>
    <row r="1616" spans="1:24" x14ac:dyDescent="0.3">
      <c r="A1616">
        <v>19501</v>
      </c>
      <c r="B1616" t="s">
        <v>5072</v>
      </c>
      <c r="C1616" s="3">
        <v>40639</v>
      </c>
      <c r="D1616" t="s">
        <v>39</v>
      </c>
      <c r="E1616">
        <v>13</v>
      </c>
      <c r="F1616" s="3">
        <f ca="1">40639+(RANDBETWEEN(1,10))</f>
        <v>40642</v>
      </c>
      <c r="G1616" t="s">
        <v>26</v>
      </c>
      <c r="H1616" t="s">
        <v>96</v>
      </c>
      <c r="I1616" t="s">
        <v>52</v>
      </c>
      <c r="J1616">
        <v>553.45500000000004</v>
      </c>
      <c r="K1616">
        <v>0.09</v>
      </c>
      <c r="L1616">
        <v>0.82</v>
      </c>
      <c r="M1616">
        <v>16.065000000000001</v>
      </c>
      <c r="N1616">
        <v>-612.95500000000004</v>
      </c>
      <c r="O1616" s="1" t="s">
        <v>40</v>
      </c>
      <c r="P1616" s="1" t="s">
        <v>5073</v>
      </c>
      <c r="Q1616" s="1" t="s">
        <v>5074</v>
      </c>
      <c r="R1616" s="1" t="s">
        <v>43</v>
      </c>
      <c r="S1616" s="1" t="s">
        <v>5075</v>
      </c>
      <c r="T1616" s="1" t="s">
        <v>5076</v>
      </c>
      <c r="U1616" s="2" t="s">
        <v>5077</v>
      </c>
      <c r="V1616" s="2" t="s">
        <v>47</v>
      </c>
      <c r="W1616" s="2" t="s">
        <v>94</v>
      </c>
      <c r="X1616" s="2">
        <v>45.08</v>
      </c>
    </row>
    <row r="1617" spans="1:24" x14ac:dyDescent="0.3">
      <c r="A1617">
        <v>19502</v>
      </c>
      <c r="B1617" t="s">
        <v>5072</v>
      </c>
      <c r="C1617" s="3">
        <v>40639</v>
      </c>
      <c r="D1617" t="s">
        <v>39</v>
      </c>
      <c r="E1617">
        <v>4</v>
      </c>
      <c r="F1617" s="3">
        <f ca="1">40640+(RANDBETWEEN(1,10))</f>
        <v>40642</v>
      </c>
      <c r="G1617" t="s">
        <v>156</v>
      </c>
      <c r="H1617" t="s">
        <v>27</v>
      </c>
      <c r="I1617" t="s">
        <v>52</v>
      </c>
      <c r="J1617">
        <v>570.53499999999997</v>
      </c>
      <c r="K1617">
        <v>0.02</v>
      </c>
      <c r="L1617">
        <v>0.56999999999999995</v>
      </c>
      <c r="M1617">
        <v>17.465</v>
      </c>
      <c r="N1617">
        <v>13.86</v>
      </c>
      <c r="O1617" s="1" t="s">
        <v>64</v>
      </c>
      <c r="P1617" s="1" t="s">
        <v>5078</v>
      </c>
      <c r="Q1617" s="1" t="s">
        <v>5079</v>
      </c>
      <c r="R1617" s="1" t="s">
        <v>128</v>
      </c>
      <c r="S1617" s="1" t="s">
        <v>5080</v>
      </c>
      <c r="T1617" s="1" t="s">
        <v>5081</v>
      </c>
      <c r="U1617" s="2" t="s">
        <v>5082</v>
      </c>
      <c r="V1617" s="2" t="s">
        <v>36</v>
      </c>
      <c r="W1617" s="2" t="s">
        <v>37</v>
      </c>
      <c r="X1617" s="2">
        <v>160.965</v>
      </c>
    </row>
    <row r="1618" spans="1:24" x14ac:dyDescent="0.3">
      <c r="A1618">
        <v>19503</v>
      </c>
      <c r="B1618" t="s">
        <v>5083</v>
      </c>
      <c r="C1618" s="3">
        <v>41208</v>
      </c>
      <c r="D1618" t="s">
        <v>39</v>
      </c>
      <c r="E1618">
        <v>8</v>
      </c>
      <c r="F1618" s="3">
        <f ca="1">41210+(RANDBETWEEN(1,10))</f>
        <v>41219</v>
      </c>
      <c r="G1618" t="s">
        <v>26</v>
      </c>
      <c r="H1618" t="s">
        <v>27</v>
      </c>
      <c r="I1618" t="s">
        <v>97</v>
      </c>
      <c r="J1618">
        <v>470.78500000000003</v>
      </c>
      <c r="K1618">
        <v>0.02</v>
      </c>
      <c r="L1618">
        <v>0.36</v>
      </c>
      <c r="M1618">
        <v>38.185000000000002</v>
      </c>
      <c r="N1618">
        <v>-103.0239</v>
      </c>
      <c r="O1618" s="1" t="s">
        <v>29</v>
      </c>
      <c r="P1618" s="1" t="s">
        <v>852</v>
      </c>
      <c r="Q1618" s="1" t="s">
        <v>853</v>
      </c>
      <c r="R1618" s="1" t="s">
        <v>460</v>
      </c>
      <c r="S1618" s="1" t="s">
        <v>854</v>
      </c>
      <c r="T1618" s="1" t="s">
        <v>855</v>
      </c>
      <c r="U1618" s="2" t="s">
        <v>5084</v>
      </c>
      <c r="V1618" s="2" t="s">
        <v>47</v>
      </c>
      <c r="W1618" s="2" t="s">
        <v>111</v>
      </c>
      <c r="X1618" s="2">
        <v>53.48</v>
      </c>
    </row>
    <row r="1619" spans="1:24" x14ac:dyDescent="0.3">
      <c r="A1619">
        <v>19504</v>
      </c>
      <c r="B1619" t="s">
        <v>5083</v>
      </c>
      <c r="C1619" s="3">
        <v>41208</v>
      </c>
      <c r="D1619" t="s">
        <v>39</v>
      </c>
      <c r="E1619">
        <v>18</v>
      </c>
      <c r="F1619" s="3">
        <f ca="1">41209+(RANDBETWEEN(1,10))</f>
        <v>41211</v>
      </c>
      <c r="G1619" t="s">
        <v>76</v>
      </c>
      <c r="H1619" t="s">
        <v>258</v>
      </c>
      <c r="I1619" t="s">
        <v>97</v>
      </c>
      <c r="J1619">
        <v>19609.52</v>
      </c>
      <c r="K1619">
        <v>0.01</v>
      </c>
      <c r="L1619">
        <v>0.55000000000000004</v>
      </c>
      <c r="M1619">
        <v>192.22</v>
      </c>
      <c r="N1619">
        <v>9757.1152000000002</v>
      </c>
      <c r="O1619" s="1" t="s">
        <v>29</v>
      </c>
      <c r="P1619" s="1" t="s">
        <v>852</v>
      </c>
      <c r="Q1619" s="1" t="s">
        <v>853</v>
      </c>
      <c r="R1619" s="1" t="s">
        <v>460</v>
      </c>
      <c r="S1619" s="1" t="s">
        <v>854</v>
      </c>
      <c r="T1619" s="1" t="s">
        <v>855</v>
      </c>
      <c r="U1619" s="2" t="s">
        <v>5085</v>
      </c>
      <c r="V1619" s="2" t="s">
        <v>83</v>
      </c>
      <c r="W1619" s="2" t="s">
        <v>298</v>
      </c>
      <c r="X1619" s="2">
        <v>1053.43</v>
      </c>
    </row>
    <row r="1620" spans="1:24" x14ac:dyDescent="0.3">
      <c r="A1620">
        <v>19505</v>
      </c>
      <c r="B1620" t="s">
        <v>5086</v>
      </c>
      <c r="C1620" s="3">
        <v>40872</v>
      </c>
      <c r="D1620" t="s">
        <v>25</v>
      </c>
      <c r="E1620">
        <v>20</v>
      </c>
      <c r="F1620" s="3">
        <f ca="1">40879+(RANDBETWEEN(1,10))</f>
        <v>40881</v>
      </c>
      <c r="G1620" t="s">
        <v>26</v>
      </c>
      <c r="H1620" t="s">
        <v>27</v>
      </c>
      <c r="I1620" t="s">
        <v>52</v>
      </c>
      <c r="J1620">
        <v>7367.4650000000001</v>
      </c>
      <c r="K1620">
        <v>0.09</v>
      </c>
      <c r="L1620">
        <v>0.55000000000000004</v>
      </c>
      <c r="M1620">
        <v>31.465</v>
      </c>
      <c r="N1620">
        <v>3208.3820999999998</v>
      </c>
      <c r="O1620" s="1" t="s">
        <v>40</v>
      </c>
      <c r="P1620" s="1" t="s">
        <v>1906</v>
      </c>
      <c r="Q1620" s="1" t="s">
        <v>1907</v>
      </c>
      <c r="R1620" s="1" t="s">
        <v>220</v>
      </c>
      <c r="S1620" s="1" t="s">
        <v>1908</v>
      </c>
      <c r="T1620" s="1" t="s">
        <v>1909</v>
      </c>
      <c r="U1620" s="2" t="s">
        <v>187</v>
      </c>
      <c r="V1620" s="2" t="s">
        <v>36</v>
      </c>
      <c r="W1620" s="2" t="s">
        <v>37</v>
      </c>
      <c r="X1620" s="2">
        <v>440.96499999999997</v>
      </c>
    </row>
    <row r="1621" spans="1:24" x14ac:dyDescent="0.3">
      <c r="A1621">
        <v>19506</v>
      </c>
      <c r="B1621" t="s">
        <v>5087</v>
      </c>
      <c r="C1621" s="3">
        <v>40778</v>
      </c>
      <c r="D1621" t="s">
        <v>62</v>
      </c>
      <c r="E1621">
        <v>16</v>
      </c>
      <c r="F1621" s="3">
        <f ca="1">40780+(RANDBETWEEN(1,10))</f>
        <v>40781</v>
      </c>
      <c r="G1621" t="s">
        <v>26</v>
      </c>
      <c r="H1621" t="s">
        <v>51</v>
      </c>
      <c r="I1621" t="s">
        <v>28</v>
      </c>
      <c r="J1621">
        <v>101.78</v>
      </c>
      <c r="K1621">
        <v>0.04</v>
      </c>
      <c r="L1621">
        <v>0.53</v>
      </c>
      <c r="M1621">
        <v>14.28</v>
      </c>
      <c r="N1621">
        <v>32.381999999999998</v>
      </c>
      <c r="O1621" s="1" t="s">
        <v>87</v>
      </c>
      <c r="P1621" s="1" t="s">
        <v>4361</v>
      </c>
      <c r="Q1621" s="1" t="s">
        <v>4362</v>
      </c>
      <c r="R1621" s="1" t="s">
        <v>646</v>
      </c>
      <c r="S1621" s="1" t="s">
        <v>4363</v>
      </c>
      <c r="T1621" s="1" t="s">
        <v>4364</v>
      </c>
      <c r="U1621" s="2" t="s">
        <v>2747</v>
      </c>
      <c r="V1621" s="2" t="s">
        <v>83</v>
      </c>
      <c r="W1621" s="2" t="s">
        <v>178</v>
      </c>
      <c r="X1621" s="2">
        <v>6.09</v>
      </c>
    </row>
    <row r="1622" spans="1:24" x14ac:dyDescent="0.3">
      <c r="A1622">
        <v>19507</v>
      </c>
      <c r="B1622" t="s">
        <v>5087</v>
      </c>
      <c r="C1622" s="3">
        <v>40778</v>
      </c>
      <c r="D1622" t="s">
        <v>62</v>
      </c>
      <c r="E1622">
        <v>21</v>
      </c>
      <c r="F1622" s="3">
        <f ca="1">40779+(RANDBETWEEN(1,10))</f>
        <v>40781</v>
      </c>
      <c r="G1622" t="s">
        <v>76</v>
      </c>
      <c r="H1622" t="s">
        <v>258</v>
      </c>
      <c r="I1622" t="s">
        <v>28</v>
      </c>
      <c r="J1622">
        <v>8993.4950000000008</v>
      </c>
      <c r="K1622">
        <v>0.01</v>
      </c>
      <c r="L1622">
        <v>0.39</v>
      </c>
      <c r="M1622">
        <v>196.49</v>
      </c>
      <c r="N1622">
        <v>-4189.6469999999999</v>
      </c>
      <c r="O1622" s="1" t="s">
        <v>87</v>
      </c>
      <c r="P1622" s="1" t="s">
        <v>4361</v>
      </c>
      <c r="Q1622" s="1" t="s">
        <v>4362</v>
      </c>
      <c r="R1622" s="1" t="s">
        <v>646</v>
      </c>
      <c r="S1622" s="1" t="s">
        <v>4363</v>
      </c>
      <c r="T1622" s="1" t="s">
        <v>4364</v>
      </c>
      <c r="U1622" s="2" t="s">
        <v>5088</v>
      </c>
      <c r="V1622" s="2" t="s">
        <v>36</v>
      </c>
      <c r="W1622" s="2" t="s">
        <v>142</v>
      </c>
      <c r="X1622" s="2">
        <v>419.96499999999997</v>
      </c>
    </row>
    <row r="1623" spans="1:24" x14ac:dyDescent="0.3">
      <c r="A1623">
        <v>19508</v>
      </c>
      <c r="B1623" t="s">
        <v>5089</v>
      </c>
      <c r="C1623" s="3">
        <v>40945</v>
      </c>
      <c r="D1623" t="s">
        <v>25</v>
      </c>
      <c r="E1623">
        <v>7</v>
      </c>
      <c r="F1623" s="3">
        <f ca="1">40945+(RANDBETWEEN(1,10))</f>
        <v>40955</v>
      </c>
      <c r="G1623" t="s">
        <v>76</v>
      </c>
      <c r="H1623" t="s">
        <v>77</v>
      </c>
      <c r="I1623" t="s">
        <v>86</v>
      </c>
      <c r="J1623">
        <v>4672.29</v>
      </c>
      <c r="K1623">
        <v>0.03</v>
      </c>
      <c r="L1623">
        <v>0.69</v>
      </c>
      <c r="M1623">
        <v>105</v>
      </c>
      <c r="N1623">
        <v>2119.04</v>
      </c>
      <c r="O1623" s="1" t="s">
        <v>29</v>
      </c>
      <c r="P1623" s="1" t="s">
        <v>4563</v>
      </c>
      <c r="Q1623" s="1" t="s">
        <v>4564</v>
      </c>
      <c r="R1623" s="1" t="s">
        <v>460</v>
      </c>
      <c r="S1623" s="1" t="s">
        <v>4565</v>
      </c>
      <c r="T1623" s="1" t="s">
        <v>4566</v>
      </c>
      <c r="U1623" s="2" t="s">
        <v>5090</v>
      </c>
      <c r="V1623" s="2" t="s">
        <v>83</v>
      </c>
      <c r="W1623" s="2" t="s">
        <v>84</v>
      </c>
      <c r="X1623" s="2">
        <v>633.42999999999995</v>
      </c>
    </row>
    <row r="1624" spans="1:24" x14ac:dyDescent="0.3">
      <c r="A1624">
        <v>19509</v>
      </c>
      <c r="B1624" t="s">
        <v>5091</v>
      </c>
      <c r="C1624" s="3">
        <v>41343</v>
      </c>
      <c r="D1624" t="s">
        <v>148</v>
      </c>
      <c r="E1624">
        <v>6</v>
      </c>
      <c r="F1624" s="3">
        <f ca="1">41343+(RANDBETWEEN(1,10))</f>
        <v>41352</v>
      </c>
      <c r="G1624" t="s">
        <v>26</v>
      </c>
      <c r="H1624" t="s">
        <v>27</v>
      </c>
      <c r="I1624" t="s">
        <v>86</v>
      </c>
      <c r="J1624">
        <v>123.55</v>
      </c>
      <c r="K1624">
        <v>0.06</v>
      </c>
      <c r="L1624">
        <v>0.39</v>
      </c>
      <c r="M1624">
        <v>17.535</v>
      </c>
      <c r="N1624">
        <v>-172.63225</v>
      </c>
      <c r="O1624" s="1" t="s">
        <v>87</v>
      </c>
      <c r="P1624" s="1" t="s">
        <v>4297</v>
      </c>
      <c r="Q1624" s="1" t="s">
        <v>4298</v>
      </c>
      <c r="R1624" s="1" t="s">
        <v>90</v>
      </c>
      <c r="S1624" s="1" t="s">
        <v>4299</v>
      </c>
      <c r="T1624" s="1" t="s">
        <v>4300</v>
      </c>
      <c r="U1624" s="2" t="s">
        <v>2422</v>
      </c>
      <c r="V1624" s="2" t="s">
        <v>47</v>
      </c>
      <c r="W1624" s="2" t="s">
        <v>111</v>
      </c>
      <c r="X1624" s="2">
        <v>20.09</v>
      </c>
    </row>
    <row r="1625" spans="1:24" x14ac:dyDescent="0.3">
      <c r="A1625">
        <v>1951</v>
      </c>
      <c r="B1625" t="s">
        <v>5070</v>
      </c>
      <c r="C1625" s="3">
        <v>40637</v>
      </c>
      <c r="D1625" t="s">
        <v>148</v>
      </c>
      <c r="E1625">
        <v>19</v>
      </c>
      <c r="F1625" s="3">
        <f ca="1">40639+(RANDBETWEEN(1,10))</f>
        <v>40645</v>
      </c>
      <c r="G1625" t="s">
        <v>156</v>
      </c>
      <c r="H1625" t="s">
        <v>96</v>
      </c>
      <c r="I1625" t="s">
        <v>97</v>
      </c>
      <c r="J1625">
        <v>271.63499999999999</v>
      </c>
      <c r="K1625">
        <v>0.09</v>
      </c>
      <c r="L1625">
        <v>0.37</v>
      </c>
      <c r="M1625">
        <v>4.55</v>
      </c>
      <c r="N1625">
        <v>58.765000000000001</v>
      </c>
      <c r="O1625" s="1" t="s">
        <v>53</v>
      </c>
      <c r="P1625" s="1" t="s">
        <v>98</v>
      </c>
      <c r="Q1625" s="1" t="s">
        <v>99</v>
      </c>
      <c r="R1625" s="1" t="s">
        <v>100</v>
      </c>
      <c r="S1625" s="1" t="s">
        <v>101</v>
      </c>
      <c r="T1625" s="1" t="s">
        <v>102</v>
      </c>
      <c r="U1625" s="2" t="s">
        <v>2823</v>
      </c>
      <c r="V1625" s="2" t="s">
        <v>47</v>
      </c>
      <c r="W1625" s="2" t="s">
        <v>74</v>
      </c>
      <c r="X1625" s="2">
        <v>14</v>
      </c>
    </row>
    <row r="1626" spans="1:24" x14ac:dyDescent="0.3">
      <c r="A1626">
        <v>19510</v>
      </c>
      <c r="B1626" t="s">
        <v>5092</v>
      </c>
      <c r="C1626" s="3">
        <v>41680</v>
      </c>
      <c r="D1626" t="s">
        <v>62</v>
      </c>
      <c r="E1626">
        <v>4</v>
      </c>
      <c r="F1626" s="3">
        <f ca="1">41682+(RANDBETWEEN(1,10))</f>
        <v>41691</v>
      </c>
      <c r="G1626" t="s">
        <v>156</v>
      </c>
      <c r="H1626" t="s">
        <v>27</v>
      </c>
      <c r="I1626" t="s">
        <v>28</v>
      </c>
      <c r="J1626">
        <v>1281.3499999999999</v>
      </c>
      <c r="K1626">
        <v>0.09</v>
      </c>
      <c r="L1626">
        <v>0.56999999999999995</v>
      </c>
      <c r="M1626">
        <v>20.965</v>
      </c>
      <c r="N1626">
        <v>-315.43049999999999</v>
      </c>
      <c r="O1626" s="1" t="s">
        <v>40</v>
      </c>
      <c r="P1626" s="1" t="s">
        <v>957</v>
      </c>
      <c r="Q1626" s="1" t="s">
        <v>958</v>
      </c>
      <c r="R1626" s="1" t="s">
        <v>220</v>
      </c>
      <c r="S1626" s="1" t="s">
        <v>959</v>
      </c>
      <c r="T1626" s="1" t="s">
        <v>960</v>
      </c>
      <c r="U1626" s="2">
        <v>2160</v>
      </c>
      <c r="V1626" s="2" t="s">
        <v>36</v>
      </c>
      <c r="W1626" s="2" t="s">
        <v>37</v>
      </c>
      <c r="X1626" s="2">
        <v>405.96499999999997</v>
      </c>
    </row>
    <row r="1627" spans="1:24" x14ac:dyDescent="0.3">
      <c r="A1627">
        <v>19511</v>
      </c>
      <c r="B1627" t="s">
        <v>5093</v>
      </c>
      <c r="C1627" s="3">
        <v>40995</v>
      </c>
      <c r="D1627" t="s">
        <v>39</v>
      </c>
      <c r="E1627">
        <v>11</v>
      </c>
      <c r="F1627" s="3">
        <f ca="1">40995+(RANDBETWEEN(1,10))</f>
        <v>40997</v>
      </c>
      <c r="G1627" t="s">
        <v>26</v>
      </c>
      <c r="H1627" t="s">
        <v>63</v>
      </c>
      <c r="I1627" t="s">
        <v>28</v>
      </c>
      <c r="J1627">
        <v>1870.855</v>
      </c>
      <c r="K1627">
        <v>7.0000000000000007E-2</v>
      </c>
      <c r="L1627">
        <v>0.83</v>
      </c>
      <c r="M1627">
        <v>122.5</v>
      </c>
      <c r="N1627">
        <v>-4311.5450000000001</v>
      </c>
      <c r="O1627" s="1" t="s">
        <v>40</v>
      </c>
      <c r="P1627" s="1" t="s">
        <v>5094</v>
      </c>
      <c r="Q1627" s="1" t="s">
        <v>5095</v>
      </c>
      <c r="R1627" s="1" t="s">
        <v>43</v>
      </c>
      <c r="S1627" s="1" t="s">
        <v>5096</v>
      </c>
      <c r="T1627" s="1" t="s">
        <v>5097</v>
      </c>
      <c r="U1627" s="2" t="s">
        <v>279</v>
      </c>
      <c r="V1627" s="2" t="s">
        <v>47</v>
      </c>
      <c r="W1627" s="2" t="s">
        <v>119</v>
      </c>
      <c r="X1627" s="2">
        <v>171.185</v>
      </c>
    </row>
    <row r="1628" spans="1:24" x14ac:dyDescent="0.3">
      <c r="A1628">
        <v>19512</v>
      </c>
      <c r="B1628" t="s">
        <v>5098</v>
      </c>
      <c r="C1628" s="3">
        <v>41590</v>
      </c>
      <c r="D1628" t="s">
        <v>39</v>
      </c>
      <c r="E1628">
        <v>8</v>
      </c>
      <c r="F1628" s="3">
        <f ca="1">41592+(RANDBETWEEN(1,10))</f>
        <v>41593</v>
      </c>
      <c r="G1628" t="s">
        <v>26</v>
      </c>
      <c r="H1628" t="s">
        <v>281</v>
      </c>
      <c r="I1628" t="s">
        <v>86</v>
      </c>
      <c r="J1628">
        <v>565.17999999999995</v>
      </c>
      <c r="K1628">
        <v>0</v>
      </c>
      <c r="L1628">
        <v>0.4</v>
      </c>
      <c r="M1628">
        <v>29.785</v>
      </c>
      <c r="N1628">
        <v>19.232220000000002</v>
      </c>
      <c r="O1628" s="1" t="s">
        <v>87</v>
      </c>
      <c r="P1628" s="1" t="s">
        <v>1053</v>
      </c>
      <c r="Q1628" s="1" t="s">
        <v>1054</v>
      </c>
      <c r="R1628" s="1" t="s">
        <v>90</v>
      </c>
      <c r="S1628" s="1" t="s">
        <v>1055</v>
      </c>
      <c r="T1628" s="1" t="s">
        <v>1056</v>
      </c>
      <c r="U1628" s="2" t="s">
        <v>282</v>
      </c>
      <c r="V1628" s="2" t="s">
        <v>36</v>
      </c>
      <c r="W1628" s="2" t="s">
        <v>142</v>
      </c>
      <c r="X1628" s="2">
        <v>62.93</v>
      </c>
    </row>
    <row r="1629" spans="1:24" x14ac:dyDescent="0.3">
      <c r="A1629">
        <v>19513</v>
      </c>
      <c r="B1629" t="s">
        <v>5099</v>
      </c>
      <c r="C1629" s="3">
        <v>41642</v>
      </c>
      <c r="D1629" t="s">
        <v>148</v>
      </c>
      <c r="E1629">
        <v>4</v>
      </c>
      <c r="F1629" s="3">
        <f ca="1">41644+(RANDBETWEEN(1,10))</f>
        <v>41648</v>
      </c>
      <c r="G1629" t="s">
        <v>26</v>
      </c>
      <c r="H1629" t="s">
        <v>27</v>
      </c>
      <c r="I1629" t="s">
        <v>52</v>
      </c>
      <c r="J1629">
        <v>1170.0150000000001</v>
      </c>
      <c r="K1629">
        <v>0.04</v>
      </c>
      <c r="L1629">
        <v>0.56999999999999995</v>
      </c>
      <c r="M1629">
        <v>31.465</v>
      </c>
      <c r="N1629">
        <v>11.22786</v>
      </c>
      <c r="O1629" s="1" t="s">
        <v>53</v>
      </c>
      <c r="P1629" s="1" t="s">
        <v>5100</v>
      </c>
      <c r="Q1629" s="1" t="s">
        <v>5101</v>
      </c>
      <c r="R1629" s="1" t="s">
        <v>440</v>
      </c>
      <c r="S1629" s="1" t="s">
        <v>3428</v>
      </c>
      <c r="T1629" s="1" t="s">
        <v>3429</v>
      </c>
      <c r="U1629" s="2" t="s">
        <v>5003</v>
      </c>
      <c r="V1629" s="2" t="s">
        <v>36</v>
      </c>
      <c r="W1629" s="2" t="s">
        <v>37</v>
      </c>
      <c r="X1629" s="2">
        <v>335.96499999999997</v>
      </c>
    </row>
    <row r="1630" spans="1:24" x14ac:dyDescent="0.3">
      <c r="A1630">
        <v>19514</v>
      </c>
      <c r="B1630" t="s">
        <v>5102</v>
      </c>
      <c r="C1630" s="3">
        <v>41864</v>
      </c>
      <c r="D1630" t="s">
        <v>148</v>
      </c>
      <c r="E1630">
        <v>25</v>
      </c>
      <c r="F1630" s="3">
        <f ca="1">41864+(RANDBETWEEN(1,10))</f>
        <v>41865</v>
      </c>
      <c r="G1630" t="s">
        <v>26</v>
      </c>
      <c r="H1630" t="s">
        <v>27</v>
      </c>
      <c r="I1630" t="s">
        <v>28</v>
      </c>
      <c r="J1630">
        <v>337.96</v>
      </c>
      <c r="K1630">
        <v>0.08</v>
      </c>
      <c r="L1630">
        <v>0.37</v>
      </c>
      <c r="M1630">
        <v>24.535</v>
      </c>
      <c r="N1630">
        <v>-391.42577599999998</v>
      </c>
      <c r="O1630" s="1" t="s">
        <v>40</v>
      </c>
      <c r="P1630" s="1" t="s">
        <v>4794</v>
      </c>
      <c r="Q1630" s="1" t="s">
        <v>4795</v>
      </c>
      <c r="R1630" s="1" t="s">
        <v>220</v>
      </c>
      <c r="S1630" s="1" t="s">
        <v>4517</v>
      </c>
      <c r="T1630" s="1" t="s">
        <v>4518</v>
      </c>
      <c r="U1630" s="2" t="s">
        <v>2043</v>
      </c>
      <c r="V1630" s="2" t="s">
        <v>47</v>
      </c>
      <c r="W1630" s="2" t="s">
        <v>111</v>
      </c>
      <c r="X1630" s="2">
        <v>13.615</v>
      </c>
    </row>
    <row r="1631" spans="1:24" x14ac:dyDescent="0.3">
      <c r="A1631">
        <v>19515</v>
      </c>
      <c r="B1631" t="s">
        <v>5103</v>
      </c>
      <c r="C1631" s="3">
        <v>40632</v>
      </c>
      <c r="D1631" t="s">
        <v>148</v>
      </c>
      <c r="E1631">
        <v>12</v>
      </c>
      <c r="F1631" s="3">
        <f ca="1">40633+(RANDBETWEEN(1,10))</f>
        <v>40643</v>
      </c>
      <c r="G1631" t="s">
        <v>76</v>
      </c>
      <c r="H1631" t="s">
        <v>258</v>
      </c>
      <c r="I1631" t="s">
        <v>86</v>
      </c>
      <c r="J1631">
        <v>3149.335</v>
      </c>
      <c r="K1631">
        <v>0.1</v>
      </c>
      <c r="L1631">
        <v>0.4</v>
      </c>
      <c r="M1631">
        <v>105.21</v>
      </c>
      <c r="N1631">
        <v>448.08855</v>
      </c>
      <c r="O1631" s="1" t="s">
        <v>53</v>
      </c>
      <c r="P1631" s="1" t="s">
        <v>5104</v>
      </c>
      <c r="Q1631" s="1" t="s">
        <v>5105</v>
      </c>
      <c r="R1631" s="1" t="s">
        <v>440</v>
      </c>
      <c r="S1631" s="1" t="s">
        <v>5106</v>
      </c>
      <c r="T1631" s="1" t="s">
        <v>5107</v>
      </c>
      <c r="U1631" s="2" t="s">
        <v>286</v>
      </c>
      <c r="V1631" s="2" t="s">
        <v>36</v>
      </c>
      <c r="W1631" s="2" t="s">
        <v>142</v>
      </c>
      <c r="X1631" s="2">
        <v>283.39499999999998</v>
      </c>
    </row>
    <row r="1632" spans="1:24" x14ac:dyDescent="0.3">
      <c r="A1632">
        <v>19516</v>
      </c>
      <c r="B1632" t="s">
        <v>5108</v>
      </c>
      <c r="C1632" s="3">
        <v>41949</v>
      </c>
      <c r="D1632" t="s">
        <v>50</v>
      </c>
      <c r="E1632">
        <v>13</v>
      </c>
      <c r="F1632" s="3">
        <f ca="1">41949+(RANDBETWEEN(1,10))</f>
        <v>41950</v>
      </c>
      <c r="G1632" t="s">
        <v>26</v>
      </c>
      <c r="H1632" t="s">
        <v>63</v>
      </c>
      <c r="I1632" t="s">
        <v>28</v>
      </c>
      <c r="J1632">
        <v>2201.64</v>
      </c>
      <c r="K1632">
        <v>0.1</v>
      </c>
      <c r="L1632">
        <v>0.55000000000000004</v>
      </c>
      <c r="M1632">
        <v>77.84</v>
      </c>
      <c r="N1632">
        <v>-82.908000000000001</v>
      </c>
      <c r="O1632" s="1" t="s">
        <v>64</v>
      </c>
      <c r="P1632" s="1" t="s">
        <v>2942</v>
      </c>
      <c r="Q1632" s="1" t="s">
        <v>2943</v>
      </c>
      <c r="R1632" s="1" t="s">
        <v>67</v>
      </c>
      <c r="S1632" s="1" t="s">
        <v>2944</v>
      </c>
      <c r="T1632" s="1" t="s">
        <v>2945</v>
      </c>
      <c r="U1632" s="2" t="s">
        <v>5109</v>
      </c>
      <c r="V1632" s="2" t="s">
        <v>83</v>
      </c>
      <c r="W1632" s="2" t="s">
        <v>178</v>
      </c>
      <c r="X1632" s="2">
        <v>178.43</v>
      </c>
    </row>
    <row r="1633" spans="1:24" x14ac:dyDescent="0.3">
      <c r="A1633">
        <v>19517</v>
      </c>
      <c r="B1633" t="s">
        <v>5110</v>
      </c>
      <c r="C1633" s="3">
        <v>40634</v>
      </c>
      <c r="D1633" t="s">
        <v>62</v>
      </c>
      <c r="E1633">
        <v>2</v>
      </c>
      <c r="F1633" s="3">
        <f ca="1">40635+(RANDBETWEEN(1,10))</f>
        <v>40641</v>
      </c>
      <c r="G1633" t="s">
        <v>76</v>
      </c>
      <c r="H1633" t="s">
        <v>77</v>
      </c>
      <c r="I1633" t="s">
        <v>86</v>
      </c>
      <c r="J1633">
        <v>440.65</v>
      </c>
      <c r="K1633">
        <v>0.06</v>
      </c>
      <c r="L1633">
        <v>0.7</v>
      </c>
      <c r="M1633">
        <v>105</v>
      </c>
      <c r="N1633">
        <v>-259.30799999999999</v>
      </c>
      <c r="O1633" s="1" t="s">
        <v>87</v>
      </c>
      <c r="P1633" s="1" t="s">
        <v>944</v>
      </c>
      <c r="Q1633" s="1" t="s">
        <v>945</v>
      </c>
      <c r="R1633" s="1" t="s">
        <v>90</v>
      </c>
      <c r="S1633" s="1" t="s">
        <v>946</v>
      </c>
      <c r="T1633" s="1" t="s">
        <v>947</v>
      </c>
      <c r="U1633" s="2" t="s">
        <v>5111</v>
      </c>
      <c r="V1633" s="2" t="s">
        <v>83</v>
      </c>
      <c r="W1633" s="2" t="s">
        <v>84</v>
      </c>
      <c r="X1633" s="2">
        <v>213.43</v>
      </c>
    </row>
    <row r="1634" spans="1:24" x14ac:dyDescent="0.3">
      <c r="A1634">
        <v>19518</v>
      </c>
      <c r="B1634" t="s">
        <v>5112</v>
      </c>
      <c r="C1634" s="3">
        <v>41551</v>
      </c>
      <c r="D1634" t="s">
        <v>148</v>
      </c>
      <c r="E1634">
        <v>7</v>
      </c>
      <c r="F1634" s="3">
        <f ca="1">41553+(RANDBETWEEN(1,10))</f>
        <v>41555</v>
      </c>
      <c r="G1634" t="s">
        <v>26</v>
      </c>
      <c r="H1634" t="s">
        <v>51</v>
      </c>
      <c r="I1634" t="s">
        <v>86</v>
      </c>
      <c r="J1634">
        <v>794.5</v>
      </c>
      <c r="K1634">
        <v>0</v>
      </c>
      <c r="L1634">
        <v>0.44</v>
      </c>
      <c r="M1634">
        <v>13.72</v>
      </c>
      <c r="N1634">
        <v>-175.17500000000001</v>
      </c>
      <c r="O1634" s="1" t="s">
        <v>87</v>
      </c>
      <c r="P1634" s="1" t="s">
        <v>4001</v>
      </c>
      <c r="Q1634" s="1" t="s">
        <v>4002</v>
      </c>
      <c r="R1634" s="1" t="s">
        <v>398</v>
      </c>
      <c r="S1634" s="1" t="s">
        <v>4003</v>
      </c>
      <c r="T1634" s="1" t="s">
        <v>4004</v>
      </c>
      <c r="U1634" s="2" t="s">
        <v>449</v>
      </c>
      <c r="V1634" s="2" t="s">
        <v>83</v>
      </c>
      <c r="W1634" s="2" t="s">
        <v>178</v>
      </c>
      <c r="X1634" s="2">
        <v>108.255</v>
      </c>
    </row>
    <row r="1635" spans="1:24" x14ac:dyDescent="0.3">
      <c r="A1635">
        <v>19519</v>
      </c>
      <c r="B1635" t="s">
        <v>5112</v>
      </c>
      <c r="C1635" s="3">
        <v>41551</v>
      </c>
      <c r="D1635" t="s">
        <v>148</v>
      </c>
      <c r="E1635">
        <v>3</v>
      </c>
      <c r="F1635" s="3">
        <f ca="1">41553+(RANDBETWEEN(1,10))</f>
        <v>41559</v>
      </c>
      <c r="G1635" t="s">
        <v>156</v>
      </c>
      <c r="H1635" t="s">
        <v>27</v>
      </c>
      <c r="I1635" t="s">
        <v>86</v>
      </c>
      <c r="J1635">
        <v>217.42</v>
      </c>
      <c r="K1635">
        <v>0.08</v>
      </c>
      <c r="L1635">
        <v>0.38</v>
      </c>
      <c r="M1635">
        <v>20.51</v>
      </c>
      <c r="N1635">
        <v>-3070.3890000000001</v>
      </c>
      <c r="O1635" s="1" t="s">
        <v>87</v>
      </c>
      <c r="P1635" s="1" t="s">
        <v>4001</v>
      </c>
      <c r="Q1635" s="1" t="s">
        <v>4002</v>
      </c>
      <c r="R1635" s="1" t="s">
        <v>398</v>
      </c>
      <c r="S1635" s="1" t="s">
        <v>4003</v>
      </c>
      <c r="T1635" s="1" t="s">
        <v>4004</v>
      </c>
      <c r="U1635" s="2" t="s">
        <v>5113</v>
      </c>
      <c r="V1635" s="2" t="s">
        <v>47</v>
      </c>
      <c r="W1635" s="2" t="s">
        <v>74</v>
      </c>
      <c r="X1635" s="2">
        <v>69.930000000000007</v>
      </c>
    </row>
    <row r="1636" spans="1:24" x14ac:dyDescent="0.3">
      <c r="A1636">
        <v>1952</v>
      </c>
      <c r="B1636" t="s">
        <v>5114</v>
      </c>
      <c r="C1636" s="3">
        <v>41906</v>
      </c>
      <c r="D1636" t="s">
        <v>62</v>
      </c>
      <c r="E1636">
        <v>63</v>
      </c>
      <c r="F1636" s="3">
        <f ca="1">41906+(RANDBETWEEN(1,10))</f>
        <v>41913</v>
      </c>
      <c r="G1636" t="s">
        <v>26</v>
      </c>
      <c r="H1636" t="s">
        <v>96</v>
      </c>
      <c r="I1636" t="s">
        <v>97</v>
      </c>
      <c r="J1636">
        <v>15088.22</v>
      </c>
      <c r="K1636">
        <v>0.05</v>
      </c>
      <c r="L1636">
        <v>0.78</v>
      </c>
      <c r="M1636">
        <v>131.53</v>
      </c>
      <c r="N1636">
        <v>-4052.6895500000001</v>
      </c>
      <c r="O1636" s="1" t="s">
        <v>64</v>
      </c>
      <c r="P1636" s="1" t="s">
        <v>252</v>
      </c>
      <c r="Q1636" s="1" t="s">
        <v>253</v>
      </c>
      <c r="R1636" s="1" t="s">
        <v>67</v>
      </c>
      <c r="S1636" s="1" t="s">
        <v>254</v>
      </c>
      <c r="T1636" s="1" t="s">
        <v>255</v>
      </c>
      <c r="U1636" s="2" t="s">
        <v>3541</v>
      </c>
      <c r="V1636" s="2" t="s">
        <v>83</v>
      </c>
      <c r="W1636" s="2" t="s">
        <v>178</v>
      </c>
      <c r="X1636" s="2">
        <v>247.48500000000001</v>
      </c>
    </row>
    <row r="1637" spans="1:24" x14ac:dyDescent="0.3">
      <c r="A1637">
        <v>19520</v>
      </c>
      <c r="B1637" t="s">
        <v>5115</v>
      </c>
      <c r="C1637" s="3">
        <v>41043</v>
      </c>
      <c r="D1637" t="s">
        <v>39</v>
      </c>
      <c r="E1637">
        <v>15</v>
      </c>
      <c r="F1637" s="3">
        <f ca="1">41045+(RANDBETWEEN(1,10))</f>
        <v>41055</v>
      </c>
      <c r="G1637" t="s">
        <v>26</v>
      </c>
      <c r="H1637" t="s">
        <v>96</v>
      </c>
      <c r="I1637" t="s">
        <v>97</v>
      </c>
      <c r="J1637">
        <v>93.94</v>
      </c>
      <c r="K1637">
        <v>0.09</v>
      </c>
      <c r="L1637">
        <v>0.82</v>
      </c>
      <c r="M1637">
        <v>9.0299999999999994</v>
      </c>
      <c r="N1637">
        <v>-332.32499999999999</v>
      </c>
      <c r="O1637" s="1" t="s">
        <v>53</v>
      </c>
      <c r="P1637" s="1" t="s">
        <v>5116</v>
      </c>
      <c r="Q1637" s="1" t="s">
        <v>5117</v>
      </c>
      <c r="R1637" s="1" t="s">
        <v>56</v>
      </c>
      <c r="S1637" s="1" t="s">
        <v>5118</v>
      </c>
      <c r="T1637" s="1" t="s">
        <v>5119</v>
      </c>
      <c r="U1637" s="2" t="s">
        <v>456</v>
      </c>
      <c r="V1637" s="2" t="s">
        <v>47</v>
      </c>
      <c r="W1637" s="2" t="s">
        <v>176</v>
      </c>
      <c r="X1637" s="2">
        <v>6.51</v>
      </c>
    </row>
    <row r="1638" spans="1:24" x14ac:dyDescent="0.3">
      <c r="A1638">
        <v>19521</v>
      </c>
      <c r="B1638" t="s">
        <v>5115</v>
      </c>
      <c r="C1638" s="3">
        <v>41043</v>
      </c>
      <c r="D1638" t="s">
        <v>39</v>
      </c>
      <c r="E1638">
        <v>12</v>
      </c>
      <c r="F1638" s="3">
        <f ca="1">41045+(RANDBETWEEN(1,10))</f>
        <v>41053</v>
      </c>
      <c r="G1638" t="s">
        <v>26</v>
      </c>
      <c r="H1638" t="s">
        <v>27</v>
      </c>
      <c r="I1638" t="s">
        <v>97</v>
      </c>
      <c r="J1638">
        <v>4620.1750000000002</v>
      </c>
      <c r="K1638">
        <v>0.04</v>
      </c>
      <c r="L1638">
        <v>0.55000000000000004</v>
      </c>
      <c r="M1638">
        <v>31.465</v>
      </c>
      <c r="N1638">
        <v>3187.9207500000002</v>
      </c>
      <c r="O1638" s="1" t="s">
        <v>53</v>
      </c>
      <c r="P1638" s="1" t="s">
        <v>5116</v>
      </c>
      <c r="Q1638" s="1" t="s">
        <v>5117</v>
      </c>
      <c r="R1638" s="1" t="s">
        <v>56</v>
      </c>
      <c r="S1638" s="1" t="s">
        <v>5118</v>
      </c>
      <c r="T1638" s="1" t="s">
        <v>5119</v>
      </c>
      <c r="U1638" s="2" t="s">
        <v>5120</v>
      </c>
      <c r="V1638" s="2" t="s">
        <v>36</v>
      </c>
      <c r="W1638" s="2" t="s">
        <v>37</v>
      </c>
      <c r="X1638" s="2">
        <v>440.96499999999997</v>
      </c>
    </row>
    <row r="1639" spans="1:24" x14ac:dyDescent="0.3">
      <c r="A1639">
        <v>19522</v>
      </c>
      <c r="B1639" t="s">
        <v>5121</v>
      </c>
      <c r="C1639" s="3">
        <v>41983</v>
      </c>
      <c r="D1639" t="s">
        <v>50</v>
      </c>
      <c r="E1639">
        <v>15</v>
      </c>
      <c r="F1639" s="3">
        <f ca="1">41984+(RANDBETWEEN(1,10))</f>
        <v>41985</v>
      </c>
      <c r="G1639" t="s">
        <v>26</v>
      </c>
      <c r="H1639" t="s">
        <v>27</v>
      </c>
      <c r="I1639" t="s">
        <v>97</v>
      </c>
      <c r="J1639">
        <v>974.47</v>
      </c>
      <c r="K1639">
        <v>0.02</v>
      </c>
      <c r="L1639">
        <v>0.35</v>
      </c>
      <c r="M1639">
        <v>5.2149999999999999</v>
      </c>
      <c r="N1639">
        <v>672.38430000000005</v>
      </c>
      <c r="O1639" s="1" t="s">
        <v>64</v>
      </c>
      <c r="P1639" s="1" t="s">
        <v>3493</v>
      </c>
      <c r="Q1639" s="1" t="s">
        <v>3494</v>
      </c>
      <c r="R1639" s="1" t="s">
        <v>67</v>
      </c>
      <c r="S1639" s="1" t="s">
        <v>3495</v>
      </c>
      <c r="T1639" s="1" t="s">
        <v>3496</v>
      </c>
      <c r="U1639" s="2" t="s">
        <v>292</v>
      </c>
      <c r="V1639" s="2" t="s">
        <v>47</v>
      </c>
      <c r="W1639" s="2" t="s">
        <v>111</v>
      </c>
      <c r="X1639" s="2">
        <v>66.290000000000006</v>
      </c>
    </row>
    <row r="1640" spans="1:24" x14ac:dyDescent="0.3">
      <c r="A1640">
        <v>19523</v>
      </c>
      <c r="B1640" t="s">
        <v>5121</v>
      </c>
      <c r="C1640" s="3">
        <v>41983</v>
      </c>
      <c r="D1640" t="s">
        <v>50</v>
      </c>
      <c r="E1640">
        <v>15</v>
      </c>
      <c r="F1640" s="3">
        <f ca="1">41985+(RANDBETWEEN(1,10))</f>
        <v>41987</v>
      </c>
      <c r="G1640" t="s">
        <v>26</v>
      </c>
      <c r="H1640" t="s">
        <v>27</v>
      </c>
      <c r="I1640" t="s">
        <v>97</v>
      </c>
      <c r="J1640">
        <v>6414.4849999999997</v>
      </c>
      <c r="K1640">
        <v>0.05</v>
      </c>
      <c r="L1640">
        <v>0.37</v>
      </c>
      <c r="M1640">
        <v>69.965000000000003</v>
      </c>
      <c r="N1640">
        <v>4425.9946499999996</v>
      </c>
      <c r="O1640" s="1" t="s">
        <v>64</v>
      </c>
      <c r="P1640" s="1" t="s">
        <v>3493</v>
      </c>
      <c r="Q1640" s="1" t="s">
        <v>3494</v>
      </c>
      <c r="R1640" s="1" t="s">
        <v>67</v>
      </c>
      <c r="S1640" s="1" t="s">
        <v>3495</v>
      </c>
      <c r="T1640" s="1" t="s">
        <v>3496</v>
      </c>
      <c r="U1640" s="2" t="s">
        <v>274</v>
      </c>
      <c r="V1640" s="2" t="s">
        <v>47</v>
      </c>
      <c r="W1640" s="2" t="s">
        <v>111</v>
      </c>
      <c r="X1640" s="2">
        <v>430.46499999999997</v>
      </c>
    </row>
    <row r="1641" spans="1:24" x14ac:dyDescent="0.3">
      <c r="A1641">
        <v>19524</v>
      </c>
      <c r="B1641" t="s">
        <v>5121</v>
      </c>
      <c r="C1641" s="3">
        <v>41983</v>
      </c>
      <c r="D1641" t="s">
        <v>50</v>
      </c>
      <c r="E1641">
        <v>7</v>
      </c>
      <c r="F1641" s="3">
        <f ca="1">41985+(RANDBETWEEN(1,10))</f>
        <v>41992</v>
      </c>
      <c r="G1641" t="s">
        <v>156</v>
      </c>
      <c r="H1641" t="s">
        <v>96</v>
      </c>
      <c r="I1641" t="s">
        <v>97</v>
      </c>
      <c r="J1641">
        <v>36.68</v>
      </c>
      <c r="K1641">
        <v>0</v>
      </c>
      <c r="L1641">
        <v>0.38</v>
      </c>
      <c r="M1641">
        <v>2.4500000000000002</v>
      </c>
      <c r="N1641">
        <v>16.36544</v>
      </c>
      <c r="O1641" s="1" t="s">
        <v>64</v>
      </c>
      <c r="P1641" s="1" t="s">
        <v>3493</v>
      </c>
      <c r="Q1641" s="1" t="s">
        <v>3494</v>
      </c>
      <c r="R1641" s="1" t="s">
        <v>67</v>
      </c>
      <c r="S1641" s="1" t="s">
        <v>3495</v>
      </c>
      <c r="T1641" s="1" t="s">
        <v>3496</v>
      </c>
      <c r="U1641" s="2" t="s">
        <v>293</v>
      </c>
      <c r="V1641" s="2" t="s">
        <v>47</v>
      </c>
      <c r="W1641" s="2" t="s">
        <v>176</v>
      </c>
      <c r="X1641" s="2">
        <v>3.99</v>
      </c>
    </row>
    <row r="1642" spans="1:24" x14ac:dyDescent="0.3">
      <c r="A1642">
        <v>19525</v>
      </c>
      <c r="B1642" t="s">
        <v>5122</v>
      </c>
      <c r="C1642" s="3">
        <v>40598</v>
      </c>
      <c r="D1642" t="s">
        <v>62</v>
      </c>
      <c r="E1642">
        <v>4</v>
      </c>
      <c r="F1642" s="3">
        <f ca="1">40600+(RANDBETWEEN(1,10))</f>
        <v>40604</v>
      </c>
      <c r="G1642" t="s">
        <v>26</v>
      </c>
      <c r="H1642" t="s">
        <v>63</v>
      </c>
      <c r="I1642" t="s">
        <v>86</v>
      </c>
      <c r="J1642">
        <v>2096.605</v>
      </c>
      <c r="K1642">
        <v>0.01</v>
      </c>
      <c r="L1642" t="s">
        <v>182</v>
      </c>
      <c r="M1642">
        <v>122.5</v>
      </c>
      <c r="N1642">
        <v>-1125.2850000000001</v>
      </c>
      <c r="O1642" s="1" t="s">
        <v>40</v>
      </c>
      <c r="P1642" s="1" t="s">
        <v>5123</v>
      </c>
      <c r="Q1642" s="1" t="s">
        <v>5124</v>
      </c>
      <c r="R1642" s="1" t="s">
        <v>43</v>
      </c>
      <c r="S1642" s="1" t="s">
        <v>2453</v>
      </c>
      <c r="T1642" s="1" t="s">
        <v>2454</v>
      </c>
      <c r="U1642" s="2" t="s">
        <v>844</v>
      </c>
      <c r="V1642" s="2" t="s">
        <v>47</v>
      </c>
      <c r="W1642" s="2" t="s">
        <v>119</v>
      </c>
      <c r="X1642" s="2">
        <v>483.49</v>
      </c>
    </row>
    <row r="1643" spans="1:24" x14ac:dyDescent="0.3">
      <c r="A1643">
        <v>19526</v>
      </c>
      <c r="B1643" t="s">
        <v>5125</v>
      </c>
      <c r="C1643" s="3">
        <v>41772</v>
      </c>
      <c r="D1643" t="s">
        <v>39</v>
      </c>
      <c r="E1643">
        <v>11</v>
      </c>
      <c r="F1643" s="3">
        <f ca="1">41774+(RANDBETWEEN(1,10))</f>
        <v>41780</v>
      </c>
      <c r="G1643" t="s">
        <v>76</v>
      </c>
      <c r="H1643" t="s">
        <v>258</v>
      </c>
      <c r="I1643" t="s">
        <v>86</v>
      </c>
      <c r="J1643">
        <v>9689.4</v>
      </c>
      <c r="K1643">
        <v>0.04</v>
      </c>
      <c r="L1643">
        <v>0.56000000000000005</v>
      </c>
      <c r="M1643">
        <v>210.7</v>
      </c>
      <c r="N1643">
        <v>4841.62</v>
      </c>
      <c r="O1643" s="1" t="s">
        <v>40</v>
      </c>
      <c r="P1643" s="1" t="s">
        <v>5126</v>
      </c>
      <c r="Q1643" s="1" t="s">
        <v>5127</v>
      </c>
      <c r="R1643" s="1" t="s">
        <v>220</v>
      </c>
      <c r="S1643" s="1" t="s">
        <v>3859</v>
      </c>
      <c r="T1643" s="1" t="s">
        <v>3860</v>
      </c>
      <c r="U1643" s="2" t="s">
        <v>5128</v>
      </c>
      <c r="V1643" s="2" t="s">
        <v>83</v>
      </c>
      <c r="W1643" s="2" t="s">
        <v>298</v>
      </c>
      <c r="X1643" s="2">
        <v>843.43</v>
      </c>
    </row>
    <row r="1644" spans="1:24" x14ac:dyDescent="0.3">
      <c r="A1644">
        <v>19527</v>
      </c>
      <c r="B1644" t="s">
        <v>5125</v>
      </c>
      <c r="C1644" s="3">
        <v>41772</v>
      </c>
      <c r="D1644" t="s">
        <v>39</v>
      </c>
      <c r="E1644">
        <v>12</v>
      </c>
      <c r="F1644" s="3">
        <f ca="1">41773+(RANDBETWEEN(1,10))</f>
        <v>41781</v>
      </c>
      <c r="G1644" t="s">
        <v>26</v>
      </c>
      <c r="H1644" t="s">
        <v>27</v>
      </c>
      <c r="I1644" t="s">
        <v>86</v>
      </c>
      <c r="J1644">
        <v>292.88</v>
      </c>
      <c r="K1644">
        <v>0.1</v>
      </c>
      <c r="L1644">
        <v>0.38</v>
      </c>
      <c r="M1644">
        <v>1.7150000000000001</v>
      </c>
      <c r="N1644">
        <v>202.0872</v>
      </c>
      <c r="O1644" s="1" t="s">
        <v>64</v>
      </c>
      <c r="P1644" s="1" t="s">
        <v>5129</v>
      </c>
      <c r="Q1644" s="1" t="s">
        <v>5130</v>
      </c>
      <c r="R1644" s="1" t="s">
        <v>128</v>
      </c>
      <c r="S1644" s="1" t="s">
        <v>2649</v>
      </c>
      <c r="T1644" s="1" t="s">
        <v>2650</v>
      </c>
      <c r="U1644" s="2" t="s">
        <v>1897</v>
      </c>
      <c r="V1644" s="2" t="s">
        <v>47</v>
      </c>
      <c r="W1644" s="2" t="s">
        <v>203</v>
      </c>
      <c r="X1644" s="2">
        <v>25.585000000000001</v>
      </c>
    </row>
    <row r="1645" spans="1:24" x14ac:dyDescent="0.3">
      <c r="A1645">
        <v>19528</v>
      </c>
      <c r="B1645" t="s">
        <v>5125</v>
      </c>
      <c r="C1645" s="3">
        <v>41772</v>
      </c>
      <c r="D1645" t="s">
        <v>39</v>
      </c>
      <c r="E1645">
        <v>12</v>
      </c>
      <c r="F1645" s="3">
        <f ca="1">41773+(RANDBETWEEN(1,10))</f>
        <v>41782</v>
      </c>
      <c r="G1645" t="s">
        <v>26</v>
      </c>
      <c r="H1645" t="s">
        <v>27</v>
      </c>
      <c r="I1645" t="s">
        <v>86</v>
      </c>
      <c r="J1645">
        <v>356.54500000000002</v>
      </c>
      <c r="K1645">
        <v>0.1</v>
      </c>
      <c r="L1645">
        <v>0.38</v>
      </c>
      <c r="M1645">
        <v>29.015000000000001</v>
      </c>
      <c r="N1645">
        <v>-454.51</v>
      </c>
      <c r="O1645" s="1" t="s">
        <v>29</v>
      </c>
      <c r="P1645" s="1" t="s">
        <v>5131</v>
      </c>
      <c r="Q1645" s="1" t="s">
        <v>5132</v>
      </c>
      <c r="R1645" s="1" t="s">
        <v>675</v>
      </c>
      <c r="S1645" s="1" t="s">
        <v>1065</v>
      </c>
      <c r="T1645" s="1" t="s">
        <v>1066</v>
      </c>
      <c r="U1645" s="2" t="s">
        <v>1682</v>
      </c>
      <c r="V1645" s="2" t="s">
        <v>47</v>
      </c>
      <c r="W1645" s="2" t="s">
        <v>48</v>
      </c>
      <c r="X1645" s="2">
        <v>30.59</v>
      </c>
    </row>
    <row r="1646" spans="1:24" x14ac:dyDescent="0.3">
      <c r="A1646">
        <v>19529</v>
      </c>
      <c r="B1646" t="s">
        <v>5133</v>
      </c>
      <c r="C1646" s="3">
        <v>40650</v>
      </c>
      <c r="D1646" t="s">
        <v>39</v>
      </c>
      <c r="E1646">
        <v>1</v>
      </c>
      <c r="F1646" s="3">
        <f ca="1">40651+(RANDBETWEEN(1,10))</f>
        <v>40656</v>
      </c>
      <c r="G1646" t="s">
        <v>26</v>
      </c>
      <c r="H1646" t="s">
        <v>27</v>
      </c>
      <c r="I1646" t="s">
        <v>28</v>
      </c>
      <c r="J1646">
        <v>397.04</v>
      </c>
      <c r="K1646">
        <v>0.01</v>
      </c>
      <c r="L1646">
        <v>0.59</v>
      </c>
      <c r="M1646">
        <v>31.465</v>
      </c>
      <c r="N1646">
        <v>-2039.268</v>
      </c>
      <c r="O1646" s="1" t="s">
        <v>87</v>
      </c>
      <c r="P1646" s="1" t="s">
        <v>396</v>
      </c>
      <c r="Q1646" s="1" t="s">
        <v>397</v>
      </c>
      <c r="R1646" s="1" t="s">
        <v>398</v>
      </c>
      <c r="S1646" s="1" t="s">
        <v>399</v>
      </c>
      <c r="T1646" s="1" t="s">
        <v>400</v>
      </c>
      <c r="U1646" s="2" t="s">
        <v>295</v>
      </c>
      <c r="V1646" s="2" t="s">
        <v>36</v>
      </c>
      <c r="W1646" s="2" t="s">
        <v>37</v>
      </c>
      <c r="X1646" s="2">
        <v>440.96499999999997</v>
      </c>
    </row>
    <row r="1647" spans="1:24" x14ac:dyDescent="0.3">
      <c r="A1647">
        <v>19530</v>
      </c>
      <c r="B1647" t="s">
        <v>5134</v>
      </c>
      <c r="C1647" s="3">
        <v>41159</v>
      </c>
      <c r="D1647" t="s">
        <v>39</v>
      </c>
      <c r="E1647">
        <v>6</v>
      </c>
      <c r="F1647" s="3">
        <f ca="1">41161+(RANDBETWEEN(1,10))</f>
        <v>41171</v>
      </c>
      <c r="G1647" t="s">
        <v>26</v>
      </c>
      <c r="H1647" t="s">
        <v>27</v>
      </c>
      <c r="I1647" t="s">
        <v>28</v>
      </c>
      <c r="J1647">
        <v>256.51499999999999</v>
      </c>
      <c r="K1647">
        <v>0.05</v>
      </c>
      <c r="L1647">
        <v>0.4</v>
      </c>
      <c r="M1647">
        <v>19.704999999999998</v>
      </c>
      <c r="N1647">
        <v>4.0460000000000003</v>
      </c>
      <c r="O1647" s="1" t="s">
        <v>53</v>
      </c>
      <c r="P1647" s="1" t="s">
        <v>5135</v>
      </c>
      <c r="Q1647" s="1" t="s">
        <v>5136</v>
      </c>
      <c r="R1647" s="1" t="s">
        <v>100</v>
      </c>
      <c r="S1647" s="1" t="s">
        <v>5137</v>
      </c>
      <c r="T1647" s="1" t="s">
        <v>5138</v>
      </c>
      <c r="U1647" s="2" t="s">
        <v>941</v>
      </c>
      <c r="V1647" s="2" t="s">
        <v>47</v>
      </c>
      <c r="W1647" s="2" t="s">
        <v>111</v>
      </c>
      <c r="X1647" s="2">
        <v>40.950000000000003</v>
      </c>
    </row>
    <row r="1648" spans="1:24" x14ac:dyDescent="0.3">
      <c r="A1648">
        <v>19531</v>
      </c>
      <c r="B1648" t="s">
        <v>5134</v>
      </c>
      <c r="C1648" s="3">
        <v>41159</v>
      </c>
      <c r="D1648" t="s">
        <v>39</v>
      </c>
      <c r="E1648">
        <v>18</v>
      </c>
      <c r="F1648" s="3">
        <f ca="1">41160+(RANDBETWEEN(1,10))</f>
        <v>41167</v>
      </c>
      <c r="G1648" t="s">
        <v>26</v>
      </c>
      <c r="H1648" t="s">
        <v>27</v>
      </c>
      <c r="I1648" t="s">
        <v>28</v>
      </c>
      <c r="J1648">
        <v>463.29500000000002</v>
      </c>
      <c r="K1648">
        <v>7.0000000000000007E-2</v>
      </c>
      <c r="L1648">
        <v>0.36</v>
      </c>
      <c r="M1648">
        <v>4.8650000000000002</v>
      </c>
      <c r="N1648">
        <v>319.67354999999998</v>
      </c>
      <c r="O1648" s="1" t="s">
        <v>53</v>
      </c>
      <c r="P1648" s="1" t="s">
        <v>2769</v>
      </c>
      <c r="Q1648" s="1" t="s">
        <v>2770</v>
      </c>
      <c r="R1648" s="1" t="s">
        <v>440</v>
      </c>
      <c r="S1648" s="1" t="s">
        <v>2771</v>
      </c>
      <c r="T1648" s="1" t="s">
        <v>2772</v>
      </c>
      <c r="U1648" s="2" t="s">
        <v>3975</v>
      </c>
      <c r="V1648" s="2" t="s">
        <v>47</v>
      </c>
      <c r="W1648" s="2" t="s">
        <v>48</v>
      </c>
      <c r="X1648" s="2">
        <v>26.74</v>
      </c>
    </row>
    <row r="1649" spans="1:24" x14ac:dyDescent="0.3">
      <c r="A1649">
        <v>19532</v>
      </c>
      <c r="B1649" t="s">
        <v>5139</v>
      </c>
      <c r="C1649" s="3">
        <v>41570</v>
      </c>
      <c r="D1649" t="s">
        <v>50</v>
      </c>
      <c r="E1649">
        <v>22</v>
      </c>
      <c r="F1649" s="3">
        <f ca="1">41570+(RANDBETWEEN(1,10))</f>
        <v>41577</v>
      </c>
      <c r="G1649" t="s">
        <v>26</v>
      </c>
      <c r="H1649" t="s">
        <v>27</v>
      </c>
      <c r="I1649" t="s">
        <v>28</v>
      </c>
      <c r="J1649">
        <v>1928.99</v>
      </c>
      <c r="K1649">
        <v>0.03</v>
      </c>
      <c r="L1649">
        <v>0.35</v>
      </c>
      <c r="M1649">
        <v>23.484999999999999</v>
      </c>
      <c r="N1649">
        <v>1254.5442</v>
      </c>
      <c r="O1649" s="1" t="s">
        <v>40</v>
      </c>
      <c r="P1649" s="1" t="s">
        <v>5140</v>
      </c>
      <c r="Q1649" s="1" t="s">
        <v>5141</v>
      </c>
      <c r="R1649" s="1" t="s">
        <v>43</v>
      </c>
      <c r="S1649" s="1" t="s">
        <v>5142</v>
      </c>
      <c r="T1649" s="1" t="s">
        <v>5143</v>
      </c>
      <c r="U1649" s="2" t="s">
        <v>5144</v>
      </c>
      <c r="V1649" s="2" t="s">
        <v>47</v>
      </c>
      <c r="W1649" s="2" t="s">
        <v>48</v>
      </c>
      <c r="X1649" s="2">
        <v>83.965000000000003</v>
      </c>
    </row>
    <row r="1650" spans="1:24" x14ac:dyDescent="0.3">
      <c r="A1650">
        <v>19533</v>
      </c>
      <c r="B1650" t="s">
        <v>5145</v>
      </c>
      <c r="C1650" s="3">
        <v>41814</v>
      </c>
      <c r="D1650" t="s">
        <v>148</v>
      </c>
      <c r="E1650">
        <v>1</v>
      </c>
      <c r="F1650" s="3">
        <f ca="1">41815+(RANDBETWEEN(1,10))</f>
        <v>41820</v>
      </c>
      <c r="G1650" t="s">
        <v>26</v>
      </c>
      <c r="H1650" t="s">
        <v>96</v>
      </c>
      <c r="I1650" t="s">
        <v>97</v>
      </c>
      <c r="J1650">
        <v>16.905000000000001</v>
      </c>
      <c r="K1650">
        <v>0.09</v>
      </c>
      <c r="L1650">
        <v>0.56000000000000005</v>
      </c>
      <c r="M1650">
        <v>17.5</v>
      </c>
      <c r="N1650">
        <v>-35.223999999999997</v>
      </c>
      <c r="O1650" s="1" t="s">
        <v>225</v>
      </c>
      <c r="P1650" s="1" t="s">
        <v>4894</v>
      </c>
      <c r="Q1650" s="1" t="s">
        <v>4895</v>
      </c>
      <c r="R1650" s="1" t="s">
        <v>391</v>
      </c>
      <c r="S1650" s="1" t="s">
        <v>4896</v>
      </c>
      <c r="T1650" s="1" t="s">
        <v>4897</v>
      </c>
      <c r="U1650" s="2" t="s">
        <v>2523</v>
      </c>
      <c r="V1650" s="2" t="s">
        <v>47</v>
      </c>
      <c r="W1650" s="2" t="s">
        <v>104</v>
      </c>
      <c r="X1650" s="2">
        <v>11.48</v>
      </c>
    </row>
    <row r="1651" spans="1:24" x14ac:dyDescent="0.3">
      <c r="A1651">
        <v>19534</v>
      </c>
      <c r="B1651" t="s">
        <v>5146</v>
      </c>
      <c r="C1651" s="3">
        <v>41723</v>
      </c>
      <c r="D1651" t="s">
        <v>148</v>
      </c>
      <c r="E1651">
        <v>9</v>
      </c>
      <c r="F1651" s="3">
        <f ca="1">41724+(RANDBETWEEN(1,10))</f>
        <v>41732</v>
      </c>
      <c r="G1651" t="s">
        <v>26</v>
      </c>
      <c r="H1651" t="s">
        <v>27</v>
      </c>
      <c r="I1651" t="s">
        <v>97</v>
      </c>
      <c r="J1651">
        <v>639.76499999999999</v>
      </c>
      <c r="K1651">
        <v>0.04</v>
      </c>
      <c r="L1651">
        <v>0.38</v>
      </c>
      <c r="M1651">
        <v>20.895</v>
      </c>
      <c r="N1651">
        <v>441.43785000000003</v>
      </c>
      <c r="O1651" s="1" t="s">
        <v>29</v>
      </c>
      <c r="P1651" s="1" t="s">
        <v>968</v>
      </c>
      <c r="Q1651" s="1" t="s">
        <v>969</v>
      </c>
      <c r="R1651" s="1" t="s">
        <v>32</v>
      </c>
      <c r="S1651" s="1" t="s">
        <v>970</v>
      </c>
      <c r="T1651" s="1" t="s">
        <v>971</v>
      </c>
      <c r="U1651" s="2" t="s">
        <v>161</v>
      </c>
      <c r="V1651" s="2" t="s">
        <v>47</v>
      </c>
      <c r="W1651" s="2" t="s">
        <v>74</v>
      </c>
      <c r="X1651" s="2">
        <v>69.930000000000007</v>
      </c>
    </row>
    <row r="1652" spans="1:24" x14ac:dyDescent="0.3">
      <c r="A1652">
        <v>19535</v>
      </c>
      <c r="B1652" t="s">
        <v>5147</v>
      </c>
      <c r="C1652" s="3">
        <v>41253</v>
      </c>
      <c r="D1652" t="s">
        <v>25</v>
      </c>
      <c r="E1652">
        <v>12</v>
      </c>
      <c r="F1652" s="3">
        <f ca="1">41260+(RANDBETWEEN(1,10))</f>
        <v>41265</v>
      </c>
      <c r="G1652" t="s">
        <v>76</v>
      </c>
      <c r="H1652" t="s">
        <v>77</v>
      </c>
      <c r="I1652" t="s">
        <v>97</v>
      </c>
      <c r="J1652">
        <v>3097.5</v>
      </c>
      <c r="K1652">
        <v>0.01</v>
      </c>
      <c r="L1652">
        <v>0.41</v>
      </c>
      <c r="M1652">
        <v>210</v>
      </c>
      <c r="N1652">
        <v>5405.652</v>
      </c>
      <c r="O1652" s="1" t="s">
        <v>53</v>
      </c>
      <c r="P1652" s="1" t="s">
        <v>3394</v>
      </c>
      <c r="Q1652" s="1" t="s">
        <v>3395</v>
      </c>
      <c r="R1652" s="1" t="s">
        <v>440</v>
      </c>
      <c r="S1652" s="1" t="s">
        <v>3396</v>
      </c>
      <c r="T1652" s="1" t="s">
        <v>3397</v>
      </c>
      <c r="U1652" s="2" t="s">
        <v>287</v>
      </c>
      <c r="V1652" s="2" t="s">
        <v>47</v>
      </c>
      <c r="W1652" s="2" t="s">
        <v>71</v>
      </c>
      <c r="X1652" s="2">
        <v>240.83500000000001</v>
      </c>
    </row>
    <row r="1653" spans="1:24" x14ac:dyDescent="0.3">
      <c r="A1653">
        <v>19536</v>
      </c>
      <c r="B1653" t="s">
        <v>5147</v>
      </c>
      <c r="C1653" s="3">
        <v>41253</v>
      </c>
      <c r="D1653" t="s">
        <v>25</v>
      </c>
      <c r="E1653">
        <v>11</v>
      </c>
      <c r="F1653" s="3">
        <f ca="1">41255+(RANDBETWEEN(1,10))</f>
        <v>41256</v>
      </c>
      <c r="G1653" t="s">
        <v>76</v>
      </c>
      <c r="H1653" t="s">
        <v>258</v>
      </c>
      <c r="I1653" t="s">
        <v>97</v>
      </c>
      <c r="J1653">
        <v>16812.11</v>
      </c>
      <c r="K1653">
        <v>7.0000000000000007E-2</v>
      </c>
      <c r="L1653">
        <v>0.66</v>
      </c>
      <c r="M1653">
        <v>226.065</v>
      </c>
      <c r="N1653">
        <v>-341.94159999999999</v>
      </c>
      <c r="O1653" s="1" t="s">
        <v>53</v>
      </c>
      <c r="P1653" s="1" t="s">
        <v>3394</v>
      </c>
      <c r="Q1653" s="1" t="s">
        <v>3395</v>
      </c>
      <c r="R1653" s="1" t="s">
        <v>440</v>
      </c>
      <c r="S1653" s="1" t="s">
        <v>3396</v>
      </c>
      <c r="T1653" s="1" t="s">
        <v>3397</v>
      </c>
      <c r="U1653" s="2" t="s">
        <v>5148</v>
      </c>
      <c r="V1653" s="2" t="s">
        <v>83</v>
      </c>
      <c r="W1653" s="2" t="s">
        <v>263</v>
      </c>
      <c r="X1653" s="2">
        <v>1928.43</v>
      </c>
    </row>
    <row r="1654" spans="1:24" x14ac:dyDescent="0.3">
      <c r="A1654">
        <v>19537</v>
      </c>
      <c r="B1654" t="s">
        <v>5149</v>
      </c>
      <c r="C1654" s="3">
        <v>41434</v>
      </c>
      <c r="D1654" t="s">
        <v>39</v>
      </c>
      <c r="E1654">
        <v>9</v>
      </c>
      <c r="F1654" s="3">
        <f ca="1">41436+(RANDBETWEEN(1,10))</f>
        <v>41442</v>
      </c>
      <c r="G1654" t="s">
        <v>26</v>
      </c>
      <c r="H1654" t="s">
        <v>51</v>
      </c>
      <c r="I1654" t="s">
        <v>28</v>
      </c>
      <c r="J1654">
        <v>171.78</v>
      </c>
      <c r="K1654">
        <v>7.0000000000000007E-2</v>
      </c>
      <c r="L1654">
        <v>0.56000000000000005</v>
      </c>
      <c r="M1654">
        <v>12.6</v>
      </c>
      <c r="N1654">
        <v>-109.84399999999999</v>
      </c>
      <c r="O1654" s="1" t="s">
        <v>40</v>
      </c>
      <c r="P1654" s="1" t="s">
        <v>5150</v>
      </c>
      <c r="Q1654" s="1" t="s">
        <v>5151</v>
      </c>
      <c r="R1654" s="1" t="s">
        <v>43</v>
      </c>
      <c r="S1654" s="1" t="s">
        <v>5152</v>
      </c>
      <c r="T1654" s="1" t="s">
        <v>5153</v>
      </c>
      <c r="U1654" s="2" t="s">
        <v>4710</v>
      </c>
      <c r="V1654" s="2" t="s">
        <v>47</v>
      </c>
      <c r="W1654" s="2" t="s">
        <v>94</v>
      </c>
      <c r="X1654" s="2">
        <v>19.88</v>
      </c>
    </row>
    <row r="1655" spans="1:24" x14ac:dyDescent="0.3">
      <c r="A1655">
        <v>19538</v>
      </c>
      <c r="B1655" t="s">
        <v>5149</v>
      </c>
      <c r="C1655" s="3">
        <v>41434</v>
      </c>
      <c r="D1655" t="s">
        <v>39</v>
      </c>
      <c r="E1655">
        <v>18</v>
      </c>
      <c r="F1655" s="3">
        <f ca="1">41435+(RANDBETWEEN(1,10))</f>
        <v>41436</v>
      </c>
      <c r="G1655" t="s">
        <v>26</v>
      </c>
      <c r="H1655" t="s">
        <v>27</v>
      </c>
      <c r="I1655" t="s">
        <v>28</v>
      </c>
      <c r="J1655">
        <v>10258.605</v>
      </c>
      <c r="K1655">
        <v>7.0000000000000007E-2</v>
      </c>
      <c r="L1655">
        <v>0.59</v>
      </c>
      <c r="M1655">
        <v>20.965</v>
      </c>
      <c r="N1655">
        <v>6759.018</v>
      </c>
      <c r="O1655" s="1" t="s">
        <v>40</v>
      </c>
      <c r="P1655" s="1" t="s">
        <v>5150</v>
      </c>
      <c r="Q1655" s="1" t="s">
        <v>5151</v>
      </c>
      <c r="R1655" s="1" t="s">
        <v>43</v>
      </c>
      <c r="S1655" s="1" t="s">
        <v>5152</v>
      </c>
      <c r="T1655" s="1" t="s">
        <v>5153</v>
      </c>
      <c r="U1655" s="2">
        <v>3285</v>
      </c>
      <c r="V1655" s="2" t="s">
        <v>36</v>
      </c>
      <c r="W1655" s="2" t="s">
        <v>37</v>
      </c>
      <c r="X1655" s="2">
        <v>720.96500000000003</v>
      </c>
    </row>
    <row r="1656" spans="1:24" x14ac:dyDescent="0.3">
      <c r="A1656">
        <v>19539</v>
      </c>
      <c r="B1656" t="s">
        <v>5154</v>
      </c>
      <c r="C1656" s="3">
        <v>40622</v>
      </c>
      <c r="D1656" t="s">
        <v>25</v>
      </c>
      <c r="E1656">
        <v>8</v>
      </c>
      <c r="F1656" s="3">
        <f ca="1">40626+(RANDBETWEEN(1,10))</f>
        <v>40628</v>
      </c>
      <c r="G1656" t="s">
        <v>76</v>
      </c>
      <c r="H1656" t="s">
        <v>258</v>
      </c>
      <c r="I1656" t="s">
        <v>52</v>
      </c>
      <c r="J1656">
        <v>4312.0349999999999</v>
      </c>
      <c r="K1656">
        <v>0.06</v>
      </c>
      <c r="L1656">
        <v>0.72</v>
      </c>
      <c r="M1656">
        <v>122.57</v>
      </c>
      <c r="N1656">
        <v>-803.88</v>
      </c>
      <c r="O1656" s="1" t="s">
        <v>29</v>
      </c>
      <c r="P1656" s="1" t="s">
        <v>2135</v>
      </c>
      <c r="Q1656" s="1" t="s">
        <v>2136</v>
      </c>
      <c r="R1656" s="1" t="s">
        <v>32</v>
      </c>
      <c r="S1656" s="1" t="s">
        <v>2137</v>
      </c>
      <c r="T1656" s="1" t="s">
        <v>2138</v>
      </c>
      <c r="U1656" s="2" t="s">
        <v>297</v>
      </c>
      <c r="V1656" s="2" t="s">
        <v>83</v>
      </c>
      <c r="W1656" s="2" t="s">
        <v>298</v>
      </c>
      <c r="X1656" s="2">
        <v>563.42999999999995</v>
      </c>
    </row>
    <row r="1657" spans="1:24" x14ac:dyDescent="0.3">
      <c r="A1657">
        <v>1954</v>
      </c>
      <c r="B1657" t="s">
        <v>5155</v>
      </c>
      <c r="C1657" s="3">
        <v>41852</v>
      </c>
      <c r="D1657" t="s">
        <v>50</v>
      </c>
      <c r="E1657">
        <v>68</v>
      </c>
      <c r="F1657" s="3">
        <f ca="1">41853+(RANDBETWEEN(1,10))</f>
        <v>41860</v>
      </c>
      <c r="G1657" t="s">
        <v>26</v>
      </c>
      <c r="H1657" t="s">
        <v>27</v>
      </c>
      <c r="I1657" t="s">
        <v>97</v>
      </c>
      <c r="J1657">
        <v>1261.8900000000001</v>
      </c>
      <c r="K1657">
        <v>0.01</v>
      </c>
      <c r="L1657">
        <v>0.41</v>
      </c>
      <c r="M1657">
        <v>18.62</v>
      </c>
      <c r="N1657">
        <v>-208.98500000000001</v>
      </c>
      <c r="O1657" s="1" t="s">
        <v>87</v>
      </c>
      <c r="P1657" s="1" t="s">
        <v>5156</v>
      </c>
      <c r="Q1657" s="1" t="s">
        <v>5157</v>
      </c>
      <c r="R1657" s="1" t="s">
        <v>398</v>
      </c>
      <c r="S1657" s="1" t="s">
        <v>3179</v>
      </c>
      <c r="T1657" s="1" t="s">
        <v>5158</v>
      </c>
      <c r="U1657" s="2" t="s">
        <v>5159</v>
      </c>
      <c r="V1657" s="2" t="s">
        <v>83</v>
      </c>
      <c r="W1657" s="2" t="s">
        <v>178</v>
      </c>
      <c r="X1657" s="2">
        <v>17.324999999999999</v>
      </c>
    </row>
    <row r="1658" spans="1:24" x14ac:dyDescent="0.3">
      <c r="A1658">
        <v>19540</v>
      </c>
      <c r="B1658" t="s">
        <v>5160</v>
      </c>
      <c r="C1658" s="3">
        <v>41867</v>
      </c>
      <c r="D1658" t="s">
        <v>50</v>
      </c>
      <c r="E1658">
        <v>10</v>
      </c>
      <c r="F1658" s="3">
        <f ca="1">41869+(RANDBETWEEN(1,10))</f>
        <v>41878</v>
      </c>
      <c r="G1658" t="s">
        <v>26</v>
      </c>
      <c r="H1658" t="s">
        <v>27</v>
      </c>
      <c r="I1658" t="s">
        <v>86</v>
      </c>
      <c r="J1658">
        <v>230.51</v>
      </c>
      <c r="K1658">
        <v>0.1</v>
      </c>
      <c r="L1658">
        <v>0.37</v>
      </c>
      <c r="M1658">
        <v>20.09</v>
      </c>
      <c r="N1658">
        <v>-514.30399999999997</v>
      </c>
      <c r="O1658" s="1" t="s">
        <v>40</v>
      </c>
      <c r="P1658" s="1" t="s">
        <v>5161</v>
      </c>
      <c r="Q1658" s="1" t="s">
        <v>5162</v>
      </c>
      <c r="R1658" s="1" t="s">
        <v>43</v>
      </c>
      <c r="S1658" s="1" t="s">
        <v>5163</v>
      </c>
      <c r="T1658" s="1" t="s">
        <v>5164</v>
      </c>
      <c r="U1658" s="2" t="s">
        <v>5165</v>
      </c>
      <c r="V1658" s="2" t="s">
        <v>47</v>
      </c>
      <c r="W1658" s="2" t="s">
        <v>74</v>
      </c>
      <c r="X1658" s="2">
        <v>22.68</v>
      </c>
    </row>
    <row r="1659" spans="1:24" x14ac:dyDescent="0.3">
      <c r="A1659">
        <v>19541</v>
      </c>
      <c r="B1659" t="s">
        <v>5166</v>
      </c>
      <c r="C1659" s="3">
        <v>41348</v>
      </c>
      <c r="D1659" t="s">
        <v>148</v>
      </c>
      <c r="E1659">
        <v>5</v>
      </c>
      <c r="F1659" s="3">
        <f ca="1">41349+(RANDBETWEEN(1,10))</f>
        <v>41354</v>
      </c>
      <c r="G1659" t="s">
        <v>26</v>
      </c>
      <c r="H1659" t="s">
        <v>96</v>
      </c>
      <c r="I1659" t="s">
        <v>52</v>
      </c>
      <c r="J1659">
        <v>126.77</v>
      </c>
      <c r="K1659">
        <v>0.08</v>
      </c>
      <c r="L1659">
        <v>0.4</v>
      </c>
      <c r="M1659">
        <v>5.9850000000000003</v>
      </c>
      <c r="N1659">
        <v>31.1661</v>
      </c>
      <c r="O1659" s="1" t="s">
        <v>53</v>
      </c>
      <c r="P1659" s="1" t="s">
        <v>5045</v>
      </c>
      <c r="Q1659" s="1" t="s">
        <v>5046</v>
      </c>
      <c r="R1659" s="1" t="s">
        <v>100</v>
      </c>
      <c r="S1659" s="1" t="s">
        <v>5047</v>
      </c>
      <c r="T1659" s="1" t="s">
        <v>5048</v>
      </c>
      <c r="U1659" s="2" t="s">
        <v>5167</v>
      </c>
      <c r="V1659" s="2" t="s">
        <v>47</v>
      </c>
      <c r="W1659" s="2" t="s">
        <v>74</v>
      </c>
      <c r="X1659" s="2">
        <v>25.9</v>
      </c>
    </row>
    <row r="1660" spans="1:24" x14ac:dyDescent="0.3">
      <c r="A1660">
        <v>19542</v>
      </c>
      <c r="B1660" t="s">
        <v>5168</v>
      </c>
      <c r="C1660" s="3">
        <v>41291</v>
      </c>
      <c r="D1660" t="s">
        <v>148</v>
      </c>
      <c r="E1660">
        <v>2</v>
      </c>
      <c r="F1660" s="3">
        <f ca="1">41293+(RANDBETWEEN(1,10))</f>
        <v>41296</v>
      </c>
      <c r="G1660" t="s">
        <v>26</v>
      </c>
      <c r="H1660" t="s">
        <v>96</v>
      </c>
      <c r="I1660" t="s">
        <v>28</v>
      </c>
      <c r="J1660">
        <v>308.52499999999998</v>
      </c>
      <c r="K1660">
        <v>0.1</v>
      </c>
      <c r="L1660">
        <v>0.73</v>
      </c>
      <c r="M1660">
        <v>119.7</v>
      </c>
      <c r="N1660">
        <v>-259.74900000000002</v>
      </c>
      <c r="O1660" s="1" t="s">
        <v>87</v>
      </c>
      <c r="P1660" s="1" t="s">
        <v>5169</v>
      </c>
      <c r="Q1660" s="1" t="s">
        <v>5170</v>
      </c>
      <c r="R1660" s="1" t="s">
        <v>398</v>
      </c>
      <c r="S1660" s="1" t="s">
        <v>5171</v>
      </c>
      <c r="T1660" s="1" t="s">
        <v>5172</v>
      </c>
      <c r="U1660" s="2" t="s">
        <v>5026</v>
      </c>
      <c r="V1660" s="2" t="s">
        <v>83</v>
      </c>
      <c r="W1660" s="2" t="s">
        <v>178</v>
      </c>
      <c r="X1660" s="2">
        <v>145.14500000000001</v>
      </c>
    </row>
    <row r="1661" spans="1:24" x14ac:dyDescent="0.3">
      <c r="A1661">
        <v>19543</v>
      </c>
      <c r="B1661" t="s">
        <v>5168</v>
      </c>
      <c r="C1661" s="3">
        <v>41291</v>
      </c>
      <c r="D1661" t="s">
        <v>148</v>
      </c>
      <c r="E1661">
        <v>8</v>
      </c>
      <c r="F1661" s="3">
        <f ca="1">41293+(RANDBETWEEN(1,10))</f>
        <v>41298</v>
      </c>
      <c r="G1661" t="s">
        <v>26</v>
      </c>
      <c r="H1661" t="s">
        <v>27</v>
      </c>
      <c r="I1661" t="s">
        <v>28</v>
      </c>
      <c r="J1661">
        <v>170.41499999999999</v>
      </c>
      <c r="K1661">
        <v>0.1</v>
      </c>
      <c r="L1661">
        <v>0.37</v>
      </c>
      <c r="M1661">
        <v>25.795000000000002</v>
      </c>
      <c r="N1661">
        <v>-519.58479999999997</v>
      </c>
      <c r="O1661" s="1" t="s">
        <v>87</v>
      </c>
      <c r="P1661" s="1" t="s">
        <v>5169</v>
      </c>
      <c r="Q1661" s="1" t="s">
        <v>5170</v>
      </c>
      <c r="R1661" s="1" t="s">
        <v>398</v>
      </c>
      <c r="S1661" s="1" t="s">
        <v>5171</v>
      </c>
      <c r="T1661" s="1" t="s">
        <v>5172</v>
      </c>
      <c r="U1661" s="2" t="s">
        <v>2975</v>
      </c>
      <c r="V1661" s="2" t="s">
        <v>47</v>
      </c>
      <c r="W1661" s="2" t="s">
        <v>74</v>
      </c>
      <c r="X1661" s="2">
        <v>22.68</v>
      </c>
    </row>
    <row r="1662" spans="1:24" x14ac:dyDescent="0.3">
      <c r="A1662">
        <v>19544</v>
      </c>
      <c r="B1662" t="s">
        <v>5173</v>
      </c>
      <c r="C1662" s="3">
        <v>41972</v>
      </c>
      <c r="D1662" t="s">
        <v>39</v>
      </c>
      <c r="E1662">
        <v>43</v>
      </c>
      <c r="F1662" s="3">
        <f ca="1">41973+(RANDBETWEEN(1,10))</f>
        <v>41980</v>
      </c>
      <c r="G1662" t="s">
        <v>26</v>
      </c>
      <c r="H1662" t="s">
        <v>27</v>
      </c>
      <c r="I1662" t="s">
        <v>86</v>
      </c>
      <c r="J1662">
        <v>16269.225</v>
      </c>
      <c r="K1662">
        <v>0.1</v>
      </c>
      <c r="L1662">
        <v>0.78</v>
      </c>
      <c r="M1662">
        <v>30.24</v>
      </c>
      <c r="N1662">
        <v>3407.5148800000002</v>
      </c>
      <c r="O1662" s="1" t="s">
        <v>87</v>
      </c>
      <c r="P1662" s="1" t="s">
        <v>1091</v>
      </c>
      <c r="Q1662" s="1" t="s">
        <v>1092</v>
      </c>
      <c r="R1662" s="1" t="s">
        <v>90</v>
      </c>
      <c r="S1662" s="1" t="s">
        <v>1093</v>
      </c>
      <c r="T1662" s="1" t="s">
        <v>1094</v>
      </c>
      <c r="U1662" s="2" t="s">
        <v>5174</v>
      </c>
      <c r="V1662" s="2" t="s">
        <v>47</v>
      </c>
      <c r="W1662" s="2" t="s">
        <v>119</v>
      </c>
      <c r="X1662" s="2">
        <v>388.60500000000002</v>
      </c>
    </row>
    <row r="1663" spans="1:24" x14ac:dyDescent="0.3">
      <c r="A1663">
        <v>19545</v>
      </c>
      <c r="B1663" t="s">
        <v>5175</v>
      </c>
      <c r="C1663" s="3">
        <v>41933</v>
      </c>
      <c r="D1663" t="s">
        <v>62</v>
      </c>
      <c r="E1663">
        <v>18</v>
      </c>
      <c r="F1663" s="3">
        <f ca="1">41935+(RANDBETWEEN(1,10))</f>
        <v>41945</v>
      </c>
      <c r="G1663" t="s">
        <v>26</v>
      </c>
      <c r="H1663" t="s">
        <v>51</v>
      </c>
      <c r="I1663" t="s">
        <v>97</v>
      </c>
      <c r="J1663">
        <v>329.14</v>
      </c>
      <c r="K1663">
        <v>0</v>
      </c>
      <c r="L1663">
        <v>0.47</v>
      </c>
      <c r="M1663">
        <v>20.02</v>
      </c>
      <c r="N1663">
        <v>-371.94499999999999</v>
      </c>
      <c r="O1663" s="1" t="s">
        <v>225</v>
      </c>
      <c r="P1663" s="1" t="s">
        <v>1482</v>
      </c>
      <c r="Q1663" s="1" t="s">
        <v>1483</v>
      </c>
      <c r="R1663" s="1" t="s">
        <v>391</v>
      </c>
      <c r="S1663" s="1" t="s">
        <v>1484</v>
      </c>
      <c r="T1663" s="1" t="s">
        <v>1485</v>
      </c>
      <c r="U1663" s="2" t="s">
        <v>5176</v>
      </c>
      <c r="V1663" s="2" t="s">
        <v>83</v>
      </c>
      <c r="W1663" s="2" t="s">
        <v>178</v>
      </c>
      <c r="X1663" s="2">
        <v>16.87</v>
      </c>
    </row>
    <row r="1664" spans="1:24" x14ac:dyDescent="0.3">
      <c r="A1664">
        <v>19546</v>
      </c>
      <c r="B1664" t="s">
        <v>5177</v>
      </c>
      <c r="C1664" s="3">
        <v>41050</v>
      </c>
      <c r="D1664" t="s">
        <v>148</v>
      </c>
      <c r="E1664">
        <v>17</v>
      </c>
      <c r="F1664" s="3">
        <f ca="1">41051+(RANDBETWEEN(1,10))</f>
        <v>41053</v>
      </c>
      <c r="G1664" t="s">
        <v>26</v>
      </c>
      <c r="H1664" t="s">
        <v>27</v>
      </c>
      <c r="I1664" t="s">
        <v>28</v>
      </c>
      <c r="J1664">
        <v>515.9</v>
      </c>
      <c r="K1664">
        <v>0.08</v>
      </c>
      <c r="L1664">
        <v>0.36</v>
      </c>
      <c r="M1664">
        <v>19.600000000000001</v>
      </c>
      <c r="N1664">
        <v>-92.575000000000003</v>
      </c>
      <c r="O1664" s="1" t="s">
        <v>87</v>
      </c>
      <c r="P1664" s="1" t="s">
        <v>5178</v>
      </c>
      <c r="Q1664" s="1" t="s">
        <v>5179</v>
      </c>
      <c r="R1664" s="1" t="s">
        <v>646</v>
      </c>
      <c r="S1664" s="1" t="s">
        <v>5180</v>
      </c>
      <c r="T1664" s="1" t="s">
        <v>5181</v>
      </c>
      <c r="U1664" s="2" t="s">
        <v>3792</v>
      </c>
      <c r="V1664" s="2" t="s">
        <v>47</v>
      </c>
      <c r="W1664" s="2" t="s">
        <v>111</v>
      </c>
      <c r="X1664" s="2">
        <v>30.975000000000001</v>
      </c>
    </row>
    <row r="1665" spans="1:24" x14ac:dyDescent="0.3">
      <c r="A1665">
        <v>19547</v>
      </c>
      <c r="B1665" t="s">
        <v>5177</v>
      </c>
      <c r="C1665" s="3">
        <v>41050</v>
      </c>
      <c r="D1665" t="s">
        <v>148</v>
      </c>
      <c r="E1665">
        <v>16</v>
      </c>
      <c r="F1665" s="3">
        <f ca="1">41050+(RANDBETWEEN(1,10))</f>
        <v>41057</v>
      </c>
      <c r="G1665" t="s">
        <v>26</v>
      </c>
      <c r="H1665" t="s">
        <v>27</v>
      </c>
      <c r="I1665" t="s">
        <v>28</v>
      </c>
      <c r="J1665">
        <v>138.94999999999999</v>
      </c>
      <c r="K1665">
        <v>0.09</v>
      </c>
      <c r="L1665">
        <v>0.39</v>
      </c>
      <c r="M1665">
        <v>1.75</v>
      </c>
      <c r="N1665">
        <v>95.875500000000002</v>
      </c>
      <c r="O1665" s="1" t="s">
        <v>87</v>
      </c>
      <c r="P1665" s="1" t="s">
        <v>5178</v>
      </c>
      <c r="Q1665" s="1" t="s">
        <v>5179</v>
      </c>
      <c r="R1665" s="1" t="s">
        <v>646</v>
      </c>
      <c r="S1665" s="1" t="s">
        <v>5180</v>
      </c>
      <c r="T1665" s="1" t="s">
        <v>5181</v>
      </c>
      <c r="U1665" s="2" t="s">
        <v>1706</v>
      </c>
      <c r="V1665" s="2" t="s">
        <v>47</v>
      </c>
      <c r="W1665" s="2" t="s">
        <v>203</v>
      </c>
      <c r="X1665" s="2">
        <v>9.1349999999999998</v>
      </c>
    </row>
    <row r="1666" spans="1:24" x14ac:dyDescent="0.3">
      <c r="A1666">
        <v>19548</v>
      </c>
      <c r="B1666" t="s">
        <v>5177</v>
      </c>
      <c r="C1666" s="3">
        <v>41050</v>
      </c>
      <c r="D1666" t="s">
        <v>148</v>
      </c>
      <c r="E1666">
        <v>2</v>
      </c>
      <c r="F1666" s="3">
        <f ca="1">41051+(RANDBETWEEN(1,10))</f>
        <v>41061</v>
      </c>
      <c r="G1666" t="s">
        <v>26</v>
      </c>
      <c r="H1666" t="s">
        <v>27</v>
      </c>
      <c r="I1666" t="s">
        <v>28</v>
      </c>
      <c r="J1666">
        <v>40.04</v>
      </c>
      <c r="K1666">
        <v>0.05</v>
      </c>
      <c r="L1666">
        <v>0.38</v>
      </c>
      <c r="M1666">
        <v>16.45</v>
      </c>
      <c r="N1666">
        <v>-50.155000000000001</v>
      </c>
      <c r="O1666" s="1" t="s">
        <v>87</v>
      </c>
      <c r="P1666" s="1" t="s">
        <v>5178</v>
      </c>
      <c r="Q1666" s="1" t="s">
        <v>5179</v>
      </c>
      <c r="R1666" s="1" t="s">
        <v>646</v>
      </c>
      <c r="S1666" s="1" t="s">
        <v>5180</v>
      </c>
      <c r="T1666" s="1" t="s">
        <v>5181</v>
      </c>
      <c r="U1666" s="2" t="s">
        <v>5182</v>
      </c>
      <c r="V1666" s="2" t="s">
        <v>47</v>
      </c>
      <c r="W1666" s="2" t="s">
        <v>74</v>
      </c>
      <c r="X1666" s="2">
        <v>17.43</v>
      </c>
    </row>
    <row r="1667" spans="1:24" x14ac:dyDescent="0.3">
      <c r="A1667">
        <v>19549</v>
      </c>
      <c r="B1667" t="s">
        <v>5183</v>
      </c>
      <c r="C1667" s="3">
        <v>41728</v>
      </c>
      <c r="D1667" t="s">
        <v>62</v>
      </c>
      <c r="E1667">
        <v>9</v>
      </c>
      <c r="F1667" s="3">
        <f ca="1">41730+(RANDBETWEEN(1,10))</f>
        <v>41736</v>
      </c>
      <c r="G1667" t="s">
        <v>26</v>
      </c>
      <c r="H1667" t="s">
        <v>51</v>
      </c>
      <c r="I1667" t="s">
        <v>28</v>
      </c>
      <c r="J1667">
        <v>188.72</v>
      </c>
      <c r="K1667">
        <v>0.08</v>
      </c>
      <c r="L1667">
        <v>0.68</v>
      </c>
      <c r="M1667">
        <v>13.475</v>
      </c>
      <c r="N1667">
        <v>-333.09500000000003</v>
      </c>
      <c r="O1667" s="1" t="s">
        <v>87</v>
      </c>
      <c r="P1667" s="1" t="s">
        <v>5184</v>
      </c>
      <c r="Q1667" s="1" t="s">
        <v>5185</v>
      </c>
      <c r="R1667" s="1" t="s">
        <v>497</v>
      </c>
      <c r="S1667" s="1" t="s">
        <v>5186</v>
      </c>
      <c r="T1667" s="1" t="s">
        <v>5187</v>
      </c>
      <c r="U1667" s="2" t="s">
        <v>3286</v>
      </c>
      <c r="V1667" s="2" t="s">
        <v>36</v>
      </c>
      <c r="W1667" s="2" t="s">
        <v>60</v>
      </c>
      <c r="X1667" s="2">
        <v>20.93</v>
      </c>
    </row>
    <row r="1668" spans="1:24" x14ac:dyDescent="0.3">
      <c r="A1668">
        <v>1955</v>
      </c>
      <c r="B1668" t="s">
        <v>5155</v>
      </c>
      <c r="C1668" s="3">
        <v>41852</v>
      </c>
      <c r="D1668" t="s">
        <v>50</v>
      </c>
      <c r="E1668">
        <v>78</v>
      </c>
      <c r="F1668" s="3">
        <f ca="1">41853+(RANDBETWEEN(1,10))</f>
        <v>41854</v>
      </c>
      <c r="G1668" t="s">
        <v>26</v>
      </c>
      <c r="H1668" t="s">
        <v>27</v>
      </c>
      <c r="I1668" t="s">
        <v>97</v>
      </c>
      <c r="J1668">
        <v>4388.72</v>
      </c>
      <c r="K1668">
        <v>0</v>
      </c>
      <c r="L1668">
        <v>0.56999999999999995</v>
      </c>
      <c r="M1668">
        <v>26.914999999999999</v>
      </c>
      <c r="N1668">
        <v>-125.72</v>
      </c>
      <c r="O1668" s="1" t="s">
        <v>87</v>
      </c>
      <c r="P1668" s="1" t="s">
        <v>5156</v>
      </c>
      <c r="Q1668" s="1" t="s">
        <v>5157</v>
      </c>
      <c r="R1668" s="1" t="s">
        <v>398</v>
      </c>
      <c r="S1668" s="1" t="s">
        <v>3179</v>
      </c>
      <c r="T1668" s="1" t="s">
        <v>5158</v>
      </c>
      <c r="U1668" s="2" t="s">
        <v>3304</v>
      </c>
      <c r="V1668" s="2" t="s">
        <v>47</v>
      </c>
      <c r="W1668" s="2" t="s">
        <v>119</v>
      </c>
      <c r="X1668" s="2">
        <v>52.43</v>
      </c>
    </row>
    <row r="1669" spans="1:24" x14ac:dyDescent="0.3">
      <c r="A1669">
        <v>19550</v>
      </c>
      <c r="B1669" t="s">
        <v>5188</v>
      </c>
      <c r="C1669" s="3">
        <v>40642</v>
      </c>
      <c r="D1669" t="s">
        <v>148</v>
      </c>
      <c r="E1669">
        <v>8</v>
      </c>
      <c r="F1669" s="3">
        <f ca="1">40643+(RANDBETWEEN(1,10))</f>
        <v>40653</v>
      </c>
      <c r="G1669" t="s">
        <v>26</v>
      </c>
      <c r="H1669" t="s">
        <v>27</v>
      </c>
      <c r="I1669" t="s">
        <v>28</v>
      </c>
      <c r="J1669">
        <v>2983.855</v>
      </c>
      <c r="K1669">
        <v>7.0000000000000007E-2</v>
      </c>
      <c r="L1669">
        <v>0.59</v>
      </c>
      <c r="M1669">
        <v>26.914999999999999</v>
      </c>
      <c r="N1669">
        <v>2058.85995</v>
      </c>
      <c r="O1669" s="1" t="s">
        <v>29</v>
      </c>
      <c r="P1669" s="1" t="s">
        <v>3083</v>
      </c>
      <c r="Q1669" s="1" t="s">
        <v>3084</v>
      </c>
      <c r="R1669" s="1" t="s">
        <v>460</v>
      </c>
      <c r="S1669" s="1" t="s">
        <v>3085</v>
      </c>
      <c r="T1669" s="1" t="s">
        <v>3086</v>
      </c>
      <c r="U1669" s="2" t="s">
        <v>2809</v>
      </c>
      <c r="V1669" s="2" t="s">
        <v>36</v>
      </c>
      <c r="W1669" s="2" t="s">
        <v>37</v>
      </c>
      <c r="X1669" s="2">
        <v>440.96499999999997</v>
      </c>
    </row>
    <row r="1670" spans="1:24" x14ac:dyDescent="0.3">
      <c r="A1670">
        <v>19551</v>
      </c>
      <c r="B1670" t="s">
        <v>5189</v>
      </c>
      <c r="C1670" s="3">
        <v>41715</v>
      </c>
      <c r="D1670" t="s">
        <v>148</v>
      </c>
      <c r="E1670">
        <v>2</v>
      </c>
      <c r="F1670" s="3">
        <f ca="1">41716+(RANDBETWEEN(1,10))</f>
        <v>41726</v>
      </c>
      <c r="G1670" t="s">
        <v>26</v>
      </c>
      <c r="H1670" t="s">
        <v>27</v>
      </c>
      <c r="I1670" t="s">
        <v>28</v>
      </c>
      <c r="J1670">
        <v>297.32499999999999</v>
      </c>
      <c r="K1670">
        <v>0.05</v>
      </c>
      <c r="L1670">
        <v>0.39</v>
      </c>
      <c r="M1670">
        <v>10.465</v>
      </c>
      <c r="N1670">
        <v>205.15424999999999</v>
      </c>
      <c r="O1670" s="1" t="s">
        <v>29</v>
      </c>
      <c r="P1670" s="1" t="s">
        <v>3469</v>
      </c>
      <c r="Q1670" s="1" t="s">
        <v>3470</v>
      </c>
      <c r="R1670" s="1" t="s">
        <v>460</v>
      </c>
      <c r="S1670" s="1" t="s">
        <v>3471</v>
      </c>
      <c r="T1670" s="1" t="s">
        <v>3472</v>
      </c>
      <c r="U1670" s="2" t="s">
        <v>2837</v>
      </c>
      <c r="V1670" s="2" t="s">
        <v>47</v>
      </c>
      <c r="W1670" s="2" t="s">
        <v>111</v>
      </c>
      <c r="X1670" s="2">
        <v>151.935</v>
      </c>
    </row>
    <row r="1671" spans="1:24" x14ac:dyDescent="0.3">
      <c r="A1671">
        <v>19552</v>
      </c>
      <c r="B1671" t="s">
        <v>5190</v>
      </c>
      <c r="C1671" s="3">
        <v>40905</v>
      </c>
      <c r="D1671" t="s">
        <v>25</v>
      </c>
      <c r="E1671">
        <v>12</v>
      </c>
      <c r="F1671" s="3">
        <f ca="1">40907+(RANDBETWEEN(1,10))</f>
        <v>40917</v>
      </c>
      <c r="G1671" t="s">
        <v>26</v>
      </c>
      <c r="H1671" t="s">
        <v>27</v>
      </c>
      <c r="I1671" t="s">
        <v>86</v>
      </c>
      <c r="J1671">
        <v>2076.6550000000002</v>
      </c>
      <c r="K1671">
        <v>0.09</v>
      </c>
      <c r="L1671">
        <v>0.41</v>
      </c>
      <c r="M1671">
        <v>69.965000000000003</v>
      </c>
      <c r="N1671">
        <v>-29.802499999999998</v>
      </c>
      <c r="O1671" s="1" t="s">
        <v>40</v>
      </c>
      <c r="P1671" s="1" t="s">
        <v>5191</v>
      </c>
      <c r="Q1671" s="1" t="s">
        <v>5192</v>
      </c>
      <c r="R1671" s="1" t="s">
        <v>43</v>
      </c>
      <c r="S1671" s="1" t="s">
        <v>1587</v>
      </c>
      <c r="T1671" s="1" t="s">
        <v>1588</v>
      </c>
      <c r="U1671" s="2" t="s">
        <v>300</v>
      </c>
      <c r="V1671" s="2" t="s">
        <v>36</v>
      </c>
      <c r="W1671" s="2" t="s">
        <v>60</v>
      </c>
      <c r="X1671" s="2">
        <v>174.965</v>
      </c>
    </row>
    <row r="1672" spans="1:24" x14ac:dyDescent="0.3">
      <c r="A1672">
        <v>19553</v>
      </c>
      <c r="B1672" t="s">
        <v>5190</v>
      </c>
      <c r="C1672" s="3">
        <v>40905</v>
      </c>
      <c r="D1672" t="s">
        <v>25</v>
      </c>
      <c r="E1672">
        <v>3</v>
      </c>
      <c r="F1672" s="3">
        <f ca="1">40909+(RANDBETWEEN(1,10))</f>
        <v>40913</v>
      </c>
      <c r="G1672" t="s">
        <v>26</v>
      </c>
      <c r="H1672" t="s">
        <v>27</v>
      </c>
      <c r="I1672" t="s">
        <v>86</v>
      </c>
      <c r="J1672">
        <v>310.94</v>
      </c>
      <c r="K1672">
        <v>0.03</v>
      </c>
      <c r="L1672">
        <v>0.38</v>
      </c>
      <c r="M1672">
        <v>5.2149999999999999</v>
      </c>
      <c r="N1672">
        <v>208.04175000000001</v>
      </c>
      <c r="O1672" s="1" t="s">
        <v>87</v>
      </c>
      <c r="P1672" s="1" t="s">
        <v>5193</v>
      </c>
      <c r="Q1672" s="1" t="s">
        <v>5194</v>
      </c>
      <c r="R1672" s="1" t="s">
        <v>646</v>
      </c>
      <c r="S1672" s="1" t="s">
        <v>5195</v>
      </c>
      <c r="T1672" s="1" t="s">
        <v>648</v>
      </c>
      <c r="U1672" s="2" t="s">
        <v>301</v>
      </c>
      <c r="V1672" s="2" t="s">
        <v>47</v>
      </c>
      <c r="W1672" s="2" t="s">
        <v>111</v>
      </c>
      <c r="X1672" s="2">
        <v>99.855000000000004</v>
      </c>
    </row>
    <row r="1673" spans="1:24" x14ac:dyDescent="0.3">
      <c r="A1673">
        <v>19554</v>
      </c>
      <c r="B1673" t="s">
        <v>5196</v>
      </c>
      <c r="C1673" s="3">
        <v>41516</v>
      </c>
      <c r="D1673" t="s">
        <v>50</v>
      </c>
      <c r="E1673">
        <v>12</v>
      </c>
      <c r="F1673" s="3">
        <f ca="1">41518+(RANDBETWEEN(1,10))</f>
        <v>41522</v>
      </c>
      <c r="G1673" t="s">
        <v>26</v>
      </c>
      <c r="H1673" t="s">
        <v>27</v>
      </c>
      <c r="I1673" t="s">
        <v>28</v>
      </c>
      <c r="J1673">
        <v>464.52</v>
      </c>
      <c r="K1673">
        <v>0.02</v>
      </c>
      <c r="L1673">
        <v>0.36</v>
      </c>
      <c r="M1673">
        <v>16.8</v>
      </c>
      <c r="N1673">
        <v>185.02959999999999</v>
      </c>
      <c r="O1673" s="1" t="s">
        <v>40</v>
      </c>
      <c r="P1673" s="1" t="s">
        <v>5197</v>
      </c>
      <c r="Q1673" s="1" t="s">
        <v>5198</v>
      </c>
      <c r="R1673" s="1" t="s">
        <v>43</v>
      </c>
      <c r="S1673" s="1" t="s">
        <v>802</v>
      </c>
      <c r="T1673" s="1" t="s">
        <v>803</v>
      </c>
      <c r="U1673" s="2" t="s">
        <v>3188</v>
      </c>
      <c r="V1673" s="2" t="s">
        <v>47</v>
      </c>
      <c r="W1673" s="2" t="s">
        <v>48</v>
      </c>
      <c r="X1673" s="2">
        <v>38.43</v>
      </c>
    </row>
    <row r="1674" spans="1:24" x14ac:dyDescent="0.3">
      <c r="A1674">
        <v>19555</v>
      </c>
      <c r="B1674" t="s">
        <v>5199</v>
      </c>
      <c r="C1674" s="3">
        <v>41212</v>
      </c>
      <c r="D1674" t="s">
        <v>39</v>
      </c>
      <c r="E1674">
        <v>20</v>
      </c>
      <c r="F1674" s="3">
        <f ca="1">41212+(RANDBETWEEN(1,10))</f>
        <v>41217</v>
      </c>
      <c r="G1674" t="s">
        <v>26</v>
      </c>
      <c r="H1674" t="s">
        <v>96</v>
      </c>
      <c r="I1674" t="s">
        <v>86</v>
      </c>
      <c r="J1674">
        <v>464.45</v>
      </c>
      <c r="K1674">
        <v>7.0000000000000007E-2</v>
      </c>
      <c r="L1674">
        <v>0.39</v>
      </c>
      <c r="M1674">
        <v>7</v>
      </c>
      <c r="N1674">
        <v>238.50540000000001</v>
      </c>
      <c r="O1674" s="1" t="s">
        <v>87</v>
      </c>
      <c r="P1674" s="1" t="s">
        <v>716</v>
      </c>
      <c r="Q1674" s="1" t="s">
        <v>717</v>
      </c>
      <c r="R1674" s="1" t="s">
        <v>646</v>
      </c>
      <c r="S1674" s="1" t="s">
        <v>718</v>
      </c>
      <c r="T1674" s="1" t="s">
        <v>719</v>
      </c>
      <c r="U1674" s="2" t="s">
        <v>336</v>
      </c>
      <c r="V1674" s="2" t="s">
        <v>47</v>
      </c>
      <c r="W1674" s="2" t="s">
        <v>74</v>
      </c>
      <c r="X1674" s="2">
        <v>24.08</v>
      </c>
    </row>
    <row r="1675" spans="1:24" x14ac:dyDescent="0.3">
      <c r="A1675">
        <v>19556</v>
      </c>
      <c r="B1675" t="s">
        <v>5199</v>
      </c>
      <c r="C1675" s="3">
        <v>41212</v>
      </c>
      <c r="D1675" t="s">
        <v>39</v>
      </c>
      <c r="E1675">
        <v>7</v>
      </c>
      <c r="F1675" s="3">
        <f ca="1">41212+(RANDBETWEEN(1,10))</f>
        <v>41215</v>
      </c>
      <c r="G1675" t="s">
        <v>26</v>
      </c>
      <c r="H1675" t="s">
        <v>96</v>
      </c>
      <c r="I1675" t="s">
        <v>86</v>
      </c>
      <c r="J1675">
        <v>72.38</v>
      </c>
      <c r="K1675">
        <v>0.01</v>
      </c>
      <c r="L1675">
        <v>0.44</v>
      </c>
      <c r="M1675">
        <v>14.98</v>
      </c>
      <c r="N1675">
        <v>-157.059</v>
      </c>
      <c r="O1675" s="1" t="s">
        <v>87</v>
      </c>
      <c r="P1675" s="1" t="s">
        <v>716</v>
      </c>
      <c r="Q1675" s="1" t="s">
        <v>717</v>
      </c>
      <c r="R1675" s="1" t="s">
        <v>646</v>
      </c>
      <c r="S1675" s="1" t="s">
        <v>718</v>
      </c>
      <c r="T1675" s="1" t="s">
        <v>719</v>
      </c>
      <c r="U1675" s="2" t="s">
        <v>5200</v>
      </c>
      <c r="V1675" s="2" t="s">
        <v>47</v>
      </c>
      <c r="W1675" s="2" t="s">
        <v>104</v>
      </c>
      <c r="X1675" s="2">
        <v>8.82</v>
      </c>
    </row>
    <row r="1676" spans="1:24" x14ac:dyDescent="0.3">
      <c r="A1676">
        <v>19557</v>
      </c>
      <c r="B1676" t="s">
        <v>5199</v>
      </c>
      <c r="C1676" s="3">
        <v>41212</v>
      </c>
      <c r="D1676" t="s">
        <v>39</v>
      </c>
      <c r="E1676">
        <v>2</v>
      </c>
      <c r="F1676" s="3">
        <f ca="1">41214+(RANDBETWEEN(1,10))</f>
        <v>41220</v>
      </c>
      <c r="G1676" t="s">
        <v>26</v>
      </c>
      <c r="H1676" t="s">
        <v>27</v>
      </c>
      <c r="I1676" t="s">
        <v>86</v>
      </c>
      <c r="J1676">
        <v>2852.08</v>
      </c>
      <c r="K1676">
        <v>0.03</v>
      </c>
      <c r="L1676">
        <v>0.56999999999999995</v>
      </c>
      <c r="M1676">
        <v>39.795000000000002</v>
      </c>
      <c r="N1676">
        <v>-739.74599999999998</v>
      </c>
      <c r="O1676" s="1" t="s">
        <v>87</v>
      </c>
      <c r="P1676" s="1" t="s">
        <v>5201</v>
      </c>
      <c r="Q1676" s="1" t="s">
        <v>5202</v>
      </c>
      <c r="R1676" s="1" t="s">
        <v>90</v>
      </c>
      <c r="S1676" s="1" t="s">
        <v>5203</v>
      </c>
      <c r="T1676" s="1" t="s">
        <v>5204</v>
      </c>
      <c r="U1676" s="2" t="s">
        <v>1298</v>
      </c>
      <c r="V1676" s="2" t="s">
        <v>47</v>
      </c>
      <c r="W1676" s="2" t="s">
        <v>119</v>
      </c>
      <c r="X1676" s="2">
        <v>1455.58</v>
      </c>
    </row>
    <row r="1677" spans="1:24" x14ac:dyDescent="0.3">
      <c r="A1677">
        <v>19558</v>
      </c>
      <c r="B1677" t="s">
        <v>5199</v>
      </c>
      <c r="C1677" s="3">
        <v>41212</v>
      </c>
      <c r="D1677" t="s">
        <v>39</v>
      </c>
      <c r="E1677">
        <v>22</v>
      </c>
      <c r="F1677" s="3">
        <f ca="1">41213+(RANDBETWEEN(1,10))</f>
        <v>41219</v>
      </c>
      <c r="G1677" t="s">
        <v>26</v>
      </c>
      <c r="H1677" t="s">
        <v>27</v>
      </c>
      <c r="I1677" t="s">
        <v>86</v>
      </c>
      <c r="J1677">
        <v>410.16500000000002</v>
      </c>
      <c r="K1677">
        <v>0.01</v>
      </c>
      <c r="L1677">
        <v>0.37</v>
      </c>
      <c r="M1677">
        <v>17.324999999999999</v>
      </c>
      <c r="N1677">
        <v>-355.49766</v>
      </c>
      <c r="O1677" s="1" t="s">
        <v>87</v>
      </c>
      <c r="P1677" s="1" t="s">
        <v>5205</v>
      </c>
      <c r="Q1677" s="1" t="s">
        <v>5206</v>
      </c>
      <c r="R1677" s="1" t="s">
        <v>398</v>
      </c>
      <c r="S1677" s="1" t="s">
        <v>5207</v>
      </c>
      <c r="T1677" s="1" t="s">
        <v>5208</v>
      </c>
      <c r="U1677" s="2" t="s">
        <v>5209</v>
      </c>
      <c r="V1677" s="2" t="s">
        <v>47</v>
      </c>
      <c r="W1677" s="2" t="s">
        <v>111</v>
      </c>
      <c r="X1677" s="2">
        <v>17.43</v>
      </c>
    </row>
    <row r="1678" spans="1:24" x14ac:dyDescent="0.3">
      <c r="A1678">
        <v>19559</v>
      </c>
      <c r="B1678" t="s">
        <v>5210</v>
      </c>
      <c r="C1678" s="3">
        <v>41679</v>
      </c>
      <c r="D1678" t="s">
        <v>62</v>
      </c>
      <c r="E1678">
        <v>8</v>
      </c>
      <c r="F1678" s="3">
        <f ca="1">41681+(RANDBETWEEN(1,10))</f>
        <v>41690</v>
      </c>
      <c r="G1678" t="s">
        <v>76</v>
      </c>
      <c r="H1678" t="s">
        <v>258</v>
      </c>
      <c r="I1678" t="s">
        <v>86</v>
      </c>
      <c r="J1678">
        <v>5235.16</v>
      </c>
      <c r="K1678">
        <v>0.03</v>
      </c>
      <c r="L1678">
        <v>0.74</v>
      </c>
      <c r="M1678">
        <v>102.235</v>
      </c>
      <c r="N1678">
        <v>-1516.5155004999999</v>
      </c>
      <c r="O1678" s="1" t="s">
        <v>29</v>
      </c>
      <c r="P1678" s="1" t="s">
        <v>5211</v>
      </c>
      <c r="Q1678" s="1" t="s">
        <v>5212</v>
      </c>
      <c r="R1678" s="1" t="s">
        <v>32</v>
      </c>
      <c r="S1678" s="1" t="s">
        <v>1045</v>
      </c>
      <c r="T1678" s="1" t="s">
        <v>1046</v>
      </c>
      <c r="U1678" s="2" t="s">
        <v>1724</v>
      </c>
      <c r="V1678" s="2" t="s">
        <v>83</v>
      </c>
      <c r="W1678" s="2" t="s">
        <v>263</v>
      </c>
      <c r="X1678" s="2">
        <v>627.51499999999999</v>
      </c>
    </row>
    <row r="1679" spans="1:24" x14ac:dyDescent="0.3">
      <c r="A1679">
        <v>1956</v>
      </c>
      <c r="B1679" t="s">
        <v>5155</v>
      </c>
      <c r="C1679" s="3">
        <v>41852</v>
      </c>
      <c r="D1679" t="s">
        <v>50</v>
      </c>
      <c r="E1679">
        <v>36</v>
      </c>
      <c r="F1679" s="3">
        <f ca="1">41853+(RANDBETWEEN(1,10))</f>
        <v>41862</v>
      </c>
      <c r="G1679" t="s">
        <v>156</v>
      </c>
      <c r="H1679" t="s">
        <v>27</v>
      </c>
      <c r="I1679" t="s">
        <v>97</v>
      </c>
      <c r="J1679">
        <v>1654.17</v>
      </c>
      <c r="K1679">
        <v>0.04</v>
      </c>
      <c r="L1679">
        <v>0.57999999999999996</v>
      </c>
      <c r="M1679">
        <v>17.43</v>
      </c>
      <c r="N1679">
        <v>-7.84</v>
      </c>
      <c r="O1679" s="1" t="s">
        <v>87</v>
      </c>
      <c r="P1679" s="1" t="s">
        <v>5156</v>
      </c>
      <c r="Q1679" s="1" t="s">
        <v>5157</v>
      </c>
      <c r="R1679" s="1" t="s">
        <v>398</v>
      </c>
      <c r="S1679" s="1" t="s">
        <v>3179</v>
      </c>
      <c r="T1679" s="1" t="s">
        <v>5158</v>
      </c>
      <c r="U1679" s="2" t="s">
        <v>5213</v>
      </c>
      <c r="V1679" s="2" t="s">
        <v>47</v>
      </c>
      <c r="W1679" s="2" t="s">
        <v>71</v>
      </c>
      <c r="X1679" s="2">
        <v>41.895000000000003</v>
      </c>
    </row>
    <row r="1680" spans="1:24" x14ac:dyDescent="0.3">
      <c r="A1680">
        <v>19560</v>
      </c>
      <c r="B1680" t="s">
        <v>5214</v>
      </c>
      <c r="C1680" s="3">
        <v>41785</v>
      </c>
      <c r="D1680" t="s">
        <v>25</v>
      </c>
      <c r="E1680">
        <v>13</v>
      </c>
      <c r="F1680" s="3">
        <f ca="1">41789+(RANDBETWEEN(1,10))</f>
        <v>41794</v>
      </c>
      <c r="G1680" t="s">
        <v>156</v>
      </c>
      <c r="H1680" t="s">
        <v>27</v>
      </c>
      <c r="I1680" t="s">
        <v>97</v>
      </c>
      <c r="J1680">
        <v>2430.2249999999999</v>
      </c>
      <c r="K1680">
        <v>0.09</v>
      </c>
      <c r="L1680">
        <v>0.57999999999999996</v>
      </c>
      <c r="M1680">
        <v>20.965</v>
      </c>
      <c r="N1680">
        <v>1242.3599999999999</v>
      </c>
      <c r="O1680" s="1" t="s">
        <v>29</v>
      </c>
      <c r="P1680" s="1" t="s">
        <v>852</v>
      </c>
      <c r="Q1680" s="1" t="s">
        <v>853</v>
      </c>
      <c r="R1680" s="1" t="s">
        <v>460</v>
      </c>
      <c r="S1680" s="1" t="s">
        <v>854</v>
      </c>
      <c r="T1680" s="1" t="s">
        <v>855</v>
      </c>
      <c r="U1680" s="2" t="s">
        <v>326</v>
      </c>
      <c r="V1680" s="2" t="s">
        <v>36</v>
      </c>
      <c r="W1680" s="2" t="s">
        <v>37</v>
      </c>
      <c r="X1680" s="2">
        <v>230.965</v>
      </c>
    </row>
    <row r="1681" spans="1:24" x14ac:dyDescent="0.3">
      <c r="A1681">
        <v>19561</v>
      </c>
      <c r="B1681" t="s">
        <v>5214</v>
      </c>
      <c r="C1681" s="3">
        <v>41785</v>
      </c>
      <c r="D1681" t="s">
        <v>25</v>
      </c>
      <c r="E1681">
        <v>16</v>
      </c>
      <c r="F1681" s="3">
        <f ca="1">41792+(RANDBETWEEN(1,10))</f>
        <v>41798</v>
      </c>
      <c r="G1681" t="s">
        <v>26</v>
      </c>
      <c r="H1681" t="s">
        <v>27</v>
      </c>
      <c r="I1681" t="s">
        <v>97</v>
      </c>
      <c r="J1681">
        <v>266.59500000000003</v>
      </c>
      <c r="K1681">
        <v>0.04</v>
      </c>
      <c r="L1681">
        <v>0.36</v>
      </c>
      <c r="M1681">
        <v>1.75</v>
      </c>
      <c r="N1681">
        <v>183.95054999999999</v>
      </c>
      <c r="O1681" s="1" t="s">
        <v>29</v>
      </c>
      <c r="P1681" s="1" t="s">
        <v>5215</v>
      </c>
      <c r="Q1681" s="1" t="s">
        <v>5216</v>
      </c>
      <c r="R1681" s="1" t="s">
        <v>32</v>
      </c>
      <c r="S1681" s="1" t="s">
        <v>5217</v>
      </c>
      <c r="T1681" s="1" t="s">
        <v>5218</v>
      </c>
      <c r="U1681" s="2" t="s">
        <v>1158</v>
      </c>
      <c r="V1681" s="2" t="s">
        <v>47</v>
      </c>
      <c r="W1681" s="2" t="s">
        <v>203</v>
      </c>
      <c r="X1681" s="2">
        <v>17.184999999999999</v>
      </c>
    </row>
    <row r="1682" spans="1:24" x14ac:dyDescent="0.3">
      <c r="A1682">
        <v>19562</v>
      </c>
      <c r="B1682" t="s">
        <v>5214</v>
      </c>
      <c r="C1682" s="3">
        <v>41785</v>
      </c>
      <c r="D1682" t="s">
        <v>25</v>
      </c>
      <c r="E1682">
        <v>1</v>
      </c>
      <c r="F1682" s="3">
        <f ca="1">41792+(RANDBETWEEN(1,10))</f>
        <v>41793</v>
      </c>
      <c r="G1682" t="s">
        <v>26</v>
      </c>
      <c r="H1682" t="s">
        <v>27</v>
      </c>
      <c r="I1682" t="s">
        <v>97</v>
      </c>
      <c r="J1682">
        <v>164.535</v>
      </c>
      <c r="K1682">
        <v>0.09</v>
      </c>
      <c r="L1682">
        <v>0.67</v>
      </c>
      <c r="M1682">
        <v>69.965000000000003</v>
      </c>
      <c r="N1682">
        <v>-67.62</v>
      </c>
      <c r="O1682" s="1" t="s">
        <v>29</v>
      </c>
      <c r="P1682" s="1" t="s">
        <v>5215</v>
      </c>
      <c r="Q1682" s="1" t="s">
        <v>5216</v>
      </c>
      <c r="R1682" s="1" t="s">
        <v>32</v>
      </c>
      <c r="S1682" s="1" t="s">
        <v>5217</v>
      </c>
      <c r="T1682" s="1" t="s">
        <v>5218</v>
      </c>
      <c r="U1682" s="2" t="s">
        <v>3823</v>
      </c>
      <c r="V1682" s="2" t="s">
        <v>47</v>
      </c>
      <c r="W1682" s="2" t="s">
        <v>119</v>
      </c>
      <c r="X1682" s="2">
        <v>97.125</v>
      </c>
    </row>
    <row r="1683" spans="1:24" x14ac:dyDescent="0.3">
      <c r="A1683">
        <v>19563</v>
      </c>
      <c r="B1683" t="s">
        <v>5219</v>
      </c>
      <c r="C1683" s="3">
        <v>41455</v>
      </c>
      <c r="D1683" t="s">
        <v>39</v>
      </c>
      <c r="E1683">
        <v>6</v>
      </c>
      <c r="F1683" s="3">
        <f ca="1">41456+(RANDBETWEEN(1,10))</f>
        <v>41461</v>
      </c>
      <c r="G1683" t="s">
        <v>156</v>
      </c>
      <c r="H1683" t="s">
        <v>27</v>
      </c>
      <c r="I1683" t="s">
        <v>28</v>
      </c>
      <c r="J1683">
        <v>196.10499999999999</v>
      </c>
      <c r="K1683">
        <v>0.04</v>
      </c>
      <c r="L1683">
        <v>0.38</v>
      </c>
      <c r="M1683">
        <v>21.664999999999999</v>
      </c>
      <c r="N1683">
        <v>-210.57995</v>
      </c>
      <c r="O1683" s="1" t="s">
        <v>53</v>
      </c>
      <c r="P1683" s="1" t="s">
        <v>2791</v>
      </c>
      <c r="Q1683" s="1" t="s">
        <v>2792</v>
      </c>
      <c r="R1683" s="1" t="s">
        <v>100</v>
      </c>
      <c r="S1683" s="1" t="s">
        <v>2793</v>
      </c>
      <c r="T1683" s="1" t="s">
        <v>2794</v>
      </c>
      <c r="U1683" s="2" t="s">
        <v>1202</v>
      </c>
      <c r="V1683" s="2" t="s">
        <v>47</v>
      </c>
      <c r="W1683" s="2" t="s">
        <v>111</v>
      </c>
      <c r="X1683" s="2">
        <v>30.1</v>
      </c>
    </row>
    <row r="1684" spans="1:24" x14ac:dyDescent="0.3">
      <c r="A1684">
        <v>19564</v>
      </c>
      <c r="B1684" t="s">
        <v>5220</v>
      </c>
      <c r="C1684" s="3">
        <v>41565</v>
      </c>
      <c r="D1684" t="s">
        <v>39</v>
      </c>
      <c r="E1684">
        <v>23</v>
      </c>
      <c r="F1684" s="3">
        <f ca="1">41567+(RANDBETWEEN(1,10))</f>
        <v>41572</v>
      </c>
      <c r="G1684" t="s">
        <v>26</v>
      </c>
      <c r="H1684" t="s">
        <v>96</v>
      </c>
      <c r="I1684" t="s">
        <v>28</v>
      </c>
      <c r="J1684">
        <v>276.29000000000002</v>
      </c>
      <c r="K1684">
        <v>0</v>
      </c>
      <c r="L1684">
        <v>0.56000000000000005</v>
      </c>
      <c r="M1684">
        <v>13.895</v>
      </c>
      <c r="N1684">
        <v>-437.72399999999999</v>
      </c>
      <c r="O1684" s="1" t="s">
        <v>225</v>
      </c>
      <c r="P1684" s="1" t="s">
        <v>5221</v>
      </c>
      <c r="Q1684" s="1" t="s">
        <v>5222</v>
      </c>
      <c r="R1684" s="1" t="s">
        <v>391</v>
      </c>
      <c r="S1684" s="1" t="s">
        <v>5223</v>
      </c>
      <c r="T1684" s="1" t="s">
        <v>5224</v>
      </c>
      <c r="U1684" s="2" t="s">
        <v>4166</v>
      </c>
      <c r="V1684" s="2" t="s">
        <v>47</v>
      </c>
      <c r="W1684" s="2" t="s">
        <v>104</v>
      </c>
      <c r="X1684" s="2">
        <v>11.48</v>
      </c>
    </row>
    <row r="1685" spans="1:24" x14ac:dyDescent="0.3">
      <c r="A1685">
        <v>19565</v>
      </c>
      <c r="B1685" t="s">
        <v>5225</v>
      </c>
      <c r="C1685" s="3">
        <v>41720</v>
      </c>
      <c r="D1685" t="s">
        <v>148</v>
      </c>
      <c r="E1685">
        <v>7</v>
      </c>
      <c r="F1685" s="3">
        <f ca="1">41720+(RANDBETWEEN(1,10))</f>
        <v>41721</v>
      </c>
      <c r="G1685" t="s">
        <v>26</v>
      </c>
      <c r="H1685" t="s">
        <v>27</v>
      </c>
      <c r="I1685" t="s">
        <v>52</v>
      </c>
      <c r="J1685">
        <v>1009.54</v>
      </c>
      <c r="K1685">
        <v>0.04</v>
      </c>
      <c r="L1685">
        <v>0.7</v>
      </c>
      <c r="M1685">
        <v>14</v>
      </c>
      <c r="N1685">
        <v>376.07499999999999</v>
      </c>
      <c r="O1685" s="1" t="s">
        <v>40</v>
      </c>
      <c r="P1685" s="1" t="s">
        <v>5226</v>
      </c>
      <c r="Q1685" s="1" t="s">
        <v>5227</v>
      </c>
      <c r="R1685" s="1" t="s">
        <v>43</v>
      </c>
      <c r="S1685" s="1" t="s">
        <v>5228</v>
      </c>
      <c r="T1685" s="1" t="s">
        <v>5229</v>
      </c>
      <c r="U1685" s="2" t="s">
        <v>2111</v>
      </c>
      <c r="V1685" s="2" t="s">
        <v>36</v>
      </c>
      <c r="W1685" s="2" t="s">
        <v>60</v>
      </c>
      <c r="X1685" s="2">
        <v>139.93</v>
      </c>
    </row>
    <row r="1686" spans="1:24" x14ac:dyDescent="0.3">
      <c r="A1686">
        <v>19566</v>
      </c>
      <c r="B1686" t="s">
        <v>5230</v>
      </c>
      <c r="C1686" s="3">
        <v>40603</v>
      </c>
      <c r="D1686" t="s">
        <v>25</v>
      </c>
      <c r="E1686">
        <v>3</v>
      </c>
      <c r="F1686" s="3">
        <f ca="1">40605+(RANDBETWEEN(1,10))</f>
        <v>40614</v>
      </c>
      <c r="G1686" t="s">
        <v>76</v>
      </c>
      <c r="H1686" t="s">
        <v>77</v>
      </c>
      <c r="I1686" t="s">
        <v>97</v>
      </c>
      <c r="J1686">
        <v>910</v>
      </c>
      <c r="K1686">
        <v>0.09</v>
      </c>
      <c r="L1686">
        <v>0.36</v>
      </c>
      <c r="M1686">
        <v>49</v>
      </c>
      <c r="N1686">
        <v>123.515</v>
      </c>
      <c r="O1686" s="1" t="s">
        <v>40</v>
      </c>
      <c r="P1686" s="1" t="s">
        <v>5231</v>
      </c>
      <c r="Q1686" s="1" t="s">
        <v>5232</v>
      </c>
      <c r="R1686" s="1" t="s">
        <v>220</v>
      </c>
      <c r="S1686" s="1" t="s">
        <v>3762</v>
      </c>
      <c r="T1686" s="1" t="s">
        <v>3763</v>
      </c>
      <c r="U1686" s="2" t="s">
        <v>2449</v>
      </c>
      <c r="V1686" s="2" t="s">
        <v>36</v>
      </c>
      <c r="W1686" s="2" t="s">
        <v>142</v>
      </c>
      <c r="X1686" s="2">
        <v>318.39499999999998</v>
      </c>
    </row>
    <row r="1687" spans="1:24" x14ac:dyDescent="0.3">
      <c r="A1687">
        <v>19567</v>
      </c>
      <c r="B1687" t="s">
        <v>5233</v>
      </c>
      <c r="C1687" s="3">
        <v>40863</v>
      </c>
      <c r="D1687" t="s">
        <v>25</v>
      </c>
      <c r="E1687">
        <v>5</v>
      </c>
      <c r="F1687" s="3">
        <f ca="1">40867+(RANDBETWEEN(1,10))</f>
        <v>40870</v>
      </c>
      <c r="G1687" t="s">
        <v>26</v>
      </c>
      <c r="H1687" t="s">
        <v>96</v>
      </c>
      <c r="I1687" t="s">
        <v>28</v>
      </c>
      <c r="J1687">
        <v>537.63499999999999</v>
      </c>
      <c r="K1687">
        <v>7.0000000000000007E-2</v>
      </c>
      <c r="L1687">
        <v>0.38</v>
      </c>
      <c r="M1687">
        <v>20.965</v>
      </c>
      <c r="N1687">
        <v>62.439300000000003</v>
      </c>
      <c r="O1687" s="1" t="s">
        <v>87</v>
      </c>
      <c r="P1687" s="1" t="s">
        <v>2735</v>
      </c>
      <c r="Q1687" s="1" t="s">
        <v>2736</v>
      </c>
      <c r="R1687" s="1" t="s">
        <v>646</v>
      </c>
      <c r="S1687" s="1" t="s">
        <v>2737</v>
      </c>
      <c r="T1687" s="1" t="s">
        <v>2738</v>
      </c>
      <c r="U1687" s="2" t="s">
        <v>5234</v>
      </c>
      <c r="V1687" s="2" t="s">
        <v>36</v>
      </c>
      <c r="W1687" s="2" t="s">
        <v>37</v>
      </c>
      <c r="X1687" s="2">
        <v>125.965</v>
      </c>
    </row>
    <row r="1688" spans="1:24" x14ac:dyDescent="0.3">
      <c r="A1688">
        <v>19568</v>
      </c>
      <c r="B1688" t="s">
        <v>5233</v>
      </c>
      <c r="C1688" s="3">
        <v>40863</v>
      </c>
      <c r="D1688" t="s">
        <v>25</v>
      </c>
      <c r="E1688">
        <v>20</v>
      </c>
      <c r="F1688" s="3">
        <f ca="1">40870+(RANDBETWEEN(1,10))</f>
        <v>40871</v>
      </c>
      <c r="G1688" t="s">
        <v>156</v>
      </c>
      <c r="H1688" t="s">
        <v>27</v>
      </c>
      <c r="I1688" t="s">
        <v>28</v>
      </c>
      <c r="J1688">
        <v>3723.335</v>
      </c>
      <c r="K1688">
        <v>0.08</v>
      </c>
      <c r="L1688">
        <v>0.57999999999999996</v>
      </c>
      <c r="M1688">
        <v>20.72</v>
      </c>
      <c r="N1688">
        <v>643.45050000000003</v>
      </c>
      <c r="O1688" s="1" t="s">
        <v>29</v>
      </c>
      <c r="P1688" s="1" t="s">
        <v>5235</v>
      </c>
      <c r="Q1688" s="1" t="s">
        <v>5236</v>
      </c>
      <c r="R1688" s="1" t="s">
        <v>460</v>
      </c>
      <c r="S1688" s="1" t="s">
        <v>5237</v>
      </c>
      <c r="T1688" s="1" t="s">
        <v>5238</v>
      </c>
      <c r="U1688" s="2" t="s">
        <v>5239</v>
      </c>
      <c r="V1688" s="2" t="s">
        <v>36</v>
      </c>
      <c r="W1688" s="2" t="s">
        <v>37</v>
      </c>
      <c r="X1688" s="2">
        <v>230.965</v>
      </c>
    </row>
    <row r="1689" spans="1:24" x14ac:dyDescent="0.3">
      <c r="A1689">
        <v>19569</v>
      </c>
      <c r="B1689" t="s">
        <v>5240</v>
      </c>
      <c r="C1689" s="3">
        <v>40837</v>
      </c>
      <c r="D1689" t="s">
        <v>39</v>
      </c>
      <c r="E1689">
        <v>1</v>
      </c>
      <c r="F1689" s="3">
        <f ca="1">40838+(RANDBETWEEN(1,10))</f>
        <v>40846</v>
      </c>
      <c r="G1689" t="s">
        <v>26</v>
      </c>
      <c r="H1689" t="s">
        <v>27</v>
      </c>
      <c r="I1689" t="s">
        <v>28</v>
      </c>
      <c r="J1689">
        <v>17.324999999999999</v>
      </c>
      <c r="K1689">
        <v>0.08</v>
      </c>
      <c r="L1689">
        <v>0.39</v>
      </c>
      <c r="M1689">
        <v>1.7150000000000001</v>
      </c>
      <c r="N1689">
        <v>17324.705999999998</v>
      </c>
      <c r="O1689" s="1" t="s">
        <v>53</v>
      </c>
      <c r="P1689" s="1" t="s">
        <v>4084</v>
      </c>
      <c r="Q1689" s="1" t="s">
        <v>4085</v>
      </c>
      <c r="R1689" s="1" t="s">
        <v>56</v>
      </c>
      <c r="S1689" s="1" t="s">
        <v>4086</v>
      </c>
      <c r="T1689" s="1" t="s">
        <v>4087</v>
      </c>
      <c r="U1689" s="2" t="s">
        <v>892</v>
      </c>
      <c r="V1689" s="2" t="s">
        <v>47</v>
      </c>
      <c r="W1689" s="2" t="s">
        <v>203</v>
      </c>
      <c r="X1689" s="2">
        <v>17.43</v>
      </c>
    </row>
    <row r="1690" spans="1:24" x14ac:dyDescent="0.3">
      <c r="A1690">
        <v>19570</v>
      </c>
      <c r="B1690" t="s">
        <v>5240</v>
      </c>
      <c r="C1690" s="3">
        <v>40837</v>
      </c>
      <c r="D1690" t="s">
        <v>39</v>
      </c>
      <c r="E1690">
        <v>4</v>
      </c>
      <c r="F1690" s="3">
        <f ca="1">40839+(RANDBETWEEN(1,10))</f>
        <v>40845</v>
      </c>
      <c r="G1690" t="s">
        <v>76</v>
      </c>
      <c r="H1690" t="s">
        <v>77</v>
      </c>
      <c r="I1690" t="s">
        <v>28</v>
      </c>
      <c r="J1690">
        <v>1614.34</v>
      </c>
      <c r="K1690">
        <v>0.09</v>
      </c>
      <c r="L1690">
        <v>0.36</v>
      </c>
      <c r="M1690">
        <v>49</v>
      </c>
      <c r="N1690">
        <v>3694.614</v>
      </c>
      <c r="O1690" s="1" t="s">
        <v>53</v>
      </c>
      <c r="P1690" s="1" t="s">
        <v>4084</v>
      </c>
      <c r="Q1690" s="1" t="s">
        <v>4085</v>
      </c>
      <c r="R1690" s="1" t="s">
        <v>56</v>
      </c>
      <c r="S1690" s="1" t="s">
        <v>4086</v>
      </c>
      <c r="T1690" s="1" t="s">
        <v>4087</v>
      </c>
      <c r="U1690" s="2" t="s">
        <v>2196</v>
      </c>
      <c r="V1690" s="2" t="s">
        <v>36</v>
      </c>
      <c r="W1690" s="2" t="s">
        <v>142</v>
      </c>
      <c r="X1690" s="2">
        <v>419.96499999999997</v>
      </c>
    </row>
    <row r="1691" spans="1:24" x14ac:dyDescent="0.3">
      <c r="A1691">
        <v>19571</v>
      </c>
      <c r="B1691" t="s">
        <v>5241</v>
      </c>
      <c r="C1691" s="3">
        <v>41892</v>
      </c>
      <c r="D1691" t="s">
        <v>25</v>
      </c>
      <c r="E1691">
        <v>17</v>
      </c>
      <c r="F1691" s="3">
        <f ca="1">41894+(RANDBETWEEN(1,10))</f>
        <v>41900</v>
      </c>
      <c r="G1691" t="s">
        <v>26</v>
      </c>
      <c r="H1691" t="s">
        <v>281</v>
      </c>
      <c r="I1691" t="s">
        <v>28</v>
      </c>
      <c r="J1691">
        <v>6035.0150000000003</v>
      </c>
      <c r="K1691">
        <v>0.09</v>
      </c>
      <c r="L1691">
        <v>0.69</v>
      </c>
      <c r="M1691">
        <v>48.965000000000003</v>
      </c>
      <c r="N1691">
        <v>2152.9746</v>
      </c>
      <c r="O1691" s="1" t="s">
        <v>87</v>
      </c>
      <c r="P1691" s="1" t="s">
        <v>5242</v>
      </c>
      <c r="Q1691" s="1" t="s">
        <v>5243</v>
      </c>
      <c r="R1691" s="1" t="s">
        <v>90</v>
      </c>
      <c r="S1691" s="1" t="s">
        <v>4140</v>
      </c>
      <c r="T1691" s="1" t="s">
        <v>4141</v>
      </c>
      <c r="U1691" s="2" t="s">
        <v>1145</v>
      </c>
      <c r="V1691" s="2" t="s">
        <v>83</v>
      </c>
      <c r="W1691" s="2" t="s">
        <v>178</v>
      </c>
      <c r="X1691" s="2">
        <v>388.43</v>
      </c>
    </row>
    <row r="1692" spans="1:24" x14ac:dyDescent="0.3">
      <c r="A1692">
        <v>19572</v>
      </c>
      <c r="B1692" t="s">
        <v>5241</v>
      </c>
      <c r="C1692" s="3">
        <v>41892</v>
      </c>
      <c r="D1692" t="s">
        <v>25</v>
      </c>
      <c r="E1692">
        <v>14</v>
      </c>
      <c r="F1692" s="3">
        <f ca="1">41894+(RANDBETWEEN(1,10))</f>
        <v>41898</v>
      </c>
      <c r="G1692" t="s">
        <v>26</v>
      </c>
      <c r="H1692" t="s">
        <v>96</v>
      </c>
      <c r="I1692" t="s">
        <v>28</v>
      </c>
      <c r="J1692">
        <v>114.38</v>
      </c>
      <c r="K1692">
        <v>7.0000000000000007E-2</v>
      </c>
      <c r="L1692">
        <v>0.81</v>
      </c>
      <c r="M1692">
        <v>17.5</v>
      </c>
      <c r="N1692">
        <v>-385.30520000000001</v>
      </c>
      <c r="O1692" s="1" t="s">
        <v>87</v>
      </c>
      <c r="P1692" s="1" t="s">
        <v>5242</v>
      </c>
      <c r="Q1692" s="1" t="s">
        <v>5243</v>
      </c>
      <c r="R1692" s="1" t="s">
        <v>90</v>
      </c>
      <c r="S1692" s="1" t="s">
        <v>4140</v>
      </c>
      <c r="T1692" s="1" t="s">
        <v>4141</v>
      </c>
      <c r="U1692" s="2" t="s">
        <v>1945</v>
      </c>
      <c r="V1692" s="2" t="s">
        <v>47</v>
      </c>
      <c r="W1692" s="2" t="s">
        <v>94</v>
      </c>
      <c r="X1692" s="2">
        <v>7.63</v>
      </c>
    </row>
    <row r="1693" spans="1:24" x14ac:dyDescent="0.3">
      <c r="A1693">
        <v>19573</v>
      </c>
      <c r="B1693" t="s">
        <v>5241</v>
      </c>
      <c r="C1693" s="3">
        <v>41892</v>
      </c>
      <c r="D1693" t="s">
        <v>25</v>
      </c>
      <c r="E1693">
        <v>5</v>
      </c>
      <c r="F1693" s="3">
        <f ca="1">41897+(RANDBETWEEN(1,10))</f>
        <v>41902</v>
      </c>
      <c r="G1693" t="s">
        <v>26</v>
      </c>
      <c r="H1693" t="s">
        <v>63</v>
      </c>
      <c r="I1693" t="s">
        <v>28</v>
      </c>
      <c r="J1693">
        <v>12485.025</v>
      </c>
      <c r="K1693">
        <v>0.02</v>
      </c>
      <c r="L1693">
        <v>0.41</v>
      </c>
      <c r="M1693">
        <v>85.715000000000003</v>
      </c>
      <c r="N1693">
        <v>-2222.4762000000001</v>
      </c>
      <c r="O1693" s="1" t="s">
        <v>40</v>
      </c>
      <c r="P1693" s="1" t="s">
        <v>5244</v>
      </c>
      <c r="Q1693" s="1" t="s">
        <v>5245</v>
      </c>
      <c r="R1693" s="1" t="s">
        <v>43</v>
      </c>
      <c r="S1693" s="1" t="s">
        <v>5246</v>
      </c>
      <c r="T1693" s="1" t="s">
        <v>5247</v>
      </c>
      <c r="U1693" s="2" t="s">
        <v>1326</v>
      </c>
      <c r="V1693" s="2" t="s">
        <v>36</v>
      </c>
      <c r="W1693" s="2" t="s">
        <v>1327</v>
      </c>
      <c r="X1693" s="2">
        <v>2449.9650000000001</v>
      </c>
    </row>
    <row r="1694" spans="1:24" x14ac:dyDescent="0.3">
      <c r="A1694">
        <v>19574</v>
      </c>
      <c r="B1694" t="s">
        <v>5241</v>
      </c>
      <c r="C1694" s="3">
        <v>41892</v>
      </c>
      <c r="D1694" t="s">
        <v>25</v>
      </c>
      <c r="E1694">
        <v>13</v>
      </c>
      <c r="F1694" s="3">
        <f ca="1">41896+(RANDBETWEEN(1,10))</f>
        <v>41898</v>
      </c>
      <c r="G1694" t="s">
        <v>26</v>
      </c>
      <c r="H1694" t="s">
        <v>27</v>
      </c>
      <c r="I1694" t="s">
        <v>28</v>
      </c>
      <c r="J1694">
        <v>4382</v>
      </c>
      <c r="K1694">
        <v>0.04</v>
      </c>
      <c r="L1694">
        <v>0.56999999999999995</v>
      </c>
      <c r="M1694">
        <v>31.465</v>
      </c>
      <c r="N1694">
        <v>1603.26054</v>
      </c>
      <c r="O1694" s="1" t="s">
        <v>40</v>
      </c>
      <c r="P1694" s="1" t="s">
        <v>5244</v>
      </c>
      <c r="Q1694" s="1" t="s">
        <v>5245</v>
      </c>
      <c r="R1694" s="1" t="s">
        <v>43</v>
      </c>
      <c r="S1694" s="1" t="s">
        <v>5246</v>
      </c>
      <c r="T1694" s="1" t="s">
        <v>5247</v>
      </c>
      <c r="U1694" s="2" t="s">
        <v>2356</v>
      </c>
      <c r="V1694" s="2" t="s">
        <v>36</v>
      </c>
      <c r="W1694" s="2" t="s">
        <v>37</v>
      </c>
      <c r="X1694" s="2">
        <v>388.46499999999997</v>
      </c>
    </row>
    <row r="1695" spans="1:24" x14ac:dyDescent="0.3">
      <c r="A1695">
        <v>19575</v>
      </c>
      <c r="B1695" t="s">
        <v>5248</v>
      </c>
      <c r="C1695" s="3">
        <v>40791</v>
      </c>
      <c r="D1695" t="s">
        <v>25</v>
      </c>
      <c r="E1695">
        <v>13</v>
      </c>
      <c r="F1695" s="3">
        <f ca="1">40793+(RANDBETWEEN(1,10))</f>
        <v>40799</v>
      </c>
      <c r="G1695" t="s">
        <v>26</v>
      </c>
      <c r="H1695" t="s">
        <v>27</v>
      </c>
      <c r="I1695" t="s">
        <v>28</v>
      </c>
      <c r="J1695">
        <v>209.125</v>
      </c>
      <c r="K1695">
        <v>0.04</v>
      </c>
      <c r="L1695">
        <v>0.35</v>
      </c>
      <c r="M1695">
        <v>5.2149999999999999</v>
      </c>
      <c r="N1695">
        <v>99.007999999999996</v>
      </c>
      <c r="O1695" s="1" t="s">
        <v>87</v>
      </c>
      <c r="P1695" s="1" t="s">
        <v>5249</v>
      </c>
      <c r="Q1695" s="1" t="s">
        <v>5250</v>
      </c>
      <c r="R1695" s="1" t="s">
        <v>646</v>
      </c>
      <c r="S1695" s="1" t="s">
        <v>5251</v>
      </c>
      <c r="T1695" s="1" t="s">
        <v>5252</v>
      </c>
      <c r="U1695" s="2" t="s">
        <v>5253</v>
      </c>
      <c r="V1695" s="2" t="s">
        <v>47</v>
      </c>
      <c r="W1695" s="2" t="s">
        <v>111</v>
      </c>
      <c r="X1695" s="2">
        <v>15.925000000000001</v>
      </c>
    </row>
    <row r="1696" spans="1:24" x14ac:dyDescent="0.3">
      <c r="A1696">
        <v>19576</v>
      </c>
      <c r="B1696" t="s">
        <v>5254</v>
      </c>
      <c r="C1696" s="3">
        <v>41841</v>
      </c>
      <c r="D1696" t="s">
        <v>62</v>
      </c>
      <c r="E1696">
        <v>15</v>
      </c>
      <c r="F1696" s="3">
        <f ca="1">41842+(RANDBETWEEN(1,10))</f>
        <v>41852</v>
      </c>
      <c r="G1696" t="s">
        <v>26</v>
      </c>
      <c r="H1696" t="s">
        <v>27</v>
      </c>
      <c r="I1696" t="s">
        <v>28</v>
      </c>
      <c r="J1696">
        <v>15337.875</v>
      </c>
      <c r="K1696">
        <v>7.0000000000000007E-2</v>
      </c>
      <c r="L1696">
        <v>0.4</v>
      </c>
      <c r="M1696">
        <v>69.965000000000003</v>
      </c>
      <c r="N1696">
        <v>10583.133750000001</v>
      </c>
      <c r="O1696" s="1" t="s">
        <v>87</v>
      </c>
      <c r="P1696" s="1" t="s">
        <v>5255</v>
      </c>
      <c r="Q1696" s="1" t="s">
        <v>5256</v>
      </c>
      <c r="R1696" s="1" t="s">
        <v>90</v>
      </c>
      <c r="S1696" s="1" t="s">
        <v>5257</v>
      </c>
      <c r="T1696" s="1" t="s">
        <v>5258</v>
      </c>
      <c r="U1696" s="2" t="s">
        <v>2149</v>
      </c>
      <c r="V1696" s="2" t="s">
        <v>47</v>
      </c>
      <c r="W1696" s="2" t="s">
        <v>111</v>
      </c>
      <c r="X1696" s="2">
        <v>1067.4649999999999</v>
      </c>
    </row>
    <row r="1697" spans="1:24" x14ac:dyDescent="0.3">
      <c r="A1697">
        <v>19577</v>
      </c>
      <c r="B1697" t="s">
        <v>5259</v>
      </c>
      <c r="C1697" s="3">
        <v>41857</v>
      </c>
      <c r="D1697" t="s">
        <v>39</v>
      </c>
      <c r="E1697">
        <v>8</v>
      </c>
      <c r="F1697" s="3">
        <f ca="1">41858+(RANDBETWEEN(1,10))</f>
        <v>41867</v>
      </c>
      <c r="G1697" t="s">
        <v>26</v>
      </c>
      <c r="H1697" t="s">
        <v>27</v>
      </c>
      <c r="I1697" t="s">
        <v>97</v>
      </c>
      <c r="J1697">
        <v>191.97499999999999</v>
      </c>
      <c r="K1697">
        <v>0.03</v>
      </c>
      <c r="L1697">
        <v>0.4</v>
      </c>
      <c r="M1697">
        <v>36.365000000000002</v>
      </c>
      <c r="N1697">
        <v>-158.44667999999999</v>
      </c>
      <c r="O1697" s="1" t="s">
        <v>64</v>
      </c>
      <c r="P1697" s="1" t="s">
        <v>5260</v>
      </c>
      <c r="Q1697" s="1" t="s">
        <v>5261</v>
      </c>
      <c r="R1697" s="1" t="s">
        <v>67</v>
      </c>
      <c r="S1697" s="1" t="s">
        <v>5262</v>
      </c>
      <c r="T1697" s="1" t="s">
        <v>5263</v>
      </c>
      <c r="U1697" s="2" t="s">
        <v>3250</v>
      </c>
      <c r="V1697" s="2" t="s">
        <v>47</v>
      </c>
      <c r="W1697" s="2" t="s">
        <v>74</v>
      </c>
      <c r="X1697" s="2">
        <v>20.93</v>
      </c>
    </row>
    <row r="1698" spans="1:24" x14ac:dyDescent="0.3">
      <c r="A1698">
        <v>19578</v>
      </c>
      <c r="B1698" t="s">
        <v>5259</v>
      </c>
      <c r="C1698" s="3">
        <v>41857</v>
      </c>
      <c r="D1698" t="s">
        <v>39</v>
      </c>
      <c r="E1698">
        <v>13</v>
      </c>
      <c r="F1698" s="3">
        <f ca="1">41859+(RANDBETWEEN(1,10))</f>
        <v>41860</v>
      </c>
      <c r="G1698" t="s">
        <v>26</v>
      </c>
      <c r="H1698" t="s">
        <v>96</v>
      </c>
      <c r="I1698" t="s">
        <v>97</v>
      </c>
      <c r="J1698">
        <v>141.57499999999999</v>
      </c>
      <c r="K1698">
        <v>0.03</v>
      </c>
      <c r="L1698">
        <v>0.4</v>
      </c>
      <c r="M1698">
        <v>2.835</v>
      </c>
      <c r="N1698">
        <v>97.686750000000004</v>
      </c>
      <c r="O1698" s="1" t="s">
        <v>64</v>
      </c>
      <c r="P1698" s="1" t="s">
        <v>5260</v>
      </c>
      <c r="Q1698" s="1" t="s">
        <v>5261</v>
      </c>
      <c r="R1698" s="1" t="s">
        <v>67</v>
      </c>
      <c r="S1698" s="1" t="s">
        <v>5262</v>
      </c>
      <c r="T1698" s="1" t="s">
        <v>5263</v>
      </c>
      <c r="U1698" s="2" t="s">
        <v>5264</v>
      </c>
      <c r="V1698" s="2" t="s">
        <v>47</v>
      </c>
      <c r="W1698" s="2" t="s">
        <v>104</v>
      </c>
      <c r="X1698" s="2">
        <v>10.29</v>
      </c>
    </row>
    <row r="1699" spans="1:24" x14ac:dyDescent="0.3">
      <c r="A1699">
        <v>19579</v>
      </c>
      <c r="B1699" t="s">
        <v>5265</v>
      </c>
      <c r="C1699" s="3">
        <v>41447</v>
      </c>
      <c r="D1699" t="s">
        <v>62</v>
      </c>
      <c r="E1699">
        <v>12</v>
      </c>
      <c r="F1699" s="3">
        <f ca="1">41448+(RANDBETWEEN(1,10))</f>
        <v>41454</v>
      </c>
      <c r="G1699" t="s">
        <v>26</v>
      </c>
      <c r="H1699" t="s">
        <v>27</v>
      </c>
      <c r="I1699" t="s">
        <v>52</v>
      </c>
      <c r="J1699">
        <v>699.37</v>
      </c>
      <c r="K1699">
        <v>0.1</v>
      </c>
      <c r="L1699">
        <v>0.57999999999999996</v>
      </c>
      <c r="M1699">
        <v>21.875</v>
      </c>
      <c r="N1699">
        <v>-46.451999999999998</v>
      </c>
      <c r="O1699" s="1" t="s">
        <v>40</v>
      </c>
      <c r="P1699" s="1" t="s">
        <v>5266</v>
      </c>
      <c r="Q1699" s="1" t="s">
        <v>5267</v>
      </c>
      <c r="R1699" s="1" t="s">
        <v>43</v>
      </c>
      <c r="S1699" s="1" t="s">
        <v>5268</v>
      </c>
      <c r="T1699" s="1" t="s">
        <v>5269</v>
      </c>
      <c r="U1699" s="2" t="s">
        <v>306</v>
      </c>
      <c r="V1699" s="2" t="s">
        <v>47</v>
      </c>
      <c r="W1699" s="2" t="s">
        <v>119</v>
      </c>
      <c r="X1699" s="2">
        <v>59.185000000000002</v>
      </c>
    </row>
    <row r="1700" spans="1:24" x14ac:dyDescent="0.3">
      <c r="A1700">
        <v>19580</v>
      </c>
      <c r="B1700" t="s">
        <v>5265</v>
      </c>
      <c r="C1700" s="3">
        <v>41447</v>
      </c>
      <c r="D1700" t="s">
        <v>62</v>
      </c>
      <c r="E1700">
        <v>9</v>
      </c>
      <c r="F1700" s="3">
        <f ca="1">41449+(RANDBETWEEN(1,10))</f>
        <v>41457</v>
      </c>
      <c r="G1700" t="s">
        <v>156</v>
      </c>
      <c r="H1700" t="s">
        <v>27</v>
      </c>
      <c r="I1700" t="s">
        <v>52</v>
      </c>
      <c r="J1700">
        <v>4067.105</v>
      </c>
      <c r="K1700">
        <v>0.04</v>
      </c>
      <c r="L1700">
        <v>0.57999999999999996</v>
      </c>
      <c r="M1700">
        <v>31.465</v>
      </c>
      <c r="N1700">
        <v>1610.5068000000001</v>
      </c>
      <c r="O1700" s="1" t="s">
        <v>40</v>
      </c>
      <c r="P1700" s="1" t="s">
        <v>5266</v>
      </c>
      <c r="Q1700" s="1" t="s">
        <v>5267</v>
      </c>
      <c r="R1700" s="1" t="s">
        <v>43</v>
      </c>
      <c r="S1700" s="1" t="s">
        <v>5268</v>
      </c>
      <c r="T1700" s="1" t="s">
        <v>5269</v>
      </c>
      <c r="U1700" s="2" t="s">
        <v>307</v>
      </c>
      <c r="V1700" s="2" t="s">
        <v>36</v>
      </c>
      <c r="W1700" s="2" t="s">
        <v>37</v>
      </c>
      <c r="X1700" s="2">
        <v>545.96500000000003</v>
      </c>
    </row>
    <row r="1701" spans="1:24" x14ac:dyDescent="0.3">
      <c r="A1701">
        <v>19581</v>
      </c>
      <c r="B1701" t="s">
        <v>5270</v>
      </c>
      <c r="C1701" s="3">
        <v>40670</v>
      </c>
      <c r="D1701" t="s">
        <v>148</v>
      </c>
      <c r="E1701">
        <v>7</v>
      </c>
      <c r="F1701" s="3">
        <f ca="1">40671+(RANDBETWEEN(1,10))</f>
        <v>40675</v>
      </c>
      <c r="G1701" t="s">
        <v>26</v>
      </c>
      <c r="H1701" t="s">
        <v>51</v>
      </c>
      <c r="I1701" t="s">
        <v>52</v>
      </c>
      <c r="J1701">
        <v>430.255</v>
      </c>
      <c r="K1701">
        <v>0.01</v>
      </c>
      <c r="L1701">
        <v>0.42</v>
      </c>
      <c r="M1701">
        <v>6.9649999999999999</v>
      </c>
      <c r="N1701">
        <v>2588.8589999999999</v>
      </c>
      <c r="O1701" s="1" t="s">
        <v>40</v>
      </c>
      <c r="P1701" s="1" t="s">
        <v>5271</v>
      </c>
      <c r="Q1701" s="1" t="s">
        <v>5272</v>
      </c>
      <c r="R1701" s="1" t="s">
        <v>43</v>
      </c>
      <c r="S1701" s="1" t="s">
        <v>2055</v>
      </c>
      <c r="T1701" s="1" t="s">
        <v>2056</v>
      </c>
      <c r="U1701" s="2" t="s">
        <v>5273</v>
      </c>
      <c r="V1701" s="2" t="s">
        <v>36</v>
      </c>
      <c r="W1701" s="2" t="s">
        <v>60</v>
      </c>
      <c r="X1701" s="2">
        <v>57.68</v>
      </c>
    </row>
    <row r="1702" spans="1:24" x14ac:dyDescent="0.3">
      <c r="A1702">
        <v>19582</v>
      </c>
      <c r="B1702" t="s">
        <v>5274</v>
      </c>
      <c r="C1702" s="3">
        <v>41237</v>
      </c>
      <c r="D1702" t="s">
        <v>148</v>
      </c>
      <c r="E1702">
        <v>23</v>
      </c>
      <c r="F1702" s="3">
        <f ca="1">41238+(RANDBETWEEN(1,10))</f>
        <v>41240</v>
      </c>
      <c r="G1702" t="s">
        <v>26</v>
      </c>
      <c r="H1702" t="s">
        <v>96</v>
      </c>
      <c r="I1702" t="s">
        <v>86</v>
      </c>
      <c r="J1702">
        <v>174.82499999999999</v>
      </c>
      <c r="K1702">
        <v>0.08</v>
      </c>
      <c r="L1702">
        <v>0.38</v>
      </c>
      <c r="M1702">
        <v>3.5</v>
      </c>
      <c r="N1702">
        <v>-12.90415</v>
      </c>
      <c r="O1702" s="1" t="s">
        <v>29</v>
      </c>
      <c r="P1702" s="1" t="s">
        <v>4308</v>
      </c>
      <c r="Q1702" s="1" t="s">
        <v>4309</v>
      </c>
      <c r="R1702" s="1" t="s">
        <v>675</v>
      </c>
      <c r="S1702" s="1" t="s">
        <v>4310</v>
      </c>
      <c r="T1702" s="1" t="s">
        <v>4311</v>
      </c>
      <c r="U1702" s="2" t="s">
        <v>671</v>
      </c>
      <c r="V1702" s="2" t="s">
        <v>47</v>
      </c>
      <c r="W1702" s="2" t="s">
        <v>104</v>
      </c>
      <c r="X1702" s="2">
        <v>7.7350000000000003</v>
      </c>
    </row>
    <row r="1703" spans="1:24" x14ac:dyDescent="0.3">
      <c r="A1703">
        <v>19583</v>
      </c>
      <c r="B1703" t="s">
        <v>5274</v>
      </c>
      <c r="C1703" s="3">
        <v>41237</v>
      </c>
      <c r="D1703" t="s">
        <v>148</v>
      </c>
      <c r="E1703">
        <v>17</v>
      </c>
      <c r="F1703" s="3">
        <f ca="1">41239+(RANDBETWEEN(1,10))</f>
        <v>41245</v>
      </c>
      <c r="G1703" t="s">
        <v>26</v>
      </c>
      <c r="H1703" t="s">
        <v>27</v>
      </c>
      <c r="I1703" t="s">
        <v>86</v>
      </c>
      <c r="J1703">
        <v>404.77499999999998</v>
      </c>
      <c r="K1703">
        <v>0.04</v>
      </c>
      <c r="L1703">
        <v>0.38</v>
      </c>
      <c r="M1703">
        <v>18.164999999999999</v>
      </c>
      <c r="N1703">
        <v>325.85700000000003</v>
      </c>
      <c r="O1703" s="1" t="s">
        <v>87</v>
      </c>
      <c r="P1703" s="1" t="s">
        <v>5275</v>
      </c>
      <c r="Q1703" s="1" t="s">
        <v>5276</v>
      </c>
      <c r="R1703" s="1" t="s">
        <v>646</v>
      </c>
      <c r="S1703" s="1" t="s">
        <v>5277</v>
      </c>
      <c r="T1703" s="1" t="s">
        <v>5278</v>
      </c>
      <c r="U1703" s="2" t="s">
        <v>1111</v>
      </c>
      <c r="V1703" s="2" t="s">
        <v>47</v>
      </c>
      <c r="W1703" s="2" t="s">
        <v>111</v>
      </c>
      <c r="X1703" s="2">
        <v>22.295000000000002</v>
      </c>
    </row>
    <row r="1704" spans="1:24" x14ac:dyDescent="0.3">
      <c r="A1704">
        <v>19584</v>
      </c>
      <c r="B1704" t="s">
        <v>5279</v>
      </c>
      <c r="C1704" s="3">
        <v>41660</v>
      </c>
      <c r="D1704" t="s">
        <v>148</v>
      </c>
      <c r="E1704">
        <v>4</v>
      </c>
      <c r="F1704" s="3">
        <f ca="1">41660+(RANDBETWEEN(1,10))</f>
        <v>41669</v>
      </c>
      <c r="G1704" t="s">
        <v>26</v>
      </c>
      <c r="H1704" t="s">
        <v>27</v>
      </c>
      <c r="I1704" t="s">
        <v>86</v>
      </c>
      <c r="J1704">
        <v>1360.2049999999999</v>
      </c>
      <c r="K1704">
        <v>0</v>
      </c>
      <c r="L1704">
        <v>0.4</v>
      </c>
      <c r="M1704">
        <v>69.965000000000003</v>
      </c>
      <c r="N1704">
        <v>938.54145000000005</v>
      </c>
      <c r="O1704" s="1" t="s">
        <v>87</v>
      </c>
      <c r="P1704" s="1" t="s">
        <v>5280</v>
      </c>
      <c r="Q1704" s="1" t="s">
        <v>5281</v>
      </c>
      <c r="R1704" s="1" t="s">
        <v>646</v>
      </c>
      <c r="S1704" s="1" t="s">
        <v>5282</v>
      </c>
      <c r="T1704" s="1" t="s">
        <v>5283</v>
      </c>
      <c r="U1704" s="2" t="s">
        <v>2845</v>
      </c>
      <c r="V1704" s="2" t="s">
        <v>47</v>
      </c>
      <c r="W1704" s="2" t="s">
        <v>48</v>
      </c>
      <c r="X1704" s="2">
        <v>316.68</v>
      </c>
    </row>
    <row r="1705" spans="1:24" x14ac:dyDescent="0.3">
      <c r="A1705">
        <v>19585</v>
      </c>
      <c r="B1705" t="s">
        <v>5284</v>
      </c>
      <c r="C1705" s="3">
        <v>40971</v>
      </c>
      <c r="D1705" t="s">
        <v>25</v>
      </c>
      <c r="E1705">
        <v>10</v>
      </c>
      <c r="F1705" s="3">
        <f ca="1">40975+(RANDBETWEEN(1,10))</f>
        <v>40984</v>
      </c>
      <c r="G1705" t="s">
        <v>26</v>
      </c>
      <c r="H1705" t="s">
        <v>27</v>
      </c>
      <c r="I1705" t="s">
        <v>97</v>
      </c>
      <c r="J1705">
        <v>400.29500000000002</v>
      </c>
      <c r="K1705">
        <v>0.01</v>
      </c>
      <c r="L1705">
        <v>0.36</v>
      </c>
      <c r="M1705">
        <v>17.989999999999998</v>
      </c>
      <c r="N1705">
        <v>206.64349999999999</v>
      </c>
      <c r="O1705" s="1" t="s">
        <v>225</v>
      </c>
      <c r="P1705" s="1" t="s">
        <v>4208</v>
      </c>
      <c r="Q1705" s="1" t="s">
        <v>4209</v>
      </c>
      <c r="R1705" s="1" t="s">
        <v>391</v>
      </c>
      <c r="S1705" s="1" t="s">
        <v>4210</v>
      </c>
      <c r="T1705" s="1" t="s">
        <v>4211</v>
      </c>
      <c r="U1705" s="2" t="s">
        <v>5285</v>
      </c>
      <c r="V1705" s="2" t="s">
        <v>47</v>
      </c>
      <c r="W1705" s="2" t="s">
        <v>111</v>
      </c>
      <c r="X1705" s="2">
        <v>38.43</v>
      </c>
    </row>
    <row r="1706" spans="1:24" x14ac:dyDescent="0.3">
      <c r="A1706">
        <v>19586</v>
      </c>
      <c r="B1706" t="s">
        <v>5284</v>
      </c>
      <c r="C1706" s="3">
        <v>40971</v>
      </c>
      <c r="D1706" t="s">
        <v>25</v>
      </c>
      <c r="E1706">
        <v>12</v>
      </c>
      <c r="F1706" s="3">
        <f ca="1">40973+(RANDBETWEEN(1,10))</f>
        <v>40983</v>
      </c>
      <c r="G1706" t="s">
        <v>76</v>
      </c>
      <c r="H1706" t="s">
        <v>258</v>
      </c>
      <c r="I1706" t="s">
        <v>97</v>
      </c>
      <c r="J1706">
        <v>16819.355</v>
      </c>
      <c r="K1706">
        <v>0.06</v>
      </c>
      <c r="L1706">
        <v>0.71</v>
      </c>
      <c r="M1706">
        <v>148.82</v>
      </c>
      <c r="N1706">
        <v>-3391.669281</v>
      </c>
      <c r="O1706" s="1" t="s">
        <v>225</v>
      </c>
      <c r="P1706" s="1" t="s">
        <v>4208</v>
      </c>
      <c r="Q1706" s="1" t="s">
        <v>4209</v>
      </c>
      <c r="R1706" s="1" t="s">
        <v>391</v>
      </c>
      <c r="S1706" s="1" t="s">
        <v>4210</v>
      </c>
      <c r="T1706" s="1" t="s">
        <v>4211</v>
      </c>
      <c r="U1706" s="2" t="s">
        <v>2984</v>
      </c>
      <c r="V1706" s="2" t="s">
        <v>83</v>
      </c>
      <c r="W1706" s="2" t="s">
        <v>263</v>
      </c>
      <c r="X1706" s="2">
        <v>1403.43</v>
      </c>
    </row>
    <row r="1707" spans="1:24" x14ac:dyDescent="0.3">
      <c r="A1707">
        <v>19587</v>
      </c>
      <c r="B1707" t="s">
        <v>5286</v>
      </c>
      <c r="C1707" s="3">
        <v>41852</v>
      </c>
      <c r="D1707" t="s">
        <v>39</v>
      </c>
      <c r="E1707">
        <v>3</v>
      </c>
      <c r="F1707" s="3">
        <f ca="1">41854+(RANDBETWEEN(1,10))</f>
        <v>41858</v>
      </c>
      <c r="G1707" t="s">
        <v>26</v>
      </c>
      <c r="H1707" t="s">
        <v>96</v>
      </c>
      <c r="I1707" t="s">
        <v>86</v>
      </c>
      <c r="J1707">
        <v>83.334999999999994</v>
      </c>
      <c r="K1707">
        <v>0.09</v>
      </c>
      <c r="L1707">
        <v>0.4</v>
      </c>
      <c r="M1707">
        <v>10.045</v>
      </c>
      <c r="N1707">
        <v>129.297</v>
      </c>
      <c r="O1707" s="1" t="s">
        <v>40</v>
      </c>
      <c r="P1707" s="1" t="s">
        <v>3905</v>
      </c>
      <c r="Q1707" s="1" t="s">
        <v>3906</v>
      </c>
      <c r="R1707" s="1" t="s">
        <v>220</v>
      </c>
      <c r="S1707" s="1" t="s">
        <v>3907</v>
      </c>
      <c r="T1707" s="1" t="s">
        <v>3908</v>
      </c>
      <c r="U1707" s="2" t="s">
        <v>1846</v>
      </c>
      <c r="V1707" s="2" t="s">
        <v>47</v>
      </c>
      <c r="W1707" s="2" t="s">
        <v>74</v>
      </c>
      <c r="X1707" s="2">
        <v>28.035</v>
      </c>
    </row>
    <row r="1708" spans="1:24" x14ac:dyDescent="0.3">
      <c r="A1708">
        <v>19588</v>
      </c>
      <c r="B1708" t="s">
        <v>5286</v>
      </c>
      <c r="C1708" s="3">
        <v>41852</v>
      </c>
      <c r="D1708" t="s">
        <v>39</v>
      </c>
      <c r="E1708">
        <v>4</v>
      </c>
      <c r="F1708" s="3">
        <f ca="1">41853+(RANDBETWEEN(1,10))</f>
        <v>41854</v>
      </c>
      <c r="G1708" t="s">
        <v>26</v>
      </c>
      <c r="H1708" t="s">
        <v>27</v>
      </c>
      <c r="I1708" t="s">
        <v>86</v>
      </c>
      <c r="J1708">
        <v>2228.2049999999999</v>
      </c>
      <c r="K1708">
        <v>0.1</v>
      </c>
      <c r="L1708">
        <v>0.57999999999999996</v>
      </c>
      <c r="M1708">
        <v>31.465</v>
      </c>
      <c r="N1708">
        <v>931.39200000000005</v>
      </c>
      <c r="O1708" s="1" t="s">
        <v>40</v>
      </c>
      <c r="P1708" s="1" t="s">
        <v>3905</v>
      </c>
      <c r="Q1708" s="1" t="s">
        <v>3906</v>
      </c>
      <c r="R1708" s="1" t="s">
        <v>220</v>
      </c>
      <c r="S1708" s="1" t="s">
        <v>3907</v>
      </c>
      <c r="T1708" s="1" t="s">
        <v>3908</v>
      </c>
      <c r="U1708" s="2" t="s">
        <v>2189</v>
      </c>
      <c r="V1708" s="2" t="s">
        <v>36</v>
      </c>
      <c r="W1708" s="2" t="s">
        <v>37</v>
      </c>
      <c r="X1708" s="2">
        <v>720.96500000000003</v>
      </c>
    </row>
    <row r="1709" spans="1:24" x14ac:dyDescent="0.3">
      <c r="A1709">
        <v>19589</v>
      </c>
      <c r="B1709" t="s">
        <v>5287</v>
      </c>
      <c r="C1709" s="3">
        <v>41011</v>
      </c>
      <c r="D1709" t="s">
        <v>25</v>
      </c>
      <c r="E1709">
        <v>4</v>
      </c>
      <c r="F1709" s="3">
        <f ca="1">41018+(RANDBETWEEN(1,10))</f>
        <v>41026</v>
      </c>
      <c r="G1709" t="s">
        <v>26</v>
      </c>
      <c r="H1709" t="s">
        <v>63</v>
      </c>
      <c r="I1709" t="s">
        <v>28</v>
      </c>
      <c r="J1709">
        <v>1418.585</v>
      </c>
      <c r="K1709">
        <v>0.09</v>
      </c>
      <c r="L1709">
        <v>0.61</v>
      </c>
      <c r="M1709">
        <v>85.715000000000003</v>
      </c>
      <c r="N1709">
        <v>978.82365000000004</v>
      </c>
      <c r="O1709" s="1" t="s">
        <v>225</v>
      </c>
      <c r="P1709" s="1" t="s">
        <v>4955</v>
      </c>
      <c r="Q1709" s="1" t="s">
        <v>4956</v>
      </c>
      <c r="R1709" s="1" t="s">
        <v>228</v>
      </c>
      <c r="S1709" s="1" t="s">
        <v>865</v>
      </c>
      <c r="T1709" s="1" t="s">
        <v>866</v>
      </c>
      <c r="U1709" s="2" t="s">
        <v>4335</v>
      </c>
      <c r="V1709" s="2" t="s">
        <v>83</v>
      </c>
      <c r="W1709" s="2" t="s">
        <v>178</v>
      </c>
      <c r="X1709" s="2">
        <v>368.69</v>
      </c>
    </row>
    <row r="1710" spans="1:24" x14ac:dyDescent="0.3">
      <c r="A1710">
        <v>19590</v>
      </c>
      <c r="B1710" t="s">
        <v>5288</v>
      </c>
      <c r="C1710" s="3">
        <v>41145</v>
      </c>
      <c r="D1710" t="s">
        <v>39</v>
      </c>
      <c r="E1710">
        <v>14</v>
      </c>
      <c r="F1710" s="3">
        <f ca="1">41147+(RANDBETWEEN(1,10))</f>
        <v>41148</v>
      </c>
      <c r="G1710" t="s">
        <v>26</v>
      </c>
      <c r="H1710" t="s">
        <v>27</v>
      </c>
      <c r="I1710" t="s">
        <v>97</v>
      </c>
      <c r="J1710">
        <v>166.98500000000001</v>
      </c>
      <c r="K1710">
        <v>0.09</v>
      </c>
      <c r="L1710">
        <v>0.38</v>
      </c>
      <c r="M1710">
        <v>1.75</v>
      </c>
      <c r="N1710">
        <v>115.21965</v>
      </c>
      <c r="O1710" s="1" t="s">
        <v>29</v>
      </c>
      <c r="P1710" s="1" t="s">
        <v>819</v>
      </c>
      <c r="Q1710" s="1" t="s">
        <v>820</v>
      </c>
      <c r="R1710" s="1" t="s">
        <v>460</v>
      </c>
      <c r="S1710" s="1" t="s">
        <v>821</v>
      </c>
      <c r="T1710" s="1" t="s">
        <v>822</v>
      </c>
      <c r="U1710" s="2" t="s">
        <v>312</v>
      </c>
      <c r="V1710" s="2" t="s">
        <v>47</v>
      </c>
      <c r="W1710" s="2" t="s">
        <v>203</v>
      </c>
      <c r="X1710" s="2">
        <v>12.914999999999999</v>
      </c>
    </row>
    <row r="1711" spans="1:24" x14ac:dyDescent="0.3">
      <c r="A1711">
        <v>19591</v>
      </c>
      <c r="B1711" t="s">
        <v>5289</v>
      </c>
      <c r="C1711" s="3">
        <v>41138</v>
      </c>
      <c r="D1711" t="s">
        <v>25</v>
      </c>
      <c r="E1711">
        <v>12</v>
      </c>
      <c r="F1711" s="3">
        <f ca="1">41147+(RANDBETWEEN(1,10))</f>
        <v>41155</v>
      </c>
      <c r="G1711" t="s">
        <v>26</v>
      </c>
      <c r="H1711" t="s">
        <v>51</v>
      </c>
      <c r="I1711" t="s">
        <v>97</v>
      </c>
      <c r="J1711">
        <v>267.12</v>
      </c>
      <c r="K1711">
        <v>0.06</v>
      </c>
      <c r="L1711">
        <v>0.66</v>
      </c>
      <c r="M1711">
        <v>14.244999999999999</v>
      </c>
      <c r="N1711">
        <v>-145.80019999999999</v>
      </c>
      <c r="O1711" s="1" t="s">
        <v>53</v>
      </c>
      <c r="P1711" s="1" t="s">
        <v>5290</v>
      </c>
      <c r="Q1711" s="1" t="s">
        <v>5291</v>
      </c>
      <c r="R1711" s="1" t="s">
        <v>56</v>
      </c>
      <c r="S1711" s="1" t="s">
        <v>5292</v>
      </c>
      <c r="T1711" s="1" t="s">
        <v>5293</v>
      </c>
      <c r="U1711" s="2" t="s">
        <v>5294</v>
      </c>
      <c r="V1711" s="2" t="s">
        <v>36</v>
      </c>
      <c r="W1711" s="2" t="s">
        <v>60</v>
      </c>
      <c r="X1711" s="2">
        <v>23.1</v>
      </c>
    </row>
    <row r="1712" spans="1:24" x14ac:dyDescent="0.3">
      <c r="A1712">
        <v>19592</v>
      </c>
      <c r="B1712" t="s">
        <v>5289</v>
      </c>
      <c r="C1712" s="3">
        <v>41138</v>
      </c>
      <c r="D1712" t="s">
        <v>25</v>
      </c>
      <c r="E1712">
        <v>17</v>
      </c>
      <c r="F1712" s="3">
        <f ca="1">41140+(RANDBETWEEN(1,10))</f>
        <v>41143</v>
      </c>
      <c r="G1712" t="s">
        <v>156</v>
      </c>
      <c r="H1712" t="s">
        <v>27</v>
      </c>
      <c r="I1712" t="s">
        <v>97</v>
      </c>
      <c r="J1712">
        <v>2796.08</v>
      </c>
      <c r="K1712">
        <v>0.03</v>
      </c>
      <c r="L1712">
        <v>0.41</v>
      </c>
      <c r="M1712">
        <v>25.305</v>
      </c>
      <c r="N1712">
        <v>1929.2952</v>
      </c>
      <c r="O1712" s="1" t="s">
        <v>53</v>
      </c>
      <c r="P1712" s="1" t="s">
        <v>5290</v>
      </c>
      <c r="Q1712" s="1" t="s">
        <v>5291</v>
      </c>
      <c r="R1712" s="1" t="s">
        <v>56</v>
      </c>
      <c r="S1712" s="1" t="s">
        <v>5292</v>
      </c>
      <c r="T1712" s="1" t="s">
        <v>5293</v>
      </c>
      <c r="U1712" s="2" t="s">
        <v>3405</v>
      </c>
      <c r="V1712" s="2" t="s">
        <v>83</v>
      </c>
      <c r="W1712" s="2" t="s">
        <v>178</v>
      </c>
      <c r="X1712" s="2">
        <v>168.14</v>
      </c>
    </row>
    <row r="1713" spans="1:24" x14ac:dyDescent="0.3">
      <c r="A1713">
        <v>19593</v>
      </c>
      <c r="B1713" t="s">
        <v>5295</v>
      </c>
      <c r="C1713" s="3">
        <v>41567</v>
      </c>
      <c r="D1713" t="s">
        <v>62</v>
      </c>
      <c r="E1713">
        <v>8</v>
      </c>
      <c r="F1713" s="3">
        <f ca="1">41569+(RANDBETWEEN(1,10))</f>
        <v>41575</v>
      </c>
      <c r="G1713" t="s">
        <v>26</v>
      </c>
      <c r="H1713" t="s">
        <v>96</v>
      </c>
      <c r="I1713" t="s">
        <v>86</v>
      </c>
      <c r="J1713">
        <v>195.82499999999999</v>
      </c>
      <c r="K1713">
        <v>0.01</v>
      </c>
      <c r="L1713">
        <v>0.4</v>
      </c>
      <c r="M1713">
        <v>4.2699999999999996</v>
      </c>
      <c r="N1713">
        <v>122.45659999999999</v>
      </c>
      <c r="O1713" s="1" t="s">
        <v>29</v>
      </c>
      <c r="P1713" s="1" t="s">
        <v>3643</v>
      </c>
      <c r="Q1713" s="1" t="s">
        <v>3644</v>
      </c>
      <c r="R1713" s="1" t="s">
        <v>460</v>
      </c>
      <c r="S1713" s="1" t="s">
        <v>3645</v>
      </c>
      <c r="T1713" s="1" t="s">
        <v>3646</v>
      </c>
      <c r="U1713" s="2" t="s">
        <v>5296</v>
      </c>
      <c r="V1713" s="2" t="s">
        <v>47</v>
      </c>
      <c r="W1713" s="2" t="s">
        <v>104</v>
      </c>
      <c r="X1713" s="2">
        <v>22.645</v>
      </c>
    </row>
    <row r="1714" spans="1:24" x14ac:dyDescent="0.3">
      <c r="A1714">
        <v>19594</v>
      </c>
      <c r="B1714" t="s">
        <v>5297</v>
      </c>
      <c r="C1714" s="3">
        <v>41459</v>
      </c>
      <c r="D1714" t="s">
        <v>39</v>
      </c>
      <c r="E1714">
        <v>2</v>
      </c>
      <c r="F1714" s="3">
        <f ca="1">41460+(RANDBETWEEN(1,10))</f>
        <v>41465</v>
      </c>
      <c r="G1714" t="s">
        <v>76</v>
      </c>
      <c r="H1714" t="s">
        <v>258</v>
      </c>
      <c r="I1714" t="s">
        <v>28</v>
      </c>
      <c r="J1714">
        <v>1126.6500000000001</v>
      </c>
      <c r="K1714">
        <v>0</v>
      </c>
      <c r="L1714">
        <v>0.65</v>
      </c>
      <c r="M1714">
        <v>153.125</v>
      </c>
      <c r="N1714">
        <v>-504.69299999999998</v>
      </c>
      <c r="O1714" s="1" t="s">
        <v>225</v>
      </c>
      <c r="P1714" s="1" t="s">
        <v>5298</v>
      </c>
      <c r="Q1714" s="1" t="s">
        <v>5299</v>
      </c>
      <c r="R1714" s="1" t="s">
        <v>228</v>
      </c>
      <c r="S1714" s="1" t="s">
        <v>5300</v>
      </c>
      <c r="T1714" s="1" t="s">
        <v>5301</v>
      </c>
      <c r="U1714" s="2" t="s">
        <v>262</v>
      </c>
      <c r="V1714" s="2" t="s">
        <v>83</v>
      </c>
      <c r="W1714" s="2" t="s">
        <v>263</v>
      </c>
      <c r="X1714" s="2">
        <v>512.19000000000005</v>
      </c>
    </row>
    <row r="1715" spans="1:24" x14ac:dyDescent="0.3">
      <c r="A1715">
        <v>19595</v>
      </c>
      <c r="B1715" t="s">
        <v>5302</v>
      </c>
      <c r="C1715" s="3">
        <v>40726</v>
      </c>
      <c r="D1715" t="s">
        <v>148</v>
      </c>
      <c r="E1715">
        <v>14</v>
      </c>
      <c r="F1715" s="3">
        <f ca="1">40728+(RANDBETWEEN(1,10))</f>
        <v>40730</v>
      </c>
      <c r="G1715" t="s">
        <v>26</v>
      </c>
      <c r="H1715" t="s">
        <v>51</v>
      </c>
      <c r="I1715" t="s">
        <v>97</v>
      </c>
      <c r="J1715">
        <v>5041.1899999999996</v>
      </c>
      <c r="K1715">
        <v>0.04</v>
      </c>
      <c r="L1715">
        <v>0.35</v>
      </c>
      <c r="M1715">
        <v>31.465</v>
      </c>
      <c r="N1715">
        <v>3478.4211</v>
      </c>
      <c r="O1715" s="1" t="s">
        <v>40</v>
      </c>
      <c r="P1715" s="1" t="s">
        <v>5303</v>
      </c>
      <c r="Q1715" s="1" t="s">
        <v>5304</v>
      </c>
      <c r="R1715" s="1" t="s">
        <v>43</v>
      </c>
      <c r="S1715" s="1" t="s">
        <v>5305</v>
      </c>
      <c r="T1715" s="1" t="s">
        <v>4392</v>
      </c>
      <c r="U1715" s="2" t="s">
        <v>177</v>
      </c>
      <c r="V1715" s="2" t="s">
        <v>83</v>
      </c>
      <c r="W1715" s="2" t="s">
        <v>178</v>
      </c>
      <c r="X1715" s="2">
        <v>347.30500000000001</v>
      </c>
    </row>
    <row r="1716" spans="1:24" x14ac:dyDescent="0.3">
      <c r="A1716">
        <v>19596</v>
      </c>
      <c r="B1716" t="s">
        <v>5306</v>
      </c>
      <c r="C1716" s="3">
        <v>40651</v>
      </c>
      <c r="D1716" t="s">
        <v>148</v>
      </c>
      <c r="E1716">
        <v>7</v>
      </c>
      <c r="F1716" s="3">
        <f ca="1">40652+(RANDBETWEEN(1,10))</f>
        <v>40660</v>
      </c>
      <c r="G1716" t="s">
        <v>156</v>
      </c>
      <c r="H1716" t="s">
        <v>27</v>
      </c>
      <c r="I1716" t="s">
        <v>28</v>
      </c>
      <c r="J1716">
        <v>1181.5650000000001</v>
      </c>
      <c r="K1716">
        <v>0.1</v>
      </c>
      <c r="L1716">
        <v>0.81</v>
      </c>
      <c r="M1716">
        <v>69.965000000000003</v>
      </c>
      <c r="N1716">
        <v>-1810.095</v>
      </c>
      <c r="O1716" s="1" t="s">
        <v>225</v>
      </c>
      <c r="P1716" s="1" t="s">
        <v>1250</v>
      </c>
      <c r="Q1716" s="1" t="s">
        <v>1251</v>
      </c>
      <c r="R1716" s="1" t="s">
        <v>228</v>
      </c>
      <c r="S1716" s="1" t="s">
        <v>1252</v>
      </c>
      <c r="T1716" s="1" t="s">
        <v>1253</v>
      </c>
      <c r="U1716" s="2" t="s">
        <v>5307</v>
      </c>
      <c r="V1716" s="2" t="s">
        <v>47</v>
      </c>
      <c r="W1716" s="2" t="s">
        <v>119</v>
      </c>
      <c r="X1716" s="2">
        <v>185.465</v>
      </c>
    </row>
    <row r="1717" spans="1:24" x14ac:dyDescent="0.3">
      <c r="A1717">
        <v>19597</v>
      </c>
      <c r="B1717" t="s">
        <v>5306</v>
      </c>
      <c r="C1717" s="3">
        <v>40651</v>
      </c>
      <c r="D1717" t="s">
        <v>148</v>
      </c>
      <c r="E1717">
        <v>2</v>
      </c>
      <c r="F1717" s="3">
        <f ca="1">40654+(RANDBETWEEN(1,10))</f>
        <v>40662</v>
      </c>
      <c r="G1717" t="s">
        <v>76</v>
      </c>
      <c r="H1717" t="s">
        <v>258</v>
      </c>
      <c r="I1717" t="s">
        <v>28</v>
      </c>
      <c r="J1717">
        <v>753.62</v>
      </c>
      <c r="K1717">
        <v>7.0000000000000007E-2</v>
      </c>
      <c r="L1717">
        <v>0.78</v>
      </c>
      <c r="M1717">
        <v>200.83</v>
      </c>
      <c r="N1717">
        <v>-1504.51</v>
      </c>
      <c r="O1717" s="1" t="s">
        <v>87</v>
      </c>
      <c r="P1717" s="1" t="s">
        <v>5308</v>
      </c>
      <c r="Q1717" s="1" t="s">
        <v>5309</v>
      </c>
      <c r="R1717" s="1" t="s">
        <v>646</v>
      </c>
      <c r="S1717" s="1" t="s">
        <v>5310</v>
      </c>
      <c r="T1717" s="1" t="s">
        <v>3151</v>
      </c>
      <c r="U1717" s="2" t="s">
        <v>1795</v>
      </c>
      <c r="V1717" s="2" t="s">
        <v>83</v>
      </c>
      <c r="W1717" s="2" t="s">
        <v>298</v>
      </c>
      <c r="X1717" s="2">
        <v>353.43</v>
      </c>
    </row>
    <row r="1718" spans="1:24" x14ac:dyDescent="0.3">
      <c r="A1718">
        <v>19598</v>
      </c>
      <c r="B1718" t="s">
        <v>5306</v>
      </c>
      <c r="C1718" s="3">
        <v>40651</v>
      </c>
      <c r="D1718" t="s">
        <v>148</v>
      </c>
      <c r="E1718">
        <v>5</v>
      </c>
      <c r="F1718" s="3">
        <f ca="1">40653+(RANDBETWEEN(1,10))</f>
        <v>40663</v>
      </c>
      <c r="G1718" t="s">
        <v>26</v>
      </c>
      <c r="H1718" t="s">
        <v>96</v>
      </c>
      <c r="I1718" t="s">
        <v>28</v>
      </c>
      <c r="J1718">
        <v>1339.9749999999999</v>
      </c>
      <c r="K1718">
        <v>0.03</v>
      </c>
      <c r="L1718">
        <v>0.55000000000000004</v>
      </c>
      <c r="M1718">
        <v>3.4649999999999999</v>
      </c>
      <c r="N1718">
        <v>924.58275000000003</v>
      </c>
      <c r="O1718" s="1" t="s">
        <v>87</v>
      </c>
      <c r="P1718" s="1" t="s">
        <v>5308</v>
      </c>
      <c r="Q1718" s="1" t="s">
        <v>5309</v>
      </c>
      <c r="R1718" s="1" t="s">
        <v>646</v>
      </c>
      <c r="S1718" s="1" t="s">
        <v>5310</v>
      </c>
      <c r="T1718" s="1" t="s">
        <v>3151</v>
      </c>
      <c r="U1718" s="2" t="s">
        <v>5311</v>
      </c>
      <c r="V1718" s="2" t="s">
        <v>36</v>
      </c>
      <c r="W1718" s="2" t="s">
        <v>37</v>
      </c>
      <c r="X1718" s="2">
        <v>300.96499999999997</v>
      </c>
    </row>
    <row r="1719" spans="1:24" x14ac:dyDescent="0.3">
      <c r="A1719">
        <v>19599</v>
      </c>
      <c r="B1719" t="s">
        <v>5312</v>
      </c>
      <c r="C1719" s="3">
        <v>40869</v>
      </c>
      <c r="D1719" t="s">
        <v>148</v>
      </c>
      <c r="E1719">
        <v>41</v>
      </c>
      <c r="F1719" s="3">
        <f ca="1">40870+(RANDBETWEEN(1,10))</f>
        <v>40874</v>
      </c>
      <c r="G1719" t="s">
        <v>26</v>
      </c>
      <c r="H1719" t="s">
        <v>51</v>
      </c>
      <c r="I1719" t="s">
        <v>86</v>
      </c>
      <c r="J1719">
        <v>4476.3599999999997</v>
      </c>
      <c r="K1719">
        <v>0.01</v>
      </c>
      <c r="L1719">
        <v>0.35</v>
      </c>
      <c r="M1719">
        <v>3.4649999999999999</v>
      </c>
      <c r="N1719">
        <v>3088.6884</v>
      </c>
      <c r="O1719" s="1" t="s">
        <v>87</v>
      </c>
      <c r="P1719" s="1" t="s">
        <v>3300</v>
      </c>
      <c r="Q1719" s="1" t="s">
        <v>3301</v>
      </c>
      <c r="R1719" s="1" t="s">
        <v>646</v>
      </c>
      <c r="S1719" s="1" t="s">
        <v>3302</v>
      </c>
      <c r="T1719" s="1" t="s">
        <v>3303</v>
      </c>
      <c r="U1719" s="2" t="s">
        <v>1868</v>
      </c>
      <c r="V1719" s="2" t="s">
        <v>36</v>
      </c>
      <c r="W1719" s="2" t="s">
        <v>37</v>
      </c>
      <c r="X1719" s="2">
        <v>125.965</v>
      </c>
    </row>
    <row r="1720" spans="1:24" x14ac:dyDescent="0.3">
      <c r="A1720">
        <v>19600</v>
      </c>
      <c r="B1720" t="s">
        <v>5313</v>
      </c>
      <c r="C1720" s="3">
        <v>40617</v>
      </c>
      <c r="D1720" t="s">
        <v>148</v>
      </c>
      <c r="E1720">
        <v>4</v>
      </c>
      <c r="F1720" s="3">
        <f ca="1">40618+(RANDBETWEEN(1,10))</f>
        <v>40621</v>
      </c>
      <c r="G1720" t="s">
        <v>26</v>
      </c>
      <c r="H1720" t="s">
        <v>27</v>
      </c>
      <c r="I1720" t="s">
        <v>52</v>
      </c>
      <c r="J1720">
        <v>232.12</v>
      </c>
      <c r="K1720">
        <v>0.1</v>
      </c>
      <c r="L1720">
        <v>0.79</v>
      </c>
      <c r="M1720">
        <v>14</v>
      </c>
      <c r="N1720">
        <v>-348.42500000000001</v>
      </c>
      <c r="O1720" s="1" t="s">
        <v>53</v>
      </c>
      <c r="P1720" s="1" t="s">
        <v>5314</v>
      </c>
      <c r="Q1720" s="1" t="s">
        <v>5315</v>
      </c>
      <c r="R1720" s="1" t="s">
        <v>100</v>
      </c>
      <c r="S1720" s="1" t="s">
        <v>491</v>
      </c>
      <c r="T1720" s="1" t="s">
        <v>492</v>
      </c>
      <c r="U1720" s="2" t="s">
        <v>4938</v>
      </c>
      <c r="V1720" s="2" t="s">
        <v>36</v>
      </c>
      <c r="W1720" s="2" t="s">
        <v>60</v>
      </c>
      <c r="X1720" s="2">
        <v>62.93</v>
      </c>
    </row>
    <row r="1721" spans="1:24" x14ac:dyDescent="0.3">
      <c r="A1721">
        <v>19601</v>
      </c>
      <c r="B1721" t="s">
        <v>5313</v>
      </c>
      <c r="C1721" s="3">
        <v>40617</v>
      </c>
      <c r="D1721" t="s">
        <v>148</v>
      </c>
      <c r="E1721">
        <v>1</v>
      </c>
      <c r="F1721" s="3">
        <f ca="1">40618+(RANDBETWEEN(1,10))</f>
        <v>40625</v>
      </c>
      <c r="G1721" t="s">
        <v>26</v>
      </c>
      <c r="H1721" t="s">
        <v>27</v>
      </c>
      <c r="I1721" t="s">
        <v>52</v>
      </c>
      <c r="J1721">
        <v>351.33</v>
      </c>
      <c r="K1721">
        <v>0.09</v>
      </c>
      <c r="L1721">
        <v>0.55000000000000004</v>
      </c>
      <c r="M1721">
        <v>31.465</v>
      </c>
      <c r="N1721">
        <v>-2118.8090000000002</v>
      </c>
      <c r="O1721" s="1" t="s">
        <v>87</v>
      </c>
      <c r="P1721" s="1" t="s">
        <v>5316</v>
      </c>
      <c r="Q1721" s="1" t="s">
        <v>5317</v>
      </c>
      <c r="R1721" s="1" t="s">
        <v>90</v>
      </c>
      <c r="S1721" s="1" t="s">
        <v>5318</v>
      </c>
      <c r="T1721" s="1" t="s">
        <v>5319</v>
      </c>
      <c r="U1721" s="2" t="s">
        <v>187</v>
      </c>
      <c r="V1721" s="2" t="s">
        <v>36</v>
      </c>
      <c r="W1721" s="2" t="s">
        <v>37</v>
      </c>
      <c r="X1721" s="2">
        <v>440.96499999999997</v>
      </c>
    </row>
    <row r="1722" spans="1:24" x14ac:dyDescent="0.3">
      <c r="A1722">
        <v>19602</v>
      </c>
      <c r="B1722" t="s">
        <v>5320</v>
      </c>
      <c r="C1722" s="3">
        <v>41373</v>
      </c>
      <c r="D1722" t="s">
        <v>25</v>
      </c>
      <c r="E1722">
        <v>1</v>
      </c>
      <c r="F1722" s="3">
        <f ca="1">41380+(RANDBETWEEN(1,10))</f>
        <v>41388</v>
      </c>
      <c r="G1722" t="s">
        <v>26</v>
      </c>
      <c r="H1722" t="s">
        <v>51</v>
      </c>
      <c r="I1722" t="s">
        <v>28</v>
      </c>
      <c r="J1722">
        <v>113.785</v>
      </c>
      <c r="K1722">
        <v>0.1</v>
      </c>
      <c r="L1722">
        <v>0.43</v>
      </c>
      <c r="M1722">
        <v>6.9649999999999999</v>
      </c>
      <c r="N1722">
        <v>-318.29000000000002</v>
      </c>
      <c r="O1722" s="1" t="s">
        <v>29</v>
      </c>
      <c r="P1722" s="1" t="s">
        <v>5321</v>
      </c>
      <c r="Q1722" s="1" t="s">
        <v>5322</v>
      </c>
      <c r="R1722" s="1" t="s">
        <v>675</v>
      </c>
      <c r="S1722" s="1" t="s">
        <v>5323</v>
      </c>
      <c r="T1722" s="1" t="s">
        <v>5324</v>
      </c>
      <c r="U1722" s="2" t="s">
        <v>2995</v>
      </c>
      <c r="V1722" s="2" t="s">
        <v>36</v>
      </c>
      <c r="W1722" s="2" t="s">
        <v>60</v>
      </c>
      <c r="X1722" s="2">
        <v>123.935</v>
      </c>
    </row>
    <row r="1723" spans="1:24" x14ac:dyDescent="0.3">
      <c r="A1723">
        <v>19603</v>
      </c>
      <c r="B1723" t="s">
        <v>5320</v>
      </c>
      <c r="C1723" s="3">
        <v>41373</v>
      </c>
      <c r="D1723" t="s">
        <v>25</v>
      </c>
      <c r="E1723">
        <v>9</v>
      </c>
      <c r="F1723" s="3">
        <f ca="1">41373+(RANDBETWEEN(1,10))</f>
        <v>41382</v>
      </c>
      <c r="G1723" t="s">
        <v>26</v>
      </c>
      <c r="H1723" t="s">
        <v>27</v>
      </c>
      <c r="I1723" t="s">
        <v>28</v>
      </c>
      <c r="J1723">
        <v>544.56500000000005</v>
      </c>
      <c r="K1723">
        <v>0</v>
      </c>
      <c r="L1723">
        <v>0.81</v>
      </c>
      <c r="M1723">
        <v>24.64</v>
      </c>
      <c r="N1723">
        <v>-499.625</v>
      </c>
      <c r="O1723" s="1" t="s">
        <v>29</v>
      </c>
      <c r="P1723" s="1" t="s">
        <v>5321</v>
      </c>
      <c r="Q1723" s="1" t="s">
        <v>5322</v>
      </c>
      <c r="R1723" s="1" t="s">
        <v>675</v>
      </c>
      <c r="S1723" s="1" t="s">
        <v>5323</v>
      </c>
      <c r="T1723" s="1" t="s">
        <v>5324</v>
      </c>
      <c r="U1723" s="2" t="s">
        <v>5325</v>
      </c>
      <c r="V1723" s="2" t="s">
        <v>47</v>
      </c>
      <c r="W1723" s="2" t="s">
        <v>119</v>
      </c>
      <c r="X1723" s="2">
        <v>58.59</v>
      </c>
    </row>
    <row r="1724" spans="1:24" x14ac:dyDescent="0.3">
      <c r="A1724">
        <v>19604</v>
      </c>
      <c r="B1724" t="s">
        <v>5326</v>
      </c>
      <c r="C1724" s="3">
        <v>41906</v>
      </c>
      <c r="D1724" t="s">
        <v>50</v>
      </c>
      <c r="E1724">
        <v>16</v>
      </c>
      <c r="F1724" s="3">
        <f ca="1">41907+(RANDBETWEEN(1,10))</f>
        <v>41915</v>
      </c>
      <c r="G1724" t="s">
        <v>26</v>
      </c>
      <c r="H1724" t="s">
        <v>51</v>
      </c>
      <c r="I1724" t="s">
        <v>97</v>
      </c>
      <c r="J1724">
        <v>454.51</v>
      </c>
      <c r="K1724">
        <v>0.08</v>
      </c>
      <c r="L1724">
        <v>0.74</v>
      </c>
      <c r="M1724">
        <v>8.33</v>
      </c>
      <c r="N1724">
        <v>-147.76580000000001</v>
      </c>
      <c r="O1724" s="1" t="s">
        <v>40</v>
      </c>
      <c r="P1724" s="1" t="s">
        <v>5327</v>
      </c>
      <c r="Q1724" s="1" t="s">
        <v>5328</v>
      </c>
      <c r="R1724" s="1" t="s">
        <v>43</v>
      </c>
      <c r="S1724" s="1" t="s">
        <v>5329</v>
      </c>
      <c r="T1724" s="1" t="s">
        <v>5330</v>
      </c>
      <c r="U1724" s="2" t="s">
        <v>152</v>
      </c>
      <c r="V1724" s="2" t="s">
        <v>36</v>
      </c>
      <c r="W1724" s="2" t="s">
        <v>60</v>
      </c>
      <c r="X1724" s="2">
        <v>29.12</v>
      </c>
    </row>
    <row r="1725" spans="1:24" x14ac:dyDescent="0.3">
      <c r="A1725">
        <v>19605</v>
      </c>
      <c r="B1725" t="s">
        <v>5326</v>
      </c>
      <c r="C1725" s="3">
        <v>41906</v>
      </c>
      <c r="D1725" t="s">
        <v>50</v>
      </c>
      <c r="E1725">
        <v>14</v>
      </c>
      <c r="F1725" s="3">
        <f ca="1">41908+(RANDBETWEEN(1,10))</f>
        <v>41915</v>
      </c>
      <c r="G1725" t="s">
        <v>26</v>
      </c>
      <c r="H1725" t="s">
        <v>51</v>
      </c>
      <c r="I1725" t="s">
        <v>97</v>
      </c>
      <c r="J1725">
        <v>2054.9899999999998</v>
      </c>
      <c r="K1725">
        <v>0.06</v>
      </c>
      <c r="L1725">
        <v>0.59</v>
      </c>
      <c r="M1725">
        <v>31.465</v>
      </c>
      <c r="N1725">
        <v>552.78719999999998</v>
      </c>
      <c r="O1725" s="1" t="s">
        <v>64</v>
      </c>
      <c r="P1725" s="1" t="s">
        <v>5331</v>
      </c>
      <c r="Q1725" s="1" t="s">
        <v>5332</v>
      </c>
      <c r="R1725" s="1" t="s">
        <v>128</v>
      </c>
      <c r="S1725" s="1" t="s">
        <v>4805</v>
      </c>
      <c r="T1725" s="1" t="s">
        <v>4806</v>
      </c>
      <c r="U1725" s="2" t="s">
        <v>2755</v>
      </c>
      <c r="V1725" s="2" t="s">
        <v>47</v>
      </c>
      <c r="W1725" s="2" t="s">
        <v>104</v>
      </c>
      <c r="X1725" s="2">
        <v>143.39500000000001</v>
      </c>
    </row>
    <row r="1726" spans="1:24" x14ac:dyDescent="0.3">
      <c r="A1726">
        <v>19606</v>
      </c>
      <c r="B1726" t="s">
        <v>5333</v>
      </c>
      <c r="C1726" s="3">
        <v>41327</v>
      </c>
      <c r="D1726" t="s">
        <v>148</v>
      </c>
      <c r="E1726">
        <v>5</v>
      </c>
      <c r="F1726" s="3">
        <f ca="1">41329+(RANDBETWEEN(1,10))</f>
        <v>41335</v>
      </c>
      <c r="G1726" t="s">
        <v>156</v>
      </c>
      <c r="H1726" t="s">
        <v>96</v>
      </c>
      <c r="I1726" t="s">
        <v>86</v>
      </c>
      <c r="J1726">
        <v>60.655000000000001</v>
      </c>
      <c r="K1726">
        <v>7.0000000000000007E-2</v>
      </c>
      <c r="L1726">
        <v>0.59</v>
      </c>
      <c r="M1726">
        <v>3.43</v>
      </c>
      <c r="N1726">
        <v>13.65</v>
      </c>
      <c r="O1726" s="1" t="s">
        <v>53</v>
      </c>
      <c r="P1726" s="1" t="s">
        <v>5334</v>
      </c>
      <c r="Q1726" s="1" t="s">
        <v>5335</v>
      </c>
      <c r="R1726" s="1" t="s">
        <v>56</v>
      </c>
      <c r="S1726" s="1" t="s">
        <v>5336</v>
      </c>
      <c r="T1726" s="1" t="s">
        <v>5337</v>
      </c>
      <c r="U1726" s="2" t="s">
        <v>321</v>
      </c>
      <c r="V1726" s="2" t="s">
        <v>47</v>
      </c>
      <c r="W1726" s="2" t="s">
        <v>104</v>
      </c>
      <c r="X1726" s="2">
        <v>11.48</v>
      </c>
    </row>
    <row r="1727" spans="1:24" x14ac:dyDescent="0.3">
      <c r="A1727">
        <v>19607</v>
      </c>
      <c r="B1727" t="s">
        <v>5338</v>
      </c>
      <c r="C1727" s="3">
        <v>41588</v>
      </c>
      <c r="D1727" t="s">
        <v>50</v>
      </c>
      <c r="E1727">
        <v>30</v>
      </c>
      <c r="F1727" s="3">
        <f ca="1">41589+(RANDBETWEEN(1,10))</f>
        <v>41590</v>
      </c>
      <c r="G1727" t="s">
        <v>26</v>
      </c>
      <c r="H1727" t="s">
        <v>27</v>
      </c>
      <c r="I1727" t="s">
        <v>97</v>
      </c>
      <c r="J1727">
        <v>3462.41</v>
      </c>
      <c r="K1727">
        <v>7.0000000000000007E-2</v>
      </c>
      <c r="L1727">
        <v>0.75</v>
      </c>
      <c r="M1727">
        <v>19.25</v>
      </c>
      <c r="N1727">
        <v>25.2</v>
      </c>
      <c r="O1727" s="1" t="s">
        <v>87</v>
      </c>
      <c r="P1727" s="1" t="s">
        <v>4246</v>
      </c>
      <c r="Q1727" s="1" t="s">
        <v>4247</v>
      </c>
      <c r="R1727" s="1" t="s">
        <v>398</v>
      </c>
      <c r="S1727" s="1" t="s">
        <v>4248</v>
      </c>
      <c r="T1727" s="1" t="s">
        <v>4249</v>
      </c>
      <c r="U1727" s="2" t="s">
        <v>2960</v>
      </c>
      <c r="V1727" s="2" t="s">
        <v>36</v>
      </c>
      <c r="W1727" s="2" t="s">
        <v>60</v>
      </c>
      <c r="X1727" s="2">
        <v>115.43</v>
      </c>
    </row>
    <row r="1728" spans="1:24" x14ac:dyDescent="0.3">
      <c r="A1728">
        <v>19608</v>
      </c>
      <c r="B1728" t="s">
        <v>5338</v>
      </c>
      <c r="C1728" s="3">
        <v>41588</v>
      </c>
      <c r="D1728" t="s">
        <v>50</v>
      </c>
      <c r="E1728">
        <v>31</v>
      </c>
      <c r="F1728" s="3">
        <f ca="1">41589+(RANDBETWEEN(1,10))</f>
        <v>41591</v>
      </c>
      <c r="G1728" t="s">
        <v>26</v>
      </c>
      <c r="H1728" t="s">
        <v>27</v>
      </c>
      <c r="I1728" t="s">
        <v>97</v>
      </c>
      <c r="J1728">
        <v>656.32</v>
      </c>
      <c r="K1728">
        <v>0.09</v>
      </c>
      <c r="L1728">
        <v>0.4</v>
      </c>
      <c r="M1728">
        <v>36.365000000000002</v>
      </c>
      <c r="N1728">
        <v>174.37700000000001</v>
      </c>
      <c r="O1728" s="1" t="s">
        <v>87</v>
      </c>
      <c r="P1728" s="1" t="s">
        <v>4246</v>
      </c>
      <c r="Q1728" s="1" t="s">
        <v>4247</v>
      </c>
      <c r="R1728" s="1" t="s">
        <v>398</v>
      </c>
      <c r="S1728" s="1" t="s">
        <v>4248</v>
      </c>
      <c r="T1728" s="1" t="s">
        <v>4249</v>
      </c>
      <c r="U1728" s="2" t="s">
        <v>3250</v>
      </c>
      <c r="V1728" s="2" t="s">
        <v>47</v>
      </c>
      <c r="W1728" s="2" t="s">
        <v>74</v>
      </c>
      <c r="X1728" s="2">
        <v>20.93</v>
      </c>
    </row>
    <row r="1729" spans="1:24" x14ac:dyDescent="0.3">
      <c r="A1729">
        <v>19609</v>
      </c>
      <c r="B1729" t="s">
        <v>5338</v>
      </c>
      <c r="C1729" s="3">
        <v>41588</v>
      </c>
      <c r="D1729" t="s">
        <v>50</v>
      </c>
      <c r="E1729">
        <v>1</v>
      </c>
      <c r="F1729" s="3">
        <f ca="1">41590+(RANDBETWEEN(1,10))</f>
        <v>41592</v>
      </c>
      <c r="G1729" t="s">
        <v>26</v>
      </c>
      <c r="H1729" t="s">
        <v>27</v>
      </c>
      <c r="I1729" t="s">
        <v>97</v>
      </c>
      <c r="J1729">
        <v>215.11</v>
      </c>
      <c r="K1729">
        <v>0.05</v>
      </c>
      <c r="L1729">
        <v>0.56000000000000005</v>
      </c>
      <c r="M1729">
        <v>31.465</v>
      </c>
      <c r="N1729">
        <v>148.42590000000001</v>
      </c>
      <c r="O1729" s="1" t="s">
        <v>87</v>
      </c>
      <c r="P1729" s="1" t="s">
        <v>4246</v>
      </c>
      <c r="Q1729" s="1" t="s">
        <v>4247</v>
      </c>
      <c r="R1729" s="1" t="s">
        <v>398</v>
      </c>
      <c r="S1729" s="1" t="s">
        <v>4248</v>
      </c>
      <c r="T1729" s="1" t="s">
        <v>4249</v>
      </c>
      <c r="U1729" s="2" t="s">
        <v>164</v>
      </c>
      <c r="V1729" s="2" t="s">
        <v>36</v>
      </c>
      <c r="W1729" s="2" t="s">
        <v>37</v>
      </c>
      <c r="X1729" s="2">
        <v>230.965</v>
      </c>
    </row>
    <row r="1730" spans="1:24" x14ac:dyDescent="0.3">
      <c r="A1730">
        <v>19610</v>
      </c>
      <c r="B1730" t="s">
        <v>5338</v>
      </c>
      <c r="C1730" s="3">
        <v>41588</v>
      </c>
      <c r="D1730" t="s">
        <v>50</v>
      </c>
      <c r="E1730">
        <v>21</v>
      </c>
      <c r="F1730" s="3">
        <f ca="1">41590+(RANDBETWEEN(1,10))</f>
        <v>41592</v>
      </c>
      <c r="G1730" t="s">
        <v>26</v>
      </c>
      <c r="H1730" t="s">
        <v>96</v>
      </c>
      <c r="I1730" t="s">
        <v>97</v>
      </c>
      <c r="J1730">
        <v>358.96</v>
      </c>
      <c r="K1730">
        <v>0.1</v>
      </c>
      <c r="L1730">
        <v>0.36</v>
      </c>
      <c r="M1730">
        <v>7.14</v>
      </c>
      <c r="N1730">
        <v>108.64700000000001</v>
      </c>
      <c r="O1730" s="1" t="s">
        <v>40</v>
      </c>
      <c r="P1730" s="1" t="s">
        <v>5339</v>
      </c>
      <c r="Q1730" s="1" t="s">
        <v>5340</v>
      </c>
      <c r="R1730" s="1" t="s">
        <v>43</v>
      </c>
      <c r="S1730" s="1" t="s">
        <v>5341</v>
      </c>
      <c r="T1730" s="1" t="s">
        <v>5342</v>
      </c>
      <c r="U1730" s="2" t="s">
        <v>204</v>
      </c>
      <c r="V1730" s="2" t="s">
        <v>47</v>
      </c>
      <c r="W1730" s="2" t="s">
        <v>74</v>
      </c>
      <c r="X1730" s="2">
        <v>18.13</v>
      </c>
    </row>
    <row r="1731" spans="1:24" x14ac:dyDescent="0.3">
      <c r="A1731">
        <v>19611</v>
      </c>
      <c r="B1731" t="s">
        <v>5343</v>
      </c>
      <c r="C1731" s="3">
        <v>40790</v>
      </c>
      <c r="D1731" t="s">
        <v>148</v>
      </c>
      <c r="E1731">
        <v>23</v>
      </c>
      <c r="F1731" s="3">
        <f ca="1">40792+(RANDBETWEEN(1,10))</f>
        <v>40800</v>
      </c>
      <c r="G1731" t="s">
        <v>26</v>
      </c>
      <c r="H1731" t="s">
        <v>27</v>
      </c>
      <c r="I1731" t="s">
        <v>28</v>
      </c>
      <c r="J1731">
        <v>11772.355</v>
      </c>
      <c r="K1731">
        <v>0.06</v>
      </c>
      <c r="L1731">
        <v>0.56999999999999995</v>
      </c>
      <c r="M1731">
        <v>31.465</v>
      </c>
      <c r="N1731">
        <v>7110.2745000000004</v>
      </c>
      <c r="O1731" s="1" t="s">
        <v>29</v>
      </c>
      <c r="P1731" s="1" t="s">
        <v>1434</v>
      </c>
      <c r="Q1731" s="1" t="s">
        <v>1435</v>
      </c>
      <c r="R1731" s="1" t="s">
        <v>460</v>
      </c>
      <c r="S1731" s="1" t="s">
        <v>1436</v>
      </c>
      <c r="T1731" s="1" t="s">
        <v>1437</v>
      </c>
      <c r="U1731" s="2">
        <v>2180</v>
      </c>
      <c r="V1731" s="2" t="s">
        <v>36</v>
      </c>
      <c r="W1731" s="2" t="s">
        <v>37</v>
      </c>
      <c r="X1731" s="2">
        <v>615.96500000000003</v>
      </c>
    </row>
    <row r="1732" spans="1:24" x14ac:dyDescent="0.3">
      <c r="A1732">
        <v>19612</v>
      </c>
      <c r="B1732" t="s">
        <v>5344</v>
      </c>
      <c r="C1732" s="3">
        <v>41094</v>
      </c>
      <c r="D1732" t="s">
        <v>25</v>
      </c>
      <c r="E1732">
        <v>2</v>
      </c>
      <c r="F1732" s="3">
        <f ca="1">41101+(RANDBETWEEN(1,10))</f>
        <v>41105</v>
      </c>
      <c r="G1732" t="s">
        <v>26</v>
      </c>
      <c r="H1732" t="s">
        <v>27</v>
      </c>
      <c r="I1732" t="s">
        <v>97</v>
      </c>
      <c r="J1732">
        <v>143.04499999999999</v>
      </c>
      <c r="K1732">
        <v>0.09</v>
      </c>
      <c r="L1732">
        <v>0.68</v>
      </c>
      <c r="M1732">
        <v>14</v>
      </c>
      <c r="N1732">
        <v>-229.845</v>
      </c>
      <c r="O1732" s="1" t="s">
        <v>29</v>
      </c>
      <c r="P1732" s="1" t="s">
        <v>2477</v>
      </c>
      <c r="Q1732" s="1" t="s">
        <v>2478</v>
      </c>
      <c r="R1732" s="1" t="s">
        <v>32</v>
      </c>
      <c r="S1732" s="1" t="s">
        <v>2479</v>
      </c>
      <c r="T1732" s="1" t="s">
        <v>2480</v>
      </c>
      <c r="U1732" s="2" t="s">
        <v>2334</v>
      </c>
      <c r="V1732" s="2" t="s">
        <v>36</v>
      </c>
      <c r="W1732" s="2" t="s">
        <v>60</v>
      </c>
      <c r="X1732" s="2">
        <v>69.930000000000007</v>
      </c>
    </row>
    <row r="1733" spans="1:24" x14ac:dyDescent="0.3">
      <c r="A1733">
        <v>19613</v>
      </c>
      <c r="B1733" t="s">
        <v>5345</v>
      </c>
      <c r="C1733" s="3">
        <v>41677</v>
      </c>
      <c r="D1733" t="s">
        <v>50</v>
      </c>
      <c r="E1733">
        <v>7</v>
      </c>
      <c r="F1733" s="3">
        <f ca="1">41677+(RANDBETWEEN(1,10))</f>
        <v>41687</v>
      </c>
      <c r="G1733" t="s">
        <v>26</v>
      </c>
      <c r="H1733" t="s">
        <v>27</v>
      </c>
      <c r="I1733" t="s">
        <v>28</v>
      </c>
      <c r="J1733">
        <v>1444.1</v>
      </c>
      <c r="K1733">
        <v>0.03</v>
      </c>
      <c r="L1733">
        <v>0.57999999999999996</v>
      </c>
      <c r="M1733">
        <v>20.965</v>
      </c>
      <c r="N1733">
        <v>996.42899999999997</v>
      </c>
      <c r="O1733" s="1" t="s">
        <v>40</v>
      </c>
      <c r="P1733" s="1" t="s">
        <v>3229</v>
      </c>
      <c r="Q1733" s="1" t="s">
        <v>3230</v>
      </c>
      <c r="R1733" s="1" t="s">
        <v>43</v>
      </c>
      <c r="S1733" s="1" t="s">
        <v>454</v>
      </c>
      <c r="T1733" s="1" t="s">
        <v>455</v>
      </c>
      <c r="U1733" s="2" t="s">
        <v>326</v>
      </c>
      <c r="V1733" s="2" t="s">
        <v>36</v>
      </c>
      <c r="W1733" s="2" t="s">
        <v>37</v>
      </c>
      <c r="X1733" s="2">
        <v>230.965</v>
      </c>
    </row>
    <row r="1734" spans="1:24" x14ac:dyDescent="0.3">
      <c r="A1734">
        <v>19614</v>
      </c>
      <c r="B1734" t="s">
        <v>5346</v>
      </c>
      <c r="C1734" s="3">
        <v>41847</v>
      </c>
      <c r="D1734" t="s">
        <v>39</v>
      </c>
      <c r="E1734">
        <v>3</v>
      </c>
      <c r="F1734" s="3">
        <f ca="1">41849+(RANDBETWEEN(1,10))</f>
        <v>41854</v>
      </c>
      <c r="G1734" t="s">
        <v>26</v>
      </c>
      <c r="H1734" t="s">
        <v>63</v>
      </c>
      <c r="I1734" t="s">
        <v>52</v>
      </c>
      <c r="J1734">
        <v>1540.21</v>
      </c>
      <c r="K1734">
        <v>0</v>
      </c>
      <c r="L1734">
        <v>0.56999999999999995</v>
      </c>
      <c r="M1734">
        <v>85.715000000000003</v>
      </c>
      <c r="N1734">
        <v>205.13695999999999</v>
      </c>
      <c r="O1734" s="1" t="s">
        <v>64</v>
      </c>
      <c r="P1734" s="1" t="s">
        <v>5078</v>
      </c>
      <c r="Q1734" s="1" t="s">
        <v>5079</v>
      </c>
      <c r="R1734" s="1" t="s">
        <v>128</v>
      </c>
      <c r="S1734" s="1" t="s">
        <v>5080</v>
      </c>
      <c r="T1734" s="1" t="s">
        <v>5081</v>
      </c>
      <c r="U1734" s="2" t="s">
        <v>4440</v>
      </c>
      <c r="V1734" s="2" t="s">
        <v>83</v>
      </c>
      <c r="W1734" s="2" t="s">
        <v>84</v>
      </c>
      <c r="X1734" s="2">
        <v>492.83499999999998</v>
      </c>
    </row>
    <row r="1735" spans="1:24" x14ac:dyDescent="0.3">
      <c r="A1735">
        <v>19615</v>
      </c>
      <c r="B1735" t="s">
        <v>5347</v>
      </c>
      <c r="C1735" s="3">
        <v>40570</v>
      </c>
      <c r="D1735" t="s">
        <v>50</v>
      </c>
      <c r="E1735">
        <v>10</v>
      </c>
      <c r="F1735" s="3">
        <f ca="1">40571+(RANDBETWEEN(1,10))</f>
        <v>40574</v>
      </c>
      <c r="G1735" t="s">
        <v>26</v>
      </c>
      <c r="H1735" t="s">
        <v>27</v>
      </c>
      <c r="I1735" t="s">
        <v>97</v>
      </c>
      <c r="J1735">
        <v>5637.94</v>
      </c>
      <c r="K1735">
        <v>0.08</v>
      </c>
      <c r="L1735">
        <v>0.59</v>
      </c>
      <c r="M1735">
        <v>8.75</v>
      </c>
      <c r="N1735">
        <v>3490.8350399999999</v>
      </c>
      <c r="O1735" s="1" t="s">
        <v>53</v>
      </c>
      <c r="P1735" s="1" t="s">
        <v>3182</v>
      </c>
      <c r="Q1735" s="1" t="s">
        <v>3183</v>
      </c>
      <c r="R1735" s="1" t="s">
        <v>56</v>
      </c>
      <c r="S1735" s="1" t="s">
        <v>3184</v>
      </c>
      <c r="T1735" s="1" t="s">
        <v>3185</v>
      </c>
      <c r="U1735" s="2" t="s">
        <v>5038</v>
      </c>
      <c r="V1735" s="2" t="s">
        <v>36</v>
      </c>
      <c r="W1735" s="2" t="s">
        <v>37</v>
      </c>
      <c r="X1735" s="2">
        <v>720.96500000000003</v>
      </c>
    </row>
    <row r="1736" spans="1:24" x14ac:dyDescent="0.3">
      <c r="A1736">
        <v>19616</v>
      </c>
      <c r="B1736" t="s">
        <v>5348</v>
      </c>
      <c r="C1736" s="3">
        <v>41633</v>
      </c>
      <c r="D1736" t="s">
        <v>39</v>
      </c>
      <c r="E1736">
        <v>13</v>
      </c>
      <c r="F1736" s="3">
        <f ca="1">41633+(RANDBETWEEN(1,10))</f>
        <v>41638</v>
      </c>
      <c r="G1736" t="s">
        <v>26</v>
      </c>
      <c r="H1736" t="s">
        <v>96</v>
      </c>
      <c r="I1736" t="s">
        <v>97</v>
      </c>
      <c r="J1736">
        <v>330.64499999999998</v>
      </c>
      <c r="K1736">
        <v>0.04</v>
      </c>
      <c r="L1736">
        <v>0.37</v>
      </c>
      <c r="M1736">
        <v>6.1950000000000003</v>
      </c>
      <c r="N1736">
        <v>228.14505</v>
      </c>
      <c r="O1736" s="1" t="s">
        <v>64</v>
      </c>
      <c r="P1736" s="1" t="s">
        <v>5349</v>
      </c>
      <c r="Q1736" s="1" t="s">
        <v>5350</v>
      </c>
      <c r="R1736" s="1" t="s">
        <v>67</v>
      </c>
      <c r="S1736" s="1" t="s">
        <v>1374</v>
      </c>
      <c r="T1736" s="1" t="s">
        <v>1375</v>
      </c>
      <c r="U1736" s="2" t="s">
        <v>5351</v>
      </c>
      <c r="V1736" s="2" t="s">
        <v>47</v>
      </c>
      <c r="W1736" s="2" t="s">
        <v>74</v>
      </c>
      <c r="X1736" s="2">
        <v>25.48</v>
      </c>
    </row>
    <row r="1737" spans="1:24" x14ac:dyDescent="0.3">
      <c r="A1737">
        <v>19617</v>
      </c>
      <c r="B1737" t="s">
        <v>5352</v>
      </c>
      <c r="C1737" s="3">
        <v>40659</v>
      </c>
      <c r="D1737" t="s">
        <v>25</v>
      </c>
      <c r="E1737">
        <v>2</v>
      </c>
      <c r="F1737" s="3">
        <f ca="1">40661+(RANDBETWEEN(1,10))</f>
        <v>40670</v>
      </c>
      <c r="G1737" t="s">
        <v>26</v>
      </c>
      <c r="H1737" t="s">
        <v>96</v>
      </c>
      <c r="I1737" t="s">
        <v>52</v>
      </c>
      <c r="J1737">
        <v>30.31</v>
      </c>
      <c r="K1737">
        <v>0.06</v>
      </c>
      <c r="L1737">
        <v>0.56000000000000005</v>
      </c>
      <c r="M1737">
        <v>3.29</v>
      </c>
      <c r="N1737">
        <v>1.2949999999999999</v>
      </c>
      <c r="O1737" s="1" t="s">
        <v>40</v>
      </c>
      <c r="P1737" s="1" t="s">
        <v>1209</v>
      </c>
      <c r="Q1737" s="1" t="s">
        <v>1210</v>
      </c>
      <c r="R1737" s="1" t="s">
        <v>43</v>
      </c>
      <c r="S1737" s="1" t="s">
        <v>1211</v>
      </c>
      <c r="T1737" s="1" t="s">
        <v>1212</v>
      </c>
      <c r="U1737" s="2" t="s">
        <v>331</v>
      </c>
      <c r="V1737" s="2" t="s">
        <v>47</v>
      </c>
      <c r="W1737" s="2" t="s">
        <v>104</v>
      </c>
      <c r="X1737" s="2">
        <v>14.98</v>
      </c>
    </row>
    <row r="1738" spans="1:24" x14ac:dyDescent="0.3">
      <c r="A1738">
        <v>19618</v>
      </c>
      <c r="B1738" t="s">
        <v>5353</v>
      </c>
      <c r="C1738" s="3">
        <v>40759</v>
      </c>
      <c r="D1738" t="s">
        <v>62</v>
      </c>
      <c r="E1738">
        <v>1</v>
      </c>
      <c r="F1738" s="3">
        <f ca="1">40760+(RANDBETWEEN(1,10))</f>
        <v>40762</v>
      </c>
      <c r="G1738" t="s">
        <v>76</v>
      </c>
      <c r="H1738" t="s">
        <v>258</v>
      </c>
      <c r="I1738" t="s">
        <v>28</v>
      </c>
      <c r="J1738">
        <v>12256.264999999999</v>
      </c>
      <c r="K1738">
        <v>0.01</v>
      </c>
      <c r="L1738">
        <v>0.56999999999999995</v>
      </c>
      <c r="M1738">
        <v>30.555</v>
      </c>
      <c r="N1738">
        <v>-14265.768972</v>
      </c>
      <c r="O1738" s="1" t="s">
        <v>87</v>
      </c>
      <c r="P1738" s="1" t="s">
        <v>2731</v>
      </c>
      <c r="Q1738" s="1" t="s">
        <v>2732</v>
      </c>
      <c r="R1738" s="1" t="s">
        <v>398</v>
      </c>
      <c r="S1738" s="1" t="s">
        <v>2733</v>
      </c>
      <c r="T1738" s="1" t="s">
        <v>735</v>
      </c>
      <c r="U1738" s="2" t="s">
        <v>1769</v>
      </c>
      <c r="V1738" s="2" t="s">
        <v>36</v>
      </c>
      <c r="W1738" s="2" t="s">
        <v>142</v>
      </c>
      <c r="X1738" s="2">
        <v>12257.49</v>
      </c>
    </row>
    <row r="1739" spans="1:24" x14ac:dyDescent="0.3">
      <c r="A1739">
        <v>19619</v>
      </c>
      <c r="B1739" t="s">
        <v>5353</v>
      </c>
      <c r="C1739" s="3">
        <v>40759</v>
      </c>
      <c r="D1739" t="s">
        <v>62</v>
      </c>
      <c r="E1739">
        <v>4</v>
      </c>
      <c r="F1739" s="3">
        <f ca="1">40760+(RANDBETWEEN(1,10))</f>
        <v>40761</v>
      </c>
      <c r="G1739" t="s">
        <v>26</v>
      </c>
      <c r="H1739" t="s">
        <v>51</v>
      </c>
      <c r="I1739" t="s">
        <v>28</v>
      </c>
      <c r="J1739">
        <v>220.64</v>
      </c>
      <c r="K1739">
        <v>0.06</v>
      </c>
      <c r="L1739">
        <v>0.56000000000000005</v>
      </c>
      <c r="M1739">
        <v>25.97</v>
      </c>
      <c r="N1739">
        <v>-64.955799999999996</v>
      </c>
      <c r="O1739" s="1" t="s">
        <v>87</v>
      </c>
      <c r="P1739" s="1" t="s">
        <v>2731</v>
      </c>
      <c r="Q1739" s="1" t="s">
        <v>2732</v>
      </c>
      <c r="R1739" s="1" t="s">
        <v>398</v>
      </c>
      <c r="S1739" s="1" t="s">
        <v>2733</v>
      </c>
      <c r="T1739" s="1" t="s">
        <v>735</v>
      </c>
      <c r="U1739" s="2" t="s">
        <v>4913</v>
      </c>
      <c r="V1739" s="2" t="s">
        <v>47</v>
      </c>
      <c r="W1739" s="2" t="s">
        <v>94</v>
      </c>
      <c r="X1739" s="2">
        <v>55.055</v>
      </c>
    </row>
    <row r="1740" spans="1:24" x14ac:dyDescent="0.3">
      <c r="A1740">
        <v>1962</v>
      </c>
      <c r="B1740" t="s">
        <v>5354</v>
      </c>
      <c r="C1740" s="3">
        <v>40959</v>
      </c>
      <c r="D1740" t="s">
        <v>50</v>
      </c>
      <c r="E1740">
        <v>36</v>
      </c>
      <c r="F1740" s="3">
        <f ca="1">40961+(RANDBETWEEN(1,10))</f>
        <v>40971</v>
      </c>
      <c r="G1740" t="s">
        <v>26</v>
      </c>
      <c r="H1740" t="s">
        <v>27</v>
      </c>
      <c r="I1740" t="s">
        <v>28</v>
      </c>
      <c r="J1740">
        <v>2488.85</v>
      </c>
      <c r="K1740">
        <v>0.08</v>
      </c>
      <c r="L1740">
        <v>0.36</v>
      </c>
      <c r="M1740">
        <v>10.465</v>
      </c>
      <c r="N1740">
        <v>843.76949999999999</v>
      </c>
      <c r="O1740" s="1" t="s">
        <v>64</v>
      </c>
      <c r="P1740" s="1" t="s">
        <v>233</v>
      </c>
      <c r="Q1740" s="1" t="s">
        <v>234</v>
      </c>
      <c r="R1740" s="1" t="s">
        <v>67</v>
      </c>
      <c r="S1740" s="1" t="s">
        <v>68</v>
      </c>
      <c r="T1740" s="1" t="s">
        <v>235</v>
      </c>
      <c r="U1740" s="2" t="s">
        <v>5355</v>
      </c>
      <c r="V1740" s="2" t="s">
        <v>47</v>
      </c>
      <c r="W1740" s="2" t="s">
        <v>111</v>
      </c>
      <c r="X1740" s="2">
        <v>74.83</v>
      </c>
    </row>
    <row r="1741" spans="1:24" x14ac:dyDescent="0.3">
      <c r="A1741">
        <v>19620</v>
      </c>
      <c r="B1741" t="s">
        <v>5356</v>
      </c>
      <c r="C1741" s="3">
        <v>41310</v>
      </c>
      <c r="D1741" t="s">
        <v>50</v>
      </c>
      <c r="E1741">
        <v>1</v>
      </c>
      <c r="F1741" s="3">
        <f ca="1">41311+(RANDBETWEEN(1,10))</f>
        <v>41320</v>
      </c>
      <c r="G1741" t="s">
        <v>76</v>
      </c>
      <c r="H1741" t="s">
        <v>77</v>
      </c>
      <c r="I1741" t="s">
        <v>97</v>
      </c>
      <c r="J1741">
        <v>1827.9449999999999</v>
      </c>
      <c r="K1741">
        <v>0.06</v>
      </c>
      <c r="L1741">
        <v>0.37</v>
      </c>
      <c r="M1741">
        <v>242.55</v>
      </c>
      <c r="N1741">
        <v>2191.203</v>
      </c>
      <c r="O1741" s="1" t="s">
        <v>53</v>
      </c>
      <c r="P1741" s="1" t="s">
        <v>5357</v>
      </c>
      <c r="Q1741" s="1" t="s">
        <v>5358</v>
      </c>
      <c r="R1741" s="1" t="s">
        <v>56</v>
      </c>
      <c r="S1741" s="1" t="s">
        <v>5359</v>
      </c>
      <c r="T1741" s="1" t="s">
        <v>5360</v>
      </c>
      <c r="U1741" s="2" t="s">
        <v>5361</v>
      </c>
      <c r="V1741" s="2" t="s">
        <v>36</v>
      </c>
      <c r="W1741" s="2" t="s">
        <v>142</v>
      </c>
      <c r="X1741" s="2">
        <v>1753.395</v>
      </c>
    </row>
    <row r="1742" spans="1:24" x14ac:dyDescent="0.3">
      <c r="A1742">
        <v>19621</v>
      </c>
      <c r="B1742" t="s">
        <v>5356</v>
      </c>
      <c r="C1742" s="3">
        <v>41310</v>
      </c>
      <c r="D1742" t="s">
        <v>50</v>
      </c>
      <c r="E1742">
        <v>8</v>
      </c>
      <c r="F1742" s="3">
        <f ca="1">41310+(RANDBETWEEN(1,10))</f>
        <v>41312</v>
      </c>
      <c r="G1742" t="s">
        <v>26</v>
      </c>
      <c r="H1742" t="s">
        <v>51</v>
      </c>
      <c r="I1742" t="s">
        <v>97</v>
      </c>
      <c r="J1742">
        <v>574.94500000000005</v>
      </c>
      <c r="K1742">
        <v>0.09</v>
      </c>
      <c r="L1742">
        <v>0.59</v>
      </c>
      <c r="M1742">
        <v>31.465</v>
      </c>
      <c r="N1742">
        <v>-8816.8150000000005</v>
      </c>
      <c r="O1742" s="1" t="s">
        <v>53</v>
      </c>
      <c r="P1742" s="1" t="s">
        <v>5357</v>
      </c>
      <c r="Q1742" s="1" t="s">
        <v>5358</v>
      </c>
      <c r="R1742" s="1" t="s">
        <v>56</v>
      </c>
      <c r="S1742" s="1" t="s">
        <v>5359</v>
      </c>
      <c r="T1742" s="1" t="s">
        <v>5360</v>
      </c>
      <c r="U1742" s="2" t="s">
        <v>2789</v>
      </c>
      <c r="V1742" s="2" t="s">
        <v>47</v>
      </c>
      <c r="W1742" s="2" t="s">
        <v>104</v>
      </c>
      <c r="X1742" s="2">
        <v>74.83</v>
      </c>
    </row>
    <row r="1743" spans="1:24" x14ac:dyDescent="0.3">
      <c r="A1743">
        <v>19622</v>
      </c>
      <c r="B1743" t="s">
        <v>5356</v>
      </c>
      <c r="C1743" s="3">
        <v>41310</v>
      </c>
      <c r="D1743" t="s">
        <v>50</v>
      </c>
      <c r="E1743">
        <v>5</v>
      </c>
      <c r="F1743" s="3">
        <f ca="1">41310+(RANDBETWEEN(1,10))</f>
        <v>41311</v>
      </c>
      <c r="G1743" t="s">
        <v>26</v>
      </c>
      <c r="H1743" t="s">
        <v>281</v>
      </c>
      <c r="I1743" t="s">
        <v>97</v>
      </c>
      <c r="J1743">
        <v>451.5</v>
      </c>
      <c r="K1743">
        <v>0.01</v>
      </c>
      <c r="L1743">
        <v>0.56000000000000005</v>
      </c>
      <c r="M1743">
        <v>30.065000000000001</v>
      </c>
      <c r="N1743">
        <v>26.795999999999999</v>
      </c>
      <c r="O1743" s="1" t="s">
        <v>53</v>
      </c>
      <c r="P1743" s="1" t="s">
        <v>5357</v>
      </c>
      <c r="Q1743" s="1" t="s">
        <v>5358</v>
      </c>
      <c r="R1743" s="1" t="s">
        <v>56</v>
      </c>
      <c r="S1743" s="1" t="s">
        <v>5359</v>
      </c>
      <c r="T1743" s="1" t="s">
        <v>5360</v>
      </c>
      <c r="U1743" s="2" t="s">
        <v>5362</v>
      </c>
      <c r="V1743" s="2" t="s">
        <v>36</v>
      </c>
      <c r="W1743" s="2" t="s">
        <v>37</v>
      </c>
      <c r="X1743" s="2">
        <v>101.465</v>
      </c>
    </row>
    <row r="1744" spans="1:24" x14ac:dyDescent="0.3">
      <c r="A1744">
        <v>19623</v>
      </c>
      <c r="B1744" t="s">
        <v>5363</v>
      </c>
      <c r="C1744" s="3">
        <v>41839</v>
      </c>
      <c r="D1744" t="s">
        <v>39</v>
      </c>
      <c r="E1744">
        <v>6</v>
      </c>
      <c r="F1744" s="3">
        <f ca="1">41840+(RANDBETWEEN(1,10))</f>
        <v>41844</v>
      </c>
      <c r="G1744" t="s">
        <v>26</v>
      </c>
      <c r="H1744" t="s">
        <v>27</v>
      </c>
      <c r="I1744" t="s">
        <v>97</v>
      </c>
      <c r="J1744">
        <v>847.73500000000001</v>
      </c>
      <c r="K1744">
        <v>0.06</v>
      </c>
      <c r="L1744">
        <v>0.77</v>
      </c>
      <c r="M1744">
        <v>69.965000000000003</v>
      </c>
      <c r="N1744">
        <v>-1102.38912</v>
      </c>
      <c r="O1744" s="1" t="s">
        <v>40</v>
      </c>
      <c r="P1744" s="1" t="s">
        <v>5364</v>
      </c>
      <c r="Q1744" s="1" t="s">
        <v>5365</v>
      </c>
      <c r="R1744" s="1" t="s">
        <v>43</v>
      </c>
      <c r="S1744" s="1" t="s">
        <v>5366</v>
      </c>
      <c r="T1744" s="1" t="s">
        <v>4068</v>
      </c>
      <c r="U1744" s="2" t="s">
        <v>171</v>
      </c>
      <c r="V1744" s="2" t="s">
        <v>36</v>
      </c>
      <c r="W1744" s="2" t="s">
        <v>60</v>
      </c>
      <c r="X1744" s="2">
        <v>141.68</v>
      </c>
    </row>
    <row r="1745" spans="1:24" x14ac:dyDescent="0.3">
      <c r="A1745">
        <v>19624</v>
      </c>
      <c r="B1745" t="s">
        <v>5367</v>
      </c>
      <c r="C1745" s="3">
        <v>40964</v>
      </c>
      <c r="D1745" t="s">
        <v>148</v>
      </c>
      <c r="E1745">
        <v>1</v>
      </c>
      <c r="F1745" s="3">
        <f ca="1">40964+(RANDBETWEEN(1,10))</f>
        <v>40965</v>
      </c>
      <c r="G1745" t="s">
        <v>26</v>
      </c>
      <c r="H1745" t="s">
        <v>27</v>
      </c>
      <c r="I1745" t="s">
        <v>52</v>
      </c>
      <c r="J1745">
        <v>367.815</v>
      </c>
      <c r="K1745">
        <v>0.08</v>
      </c>
      <c r="L1745">
        <v>0.52</v>
      </c>
      <c r="M1745">
        <v>69.965000000000003</v>
      </c>
      <c r="N1745">
        <v>-915.41835000000003</v>
      </c>
      <c r="O1745" s="1" t="s">
        <v>29</v>
      </c>
      <c r="P1745" s="1" t="s">
        <v>2175</v>
      </c>
      <c r="Q1745" s="1" t="s">
        <v>2176</v>
      </c>
      <c r="R1745" s="1" t="s">
        <v>675</v>
      </c>
      <c r="S1745" s="1" t="s">
        <v>2177</v>
      </c>
      <c r="T1745" s="1" t="s">
        <v>2178</v>
      </c>
      <c r="U1745" s="2" t="s">
        <v>4088</v>
      </c>
      <c r="V1745" s="2" t="s">
        <v>36</v>
      </c>
      <c r="W1745" s="2" t="s">
        <v>142</v>
      </c>
      <c r="X1745" s="2">
        <v>349.96499999999997</v>
      </c>
    </row>
    <row r="1746" spans="1:24" x14ac:dyDescent="0.3">
      <c r="A1746">
        <v>19625</v>
      </c>
      <c r="B1746" t="s">
        <v>5368</v>
      </c>
      <c r="C1746" s="3">
        <v>40697</v>
      </c>
      <c r="D1746" t="s">
        <v>50</v>
      </c>
      <c r="E1746">
        <v>9</v>
      </c>
      <c r="F1746" s="3">
        <f ca="1">40697+(RANDBETWEEN(1,10))</f>
        <v>40705</v>
      </c>
      <c r="G1746" t="s">
        <v>76</v>
      </c>
      <c r="H1746" t="s">
        <v>258</v>
      </c>
      <c r="I1746" t="s">
        <v>28</v>
      </c>
      <c r="J1746">
        <v>4797.7650000000003</v>
      </c>
      <c r="K1746">
        <v>0.01</v>
      </c>
      <c r="L1746">
        <v>0.69</v>
      </c>
      <c r="M1746">
        <v>161.69999999999999</v>
      </c>
      <c r="N1746">
        <v>-470.79199999999997</v>
      </c>
      <c r="O1746" s="1" t="s">
        <v>87</v>
      </c>
      <c r="P1746" s="1" t="s">
        <v>2731</v>
      </c>
      <c r="Q1746" s="1" t="s">
        <v>2732</v>
      </c>
      <c r="R1746" s="1" t="s">
        <v>398</v>
      </c>
      <c r="S1746" s="1" t="s">
        <v>2733</v>
      </c>
      <c r="T1746" s="1" t="s">
        <v>735</v>
      </c>
      <c r="U1746" s="2" t="s">
        <v>2661</v>
      </c>
      <c r="V1746" s="2" t="s">
        <v>83</v>
      </c>
      <c r="W1746" s="2" t="s">
        <v>263</v>
      </c>
      <c r="X1746" s="2">
        <v>510.93</v>
      </c>
    </row>
    <row r="1747" spans="1:24" x14ac:dyDescent="0.3">
      <c r="A1747">
        <v>19626</v>
      </c>
      <c r="B1747" t="s">
        <v>5369</v>
      </c>
      <c r="C1747" s="3">
        <v>41694</v>
      </c>
      <c r="D1747" t="s">
        <v>25</v>
      </c>
      <c r="E1747">
        <v>10</v>
      </c>
      <c r="F1747" s="3">
        <f ca="1">41694+(RANDBETWEEN(1,10))</f>
        <v>41701</v>
      </c>
      <c r="G1747" t="s">
        <v>156</v>
      </c>
      <c r="H1747" t="s">
        <v>96</v>
      </c>
      <c r="I1747" t="s">
        <v>86</v>
      </c>
      <c r="J1747">
        <v>50.085000000000001</v>
      </c>
      <c r="K1747">
        <v>0.04</v>
      </c>
      <c r="L1747">
        <v>0.81</v>
      </c>
      <c r="M1747">
        <v>2.4500000000000002</v>
      </c>
      <c r="N1747">
        <v>-49.35</v>
      </c>
      <c r="O1747" s="1" t="s">
        <v>225</v>
      </c>
      <c r="P1747" s="1" t="s">
        <v>4173</v>
      </c>
      <c r="Q1747" s="1" t="s">
        <v>4174</v>
      </c>
      <c r="R1747" s="1" t="s">
        <v>228</v>
      </c>
      <c r="S1747" s="1" t="s">
        <v>4175</v>
      </c>
      <c r="T1747" s="1" t="s">
        <v>2326</v>
      </c>
      <c r="U1747" s="2" t="s">
        <v>925</v>
      </c>
      <c r="V1747" s="2" t="s">
        <v>47</v>
      </c>
      <c r="W1747" s="2" t="s">
        <v>176</v>
      </c>
      <c r="X1747" s="2">
        <v>4.41</v>
      </c>
    </row>
    <row r="1748" spans="1:24" x14ac:dyDescent="0.3">
      <c r="A1748">
        <v>19627</v>
      </c>
      <c r="B1748" t="s">
        <v>5370</v>
      </c>
      <c r="C1748" s="3">
        <v>40902</v>
      </c>
      <c r="D1748" t="s">
        <v>25</v>
      </c>
      <c r="E1748">
        <v>18</v>
      </c>
      <c r="F1748" s="3">
        <f ca="1">40909+(RANDBETWEEN(1,10))</f>
        <v>40911</v>
      </c>
      <c r="G1748" t="s">
        <v>26</v>
      </c>
      <c r="H1748" t="s">
        <v>27</v>
      </c>
      <c r="I1748" t="s">
        <v>52</v>
      </c>
      <c r="J1748">
        <v>1052.345</v>
      </c>
      <c r="K1748">
        <v>7.0000000000000007E-2</v>
      </c>
      <c r="L1748">
        <v>0.59</v>
      </c>
      <c r="M1748">
        <v>33.145000000000003</v>
      </c>
      <c r="N1748">
        <v>-852.404</v>
      </c>
      <c r="O1748" s="1" t="s">
        <v>29</v>
      </c>
      <c r="P1748" s="1" t="s">
        <v>4755</v>
      </c>
      <c r="Q1748" s="1" t="s">
        <v>4756</v>
      </c>
      <c r="R1748" s="1" t="s">
        <v>675</v>
      </c>
      <c r="S1748" s="1" t="s">
        <v>4757</v>
      </c>
      <c r="T1748" s="1" t="s">
        <v>4758</v>
      </c>
      <c r="U1748" s="2" t="s">
        <v>811</v>
      </c>
      <c r="V1748" s="2" t="s">
        <v>47</v>
      </c>
      <c r="W1748" s="2" t="s">
        <v>119</v>
      </c>
      <c r="X1748" s="2">
        <v>61.95</v>
      </c>
    </row>
    <row r="1749" spans="1:24" x14ac:dyDescent="0.3">
      <c r="A1749">
        <v>19628</v>
      </c>
      <c r="B1749" t="s">
        <v>5371</v>
      </c>
      <c r="C1749" s="3">
        <v>41089</v>
      </c>
      <c r="D1749" t="s">
        <v>50</v>
      </c>
      <c r="E1749">
        <v>17</v>
      </c>
      <c r="F1749" s="3">
        <f ca="1">41091+(RANDBETWEEN(1,10))</f>
        <v>41101</v>
      </c>
      <c r="G1749" t="s">
        <v>26</v>
      </c>
      <c r="H1749" t="s">
        <v>96</v>
      </c>
      <c r="I1749" t="s">
        <v>52</v>
      </c>
      <c r="J1749">
        <v>411.35500000000002</v>
      </c>
      <c r="K1749">
        <v>0.04</v>
      </c>
      <c r="L1749">
        <v>0.39</v>
      </c>
      <c r="M1749">
        <v>7</v>
      </c>
      <c r="N1749">
        <v>283.83494999999999</v>
      </c>
      <c r="O1749" s="1" t="s">
        <v>53</v>
      </c>
      <c r="P1749" s="1" t="s">
        <v>5372</v>
      </c>
      <c r="Q1749" s="1" t="s">
        <v>5373</v>
      </c>
      <c r="R1749" s="1" t="s">
        <v>440</v>
      </c>
      <c r="S1749" s="1" t="s">
        <v>5374</v>
      </c>
      <c r="T1749" s="1" t="s">
        <v>5375</v>
      </c>
      <c r="U1749" s="2" t="s">
        <v>336</v>
      </c>
      <c r="V1749" s="2" t="s">
        <v>47</v>
      </c>
      <c r="W1749" s="2" t="s">
        <v>74</v>
      </c>
      <c r="X1749" s="2">
        <v>24.08</v>
      </c>
    </row>
    <row r="1750" spans="1:24" x14ac:dyDescent="0.3">
      <c r="A1750">
        <v>19629</v>
      </c>
      <c r="B1750" t="s">
        <v>5371</v>
      </c>
      <c r="C1750" s="3">
        <v>41089</v>
      </c>
      <c r="D1750" t="s">
        <v>50</v>
      </c>
      <c r="E1750">
        <v>16</v>
      </c>
      <c r="F1750" s="3">
        <f ca="1">41090+(RANDBETWEEN(1,10))</f>
        <v>41091</v>
      </c>
      <c r="G1750" t="s">
        <v>26</v>
      </c>
      <c r="H1750" t="s">
        <v>27</v>
      </c>
      <c r="I1750" t="s">
        <v>52</v>
      </c>
      <c r="J1750">
        <v>589.85500000000002</v>
      </c>
      <c r="K1750">
        <v>0.09</v>
      </c>
      <c r="L1750">
        <v>0.64</v>
      </c>
      <c r="M1750">
        <v>22.75</v>
      </c>
      <c r="N1750">
        <v>-482.55200000000002</v>
      </c>
      <c r="O1750" s="1" t="s">
        <v>40</v>
      </c>
      <c r="P1750" s="1" t="s">
        <v>5376</v>
      </c>
      <c r="Q1750" s="1" t="s">
        <v>5377</v>
      </c>
      <c r="R1750" s="1" t="s">
        <v>43</v>
      </c>
      <c r="S1750" s="1" t="s">
        <v>5378</v>
      </c>
      <c r="T1750" s="1" t="s">
        <v>5379</v>
      </c>
      <c r="U1750" s="2" t="s">
        <v>337</v>
      </c>
      <c r="V1750" s="2" t="s">
        <v>36</v>
      </c>
      <c r="W1750" s="2" t="s">
        <v>60</v>
      </c>
      <c r="X1750" s="2">
        <v>38.395000000000003</v>
      </c>
    </row>
    <row r="1751" spans="1:24" x14ac:dyDescent="0.3">
      <c r="A1751">
        <v>1963</v>
      </c>
      <c r="B1751" t="s">
        <v>5354</v>
      </c>
      <c r="C1751" s="3">
        <v>40959</v>
      </c>
      <c r="D1751" t="s">
        <v>50</v>
      </c>
      <c r="E1751">
        <v>48</v>
      </c>
      <c r="F1751" s="3">
        <f ca="1">40960+(RANDBETWEEN(1,10))</f>
        <v>40965</v>
      </c>
      <c r="G1751" t="s">
        <v>26</v>
      </c>
      <c r="H1751" t="s">
        <v>27</v>
      </c>
      <c r="I1751" t="s">
        <v>28</v>
      </c>
      <c r="J1751">
        <v>1743.56</v>
      </c>
      <c r="K1751">
        <v>0.03</v>
      </c>
      <c r="L1751">
        <v>0.4</v>
      </c>
      <c r="M1751">
        <v>17.920000000000002</v>
      </c>
      <c r="N1751">
        <v>142.13499999999999</v>
      </c>
      <c r="O1751" s="1" t="s">
        <v>64</v>
      </c>
      <c r="P1751" s="1" t="s">
        <v>233</v>
      </c>
      <c r="Q1751" s="1" t="s">
        <v>234</v>
      </c>
      <c r="R1751" s="1" t="s">
        <v>67</v>
      </c>
      <c r="S1751" s="1" t="s">
        <v>68</v>
      </c>
      <c r="T1751" s="1" t="s">
        <v>235</v>
      </c>
      <c r="U1751" s="2" t="s">
        <v>2693</v>
      </c>
      <c r="V1751" s="2" t="s">
        <v>47</v>
      </c>
      <c r="W1751" s="2" t="s">
        <v>74</v>
      </c>
      <c r="X1751" s="2">
        <v>34.965000000000003</v>
      </c>
    </row>
    <row r="1752" spans="1:24" x14ac:dyDescent="0.3">
      <c r="A1752">
        <v>19630</v>
      </c>
      <c r="B1752" t="s">
        <v>5380</v>
      </c>
      <c r="C1752" s="3">
        <v>41173</v>
      </c>
      <c r="D1752" t="s">
        <v>62</v>
      </c>
      <c r="E1752">
        <v>3</v>
      </c>
      <c r="F1752" s="3">
        <f ca="1">41174+(RANDBETWEEN(1,10))</f>
        <v>41182</v>
      </c>
      <c r="G1752" t="s">
        <v>26</v>
      </c>
      <c r="H1752" t="s">
        <v>27</v>
      </c>
      <c r="I1752" t="s">
        <v>86</v>
      </c>
      <c r="J1752">
        <v>81.34</v>
      </c>
      <c r="K1752">
        <v>0.08</v>
      </c>
      <c r="L1752">
        <v>0.35</v>
      </c>
      <c r="M1752">
        <v>19.145</v>
      </c>
      <c r="N1752">
        <v>-57.61</v>
      </c>
      <c r="O1752" s="1" t="s">
        <v>40</v>
      </c>
      <c r="P1752" s="1" t="s">
        <v>2409</v>
      </c>
      <c r="Q1752" s="1" t="s">
        <v>2410</v>
      </c>
      <c r="R1752" s="1" t="s">
        <v>43</v>
      </c>
      <c r="S1752" s="1" t="s">
        <v>2411</v>
      </c>
      <c r="T1752" s="1" t="s">
        <v>2412</v>
      </c>
      <c r="U1752" s="2" t="s">
        <v>5381</v>
      </c>
      <c r="V1752" s="2" t="s">
        <v>47</v>
      </c>
      <c r="W1752" s="2" t="s">
        <v>74</v>
      </c>
      <c r="X1752" s="2">
        <v>25.48</v>
      </c>
    </row>
    <row r="1753" spans="1:24" x14ac:dyDescent="0.3">
      <c r="A1753">
        <v>19631</v>
      </c>
      <c r="B1753" t="s">
        <v>5382</v>
      </c>
      <c r="C1753" s="3">
        <v>41848</v>
      </c>
      <c r="D1753" t="s">
        <v>25</v>
      </c>
      <c r="E1753">
        <v>16</v>
      </c>
      <c r="F1753" s="3">
        <f ca="1">41853+(RANDBETWEEN(1,10))</f>
        <v>41863</v>
      </c>
      <c r="G1753" t="s">
        <v>26</v>
      </c>
      <c r="H1753" t="s">
        <v>27</v>
      </c>
      <c r="I1753" t="s">
        <v>28</v>
      </c>
      <c r="J1753">
        <v>300.96499999999997</v>
      </c>
      <c r="K1753">
        <v>0.02</v>
      </c>
      <c r="L1753">
        <v>0.36</v>
      </c>
      <c r="M1753">
        <v>16.625</v>
      </c>
      <c r="N1753">
        <v>-203.39424</v>
      </c>
      <c r="O1753" s="1" t="s">
        <v>40</v>
      </c>
      <c r="P1753" s="1" t="s">
        <v>5383</v>
      </c>
      <c r="Q1753" s="1" t="s">
        <v>5384</v>
      </c>
      <c r="R1753" s="1" t="s">
        <v>43</v>
      </c>
      <c r="S1753" s="1" t="s">
        <v>5385</v>
      </c>
      <c r="T1753" s="1" t="s">
        <v>5386</v>
      </c>
      <c r="U1753" s="2" t="s">
        <v>1528</v>
      </c>
      <c r="V1753" s="2" t="s">
        <v>47</v>
      </c>
      <c r="W1753" s="2" t="s">
        <v>74</v>
      </c>
      <c r="X1753" s="2">
        <v>17.43</v>
      </c>
    </row>
    <row r="1754" spans="1:24" x14ac:dyDescent="0.3">
      <c r="A1754">
        <v>19632</v>
      </c>
      <c r="B1754" t="s">
        <v>5382</v>
      </c>
      <c r="C1754" s="3">
        <v>41848</v>
      </c>
      <c r="D1754" t="s">
        <v>25</v>
      </c>
      <c r="E1754">
        <v>9</v>
      </c>
      <c r="F1754" s="3">
        <f ca="1">41855+(RANDBETWEEN(1,10))</f>
        <v>41857</v>
      </c>
      <c r="G1754" t="s">
        <v>26</v>
      </c>
      <c r="H1754" t="s">
        <v>281</v>
      </c>
      <c r="I1754" t="s">
        <v>28</v>
      </c>
      <c r="J1754">
        <v>1798.7550000000001</v>
      </c>
      <c r="K1754">
        <v>7.0000000000000007E-2</v>
      </c>
      <c r="L1754">
        <v>0.6</v>
      </c>
      <c r="M1754">
        <v>48.965000000000003</v>
      </c>
      <c r="N1754">
        <v>54.629567999999999</v>
      </c>
      <c r="O1754" s="1" t="s">
        <v>40</v>
      </c>
      <c r="P1754" s="1" t="s">
        <v>5383</v>
      </c>
      <c r="Q1754" s="1" t="s">
        <v>5384</v>
      </c>
      <c r="R1754" s="1" t="s">
        <v>43</v>
      </c>
      <c r="S1754" s="1" t="s">
        <v>5385</v>
      </c>
      <c r="T1754" s="1" t="s">
        <v>5386</v>
      </c>
      <c r="U1754" s="2" t="s">
        <v>5387</v>
      </c>
      <c r="V1754" s="2" t="s">
        <v>36</v>
      </c>
      <c r="W1754" s="2" t="s">
        <v>37</v>
      </c>
      <c r="X1754" s="2">
        <v>234.465</v>
      </c>
    </row>
    <row r="1755" spans="1:24" x14ac:dyDescent="0.3">
      <c r="A1755">
        <v>19633</v>
      </c>
      <c r="B1755" t="s">
        <v>5388</v>
      </c>
      <c r="C1755" s="3">
        <v>41851</v>
      </c>
      <c r="D1755" t="s">
        <v>50</v>
      </c>
      <c r="E1755">
        <v>1</v>
      </c>
      <c r="F1755" s="3">
        <f ca="1">41852+(RANDBETWEEN(1,10))</f>
        <v>41859</v>
      </c>
      <c r="G1755" t="s">
        <v>76</v>
      </c>
      <c r="H1755" t="s">
        <v>258</v>
      </c>
      <c r="I1755" t="s">
        <v>28</v>
      </c>
      <c r="J1755">
        <v>519.19000000000005</v>
      </c>
      <c r="K1755">
        <v>0.06</v>
      </c>
      <c r="L1755">
        <v>0.75</v>
      </c>
      <c r="M1755">
        <v>137.375</v>
      </c>
      <c r="N1755">
        <v>95.987303999999995</v>
      </c>
      <c r="O1755" s="1" t="s">
        <v>87</v>
      </c>
      <c r="P1755" s="1" t="s">
        <v>698</v>
      </c>
      <c r="Q1755" s="1" t="s">
        <v>699</v>
      </c>
      <c r="R1755" s="1" t="s">
        <v>90</v>
      </c>
      <c r="S1755" s="1" t="s">
        <v>700</v>
      </c>
      <c r="T1755" s="1" t="s">
        <v>701</v>
      </c>
      <c r="U1755" s="2" t="s">
        <v>342</v>
      </c>
      <c r="V1755" s="2" t="s">
        <v>83</v>
      </c>
      <c r="W1755" s="2" t="s">
        <v>263</v>
      </c>
      <c r="X1755" s="2">
        <v>528.42999999999995</v>
      </c>
    </row>
    <row r="1756" spans="1:24" x14ac:dyDescent="0.3">
      <c r="A1756">
        <v>19634</v>
      </c>
      <c r="B1756" t="s">
        <v>5389</v>
      </c>
      <c r="C1756" s="3">
        <v>41529</v>
      </c>
      <c r="D1756" t="s">
        <v>25</v>
      </c>
      <c r="E1756">
        <v>11</v>
      </c>
      <c r="F1756" s="3">
        <f ca="1">41531+(RANDBETWEEN(1,10))</f>
        <v>41540</v>
      </c>
      <c r="G1756" t="s">
        <v>26</v>
      </c>
      <c r="H1756" t="s">
        <v>51</v>
      </c>
      <c r="I1756" t="s">
        <v>52</v>
      </c>
      <c r="J1756">
        <v>614.74</v>
      </c>
      <c r="K1756">
        <v>0.08</v>
      </c>
      <c r="L1756">
        <v>0.56000000000000005</v>
      </c>
      <c r="M1756">
        <v>25.97</v>
      </c>
      <c r="N1756">
        <v>709.73699999999997</v>
      </c>
      <c r="O1756" s="1" t="s">
        <v>29</v>
      </c>
      <c r="P1756" s="1" t="s">
        <v>5390</v>
      </c>
      <c r="Q1756" s="1" t="s">
        <v>5391</v>
      </c>
      <c r="R1756" s="1" t="s">
        <v>32</v>
      </c>
      <c r="S1756" s="1" t="s">
        <v>5392</v>
      </c>
      <c r="T1756" s="1" t="s">
        <v>5393</v>
      </c>
      <c r="U1756" s="2" t="s">
        <v>4913</v>
      </c>
      <c r="V1756" s="2" t="s">
        <v>47</v>
      </c>
      <c r="W1756" s="2" t="s">
        <v>94</v>
      </c>
      <c r="X1756" s="2">
        <v>55.055</v>
      </c>
    </row>
    <row r="1757" spans="1:24" x14ac:dyDescent="0.3">
      <c r="A1757">
        <v>19635</v>
      </c>
      <c r="B1757" t="s">
        <v>5394</v>
      </c>
      <c r="C1757" s="3">
        <v>40769</v>
      </c>
      <c r="D1757" t="s">
        <v>62</v>
      </c>
      <c r="E1757">
        <v>19</v>
      </c>
      <c r="F1757" s="3">
        <f ca="1">40770+(RANDBETWEEN(1,10))</f>
        <v>40778</v>
      </c>
      <c r="G1757" t="s">
        <v>26</v>
      </c>
      <c r="H1757" t="s">
        <v>27</v>
      </c>
      <c r="I1757" t="s">
        <v>52</v>
      </c>
      <c r="J1757">
        <v>280.7</v>
      </c>
      <c r="K1757">
        <v>0.08</v>
      </c>
      <c r="L1757">
        <v>0.37</v>
      </c>
      <c r="M1757">
        <v>8.75</v>
      </c>
      <c r="N1757">
        <v>-11.3568</v>
      </c>
      <c r="O1757" s="1" t="s">
        <v>29</v>
      </c>
      <c r="P1757" s="1" t="s">
        <v>2085</v>
      </c>
      <c r="Q1757" s="1" t="s">
        <v>2086</v>
      </c>
      <c r="R1757" s="1" t="s">
        <v>32</v>
      </c>
      <c r="S1757" s="1" t="s">
        <v>2087</v>
      </c>
      <c r="T1757" s="1" t="s">
        <v>2088</v>
      </c>
      <c r="U1757" s="2" t="s">
        <v>5395</v>
      </c>
      <c r="V1757" s="2" t="s">
        <v>47</v>
      </c>
      <c r="W1757" s="2" t="s">
        <v>48</v>
      </c>
      <c r="X1757" s="2">
        <v>15.68</v>
      </c>
    </row>
    <row r="1758" spans="1:24" x14ac:dyDescent="0.3">
      <c r="A1758">
        <v>19636</v>
      </c>
      <c r="B1758" t="s">
        <v>5396</v>
      </c>
      <c r="C1758" s="3">
        <v>41019</v>
      </c>
      <c r="D1758" t="s">
        <v>148</v>
      </c>
      <c r="E1758">
        <v>11</v>
      </c>
      <c r="F1758" s="3">
        <f ca="1">41021+(RANDBETWEEN(1,10))</f>
        <v>41026</v>
      </c>
      <c r="G1758" t="s">
        <v>26</v>
      </c>
      <c r="H1758" t="s">
        <v>27</v>
      </c>
      <c r="I1758" t="s">
        <v>28</v>
      </c>
      <c r="J1758">
        <v>2047.08</v>
      </c>
      <c r="K1758">
        <v>0.1</v>
      </c>
      <c r="L1758">
        <v>0.36</v>
      </c>
      <c r="M1758">
        <v>37.625</v>
      </c>
      <c r="N1758">
        <v>1412.4852000000001</v>
      </c>
      <c r="O1758" s="1" t="s">
        <v>64</v>
      </c>
      <c r="P1758" s="1" t="s">
        <v>5397</v>
      </c>
      <c r="Q1758" s="1" t="s">
        <v>5398</v>
      </c>
      <c r="R1758" s="1" t="s">
        <v>67</v>
      </c>
      <c r="S1758" s="1" t="s">
        <v>5399</v>
      </c>
      <c r="T1758" s="1" t="s">
        <v>5400</v>
      </c>
      <c r="U1758" s="2" t="s">
        <v>5401</v>
      </c>
      <c r="V1758" s="2" t="s">
        <v>47</v>
      </c>
      <c r="W1758" s="2" t="s">
        <v>74</v>
      </c>
      <c r="X1758" s="2">
        <v>192.36</v>
      </c>
    </row>
    <row r="1759" spans="1:24" x14ac:dyDescent="0.3">
      <c r="A1759">
        <v>19637</v>
      </c>
      <c r="B1759" t="s">
        <v>5396</v>
      </c>
      <c r="C1759" s="3">
        <v>41019</v>
      </c>
      <c r="D1759" t="s">
        <v>148</v>
      </c>
      <c r="E1759">
        <v>12</v>
      </c>
      <c r="F1759" s="3">
        <f ca="1">41019+(RANDBETWEEN(1,10))</f>
        <v>41020</v>
      </c>
      <c r="G1759" t="s">
        <v>26</v>
      </c>
      <c r="H1759" t="s">
        <v>51</v>
      </c>
      <c r="I1759" t="s">
        <v>28</v>
      </c>
      <c r="J1759">
        <v>486.88499999999999</v>
      </c>
      <c r="K1759">
        <v>7.0000000000000007E-2</v>
      </c>
      <c r="L1759">
        <v>0.6</v>
      </c>
      <c r="M1759">
        <v>20.335000000000001</v>
      </c>
      <c r="N1759">
        <v>-309.12</v>
      </c>
      <c r="O1759" s="1" t="s">
        <v>64</v>
      </c>
      <c r="P1759" s="1" t="s">
        <v>5397</v>
      </c>
      <c r="Q1759" s="1" t="s">
        <v>5398</v>
      </c>
      <c r="R1759" s="1" t="s">
        <v>67</v>
      </c>
      <c r="S1759" s="1" t="s">
        <v>5399</v>
      </c>
      <c r="T1759" s="1" t="s">
        <v>5400</v>
      </c>
      <c r="U1759" s="2" t="s">
        <v>1353</v>
      </c>
      <c r="V1759" s="2" t="s">
        <v>47</v>
      </c>
      <c r="W1759" s="2" t="s">
        <v>104</v>
      </c>
      <c r="X1759" s="2">
        <v>41.895000000000003</v>
      </c>
    </row>
    <row r="1760" spans="1:24" x14ac:dyDescent="0.3">
      <c r="A1760">
        <v>19638</v>
      </c>
      <c r="B1760" t="s">
        <v>5402</v>
      </c>
      <c r="C1760" s="3">
        <v>40741</v>
      </c>
      <c r="D1760" t="s">
        <v>148</v>
      </c>
      <c r="E1760">
        <v>13</v>
      </c>
      <c r="F1760" s="3">
        <f ca="1">40743+(RANDBETWEEN(1,10))</f>
        <v>40745</v>
      </c>
      <c r="G1760" t="s">
        <v>76</v>
      </c>
      <c r="H1760" t="s">
        <v>258</v>
      </c>
      <c r="I1760" t="s">
        <v>52</v>
      </c>
      <c r="J1760">
        <v>5409.53</v>
      </c>
      <c r="K1760">
        <v>0.03</v>
      </c>
      <c r="L1760">
        <v>0.39</v>
      </c>
      <c r="M1760">
        <v>196.49</v>
      </c>
      <c r="N1760">
        <v>665.49</v>
      </c>
      <c r="O1760" s="1" t="s">
        <v>40</v>
      </c>
      <c r="P1760" s="1" t="s">
        <v>1906</v>
      </c>
      <c r="Q1760" s="1" t="s">
        <v>1907</v>
      </c>
      <c r="R1760" s="1" t="s">
        <v>220</v>
      </c>
      <c r="S1760" s="1" t="s">
        <v>1908</v>
      </c>
      <c r="T1760" s="1" t="s">
        <v>1909</v>
      </c>
      <c r="U1760" s="2" t="s">
        <v>5088</v>
      </c>
      <c r="V1760" s="2" t="s">
        <v>36</v>
      </c>
      <c r="W1760" s="2" t="s">
        <v>142</v>
      </c>
      <c r="X1760" s="2">
        <v>419.96499999999997</v>
      </c>
    </row>
    <row r="1761" spans="1:24" x14ac:dyDescent="0.3">
      <c r="A1761">
        <v>19639</v>
      </c>
      <c r="B1761" t="s">
        <v>5402</v>
      </c>
      <c r="C1761" s="3">
        <v>40741</v>
      </c>
      <c r="D1761" t="s">
        <v>148</v>
      </c>
      <c r="E1761">
        <v>3</v>
      </c>
      <c r="F1761" s="3">
        <f ca="1">40743+(RANDBETWEEN(1,10))</f>
        <v>40749</v>
      </c>
      <c r="G1761" t="s">
        <v>26</v>
      </c>
      <c r="H1761" t="s">
        <v>51</v>
      </c>
      <c r="I1761" t="s">
        <v>52</v>
      </c>
      <c r="J1761">
        <v>1235.8499999999999</v>
      </c>
      <c r="K1761">
        <v>0.05</v>
      </c>
      <c r="L1761">
        <v>0.49</v>
      </c>
      <c r="M1761">
        <v>6.9649999999999999</v>
      </c>
      <c r="N1761">
        <v>236.6</v>
      </c>
      <c r="O1761" s="1" t="s">
        <v>87</v>
      </c>
      <c r="P1761" s="1" t="s">
        <v>5403</v>
      </c>
      <c r="Q1761" s="1" t="s">
        <v>5404</v>
      </c>
      <c r="R1761" s="1" t="s">
        <v>90</v>
      </c>
      <c r="S1761" s="1" t="s">
        <v>5405</v>
      </c>
      <c r="T1761" s="1" t="s">
        <v>5406</v>
      </c>
      <c r="U1761" s="2" t="s">
        <v>436</v>
      </c>
      <c r="V1761" s="2" t="s">
        <v>36</v>
      </c>
      <c r="W1761" s="2" t="s">
        <v>60</v>
      </c>
      <c r="X1761" s="2">
        <v>405.26499999999999</v>
      </c>
    </row>
    <row r="1762" spans="1:24" x14ac:dyDescent="0.3">
      <c r="A1762">
        <v>19640</v>
      </c>
      <c r="B1762" t="s">
        <v>5407</v>
      </c>
      <c r="C1762" s="3">
        <v>41019</v>
      </c>
      <c r="D1762" t="s">
        <v>25</v>
      </c>
      <c r="E1762">
        <v>12</v>
      </c>
      <c r="F1762" s="3">
        <f ca="1">41023+(RANDBETWEEN(1,10))</f>
        <v>41030</v>
      </c>
      <c r="G1762" t="s">
        <v>26</v>
      </c>
      <c r="H1762" t="s">
        <v>27</v>
      </c>
      <c r="I1762" t="s">
        <v>28</v>
      </c>
      <c r="J1762">
        <v>6274.17</v>
      </c>
      <c r="K1762">
        <v>0.03</v>
      </c>
      <c r="L1762">
        <v>0.79</v>
      </c>
      <c r="M1762">
        <v>14</v>
      </c>
      <c r="N1762">
        <v>2140.0050000000001</v>
      </c>
      <c r="O1762" s="1" t="s">
        <v>87</v>
      </c>
      <c r="P1762" s="1" t="s">
        <v>5408</v>
      </c>
      <c r="Q1762" s="1" t="s">
        <v>5409</v>
      </c>
      <c r="R1762" s="1" t="s">
        <v>90</v>
      </c>
      <c r="S1762" s="1" t="s">
        <v>5410</v>
      </c>
      <c r="T1762" s="1" t="s">
        <v>5411</v>
      </c>
      <c r="U1762" s="2" t="s">
        <v>192</v>
      </c>
      <c r="V1762" s="2" t="s">
        <v>36</v>
      </c>
      <c r="W1762" s="2" t="s">
        <v>60</v>
      </c>
      <c r="X1762" s="2">
        <v>533.67999999999995</v>
      </c>
    </row>
    <row r="1763" spans="1:24" x14ac:dyDescent="0.3">
      <c r="A1763">
        <v>19641</v>
      </c>
      <c r="B1763" t="s">
        <v>5407</v>
      </c>
      <c r="C1763" s="3">
        <v>41019</v>
      </c>
      <c r="D1763" t="s">
        <v>25</v>
      </c>
      <c r="E1763">
        <v>7</v>
      </c>
      <c r="F1763" s="3">
        <f ca="1">41026+(RANDBETWEEN(1,10))</f>
        <v>41032</v>
      </c>
      <c r="G1763" t="s">
        <v>156</v>
      </c>
      <c r="H1763" t="s">
        <v>27</v>
      </c>
      <c r="I1763" t="s">
        <v>28</v>
      </c>
      <c r="J1763">
        <v>619.01</v>
      </c>
      <c r="K1763">
        <v>0.01</v>
      </c>
      <c r="L1763">
        <v>0.66</v>
      </c>
      <c r="M1763">
        <v>30.765000000000001</v>
      </c>
      <c r="N1763">
        <v>-175.94499999999999</v>
      </c>
      <c r="O1763" s="1" t="s">
        <v>87</v>
      </c>
      <c r="P1763" s="1" t="s">
        <v>5408</v>
      </c>
      <c r="Q1763" s="1" t="s">
        <v>5409</v>
      </c>
      <c r="R1763" s="1" t="s">
        <v>90</v>
      </c>
      <c r="S1763" s="1" t="s">
        <v>5410</v>
      </c>
      <c r="T1763" s="1" t="s">
        <v>5411</v>
      </c>
      <c r="U1763" s="2" t="s">
        <v>5412</v>
      </c>
      <c r="V1763" s="2" t="s">
        <v>47</v>
      </c>
      <c r="W1763" s="2" t="s">
        <v>119</v>
      </c>
      <c r="X1763" s="2">
        <v>87.43</v>
      </c>
    </row>
    <row r="1764" spans="1:24" x14ac:dyDescent="0.3">
      <c r="A1764">
        <v>19642</v>
      </c>
      <c r="B1764" t="s">
        <v>5413</v>
      </c>
      <c r="C1764" s="3">
        <v>41891</v>
      </c>
      <c r="D1764" t="s">
        <v>148</v>
      </c>
      <c r="E1764">
        <v>1</v>
      </c>
      <c r="F1764" s="3">
        <f ca="1">41893+(RANDBETWEEN(1,10))</f>
        <v>41898</v>
      </c>
      <c r="G1764" t="s">
        <v>26</v>
      </c>
      <c r="H1764" t="s">
        <v>27</v>
      </c>
      <c r="I1764" t="s">
        <v>28</v>
      </c>
      <c r="J1764">
        <v>141.01499999999999</v>
      </c>
      <c r="K1764">
        <v>0</v>
      </c>
      <c r="L1764">
        <v>0.74</v>
      </c>
      <c r="M1764">
        <v>30.274999999999999</v>
      </c>
      <c r="N1764">
        <v>-264.45859999999999</v>
      </c>
      <c r="O1764" s="1" t="s">
        <v>87</v>
      </c>
      <c r="P1764" s="1" t="s">
        <v>698</v>
      </c>
      <c r="Q1764" s="1" t="s">
        <v>699</v>
      </c>
      <c r="R1764" s="1" t="s">
        <v>90</v>
      </c>
      <c r="S1764" s="1" t="s">
        <v>700</v>
      </c>
      <c r="T1764" s="1" t="s">
        <v>701</v>
      </c>
      <c r="U1764" s="2" t="s">
        <v>344</v>
      </c>
      <c r="V1764" s="2" t="s">
        <v>36</v>
      </c>
      <c r="W1764" s="2" t="s">
        <v>60</v>
      </c>
      <c r="X1764" s="2">
        <v>106.47</v>
      </c>
    </row>
    <row r="1765" spans="1:24" x14ac:dyDescent="0.3">
      <c r="A1765">
        <v>19643</v>
      </c>
      <c r="B1765" t="s">
        <v>5413</v>
      </c>
      <c r="C1765" s="3">
        <v>41891</v>
      </c>
      <c r="D1765" t="s">
        <v>148</v>
      </c>
      <c r="E1765">
        <v>11</v>
      </c>
      <c r="F1765" s="3">
        <f ca="1">41891+(RANDBETWEEN(1,10))</f>
        <v>41894</v>
      </c>
      <c r="G1765" t="s">
        <v>26</v>
      </c>
      <c r="H1765" t="s">
        <v>27</v>
      </c>
      <c r="I1765" t="s">
        <v>28</v>
      </c>
      <c r="J1765">
        <v>1493.345</v>
      </c>
      <c r="K1765">
        <v>7.0000000000000007E-2</v>
      </c>
      <c r="L1765">
        <v>0.4</v>
      </c>
      <c r="M1765">
        <v>34.405000000000001</v>
      </c>
      <c r="N1765">
        <v>678.01859999999999</v>
      </c>
      <c r="O1765" s="1" t="s">
        <v>87</v>
      </c>
      <c r="P1765" s="1" t="s">
        <v>698</v>
      </c>
      <c r="Q1765" s="1" t="s">
        <v>699</v>
      </c>
      <c r="R1765" s="1" t="s">
        <v>90</v>
      </c>
      <c r="S1765" s="1" t="s">
        <v>700</v>
      </c>
      <c r="T1765" s="1" t="s">
        <v>701</v>
      </c>
      <c r="U1765" s="2" t="s">
        <v>345</v>
      </c>
      <c r="V1765" s="2" t="s">
        <v>47</v>
      </c>
      <c r="W1765" s="2" t="s">
        <v>48</v>
      </c>
      <c r="X1765" s="2">
        <v>139.93</v>
      </c>
    </row>
    <row r="1766" spans="1:24" x14ac:dyDescent="0.3">
      <c r="A1766">
        <v>19644</v>
      </c>
      <c r="B1766" t="s">
        <v>5414</v>
      </c>
      <c r="C1766" s="3">
        <v>41871</v>
      </c>
      <c r="D1766" t="s">
        <v>148</v>
      </c>
      <c r="E1766">
        <v>10</v>
      </c>
      <c r="F1766" s="3">
        <f ca="1">41872+(RANDBETWEEN(1,10))</f>
        <v>41876</v>
      </c>
      <c r="G1766" t="s">
        <v>26</v>
      </c>
      <c r="H1766" t="s">
        <v>281</v>
      </c>
      <c r="I1766" t="s">
        <v>86</v>
      </c>
      <c r="J1766">
        <v>446.95</v>
      </c>
      <c r="K1766">
        <v>0</v>
      </c>
      <c r="L1766">
        <v>0.56999999999999995</v>
      </c>
      <c r="M1766">
        <v>21.945</v>
      </c>
      <c r="N1766">
        <v>-53.587240000000001</v>
      </c>
      <c r="O1766" s="1" t="s">
        <v>87</v>
      </c>
      <c r="P1766" s="1" t="s">
        <v>3192</v>
      </c>
      <c r="Q1766" s="1" t="s">
        <v>3193</v>
      </c>
      <c r="R1766" s="1" t="s">
        <v>646</v>
      </c>
      <c r="S1766" s="1" t="s">
        <v>3194</v>
      </c>
      <c r="T1766" s="1" t="s">
        <v>3195</v>
      </c>
      <c r="U1766" s="2" t="s">
        <v>517</v>
      </c>
      <c r="V1766" s="2" t="s">
        <v>47</v>
      </c>
      <c r="W1766" s="2" t="s">
        <v>119</v>
      </c>
      <c r="X1766" s="2">
        <v>43.54</v>
      </c>
    </row>
    <row r="1767" spans="1:24" x14ac:dyDescent="0.3">
      <c r="A1767">
        <v>19645</v>
      </c>
      <c r="B1767" t="s">
        <v>5415</v>
      </c>
      <c r="C1767" s="3">
        <v>41458</v>
      </c>
      <c r="D1767" t="s">
        <v>39</v>
      </c>
      <c r="E1767">
        <v>16</v>
      </c>
      <c r="F1767" s="3">
        <f ca="1">41461+(RANDBETWEEN(1,10))</f>
        <v>41462</v>
      </c>
      <c r="G1767" t="s">
        <v>26</v>
      </c>
      <c r="H1767" t="s">
        <v>281</v>
      </c>
      <c r="I1767" t="s">
        <v>97</v>
      </c>
      <c r="J1767">
        <v>6019.2650000000003</v>
      </c>
      <c r="K1767">
        <v>0.02</v>
      </c>
      <c r="L1767">
        <v>0.65</v>
      </c>
      <c r="M1767">
        <v>20.335000000000001</v>
      </c>
      <c r="N1767">
        <v>4153.2928499999998</v>
      </c>
      <c r="O1767" s="1" t="s">
        <v>53</v>
      </c>
      <c r="P1767" s="1" t="s">
        <v>3312</v>
      </c>
      <c r="Q1767" s="1" t="s">
        <v>3313</v>
      </c>
      <c r="R1767" s="1" t="s">
        <v>100</v>
      </c>
      <c r="S1767" s="1" t="s">
        <v>3314</v>
      </c>
      <c r="T1767" s="1" t="s">
        <v>3315</v>
      </c>
      <c r="U1767" s="2" t="s">
        <v>351</v>
      </c>
      <c r="V1767" s="2" t="s">
        <v>83</v>
      </c>
      <c r="W1767" s="2" t="s">
        <v>178</v>
      </c>
      <c r="X1767" s="2">
        <v>376.35500000000002</v>
      </c>
    </row>
    <row r="1768" spans="1:24" x14ac:dyDescent="0.3">
      <c r="A1768">
        <v>19646</v>
      </c>
      <c r="B1768" t="s">
        <v>5416</v>
      </c>
      <c r="C1768" s="3">
        <v>41052</v>
      </c>
      <c r="D1768" t="s">
        <v>50</v>
      </c>
      <c r="E1768">
        <v>7</v>
      </c>
      <c r="F1768" s="3">
        <f ca="1">41053+(RANDBETWEEN(1,10))</f>
        <v>41062</v>
      </c>
      <c r="G1768" t="s">
        <v>26</v>
      </c>
      <c r="H1768" t="s">
        <v>27</v>
      </c>
      <c r="I1768" t="s">
        <v>52</v>
      </c>
      <c r="J1768">
        <v>1026.585</v>
      </c>
      <c r="K1768">
        <v>0.03</v>
      </c>
      <c r="L1768">
        <v>0.35</v>
      </c>
      <c r="M1768">
        <v>10.465</v>
      </c>
      <c r="N1768">
        <v>708.34365000000003</v>
      </c>
      <c r="O1768" s="1" t="s">
        <v>29</v>
      </c>
      <c r="P1768" s="1" t="s">
        <v>2175</v>
      </c>
      <c r="Q1768" s="1" t="s">
        <v>2176</v>
      </c>
      <c r="R1768" s="1" t="s">
        <v>675</v>
      </c>
      <c r="S1768" s="1" t="s">
        <v>2177</v>
      </c>
      <c r="T1768" s="1" t="s">
        <v>2178</v>
      </c>
      <c r="U1768" s="2" t="s">
        <v>4761</v>
      </c>
      <c r="V1768" s="2" t="s">
        <v>47</v>
      </c>
      <c r="W1768" s="2" t="s">
        <v>111</v>
      </c>
      <c r="X1768" s="2">
        <v>146.79</v>
      </c>
    </row>
    <row r="1769" spans="1:24" x14ac:dyDescent="0.3">
      <c r="A1769">
        <v>19647</v>
      </c>
      <c r="B1769" t="s">
        <v>5416</v>
      </c>
      <c r="C1769" s="3">
        <v>41052</v>
      </c>
      <c r="D1769" t="s">
        <v>50</v>
      </c>
      <c r="E1769">
        <v>11</v>
      </c>
      <c r="F1769" s="3">
        <f ca="1">41054+(RANDBETWEEN(1,10))</f>
        <v>41055</v>
      </c>
      <c r="G1769" t="s">
        <v>26</v>
      </c>
      <c r="H1769" t="s">
        <v>96</v>
      </c>
      <c r="I1769" t="s">
        <v>52</v>
      </c>
      <c r="J1769">
        <v>177.55500000000001</v>
      </c>
      <c r="K1769">
        <v>0.09</v>
      </c>
      <c r="L1769">
        <v>0.36</v>
      </c>
      <c r="M1769">
        <v>5.32</v>
      </c>
      <c r="N1769">
        <v>117.565</v>
      </c>
      <c r="O1769" s="1" t="s">
        <v>29</v>
      </c>
      <c r="P1769" s="1" t="s">
        <v>2175</v>
      </c>
      <c r="Q1769" s="1" t="s">
        <v>2176</v>
      </c>
      <c r="R1769" s="1" t="s">
        <v>675</v>
      </c>
      <c r="S1769" s="1" t="s">
        <v>2177</v>
      </c>
      <c r="T1769" s="1" t="s">
        <v>2178</v>
      </c>
      <c r="U1769" s="2" t="s">
        <v>1951</v>
      </c>
      <c r="V1769" s="2" t="s">
        <v>47</v>
      </c>
      <c r="W1769" s="2" t="s">
        <v>74</v>
      </c>
      <c r="X1769" s="2">
        <v>16.555</v>
      </c>
    </row>
    <row r="1770" spans="1:24" x14ac:dyDescent="0.3">
      <c r="A1770">
        <v>19648</v>
      </c>
      <c r="B1770" t="s">
        <v>5417</v>
      </c>
      <c r="C1770" s="3">
        <v>40963</v>
      </c>
      <c r="D1770" t="s">
        <v>50</v>
      </c>
      <c r="E1770">
        <v>5</v>
      </c>
      <c r="F1770" s="3">
        <f ca="1">40964+(RANDBETWEEN(1,10))</f>
        <v>40969</v>
      </c>
      <c r="G1770" t="s">
        <v>26</v>
      </c>
      <c r="H1770" t="s">
        <v>27</v>
      </c>
      <c r="I1770" t="s">
        <v>86</v>
      </c>
      <c r="J1770">
        <v>99.224999999999994</v>
      </c>
      <c r="K1770">
        <v>0.1</v>
      </c>
      <c r="L1770">
        <v>0.39</v>
      </c>
      <c r="M1770">
        <v>1.75</v>
      </c>
      <c r="N1770">
        <v>68.465249999999997</v>
      </c>
      <c r="O1770" s="1" t="s">
        <v>40</v>
      </c>
      <c r="P1770" s="1" t="s">
        <v>4950</v>
      </c>
      <c r="Q1770" s="1" t="s">
        <v>4951</v>
      </c>
      <c r="R1770" s="1" t="s">
        <v>220</v>
      </c>
      <c r="S1770" s="1" t="s">
        <v>4952</v>
      </c>
      <c r="T1770" s="1" t="s">
        <v>4953</v>
      </c>
      <c r="U1770" s="2" t="s">
        <v>2021</v>
      </c>
      <c r="V1770" s="2" t="s">
        <v>47</v>
      </c>
      <c r="W1770" s="2" t="s">
        <v>203</v>
      </c>
      <c r="X1770" s="2">
        <v>22.05</v>
      </c>
    </row>
    <row r="1771" spans="1:24" x14ac:dyDescent="0.3">
      <c r="A1771">
        <v>19649</v>
      </c>
      <c r="B1771" t="s">
        <v>5417</v>
      </c>
      <c r="C1771" s="3">
        <v>40963</v>
      </c>
      <c r="D1771" t="s">
        <v>50</v>
      </c>
      <c r="E1771">
        <v>4</v>
      </c>
      <c r="F1771" s="3">
        <f ca="1">40964+(RANDBETWEEN(1,10))</f>
        <v>40972</v>
      </c>
      <c r="G1771" t="s">
        <v>26</v>
      </c>
      <c r="H1771" t="s">
        <v>27</v>
      </c>
      <c r="I1771" t="s">
        <v>86</v>
      </c>
      <c r="J1771">
        <v>95.025000000000006</v>
      </c>
      <c r="K1771">
        <v>0.08</v>
      </c>
      <c r="L1771">
        <v>0.37</v>
      </c>
      <c r="M1771">
        <v>24.605</v>
      </c>
      <c r="N1771">
        <v>-183.92500000000001</v>
      </c>
      <c r="O1771" s="1" t="s">
        <v>40</v>
      </c>
      <c r="P1771" s="1" t="s">
        <v>4950</v>
      </c>
      <c r="Q1771" s="1" t="s">
        <v>4951</v>
      </c>
      <c r="R1771" s="1" t="s">
        <v>220</v>
      </c>
      <c r="S1771" s="1" t="s">
        <v>4952</v>
      </c>
      <c r="T1771" s="1" t="s">
        <v>4953</v>
      </c>
      <c r="U1771" s="2" t="s">
        <v>162</v>
      </c>
      <c r="V1771" s="2" t="s">
        <v>47</v>
      </c>
      <c r="W1771" s="2" t="s">
        <v>74</v>
      </c>
      <c r="X1771" s="2">
        <v>22.68</v>
      </c>
    </row>
    <row r="1772" spans="1:24" x14ac:dyDescent="0.3">
      <c r="A1772">
        <v>19650</v>
      </c>
      <c r="B1772" t="s">
        <v>5418</v>
      </c>
      <c r="C1772" s="3">
        <v>41144</v>
      </c>
      <c r="D1772" t="s">
        <v>25</v>
      </c>
      <c r="E1772">
        <v>20</v>
      </c>
      <c r="F1772" s="3">
        <f ca="1">41144+(RANDBETWEEN(1,10))</f>
        <v>41149</v>
      </c>
      <c r="G1772" t="s">
        <v>76</v>
      </c>
      <c r="H1772" t="s">
        <v>77</v>
      </c>
      <c r="I1772" t="s">
        <v>97</v>
      </c>
      <c r="J1772">
        <v>7357.56</v>
      </c>
      <c r="K1772">
        <v>0.03</v>
      </c>
      <c r="L1772">
        <v>0.37</v>
      </c>
      <c r="M1772">
        <v>49</v>
      </c>
      <c r="N1772">
        <v>5076.7164000000002</v>
      </c>
      <c r="O1772" s="1" t="s">
        <v>40</v>
      </c>
      <c r="P1772" s="1" t="s">
        <v>5364</v>
      </c>
      <c r="Q1772" s="1" t="s">
        <v>5365</v>
      </c>
      <c r="R1772" s="1" t="s">
        <v>43</v>
      </c>
      <c r="S1772" s="1" t="s">
        <v>5366</v>
      </c>
      <c r="T1772" s="1" t="s">
        <v>4068</v>
      </c>
      <c r="U1772" s="2" t="s">
        <v>5419</v>
      </c>
      <c r="V1772" s="2" t="s">
        <v>36</v>
      </c>
      <c r="W1772" s="2" t="s">
        <v>142</v>
      </c>
      <c r="X1772" s="2">
        <v>353.39499999999998</v>
      </c>
    </row>
    <row r="1773" spans="1:24" x14ac:dyDescent="0.3">
      <c r="A1773">
        <v>19651</v>
      </c>
      <c r="B1773" t="s">
        <v>5420</v>
      </c>
      <c r="C1773" s="3">
        <v>41054</v>
      </c>
      <c r="D1773" t="s">
        <v>50</v>
      </c>
      <c r="E1773">
        <v>2</v>
      </c>
      <c r="F1773" s="3">
        <f ca="1">41056+(RANDBETWEEN(1,10))</f>
        <v>41061</v>
      </c>
      <c r="G1773" t="s">
        <v>76</v>
      </c>
      <c r="H1773" t="s">
        <v>77</v>
      </c>
      <c r="I1773" t="s">
        <v>28</v>
      </c>
      <c r="J1773">
        <v>1941.24</v>
      </c>
      <c r="K1773">
        <v>0.09</v>
      </c>
      <c r="L1773">
        <v>0.78</v>
      </c>
      <c r="M1773">
        <v>199.5</v>
      </c>
      <c r="N1773">
        <v>1914.4860000000001</v>
      </c>
      <c r="O1773" s="1" t="s">
        <v>64</v>
      </c>
      <c r="P1773" s="1" t="s">
        <v>4189</v>
      </c>
      <c r="Q1773" s="1" t="s">
        <v>4190</v>
      </c>
      <c r="R1773" s="1" t="s">
        <v>67</v>
      </c>
      <c r="S1773" s="1" t="s">
        <v>4191</v>
      </c>
      <c r="T1773" s="1" t="s">
        <v>4192</v>
      </c>
      <c r="U1773" s="2" t="s">
        <v>3811</v>
      </c>
      <c r="V1773" s="2" t="s">
        <v>83</v>
      </c>
      <c r="W1773" s="2" t="s">
        <v>84</v>
      </c>
      <c r="X1773" s="2">
        <v>983.43</v>
      </c>
    </row>
    <row r="1774" spans="1:24" x14ac:dyDescent="0.3">
      <c r="A1774">
        <v>19652</v>
      </c>
      <c r="B1774" t="s">
        <v>5421</v>
      </c>
      <c r="C1774" s="3">
        <v>40871</v>
      </c>
      <c r="D1774" t="s">
        <v>50</v>
      </c>
      <c r="E1774">
        <v>9</v>
      </c>
      <c r="F1774" s="3">
        <f ca="1">40873+(RANDBETWEEN(1,10))</f>
        <v>40877</v>
      </c>
      <c r="G1774" t="s">
        <v>26</v>
      </c>
      <c r="H1774" t="s">
        <v>96</v>
      </c>
      <c r="I1774" t="s">
        <v>52</v>
      </c>
      <c r="J1774">
        <v>556.04499999999996</v>
      </c>
      <c r="K1774">
        <v>0.03</v>
      </c>
      <c r="L1774">
        <v>0.56999999999999995</v>
      </c>
      <c r="M1774">
        <v>3.4649999999999999</v>
      </c>
      <c r="N1774">
        <v>14.637700000000001</v>
      </c>
      <c r="O1774" s="1" t="s">
        <v>53</v>
      </c>
      <c r="P1774" s="1" t="s">
        <v>5422</v>
      </c>
      <c r="Q1774" s="1" t="s">
        <v>5423</v>
      </c>
      <c r="R1774" s="1" t="s">
        <v>100</v>
      </c>
      <c r="S1774" s="1" t="s">
        <v>5424</v>
      </c>
      <c r="T1774" s="1" t="s">
        <v>5425</v>
      </c>
      <c r="U1774" s="2" t="s">
        <v>5426</v>
      </c>
      <c r="V1774" s="2" t="s">
        <v>36</v>
      </c>
      <c r="W1774" s="2" t="s">
        <v>37</v>
      </c>
      <c r="X1774" s="2">
        <v>73.465000000000003</v>
      </c>
    </row>
    <row r="1775" spans="1:24" x14ac:dyDescent="0.3">
      <c r="A1775">
        <v>19653</v>
      </c>
      <c r="B1775" t="s">
        <v>5427</v>
      </c>
      <c r="C1775" s="3">
        <v>41440</v>
      </c>
      <c r="D1775" t="s">
        <v>39</v>
      </c>
      <c r="E1775">
        <v>9</v>
      </c>
      <c r="F1775" s="3">
        <f ca="1">41442+(RANDBETWEEN(1,10))</f>
        <v>41445</v>
      </c>
      <c r="G1775" t="s">
        <v>26</v>
      </c>
      <c r="H1775" t="s">
        <v>27</v>
      </c>
      <c r="I1775" t="s">
        <v>97</v>
      </c>
      <c r="J1775">
        <v>73.849999999999994</v>
      </c>
      <c r="K1775">
        <v>0.01</v>
      </c>
      <c r="L1775">
        <v>0.4</v>
      </c>
      <c r="M1775">
        <v>16.695</v>
      </c>
      <c r="N1775">
        <v>-217.5754</v>
      </c>
      <c r="O1775" s="1" t="s">
        <v>53</v>
      </c>
      <c r="P1775" s="1" t="s">
        <v>4550</v>
      </c>
      <c r="Q1775" s="1" t="s">
        <v>4551</v>
      </c>
      <c r="R1775" s="1" t="s">
        <v>440</v>
      </c>
      <c r="S1775" s="1" t="s">
        <v>4552</v>
      </c>
      <c r="T1775" s="1" t="s">
        <v>4553</v>
      </c>
      <c r="U1775" s="2" t="s">
        <v>2166</v>
      </c>
      <c r="V1775" s="2" t="s">
        <v>47</v>
      </c>
      <c r="W1775" s="2" t="s">
        <v>111</v>
      </c>
      <c r="X1775" s="2">
        <v>6.93</v>
      </c>
    </row>
    <row r="1776" spans="1:24" x14ac:dyDescent="0.3">
      <c r="A1776">
        <v>19654</v>
      </c>
      <c r="B1776" t="s">
        <v>5428</v>
      </c>
      <c r="C1776" s="3">
        <v>41223</v>
      </c>
      <c r="D1776" t="s">
        <v>62</v>
      </c>
      <c r="E1776">
        <v>21</v>
      </c>
      <c r="F1776" s="3">
        <f ca="1">41225+(RANDBETWEEN(1,10))</f>
        <v>41229</v>
      </c>
      <c r="G1776" t="s">
        <v>26</v>
      </c>
      <c r="H1776" t="s">
        <v>27</v>
      </c>
      <c r="I1776" t="s">
        <v>52</v>
      </c>
      <c r="J1776">
        <v>1169.665</v>
      </c>
      <c r="K1776">
        <v>0</v>
      </c>
      <c r="L1776">
        <v>0.36</v>
      </c>
      <c r="M1776">
        <v>34.055</v>
      </c>
      <c r="N1776">
        <v>10.328150000000001</v>
      </c>
      <c r="O1776" s="1" t="s">
        <v>87</v>
      </c>
      <c r="P1776" s="1" t="s">
        <v>5429</v>
      </c>
      <c r="Q1776" s="1" t="s">
        <v>5430</v>
      </c>
      <c r="R1776" s="1" t="s">
        <v>497</v>
      </c>
      <c r="S1776" s="1" t="s">
        <v>5431</v>
      </c>
      <c r="T1776" s="1" t="s">
        <v>5432</v>
      </c>
      <c r="U1776" s="2" t="s">
        <v>5433</v>
      </c>
      <c r="V1776" s="2" t="s">
        <v>47</v>
      </c>
      <c r="W1776" s="2" t="s">
        <v>111</v>
      </c>
      <c r="X1776" s="2">
        <v>53.27</v>
      </c>
    </row>
    <row r="1777" spans="1:24" x14ac:dyDescent="0.3">
      <c r="A1777">
        <v>19655</v>
      </c>
      <c r="B1777" t="s">
        <v>5434</v>
      </c>
      <c r="C1777" s="3">
        <v>41084</v>
      </c>
      <c r="D1777" t="s">
        <v>62</v>
      </c>
      <c r="E1777">
        <v>2</v>
      </c>
      <c r="F1777" s="3">
        <f ca="1">41085+(RANDBETWEEN(1,10))</f>
        <v>41094</v>
      </c>
      <c r="G1777" t="s">
        <v>26</v>
      </c>
      <c r="H1777" t="s">
        <v>27</v>
      </c>
      <c r="I1777" t="s">
        <v>28</v>
      </c>
      <c r="J1777">
        <v>127.89</v>
      </c>
      <c r="K1777">
        <v>0.08</v>
      </c>
      <c r="L1777">
        <v>0.6</v>
      </c>
      <c r="M1777">
        <v>39.375</v>
      </c>
      <c r="N1777">
        <v>-114.828</v>
      </c>
      <c r="O1777" s="1" t="s">
        <v>87</v>
      </c>
      <c r="P1777" s="1" t="s">
        <v>5056</v>
      </c>
      <c r="Q1777" s="1" t="s">
        <v>5057</v>
      </c>
      <c r="R1777" s="1" t="s">
        <v>90</v>
      </c>
      <c r="S1777" s="1" t="s">
        <v>5058</v>
      </c>
      <c r="T1777" s="1" t="s">
        <v>5059</v>
      </c>
      <c r="U1777" s="2" t="s">
        <v>742</v>
      </c>
      <c r="V1777" s="2" t="s">
        <v>47</v>
      </c>
      <c r="W1777" s="2" t="s">
        <v>119</v>
      </c>
      <c r="X1777" s="2">
        <v>54.95</v>
      </c>
    </row>
    <row r="1778" spans="1:24" x14ac:dyDescent="0.3">
      <c r="A1778">
        <v>19656</v>
      </c>
      <c r="B1778" t="s">
        <v>5434</v>
      </c>
      <c r="C1778" s="3">
        <v>41084</v>
      </c>
      <c r="D1778" t="s">
        <v>62</v>
      </c>
      <c r="E1778">
        <v>10</v>
      </c>
      <c r="F1778" s="3">
        <f ca="1">41085+(RANDBETWEEN(1,10))</f>
        <v>41092</v>
      </c>
      <c r="G1778" t="s">
        <v>76</v>
      </c>
      <c r="H1778" t="s">
        <v>258</v>
      </c>
      <c r="I1778" t="s">
        <v>28</v>
      </c>
      <c r="J1778">
        <v>6298.7749999999996</v>
      </c>
      <c r="K1778">
        <v>0.05</v>
      </c>
      <c r="L1778">
        <v>0.74</v>
      </c>
      <c r="M1778">
        <v>102.235</v>
      </c>
      <c r="N1778">
        <v>468.38400000000001</v>
      </c>
      <c r="O1778" s="1" t="s">
        <v>87</v>
      </c>
      <c r="P1778" s="1" t="s">
        <v>5056</v>
      </c>
      <c r="Q1778" s="1" t="s">
        <v>5057</v>
      </c>
      <c r="R1778" s="1" t="s">
        <v>90</v>
      </c>
      <c r="S1778" s="1" t="s">
        <v>5058</v>
      </c>
      <c r="T1778" s="1" t="s">
        <v>5059</v>
      </c>
      <c r="U1778" s="2" t="s">
        <v>1724</v>
      </c>
      <c r="V1778" s="2" t="s">
        <v>83</v>
      </c>
      <c r="W1778" s="2" t="s">
        <v>263</v>
      </c>
      <c r="X1778" s="2">
        <v>627.51499999999999</v>
      </c>
    </row>
    <row r="1779" spans="1:24" x14ac:dyDescent="0.3">
      <c r="A1779">
        <v>19657</v>
      </c>
      <c r="B1779" t="s">
        <v>5435</v>
      </c>
      <c r="C1779" s="3">
        <v>41006</v>
      </c>
      <c r="D1779" t="s">
        <v>25</v>
      </c>
      <c r="E1779">
        <v>12</v>
      </c>
      <c r="F1779" s="3">
        <f ca="1">41013+(RANDBETWEEN(1,10))</f>
        <v>41017</v>
      </c>
      <c r="G1779" t="s">
        <v>26</v>
      </c>
      <c r="H1779" t="s">
        <v>27</v>
      </c>
      <c r="I1779" t="s">
        <v>52</v>
      </c>
      <c r="J1779">
        <v>563.95500000000004</v>
      </c>
      <c r="K1779">
        <v>0.09</v>
      </c>
      <c r="L1779">
        <v>0.38</v>
      </c>
      <c r="M1779">
        <v>25.094999999999999</v>
      </c>
      <c r="N1779">
        <v>25.733750000000001</v>
      </c>
      <c r="O1779" s="1" t="s">
        <v>53</v>
      </c>
      <c r="P1779" s="1" t="s">
        <v>5422</v>
      </c>
      <c r="Q1779" s="1" t="s">
        <v>5423</v>
      </c>
      <c r="R1779" s="1" t="s">
        <v>100</v>
      </c>
      <c r="S1779" s="1" t="s">
        <v>5424</v>
      </c>
      <c r="T1779" s="1" t="s">
        <v>5425</v>
      </c>
      <c r="U1779" s="2" t="s">
        <v>3914</v>
      </c>
      <c r="V1779" s="2" t="s">
        <v>47</v>
      </c>
      <c r="W1779" s="2" t="s">
        <v>111</v>
      </c>
      <c r="X1779" s="2">
        <v>50.575000000000003</v>
      </c>
    </row>
    <row r="1780" spans="1:24" x14ac:dyDescent="0.3">
      <c r="A1780">
        <v>19658</v>
      </c>
      <c r="B1780" t="s">
        <v>5435</v>
      </c>
      <c r="C1780" s="3">
        <v>41006</v>
      </c>
      <c r="D1780" t="s">
        <v>25</v>
      </c>
      <c r="E1780">
        <v>5</v>
      </c>
      <c r="F1780" s="3">
        <f ca="1">41008+(RANDBETWEEN(1,10))</f>
        <v>41015</v>
      </c>
      <c r="G1780" t="s">
        <v>76</v>
      </c>
      <c r="H1780" t="s">
        <v>77</v>
      </c>
      <c r="I1780" t="s">
        <v>52</v>
      </c>
      <c r="J1780">
        <v>1170.4000000000001</v>
      </c>
      <c r="K1780">
        <v>0.08</v>
      </c>
      <c r="L1780">
        <v>0.73</v>
      </c>
      <c r="M1780">
        <v>105</v>
      </c>
      <c r="N1780">
        <v>-1490.02</v>
      </c>
      <c r="O1780" s="1" t="s">
        <v>53</v>
      </c>
      <c r="P1780" s="1" t="s">
        <v>5422</v>
      </c>
      <c r="Q1780" s="1" t="s">
        <v>5423</v>
      </c>
      <c r="R1780" s="1" t="s">
        <v>100</v>
      </c>
      <c r="S1780" s="1" t="s">
        <v>5424</v>
      </c>
      <c r="T1780" s="1" t="s">
        <v>5425</v>
      </c>
      <c r="U1780" s="2" t="s">
        <v>2847</v>
      </c>
      <c r="V1780" s="2" t="s">
        <v>83</v>
      </c>
      <c r="W1780" s="2" t="s">
        <v>84</v>
      </c>
      <c r="X1780" s="2">
        <v>248.43</v>
      </c>
    </row>
    <row r="1781" spans="1:24" x14ac:dyDescent="0.3">
      <c r="A1781">
        <v>19659</v>
      </c>
      <c r="B1781" t="s">
        <v>5436</v>
      </c>
      <c r="C1781" s="3">
        <v>41349</v>
      </c>
      <c r="D1781" t="s">
        <v>25</v>
      </c>
      <c r="E1781">
        <v>9</v>
      </c>
      <c r="F1781" s="3">
        <f ca="1">41349+(RANDBETWEEN(1,10))</f>
        <v>41351</v>
      </c>
      <c r="G1781" t="s">
        <v>26</v>
      </c>
      <c r="H1781" t="s">
        <v>96</v>
      </c>
      <c r="I1781" t="s">
        <v>28</v>
      </c>
      <c r="J1781">
        <v>111.265</v>
      </c>
      <c r="K1781">
        <v>0.04</v>
      </c>
      <c r="L1781">
        <v>0.48</v>
      </c>
      <c r="M1781">
        <v>2.9750000000000001</v>
      </c>
      <c r="N1781">
        <v>76.772850000000005</v>
      </c>
      <c r="O1781" s="1" t="s">
        <v>53</v>
      </c>
      <c r="P1781" s="1" t="s">
        <v>4447</v>
      </c>
      <c r="Q1781" s="1" t="s">
        <v>4448</v>
      </c>
      <c r="R1781" s="1" t="s">
        <v>100</v>
      </c>
      <c r="S1781" s="1" t="s">
        <v>4449</v>
      </c>
      <c r="T1781" s="1" t="s">
        <v>4450</v>
      </c>
      <c r="U1781" s="2" t="s">
        <v>353</v>
      </c>
      <c r="V1781" s="2" t="s">
        <v>47</v>
      </c>
      <c r="W1781" s="2" t="s">
        <v>104</v>
      </c>
      <c r="X1781" s="2">
        <v>11.83</v>
      </c>
    </row>
    <row r="1782" spans="1:24" x14ac:dyDescent="0.3">
      <c r="A1782">
        <v>19660</v>
      </c>
      <c r="B1782" t="s">
        <v>5437</v>
      </c>
      <c r="C1782" s="3">
        <v>41658</v>
      </c>
      <c r="D1782" t="s">
        <v>50</v>
      </c>
      <c r="E1782">
        <v>4</v>
      </c>
      <c r="F1782" s="3">
        <f ca="1">41659+(RANDBETWEEN(1,10))</f>
        <v>41668</v>
      </c>
      <c r="G1782" t="s">
        <v>26</v>
      </c>
      <c r="H1782" t="s">
        <v>63</v>
      </c>
      <c r="I1782" t="s">
        <v>52</v>
      </c>
      <c r="J1782">
        <v>1474.34</v>
      </c>
      <c r="K1782">
        <v>0.08</v>
      </c>
      <c r="L1782">
        <v>0.82</v>
      </c>
      <c r="M1782">
        <v>122.5</v>
      </c>
      <c r="N1782">
        <v>-2400.2804000000001</v>
      </c>
      <c r="O1782" s="1" t="s">
        <v>40</v>
      </c>
      <c r="P1782" s="1" t="s">
        <v>5438</v>
      </c>
      <c r="Q1782" s="1" t="s">
        <v>5439</v>
      </c>
      <c r="R1782" s="1" t="s">
        <v>220</v>
      </c>
      <c r="S1782" s="1" t="s">
        <v>5440</v>
      </c>
      <c r="T1782" s="1" t="s">
        <v>5441</v>
      </c>
      <c r="U1782" s="2" t="s">
        <v>5442</v>
      </c>
      <c r="V1782" s="2" t="s">
        <v>47</v>
      </c>
      <c r="W1782" s="2" t="s">
        <v>119</v>
      </c>
      <c r="X1782" s="2">
        <v>388.43</v>
      </c>
    </row>
    <row r="1783" spans="1:24" x14ac:dyDescent="0.3">
      <c r="A1783">
        <v>19661</v>
      </c>
      <c r="B1783" t="s">
        <v>5437</v>
      </c>
      <c r="C1783" s="3">
        <v>41658</v>
      </c>
      <c r="D1783" t="s">
        <v>50</v>
      </c>
      <c r="E1783">
        <v>2</v>
      </c>
      <c r="F1783" s="3">
        <f ca="1">41660+(RANDBETWEEN(1,10))</f>
        <v>41664</v>
      </c>
      <c r="G1783" t="s">
        <v>76</v>
      </c>
      <c r="H1783" t="s">
        <v>258</v>
      </c>
      <c r="I1783" t="s">
        <v>52</v>
      </c>
      <c r="J1783">
        <v>1292.69</v>
      </c>
      <c r="K1783">
        <v>0.03</v>
      </c>
      <c r="L1783">
        <v>0.73</v>
      </c>
      <c r="M1783">
        <v>385.7</v>
      </c>
      <c r="N1783">
        <v>-2045.25972</v>
      </c>
      <c r="O1783" s="1" t="s">
        <v>40</v>
      </c>
      <c r="P1783" s="1" t="s">
        <v>5438</v>
      </c>
      <c r="Q1783" s="1" t="s">
        <v>5439</v>
      </c>
      <c r="R1783" s="1" t="s">
        <v>220</v>
      </c>
      <c r="S1783" s="1" t="s">
        <v>5440</v>
      </c>
      <c r="T1783" s="1" t="s">
        <v>5441</v>
      </c>
      <c r="U1783" s="2" t="s">
        <v>1775</v>
      </c>
      <c r="V1783" s="2" t="s">
        <v>83</v>
      </c>
      <c r="W1783" s="2" t="s">
        <v>263</v>
      </c>
      <c r="X1783" s="2">
        <v>744.1</v>
      </c>
    </row>
    <row r="1784" spans="1:24" x14ac:dyDescent="0.3">
      <c r="A1784">
        <v>19662</v>
      </c>
      <c r="B1784" t="s">
        <v>5437</v>
      </c>
      <c r="C1784" s="3">
        <v>41658</v>
      </c>
      <c r="D1784" t="s">
        <v>50</v>
      </c>
      <c r="E1784">
        <v>12</v>
      </c>
      <c r="F1784" s="3">
        <f ca="1">41660+(RANDBETWEEN(1,10))</f>
        <v>41669</v>
      </c>
      <c r="G1784" t="s">
        <v>76</v>
      </c>
      <c r="H1784" t="s">
        <v>77</v>
      </c>
      <c r="I1784" t="s">
        <v>52</v>
      </c>
      <c r="J1784">
        <v>11460.75</v>
      </c>
      <c r="K1784">
        <v>0.1</v>
      </c>
      <c r="L1784" t="s">
        <v>182</v>
      </c>
      <c r="M1784">
        <v>210</v>
      </c>
      <c r="N1784">
        <v>7907.9174999999996</v>
      </c>
      <c r="O1784" s="1" t="s">
        <v>40</v>
      </c>
      <c r="P1784" s="1" t="s">
        <v>5438</v>
      </c>
      <c r="Q1784" s="1" t="s">
        <v>5439</v>
      </c>
      <c r="R1784" s="1" t="s">
        <v>220</v>
      </c>
      <c r="S1784" s="1" t="s">
        <v>5440</v>
      </c>
      <c r="T1784" s="1" t="s">
        <v>5441</v>
      </c>
      <c r="U1784" s="2" t="s">
        <v>3108</v>
      </c>
      <c r="V1784" s="2" t="s">
        <v>83</v>
      </c>
      <c r="W1784" s="2" t="s">
        <v>263</v>
      </c>
      <c r="X1784" s="2">
        <v>1223.075</v>
      </c>
    </row>
    <row r="1785" spans="1:24" x14ac:dyDescent="0.3">
      <c r="A1785">
        <v>19663</v>
      </c>
      <c r="B1785" t="s">
        <v>5443</v>
      </c>
      <c r="C1785" s="3">
        <v>40546</v>
      </c>
      <c r="D1785" t="s">
        <v>50</v>
      </c>
      <c r="E1785">
        <v>1</v>
      </c>
      <c r="F1785" s="3">
        <f ca="1">40548+(RANDBETWEEN(1,10))</f>
        <v>40557</v>
      </c>
      <c r="G1785" t="s">
        <v>76</v>
      </c>
      <c r="H1785" t="s">
        <v>77</v>
      </c>
      <c r="I1785" t="s">
        <v>28</v>
      </c>
      <c r="J1785">
        <v>784.42</v>
      </c>
      <c r="K1785">
        <v>0</v>
      </c>
      <c r="L1785">
        <v>0.59</v>
      </c>
      <c r="M1785">
        <v>51.45</v>
      </c>
      <c r="N1785">
        <v>-1962.8496299999999</v>
      </c>
      <c r="O1785" s="1" t="s">
        <v>64</v>
      </c>
      <c r="P1785" s="1" t="s">
        <v>5444</v>
      </c>
      <c r="Q1785" s="1" t="s">
        <v>5445</v>
      </c>
      <c r="R1785" s="1" t="s">
        <v>128</v>
      </c>
      <c r="S1785" s="1" t="s">
        <v>5446</v>
      </c>
      <c r="T1785" s="1" t="s">
        <v>5447</v>
      </c>
      <c r="U1785" s="2" t="s">
        <v>5448</v>
      </c>
      <c r="V1785" s="2" t="s">
        <v>36</v>
      </c>
      <c r="W1785" s="2" t="s">
        <v>142</v>
      </c>
      <c r="X1785" s="2">
        <v>747.07500000000005</v>
      </c>
    </row>
    <row r="1786" spans="1:24" x14ac:dyDescent="0.3">
      <c r="A1786">
        <v>19664</v>
      </c>
      <c r="B1786" t="s">
        <v>5449</v>
      </c>
      <c r="C1786" s="3">
        <v>41377</v>
      </c>
      <c r="D1786" t="s">
        <v>62</v>
      </c>
      <c r="E1786">
        <v>12</v>
      </c>
      <c r="F1786" s="3">
        <f ca="1">41379+(RANDBETWEEN(1,10))</f>
        <v>41389</v>
      </c>
      <c r="G1786" t="s">
        <v>26</v>
      </c>
      <c r="H1786" t="s">
        <v>27</v>
      </c>
      <c r="I1786" t="s">
        <v>97</v>
      </c>
      <c r="J1786">
        <v>205.76499999999999</v>
      </c>
      <c r="K1786">
        <v>0.08</v>
      </c>
      <c r="L1786">
        <v>0.36</v>
      </c>
      <c r="M1786">
        <v>20.09</v>
      </c>
      <c r="N1786">
        <v>-510.00774999999999</v>
      </c>
      <c r="O1786" s="1" t="s">
        <v>53</v>
      </c>
      <c r="P1786" s="1" t="s">
        <v>5450</v>
      </c>
      <c r="Q1786" s="1" t="s">
        <v>5451</v>
      </c>
      <c r="R1786" s="1" t="s">
        <v>100</v>
      </c>
      <c r="S1786" s="1" t="s">
        <v>5452</v>
      </c>
      <c r="T1786" s="1" t="s">
        <v>5453</v>
      </c>
      <c r="U1786" s="2" t="s">
        <v>1239</v>
      </c>
      <c r="V1786" s="2" t="s">
        <v>47</v>
      </c>
      <c r="W1786" s="2" t="s">
        <v>111</v>
      </c>
      <c r="X1786" s="2">
        <v>18.13</v>
      </c>
    </row>
    <row r="1787" spans="1:24" x14ac:dyDescent="0.3">
      <c r="A1787">
        <v>19665</v>
      </c>
      <c r="B1787" t="s">
        <v>5454</v>
      </c>
      <c r="C1787" s="3">
        <v>41814</v>
      </c>
      <c r="D1787" t="s">
        <v>50</v>
      </c>
      <c r="E1787">
        <v>2</v>
      </c>
      <c r="F1787" s="3">
        <f ca="1">41816+(RANDBETWEEN(1,10))</f>
        <v>41819</v>
      </c>
      <c r="G1787" t="s">
        <v>26</v>
      </c>
      <c r="H1787" t="s">
        <v>27</v>
      </c>
      <c r="I1787" t="s">
        <v>97</v>
      </c>
      <c r="J1787">
        <v>2906.5050000000001</v>
      </c>
      <c r="K1787">
        <v>0.04</v>
      </c>
      <c r="L1787">
        <v>0.56999999999999995</v>
      </c>
      <c r="M1787">
        <v>39.795000000000002</v>
      </c>
      <c r="N1787">
        <v>-460.85199999999998</v>
      </c>
      <c r="O1787" s="1" t="s">
        <v>64</v>
      </c>
      <c r="P1787" s="1" t="s">
        <v>5455</v>
      </c>
      <c r="Q1787" s="1" t="s">
        <v>5456</v>
      </c>
      <c r="R1787" s="1" t="s">
        <v>67</v>
      </c>
      <c r="S1787" s="1" t="s">
        <v>68</v>
      </c>
      <c r="T1787" s="1" t="s">
        <v>69</v>
      </c>
      <c r="U1787" s="2" t="s">
        <v>1298</v>
      </c>
      <c r="V1787" s="2" t="s">
        <v>47</v>
      </c>
      <c r="W1787" s="2" t="s">
        <v>119</v>
      </c>
      <c r="X1787" s="2">
        <v>1455.58</v>
      </c>
    </row>
    <row r="1788" spans="1:24" x14ac:dyDescent="0.3">
      <c r="A1788">
        <v>19666</v>
      </c>
      <c r="B1788" t="s">
        <v>5457</v>
      </c>
      <c r="C1788" s="3">
        <v>40813</v>
      </c>
      <c r="D1788" t="s">
        <v>50</v>
      </c>
      <c r="E1788">
        <v>19</v>
      </c>
      <c r="F1788" s="3">
        <f ca="1">40815+(RANDBETWEEN(1,10))</f>
        <v>40818</v>
      </c>
      <c r="G1788" t="s">
        <v>26</v>
      </c>
      <c r="H1788" t="s">
        <v>27</v>
      </c>
      <c r="I1788" t="s">
        <v>28</v>
      </c>
      <c r="J1788">
        <v>241.08</v>
      </c>
      <c r="K1788">
        <v>0.04</v>
      </c>
      <c r="L1788">
        <v>0.38</v>
      </c>
      <c r="M1788">
        <v>1.75</v>
      </c>
      <c r="N1788">
        <v>166.34520000000001</v>
      </c>
      <c r="O1788" s="1" t="s">
        <v>53</v>
      </c>
      <c r="P1788" s="1" t="s">
        <v>5135</v>
      </c>
      <c r="Q1788" s="1" t="s">
        <v>5136</v>
      </c>
      <c r="R1788" s="1" t="s">
        <v>100</v>
      </c>
      <c r="S1788" s="1" t="s">
        <v>5137</v>
      </c>
      <c r="T1788" s="1" t="s">
        <v>5138</v>
      </c>
      <c r="U1788" s="2" t="s">
        <v>312</v>
      </c>
      <c r="V1788" s="2" t="s">
        <v>47</v>
      </c>
      <c r="W1788" s="2" t="s">
        <v>203</v>
      </c>
      <c r="X1788" s="2">
        <v>12.914999999999999</v>
      </c>
    </row>
    <row r="1789" spans="1:24" x14ac:dyDescent="0.3">
      <c r="A1789">
        <v>19667</v>
      </c>
      <c r="B1789" t="s">
        <v>5458</v>
      </c>
      <c r="C1789" s="3">
        <v>41455</v>
      </c>
      <c r="D1789" t="s">
        <v>25</v>
      </c>
      <c r="E1789">
        <v>6</v>
      </c>
      <c r="F1789" s="3">
        <f ca="1">41460+(RANDBETWEEN(1,10))</f>
        <v>41461</v>
      </c>
      <c r="G1789" t="s">
        <v>26</v>
      </c>
      <c r="H1789" t="s">
        <v>96</v>
      </c>
      <c r="I1789" t="s">
        <v>52</v>
      </c>
      <c r="J1789">
        <v>202.82499999999999</v>
      </c>
      <c r="K1789">
        <v>0.04</v>
      </c>
      <c r="L1789">
        <v>0.38</v>
      </c>
      <c r="M1789">
        <v>15.365</v>
      </c>
      <c r="N1789">
        <v>619.42859999999996</v>
      </c>
      <c r="O1789" s="1" t="s">
        <v>40</v>
      </c>
      <c r="P1789" s="1" t="s">
        <v>1134</v>
      </c>
      <c r="Q1789" s="1" t="s">
        <v>1135</v>
      </c>
      <c r="R1789" s="1" t="s">
        <v>43</v>
      </c>
      <c r="S1789" s="1" t="s">
        <v>1136</v>
      </c>
      <c r="T1789" s="1" t="s">
        <v>1137</v>
      </c>
      <c r="U1789" s="2" t="s">
        <v>1254</v>
      </c>
      <c r="V1789" s="2" t="s">
        <v>47</v>
      </c>
      <c r="W1789" s="2" t="s">
        <v>74</v>
      </c>
      <c r="X1789" s="2">
        <v>32.445</v>
      </c>
    </row>
    <row r="1790" spans="1:24" x14ac:dyDescent="0.3">
      <c r="A1790">
        <v>19668</v>
      </c>
      <c r="B1790" t="s">
        <v>5459</v>
      </c>
      <c r="C1790" s="3">
        <v>41076</v>
      </c>
      <c r="D1790" t="s">
        <v>39</v>
      </c>
      <c r="E1790">
        <v>5</v>
      </c>
      <c r="F1790" s="3">
        <f ca="1">41078+(RANDBETWEEN(1,10))</f>
        <v>41088</v>
      </c>
      <c r="G1790" t="s">
        <v>26</v>
      </c>
      <c r="H1790" t="s">
        <v>27</v>
      </c>
      <c r="I1790" t="s">
        <v>28</v>
      </c>
      <c r="J1790">
        <v>2757.6849999999999</v>
      </c>
      <c r="K1790">
        <v>0.1</v>
      </c>
      <c r="L1790">
        <v>0.56000000000000005</v>
      </c>
      <c r="M1790">
        <v>31.465</v>
      </c>
      <c r="N1790">
        <v>-727.95799999999997</v>
      </c>
      <c r="O1790" s="1" t="s">
        <v>64</v>
      </c>
      <c r="P1790" s="1" t="s">
        <v>4058</v>
      </c>
      <c r="Q1790" s="1" t="s">
        <v>4059</v>
      </c>
      <c r="R1790" s="1" t="s">
        <v>67</v>
      </c>
      <c r="S1790" s="1" t="s">
        <v>4060</v>
      </c>
      <c r="T1790" s="1" t="s">
        <v>4061</v>
      </c>
      <c r="U1790" s="2" t="s">
        <v>4735</v>
      </c>
      <c r="V1790" s="2" t="s">
        <v>36</v>
      </c>
      <c r="W1790" s="2" t="s">
        <v>37</v>
      </c>
      <c r="X1790" s="2">
        <v>720.96500000000003</v>
      </c>
    </row>
    <row r="1791" spans="1:24" x14ac:dyDescent="0.3">
      <c r="A1791">
        <v>19669</v>
      </c>
      <c r="B1791" t="s">
        <v>5460</v>
      </c>
      <c r="C1791" s="3">
        <v>41311</v>
      </c>
      <c r="D1791" t="s">
        <v>148</v>
      </c>
      <c r="E1791">
        <v>8</v>
      </c>
      <c r="F1791" s="3">
        <f ca="1">41312+(RANDBETWEEN(1,10))</f>
        <v>41318</v>
      </c>
      <c r="G1791" t="s">
        <v>26</v>
      </c>
      <c r="H1791" t="s">
        <v>27</v>
      </c>
      <c r="I1791" t="s">
        <v>86</v>
      </c>
      <c r="J1791">
        <v>4606.5600000000004</v>
      </c>
      <c r="K1791">
        <v>0.1</v>
      </c>
      <c r="L1791">
        <v>0.59</v>
      </c>
      <c r="M1791">
        <v>28.28</v>
      </c>
      <c r="N1791">
        <v>2523.3389999999999</v>
      </c>
      <c r="O1791" s="1" t="s">
        <v>225</v>
      </c>
      <c r="P1791" s="1" t="s">
        <v>2016</v>
      </c>
      <c r="Q1791" s="1" t="s">
        <v>2017</v>
      </c>
      <c r="R1791" s="1" t="s">
        <v>391</v>
      </c>
      <c r="S1791" s="1" t="s">
        <v>2018</v>
      </c>
      <c r="T1791" s="1" t="s">
        <v>2019</v>
      </c>
      <c r="U1791" s="2">
        <v>5125</v>
      </c>
      <c r="V1791" s="2" t="s">
        <v>36</v>
      </c>
      <c r="W1791" s="2" t="s">
        <v>37</v>
      </c>
      <c r="X1791" s="2">
        <v>703.46500000000003</v>
      </c>
    </row>
    <row r="1792" spans="1:24" x14ac:dyDescent="0.3">
      <c r="A1792">
        <v>19670</v>
      </c>
      <c r="B1792" t="s">
        <v>5461</v>
      </c>
      <c r="C1792" s="3">
        <v>40943</v>
      </c>
      <c r="D1792" t="s">
        <v>62</v>
      </c>
      <c r="E1792">
        <v>11</v>
      </c>
      <c r="F1792" s="3">
        <f ca="1">40943+(RANDBETWEEN(1,10))</f>
        <v>40946</v>
      </c>
      <c r="G1792" t="s">
        <v>26</v>
      </c>
      <c r="H1792" t="s">
        <v>27</v>
      </c>
      <c r="I1792" t="s">
        <v>86</v>
      </c>
      <c r="J1792">
        <v>231.91</v>
      </c>
      <c r="K1792">
        <v>0</v>
      </c>
      <c r="L1792">
        <v>0.39</v>
      </c>
      <c r="M1792">
        <v>17.535</v>
      </c>
      <c r="N1792">
        <v>388.584</v>
      </c>
      <c r="O1792" s="1" t="s">
        <v>87</v>
      </c>
      <c r="P1792" s="1" t="s">
        <v>944</v>
      </c>
      <c r="Q1792" s="1" t="s">
        <v>945</v>
      </c>
      <c r="R1792" s="1" t="s">
        <v>90</v>
      </c>
      <c r="S1792" s="1" t="s">
        <v>946</v>
      </c>
      <c r="T1792" s="1" t="s">
        <v>947</v>
      </c>
      <c r="U1792" s="2" t="s">
        <v>2422</v>
      </c>
      <c r="V1792" s="2" t="s">
        <v>47</v>
      </c>
      <c r="W1792" s="2" t="s">
        <v>111</v>
      </c>
      <c r="X1792" s="2">
        <v>20.09</v>
      </c>
    </row>
    <row r="1793" spans="1:24" x14ac:dyDescent="0.3">
      <c r="A1793">
        <v>19671</v>
      </c>
      <c r="B1793" t="s">
        <v>5461</v>
      </c>
      <c r="C1793" s="3">
        <v>40943</v>
      </c>
      <c r="D1793" t="s">
        <v>62</v>
      </c>
      <c r="E1793">
        <v>2</v>
      </c>
      <c r="F1793" s="3">
        <f ca="1">40944+(RANDBETWEEN(1,10))</f>
        <v>40947</v>
      </c>
      <c r="G1793" t="s">
        <v>26</v>
      </c>
      <c r="H1793" t="s">
        <v>51</v>
      </c>
      <c r="I1793" t="s">
        <v>86</v>
      </c>
      <c r="J1793">
        <v>68.635000000000005</v>
      </c>
      <c r="K1793">
        <v>0.05</v>
      </c>
      <c r="L1793">
        <v>0.4</v>
      </c>
      <c r="M1793">
        <v>13.02</v>
      </c>
      <c r="N1793">
        <v>176.715</v>
      </c>
      <c r="O1793" s="1" t="s">
        <v>87</v>
      </c>
      <c r="P1793" s="1" t="s">
        <v>944</v>
      </c>
      <c r="Q1793" s="1" t="s">
        <v>945</v>
      </c>
      <c r="R1793" s="1" t="s">
        <v>90</v>
      </c>
      <c r="S1793" s="1" t="s">
        <v>946</v>
      </c>
      <c r="T1793" s="1" t="s">
        <v>947</v>
      </c>
      <c r="U1793" s="2" t="s">
        <v>5462</v>
      </c>
      <c r="V1793" s="2" t="s">
        <v>83</v>
      </c>
      <c r="W1793" s="2" t="s">
        <v>178</v>
      </c>
      <c r="X1793" s="2">
        <v>33.18</v>
      </c>
    </row>
    <row r="1794" spans="1:24" x14ac:dyDescent="0.3">
      <c r="A1794">
        <v>19672</v>
      </c>
      <c r="B1794" t="s">
        <v>5461</v>
      </c>
      <c r="C1794" s="3">
        <v>40943</v>
      </c>
      <c r="D1794" t="s">
        <v>62</v>
      </c>
      <c r="E1794">
        <v>3</v>
      </c>
      <c r="F1794" s="3">
        <f ca="1">40944+(RANDBETWEEN(1,10))</f>
        <v>40953</v>
      </c>
      <c r="G1794" t="s">
        <v>26</v>
      </c>
      <c r="H1794" t="s">
        <v>51</v>
      </c>
      <c r="I1794" t="s">
        <v>86</v>
      </c>
      <c r="J1794">
        <v>1060.2550000000001</v>
      </c>
      <c r="K1794">
        <v>0.04</v>
      </c>
      <c r="L1794">
        <v>0.35</v>
      </c>
      <c r="M1794">
        <v>31.465</v>
      </c>
      <c r="N1794">
        <v>361.15800000000002</v>
      </c>
      <c r="O1794" s="1" t="s">
        <v>87</v>
      </c>
      <c r="P1794" s="1" t="s">
        <v>944</v>
      </c>
      <c r="Q1794" s="1" t="s">
        <v>945</v>
      </c>
      <c r="R1794" s="1" t="s">
        <v>90</v>
      </c>
      <c r="S1794" s="1" t="s">
        <v>946</v>
      </c>
      <c r="T1794" s="1" t="s">
        <v>947</v>
      </c>
      <c r="U1794" s="2" t="s">
        <v>177</v>
      </c>
      <c r="V1794" s="2" t="s">
        <v>83</v>
      </c>
      <c r="W1794" s="2" t="s">
        <v>178</v>
      </c>
      <c r="X1794" s="2">
        <v>347.30500000000001</v>
      </c>
    </row>
    <row r="1795" spans="1:24" x14ac:dyDescent="0.3">
      <c r="A1795">
        <v>19673</v>
      </c>
      <c r="B1795" t="s">
        <v>5461</v>
      </c>
      <c r="C1795" s="3">
        <v>40943</v>
      </c>
      <c r="D1795" t="s">
        <v>62</v>
      </c>
      <c r="E1795">
        <v>2</v>
      </c>
      <c r="F1795" s="3">
        <f ca="1">40944+(RANDBETWEEN(1,10))</f>
        <v>40945</v>
      </c>
      <c r="G1795" t="s">
        <v>26</v>
      </c>
      <c r="H1795" t="s">
        <v>96</v>
      </c>
      <c r="I1795" t="s">
        <v>86</v>
      </c>
      <c r="J1795">
        <v>58.52</v>
      </c>
      <c r="K1795">
        <v>0.01</v>
      </c>
      <c r="L1795">
        <v>0.36</v>
      </c>
      <c r="M1795">
        <v>20.405000000000001</v>
      </c>
      <c r="N1795">
        <v>40.152000000000001</v>
      </c>
      <c r="O1795" s="1" t="s">
        <v>87</v>
      </c>
      <c r="P1795" s="1" t="s">
        <v>944</v>
      </c>
      <c r="Q1795" s="1" t="s">
        <v>945</v>
      </c>
      <c r="R1795" s="1" t="s">
        <v>90</v>
      </c>
      <c r="S1795" s="1" t="s">
        <v>946</v>
      </c>
      <c r="T1795" s="1" t="s">
        <v>947</v>
      </c>
      <c r="U1795" s="2" t="s">
        <v>605</v>
      </c>
      <c r="V1795" s="2" t="s">
        <v>47</v>
      </c>
      <c r="W1795" s="2" t="s">
        <v>74</v>
      </c>
      <c r="X1795" s="2">
        <v>26.74</v>
      </c>
    </row>
    <row r="1796" spans="1:24" x14ac:dyDescent="0.3">
      <c r="A1796">
        <v>19674</v>
      </c>
      <c r="B1796" t="s">
        <v>5461</v>
      </c>
      <c r="C1796" s="3">
        <v>40943</v>
      </c>
      <c r="D1796" t="s">
        <v>62</v>
      </c>
      <c r="E1796">
        <v>2</v>
      </c>
      <c r="F1796" s="3">
        <f ca="1">40944+(RANDBETWEEN(1,10))</f>
        <v>40951</v>
      </c>
      <c r="G1796" t="s">
        <v>26</v>
      </c>
      <c r="H1796" t="s">
        <v>27</v>
      </c>
      <c r="I1796" t="s">
        <v>86</v>
      </c>
      <c r="J1796">
        <v>407.12</v>
      </c>
      <c r="K1796">
        <v>0.08</v>
      </c>
      <c r="L1796">
        <v>0.59</v>
      </c>
      <c r="M1796">
        <v>69.965000000000003</v>
      </c>
      <c r="N1796">
        <v>-312.47300000000001</v>
      </c>
      <c r="O1796" s="1" t="s">
        <v>87</v>
      </c>
      <c r="P1796" s="1" t="s">
        <v>944</v>
      </c>
      <c r="Q1796" s="1" t="s">
        <v>945</v>
      </c>
      <c r="R1796" s="1" t="s">
        <v>90</v>
      </c>
      <c r="S1796" s="1" t="s">
        <v>946</v>
      </c>
      <c r="T1796" s="1" t="s">
        <v>947</v>
      </c>
      <c r="U1796" s="2" t="s">
        <v>5463</v>
      </c>
      <c r="V1796" s="2" t="s">
        <v>36</v>
      </c>
      <c r="W1796" s="2" t="s">
        <v>37</v>
      </c>
      <c r="X1796" s="2">
        <v>230.965</v>
      </c>
    </row>
    <row r="1797" spans="1:24" x14ac:dyDescent="0.3">
      <c r="A1797">
        <v>19675</v>
      </c>
      <c r="B1797" t="s">
        <v>5464</v>
      </c>
      <c r="C1797" s="3">
        <v>41901</v>
      </c>
      <c r="D1797" t="s">
        <v>148</v>
      </c>
      <c r="E1797">
        <v>24</v>
      </c>
      <c r="F1797" s="3">
        <f ca="1">41901+(RANDBETWEEN(1,10))</f>
        <v>41906</v>
      </c>
      <c r="G1797" t="s">
        <v>26</v>
      </c>
      <c r="H1797" t="s">
        <v>27</v>
      </c>
      <c r="I1797" t="s">
        <v>97</v>
      </c>
      <c r="J1797">
        <v>14626.22</v>
      </c>
      <c r="K1797">
        <v>0.02</v>
      </c>
      <c r="L1797">
        <v>0.59</v>
      </c>
      <c r="M1797">
        <v>28.28</v>
      </c>
      <c r="N1797">
        <v>8816.4531000000006</v>
      </c>
      <c r="O1797" s="1" t="s">
        <v>87</v>
      </c>
      <c r="P1797" s="1" t="s">
        <v>3258</v>
      </c>
      <c r="Q1797" s="1" t="s">
        <v>3259</v>
      </c>
      <c r="R1797" s="1" t="s">
        <v>398</v>
      </c>
      <c r="S1797" s="1" t="s">
        <v>3260</v>
      </c>
      <c r="T1797" s="1" t="s">
        <v>3261</v>
      </c>
      <c r="U1797" s="2">
        <v>5125</v>
      </c>
      <c r="V1797" s="2" t="s">
        <v>36</v>
      </c>
      <c r="W1797" s="2" t="s">
        <v>37</v>
      </c>
      <c r="X1797" s="2">
        <v>703.46500000000003</v>
      </c>
    </row>
    <row r="1798" spans="1:24" x14ac:dyDescent="0.3">
      <c r="A1798">
        <v>19676</v>
      </c>
      <c r="B1798" t="s">
        <v>5464</v>
      </c>
      <c r="C1798" s="3">
        <v>41901</v>
      </c>
      <c r="D1798" t="s">
        <v>148</v>
      </c>
      <c r="E1798">
        <v>12</v>
      </c>
      <c r="F1798" s="3">
        <f ca="1">41903+(RANDBETWEEN(1,10))</f>
        <v>41904</v>
      </c>
      <c r="G1798" t="s">
        <v>26</v>
      </c>
      <c r="H1798" t="s">
        <v>63</v>
      </c>
      <c r="I1798" t="s">
        <v>97</v>
      </c>
      <c r="J1798">
        <v>8563.73</v>
      </c>
      <c r="K1798">
        <v>0.01</v>
      </c>
      <c r="L1798">
        <v>0.59</v>
      </c>
      <c r="M1798">
        <v>40.39</v>
      </c>
      <c r="N1798">
        <v>5908.9736999999996</v>
      </c>
      <c r="O1798" s="1" t="s">
        <v>40</v>
      </c>
      <c r="P1798" s="1" t="s">
        <v>5465</v>
      </c>
      <c r="Q1798" s="1" t="s">
        <v>5466</v>
      </c>
      <c r="R1798" s="1" t="s">
        <v>43</v>
      </c>
      <c r="S1798" s="1" t="s">
        <v>5467</v>
      </c>
      <c r="T1798" s="1" t="s">
        <v>5468</v>
      </c>
      <c r="U1798" s="2" t="s">
        <v>5469</v>
      </c>
      <c r="V1798" s="2" t="s">
        <v>83</v>
      </c>
      <c r="W1798" s="2" t="s">
        <v>178</v>
      </c>
      <c r="X1798" s="2">
        <v>680.05</v>
      </c>
    </row>
    <row r="1799" spans="1:24" x14ac:dyDescent="0.3">
      <c r="A1799">
        <v>19677</v>
      </c>
      <c r="B1799" t="s">
        <v>5470</v>
      </c>
      <c r="C1799" s="3">
        <v>41222</v>
      </c>
      <c r="D1799" t="s">
        <v>62</v>
      </c>
      <c r="E1799">
        <v>8</v>
      </c>
      <c r="F1799" s="3">
        <f ca="1">41224+(RANDBETWEEN(1,10))</f>
        <v>41229</v>
      </c>
      <c r="G1799" t="s">
        <v>26</v>
      </c>
      <c r="H1799" t="s">
        <v>27</v>
      </c>
      <c r="I1799" t="s">
        <v>52</v>
      </c>
      <c r="J1799">
        <v>155.22499999999999</v>
      </c>
      <c r="K1799">
        <v>0.06</v>
      </c>
      <c r="L1799">
        <v>0.36</v>
      </c>
      <c r="M1799">
        <v>21.245000000000001</v>
      </c>
      <c r="N1799">
        <v>1383.6479999999999</v>
      </c>
      <c r="O1799" s="1" t="s">
        <v>53</v>
      </c>
      <c r="P1799" s="1" t="s">
        <v>2791</v>
      </c>
      <c r="Q1799" s="1" t="s">
        <v>2792</v>
      </c>
      <c r="R1799" s="1" t="s">
        <v>100</v>
      </c>
      <c r="S1799" s="1" t="s">
        <v>2793</v>
      </c>
      <c r="T1799" s="1" t="s">
        <v>2794</v>
      </c>
      <c r="U1799" s="2" t="s">
        <v>250</v>
      </c>
      <c r="V1799" s="2" t="s">
        <v>47</v>
      </c>
      <c r="W1799" s="2" t="s">
        <v>74</v>
      </c>
      <c r="X1799" s="2">
        <v>17.43</v>
      </c>
    </row>
    <row r="1800" spans="1:24" x14ac:dyDescent="0.3">
      <c r="A1800">
        <v>19678</v>
      </c>
      <c r="B1800" t="s">
        <v>5470</v>
      </c>
      <c r="C1800" s="3">
        <v>41222</v>
      </c>
      <c r="D1800" t="s">
        <v>62</v>
      </c>
      <c r="E1800">
        <v>21</v>
      </c>
      <c r="F1800" s="3">
        <f ca="1">41222+(RANDBETWEEN(1,10))</f>
        <v>41229</v>
      </c>
      <c r="G1800" t="s">
        <v>156</v>
      </c>
      <c r="H1800" t="s">
        <v>96</v>
      </c>
      <c r="I1800" t="s">
        <v>52</v>
      </c>
      <c r="J1800">
        <v>5384.68</v>
      </c>
      <c r="K1800">
        <v>0</v>
      </c>
      <c r="L1800">
        <v>0.85</v>
      </c>
      <c r="M1800">
        <v>3.4649999999999999</v>
      </c>
      <c r="N1800">
        <v>2875.0889999999999</v>
      </c>
      <c r="O1800" s="1" t="s">
        <v>53</v>
      </c>
      <c r="P1800" s="1" t="s">
        <v>2791</v>
      </c>
      <c r="Q1800" s="1" t="s">
        <v>2792</v>
      </c>
      <c r="R1800" s="1" t="s">
        <v>100</v>
      </c>
      <c r="S1800" s="1" t="s">
        <v>2793</v>
      </c>
      <c r="T1800" s="1" t="s">
        <v>2794</v>
      </c>
      <c r="U1800" s="2" t="s">
        <v>678</v>
      </c>
      <c r="V1800" s="2" t="s">
        <v>36</v>
      </c>
      <c r="W1800" s="2" t="s">
        <v>37</v>
      </c>
      <c r="X1800" s="2">
        <v>300.96499999999997</v>
      </c>
    </row>
    <row r="1801" spans="1:24" x14ac:dyDescent="0.3">
      <c r="A1801">
        <v>19679</v>
      </c>
      <c r="B1801" t="s">
        <v>5471</v>
      </c>
      <c r="C1801" s="3">
        <v>40797</v>
      </c>
      <c r="D1801" t="s">
        <v>62</v>
      </c>
      <c r="E1801">
        <v>1</v>
      </c>
      <c r="F1801" s="3">
        <f ca="1">40797+(RANDBETWEEN(1,10))</f>
        <v>40803</v>
      </c>
      <c r="G1801" t="s">
        <v>156</v>
      </c>
      <c r="H1801" t="s">
        <v>27</v>
      </c>
      <c r="I1801" t="s">
        <v>28</v>
      </c>
      <c r="J1801">
        <v>61.564999999999998</v>
      </c>
      <c r="K1801">
        <v>0.06</v>
      </c>
      <c r="L1801">
        <v>0.39</v>
      </c>
      <c r="M1801">
        <v>1.75</v>
      </c>
      <c r="N1801">
        <v>37.975000000000001</v>
      </c>
      <c r="O1801" s="1" t="s">
        <v>29</v>
      </c>
      <c r="P1801" s="1" t="s">
        <v>5472</v>
      </c>
      <c r="Q1801" s="1" t="s">
        <v>5473</v>
      </c>
      <c r="R1801" s="1" t="s">
        <v>675</v>
      </c>
      <c r="S1801" s="1" t="s">
        <v>5474</v>
      </c>
      <c r="T1801" s="1" t="s">
        <v>5475</v>
      </c>
      <c r="U1801" s="2" t="s">
        <v>1706</v>
      </c>
      <c r="V1801" s="2" t="s">
        <v>47</v>
      </c>
      <c r="W1801" s="2" t="s">
        <v>203</v>
      </c>
      <c r="X1801" s="2">
        <v>9.1349999999999998</v>
      </c>
    </row>
    <row r="1802" spans="1:24" x14ac:dyDescent="0.3">
      <c r="A1802">
        <v>19680</v>
      </c>
      <c r="B1802" t="s">
        <v>5471</v>
      </c>
      <c r="C1802" s="3">
        <v>40797</v>
      </c>
      <c r="D1802" t="s">
        <v>62</v>
      </c>
      <c r="E1802">
        <v>22</v>
      </c>
      <c r="F1802" s="3">
        <f ca="1">40799+(RANDBETWEEN(1,10))</f>
        <v>40802</v>
      </c>
      <c r="G1802" t="s">
        <v>26</v>
      </c>
      <c r="H1802" t="s">
        <v>96</v>
      </c>
      <c r="I1802" t="s">
        <v>28</v>
      </c>
      <c r="J1802">
        <v>495.39</v>
      </c>
      <c r="K1802">
        <v>0.01</v>
      </c>
      <c r="L1802">
        <v>0.39</v>
      </c>
      <c r="M1802">
        <v>3.57</v>
      </c>
      <c r="N1802">
        <v>341.81909999999999</v>
      </c>
      <c r="O1802" s="1" t="s">
        <v>29</v>
      </c>
      <c r="P1802" s="1" t="s">
        <v>5472</v>
      </c>
      <c r="Q1802" s="1" t="s">
        <v>5473</v>
      </c>
      <c r="R1802" s="1" t="s">
        <v>675</v>
      </c>
      <c r="S1802" s="1" t="s">
        <v>5474</v>
      </c>
      <c r="T1802" s="1" t="s">
        <v>5475</v>
      </c>
      <c r="U1802" s="2" t="s">
        <v>3728</v>
      </c>
      <c r="V1802" s="2" t="s">
        <v>47</v>
      </c>
      <c r="W1802" s="2" t="s">
        <v>74</v>
      </c>
      <c r="X1802" s="2">
        <v>22.225000000000001</v>
      </c>
    </row>
    <row r="1803" spans="1:24" x14ac:dyDescent="0.3">
      <c r="A1803">
        <v>19681</v>
      </c>
      <c r="B1803" t="s">
        <v>5476</v>
      </c>
      <c r="C1803" s="3">
        <v>41998</v>
      </c>
      <c r="D1803" t="s">
        <v>148</v>
      </c>
      <c r="E1803">
        <v>18</v>
      </c>
      <c r="F1803" s="3">
        <f ca="1">42001+(RANDBETWEEN(1,10))</f>
        <v>42009</v>
      </c>
      <c r="G1803" t="s">
        <v>76</v>
      </c>
      <c r="H1803" t="s">
        <v>77</v>
      </c>
      <c r="I1803" t="s">
        <v>28</v>
      </c>
      <c r="J1803">
        <v>8491.1049999999996</v>
      </c>
      <c r="K1803">
        <v>0</v>
      </c>
      <c r="L1803">
        <v>0.74</v>
      </c>
      <c r="M1803">
        <v>245.7</v>
      </c>
      <c r="N1803">
        <v>-1408.3540800000001</v>
      </c>
      <c r="O1803" s="1" t="s">
        <v>64</v>
      </c>
      <c r="P1803" s="1" t="s">
        <v>631</v>
      </c>
      <c r="Q1803" s="1" t="s">
        <v>632</v>
      </c>
      <c r="R1803" s="1" t="s">
        <v>67</v>
      </c>
      <c r="S1803" s="1" t="s">
        <v>633</v>
      </c>
      <c r="T1803" s="1" t="s">
        <v>634</v>
      </c>
      <c r="U1803" s="2" t="s">
        <v>358</v>
      </c>
      <c r="V1803" s="2" t="s">
        <v>83</v>
      </c>
      <c r="W1803" s="2" t="s">
        <v>84</v>
      </c>
      <c r="X1803" s="2">
        <v>430.46499999999997</v>
      </c>
    </row>
    <row r="1804" spans="1:24" x14ac:dyDescent="0.3">
      <c r="A1804">
        <v>19682</v>
      </c>
      <c r="B1804" t="s">
        <v>5477</v>
      </c>
      <c r="C1804" s="3">
        <v>41617</v>
      </c>
      <c r="D1804" t="s">
        <v>50</v>
      </c>
      <c r="E1804">
        <v>19</v>
      </c>
      <c r="F1804" s="3">
        <f ca="1">41620+(RANDBETWEEN(1,10))</f>
        <v>41629</v>
      </c>
      <c r="G1804" t="s">
        <v>26</v>
      </c>
      <c r="H1804" t="s">
        <v>96</v>
      </c>
      <c r="I1804" t="s">
        <v>52</v>
      </c>
      <c r="J1804">
        <v>1233.2950000000001</v>
      </c>
      <c r="K1804">
        <v>0.04</v>
      </c>
      <c r="L1804">
        <v>0.43</v>
      </c>
      <c r="M1804">
        <v>12.67</v>
      </c>
      <c r="N1804">
        <v>850.97355000000005</v>
      </c>
      <c r="O1804" s="1" t="s">
        <v>29</v>
      </c>
      <c r="P1804" s="1" t="s">
        <v>5478</v>
      </c>
      <c r="Q1804" s="1" t="s">
        <v>5479</v>
      </c>
      <c r="R1804" s="1" t="s">
        <v>32</v>
      </c>
      <c r="S1804" s="1" t="s">
        <v>5480</v>
      </c>
      <c r="T1804" s="1" t="s">
        <v>5481</v>
      </c>
      <c r="U1804" s="2" t="s">
        <v>5482</v>
      </c>
      <c r="V1804" s="2" t="s">
        <v>83</v>
      </c>
      <c r="W1804" s="2" t="s">
        <v>178</v>
      </c>
      <c r="X1804" s="2">
        <v>65.94</v>
      </c>
    </row>
    <row r="1805" spans="1:24" x14ac:dyDescent="0.3">
      <c r="A1805">
        <v>19683</v>
      </c>
      <c r="B1805" t="s">
        <v>5477</v>
      </c>
      <c r="C1805" s="3">
        <v>41617</v>
      </c>
      <c r="D1805" t="s">
        <v>50</v>
      </c>
      <c r="E1805">
        <v>21</v>
      </c>
      <c r="F1805" s="3">
        <f ca="1">41620+(RANDBETWEEN(1,10))</f>
        <v>41622</v>
      </c>
      <c r="G1805" t="s">
        <v>26</v>
      </c>
      <c r="H1805" t="s">
        <v>96</v>
      </c>
      <c r="I1805" t="s">
        <v>52</v>
      </c>
      <c r="J1805">
        <v>2230.41</v>
      </c>
      <c r="K1805">
        <v>0.05</v>
      </c>
      <c r="L1805">
        <v>0.38</v>
      </c>
      <c r="M1805">
        <v>20.965</v>
      </c>
      <c r="N1805">
        <v>1538.9829</v>
      </c>
      <c r="O1805" s="1" t="s">
        <v>29</v>
      </c>
      <c r="P1805" s="1" t="s">
        <v>5478</v>
      </c>
      <c r="Q1805" s="1" t="s">
        <v>5479</v>
      </c>
      <c r="R1805" s="1" t="s">
        <v>32</v>
      </c>
      <c r="S1805" s="1" t="s">
        <v>5480</v>
      </c>
      <c r="T1805" s="1" t="s">
        <v>5481</v>
      </c>
      <c r="U1805" s="2" t="s">
        <v>5234</v>
      </c>
      <c r="V1805" s="2" t="s">
        <v>36</v>
      </c>
      <c r="W1805" s="2" t="s">
        <v>37</v>
      </c>
      <c r="X1805" s="2">
        <v>125.965</v>
      </c>
    </row>
    <row r="1806" spans="1:24" x14ac:dyDescent="0.3">
      <c r="A1806">
        <v>19684</v>
      </c>
      <c r="B1806" t="s">
        <v>5483</v>
      </c>
      <c r="C1806" s="3">
        <v>41255</v>
      </c>
      <c r="D1806" t="s">
        <v>25</v>
      </c>
      <c r="E1806">
        <v>22</v>
      </c>
      <c r="F1806" s="3">
        <f ca="1">41260+(RANDBETWEEN(1,10))</f>
        <v>41269</v>
      </c>
      <c r="G1806" t="s">
        <v>76</v>
      </c>
      <c r="H1806" t="s">
        <v>77</v>
      </c>
      <c r="I1806" t="s">
        <v>28</v>
      </c>
      <c r="J1806">
        <v>16589.439999999999</v>
      </c>
      <c r="K1806">
        <v>0.03</v>
      </c>
      <c r="L1806">
        <v>0.56999999999999995</v>
      </c>
      <c r="M1806">
        <v>238.07</v>
      </c>
      <c r="N1806">
        <v>4541.3549999999996</v>
      </c>
      <c r="O1806" s="1" t="s">
        <v>53</v>
      </c>
      <c r="P1806" s="1" t="s">
        <v>5290</v>
      </c>
      <c r="Q1806" s="1" t="s">
        <v>5291</v>
      </c>
      <c r="R1806" s="1" t="s">
        <v>56</v>
      </c>
      <c r="S1806" s="1" t="s">
        <v>5292</v>
      </c>
      <c r="T1806" s="1" t="s">
        <v>5293</v>
      </c>
      <c r="U1806" s="2" t="s">
        <v>1560</v>
      </c>
      <c r="V1806" s="2" t="s">
        <v>83</v>
      </c>
      <c r="W1806" s="2" t="s">
        <v>84</v>
      </c>
      <c r="X1806" s="2">
        <v>728.56</v>
      </c>
    </row>
    <row r="1807" spans="1:24" x14ac:dyDescent="0.3">
      <c r="A1807">
        <v>19685</v>
      </c>
      <c r="B1807" t="s">
        <v>5483</v>
      </c>
      <c r="C1807" s="3">
        <v>41255</v>
      </c>
      <c r="D1807" t="s">
        <v>25</v>
      </c>
      <c r="E1807">
        <v>1</v>
      </c>
      <c r="F1807" s="3">
        <f ca="1">41259+(RANDBETWEEN(1,10))</f>
        <v>41268</v>
      </c>
      <c r="G1807" t="s">
        <v>26</v>
      </c>
      <c r="H1807" t="s">
        <v>77</v>
      </c>
      <c r="I1807" t="s">
        <v>28</v>
      </c>
      <c r="J1807">
        <v>96.635000000000005</v>
      </c>
      <c r="K1807">
        <v>0.08</v>
      </c>
      <c r="L1807">
        <v>0.56000000000000005</v>
      </c>
      <c r="M1807">
        <v>30.765000000000001</v>
      </c>
      <c r="N1807">
        <v>-79.275000000000006</v>
      </c>
      <c r="O1807" s="1" t="s">
        <v>53</v>
      </c>
      <c r="P1807" s="1" t="s">
        <v>5290</v>
      </c>
      <c r="Q1807" s="1" t="s">
        <v>5291</v>
      </c>
      <c r="R1807" s="1" t="s">
        <v>56</v>
      </c>
      <c r="S1807" s="1" t="s">
        <v>5292</v>
      </c>
      <c r="T1807" s="1" t="s">
        <v>5293</v>
      </c>
      <c r="U1807" s="2" t="s">
        <v>3412</v>
      </c>
      <c r="V1807" s="2" t="s">
        <v>83</v>
      </c>
      <c r="W1807" s="2" t="s">
        <v>84</v>
      </c>
      <c r="X1807" s="2">
        <v>87.43</v>
      </c>
    </row>
    <row r="1808" spans="1:24" x14ac:dyDescent="0.3">
      <c r="A1808">
        <v>19686</v>
      </c>
      <c r="B1808" t="s">
        <v>5483</v>
      </c>
      <c r="C1808" s="3">
        <v>41255</v>
      </c>
      <c r="D1808" t="s">
        <v>25</v>
      </c>
      <c r="E1808">
        <v>4</v>
      </c>
      <c r="F1808" s="3">
        <f ca="1">41260+(RANDBETWEEN(1,10))</f>
        <v>41270</v>
      </c>
      <c r="G1808" t="s">
        <v>26</v>
      </c>
      <c r="H1808" t="s">
        <v>63</v>
      </c>
      <c r="I1808" t="s">
        <v>28</v>
      </c>
      <c r="J1808">
        <v>59.57</v>
      </c>
      <c r="K1808">
        <v>0.01</v>
      </c>
      <c r="L1808">
        <v>0.55000000000000004</v>
      </c>
      <c r="M1808">
        <v>21.945</v>
      </c>
      <c r="N1808">
        <v>-74.361874999999998</v>
      </c>
      <c r="O1808" s="1" t="s">
        <v>53</v>
      </c>
      <c r="P1808" s="1" t="s">
        <v>5290</v>
      </c>
      <c r="Q1808" s="1" t="s">
        <v>5291</v>
      </c>
      <c r="R1808" s="1" t="s">
        <v>56</v>
      </c>
      <c r="S1808" s="1" t="s">
        <v>5292</v>
      </c>
      <c r="T1808" s="1" t="s">
        <v>5293</v>
      </c>
      <c r="U1808" s="2" t="s">
        <v>5109</v>
      </c>
      <c r="V1808" s="2" t="s">
        <v>83</v>
      </c>
      <c r="W1808" s="2" t="s">
        <v>178</v>
      </c>
      <c r="X1808" s="2">
        <v>11.76</v>
      </c>
    </row>
    <row r="1809" spans="1:24" x14ac:dyDescent="0.3">
      <c r="A1809">
        <v>19687</v>
      </c>
      <c r="B1809" t="s">
        <v>5484</v>
      </c>
      <c r="C1809" s="3">
        <v>41334</v>
      </c>
      <c r="D1809" t="s">
        <v>62</v>
      </c>
      <c r="E1809">
        <v>5</v>
      </c>
      <c r="F1809" s="3">
        <f ca="1">41335+(RANDBETWEEN(1,10))</f>
        <v>41340</v>
      </c>
      <c r="G1809" t="s">
        <v>26</v>
      </c>
      <c r="H1809" t="s">
        <v>27</v>
      </c>
      <c r="I1809" t="s">
        <v>28</v>
      </c>
      <c r="J1809">
        <v>3090.29</v>
      </c>
      <c r="K1809">
        <v>0</v>
      </c>
      <c r="L1809">
        <v>0.57999999999999996</v>
      </c>
      <c r="M1809">
        <v>13.965</v>
      </c>
      <c r="N1809">
        <v>2867.0922</v>
      </c>
      <c r="O1809" s="1" t="s">
        <v>64</v>
      </c>
      <c r="P1809" s="1" t="s">
        <v>2140</v>
      </c>
      <c r="Q1809" s="1" t="s">
        <v>2141</v>
      </c>
      <c r="R1809" s="1" t="s">
        <v>67</v>
      </c>
      <c r="S1809" s="1" t="s">
        <v>2142</v>
      </c>
      <c r="T1809" s="1" t="s">
        <v>2143</v>
      </c>
      <c r="U1809" s="2" t="s">
        <v>761</v>
      </c>
      <c r="V1809" s="2" t="s">
        <v>36</v>
      </c>
      <c r="W1809" s="2" t="s">
        <v>37</v>
      </c>
      <c r="X1809" s="2">
        <v>685.96500000000003</v>
      </c>
    </row>
    <row r="1810" spans="1:24" x14ac:dyDescent="0.3">
      <c r="A1810">
        <v>19688</v>
      </c>
      <c r="B1810" t="s">
        <v>5485</v>
      </c>
      <c r="C1810" s="3">
        <v>41062</v>
      </c>
      <c r="D1810" t="s">
        <v>50</v>
      </c>
      <c r="E1810">
        <v>12</v>
      </c>
      <c r="F1810" s="3">
        <f ca="1">41063+(RANDBETWEEN(1,10))</f>
        <v>41067</v>
      </c>
      <c r="G1810" t="s">
        <v>26</v>
      </c>
      <c r="H1810" t="s">
        <v>281</v>
      </c>
      <c r="I1810" t="s">
        <v>52</v>
      </c>
      <c r="J1810">
        <v>786.87</v>
      </c>
      <c r="K1810">
        <v>0.04</v>
      </c>
      <c r="L1810">
        <v>0.4</v>
      </c>
      <c r="M1810">
        <v>29.785</v>
      </c>
      <c r="N1810">
        <v>818.30700000000002</v>
      </c>
      <c r="O1810" s="1" t="s">
        <v>87</v>
      </c>
      <c r="P1810" s="1" t="s">
        <v>2151</v>
      </c>
      <c r="Q1810" s="1" t="s">
        <v>2152</v>
      </c>
      <c r="R1810" s="1" t="s">
        <v>646</v>
      </c>
      <c r="S1810" s="1" t="s">
        <v>2153</v>
      </c>
      <c r="T1810" s="1" t="s">
        <v>2154</v>
      </c>
      <c r="U1810" s="2" t="s">
        <v>282</v>
      </c>
      <c r="V1810" s="2" t="s">
        <v>36</v>
      </c>
      <c r="W1810" s="2" t="s">
        <v>142</v>
      </c>
      <c r="X1810" s="2">
        <v>62.93</v>
      </c>
    </row>
    <row r="1811" spans="1:24" x14ac:dyDescent="0.3">
      <c r="A1811">
        <v>19689</v>
      </c>
      <c r="B1811" t="s">
        <v>5485</v>
      </c>
      <c r="C1811" s="3">
        <v>41062</v>
      </c>
      <c r="D1811" t="s">
        <v>50</v>
      </c>
      <c r="E1811">
        <v>9</v>
      </c>
      <c r="F1811" s="3">
        <f ca="1">41062+(RANDBETWEEN(1,10))</f>
        <v>41071</v>
      </c>
      <c r="G1811" t="s">
        <v>26</v>
      </c>
      <c r="H1811" t="s">
        <v>27</v>
      </c>
      <c r="I1811" t="s">
        <v>52</v>
      </c>
      <c r="J1811">
        <v>13016.99</v>
      </c>
      <c r="K1811">
        <v>7.0000000000000007E-2</v>
      </c>
      <c r="L1811">
        <v>0.57999999999999996</v>
      </c>
      <c r="M1811">
        <v>69.965000000000003</v>
      </c>
      <c r="N1811">
        <v>-52.773000000000003</v>
      </c>
      <c r="O1811" s="1" t="s">
        <v>87</v>
      </c>
      <c r="P1811" s="1" t="s">
        <v>2151</v>
      </c>
      <c r="Q1811" s="1" t="s">
        <v>2152</v>
      </c>
      <c r="R1811" s="1" t="s">
        <v>646</v>
      </c>
      <c r="S1811" s="1" t="s">
        <v>2153</v>
      </c>
      <c r="T1811" s="1" t="s">
        <v>2154</v>
      </c>
      <c r="U1811" s="2" t="s">
        <v>3569</v>
      </c>
      <c r="V1811" s="2" t="s">
        <v>47</v>
      </c>
      <c r="W1811" s="2" t="s">
        <v>119</v>
      </c>
      <c r="X1811" s="2">
        <v>1467.165</v>
      </c>
    </row>
    <row r="1812" spans="1:24" x14ac:dyDescent="0.3">
      <c r="A1812">
        <v>19690</v>
      </c>
      <c r="B1812" t="s">
        <v>5486</v>
      </c>
      <c r="C1812" s="3">
        <v>41622</v>
      </c>
      <c r="D1812" t="s">
        <v>25</v>
      </c>
      <c r="E1812">
        <v>1</v>
      </c>
      <c r="F1812" s="3">
        <f ca="1">41627+(RANDBETWEEN(1,10))</f>
        <v>41632</v>
      </c>
      <c r="G1812" t="s">
        <v>26</v>
      </c>
      <c r="H1812" t="s">
        <v>27</v>
      </c>
      <c r="I1812" t="s">
        <v>28</v>
      </c>
      <c r="J1812">
        <v>33.25</v>
      </c>
      <c r="K1812">
        <v>0.01</v>
      </c>
      <c r="L1812">
        <v>0.36</v>
      </c>
      <c r="M1812">
        <v>18.445</v>
      </c>
      <c r="N1812">
        <v>-18.776624999999999</v>
      </c>
      <c r="O1812" s="1" t="s">
        <v>87</v>
      </c>
      <c r="P1812" s="1" t="s">
        <v>5308</v>
      </c>
      <c r="Q1812" s="1" t="s">
        <v>5309</v>
      </c>
      <c r="R1812" s="1" t="s">
        <v>646</v>
      </c>
      <c r="S1812" s="1" t="s">
        <v>5310</v>
      </c>
      <c r="T1812" s="1" t="s">
        <v>3151</v>
      </c>
      <c r="U1812" s="2" t="s">
        <v>588</v>
      </c>
      <c r="V1812" s="2" t="s">
        <v>47</v>
      </c>
      <c r="W1812" s="2" t="s">
        <v>111</v>
      </c>
      <c r="X1812" s="2">
        <v>22.89</v>
      </c>
    </row>
    <row r="1813" spans="1:24" x14ac:dyDescent="0.3">
      <c r="A1813">
        <v>19691</v>
      </c>
      <c r="B1813" t="s">
        <v>5486</v>
      </c>
      <c r="C1813" s="3">
        <v>41622</v>
      </c>
      <c r="D1813" t="s">
        <v>25</v>
      </c>
      <c r="E1813">
        <v>25</v>
      </c>
      <c r="F1813" s="3">
        <f ca="1">41626+(RANDBETWEEN(1,10))</f>
        <v>41631</v>
      </c>
      <c r="G1813" t="s">
        <v>26</v>
      </c>
      <c r="H1813" t="s">
        <v>27</v>
      </c>
      <c r="I1813" t="s">
        <v>28</v>
      </c>
      <c r="J1813">
        <v>14506.66</v>
      </c>
      <c r="K1813">
        <v>0.01</v>
      </c>
      <c r="L1813">
        <v>0.59</v>
      </c>
      <c r="M1813">
        <v>24.745000000000001</v>
      </c>
      <c r="N1813">
        <v>10009.5954</v>
      </c>
      <c r="O1813" s="1" t="s">
        <v>87</v>
      </c>
      <c r="P1813" s="1" t="s">
        <v>5308</v>
      </c>
      <c r="Q1813" s="1" t="s">
        <v>5309</v>
      </c>
      <c r="R1813" s="1" t="s">
        <v>646</v>
      </c>
      <c r="S1813" s="1" t="s">
        <v>5310</v>
      </c>
      <c r="T1813" s="1" t="s">
        <v>3151</v>
      </c>
      <c r="U1813" s="2" t="s">
        <v>3378</v>
      </c>
      <c r="V1813" s="2" t="s">
        <v>47</v>
      </c>
      <c r="W1813" s="2" t="s">
        <v>119</v>
      </c>
      <c r="X1813" s="2">
        <v>542.71</v>
      </c>
    </row>
    <row r="1814" spans="1:24" x14ac:dyDescent="0.3">
      <c r="A1814">
        <v>19692</v>
      </c>
      <c r="B1814" t="s">
        <v>5487</v>
      </c>
      <c r="C1814" s="3">
        <v>40889</v>
      </c>
      <c r="D1814" t="s">
        <v>39</v>
      </c>
      <c r="E1814">
        <v>1</v>
      </c>
      <c r="F1814" s="3">
        <f ca="1">40891+(RANDBETWEEN(1,10))</f>
        <v>40892</v>
      </c>
      <c r="G1814" t="s">
        <v>76</v>
      </c>
      <c r="H1814" t="s">
        <v>258</v>
      </c>
      <c r="I1814" t="s">
        <v>52</v>
      </c>
      <c r="J1814">
        <v>530.11</v>
      </c>
      <c r="K1814">
        <v>0.04</v>
      </c>
      <c r="L1814">
        <v>0.63</v>
      </c>
      <c r="M1814">
        <v>181.79</v>
      </c>
      <c r="N1814">
        <v>-325.72575000000001</v>
      </c>
      <c r="O1814" s="1" t="s">
        <v>53</v>
      </c>
      <c r="P1814" s="1" t="s">
        <v>3312</v>
      </c>
      <c r="Q1814" s="1" t="s">
        <v>3313</v>
      </c>
      <c r="R1814" s="1" t="s">
        <v>100</v>
      </c>
      <c r="S1814" s="1" t="s">
        <v>3314</v>
      </c>
      <c r="T1814" s="1" t="s">
        <v>3315</v>
      </c>
      <c r="U1814" s="2" t="s">
        <v>360</v>
      </c>
      <c r="V1814" s="2" t="s">
        <v>83</v>
      </c>
      <c r="W1814" s="2" t="s">
        <v>263</v>
      </c>
      <c r="X1814" s="2">
        <v>435.71499999999997</v>
      </c>
    </row>
    <row r="1815" spans="1:24" x14ac:dyDescent="0.3">
      <c r="A1815">
        <v>19693</v>
      </c>
      <c r="B1815" t="s">
        <v>5488</v>
      </c>
      <c r="C1815" s="3">
        <v>41985</v>
      </c>
      <c r="D1815" t="s">
        <v>39</v>
      </c>
      <c r="E1815">
        <v>15</v>
      </c>
      <c r="F1815" s="3">
        <f ca="1">41985+(RANDBETWEEN(1,10))</f>
        <v>41987</v>
      </c>
      <c r="G1815" t="s">
        <v>26</v>
      </c>
      <c r="H1815" t="s">
        <v>96</v>
      </c>
      <c r="I1815" t="s">
        <v>52</v>
      </c>
      <c r="J1815">
        <v>1525.405</v>
      </c>
      <c r="K1815">
        <v>0.1</v>
      </c>
      <c r="L1815">
        <v>0.82</v>
      </c>
      <c r="M1815">
        <v>17.5</v>
      </c>
      <c r="N1815">
        <v>-245.11132799999999</v>
      </c>
      <c r="O1815" s="1" t="s">
        <v>53</v>
      </c>
      <c r="P1815" s="1" t="s">
        <v>3312</v>
      </c>
      <c r="Q1815" s="1" t="s">
        <v>3313</v>
      </c>
      <c r="R1815" s="1" t="s">
        <v>100</v>
      </c>
      <c r="S1815" s="1" t="s">
        <v>3314</v>
      </c>
      <c r="T1815" s="1" t="s">
        <v>3315</v>
      </c>
      <c r="U1815" s="2" t="s">
        <v>361</v>
      </c>
      <c r="V1815" s="2" t="s">
        <v>36</v>
      </c>
      <c r="W1815" s="2" t="s">
        <v>37</v>
      </c>
      <c r="X1815" s="2">
        <v>125.965</v>
      </c>
    </row>
    <row r="1816" spans="1:24" x14ac:dyDescent="0.3">
      <c r="A1816">
        <v>19694</v>
      </c>
      <c r="B1816" t="s">
        <v>5489</v>
      </c>
      <c r="C1816" s="3">
        <v>40719</v>
      </c>
      <c r="D1816" t="s">
        <v>50</v>
      </c>
      <c r="E1816">
        <v>1</v>
      </c>
      <c r="F1816" s="3">
        <f ca="1">40722+(RANDBETWEEN(1,10))</f>
        <v>40730</v>
      </c>
      <c r="G1816" t="s">
        <v>76</v>
      </c>
      <c r="H1816" t="s">
        <v>77</v>
      </c>
      <c r="I1816" t="s">
        <v>28</v>
      </c>
      <c r="J1816">
        <v>558.28499999999997</v>
      </c>
      <c r="K1816">
        <v>0.04</v>
      </c>
      <c r="L1816">
        <v>0.78</v>
      </c>
      <c r="M1816">
        <v>105</v>
      </c>
      <c r="N1816">
        <v>-290.16399999999999</v>
      </c>
      <c r="O1816" s="1" t="s">
        <v>29</v>
      </c>
      <c r="P1816" s="1" t="s">
        <v>5490</v>
      </c>
      <c r="Q1816" s="1" t="s">
        <v>5491</v>
      </c>
      <c r="R1816" s="1" t="s">
        <v>460</v>
      </c>
      <c r="S1816" s="1" t="s">
        <v>5492</v>
      </c>
      <c r="T1816" s="1" t="s">
        <v>5493</v>
      </c>
      <c r="U1816" s="2" t="s">
        <v>2894</v>
      </c>
      <c r="V1816" s="2" t="s">
        <v>83</v>
      </c>
      <c r="W1816" s="2" t="s">
        <v>84</v>
      </c>
      <c r="X1816" s="2">
        <v>458.43</v>
      </c>
    </row>
    <row r="1817" spans="1:24" x14ac:dyDescent="0.3">
      <c r="A1817">
        <v>19695</v>
      </c>
      <c r="B1817" t="s">
        <v>5489</v>
      </c>
      <c r="C1817" s="3">
        <v>40719</v>
      </c>
      <c r="D1817" t="s">
        <v>50</v>
      </c>
      <c r="E1817">
        <v>11</v>
      </c>
      <c r="F1817" s="3">
        <f ca="1">40719+(RANDBETWEEN(1,10))</f>
        <v>40720</v>
      </c>
      <c r="G1817" t="s">
        <v>26</v>
      </c>
      <c r="H1817" t="s">
        <v>27</v>
      </c>
      <c r="I1817" t="s">
        <v>28</v>
      </c>
      <c r="J1817">
        <v>6435.9750000000004</v>
      </c>
      <c r="K1817">
        <v>0.05</v>
      </c>
      <c r="L1817">
        <v>0.59</v>
      </c>
      <c r="M1817">
        <v>14.7</v>
      </c>
      <c r="N1817">
        <v>4440.8227500000003</v>
      </c>
      <c r="O1817" s="1" t="s">
        <v>29</v>
      </c>
      <c r="P1817" s="1" t="s">
        <v>5490</v>
      </c>
      <c r="Q1817" s="1" t="s">
        <v>5491</v>
      </c>
      <c r="R1817" s="1" t="s">
        <v>460</v>
      </c>
      <c r="S1817" s="1" t="s">
        <v>5492</v>
      </c>
      <c r="T1817" s="1" t="s">
        <v>5493</v>
      </c>
      <c r="U1817" s="2" t="s">
        <v>2133</v>
      </c>
      <c r="V1817" s="2" t="s">
        <v>36</v>
      </c>
      <c r="W1817" s="2" t="s">
        <v>37</v>
      </c>
      <c r="X1817" s="2">
        <v>703.46500000000003</v>
      </c>
    </row>
    <row r="1818" spans="1:24" x14ac:dyDescent="0.3">
      <c r="A1818">
        <v>19696</v>
      </c>
      <c r="B1818" t="s">
        <v>5494</v>
      </c>
      <c r="C1818" s="3">
        <v>41991</v>
      </c>
      <c r="D1818" t="s">
        <v>148</v>
      </c>
      <c r="E1818">
        <v>22</v>
      </c>
      <c r="F1818" s="3">
        <f ca="1">41993+(RANDBETWEEN(1,10))</f>
        <v>41994</v>
      </c>
      <c r="G1818" t="s">
        <v>26</v>
      </c>
      <c r="H1818" t="s">
        <v>27</v>
      </c>
      <c r="I1818" t="s">
        <v>97</v>
      </c>
      <c r="J1818">
        <v>206.465</v>
      </c>
      <c r="K1818">
        <v>0.1</v>
      </c>
      <c r="L1818">
        <v>0.36</v>
      </c>
      <c r="M1818">
        <v>1.75</v>
      </c>
      <c r="N1818">
        <v>142.46084999999999</v>
      </c>
      <c r="O1818" s="1" t="s">
        <v>53</v>
      </c>
      <c r="P1818" s="1" t="s">
        <v>3312</v>
      </c>
      <c r="Q1818" s="1" t="s">
        <v>3313</v>
      </c>
      <c r="R1818" s="1" t="s">
        <v>100</v>
      </c>
      <c r="S1818" s="1" t="s">
        <v>3314</v>
      </c>
      <c r="T1818" s="1" t="s">
        <v>3315</v>
      </c>
      <c r="U1818" s="2" t="s">
        <v>363</v>
      </c>
      <c r="V1818" s="2" t="s">
        <v>47</v>
      </c>
      <c r="W1818" s="2" t="s">
        <v>203</v>
      </c>
      <c r="X1818" s="2">
        <v>10.08</v>
      </c>
    </row>
    <row r="1819" spans="1:24" x14ac:dyDescent="0.3">
      <c r="A1819">
        <v>19697</v>
      </c>
      <c r="B1819" t="s">
        <v>5495</v>
      </c>
      <c r="C1819" s="3">
        <v>40877</v>
      </c>
      <c r="D1819" t="s">
        <v>25</v>
      </c>
      <c r="E1819">
        <v>3</v>
      </c>
      <c r="F1819" s="3">
        <f ca="1">40877+(RANDBETWEEN(1,10))</f>
        <v>40886</v>
      </c>
      <c r="G1819" t="s">
        <v>76</v>
      </c>
      <c r="H1819" t="s">
        <v>77</v>
      </c>
      <c r="I1819" t="s">
        <v>97</v>
      </c>
      <c r="J1819">
        <v>1965.7750000000001</v>
      </c>
      <c r="K1819">
        <v>0.04</v>
      </c>
      <c r="L1819">
        <v>0.69</v>
      </c>
      <c r="M1819">
        <v>105</v>
      </c>
      <c r="N1819">
        <v>185.458</v>
      </c>
      <c r="O1819" s="1" t="s">
        <v>225</v>
      </c>
      <c r="P1819" s="1" t="s">
        <v>1727</v>
      </c>
      <c r="Q1819" s="1" t="s">
        <v>1728</v>
      </c>
      <c r="R1819" s="1" t="s">
        <v>228</v>
      </c>
      <c r="S1819" s="1" t="s">
        <v>1729</v>
      </c>
      <c r="T1819" s="1" t="s">
        <v>1659</v>
      </c>
      <c r="U1819" s="2" t="s">
        <v>5090</v>
      </c>
      <c r="V1819" s="2" t="s">
        <v>83</v>
      </c>
      <c r="W1819" s="2" t="s">
        <v>84</v>
      </c>
      <c r="X1819" s="2">
        <v>633.42999999999995</v>
      </c>
    </row>
    <row r="1820" spans="1:24" x14ac:dyDescent="0.3">
      <c r="A1820">
        <v>19698</v>
      </c>
      <c r="B1820" t="s">
        <v>5495</v>
      </c>
      <c r="C1820" s="3">
        <v>40877</v>
      </c>
      <c r="D1820" t="s">
        <v>25</v>
      </c>
      <c r="E1820">
        <v>2</v>
      </c>
      <c r="F1820" s="3">
        <f ca="1">40882+(RANDBETWEEN(1,10))</f>
        <v>40884</v>
      </c>
      <c r="G1820" t="s">
        <v>26</v>
      </c>
      <c r="H1820" t="s">
        <v>63</v>
      </c>
      <c r="I1820" t="s">
        <v>97</v>
      </c>
      <c r="J1820">
        <v>194.6</v>
      </c>
      <c r="K1820">
        <v>0.06</v>
      </c>
      <c r="L1820">
        <v>0.56000000000000005</v>
      </c>
      <c r="M1820">
        <v>171.5</v>
      </c>
      <c r="N1820">
        <v>36.777999999999999</v>
      </c>
      <c r="O1820" s="1" t="s">
        <v>225</v>
      </c>
      <c r="P1820" s="1" t="s">
        <v>5496</v>
      </c>
      <c r="Q1820" s="1" t="s">
        <v>5497</v>
      </c>
      <c r="R1820" s="1" t="s">
        <v>228</v>
      </c>
      <c r="S1820" s="1" t="s">
        <v>5498</v>
      </c>
      <c r="T1820" s="1" t="s">
        <v>5499</v>
      </c>
      <c r="U1820" s="2" t="s">
        <v>4554</v>
      </c>
      <c r="V1820" s="2" t="s">
        <v>47</v>
      </c>
      <c r="W1820" s="2" t="s">
        <v>71</v>
      </c>
      <c r="X1820" s="2">
        <v>11.375</v>
      </c>
    </row>
    <row r="1821" spans="1:24" x14ac:dyDescent="0.3">
      <c r="A1821">
        <v>19699</v>
      </c>
      <c r="B1821" t="s">
        <v>5495</v>
      </c>
      <c r="C1821" s="3">
        <v>40877</v>
      </c>
      <c r="D1821" t="s">
        <v>25</v>
      </c>
      <c r="E1821">
        <v>19</v>
      </c>
      <c r="F1821" s="3">
        <f ca="1">40881+(RANDBETWEEN(1,10))</f>
        <v>40887</v>
      </c>
      <c r="G1821" t="s">
        <v>26</v>
      </c>
      <c r="H1821" t="s">
        <v>281</v>
      </c>
      <c r="I1821" t="s">
        <v>97</v>
      </c>
      <c r="J1821">
        <v>7348.6350000000002</v>
      </c>
      <c r="K1821">
        <v>0.01</v>
      </c>
      <c r="L1821">
        <v>0.69</v>
      </c>
      <c r="M1821">
        <v>48.965000000000003</v>
      </c>
      <c r="N1821">
        <v>5070.5581499999998</v>
      </c>
      <c r="O1821" s="1" t="s">
        <v>225</v>
      </c>
      <c r="P1821" s="1" t="s">
        <v>5496</v>
      </c>
      <c r="Q1821" s="1" t="s">
        <v>5497</v>
      </c>
      <c r="R1821" s="1" t="s">
        <v>228</v>
      </c>
      <c r="S1821" s="1" t="s">
        <v>5498</v>
      </c>
      <c r="T1821" s="1" t="s">
        <v>5499</v>
      </c>
      <c r="U1821" s="2" t="s">
        <v>1145</v>
      </c>
      <c r="V1821" s="2" t="s">
        <v>83</v>
      </c>
      <c r="W1821" s="2" t="s">
        <v>178</v>
      </c>
      <c r="X1821" s="2">
        <v>388.43</v>
      </c>
    </row>
    <row r="1822" spans="1:24" x14ac:dyDescent="0.3">
      <c r="A1822">
        <v>19700</v>
      </c>
      <c r="B1822" t="s">
        <v>5495</v>
      </c>
      <c r="C1822" s="3">
        <v>40877</v>
      </c>
      <c r="D1822" t="s">
        <v>25</v>
      </c>
      <c r="E1822">
        <v>23</v>
      </c>
      <c r="F1822" s="3">
        <f ca="1">40884+(RANDBETWEEN(1,10))</f>
        <v>40886</v>
      </c>
      <c r="G1822" t="s">
        <v>156</v>
      </c>
      <c r="H1822" t="s">
        <v>96</v>
      </c>
      <c r="I1822" t="s">
        <v>97</v>
      </c>
      <c r="J1822">
        <v>338.1</v>
      </c>
      <c r="K1822">
        <v>0.05</v>
      </c>
      <c r="L1822">
        <v>0.53</v>
      </c>
      <c r="M1822">
        <v>7</v>
      </c>
      <c r="N1822">
        <v>3.5139999999999998</v>
      </c>
      <c r="O1822" s="1" t="s">
        <v>225</v>
      </c>
      <c r="P1822" s="1" t="s">
        <v>5496</v>
      </c>
      <c r="Q1822" s="1" t="s">
        <v>5497</v>
      </c>
      <c r="R1822" s="1" t="s">
        <v>228</v>
      </c>
      <c r="S1822" s="1" t="s">
        <v>5498</v>
      </c>
      <c r="T1822" s="1" t="s">
        <v>5499</v>
      </c>
      <c r="U1822" s="2" t="s">
        <v>955</v>
      </c>
      <c r="V1822" s="2" t="s">
        <v>47</v>
      </c>
      <c r="W1822" s="2" t="s">
        <v>176</v>
      </c>
      <c r="X1822" s="2">
        <v>13.824999999999999</v>
      </c>
    </row>
    <row r="1823" spans="1:24" x14ac:dyDescent="0.3">
      <c r="A1823">
        <v>19701</v>
      </c>
      <c r="B1823" t="s">
        <v>5500</v>
      </c>
      <c r="C1823" s="3">
        <v>40953</v>
      </c>
      <c r="D1823" t="s">
        <v>39</v>
      </c>
      <c r="E1823">
        <v>11</v>
      </c>
      <c r="F1823" s="3">
        <f ca="1">40955+(RANDBETWEEN(1,10))</f>
        <v>40964</v>
      </c>
      <c r="G1823" t="s">
        <v>76</v>
      </c>
      <c r="H1823" t="s">
        <v>258</v>
      </c>
      <c r="I1823" t="s">
        <v>52</v>
      </c>
      <c r="J1823">
        <v>4284.3500000000004</v>
      </c>
      <c r="K1823">
        <v>7.0000000000000007E-2</v>
      </c>
      <c r="L1823">
        <v>0.65</v>
      </c>
      <c r="M1823">
        <v>179.97</v>
      </c>
      <c r="N1823">
        <v>139.58699999999999</v>
      </c>
      <c r="O1823" s="1" t="s">
        <v>87</v>
      </c>
      <c r="P1823" s="1" t="s">
        <v>5501</v>
      </c>
      <c r="Q1823" s="1" t="s">
        <v>5502</v>
      </c>
      <c r="R1823" s="1" t="s">
        <v>497</v>
      </c>
      <c r="S1823" s="1" t="s">
        <v>5503</v>
      </c>
      <c r="T1823" s="1" t="s">
        <v>5504</v>
      </c>
      <c r="U1823" s="2" t="s">
        <v>4641</v>
      </c>
      <c r="V1823" s="2" t="s">
        <v>83</v>
      </c>
      <c r="W1823" s="2" t="s">
        <v>298</v>
      </c>
      <c r="X1823" s="2">
        <v>402.43</v>
      </c>
    </row>
    <row r="1824" spans="1:24" x14ac:dyDescent="0.3">
      <c r="A1824">
        <v>19702</v>
      </c>
      <c r="B1824" t="s">
        <v>5500</v>
      </c>
      <c r="C1824" s="3">
        <v>40953</v>
      </c>
      <c r="D1824" t="s">
        <v>39</v>
      </c>
      <c r="E1824">
        <v>11</v>
      </c>
      <c r="F1824" s="3">
        <f ca="1">40954+(RANDBETWEEN(1,10))</f>
        <v>40956</v>
      </c>
      <c r="G1824" t="s">
        <v>26</v>
      </c>
      <c r="H1824" t="s">
        <v>27</v>
      </c>
      <c r="I1824" t="s">
        <v>52</v>
      </c>
      <c r="J1824">
        <v>1180.3399999999999</v>
      </c>
      <c r="K1824">
        <v>0.1</v>
      </c>
      <c r="L1824">
        <v>0.75</v>
      </c>
      <c r="M1824">
        <v>23.52</v>
      </c>
      <c r="N1824">
        <v>104.622</v>
      </c>
      <c r="O1824" s="1" t="s">
        <v>87</v>
      </c>
      <c r="P1824" s="1" t="s">
        <v>5501</v>
      </c>
      <c r="Q1824" s="1" t="s">
        <v>5502</v>
      </c>
      <c r="R1824" s="1" t="s">
        <v>497</v>
      </c>
      <c r="S1824" s="1" t="s">
        <v>5503</v>
      </c>
      <c r="T1824" s="1" t="s">
        <v>5504</v>
      </c>
      <c r="U1824" s="2" t="s">
        <v>1219</v>
      </c>
      <c r="V1824" s="2" t="s">
        <v>47</v>
      </c>
      <c r="W1824" s="2" t="s">
        <v>119</v>
      </c>
      <c r="X1824" s="2">
        <v>111.93</v>
      </c>
    </row>
    <row r="1825" spans="1:24" x14ac:dyDescent="0.3">
      <c r="A1825">
        <v>19703</v>
      </c>
      <c r="B1825" t="s">
        <v>5505</v>
      </c>
      <c r="C1825" s="3">
        <v>41205</v>
      </c>
      <c r="D1825" t="s">
        <v>25</v>
      </c>
      <c r="E1825">
        <v>5</v>
      </c>
      <c r="F1825" s="3">
        <f ca="1">41210+(RANDBETWEEN(1,10))</f>
        <v>41212</v>
      </c>
      <c r="G1825" t="s">
        <v>76</v>
      </c>
      <c r="H1825" t="s">
        <v>77</v>
      </c>
      <c r="I1825" t="s">
        <v>28</v>
      </c>
      <c r="J1825">
        <v>3263.4</v>
      </c>
      <c r="K1825">
        <v>0.1</v>
      </c>
      <c r="L1825">
        <v>0.57999999999999996</v>
      </c>
      <c r="M1825">
        <v>83.16</v>
      </c>
      <c r="N1825">
        <v>488.98919999999998</v>
      </c>
      <c r="O1825" s="1" t="s">
        <v>64</v>
      </c>
      <c r="P1825" s="1" t="s">
        <v>1267</v>
      </c>
      <c r="Q1825" s="1" t="s">
        <v>1268</v>
      </c>
      <c r="R1825" s="1" t="s">
        <v>128</v>
      </c>
      <c r="S1825" s="1" t="s">
        <v>1269</v>
      </c>
      <c r="T1825" s="1" t="s">
        <v>1270</v>
      </c>
      <c r="U1825" s="2" t="s">
        <v>3990</v>
      </c>
      <c r="V1825" s="2" t="s">
        <v>83</v>
      </c>
      <c r="W1825" s="2" t="s">
        <v>84</v>
      </c>
      <c r="X1825" s="2">
        <v>703.43</v>
      </c>
    </row>
    <row r="1826" spans="1:24" x14ac:dyDescent="0.3">
      <c r="A1826">
        <v>19704</v>
      </c>
      <c r="B1826" t="s">
        <v>5505</v>
      </c>
      <c r="C1826" s="3">
        <v>41205</v>
      </c>
      <c r="D1826" t="s">
        <v>25</v>
      </c>
      <c r="E1826">
        <v>2</v>
      </c>
      <c r="F1826" s="3">
        <f ca="1">41209+(RANDBETWEEN(1,10))</f>
        <v>41218</v>
      </c>
      <c r="G1826" t="s">
        <v>156</v>
      </c>
      <c r="H1826" t="s">
        <v>96</v>
      </c>
      <c r="I1826" t="s">
        <v>28</v>
      </c>
      <c r="J1826">
        <v>36.049999999999997</v>
      </c>
      <c r="K1826">
        <v>0.02</v>
      </c>
      <c r="L1826">
        <v>0.51</v>
      </c>
      <c r="M1826">
        <v>2.9049999999999998</v>
      </c>
      <c r="N1826">
        <v>3.8317999999999999</v>
      </c>
      <c r="O1826" s="1" t="s">
        <v>64</v>
      </c>
      <c r="P1826" s="1" t="s">
        <v>1267</v>
      </c>
      <c r="Q1826" s="1" t="s">
        <v>1268</v>
      </c>
      <c r="R1826" s="1" t="s">
        <v>128</v>
      </c>
      <c r="S1826" s="1" t="s">
        <v>1269</v>
      </c>
      <c r="T1826" s="1" t="s">
        <v>1270</v>
      </c>
      <c r="U1826" s="2" t="s">
        <v>4777</v>
      </c>
      <c r="V1826" s="2" t="s">
        <v>47</v>
      </c>
      <c r="W1826" s="2" t="s">
        <v>104</v>
      </c>
      <c r="X1826" s="2">
        <v>13.93</v>
      </c>
    </row>
    <row r="1827" spans="1:24" x14ac:dyDescent="0.3">
      <c r="A1827">
        <v>19705</v>
      </c>
      <c r="B1827" t="s">
        <v>5505</v>
      </c>
      <c r="C1827" s="3">
        <v>41205</v>
      </c>
      <c r="D1827" t="s">
        <v>25</v>
      </c>
      <c r="E1827">
        <v>9</v>
      </c>
      <c r="F1827" s="3">
        <f ca="1">41210+(RANDBETWEEN(1,10))</f>
        <v>41220</v>
      </c>
      <c r="G1827" t="s">
        <v>26</v>
      </c>
      <c r="H1827" t="s">
        <v>27</v>
      </c>
      <c r="I1827" t="s">
        <v>28</v>
      </c>
      <c r="J1827">
        <v>467.11</v>
      </c>
      <c r="K1827">
        <v>0.06</v>
      </c>
      <c r="L1827">
        <v>0.57999999999999996</v>
      </c>
      <c r="M1827">
        <v>12.25</v>
      </c>
      <c r="N1827">
        <v>82.657399999999996</v>
      </c>
      <c r="O1827" s="1" t="s">
        <v>40</v>
      </c>
      <c r="P1827" s="1" t="s">
        <v>5506</v>
      </c>
      <c r="Q1827" s="1" t="s">
        <v>5507</v>
      </c>
      <c r="R1827" s="1" t="s">
        <v>220</v>
      </c>
      <c r="S1827" s="1" t="s">
        <v>5508</v>
      </c>
      <c r="T1827" s="1" t="s">
        <v>5509</v>
      </c>
      <c r="U1827" s="2" t="s">
        <v>2871</v>
      </c>
      <c r="V1827" s="2" t="s">
        <v>47</v>
      </c>
      <c r="W1827" s="2" t="s">
        <v>71</v>
      </c>
      <c r="X1827" s="2">
        <v>50.96</v>
      </c>
    </row>
    <row r="1828" spans="1:24" x14ac:dyDescent="0.3">
      <c r="A1828">
        <v>19706</v>
      </c>
      <c r="B1828" t="s">
        <v>5505</v>
      </c>
      <c r="C1828" s="3">
        <v>41205</v>
      </c>
      <c r="D1828" t="s">
        <v>25</v>
      </c>
      <c r="E1828">
        <v>10</v>
      </c>
      <c r="F1828" s="3">
        <f ca="1">41212+(RANDBETWEEN(1,10))</f>
        <v>41222</v>
      </c>
      <c r="G1828" t="s">
        <v>26</v>
      </c>
      <c r="H1828" t="s">
        <v>27</v>
      </c>
      <c r="I1828" t="s">
        <v>28</v>
      </c>
      <c r="J1828">
        <v>330.75</v>
      </c>
      <c r="K1828">
        <v>0</v>
      </c>
      <c r="L1828">
        <v>0.38</v>
      </c>
      <c r="M1828">
        <v>29.015000000000001</v>
      </c>
      <c r="N1828">
        <v>-253.97819999999999</v>
      </c>
      <c r="O1828" s="1" t="s">
        <v>40</v>
      </c>
      <c r="P1828" s="1" t="s">
        <v>5506</v>
      </c>
      <c r="Q1828" s="1" t="s">
        <v>5507</v>
      </c>
      <c r="R1828" s="1" t="s">
        <v>220</v>
      </c>
      <c r="S1828" s="1" t="s">
        <v>5508</v>
      </c>
      <c r="T1828" s="1" t="s">
        <v>5509</v>
      </c>
      <c r="U1828" s="2" t="s">
        <v>1682</v>
      </c>
      <c r="V1828" s="2" t="s">
        <v>47</v>
      </c>
      <c r="W1828" s="2" t="s">
        <v>48</v>
      </c>
      <c r="X1828" s="2">
        <v>30.59</v>
      </c>
    </row>
    <row r="1829" spans="1:24" x14ac:dyDescent="0.3">
      <c r="A1829">
        <v>19707</v>
      </c>
      <c r="B1829" t="s">
        <v>5505</v>
      </c>
      <c r="C1829" s="3">
        <v>41205</v>
      </c>
      <c r="D1829" t="s">
        <v>25</v>
      </c>
      <c r="E1829">
        <v>7</v>
      </c>
      <c r="F1829" s="3">
        <f ca="1">41210+(RANDBETWEEN(1,10))</f>
        <v>41218</v>
      </c>
      <c r="G1829" t="s">
        <v>26</v>
      </c>
      <c r="H1829" t="s">
        <v>27</v>
      </c>
      <c r="I1829" t="s">
        <v>28</v>
      </c>
      <c r="J1829">
        <v>4486.0550000000003</v>
      </c>
      <c r="K1829">
        <v>0.03</v>
      </c>
      <c r="L1829">
        <v>0.55000000000000004</v>
      </c>
      <c r="M1829">
        <v>69.965000000000003</v>
      </c>
      <c r="N1829">
        <v>1988.028</v>
      </c>
      <c r="O1829" s="1" t="s">
        <v>40</v>
      </c>
      <c r="P1829" s="1" t="s">
        <v>5506</v>
      </c>
      <c r="Q1829" s="1" t="s">
        <v>5507</v>
      </c>
      <c r="R1829" s="1" t="s">
        <v>220</v>
      </c>
      <c r="S1829" s="1" t="s">
        <v>5508</v>
      </c>
      <c r="T1829" s="1" t="s">
        <v>5509</v>
      </c>
      <c r="U1829" s="2" t="s">
        <v>721</v>
      </c>
      <c r="V1829" s="2" t="s">
        <v>47</v>
      </c>
      <c r="W1829" s="2" t="s">
        <v>119</v>
      </c>
      <c r="X1829" s="2">
        <v>624.64499999999998</v>
      </c>
    </row>
    <row r="1830" spans="1:24" x14ac:dyDescent="0.3">
      <c r="A1830">
        <v>19708</v>
      </c>
      <c r="B1830" t="s">
        <v>5510</v>
      </c>
      <c r="C1830" s="3">
        <v>41618</v>
      </c>
      <c r="D1830" t="s">
        <v>25</v>
      </c>
      <c r="E1830">
        <v>23</v>
      </c>
      <c r="F1830" s="3">
        <f ca="1">41623+(RANDBETWEEN(1,10))</f>
        <v>41632</v>
      </c>
      <c r="G1830" t="s">
        <v>76</v>
      </c>
      <c r="H1830" t="s">
        <v>258</v>
      </c>
      <c r="I1830" t="s">
        <v>97</v>
      </c>
      <c r="J1830">
        <v>2169.79</v>
      </c>
      <c r="K1830">
        <v>0.02</v>
      </c>
      <c r="L1830">
        <v>0.65</v>
      </c>
      <c r="M1830">
        <v>159.285</v>
      </c>
      <c r="N1830">
        <v>-2556.3474999999999</v>
      </c>
      <c r="O1830" s="1" t="s">
        <v>225</v>
      </c>
      <c r="P1830" s="1" t="s">
        <v>4464</v>
      </c>
      <c r="Q1830" s="1" t="s">
        <v>4465</v>
      </c>
      <c r="R1830" s="1" t="s">
        <v>391</v>
      </c>
      <c r="S1830" s="1" t="s">
        <v>4466</v>
      </c>
      <c r="T1830" s="1" t="s">
        <v>4467</v>
      </c>
      <c r="U1830" s="2" t="s">
        <v>1566</v>
      </c>
      <c r="V1830" s="2" t="s">
        <v>83</v>
      </c>
      <c r="W1830" s="2" t="s">
        <v>263</v>
      </c>
      <c r="X1830" s="2">
        <v>111.16</v>
      </c>
    </row>
    <row r="1831" spans="1:24" x14ac:dyDescent="0.3">
      <c r="A1831">
        <v>19709</v>
      </c>
      <c r="B1831" t="s">
        <v>5511</v>
      </c>
      <c r="C1831" s="3">
        <v>41461</v>
      </c>
      <c r="D1831" t="s">
        <v>39</v>
      </c>
      <c r="E1831">
        <v>4</v>
      </c>
      <c r="F1831" s="3">
        <f ca="1">41461+(RANDBETWEEN(1,10))</f>
        <v>41467</v>
      </c>
      <c r="G1831" t="s">
        <v>26</v>
      </c>
      <c r="H1831" t="s">
        <v>27</v>
      </c>
      <c r="I1831" t="s">
        <v>28</v>
      </c>
      <c r="J1831">
        <v>601.58000000000004</v>
      </c>
      <c r="K1831">
        <v>0</v>
      </c>
      <c r="L1831">
        <v>0.56000000000000005</v>
      </c>
      <c r="M1831">
        <v>13.965</v>
      </c>
      <c r="N1831">
        <v>415.09019999999998</v>
      </c>
      <c r="O1831" s="1" t="s">
        <v>87</v>
      </c>
      <c r="P1831" s="1" t="s">
        <v>5512</v>
      </c>
      <c r="Q1831" s="1" t="s">
        <v>5513</v>
      </c>
      <c r="R1831" s="1" t="s">
        <v>90</v>
      </c>
      <c r="S1831" s="1" t="s">
        <v>5514</v>
      </c>
      <c r="T1831" s="1" t="s">
        <v>5515</v>
      </c>
      <c r="U1831" s="2" t="s">
        <v>5516</v>
      </c>
      <c r="V1831" s="2" t="s">
        <v>47</v>
      </c>
      <c r="W1831" s="2" t="s">
        <v>71</v>
      </c>
      <c r="X1831" s="2">
        <v>138.18</v>
      </c>
    </row>
    <row r="1832" spans="1:24" x14ac:dyDescent="0.3">
      <c r="A1832">
        <v>19710</v>
      </c>
      <c r="B1832" t="s">
        <v>5517</v>
      </c>
      <c r="C1832" s="3">
        <v>41632</v>
      </c>
      <c r="D1832" t="s">
        <v>25</v>
      </c>
      <c r="E1832">
        <v>13</v>
      </c>
      <c r="F1832" s="3">
        <f ca="1">41636+(RANDBETWEEN(1,10))</f>
        <v>41640</v>
      </c>
      <c r="G1832" t="s">
        <v>26</v>
      </c>
      <c r="H1832" t="s">
        <v>281</v>
      </c>
      <c r="I1832" t="s">
        <v>28</v>
      </c>
      <c r="J1832">
        <v>5495.3149999999996</v>
      </c>
      <c r="K1832">
        <v>0.04</v>
      </c>
      <c r="L1832">
        <v>0.36</v>
      </c>
      <c r="M1832">
        <v>24.885000000000002</v>
      </c>
      <c r="N1832">
        <v>3791.7673500000001</v>
      </c>
      <c r="O1832" s="1" t="s">
        <v>225</v>
      </c>
      <c r="P1832" s="1" t="s">
        <v>5298</v>
      </c>
      <c r="Q1832" s="1" t="s">
        <v>5299</v>
      </c>
      <c r="R1832" s="1" t="s">
        <v>228</v>
      </c>
      <c r="S1832" s="1" t="s">
        <v>5300</v>
      </c>
      <c r="T1832" s="1" t="s">
        <v>5301</v>
      </c>
      <c r="U1832" s="2" t="s">
        <v>2811</v>
      </c>
      <c r="V1832" s="2" t="s">
        <v>36</v>
      </c>
      <c r="W1832" s="2" t="s">
        <v>142</v>
      </c>
      <c r="X1832" s="2">
        <v>423.39499999999998</v>
      </c>
    </row>
    <row r="1833" spans="1:24" x14ac:dyDescent="0.3">
      <c r="A1833">
        <v>19711</v>
      </c>
      <c r="B1833" t="s">
        <v>5518</v>
      </c>
      <c r="C1833" s="3">
        <v>41792</v>
      </c>
      <c r="D1833" t="s">
        <v>50</v>
      </c>
      <c r="E1833">
        <v>12</v>
      </c>
      <c r="F1833" s="3">
        <f ca="1">41792+(RANDBETWEEN(1,10))</f>
        <v>41798</v>
      </c>
      <c r="G1833" t="s">
        <v>26</v>
      </c>
      <c r="H1833" t="s">
        <v>27</v>
      </c>
      <c r="I1833" t="s">
        <v>52</v>
      </c>
      <c r="J1833">
        <v>1081.8150000000001</v>
      </c>
      <c r="K1833">
        <v>0.1</v>
      </c>
      <c r="L1833">
        <v>0.75</v>
      </c>
      <c r="M1833">
        <v>20.614999999999998</v>
      </c>
      <c r="N1833">
        <v>-356.24400000000003</v>
      </c>
      <c r="O1833" s="1" t="s">
        <v>87</v>
      </c>
      <c r="P1833" s="1" t="s">
        <v>4409</v>
      </c>
      <c r="Q1833" s="1" t="s">
        <v>4410</v>
      </c>
      <c r="R1833" s="1" t="s">
        <v>398</v>
      </c>
      <c r="S1833" s="1" t="s">
        <v>4411</v>
      </c>
      <c r="T1833" s="1" t="s">
        <v>4412</v>
      </c>
      <c r="U1833" s="2" t="s">
        <v>4016</v>
      </c>
      <c r="V1833" s="2" t="s">
        <v>36</v>
      </c>
      <c r="W1833" s="2" t="s">
        <v>60</v>
      </c>
      <c r="X1833" s="2">
        <v>92.084999999999994</v>
      </c>
    </row>
    <row r="1834" spans="1:24" x14ac:dyDescent="0.3">
      <c r="A1834">
        <v>19712</v>
      </c>
      <c r="B1834" t="s">
        <v>5519</v>
      </c>
      <c r="C1834" s="3">
        <v>41443</v>
      </c>
      <c r="D1834" t="s">
        <v>39</v>
      </c>
      <c r="E1834">
        <v>13</v>
      </c>
      <c r="F1834" s="3">
        <f ca="1">41444+(RANDBETWEEN(1,10))</f>
        <v>41450</v>
      </c>
      <c r="G1834" t="s">
        <v>26</v>
      </c>
      <c r="H1834" t="s">
        <v>27</v>
      </c>
      <c r="I1834" t="s">
        <v>97</v>
      </c>
      <c r="J1834">
        <v>415.625</v>
      </c>
      <c r="K1834">
        <v>0</v>
      </c>
      <c r="L1834">
        <v>0.38</v>
      </c>
      <c r="M1834">
        <v>4.8650000000000002</v>
      </c>
      <c r="N1834">
        <v>286.78125</v>
      </c>
      <c r="O1834" s="1" t="s">
        <v>29</v>
      </c>
      <c r="P1834" s="1" t="s">
        <v>5215</v>
      </c>
      <c r="Q1834" s="1" t="s">
        <v>5216</v>
      </c>
      <c r="R1834" s="1" t="s">
        <v>32</v>
      </c>
      <c r="S1834" s="1" t="s">
        <v>5217</v>
      </c>
      <c r="T1834" s="1" t="s">
        <v>5218</v>
      </c>
      <c r="U1834" s="2" t="s">
        <v>1682</v>
      </c>
      <c r="V1834" s="2" t="s">
        <v>47</v>
      </c>
      <c r="W1834" s="2" t="s">
        <v>48</v>
      </c>
      <c r="X1834" s="2">
        <v>30.59</v>
      </c>
    </row>
    <row r="1835" spans="1:24" x14ac:dyDescent="0.3">
      <c r="A1835">
        <v>19713</v>
      </c>
      <c r="B1835" t="s">
        <v>5520</v>
      </c>
      <c r="C1835" s="3">
        <v>41628</v>
      </c>
      <c r="D1835" t="s">
        <v>62</v>
      </c>
      <c r="E1835">
        <v>18</v>
      </c>
      <c r="F1835" s="3">
        <f ca="1">41630+(RANDBETWEEN(1,10))</f>
        <v>41638</v>
      </c>
      <c r="G1835" t="s">
        <v>76</v>
      </c>
      <c r="H1835" t="s">
        <v>258</v>
      </c>
      <c r="I1835" t="s">
        <v>28</v>
      </c>
      <c r="J1835">
        <v>970.58500000000004</v>
      </c>
      <c r="K1835">
        <v>0.05</v>
      </c>
      <c r="L1835">
        <v>0.76</v>
      </c>
      <c r="M1835">
        <v>97.125</v>
      </c>
      <c r="N1835">
        <v>61.1674875</v>
      </c>
      <c r="O1835" s="1" t="s">
        <v>53</v>
      </c>
      <c r="P1835" s="1" t="s">
        <v>5521</v>
      </c>
      <c r="Q1835" s="1" t="s">
        <v>5522</v>
      </c>
      <c r="R1835" s="1" t="s">
        <v>100</v>
      </c>
      <c r="S1835" s="1" t="s">
        <v>3040</v>
      </c>
      <c r="T1835" s="1" t="s">
        <v>3041</v>
      </c>
      <c r="U1835" s="2" t="s">
        <v>365</v>
      </c>
      <c r="V1835" s="2" t="s">
        <v>83</v>
      </c>
      <c r="W1835" s="2" t="s">
        <v>263</v>
      </c>
      <c r="X1835" s="2">
        <v>53.305</v>
      </c>
    </row>
    <row r="1836" spans="1:24" x14ac:dyDescent="0.3">
      <c r="A1836">
        <v>19714</v>
      </c>
      <c r="B1836" t="s">
        <v>5523</v>
      </c>
      <c r="C1836" s="3">
        <v>41405</v>
      </c>
      <c r="D1836" t="s">
        <v>62</v>
      </c>
      <c r="E1836">
        <v>14</v>
      </c>
      <c r="F1836" s="3">
        <f ca="1">41407+(RANDBETWEEN(1,10))</f>
        <v>41416</v>
      </c>
      <c r="G1836" t="s">
        <v>156</v>
      </c>
      <c r="H1836" t="s">
        <v>281</v>
      </c>
      <c r="I1836" t="s">
        <v>86</v>
      </c>
      <c r="J1836">
        <v>4677.9949999999999</v>
      </c>
      <c r="K1836">
        <v>0.03</v>
      </c>
      <c r="L1836">
        <v>0.67</v>
      </c>
      <c r="M1836">
        <v>138.63499999999999</v>
      </c>
      <c r="N1836">
        <v>-1393.385</v>
      </c>
      <c r="O1836" s="1" t="s">
        <v>29</v>
      </c>
      <c r="P1836" s="1" t="s">
        <v>5211</v>
      </c>
      <c r="Q1836" s="1" t="s">
        <v>5212</v>
      </c>
      <c r="R1836" s="1" t="s">
        <v>32</v>
      </c>
      <c r="S1836" s="1" t="s">
        <v>1045</v>
      </c>
      <c r="T1836" s="1" t="s">
        <v>1046</v>
      </c>
      <c r="U1836" s="2" t="s">
        <v>3390</v>
      </c>
      <c r="V1836" s="2" t="s">
        <v>83</v>
      </c>
      <c r="W1836" s="2" t="s">
        <v>178</v>
      </c>
      <c r="X1836" s="2">
        <v>322.80500000000001</v>
      </c>
    </row>
    <row r="1837" spans="1:24" x14ac:dyDescent="0.3">
      <c r="A1837">
        <v>19715</v>
      </c>
      <c r="B1837" t="s">
        <v>5524</v>
      </c>
      <c r="C1837" s="3">
        <v>41366</v>
      </c>
      <c r="D1837" t="s">
        <v>50</v>
      </c>
      <c r="E1837">
        <v>9</v>
      </c>
      <c r="F1837" s="3">
        <f ca="1">41367+(RANDBETWEEN(1,10))</f>
        <v>41372</v>
      </c>
      <c r="G1837" t="s">
        <v>26</v>
      </c>
      <c r="H1837" t="s">
        <v>27</v>
      </c>
      <c r="I1837" t="s">
        <v>28</v>
      </c>
      <c r="J1837">
        <v>505.71499999999997</v>
      </c>
      <c r="K1837">
        <v>0.02</v>
      </c>
      <c r="L1837">
        <v>0.38</v>
      </c>
      <c r="M1837">
        <v>35.454999999999998</v>
      </c>
      <c r="N1837">
        <v>-100.3835</v>
      </c>
      <c r="O1837" s="1" t="s">
        <v>225</v>
      </c>
      <c r="P1837" s="1" t="s">
        <v>5525</v>
      </c>
      <c r="Q1837" s="1" t="s">
        <v>5526</v>
      </c>
      <c r="R1837" s="1" t="s">
        <v>228</v>
      </c>
      <c r="S1837" s="1" t="s">
        <v>5527</v>
      </c>
      <c r="T1837" s="1" t="s">
        <v>2680</v>
      </c>
      <c r="U1837" s="2" t="s">
        <v>5528</v>
      </c>
      <c r="V1837" s="2" t="s">
        <v>47</v>
      </c>
      <c r="W1837" s="2" t="s">
        <v>111</v>
      </c>
      <c r="X1837" s="2">
        <v>53.024999999999999</v>
      </c>
    </row>
    <row r="1838" spans="1:24" x14ac:dyDescent="0.3">
      <c r="A1838">
        <v>19716</v>
      </c>
      <c r="B1838" t="s">
        <v>5524</v>
      </c>
      <c r="C1838" s="3">
        <v>41366</v>
      </c>
      <c r="D1838" t="s">
        <v>50</v>
      </c>
      <c r="E1838">
        <v>1</v>
      </c>
      <c r="F1838" s="3">
        <f ca="1">41368+(RANDBETWEEN(1,10))</f>
        <v>41369</v>
      </c>
      <c r="G1838" t="s">
        <v>26</v>
      </c>
      <c r="H1838" t="s">
        <v>27</v>
      </c>
      <c r="I1838" t="s">
        <v>28</v>
      </c>
      <c r="J1838">
        <v>32.200000000000003</v>
      </c>
      <c r="K1838">
        <v>0</v>
      </c>
      <c r="L1838">
        <v>0.56000000000000005</v>
      </c>
      <c r="M1838">
        <v>18.234999999999999</v>
      </c>
      <c r="N1838">
        <v>22.218</v>
      </c>
      <c r="O1838" s="1" t="s">
        <v>225</v>
      </c>
      <c r="P1838" s="1" t="s">
        <v>5525</v>
      </c>
      <c r="Q1838" s="1" t="s">
        <v>5526</v>
      </c>
      <c r="R1838" s="1" t="s">
        <v>228</v>
      </c>
      <c r="S1838" s="1" t="s">
        <v>5527</v>
      </c>
      <c r="T1838" s="1" t="s">
        <v>2680</v>
      </c>
      <c r="U1838" s="2" t="s">
        <v>256</v>
      </c>
      <c r="V1838" s="2" t="s">
        <v>83</v>
      </c>
      <c r="W1838" s="2" t="s">
        <v>178</v>
      </c>
      <c r="X1838" s="2">
        <v>25.83</v>
      </c>
    </row>
    <row r="1839" spans="1:24" x14ac:dyDescent="0.3">
      <c r="A1839">
        <v>19717</v>
      </c>
      <c r="B1839" t="s">
        <v>5529</v>
      </c>
      <c r="C1839" s="3">
        <v>41307</v>
      </c>
      <c r="D1839" t="s">
        <v>62</v>
      </c>
      <c r="E1839">
        <v>1</v>
      </c>
      <c r="F1839" s="3">
        <f ca="1">41309+(RANDBETWEEN(1,10))</f>
        <v>41314</v>
      </c>
      <c r="G1839" t="s">
        <v>26</v>
      </c>
      <c r="H1839" t="s">
        <v>27</v>
      </c>
      <c r="I1839" t="s">
        <v>86</v>
      </c>
      <c r="J1839">
        <v>108.36</v>
      </c>
      <c r="K1839">
        <v>0.05</v>
      </c>
      <c r="L1839">
        <v>0.54</v>
      </c>
      <c r="M1839">
        <v>202.54499999999999</v>
      </c>
      <c r="N1839">
        <v>-1.2949999999999999</v>
      </c>
      <c r="O1839" s="1" t="s">
        <v>87</v>
      </c>
      <c r="P1839" s="1" t="s">
        <v>5530</v>
      </c>
      <c r="Q1839" s="1" t="s">
        <v>5531</v>
      </c>
      <c r="R1839" s="1" t="s">
        <v>90</v>
      </c>
      <c r="S1839" s="1" t="s">
        <v>1330</v>
      </c>
      <c r="T1839" s="1" t="s">
        <v>1331</v>
      </c>
      <c r="U1839" s="2" t="s">
        <v>5532</v>
      </c>
      <c r="V1839" s="2" t="s">
        <v>83</v>
      </c>
      <c r="W1839" s="2" t="s">
        <v>178</v>
      </c>
      <c r="X1839" s="2">
        <v>102.69</v>
      </c>
    </row>
    <row r="1840" spans="1:24" x14ac:dyDescent="0.3">
      <c r="A1840">
        <v>19718</v>
      </c>
      <c r="B1840" t="s">
        <v>5533</v>
      </c>
      <c r="C1840" s="3">
        <v>41721</v>
      </c>
      <c r="D1840" t="s">
        <v>148</v>
      </c>
      <c r="E1840">
        <v>1</v>
      </c>
      <c r="F1840" s="3">
        <f ca="1">41722+(RANDBETWEEN(1,10))</f>
        <v>41729</v>
      </c>
      <c r="G1840" t="s">
        <v>26</v>
      </c>
      <c r="H1840" t="s">
        <v>27</v>
      </c>
      <c r="I1840" t="s">
        <v>28</v>
      </c>
      <c r="J1840">
        <v>25.795000000000002</v>
      </c>
      <c r="K1840">
        <v>7.0000000000000007E-2</v>
      </c>
      <c r="L1840">
        <v>0.39</v>
      </c>
      <c r="M1840">
        <v>29.715</v>
      </c>
      <c r="N1840">
        <v>-114.87350000000001</v>
      </c>
      <c r="O1840" s="1" t="s">
        <v>40</v>
      </c>
      <c r="P1840" s="1" t="s">
        <v>5534</v>
      </c>
      <c r="Q1840" s="1" t="s">
        <v>5535</v>
      </c>
      <c r="R1840" s="1" t="s">
        <v>220</v>
      </c>
      <c r="S1840" s="1" t="s">
        <v>5536</v>
      </c>
      <c r="T1840" s="1" t="s">
        <v>5537</v>
      </c>
      <c r="U1840" s="2" t="s">
        <v>3658</v>
      </c>
      <c r="V1840" s="2" t="s">
        <v>47</v>
      </c>
      <c r="W1840" s="2" t="s">
        <v>111</v>
      </c>
      <c r="X1840" s="2">
        <v>20.335000000000001</v>
      </c>
    </row>
    <row r="1841" spans="1:24" x14ac:dyDescent="0.3">
      <c r="A1841">
        <v>19719</v>
      </c>
      <c r="B1841" t="s">
        <v>5538</v>
      </c>
      <c r="C1841" s="3">
        <v>41422</v>
      </c>
      <c r="D1841" t="s">
        <v>50</v>
      </c>
      <c r="E1841">
        <v>14</v>
      </c>
      <c r="F1841" s="3">
        <f ca="1">41423+(RANDBETWEEN(1,10))</f>
        <v>41427</v>
      </c>
      <c r="G1841" t="s">
        <v>26</v>
      </c>
      <c r="H1841" t="s">
        <v>27</v>
      </c>
      <c r="I1841" t="s">
        <v>28</v>
      </c>
      <c r="J1841">
        <v>285.18</v>
      </c>
      <c r="K1841">
        <v>0.03</v>
      </c>
      <c r="L1841">
        <v>0.36</v>
      </c>
      <c r="M1841">
        <v>19.844999999999999</v>
      </c>
      <c r="N1841">
        <v>62.328000000000003</v>
      </c>
      <c r="O1841" s="1" t="s">
        <v>29</v>
      </c>
      <c r="P1841" s="1" t="s">
        <v>2416</v>
      </c>
      <c r="Q1841" s="1" t="s">
        <v>2417</v>
      </c>
      <c r="R1841" s="1" t="s">
        <v>32</v>
      </c>
      <c r="S1841" s="1" t="s">
        <v>2418</v>
      </c>
      <c r="T1841" s="1" t="s">
        <v>2419</v>
      </c>
      <c r="U1841" s="2" t="s">
        <v>1621</v>
      </c>
      <c r="V1841" s="2" t="s">
        <v>47</v>
      </c>
      <c r="W1841" s="2" t="s">
        <v>74</v>
      </c>
      <c r="X1841" s="2">
        <v>20.23</v>
      </c>
    </row>
    <row r="1842" spans="1:24" x14ac:dyDescent="0.3">
      <c r="A1842">
        <v>19720</v>
      </c>
      <c r="B1842" t="s">
        <v>5538</v>
      </c>
      <c r="C1842" s="3">
        <v>41422</v>
      </c>
      <c r="D1842" t="s">
        <v>50</v>
      </c>
      <c r="E1842">
        <v>5</v>
      </c>
      <c r="F1842" s="3">
        <f ca="1">41423+(RANDBETWEEN(1,10))</f>
        <v>41426</v>
      </c>
      <c r="G1842" t="s">
        <v>26</v>
      </c>
      <c r="H1842" t="s">
        <v>27</v>
      </c>
      <c r="I1842" t="s">
        <v>28</v>
      </c>
      <c r="J1842">
        <v>281.85500000000002</v>
      </c>
      <c r="K1842">
        <v>0</v>
      </c>
      <c r="L1842">
        <v>0.56999999999999995</v>
      </c>
      <c r="M1842">
        <v>26.285</v>
      </c>
      <c r="N1842">
        <v>72.828000000000003</v>
      </c>
      <c r="O1842" s="1" t="s">
        <v>29</v>
      </c>
      <c r="P1842" s="1" t="s">
        <v>2416</v>
      </c>
      <c r="Q1842" s="1" t="s">
        <v>2417</v>
      </c>
      <c r="R1842" s="1" t="s">
        <v>32</v>
      </c>
      <c r="S1842" s="1" t="s">
        <v>2418</v>
      </c>
      <c r="T1842" s="1" t="s">
        <v>2419</v>
      </c>
      <c r="U1842" s="2" t="s">
        <v>5539</v>
      </c>
      <c r="V1842" s="2" t="s">
        <v>47</v>
      </c>
      <c r="W1842" s="2" t="s">
        <v>119</v>
      </c>
      <c r="X1842" s="2">
        <v>52.395000000000003</v>
      </c>
    </row>
    <row r="1843" spans="1:24" x14ac:dyDescent="0.3">
      <c r="A1843">
        <v>19721</v>
      </c>
      <c r="B1843" t="s">
        <v>5538</v>
      </c>
      <c r="C1843" s="3">
        <v>41422</v>
      </c>
      <c r="D1843" t="s">
        <v>50</v>
      </c>
      <c r="E1843">
        <v>18</v>
      </c>
      <c r="F1843" s="3">
        <f ca="1">41424+(RANDBETWEEN(1,10))</f>
        <v>41432</v>
      </c>
      <c r="G1843" t="s">
        <v>26</v>
      </c>
      <c r="H1843" t="s">
        <v>27</v>
      </c>
      <c r="I1843" t="s">
        <v>28</v>
      </c>
      <c r="J1843">
        <v>236.11</v>
      </c>
      <c r="K1843">
        <v>0.08</v>
      </c>
      <c r="L1843">
        <v>0.59</v>
      </c>
      <c r="M1843">
        <v>17.954999999999998</v>
      </c>
      <c r="N1843">
        <v>-584.71</v>
      </c>
      <c r="O1843" s="1" t="s">
        <v>53</v>
      </c>
      <c r="P1843" s="1" t="s">
        <v>5540</v>
      </c>
      <c r="Q1843" s="1" t="s">
        <v>5541</v>
      </c>
      <c r="R1843" s="1" t="s">
        <v>440</v>
      </c>
      <c r="S1843" s="1" t="s">
        <v>4083</v>
      </c>
      <c r="T1843" s="1" t="s">
        <v>3397</v>
      </c>
      <c r="U1843" s="2" t="s">
        <v>1645</v>
      </c>
      <c r="V1843" s="2" t="s">
        <v>47</v>
      </c>
      <c r="W1843" s="2" t="s">
        <v>71</v>
      </c>
      <c r="X1843" s="2">
        <v>13.824999999999999</v>
      </c>
    </row>
    <row r="1844" spans="1:24" x14ac:dyDescent="0.3">
      <c r="A1844">
        <v>19722</v>
      </c>
      <c r="B1844" t="s">
        <v>5542</v>
      </c>
      <c r="C1844" s="3">
        <v>41930</v>
      </c>
      <c r="D1844" t="s">
        <v>62</v>
      </c>
      <c r="E1844">
        <v>20</v>
      </c>
      <c r="F1844" s="3">
        <f ca="1">41933+(RANDBETWEEN(1,10))</f>
        <v>41939</v>
      </c>
      <c r="G1844" t="s">
        <v>26</v>
      </c>
      <c r="H1844" t="s">
        <v>27</v>
      </c>
      <c r="I1844" t="s">
        <v>52</v>
      </c>
      <c r="J1844">
        <v>436.24</v>
      </c>
      <c r="K1844">
        <v>0.02</v>
      </c>
      <c r="L1844">
        <v>0.4</v>
      </c>
      <c r="M1844">
        <v>18.725000000000001</v>
      </c>
      <c r="N1844">
        <v>-247.97499999999999</v>
      </c>
      <c r="O1844" s="1" t="s">
        <v>29</v>
      </c>
      <c r="P1844" s="1" t="s">
        <v>2085</v>
      </c>
      <c r="Q1844" s="1" t="s">
        <v>2086</v>
      </c>
      <c r="R1844" s="1" t="s">
        <v>32</v>
      </c>
      <c r="S1844" s="1" t="s">
        <v>2087</v>
      </c>
      <c r="T1844" s="1" t="s">
        <v>2088</v>
      </c>
      <c r="U1844" s="2" t="s">
        <v>2740</v>
      </c>
      <c r="V1844" s="2" t="s">
        <v>47</v>
      </c>
      <c r="W1844" s="2" t="s">
        <v>74</v>
      </c>
      <c r="X1844" s="2">
        <v>20.93</v>
      </c>
    </row>
    <row r="1845" spans="1:24" x14ac:dyDescent="0.3">
      <c r="A1845">
        <v>19723</v>
      </c>
      <c r="B1845" t="s">
        <v>5543</v>
      </c>
      <c r="C1845" s="3">
        <v>40759</v>
      </c>
      <c r="D1845" t="s">
        <v>148</v>
      </c>
      <c r="E1845">
        <v>15</v>
      </c>
      <c r="F1845" s="3">
        <f ca="1">40761+(RANDBETWEEN(1,10))</f>
        <v>40765</v>
      </c>
      <c r="G1845" t="s">
        <v>26</v>
      </c>
      <c r="H1845" t="s">
        <v>27</v>
      </c>
      <c r="I1845" t="s">
        <v>28</v>
      </c>
      <c r="J1845">
        <v>3953.8449999999998</v>
      </c>
      <c r="K1845">
        <v>7.0000000000000007E-2</v>
      </c>
      <c r="L1845">
        <v>0.48</v>
      </c>
      <c r="M1845">
        <v>25.13</v>
      </c>
      <c r="N1845">
        <v>2728.1530499999999</v>
      </c>
      <c r="O1845" s="1" t="s">
        <v>53</v>
      </c>
      <c r="P1845" s="1" t="s">
        <v>5544</v>
      </c>
      <c r="Q1845" s="1" t="s">
        <v>5545</v>
      </c>
      <c r="R1845" s="1" t="s">
        <v>56</v>
      </c>
      <c r="S1845" s="1" t="s">
        <v>5546</v>
      </c>
      <c r="T1845" s="1" t="s">
        <v>5547</v>
      </c>
      <c r="U1845" s="2" t="s">
        <v>5548</v>
      </c>
      <c r="V1845" s="2" t="s">
        <v>36</v>
      </c>
      <c r="W1845" s="2" t="s">
        <v>60</v>
      </c>
      <c r="X1845" s="2">
        <v>283.43</v>
      </c>
    </row>
    <row r="1846" spans="1:24" x14ac:dyDescent="0.3">
      <c r="A1846">
        <v>19724</v>
      </c>
      <c r="B1846" t="s">
        <v>5549</v>
      </c>
      <c r="C1846" s="3">
        <v>41855</v>
      </c>
      <c r="D1846" t="s">
        <v>148</v>
      </c>
      <c r="E1846">
        <v>8</v>
      </c>
      <c r="F1846" s="3">
        <f ca="1">41856+(RANDBETWEEN(1,10))</f>
        <v>41865</v>
      </c>
      <c r="G1846" t="s">
        <v>26</v>
      </c>
      <c r="H1846" t="s">
        <v>27</v>
      </c>
      <c r="I1846" t="s">
        <v>28</v>
      </c>
      <c r="J1846">
        <v>330.82</v>
      </c>
      <c r="K1846">
        <v>0.08</v>
      </c>
      <c r="L1846">
        <v>0.56999999999999995</v>
      </c>
      <c r="M1846">
        <v>30.1</v>
      </c>
      <c r="N1846">
        <v>-110.95868</v>
      </c>
      <c r="O1846" s="1" t="s">
        <v>53</v>
      </c>
      <c r="P1846" s="1" t="s">
        <v>5544</v>
      </c>
      <c r="Q1846" s="1" t="s">
        <v>5545</v>
      </c>
      <c r="R1846" s="1" t="s">
        <v>56</v>
      </c>
      <c r="S1846" s="1" t="s">
        <v>5546</v>
      </c>
      <c r="T1846" s="1" t="s">
        <v>5547</v>
      </c>
      <c r="U1846" s="2" t="s">
        <v>5550</v>
      </c>
      <c r="V1846" s="2" t="s">
        <v>47</v>
      </c>
      <c r="W1846" s="2" t="s">
        <v>119</v>
      </c>
      <c r="X1846" s="2">
        <v>39.725000000000001</v>
      </c>
    </row>
    <row r="1847" spans="1:24" x14ac:dyDescent="0.3">
      <c r="A1847">
        <v>19725</v>
      </c>
      <c r="B1847" t="s">
        <v>5551</v>
      </c>
      <c r="C1847" s="3">
        <v>41206</v>
      </c>
      <c r="D1847" t="s">
        <v>62</v>
      </c>
      <c r="E1847">
        <v>9</v>
      </c>
      <c r="F1847" s="3">
        <f ca="1">41208+(RANDBETWEEN(1,10))</f>
        <v>41211</v>
      </c>
      <c r="G1847" t="s">
        <v>26</v>
      </c>
      <c r="H1847" t="s">
        <v>96</v>
      </c>
      <c r="I1847" t="s">
        <v>28</v>
      </c>
      <c r="J1847">
        <v>228.51499999999999</v>
      </c>
      <c r="K1847">
        <v>0.06</v>
      </c>
      <c r="L1847">
        <v>0.4</v>
      </c>
      <c r="M1847">
        <v>5.9850000000000003</v>
      </c>
      <c r="N1847">
        <v>110.4782</v>
      </c>
      <c r="O1847" s="1" t="s">
        <v>87</v>
      </c>
      <c r="P1847" s="1" t="s">
        <v>5552</v>
      </c>
      <c r="Q1847" s="1" t="s">
        <v>5553</v>
      </c>
      <c r="R1847" s="1" t="s">
        <v>497</v>
      </c>
      <c r="S1847" s="1" t="s">
        <v>5554</v>
      </c>
      <c r="T1847" s="1" t="s">
        <v>5555</v>
      </c>
      <c r="U1847" s="2" t="s">
        <v>5167</v>
      </c>
      <c r="V1847" s="2" t="s">
        <v>47</v>
      </c>
      <c r="W1847" s="2" t="s">
        <v>74</v>
      </c>
      <c r="X1847" s="2">
        <v>25.9</v>
      </c>
    </row>
    <row r="1848" spans="1:24" x14ac:dyDescent="0.3">
      <c r="A1848">
        <v>19726</v>
      </c>
      <c r="B1848" t="s">
        <v>5556</v>
      </c>
      <c r="C1848" s="3">
        <v>41688</v>
      </c>
      <c r="D1848" t="s">
        <v>50</v>
      </c>
      <c r="E1848">
        <v>10</v>
      </c>
      <c r="F1848" s="3">
        <f ca="1">41690+(RANDBETWEEN(1,10))</f>
        <v>41697</v>
      </c>
      <c r="G1848" t="s">
        <v>26</v>
      </c>
      <c r="H1848" t="s">
        <v>281</v>
      </c>
      <c r="I1848" t="s">
        <v>97</v>
      </c>
      <c r="J1848">
        <v>275.41500000000002</v>
      </c>
      <c r="K1848">
        <v>0.09</v>
      </c>
      <c r="L1848">
        <v>0.59</v>
      </c>
      <c r="M1848">
        <v>22.75</v>
      </c>
      <c r="N1848">
        <v>-500.01</v>
      </c>
      <c r="O1848" s="1" t="s">
        <v>225</v>
      </c>
      <c r="P1848" s="1" t="s">
        <v>2677</v>
      </c>
      <c r="Q1848" s="1" t="s">
        <v>2678</v>
      </c>
      <c r="R1848" s="1" t="s">
        <v>228</v>
      </c>
      <c r="S1848" s="1" t="s">
        <v>2679</v>
      </c>
      <c r="T1848" s="1" t="s">
        <v>2680</v>
      </c>
      <c r="U1848" s="2" t="s">
        <v>2913</v>
      </c>
      <c r="V1848" s="2" t="s">
        <v>47</v>
      </c>
      <c r="W1848" s="2" t="s">
        <v>119</v>
      </c>
      <c r="X1848" s="2">
        <v>27.93</v>
      </c>
    </row>
    <row r="1849" spans="1:24" x14ac:dyDescent="0.3">
      <c r="A1849">
        <v>19727</v>
      </c>
      <c r="B1849" t="s">
        <v>5557</v>
      </c>
      <c r="C1849" s="3">
        <v>41562</v>
      </c>
      <c r="D1849" t="s">
        <v>62</v>
      </c>
      <c r="E1849">
        <v>6</v>
      </c>
      <c r="F1849" s="3">
        <f ca="1">41564+(RANDBETWEEN(1,10))</f>
        <v>41574</v>
      </c>
      <c r="G1849" t="s">
        <v>26</v>
      </c>
      <c r="H1849" t="s">
        <v>281</v>
      </c>
      <c r="I1849" t="s">
        <v>28</v>
      </c>
      <c r="J1849">
        <v>38639.089999999997</v>
      </c>
      <c r="K1849">
        <v>0.06</v>
      </c>
      <c r="L1849">
        <v>0.38</v>
      </c>
      <c r="M1849">
        <v>48.965000000000003</v>
      </c>
      <c r="N1849">
        <v>17137.290799999999</v>
      </c>
      <c r="O1849" s="1" t="s">
        <v>40</v>
      </c>
      <c r="P1849" s="1" t="s">
        <v>4254</v>
      </c>
      <c r="Q1849" s="1" t="s">
        <v>4255</v>
      </c>
      <c r="R1849" s="1" t="s">
        <v>220</v>
      </c>
      <c r="S1849" s="1" t="s">
        <v>4256</v>
      </c>
      <c r="T1849" s="1" t="s">
        <v>4257</v>
      </c>
      <c r="U1849" s="2" t="s">
        <v>5558</v>
      </c>
      <c r="V1849" s="2" t="s">
        <v>36</v>
      </c>
      <c r="W1849" s="2" t="s">
        <v>142</v>
      </c>
      <c r="X1849" s="2">
        <v>6783.07</v>
      </c>
    </row>
    <row r="1850" spans="1:24" x14ac:dyDescent="0.3">
      <c r="A1850">
        <v>19728</v>
      </c>
      <c r="B1850" t="s">
        <v>5559</v>
      </c>
      <c r="C1850" s="3">
        <v>41269</v>
      </c>
      <c r="D1850" t="s">
        <v>148</v>
      </c>
      <c r="E1850">
        <v>16</v>
      </c>
      <c r="F1850" s="3">
        <f ca="1">41269+(RANDBETWEEN(1,10))</f>
        <v>41275</v>
      </c>
      <c r="G1850" t="s">
        <v>156</v>
      </c>
      <c r="H1850" t="s">
        <v>27</v>
      </c>
      <c r="I1850" t="s">
        <v>97</v>
      </c>
      <c r="J1850">
        <v>883.22500000000002</v>
      </c>
      <c r="K1850">
        <v>0.06</v>
      </c>
      <c r="L1850">
        <v>0.37</v>
      </c>
      <c r="M1850">
        <v>46.13</v>
      </c>
      <c r="N1850">
        <v>-666.49800000000005</v>
      </c>
      <c r="O1850" s="1" t="s">
        <v>64</v>
      </c>
      <c r="P1850" s="1" t="s">
        <v>5560</v>
      </c>
      <c r="Q1850" s="1" t="s">
        <v>5561</v>
      </c>
      <c r="R1850" s="1" t="s">
        <v>128</v>
      </c>
      <c r="S1850" s="1" t="s">
        <v>5562</v>
      </c>
      <c r="T1850" s="1" t="s">
        <v>5563</v>
      </c>
      <c r="U1850" s="2" t="s">
        <v>197</v>
      </c>
      <c r="V1850" s="2" t="s">
        <v>47</v>
      </c>
      <c r="W1850" s="2" t="s">
        <v>111</v>
      </c>
      <c r="X1850" s="2">
        <v>55.965000000000003</v>
      </c>
    </row>
    <row r="1851" spans="1:24" x14ac:dyDescent="0.3">
      <c r="A1851">
        <v>19729</v>
      </c>
      <c r="B1851" t="s">
        <v>5559</v>
      </c>
      <c r="C1851" s="3">
        <v>41269</v>
      </c>
      <c r="D1851" t="s">
        <v>148</v>
      </c>
      <c r="E1851">
        <v>1</v>
      </c>
      <c r="F1851" s="3">
        <f ca="1">41270+(RANDBETWEEN(1,10))</f>
        <v>41280</v>
      </c>
      <c r="G1851" t="s">
        <v>26</v>
      </c>
      <c r="H1851" t="s">
        <v>96</v>
      </c>
      <c r="I1851" t="s">
        <v>97</v>
      </c>
      <c r="J1851">
        <v>20.055</v>
      </c>
      <c r="K1851">
        <v>0.01</v>
      </c>
      <c r="L1851">
        <v>0.36</v>
      </c>
      <c r="M1851">
        <v>2.8</v>
      </c>
      <c r="N1851">
        <v>15069.852000000001</v>
      </c>
      <c r="O1851" s="1" t="s">
        <v>64</v>
      </c>
      <c r="P1851" s="1" t="s">
        <v>5560</v>
      </c>
      <c r="Q1851" s="1" t="s">
        <v>5561</v>
      </c>
      <c r="R1851" s="1" t="s">
        <v>128</v>
      </c>
      <c r="S1851" s="1" t="s">
        <v>5562</v>
      </c>
      <c r="T1851" s="1" t="s">
        <v>5563</v>
      </c>
      <c r="U1851" s="2" t="s">
        <v>1416</v>
      </c>
      <c r="V1851" s="2" t="s">
        <v>47</v>
      </c>
      <c r="W1851" s="2" t="s">
        <v>74</v>
      </c>
      <c r="X1851" s="2">
        <v>17.43</v>
      </c>
    </row>
    <row r="1852" spans="1:24" x14ac:dyDescent="0.3">
      <c r="A1852">
        <v>19730</v>
      </c>
      <c r="B1852" t="s">
        <v>5564</v>
      </c>
      <c r="C1852" s="3">
        <v>41586</v>
      </c>
      <c r="D1852" t="s">
        <v>62</v>
      </c>
      <c r="E1852">
        <v>28</v>
      </c>
      <c r="F1852" s="3">
        <f ca="1">41589+(RANDBETWEEN(1,10))</f>
        <v>41594</v>
      </c>
      <c r="G1852" t="s">
        <v>26</v>
      </c>
      <c r="H1852" t="s">
        <v>27</v>
      </c>
      <c r="I1852" t="s">
        <v>86</v>
      </c>
      <c r="J1852">
        <v>713.54499999999996</v>
      </c>
      <c r="K1852">
        <v>7.0000000000000007E-2</v>
      </c>
      <c r="L1852">
        <v>0.36</v>
      </c>
      <c r="M1852">
        <v>40.284999999999997</v>
      </c>
      <c r="N1852">
        <v>188.86105000000001</v>
      </c>
      <c r="O1852" s="1" t="s">
        <v>53</v>
      </c>
      <c r="P1852" s="1" t="s">
        <v>3269</v>
      </c>
      <c r="Q1852" s="1" t="s">
        <v>3270</v>
      </c>
      <c r="R1852" s="1" t="s">
        <v>56</v>
      </c>
      <c r="S1852" s="1" t="s">
        <v>3271</v>
      </c>
      <c r="T1852" s="1" t="s">
        <v>3272</v>
      </c>
      <c r="U1852" s="2" t="s">
        <v>5565</v>
      </c>
      <c r="V1852" s="2" t="s">
        <v>47</v>
      </c>
      <c r="W1852" s="2" t="s">
        <v>111</v>
      </c>
      <c r="X1852" s="2">
        <v>25.83</v>
      </c>
    </row>
    <row r="1853" spans="1:24" x14ac:dyDescent="0.3">
      <c r="A1853">
        <v>19731</v>
      </c>
      <c r="B1853" t="s">
        <v>5564</v>
      </c>
      <c r="C1853" s="3">
        <v>41586</v>
      </c>
      <c r="D1853" t="s">
        <v>62</v>
      </c>
      <c r="E1853">
        <v>20</v>
      </c>
      <c r="F1853" s="3">
        <f ca="1">41587+(RANDBETWEEN(1,10))</f>
        <v>41590</v>
      </c>
      <c r="G1853" t="s">
        <v>76</v>
      </c>
      <c r="H1853" t="s">
        <v>77</v>
      </c>
      <c r="I1853" t="s">
        <v>86</v>
      </c>
      <c r="J1853">
        <v>19840.240000000002</v>
      </c>
      <c r="K1853">
        <v>0.08</v>
      </c>
      <c r="L1853">
        <v>0.6</v>
      </c>
      <c r="M1853">
        <v>243.42500000000001</v>
      </c>
      <c r="N1853">
        <v>3538.15</v>
      </c>
      <c r="O1853" s="1" t="s">
        <v>53</v>
      </c>
      <c r="P1853" s="1" t="s">
        <v>3269</v>
      </c>
      <c r="Q1853" s="1" t="s">
        <v>3270</v>
      </c>
      <c r="R1853" s="1" t="s">
        <v>56</v>
      </c>
      <c r="S1853" s="1" t="s">
        <v>3271</v>
      </c>
      <c r="T1853" s="1" t="s">
        <v>3272</v>
      </c>
      <c r="U1853" s="2" t="s">
        <v>5566</v>
      </c>
      <c r="V1853" s="2" t="s">
        <v>83</v>
      </c>
      <c r="W1853" s="2" t="s">
        <v>84</v>
      </c>
      <c r="X1853" s="2">
        <v>997.43</v>
      </c>
    </row>
    <row r="1854" spans="1:24" x14ac:dyDescent="0.3">
      <c r="A1854">
        <v>19732</v>
      </c>
      <c r="B1854" t="s">
        <v>5567</v>
      </c>
      <c r="C1854" s="3">
        <v>40939</v>
      </c>
      <c r="D1854" t="s">
        <v>148</v>
      </c>
      <c r="E1854">
        <v>9</v>
      </c>
      <c r="F1854" s="3">
        <f ca="1">40941+(RANDBETWEEN(1,10))</f>
        <v>40947</v>
      </c>
      <c r="G1854" t="s">
        <v>26</v>
      </c>
      <c r="H1854" t="s">
        <v>27</v>
      </c>
      <c r="I1854" t="s">
        <v>86</v>
      </c>
      <c r="J1854">
        <v>1225.105</v>
      </c>
      <c r="K1854">
        <v>0.03</v>
      </c>
      <c r="L1854">
        <v>0.7</v>
      </c>
      <c r="M1854">
        <v>14</v>
      </c>
      <c r="N1854">
        <v>235.8888</v>
      </c>
      <c r="O1854" s="1" t="s">
        <v>87</v>
      </c>
      <c r="P1854" s="1" t="s">
        <v>5568</v>
      </c>
      <c r="Q1854" s="1" t="s">
        <v>5569</v>
      </c>
      <c r="R1854" s="1" t="s">
        <v>646</v>
      </c>
      <c r="S1854" s="1" t="s">
        <v>5570</v>
      </c>
      <c r="T1854" s="1" t="s">
        <v>5571</v>
      </c>
      <c r="U1854" s="2" t="s">
        <v>2111</v>
      </c>
      <c r="V1854" s="2" t="s">
        <v>36</v>
      </c>
      <c r="W1854" s="2" t="s">
        <v>60</v>
      </c>
      <c r="X1854" s="2">
        <v>139.93</v>
      </c>
    </row>
    <row r="1855" spans="1:24" x14ac:dyDescent="0.3">
      <c r="A1855">
        <v>19733</v>
      </c>
      <c r="B1855" t="s">
        <v>5572</v>
      </c>
      <c r="C1855" s="3">
        <v>40614</v>
      </c>
      <c r="D1855" t="s">
        <v>50</v>
      </c>
      <c r="E1855">
        <v>4</v>
      </c>
      <c r="F1855" s="3">
        <f ca="1">40616+(RANDBETWEEN(1,10))</f>
        <v>40624</v>
      </c>
      <c r="G1855" t="s">
        <v>26</v>
      </c>
      <c r="H1855" t="s">
        <v>27</v>
      </c>
      <c r="I1855" t="s">
        <v>86</v>
      </c>
      <c r="J1855">
        <v>1069.9849999999999</v>
      </c>
      <c r="K1855">
        <v>0</v>
      </c>
      <c r="L1855">
        <v>0.65</v>
      </c>
      <c r="M1855">
        <v>50.82</v>
      </c>
      <c r="N1855">
        <v>-310.13499999999999</v>
      </c>
      <c r="O1855" s="1" t="s">
        <v>29</v>
      </c>
      <c r="P1855" s="1" t="s">
        <v>3687</v>
      </c>
      <c r="Q1855" s="1" t="s">
        <v>3688</v>
      </c>
      <c r="R1855" s="1" t="s">
        <v>32</v>
      </c>
      <c r="S1855" s="1" t="s">
        <v>3689</v>
      </c>
      <c r="T1855" s="1" t="s">
        <v>3690</v>
      </c>
      <c r="U1855" s="2" t="s">
        <v>2448</v>
      </c>
      <c r="V1855" s="2" t="s">
        <v>36</v>
      </c>
      <c r="W1855" s="2" t="s">
        <v>60</v>
      </c>
      <c r="X1855" s="2">
        <v>258.93</v>
      </c>
    </row>
    <row r="1856" spans="1:24" x14ac:dyDescent="0.3">
      <c r="A1856">
        <v>19734</v>
      </c>
      <c r="B1856" t="s">
        <v>5573</v>
      </c>
      <c r="C1856" s="3">
        <v>41018</v>
      </c>
      <c r="D1856" t="s">
        <v>25</v>
      </c>
      <c r="E1856">
        <v>7</v>
      </c>
      <c r="F1856" s="3">
        <f ca="1">41020+(RANDBETWEEN(1,10))</f>
        <v>41021</v>
      </c>
      <c r="G1856" t="s">
        <v>76</v>
      </c>
      <c r="H1856" t="s">
        <v>258</v>
      </c>
      <c r="I1856" t="s">
        <v>86</v>
      </c>
      <c r="J1856">
        <v>3450.895</v>
      </c>
      <c r="K1856">
        <v>0.01</v>
      </c>
      <c r="L1856">
        <v>0.69</v>
      </c>
      <c r="M1856">
        <v>191.59</v>
      </c>
      <c r="N1856">
        <v>-954.76499999999999</v>
      </c>
      <c r="O1856" s="1" t="s">
        <v>64</v>
      </c>
      <c r="P1856" s="1" t="s">
        <v>4773</v>
      </c>
      <c r="Q1856" s="1" t="s">
        <v>4774</v>
      </c>
      <c r="R1856" s="1" t="s">
        <v>67</v>
      </c>
      <c r="S1856" s="1" t="s">
        <v>4775</v>
      </c>
      <c r="T1856" s="1" t="s">
        <v>4776</v>
      </c>
      <c r="U1856" s="2" t="s">
        <v>493</v>
      </c>
      <c r="V1856" s="2" t="s">
        <v>83</v>
      </c>
      <c r="W1856" s="2" t="s">
        <v>298</v>
      </c>
      <c r="X1856" s="2">
        <v>458.43</v>
      </c>
    </row>
    <row r="1857" spans="1:24" x14ac:dyDescent="0.3">
      <c r="A1857">
        <v>19735</v>
      </c>
      <c r="B1857" t="s">
        <v>5573</v>
      </c>
      <c r="C1857" s="3">
        <v>41018</v>
      </c>
      <c r="D1857" t="s">
        <v>25</v>
      </c>
      <c r="E1857">
        <v>5</v>
      </c>
      <c r="F1857" s="3">
        <f ca="1">41020+(RANDBETWEEN(1,10))</f>
        <v>41027</v>
      </c>
      <c r="G1857" t="s">
        <v>156</v>
      </c>
      <c r="H1857" t="s">
        <v>27</v>
      </c>
      <c r="I1857" t="s">
        <v>86</v>
      </c>
      <c r="J1857">
        <v>274.47000000000003</v>
      </c>
      <c r="K1857">
        <v>0.04</v>
      </c>
      <c r="L1857">
        <v>0.81</v>
      </c>
      <c r="M1857">
        <v>15.855</v>
      </c>
      <c r="N1857">
        <v>337.00799999999998</v>
      </c>
      <c r="O1857" s="1" t="s">
        <v>64</v>
      </c>
      <c r="P1857" s="1" t="s">
        <v>4773</v>
      </c>
      <c r="Q1857" s="1" t="s">
        <v>4774</v>
      </c>
      <c r="R1857" s="1" t="s">
        <v>67</v>
      </c>
      <c r="S1857" s="1" t="s">
        <v>4775</v>
      </c>
      <c r="T1857" s="1" t="s">
        <v>4776</v>
      </c>
      <c r="U1857" s="2" t="s">
        <v>2304</v>
      </c>
      <c r="V1857" s="2" t="s">
        <v>47</v>
      </c>
      <c r="W1857" s="2" t="s">
        <v>119</v>
      </c>
      <c r="X1857" s="2">
        <v>52.99</v>
      </c>
    </row>
    <row r="1858" spans="1:24" x14ac:dyDescent="0.3">
      <c r="A1858">
        <v>19736</v>
      </c>
      <c r="B1858" t="s">
        <v>5574</v>
      </c>
      <c r="C1858" s="3">
        <v>41250</v>
      </c>
      <c r="D1858" t="s">
        <v>148</v>
      </c>
      <c r="E1858">
        <v>1</v>
      </c>
      <c r="F1858" s="3">
        <f ca="1">41251+(RANDBETWEEN(1,10))</f>
        <v>41253</v>
      </c>
      <c r="G1858" t="s">
        <v>26</v>
      </c>
      <c r="H1858" t="s">
        <v>27</v>
      </c>
      <c r="I1858" t="s">
        <v>28</v>
      </c>
      <c r="J1858">
        <v>1249.325</v>
      </c>
      <c r="K1858">
        <v>0.08</v>
      </c>
      <c r="L1858">
        <v>0.38</v>
      </c>
      <c r="M1858">
        <v>69.965000000000003</v>
      </c>
      <c r="N1858">
        <v>-399.42087500000002</v>
      </c>
      <c r="O1858" s="1" t="s">
        <v>87</v>
      </c>
      <c r="P1858" s="1" t="s">
        <v>5280</v>
      </c>
      <c r="Q1858" s="1" t="s">
        <v>5281</v>
      </c>
      <c r="R1858" s="1" t="s">
        <v>646</v>
      </c>
      <c r="S1858" s="1" t="s">
        <v>5282</v>
      </c>
      <c r="T1858" s="1" t="s">
        <v>5283</v>
      </c>
      <c r="U1858" s="2" t="s">
        <v>5575</v>
      </c>
      <c r="V1858" s="2" t="s">
        <v>47</v>
      </c>
      <c r="W1858" s="2" t="s">
        <v>111</v>
      </c>
      <c r="X1858" s="2">
        <v>1357.9649999999999</v>
      </c>
    </row>
    <row r="1859" spans="1:24" x14ac:dyDescent="0.3">
      <c r="A1859">
        <v>19737</v>
      </c>
      <c r="B1859" t="s">
        <v>5574</v>
      </c>
      <c r="C1859" s="3">
        <v>41250</v>
      </c>
      <c r="D1859" t="s">
        <v>148</v>
      </c>
      <c r="E1859">
        <v>8</v>
      </c>
      <c r="F1859" s="3">
        <f ca="1">41252+(RANDBETWEEN(1,10))</f>
        <v>41258</v>
      </c>
      <c r="G1859" t="s">
        <v>26</v>
      </c>
      <c r="H1859" t="s">
        <v>51</v>
      </c>
      <c r="I1859" t="s">
        <v>28</v>
      </c>
      <c r="J1859">
        <v>185.88499999999999</v>
      </c>
      <c r="K1859">
        <v>0.04</v>
      </c>
      <c r="L1859">
        <v>0.66</v>
      </c>
      <c r="M1859">
        <v>14.244999999999999</v>
      </c>
      <c r="N1859">
        <v>-99.364999999999995</v>
      </c>
      <c r="O1859" s="1" t="s">
        <v>40</v>
      </c>
      <c r="P1859" s="1" t="s">
        <v>5576</v>
      </c>
      <c r="Q1859" s="1" t="s">
        <v>5577</v>
      </c>
      <c r="R1859" s="1" t="s">
        <v>43</v>
      </c>
      <c r="S1859" s="1" t="s">
        <v>5578</v>
      </c>
      <c r="T1859" s="1" t="s">
        <v>5579</v>
      </c>
      <c r="U1859" s="2" t="s">
        <v>5294</v>
      </c>
      <c r="V1859" s="2" t="s">
        <v>36</v>
      </c>
      <c r="W1859" s="2" t="s">
        <v>60</v>
      </c>
      <c r="X1859" s="2">
        <v>23.1</v>
      </c>
    </row>
    <row r="1860" spans="1:24" x14ac:dyDescent="0.3">
      <c r="A1860">
        <v>19738</v>
      </c>
      <c r="B1860" t="s">
        <v>5574</v>
      </c>
      <c r="C1860" s="3">
        <v>41250</v>
      </c>
      <c r="D1860" t="s">
        <v>148</v>
      </c>
      <c r="E1860">
        <v>18</v>
      </c>
      <c r="F1860" s="3">
        <f ca="1">41252+(RANDBETWEEN(1,10))</f>
        <v>41256</v>
      </c>
      <c r="G1860" t="s">
        <v>26</v>
      </c>
      <c r="H1860" t="s">
        <v>27</v>
      </c>
      <c r="I1860" t="s">
        <v>28</v>
      </c>
      <c r="J1860">
        <v>3420.9349999999999</v>
      </c>
      <c r="K1860">
        <v>0.03</v>
      </c>
      <c r="L1860">
        <v>0.36</v>
      </c>
      <c r="M1860">
        <v>18.024999999999999</v>
      </c>
      <c r="N1860">
        <v>2360.44515</v>
      </c>
      <c r="O1860" s="1" t="s">
        <v>40</v>
      </c>
      <c r="P1860" s="1" t="s">
        <v>5576</v>
      </c>
      <c r="Q1860" s="1" t="s">
        <v>5577</v>
      </c>
      <c r="R1860" s="1" t="s">
        <v>43</v>
      </c>
      <c r="S1860" s="1" t="s">
        <v>5578</v>
      </c>
      <c r="T1860" s="1" t="s">
        <v>5579</v>
      </c>
      <c r="U1860" s="2" t="s">
        <v>5580</v>
      </c>
      <c r="V1860" s="2" t="s">
        <v>47</v>
      </c>
      <c r="W1860" s="2" t="s">
        <v>74</v>
      </c>
      <c r="X1860" s="2">
        <v>195.93</v>
      </c>
    </row>
    <row r="1861" spans="1:24" x14ac:dyDescent="0.3">
      <c r="A1861">
        <v>19739</v>
      </c>
      <c r="B1861" t="s">
        <v>5581</v>
      </c>
      <c r="C1861" s="3">
        <v>40731</v>
      </c>
      <c r="D1861" t="s">
        <v>148</v>
      </c>
      <c r="E1861">
        <v>2</v>
      </c>
      <c r="F1861" s="3">
        <f ca="1">40732+(RANDBETWEEN(1,10))</f>
        <v>40735</v>
      </c>
      <c r="G1861" t="s">
        <v>76</v>
      </c>
      <c r="H1861" t="s">
        <v>258</v>
      </c>
      <c r="I1861" t="s">
        <v>86</v>
      </c>
      <c r="J1861">
        <v>1038.625</v>
      </c>
      <c r="K1861">
        <v>0</v>
      </c>
      <c r="L1861">
        <v>0.78</v>
      </c>
      <c r="M1861">
        <v>112.63</v>
      </c>
      <c r="N1861">
        <v>-711.44500000000005</v>
      </c>
      <c r="O1861" s="1" t="s">
        <v>40</v>
      </c>
      <c r="P1861" s="1" t="s">
        <v>2358</v>
      </c>
      <c r="Q1861" s="1" t="s">
        <v>2359</v>
      </c>
      <c r="R1861" s="1" t="s">
        <v>220</v>
      </c>
      <c r="S1861" s="1" t="s">
        <v>2360</v>
      </c>
      <c r="T1861" s="1" t="s">
        <v>2361</v>
      </c>
      <c r="U1861" s="2" t="s">
        <v>370</v>
      </c>
      <c r="V1861" s="2" t="s">
        <v>83</v>
      </c>
      <c r="W1861" s="2" t="s">
        <v>298</v>
      </c>
      <c r="X1861" s="2">
        <v>481.18</v>
      </c>
    </row>
    <row r="1862" spans="1:24" x14ac:dyDescent="0.3">
      <c r="A1862">
        <v>19740</v>
      </c>
      <c r="B1862" t="s">
        <v>5582</v>
      </c>
      <c r="C1862" s="3">
        <v>41465</v>
      </c>
      <c r="D1862" t="s">
        <v>62</v>
      </c>
      <c r="E1862">
        <v>12</v>
      </c>
      <c r="F1862" s="3">
        <f ca="1">41467+(RANDBETWEEN(1,10))</f>
        <v>41472</v>
      </c>
      <c r="G1862" t="s">
        <v>26</v>
      </c>
      <c r="H1862" t="s">
        <v>51</v>
      </c>
      <c r="I1862" t="s">
        <v>28</v>
      </c>
      <c r="J1862">
        <v>844.55</v>
      </c>
      <c r="K1862">
        <v>0.04</v>
      </c>
      <c r="L1862">
        <v>0.48</v>
      </c>
      <c r="M1862">
        <v>6.9649999999999999</v>
      </c>
      <c r="N1862">
        <v>582.73950000000002</v>
      </c>
      <c r="O1862" s="1" t="s">
        <v>53</v>
      </c>
      <c r="P1862" s="1" t="s">
        <v>3708</v>
      </c>
      <c r="Q1862" s="1" t="s">
        <v>3709</v>
      </c>
      <c r="R1862" s="1" t="s">
        <v>440</v>
      </c>
      <c r="S1862" s="1" t="s">
        <v>3710</v>
      </c>
      <c r="T1862" s="1" t="s">
        <v>3711</v>
      </c>
      <c r="U1862" s="2" t="s">
        <v>5583</v>
      </c>
      <c r="V1862" s="2" t="s">
        <v>36</v>
      </c>
      <c r="W1862" s="2" t="s">
        <v>60</v>
      </c>
      <c r="X1862" s="2">
        <v>73.114999999999995</v>
      </c>
    </row>
    <row r="1863" spans="1:24" x14ac:dyDescent="0.3">
      <c r="A1863">
        <v>19741</v>
      </c>
      <c r="B1863" t="s">
        <v>5582</v>
      </c>
      <c r="C1863" s="3">
        <v>41465</v>
      </c>
      <c r="D1863" t="s">
        <v>62</v>
      </c>
      <c r="E1863">
        <v>4</v>
      </c>
      <c r="F1863" s="3">
        <f ca="1">41465+(RANDBETWEEN(1,10))</f>
        <v>41474</v>
      </c>
      <c r="G1863" t="s">
        <v>26</v>
      </c>
      <c r="H1863" t="s">
        <v>51</v>
      </c>
      <c r="I1863" t="s">
        <v>28</v>
      </c>
      <c r="J1863">
        <v>453.67</v>
      </c>
      <c r="K1863">
        <v>0.01</v>
      </c>
      <c r="L1863">
        <v>0.35</v>
      </c>
      <c r="M1863">
        <v>3.4649999999999999</v>
      </c>
      <c r="N1863">
        <v>313.03230000000002</v>
      </c>
      <c r="O1863" s="1" t="s">
        <v>53</v>
      </c>
      <c r="P1863" s="1" t="s">
        <v>3708</v>
      </c>
      <c r="Q1863" s="1" t="s">
        <v>3709</v>
      </c>
      <c r="R1863" s="1" t="s">
        <v>440</v>
      </c>
      <c r="S1863" s="1" t="s">
        <v>3710</v>
      </c>
      <c r="T1863" s="1" t="s">
        <v>3711</v>
      </c>
      <c r="U1863" s="2" t="s">
        <v>1868</v>
      </c>
      <c r="V1863" s="2" t="s">
        <v>36</v>
      </c>
      <c r="W1863" s="2" t="s">
        <v>37</v>
      </c>
      <c r="X1863" s="2">
        <v>125.965</v>
      </c>
    </row>
    <row r="1864" spans="1:24" x14ac:dyDescent="0.3">
      <c r="A1864">
        <v>19742</v>
      </c>
      <c r="B1864" t="s">
        <v>5584</v>
      </c>
      <c r="C1864" s="3">
        <v>41125</v>
      </c>
      <c r="D1864" t="s">
        <v>62</v>
      </c>
      <c r="E1864">
        <v>6</v>
      </c>
      <c r="F1864" s="3">
        <f ca="1">41125+(RANDBETWEEN(1,10))</f>
        <v>41128</v>
      </c>
      <c r="G1864" t="s">
        <v>26</v>
      </c>
      <c r="H1864" t="s">
        <v>27</v>
      </c>
      <c r="I1864" t="s">
        <v>97</v>
      </c>
      <c r="J1864">
        <v>2514.645</v>
      </c>
      <c r="K1864">
        <v>0.02</v>
      </c>
      <c r="L1864">
        <v>0.35</v>
      </c>
      <c r="M1864">
        <v>31.745000000000001</v>
      </c>
      <c r="N1864">
        <v>750.18299999999999</v>
      </c>
      <c r="O1864" s="1" t="s">
        <v>29</v>
      </c>
      <c r="P1864" s="1" t="s">
        <v>5585</v>
      </c>
      <c r="Q1864" s="1" t="s">
        <v>5586</v>
      </c>
      <c r="R1864" s="1" t="s">
        <v>675</v>
      </c>
      <c r="S1864" s="1" t="s">
        <v>5587</v>
      </c>
      <c r="T1864" s="1" t="s">
        <v>5053</v>
      </c>
      <c r="U1864" s="2" t="s">
        <v>4646</v>
      </c>
      <c r="V1864" s="2" t="s">
        <v>47</v>
      </c>
      <c r="W1864" s="2" t="s">
        <v>111</v>
      </c>
      <c r="X1864" s="2">
        <v>423.43</v>
      </c>
    </row>
    <row r="1865" spans="1:24" x14ac:dyDescent="0.3">
      <c r="A1865">
        <v>19743</v>
      </c>
      <c r="B1865" t="s">
        <v>5584</v>
      </c>
      <c r="C1865" s="3">
        <v>41125</v>
      </c>
      <c r="D1865" t="s">
        <v>62</v>
      </c>
      <c r="E1865">
        <v>6</v>
      </c>
      <c r="F1865" s="3">
        <f ca="1">41127+(RANDBETWEEN(1,10))</f>
        <v>41137</v>
      </c>
      <c r="G1865" t="s">
        <v>76</v>
      </c>
      <c r="H1865" t="s">
        <v>258</v>
      </c>
      <c r="I1865" t="s">
        <v>97</v>
      </c>
      <c r="J1865">
        <v>2109.1</v>
      </c>
      <c r="K1865">
        <v>0.1</v>
      </c>
      <c r="L1865">
        <v>0.78</v>
      </c>
      <c r="M1865">
        <v>200.83</v>
      </c>
      <c r="N1865">
        <v>18456.501</v>
      </c>
      <c r="O1865" s="1" t="s">
        <v>29</v>
      </c>
      <c r="P1865" s="1" t="s">
        <v>5585</v>
      </c>
      <c r="Q1865" s="1" t="s">
        <v>5586</v>
      </c>
      <c r="R1865" s="1" t="s">
        <v>675</v>
      </c>
      <c r="S1865" s="1" t="s">
        <v>5587</v>
      </c>
      <c r="T1865" s="1" t="s">
        <v>5053</v>
      </c>
      <c r="U1865" s="2" t="s">
        <v>1795</v>
      </c>
      <c r="V1865" s="2" t="s">
        <v>83</v>
      </c>
      <c r="W1865" s="2" t="s">
        <v>298</v>
      </c>
      <c r="X1865" s="2">
        <v>353.43</v>
      </c>
    </row>
    <row r="1866" spans="1:24" x14ac:dyDescent="0.3">
      <c r="A1866">
        <v>19744</v>
      </c>
      <c r="B1866" t="s">
        <v>5584</v>
      </c>
      <c r="C1866" s="3">
        <v>41125</v>
      </c>
      <c r="D1866" t="s">
        <v>62</v>
      </c>
      <c r="E1866">
        <v>14</v>
      </c>
      <c r="F1866" s="3">
        <f ca="1">41126+(RANDBETWEEN(1,10))</f>
        <v>41130</v>
      </c>
      <c r="G1866" t="s">
        <v>26</v>
      </c>
      <c r="H1866" t="s">
        <v>27</v>
      </c>
      <c r="I1866" t="s">
        <v>97</v>
      </c>
      <c r="J1866">
        <v>2893.73</v>
      </c>
      <c r="K1866">
        <v>0.09</v>
      </c>
      <c r="L1866">
        <v>0.56999999999999995</v>
      </c>
      <c r="M1866">
        <v>33.984999999999999</v>
      </c>
      <c r="N1866">
        <v>951.36300000000006</v>
      </c>
      <c r="O1866" s="1" t="s">
        <v>29</v>
      </c>
      <c r="P1866" s="1" t="s">
        <v>5585</v>
      </c>
      <c r="Q1866" s="1" t="s">
        <v>5586</v>
      </c>
      <c r="R1866" s="1" t="s">
        <v>675</v>
      </c>
      <c r="S1866" s="1" t="s">
        <v>5587</v>
      </c>
      <c r="T1866" s="1" t="s">
        <v>5053</v>
      </c>
      <c r="U1866" s="2" t="s">
        <v>5588</v>
      </c>
      <c r="V1866" s="2" t="s">
        <v>47</v>
      </c>
      <c r="W1866" s="2" t="s">
        <v>119</v>
      </c>
      <c r="X1866" s="2">
        <v>209.16</v>
      </c>
    </row>
    <row r="1867" spans="1:24" x14ac:dyDescent="0.3">
      <c r="A1867">
        <v>19745</v>
      </c>
      <c r="B1867" t="s">
        <v>5589</v>
      </c>
      <c r="C1867" s="3">
        <v>41128</v>
      </c>
      <c r="D1867" t="s">
        <v>62</v>
      </c>
      <c r="E1867">
        <v>11</v>
      </c>
      <c r="F1867" s="3">
        <f ca="1">41129+(RANDBETWEEN(1,10))</f>
        <v>41135</v>
      </c>
      <c r="G1867" t="s">
        <v>76</v>
      </c>
      <c r="H1867" t="s">
        <v>77</v>
      </c>
      <c r="I1867" t="s">
        <v>97</v>
      </c>
      <c r="J1867">
        <v>8674.2250000000004</v>
      </c>
      <c r="K1867">
        <v>0.04</v>
      </c>
      <c r="L1867">
        <v>0.59</v>
      </c>
      <c r="M1867">
        <v>98.56</v>
      </c>
      <c r="N1867">
        <v>5534.7263999999996</v>
      </c>
      <c r="O1867" s="1" t="s">
        <v>225</v>
      </c>
      <c r="P1867" s="1" t="s">
        <v>2039</v>
      </c>
      <c r="Q1867" s="1" t="s">
        <v>2040</v>
      </c>
      <c r="R1867" s="1" t="s">
        <v>228</v>
      </c>
      <c r="S1867" s="1" t="s">
        <v>2041</v>
      </c>
      <c r="T1867" s="1" t="s">
        <v>2042</v>
      </c>
      <c r="U1867" s="2" t="s">
        <v>5590</v>
      </c>
      <c r="V1867" s="2" t="s">
        <v>83</v>
      </c>
      <c r="W1867" s="2" t="s">
        <v>84</v>
      </c>
      <c r="X1867" s="2">
        <v>793.34500000000003</v>
      </c>
    </row>
    <row r="1868" spans="1:24" x14ac:dyDescent="0.3">
      <c r="A1868">
        <v>19746</v>
      </c>
      <c r="B1868" t="s">
        <v>5591</v>
      </c>
      <c r="C1868" s="3">
        <v>41325</v>
      </c>
      <c r="D1868" t="s">
        <v>39</v>
      </c>
      <c r="E1868">
        <v>9</v>
      </c>
      <c r="F1868" s="3">
        <f ca="1">41326+(RANDBETWEEN(1,10))</f>
        <v>41335</v>
      </c>
      <c r="G1868" t="s">
        <v>76</v>
      </c>
      <c r="H1868" t="s">
        <v>258</v>
      </c>
      <c r="I1868" t="s">
        <v>28</v>
      </c>
      <c r="J1868">
        <v>3131.03</v>
      </c>
      <c r="K1868">
        <v>0.08</v>
      </c>
      <c r="L1868">
        <v>0.78</v>
      </c>
      <c r="M1868">
        <v>200.83</v>
      </c>
      <c r="N1868">
        <v>-4693.8850000000002</v>
      </c>
      <c r="O1868" s="1" t="s">
        <v>40</v>
      </c>
      <c r="P1868" s="1" t="s">
        <v>5592</v>
      </c>
      <c r="Q1868" s="1" t="s">
        <v>5593</v>
      </c>
      <c r="R1868" s="1" t="s">
        <v>43</v>
      </c>
      <c r="S1868" s="1" t="s">
        <v>1414</v>
      </c>
      <c r="T1868" s="1" t="s">
        <v>1415</v>
      </c>
      <c r="U1868" s="2" t="s">
        <v>1795</v>
      </c>
      <c r="V1868" s="2" t="s">
        <v>83</v>
      </c>
      <c r="W1868" s="2" t="s">
        <v>298</v>
      </c>
      <c r="X1868" s="2">
        <v>353.43</v>
      </c>
    </row>
    <row r="1869" spans="1:24" x14ac:dyDescent="0.3">
      <c r="A1869">
        <v>19747</v>
      </c>
      <c r="B1869" t="s">
        <v>5591</v>
      </c>
      <c r="C1869" s="3">
        <v>41325</v>
      </c>
      <c r="D1869" t="s">
        <v>39</v>
      </c>
      <c r="E1869">
        <v>12</v>
      </c>
      <c r="F1869" s="3">
        <f ca="1">41326+(RANDBETWEEN(1,10))</f>
        <v>41336</v>
      </c>
      <c r="G1869" t="s">
        <v>26</v>
      </c>
      <c r="H1869" t="s">
        <v>27</v>
      </c>
      <c r="I1869" t="s">
        <v>28</v>
      </c>
      <c r="J1869">
        <v>1692.5650000000001</v>
      </c>
      <c r="K1869">
        <v>0.04</v>
      </c>
      <c r="L1869">
        <v>0.6</v>
      </c>
      <c r="M1869">
        <v>25.2</v>
      </c>
      <c r="N1869">
        <v>964.25</v>
      </c>
      <c r="O1869" s="1" t="s">
        <v>40</v>
      </c>
      <c r="P1869" s="1" t="s">
        <v>5594</v>
      </c>
      <c r="Q1869" s="1" t="s">
        <v>5595</v>
      </c>
      <c r="R1869" s="1" t="s">
        <v>43</v>
      </c>
      <c r="S1869" s="1" t="s">
        <v>5596</v>
      </c>
      <c r="T1869" s="1" t="s">
        <v>5597</v>
      </c>
      <c r="U1869" s="2" t="s">
        <v>5598</v>
      </c>
      <c r="V1869" s="2" t="s">
        <v>47</v>
      </c>
      <c r="W1869" s="2" t="s">
        <v>71</v>
      </c>
      <c r="X1869" s="2">
        <v>143.43</v>
      </c>
    </row>
    <row r="1870" spans="1:24" x14ac:dyDescent="0.3">
      <c r="A1870">
        <v>19748</v>
      </c>
      <c r="B1870" t="s">
        <v>5599</v>
      </c>
      <c r="C1870" s="3">
        <v>41042</v>
      </c>
      <c r="D1870" t="s">
        <v>148</v>
      </c>
      <c r="E1870">
        <v>6</v>
      </c>
      <c r="F1870" s="3">
        <f ca="1">41045+(RANDBETWEEN(1,10))</f>
        <v>41053</v>
      </c>
      <c r="G1870" t="s">
        <v>26</v>
      </c>
      <c r="H1870" t="s">
        <v>27</v>
      </c>
      <c r="I1870" t="s">
        <v>86</v>
      </c>
      <c r="J1870">
        <v>2234.54</v>
      </c>
      <c r="K1870">
        <v>0.08</v>
      </c>
      <c r="L1870">
        <v>0.56000000000000005</v>
      </c>
      <c r="M1870">
        <v>20.965</v>
      </c>
      <c r="N1870">
        <v>467.08199999999999</v>
      </c>
      <c r="O1870" s="1" t="s">
        <v>87</v>
      </c>
      <c r="P1870" s="1" t="s">
        <v>5600</v>
      </c>
      <c r="Q1870" s="1" t="s">
        <v>5601</v>
      </c>
      <c r="R1870" s="1" t="s">
        <v>90</v>
      </c>
      <c r="S1870" s="1" t="s">
        <v>5602</v>
      </c>
      <c r="T1870" s="1" t="s">
        <v>5603</v>
      </c>
      <c r="U1870" s="2" t="s">
        <v>3000</v>
      </c>
      <c r="V1870" s="2" t="s">
        <v>36</v>
      </c>
      <c r="W1870" s="2" t="s">
        <v>37</v>
      </c>
      <c r="X1870" s="2">
        <v>440.96499999999997</v>
      </c>
    </row>
    <row r="1871" spans="1:24" x14ac:dyDescent="0.3">
      <c r="A1871">
        <v>19749</v>
      </c>
      <c r="B1871" t="s">
        <v>5604</v>
      </c>
      <c r="C1871" s="3">
        <v>40687</v>
      </c>
      <c r="D1871" t="s">
        <v>25</v>
      </c>
      <c r="E1871">
        <v>11</v>
      </c>
      <c r="F1871" s="3">
        <f ca="1">40692+(RANDBETWEEN(1,10))</f>
        <v>40702</v>
      </c>
      <c r="G1871" t="s">
        <v>76</v>
      </c>
      <c r="H1871" t="s">
        <v>77</v>
      </c>
      <c r="I1871" t="s">
        <v>97</v>
      </c>
      <c r="J1871">
        <v>2931.4949999999999</v>
      </c>
      <c r="K1871">
        <v>0.1</v>
      </c>
      <c r="L1871">
        <v>0.37</v>
      </c>
      <c r="M1871">
        <v>117.6</v>
      </c>
      <c r="N1871">
        <v>231.77</v>
      </c>
      <c r="O1871" s="1" t="s">
        <v>64</v>
      </c>
      <c r="P1871" s="1" t="s">
        <v>5605</v>
      </c>
      <c r="Q1871" s="1" t="s">
        <v>5606</v>
      </c>
      <c r="R1871" s="1" t="s">
        <v>128</v>
      </c>
      <c r="S1871" s="1" t="s">
        <v>5607</v>
      </c>
      <c r="T1871" s="1" t="s">
        <v>5608</v>
      </c>
      <c r="U1871" s="2" t="s">
        <v>3448</v>
      </c>
      <c r="V1871" s="2" t="s">
        <v>36</v>
      </c>
      <c r="W1871" s="2" t="s">
        <v>142</v>
      </c>
      <c r="X1871" s="2">
        <v>283.39499999999998</v>
      </c>
    </row>
    <row r="1872" spans="1:24" x14ac:dyDescent="0.3">
      <c r="A1872">
        <v>19750</v>
      </c>
      <c r="B1872" t="s">
        <v>5604</v>
      </c>
      <c r="C1872" s="3">
        <v>40687</v>
      </c>
      <c r="D1872" t="s">
        <v>25</v>
      </c>
      <c r="E1872">
        <v>8</v>
      </c>
      <c r="F1872" s="3">
        <f ca="1">40691+(RANDBETWEEN(1,10))</f>
        <v>40693</v>
      </c>
      <c r="G1872" t="s">
        <v>26</v>
      </c>
      <c r="H1872" t="s">
        <v>27</v>
      </c>
      <c r="I1872" t="s">
        <v>97</v>
      </c>
      <c r="J1872">
        <v>196.77</v>
      </c>
      <c r="K1872">
        <v>0.02</v>
      </c>
      <c r="L1872">
        <v>0.37</v>
      </c>
      <c r="M1872">
        <v>17.885000000000002</v>
      </c>
      <c r="N1872">
        <v>-82.355000000000004</v>
      </c>
      <c r="O1872" s="1" t="s">
        <v>64</v>
      </c>
      <c r="P1872" s="1" t="s">
        <v>5605</v>
      </c>
      <c r="Q1872" s="1" t="s">
        <v>5606</v>
      </c>
      <c r="R1872" s="1" t="s">
        <v>128</v>
      </c>
      <c r="S1872" s="1" t="s">
        <v>5607</v>
      </c>
      <c r="T1872" s="1" t="s">
        <v>5608</v>
      </c>
      <c r="U1872" s="2" t="s">
        <v>5609</v>
      </c>
      <c r="V1872" s="2" t="s">
        <v>47</v>
      </c>
      <c r="W1872" s="2" t="s">
        <v>74</v>
      </c>
      <c r="X1872" s="2">
        <v>22.68</v>
      </c>
    </row>
    <row r="1873" spans="1:24" x14ac:dyDescent="0.3">
      <c r="A1873">
        <v>19751</v>
      </c>
      <c r="B1873" t="s">
        <v>5610</v>
      </c>
      <c r="C1873" s="3">
        <v>40605</v>
      </c>
      <c r="D1873" t="s">
        <v>25</v>
      </c>
      <c r="E1873">
        <v>9</v>
      </c>
      <c r="F1873" s="3">
        <f ca="1">40612+(RANDBETWEEN(1,10))</f>
        <v>40616</v>
      </c>
      <c r="G1873" t="s">
        <v>26</v>
      </c>
      <c r="H1873" t="s">
        <v>27</v>
      </c>
      <c r="I1873" t="s">
        <v>28</v>
      </c>
      <c r="J1873">
        <v>68.844999999999999</v>
      </c>
      <c r="K1873">
        <v>0.08</v>
      </c>
      <c r="L1873">
        <v>0.43</v>
      </c>
      <c r="M1873">
        <v>18.655000000000001</v>
      </c>
      <c r="N1873">
        <v>-451.53500000000003</v>
      </c>
      <c r="O1873" s="1" t="s">
        <v>87</v>
      </c>
      <c r="P1873" s="1" t="s">
        <v>1261</v>
      </c>
      <c r="Q1873" s="1" t="s">
        <v>1262</v>
      </c>
      <c r="R1873" s="1" t="s">
        <v>497</v>
      </c>
      <c r="S1873" s="1" t="s">
        <v>1263</v>
      </c>
      <c r="T1873" s="1" t="s">
        <v>1264</v>
      </c>
      <c r="U1873" s="2" t="s">
        <v>2500</v>
      </c>
      <c r="V1873" s="2" t="s">
        <v>83</v>
      </c>
      <c r="W1873" s="2" t="s">
        <v>178</v>
      </c>
      <c r="X1873" s="2">
        <v>7.28</v>
      </c>
    </row>
    <row r="1874" spans="1:24" x14ac:dyDescent="0.3">
      <c r="A1874">
        <v>19752</v>
      </c>
      <c r="B1874" t="s">
        <v>5611</v>
      </c>
      <c r="C1874" s="3">
        <v>41801</v>
      </c>
      <c r="D1874" t="s">
        <v>25</v>
      </c>
      <c r="E1874">
        <v>17</v>
      </c>
      <c r="F1874" s="3">
        <f ca="1">41808+(RANDBETWEEN(1,10))</f>
        <v>41815</v>
      </c>
      <c r="G1874" t="s">
        <v>26</v>
      </c>
      <c r="H1874" t="s">
        <v>27</v>
      </c>
      <c r="I1874" t="s">
        <v>86</v>
      </c>
      <c r="J1874">
        <v>6497.47</v>
      </c>
      <c r="K1874">
        <v>0.01</v>
      </c>
      <c r="L1874">
        <v>0.55000000000000004</v>
      </c>
      <c r="M1874">
        <v>18.41</v>
      </c>
      <c r="N1874">
        <v>4483.2542999999996</v>
      </c>
      <c r="O1874" s="1" t="s">
        <v>64</v>
      </c>
      <c r="P1874" s="1" t="s">
        <v>5612</v>
      </c>
      <c r="Q1874" s="1" t="s">
        <v>5613</v>
      </c>
      <c r="R1874" s="1" t="s">
        <v>67</v>
      </c>
      <c r="S1874" s="1" t="s">
        <v>5614</v>
      </c>
      <c r="T1874" s="1" t="s">
        <v>5615</v>
      </c>
      <c r="U1874" s="2">
        <v>232</v>
      </c>
      <c r="V1874" s="2" t="s">
        <v>36</v>
      </c>
      <c r="W1874" s="2" t="s">
        <v>37</v>
      </c>
      <c r="X1874" s="2">
        <v>440.96499999999997</v>
      </c>
    </row>
    <row r="1875" spans="1:24" x14ac:dyDescent="0.3">
      <c r="A1875">
        <v>19753</v>
      </c>
      <c r="B1875" t="s">
        <v>5616</v>
      </c>
      <c r="C1875" s="3">
        <v>41441</v>
      </c>
      <c r="D1875" t="s">
        <v>50</v>
      </c>
      <c r="E1875">
        <v>2</v>
      </c>
      <c r="F1875" s="3">
        <f ca="1">41441+(RANDBETWEEN(1,10))</f>
        <v>41450</v>
      </c>
      <c r="G1875" t="s">
        <v>26</v>
      </c>
      <c r="H1875" t="s">
        <v>96</v>
      </c>
      <c r="I1875" t="s">
        <v>97</v>
      </c>
      <c r="J1875">
        <v>98.454999999999998</v>
      </c>
      <c r="K1875">
        <v>0.1</v>
      </c>
      <c r="L1875">
        <v>0.39</v>
      </c>
      <c r="M1875">
        <v>6.8949999999999996</v>
      </c>
      <c r="N1875">
        <v>4.4939999999999998</v>
      </c>
      <c r="O1875" s="1" t="s">
        <v>87</v>
      </c>
      <c r="P1875" s="1" t="s">
        <v>4196</v>
      </c>
      <c r="Q1875" s="1" t="s">
        <v>4197</v>
      </c>
      <c r="R1875" s="1" t="s">
        <v>497</v>
      </c>
      <c r="S1875" s="1" t="s">
        <v>4198</v>
      </c>
      <c r="T1875" s="1" t="s">
        <v>4199</v>
      </c>
      <c r="U1875" s="2" t="s">
        <v>372</v>
      </c>
      <c r="V1875" s="2" t="s">
        <v>47</v>
      </c>
      <c r="W1875" s="2" t="s">
        <v>74</v>
      </c>
      <c r="X1875" s="2">
        <v>52.64</v>
      </c>
    </row>
    <row r="1876" spans="1:24" x14ac:dyDescent="0.3">
      <c r="A1876">
        <v>19754</v>
      </c>
      <c r="B1876" t="s">
        <v>5617</v>
      </c>
      <c r="C1876" s="3">
        <v>40921</v>
      </c>
      <c r="D1876" t="s">
        <v>25</v>
      </c>
      <c r="E1876">
        <v>11</v>
      </c>
      <c r="F1876" s="3">
        <f ca="1">40923+(RANDBETWEEN(1,10))</f>
        <v>40924</v>
      </c>
      <c r="G1876" t="s">
        <v>26</v>
      </c>
      <c r="H1876" t="s">
        <v>96</v>
      </c>
      <c r="I1876" t="s">
        <v>86</v>
      </c>
      <c r="J1876">
        <v>126</v>
      </c>
      <c r="K1876">
        <v>0.04</v>
      </c>
      <c r="L1876">
        <v>0.56000000000000005</v>
      </c>
      <c r="M1876">
        <v>13.895</v>
      </c>
      <c r="N1876">
        <v>-501.40019999999998</v>
      </c>
      <c r="O1876" s="1" t="s">
        <v>87</v>
      </c>
      <c r="P1876" s="1" t="s">
        <v>5618</v>
      </c>
      <c r="Q1876" s="1" t="s">
        <v>5619</v>
      </c>
      <c r="R1876" s="1" t="s">
        <v>646</v>
      </c>
      <c r="S1876" s="1" t="s">
        <v>5620</v>
      </c>
      <c r="T1876" s="1" t="s">
        <v>5621</v>
      </c>
      <c r="U1876" s="2" t="s">
        <v>5622</v>
      </c>
      <c r="V1876" s="2" t="s">
        <v>47</v>
      </c>
      <c r="W1876" s="2" t="s">
        <v>104</v>
      </c>
      <c r="X1876" s="2">
        <v>11.48</v>
      </c>
    </row>
    <row r="1877" spans="1:24" x14ac:dyDescent="0.3">
      <c r="A1877">
        <v>19755</v>
      </c>
      <c r="B1877" t="s">
        <v>5617</v>
      </c>
      <c r="C1877" s="3">
        <v>40921</v>
      </c>
      <c r="D1877" t="s">
        <v>25</v>
      </c>
      <c r="E1877">
        <v>13</v>
      </c>
      <c r="F1877" s="3">
        <f ca="1">40923+(RANDBETWEEN(1,10))</f>
        <v>40932</v>
      </c>
      <c r="G1877" t="s">
        <v>26</v>
      </c>
      <c r="H1877" t="s">
        <v>27</v>
      </c>
      <c r="I1877" t="s">
        <v>86</v>
      </c>
      <c r="J1877">
        <v>7314.65</v>
      </c>
      <c r="K1877">
        <v>0.1</v>
      </c>
      <c r="L1877">
        <v>0.39</v>
      </c>
      <c r="M1877">
        <v>69.965000000000003</v>
      </c>
      <c r="N1877">
        <v>5047.1085000000003</v>
      </c>
      <c r="O1877" s="1" t="s">
        <v>40</v>
      </c>
      <c r="P1877" s="1" t="s">
        <v>1412</v>
      </c>
      <c r="Q1877" s="1" t="s">
        <v>1413</v>
      </c>
      <c r="R1877" s="1" t="s">
        <v>43</v>
      </c>
      <c r="S1877" s="1" t="s">
        <v>1414</v>
      </c>
      <c r="T1877" s="1" t="s">
        <v>1415</v>
      </c>
      <c r="U1877" s="2" t="s">
        <v>3970</v>
      </c>
      <c r="V1877" s="2" t="s">
        <v>47</v>
      </c>
      <c r="W1877" s="2" t="s">
        <v>111</v>
      </c>
      <c r="X1877" s="2">
        <v>605.46500000000003</v>
      </c>
    </row>
    <row r="1878" spans="1:24" x14ac:dyDescent="0.3">
      <c r="A1878">
        <v>19756</v>
      </c>
      <c r="B1878" t="s">
        <v>5623</v>
      </c>
      <c r="C1878" s="3">
        <v>40836</v>
      </c>
      <c r="D1878" t="s">
        <v>39</v>
      </c>
      <c r="E1878">
        <v>14</v>
      </c>
      <c r="F1878" s="3">
        <f ca="1">40838+(RANDBETWEEN(1,10))</f>
        <v>40840</v>
      </c>
      <c r="G1878" t="s">
        <v>156</v>
      </c>
      <c r="H1878" t="s">
        <v>27</v>
      </c>
      <c r="I1878" t="s">
        <v>86</v>
      </c>
      <c r="J1878">
        <v>2796.1149999999998</v>
      </c>
      <c r="K1878">
        <v>0</v>
      </c>
      <c r="L1878">
        <v>0.57999999999999996</v>
      </c>
      <c r="M1878">
        <v>20.965</v>
      </c>
      <c r="N1878">
        <v>1098.3420000000001</v>
      </c>
      <c r="O1878" s="1" t="s">
        <v>53</v>
      </c>
      <c r="P1878" s="1" t="s">
        <v>4503</v>
      </c>
      <c r="Q1878" s="1" t="s">
        <v>4504</v>
      </c>
      <c r="R1878" s="1" t="s">
        <v>440</v>
      </c>
      <c r="S1878" s="1" t="s">
        <v>4505</v>
      </c>
      <c r="T1878" s="1" t="s">
        <v>4506</v>
      </c>
      <c r="U1878" s="2" t="s">
        <v>326</v>
      </c>
      <c r="V1878" s="2" t="s">
        <v>36</v>
      </c>
      <c r="W1878" s="2" t="s">
        <v>37</v>
      </c>
      <c r="X1878" s="2">
        <v>230.965</v>
      </c>
    </row>
    <row r="1879" spans="1:24" x14ac:dyDescent="0.3">
      <c r="A1879">
        <v>19757</v>
      </c>
      <c r="B1879" t="s">
        <v>5624</v>
      </c>
      <c r="C1879" s="3">
        <v>41562</v>
      </c>
      <c r="D1879" t="s">
        <v>148</v>
      </c>
      <c r="E1879">
        <v>6</v>
      </c>
      <c r="F1879" s="3">
        <f ca="1">41564+(RANDBETWEEN(1,10))</f>
        <v>41573</v>
      </c>
      <c r="G1879" t="s">
        <v>156</v>
      </c>
      <c r="H1879" t="s">
        <v>27</v>
      </c>
      <c r="I1879" t="s">
        <v>97</v>
      </c>
      <c r="J1879">
        <v>306.91500000000002</v>
      </c>
      <c r="K1879">
        <v>0.03</v>
      </c>
      <c r="L1879">
        <v>0.35</v>
      </c>
      <c r="M1879">
        <v>5.2149999999999999</v>
      </c>
      <c r="N1879">
        <v>-121.91200000000001</v>
      </c>
      <c r="O1879" s="1" t="s">
        <v>29</v>
      </c>
      <c r="P1879" s="1" t="s">
        <v>5625</v>
      </c>
      <c r="Q1879" s="1" t="s">
        <v>5626</v>
      </c>
      <c r="R1879" s="1" t="s">
        <v>32</v>
      </c>
      <c r="S1879" s="1" t="s">
        <v>5627</v>
      </c>
      <c r="T1879" s="1" t="s">
        <v>5628</v>
      </c>
      <c r="U1879" s="2" t="s">
        <v>2551</v>
      </c>
      <c r="V1879" s="2" t="s">
        <v>47</v>
      </c>
      <c r="W1879" s="2" t="s">
        <v>111</v>
      </c>
      <c r="X1879" s="2">
        <v>45.395000000000003</v>
      </c>
    </row>
    <row r="1880" spans="1:24" x14ac:dyDescent="0.3">
      <c r="A1880">
        <v>19758</v>
      </c>
      <c r="B1880" t="s">
        <v>5629</v>
      </c>
      <c r="C1880" s="3">
        <v>41264</v>
      </c>
      <c r="D1880" t="s">
        <v>25</v>
      </c>
      <c r="E1880">
        <v>13</v>
      </c>
      <c r="F1880" s="3">
        <f ca="1">41264+(RANDBETWEEN(1,10))</f>
        <v>41272</v>
      </c>
      <c r="G1880" t="s">
        <v>26</v>
      </c>
      <c r="H1880" t="s">
        <v>281</v>
      </c>
      <c r="I1880" t="s">
        <v>97</v>
      </c>
      <c r="J1880">
        <v>3704.2950000000001</v>
      </c>
      <c r="K1880">
        <v>0.02</v>
      </c>
      <c r="L1880">
        <v>0.52</v>
      </c>
      <c r="M1880">
        <v>48.965000000000003</v>
      </c>
      <c r="N1880">
        <v>2555.9635499999999</v>
      </c>
      <c r="O1880" s="1" t="s">
        <v>225</v>
      </c>
      <c r="P1880" s="1" t="s">
        <v>5630</v>
      </c>
      <c r="Q1880" s="1" t="s">
        <v>5631</v>
      </c>
      <c r="R1880" s="1" t="s">
        <v>391</v>
      </c>
      <c r="S1880" s="1" t="s">
        <v>5632</v>
      </c>
      <c r="T1880" s="1" t="s">
        <v>5633</v>
      </c>
      <c r="U1880" s="2" t="s">
        <v>5634</v>
      </c>
      <c r="V1880" s="2" t="s">
        <v>47</v>
      </c>
      <c r="W1880" s="2" t="s">
        <v>71</v>
      </c>
      <c r="X1880" s="2">
        <v>275.27499999999998</v>
      </c>
    </row>
    <row r="1881" spans="1:24" x14ac:dyDescent="0.3">
      <c r="A1881">
        <v>19759</v>
      </c>
      <c r="B1881" t="s">
        <v>5629</v>
      </c>
      <c r="C1881" s="3">
        <v>41264</v>
      </c>
      <c r="D1881" t="s">
        <v>25</v>
      </c>
      <c r="E1881">
        <v>23</v>
      </c>
      <c r="F1881" s="3">
        <f ca="1">41269+(RANDBETWEEN(1,10))</f>
        <v>41277</v>
      </c>
      <c r="G1881" t="s">
        <v>156</v>
      </c>
      <c r="H1881" t="s">
        <v>27</v>
      </c>
      <c r="I1881" t="s">
        <v>97</v>
      </c>
      <c r="J1881">
        <v>299.32</v>
      </c>
      <c r="K1881">
        <v>0.09</v>
      </c>
      <c r="L1881">
        <v>0.37</v>
      </c>
      <c r="M1881">
        <v>1.75</v>
      </c>
      <c r="N1881">
        <v>206.5308</v>
      </c>
      <c r="O1881" s="1" t="s">
        <v>225</v>
      </c>
      <c r="P1881" s="1" t="s">
        <v>5630</v>
      </c>
      <c r="Q1881" s="1" t="s">
        <v>5631</v>
      </c>
      <c r="R1881" s="1" t="s">
        <v>391</v>
      </c>
      <c r="S1881" s="1" t="s">
        <v>5632</v>
      </c>
      <c r="T1881" s="1" t="s">
        <v>5633</v>
      </c>
      <c r="U1881" s="2" t="s">
        <v>5635</v>
      </c>
      <c r="V1881" s="2" t="s">
        <v>47</v>
      </c>
      <c r="W1881" s="2" t="s">
        <v>203</v>
      </c>
      <c r="X1881" s="2">
        <v>13.125</v>
      </c>
    </row>
    <row r="1882" spans="1:24" x14ac:dyDescent="0.3">
      <c r="A1882">
        <v>1976</v>
      </c>
      <c r="B1882" t="s">
        <v>5636</v>
      </c>
      <c r="C1882" s="3">
        <v>40769</v>
      </c>
      <c r="D1882" t="s">
        <v>50</v>
      </c>
      <c r="E1882">
        <v>43</v>
      </c>
      <c r="F1882" s="3">
        <f ca="1">40771+(RANDBETWEEN(1,10))</f>
        <v>40774</v>
      </c>
      <c r="G1882" t="s">
        <v>26</v>
      </c>
      <c r="H1882" t="s">
        <v>27</v>
      </c>
      <c r="I1882" t="s">
        <v>52</v>
      </c>
      <c r="J1882">
        <v>995.68</v>
      </c>
      <c r="K1882">
        <v>0.04</v>
      </c>
      <c r="L1882">
        <v>0.53</v>
      </c>
      <c r="M1882">
        <v>18.934999999999999</v>
      </c>
      <c r="N1882">
        <v>-134.33000000000001</v>
      </c>
      <c r="O1882" s="1" t="s">
        <v>40</v>
      </c>
      <c r="P1882" s="1" t="s">
        <v>2899</v>
      </c>
      <c r="Q1882" s="1" t="s">
        <v>2900</v>
      </c>
      <c r="R1882" s="1" t="s">
        <v>220</v>
      </c>
      <c r="S1882" s="1" t="s">
        <v>221</v>
      </c>
      <c r="T1882" s="1" t="s">
        <v>2901</v>
      </c>
      <c r="U1882" s="2" t="s">
        <v>5637</v>
      </c>
      <c r="V1882" s="2" t="s">
        <v>83</v>
      </c>
      <c r="W1882" s="2" t="s">
        <v>178</v>
      </c>
      <c r="X1882" s="2">
        <v>21.98</v>
      </c>
    </row>
    <row r="1883" spans="1:24" x14ac:dyDescent="0.3">
      <c r="A1883">
        <v>19760</v>
      </c>
      <c r="B1883" t="s">
        <v>5638</v>
      </c>
      <c r="C1883" s="3">
        <v>41009</v>
      </c>
      <c r="D1883" t="s">
        <v>148</v>
      </c>
      <c r="E1883">
        <v>1</v>
      </c>
      <c r="F1883" s="3">
        <f ca="1">41012+(RANDBETWEEN(1,10))</f>
        <v>41017</v>
      </c>
      <c r="G1883" t="s">
        <v>26</v>
      </c>
      <c r="H1883" t="s">
        <v>27</v>
      </c>
      <c r="I1883" t="s">
        <v>52</v>
      </c>
      <c r="J1883">
        <v>18.234999999999999</v>
      </c>
      <c r="K1883">
        <v>0.08</v>
      </c>
      <c r="L1883">
        <v>0.4</v>
      </c>
      <c r="M1883">
        <v>21.945</v>
      </c>
      <c r="N1883">
        <v>-225.547</v>
      </c>
      <c r="O1883" s="1" t="s">
        <v>40</v>
      </c>
      <c r="P1883" s="1" t="s">
        <v>2232</v>
      </c>
      <c r="Q1883" s="1" t="s">
        <v>2233</v>
      </c>
      <c r="R1883" s="1" t="s">
        <v>43</v>
      </c>
      <c r="S1883" s="1" t="s">
        <v>2234</v>
      </c>
      <c r="T1883" s="1" t="s">
        <v>2235</v>
      </c>
      <c r="U1883" s="2" t="s">
        <v>1887</v>
      </c>
      <c r="V1883" s="2" t="s">
        <v>47</v>
      </c>
      <c r="W1883" s="2" t="s">
        <v>111</v>
      </c>
      <c r="X1883" s="2">
        <v>11.76</v>
      </c>
    </row>
    <row r="1884" spans="1:24" x14ac:dyDescent="0.3">
      <c r="A1884">
        <v>19761</v>
      </c>
      <c r="B1884" t="s">
        <v>5638</v>
      </c>
      <c r="C1884" s="3">
        <v>41009</v>
      </c>
      <c r="D1884" t="s">
        <v>148</v>
      </c>
      <c r="E1884">
        <v>7</v>
      </c>
      <c r="F1884" s="3">
        <f ca="1">41010+(RANDBETWEEN(1,10))</f>
        <v>41016</v>
      </c>
      <c r="G1884" t="s">
        <v>26</v>
      </c>
      <c r="H1884" t="s">
        <v>27</v>
      </c>
      <c r="I1884" t="s">
        <v>52</v>
      </c>
      <c r="J1884">
        <v>1532.1949999999999</v>
      </c>
      <c r="K1884">
        <v>0</v>
      </c>
      <c r="L1884">
        <v>0.39</v>
      </c>
      <c r="M1884">
        <v>36.015000000000001</v>
      </c>
      <c r="N1884">
        <v>24.843</v>
      </c>
      <c r="O1884" s="1" t="s">
        <v>40</v>
      </c>
      <c r="P1884" s="1" t="s">
        <v>2232</v>
      </c>
      <c r="Q1884" s="1" t="s">
        <v>2233</v>
      </c>
      <c r="R1884" s="1" t="s">
        <v>43</v>
      </c>
      <c r="S1884" s="1" t="s">
        <v>2234</v>
      </c>
      <c r="T1884" s="1" t="s">
        <v>2235</v>
      </c>
      <c r="U1884" s="2" t="s">
        <v>4193</v>
      </c>
      <c r="V1884" s="2" t="s">
        <v>47</v>
      </c>
      <c r="W1884" s="2" t="s">
        <v>111</v>
      </c>
      <c r="X1884" s="2">
        <v>209.23</v>
      </c>
    </row>
    <row r="1885" spans="1:24" x14ac:dyDescent="0.3">
      <c r="A1885">
        <v>19762</v>
      </c>
      <c r="B1885" t="s">
        <v>5638</v>
      </c>
      <c r="C1885" s="3">
        <v>41009</v>
      </c>
      <c r="D1885" t="s">
        <v>148</v>
      </c>
      <c r="E1885">
        <v>5</v>
      </c>
      <c r="F1885" s="3">
        <f ca="1">41010+(RANDBETWEEN(1,10))</f>
        <v>41017</v>
      </c>
      <c r="G1885" t="s">
        <v>156</v>
      </c>
      <c r="H1885" t="s">
        <v>51</v>
      </c>
      <c r="I1885" t="s">
        <v>52</v>
      </c>
      <c r="J1885">
        <v>219.1</v>
      </c>
      <c r="K1885">
        <v>0.04</v>
      </c>
      <c r="L1885">
        <v>0.55000000000000004</v>
      </c>
      <c r="M1885">
        <v>9.9749999999999996</v>
      </c>
      <c r="N1885">
        <v>269.03100000000001</v>
      </c>
      <c r="O1885" s="1" t="s">
        <v>40</v>
      </c>
      <c r="P1885" s="1" t="s">
        <v>2232</v>
      </c>
      <c r="Q1885" s="1" t="s">
        <v>2233</v>
      </c>
      <c r="R1885" s="1" t="s">
        <v>43</v>
      </c>
      <c r="S1885" s="1" t="s">
        <v>2234</v>
      </c>
      <c r="T1885" s="1" t="s">
        <v>2235</v>
      </c>
      <c r="U1885" s="2" t="s">
        <v>3256</v>
      </c>
      <c r="V1885" s="2" t="s">
        <v>83</v>
      </c>
      <c r="W1885" s="2" t="s">
        <v>178</v>
      </c>
      <c r="X1885" s="2">
        <v>42.77</v>
      </c>
    </row>
    <row r="1886" spans="1:24" x14ac:dyDescent="0.3">
      <c r="A1886">
        <v>19763</v>
      </c>
      <c r="B1886" t="s">
        <v>5639</v>
      </c>
      <c r="C1886" s="3">
        <v>41327</v>
      </c>
      <c r="D1886" t="s">
        <v>25</v>
      </c>
      <c r="E1886">
        <v>1</v>
      </c>
      <c r="F1886" s="3">
        <f ca="1">41333+(RANDBETWEEN(1,10))</f>
        <v>41334</v>
      </c>
      <c r="G1886" t="s">
        <v>26</v>
      </c>
      <c r="H1886" t="s">
        <v>27</v>
      </c>
      <c r="I1886" t="s">
        <v>97</v>
      </c>
      <c r="J1886">
        <v>187.46</v>
      </c>
      <c r="K1886">
        <v>0.08</v>
      </c>
      <c r="L1886">
        <v>0.36</v>
      </c>
      <c r="M1886">
        <v>17.010000000000002</v>
      </c>
      <c r="N1886">
        <v>-192.04499999999999</v>
      </c>
      <c r="O1886" s="1" t="s">
        <v>53</v>
      </c>
      <c r="P1886" s="1" t="s">
        <v>5640</v>
      </c>
      <c r="Q1886" s="1" t="s">
        <v>5641</v>
      </c>
      <c r="R1886" s="1" t="s">
        <v>440</v>
      </c>
      <c r="S1886" s="1" t="s">
        <v>5642</v>
      </c>
      <c r="T1886" s="1" t="s">
        <v>5643</v>
      </c>
      <c r="U1886" s="2" t="s">
        <v>1690</v>
      </c>
      <c r="V1886" s="2" t="s">
        <v>47</v>
      </c>
      <c r="W1886" s="2" t="s">
        <v>74</v>
      </c>
      <c r="X1886" s="2">
        <v>195.93</v>
      </c>
    </row>
    <row r="1887" spans="1:24" x14ac:dyDescent="0.3">
      <c r="A1887">
        <v>19764</v>
      </c>
      <c r="B1887" t="s">
        <v>5639</v>
      </c>
      <c r="C1887" s="3">
        <v>41327</v>
      </c>
      <c r="D1887" t="s">
        <v>25</v>
      </c>
      <c r="E1887">
        <v>7</v>
      </c>
      <c r="F1887" s="3">
        <f ca="1">41331+(RANDBETWEEN(1,10))</f>
        <v>41336</v>
      </c>
      <c r="G1887" t="s">
        <v>26</v>
      </c>
      <c r="H1887" t="s">
        <v>27</v>
      </c>
      <c r="I1887" t="s">
        <v>97</v>
      </c>
      <c r="J1887">
        <v>662.72500000000002</v>
      </c>
      <c r="K1887">
        <v>0.05</v>
      </c>
      <c r="L1887">
        <v>0.39</v>
      </c>
      <c r="M1887">
        <v>20.51</v>
      </c>
      <c r="N1887">
        <v>457.28025000000002</v>
      </c>
      <c r="O1887" s="1" t="s">
        <v>53</v>
      </c>
      <c r="P1887" s="1" t="s">
        <v>5640</v>
      </c>
      <c r="Q1887" s="1" t="s">
        <v>5641</v>
      </c>
      <c r="R1887" s="1" t="s">
        <v>440</v>
      </c>
      <c r="S1887" s="1" t="s">
        <v>5642</v>
      </c>
      <c r="T1887" s="1" t="s">
        <v>5643</v>
      </c>
      <c r="U1887" s="2" t="s">
        <v>5644</v>
      </c>
      <c r="V1887" s="2" t="s">
        <v>47</v>
      </c>
      <c r="W1887" s="2" t="s">
        <v>74</v>
      </c>
      <c r="X1887" s="2">
        <v>92.33</v>
      </c>
    </row>
    <row r="1888" spans="1:24" x14ac:dyDescent="0.3">
      <c r="A1888">
        <v>19765</v>
      </c>
      <c r="B1888" t="s">
        <v>5639</v>
      </c>
      <c r="C1888" s="3">
        <v>41327</v>
      </c>
      <c r="D1888" t="s">
        <v>25</v>
      </c>
      <c r="E1888">
        <v>7</v>
      </c>
      <c r="F1888" s="3">
        <f ca="1">41331+(RANDBETWEEN(1,10))</f>
        <v>41332</v>
      </c>
      <c r="G1888" t="s">
        <v>26</v>
      </c>
      <c r="H1888" t="s">
        <v>27</v>
      </c>
      <c r="I1888" t="s">
        <v>97</v>
      </c>
      <c r="J1888">
        <v>3745.0349999999999</v>
      </c>
      <c r="K1888">
        <v>7.0000000000000007E-2</v>
      </c>
      <c r="L1888">
        <v>0.59</v>
      </c>
      <c r="M1888">
        <v>24.745000000000001</v>
      </c>
      <c r="N1888">
        <v>2584.0741499999999</v>
      </c>
      <c r="O1888" s="1" t="s">
        <v>53</v>
      </c>
      <c r="P1888" s="1" t="s">
        <v>5640</v>
      </c>
      <c r="Q1888" s="1" t="s">
        <v>5641</v>
      </c>
      <c r="R1888" s="1" t="s">
        <v>440</v>
      </c>
      <c r="S1888" s="1" t="s">
        <v>5642</v>
      </c>
      <c r="T1888" s="1" t="s">
        <v>5643</v>
      </c>
      <c r="U1888" s="2" t="s">
        <v>3378</v>
      </c>
      <c r="V1888" s="2" t="s">
        <v>47</v>
      </c>
      <c r="W1888" s="2" t="s">
        <v>119</v>
      </c>
      <c r="X1888" s="2">
        <v>542.71</v>
      </c>
    </row>
    <row r="1889" spans="1:24" x14ac:dyDescent="0.3">
      <c r="A1889">
        <v>19766</v>
      </c>
      <c r="B1889" t="s">
        <v>5645</v>
      </c>
      <c r="C1889" s="3">
        <v>40660</v>
      </c>
      <c r="D1889" t="s">
        <v>62</v>
      </c>
      <c r="E1889">
        <v>3</v>
      </c>
      <c r="F1889" s="3">
        <f ca="1">40662+(RANDBETWEEN(1,10))</f>
        <v>40665</v>
      </c>
      <c r="G1889" t="s">
        <v>156</v>
      </c>
      <c r="H1889" t="s">
        <v>27</v>
      </c>
      <c r="I1889" t="s">
        <v>97</v>
      </c>
      <c r="J1889">
        <v>593.11</v>
      </c>
      <c r="K1889">
        <v>0.09</v>
      </c>
      <c r="L1889">
        <v>0.38</v>
      </c>
      <c r="M1889">
        <v>5.2149999999999999</v>
      </c>
      <c r="N1889">
        <v>2680.125</v>
      </c>
      <c r="O1889" s="1" t="s">
        <v>64</v>
      </c>
      <c r="P1889" s="1" t="s">
        <v>2942</v>
      </c>
      <c r="Q1889" s="1" t="s">
        <v>2943</v>
      </c>
      <c r="R1889" s="1" t="s">
        <v>67</v>
      </c>
      <c r="S1889" s="1" t="s">
        <v>2944</v>
      </c>
      <c r="T1889" s="1" t="s">
        <v>2945</v>
      </c>
      <c r="U1889" s="2" t="s">
        <v>3367</v>
      </c>
      <c r="V1889" s="2" t="s">
        <v>47</v>
      </c>
      <c r="W1889" s="2" t="s">
        <v>111</v>
      </c>
      <c r="X1889" s="2">
        <v>203.35</v>
      </c>
    </row>
    <row r="1890" spans="1:24" x14ac:dyDescent="0.3">
      <c r="A1890">
        <v>19767</v>
      </c>
      <c r="B1890" t="s">
        <v>5646</v>
      </c>
      <c r="C1890" s="3">
        <v>41756</v>
      </c>
      <c r="D1890" t="s">
        <v>62</v>
      </c>
      <c r="E1890">
        <v>4</v>
      </c>
      <c r="F1890" s="3">
        <f ca="1">41758+(RANDBETWEEN(1,10))</f>
        <v>41768</v>
      </c>
      <c r="G1890" t="s">
        <v>26</v>
      </c>
      <c r="H1890" t="s">
        <v>27</v>
      </c>
      <c r="I1890" t="s">
        <v>97</v>
      </c>
      <c r="J1890">
        <v>572.32000000000005</v>
      </c>
      <c r="K1890">
        <v>0.01</v>
      </c>
      <c r="L1890">
        <v>0.67</v>
      </c>
      <c r="M1890">
        <v>24.92</v>
      </c>
      <c r="N1890">
        <v>983.19899999999996</v>
      </c>
      <c r="O1890" s="1" t="s">
        <v>64</v>
      </c>
      <c r="P1890" s="1" t="s">
        <v>2942</v>
      </c>
      <c r="Q1890" s="1" t="s">
        <v>2943</v>
      </c>
      <c r="R1890" s="1" t="s">
        <v>67</v>
      </c>
      <c r="S1890" s="1" t="s">
        <v>2944</v>
      </c>
      <c r="T1890" s="1" t="s">
        <v>2945</v>
      </c>
      <c r="U1890" s="2" t="s">
        <v>3979</v>
      </c>
      <c r="V1890" s="2" t="s">
        <v>36</v>
      </c>
      <c r="W1890" s="2" t="s">
        <v>60</v>
      </c>
      <c r="X1890" s="2">
        <v>139.93</v>
      </c>
    </row>
    <row r="1891" spans="1:24" x14ac:dyDescent="0.3">
      <c r="A1891">
        <v>19768</v>
      </c>
      <c r="B1891" t="s">
        <v>5647</v>
      </c>
      <c r="C1891" s="3">
        <v>40987</v>
      </c>
      <c r="D1891" t="s">
        <v>25</v>
      </c>
      <c r="E1891">
        <v>6</v>
      </c>
      <c r="F1891" s="3">
        <f ca="1">40989+(RANDBETWEEN(1,10))</f>
        <v>40990</v>
      </c>
      <c r="G1891" t="s">
        <v>26</v>
      </c>
      <c r="H1891" t="s">
        <v>96</v>
      </c>
      <c r="I1891" t="s">
        <v>86</v>
      </c>
      <c r="J1891">
        <v>329.98</v>
      </c>
      <c r="K1891">
        <v>0.02</v>
      </c>
      <c r="L1891">
        <v>0.39</v>
      </c>
      <c r="M1891">
        <v>6.8949999999999996</v>
      </c>
      <c r="N1891">
        <v>227.68620000000001</v>
      </c>
      <c r="O1891" s="1" t="s">
        <v>64</v>
      </c>
      <c r="P1891" s="1" t="s">
        <v>5648</v>
      </c>
      <c r="Q1891" s="1" t="s">
        <v>5649</v>
      </c>
      <c r="R1891" s="1" t="s">
        <v>128</v>
      </c>
      <c r="S1891" s="1" t="s">
        <v>1156</v>
      </c>
      <c r="T1891" s="1" t="s">
        <v>1157</v>
      </c>
      <c r="U1891" s="2" t="s">
        <v>372</v>
      </c>
      <c r="V1891" s="2" t="s">
        <v>47</v>
      </c>
      <c r="W1891" s="2" t="s">
        <v>74</v>
      </c>
      <c r="X1891" s="2">
        <v>52.64</v>
      </c>
    </row>
    <row r="1892" spans="1:24" x14ac:dyDescent="0.3">
      <c r="A1892">
        <v>19769</v>
      </c>
      <c r="B1892" t="s">
        <v>5650</v>
      </c>
      <c r="C1892" s="3">
        <v>40558</v>
      </c>
      <c r="D1892" t="s">
        <v>39</v>
      </c>
      <c r="E1892">
        <v>6</v>
      </c>
      <c r="F1892" s="3">
        <f ca="1">40559+(RANDBETWEEN(1,10))</f>
        <v>40569</v>
      </c>
      <c r="G1892" t="s">
        <v>156</v>
      </c>
      <c r="H1892" t="s">
        <v>27</v>
      </c>
      <c r="I1892" t="s">
        <v>97</v>
      </c>
      <c r="J1892">
        <v>168.875</v>
      </c>
      <c r="K1892">
        <v>0.08</v>
      </c>
      <c r="L1892">
        <v>0.49</v>
      </c>
      <c r="M1892">
        <v>27.86</v>
      </c>
      <c r="N1892">
        <v>55.944000000000003</v>
      </c>
      <c r="O1892" s="1" t="s">
        <v>29</v>
      </c>
      <c r="P1892" s="1" t="s">
        <v>5651</v>
      </c>
      <c r="Q1892" s="1" t="s">
        <v>5652</v>
      </c>
      <c r="R1892" s="1" t="s">
        <v>460</v>
      </c>
      <c r="S1892" s="1" t="s">
        <v>5653</v>
      </c>
      <c r="T1892" s="1" t="s">
        <v>5654</v>
      </c>
      <c r="U1892" s="2" t="s">
        <v>3533</v>
      </c>
      <c r="V1892" s="2" t="s">
        <v>83</v>
      </c>
      <c r="W1892" s="2" t="s">
        <v>178</v>
      </c>
      <c r="X1892" s="2">
        <v>28.315000000000001</v>
      </c>
    </row>
    <row r="1893" spans="1:24" x14ac:dyDescent="0.3">
      <c r="A1893">
        <v>1977</v>
      </c>
      <c r="B1893" t="s">
        <v>5655</v>
      </c>
      <c r="C1893" s="3">
        <v>41865</v>
      </c>
      <c r="D1893" t="s">
        <v>50</v>
      </c>
      <c r="E1893">
        <v>92</v>
      </c>
      <c r="F1893" s="3">
        <f ca="1">41867+(RANDBETWEEN(1,10))</f>
        <v>41872</v>
      </c>
      <c r="G1893" t="s">
        <v>26</v>
      </c>
      <c r="H1893" t="s">
        <v>27</v>
      </c>
      <c r="I1893" t="s">
        <v>52</v>
      </c>
      <c r="J1893">
        <v>23072.42</v>
      </c>
      <c r="K1893">
        <v>0.06</v>
      </c>
      <c r="L1893">
        <v>0.57999999999999996</v>
      </c>
      <c r="M1893">
        <v>37.729999999999997</v>
      </c>
      <c r="N1893">
        <v>2071.692</v>
      </c>
      <c r="O1893" s="1" t="s">
        <v>40</v>
      </c>
      <c r="P1893" s="1" t="s">
        <v>2899</v>
      </c>
      <c r="Q1893" s="1" t="s">
        <v>2900</v>
      </c>
      <c r="R1893" s="1" t="s">
        <v>220</v>
      </c>
      <c r="S1893" s="1" t="s">
        <v>221</v>
      </c>
      <c r="T1893" s="1" t="s">
        <v>2901</v>
      </c>
      <c r="U1893" s="2">
        <v>3395</v>
      </c>
      <c r="V1893" s="2" t="s">
        <v>36</v>
      </c>
      <c r="W1893" s="2" t="s">
        <v>37</v>
      </c>
      <c r="X1893" s="2">
        <v>300.96499999999997</v>
      </c>
    </row>
    <row r="1894" spans="1:24" x14ac:dyDescent="0.3">
      <c r="A1894">
        <v>19770</v>
      </c>
      <c r="B1894" t="s">
        <v>5656</v>
      </c>
      <c r="C1894" s="3">
        <v>40948</v>
      </c>
      <c r="D1894" t="s">
        <v>25</v>
      </c>
      <c r="E1894">
        <v>11</v>
      </c>
      <c r="F1894" s="3">
        <f ca="1">40948+(RANDBETWEEN(1,10))</f>
        <v>40957</v>
      </c>
      <c r="G1894" t="s">
        <v>26</v>
      </c>
      <c r="H1894" t="s">
        <v>63</v>
      </c>
      <c r="I1894" t="s">
        <v>86</v>
      </c>
      <c r="J1894">
        <v>18818.415000000001</v>
      </c>
      <c r="K1894">
        <v>0.06</v>
      </c>
      <c r="L1894">
        <v>0.36</v>
      </c>
      <c r="M1894">
        <v>85.715000000000003</v>
      </c>
      <c r="N1894">
        <v>4411.7849999999999</v>
      </c>
      <c r="O1894" s="1" t="s">
        <v>64</v>
      </c>
      <c r="P1894" s="1" t="s">
        <v>786</v>
      </c>
      <c r="Q1894" s="1" t="s">
        <v>787</v>
      </c>
      <c r="R1894" s="1" t="s">
        <v>128</v>
      </c>
      <c r="S1894" s="1" t="s">
        <v>788</v>
      </c>
      <c r="T1894" s="1" t="s">
        <v>789</v>
      </c>
      <c r="U1894" s="2" t="s">
        <v>3414</v>
      </c>
      <c r="V1894" s="2" t="s">
        <v>36</v>
      </c>
      <c r="W1894" s="2" t="s">
        <v>1327</v>
      </c>
      <c r="X1894" s="2">
        <v>1749.9649999999999</v>
      </c>
    </row>
    <row r="1895" spans="1:24" x14ac:dyDescent="0.3">
      <c r="A1895">
        <v>19771</v>
      </c>
      <c r="B1895" t="s">
        <v>5656</v>
      </c>
      <c r="C1895" s="3">
        <v>40948</v>
      </c>
      <c r="D1895" t="s">
        <v>25</v>
      </c>
      <c r="E1895">
        <v>7</v>
      </c>
      <c r="F1895" s="3">
        <f ca="1">40950+(RANDBETWEEN(1,10))</f>
        <v>40951</v>
      </c>
      <c r="G1895" t="s">
        <v>76</v>
      </c>
      <c r="H1895" t="s">
        <v>77</v>
      </c>
      <c r="I1895" t="s">
        <v>86</v>
      </c>
      <c r="J1895">
        <v>585.41</v>
      </c>
      <c r="K1895">
        <v>0.02</v>
      </c>
      <c r="L1895">
        <v>0.78</v>
      </c>
      <c r="M1895">
        <v>185.60499999999999</v>
      </c>
      <c r="N1895">
        <v>-4459.07</v>
      </c>
      <c r="O1895" s="1" t="s">
        <v>64</v>
      </c>
      <c r="P1895" s="1" t="s">
        <v>786</v>
      </c>
      <c r="Q1895" s="1" t="s">
        <v>787</v>
      </c>
      <c r="R1895" s="1" t="s">
        <v>128</v>
      </c>
      <c r="S1895" s="1" t="s">
        <v>788</v>
      </c>
      <c r="T1895" s="1" t="s">
        <v>789</v>
      </c>
      <c r="U1895" s="2" t="s">
        <v>583</v>
      </c>
      <c r="V1895" s="2" t="s">
        <v>47</v>
      </c>
      <c r="W1895" s="2" t="s">
        <v>119</v>
      </c>
      <c r="X1895" s="2">
        <v>73.430000000000007</v>
      </c>
    </row>
    <row r="1896" spans="1:24" x14ac:dyDescent="0.3">
      <c r="A1896">
        <v>19772</v>
      </c>
      <c r="B1896" t="s">
        <v>5657</v>
      </c>
      <c r="C1896" s="3">
        <v>40867</v>
      </c>
      <c r="D1896" t="s">
        <v>62</v>
      </c>
      <c r="E1896">
        <v>39</v>
      </c>
      <c r="F1896" s="3">
        <f ca="1">40868+(RANDBETWEEN(1,10))</f>
        <v>40876</v>
      </c>
      <c r="G1896" t="s">
        <v>76</v>
      </c>
      <c r="H1896" t="s">
        <v>258</v>
      </c>
      <c r="I1896" t="s">
        <v>28</v>
      </c>
      <c r="J1896">
        <v>7402.71</v>
      </c>
      <c r="K1896">
        <v>0.09</v>
      </c>
      <c r="L1896">
        <v>0.61</v>
      </c>
      <c r="M1896">
        <v>128.13499999999999</v>
      </c>
      <c r="N1896">
        <v>655.94200000000001</v>
      </c>
      <c r="O1896" s="1" t="s">
        <v>40</v>
      </c>
      <c r="P1896" s="1" t="s">
        <v>5592</v>
      </c>
      <c r="Q1896" s="1" t="s">
        <v>5593</v>
      </c>
      <c r="R1896" s="1" t="s">
        <v>43</v>
      </c>
      <c r="S1896" s="1" t="s">
        <v>1414</v>
      </c>
      <c r="T1896" s="1" t="s">
        <v>1415</v>
      </c>
      <c r="U1896" s="2" t="s">
        <v>4050</v>
      </c>
      <c r="V1896" s="2" t="s">
        <v>83</v>
      </c>
      <c r="W1896" s="2" t="s">
        <v>298</v>
      </c>
      <c r="X1896" s="2">
        <v>203.49</v>
      </c>
    </row>
    <row r="1897" spans="1:24" x14ac:dyDescent="0.3">
      <c r="A1897">
        <v>19773</v>
      </c>
      <c r="B1897" t="s">
        <v>5658</v>
      </c>
      <c r="C1897" s="3">
        <v>41058</v>
      </c>
      <c r="D1897" t="s">
        <v>39</v>
      </c>
      <c r="E1897">
        <v>7</v>
      </c>
      <c r="F1897" s="3">
        <f ca="1">41060+(RANDBETWEEN(1,10))</f>
        <v>41064</v>
      </c>
      <c r="G1897" t="s">
        <v>26</v>
      </c>
      <c r="H1897" t="s">
        <v>281</v>
      </c>
      <c r="I1897" t="s">
        <v>86</v>
      </c>
      <c r="J1897">
        <v>2712.0450000000001</v>
      </c>
      <c r="K1897">
        <v>0.03</v>
      </c>
      <c r="L1897">
        <v>0.65</v>
      </c>
      <c r="M1897">
        <v>48.965000000000003</v>
      </c>
      <c r="N1897">
        <v>1871.31105</v>
      </c>
      <c r="O1897" s="1" t="s">
        <v>29</v>
      </c>
      <c r="P1897" s="1" t="s">
        <v>4563</v>
      </c>
      <c r="Q1897" s="1" t="s">
        <v>4564</v>
      </c>
      <c r="R1897" s="1" t="s">
        <v>460</v>
      </c>
      <c r="S1897" s="1" t="s">
        <v>4565</v>
      </c>
      <c r="T1897" s="1" t="s">
        <v>4566</v>
      </c>
      <c r="U1897" s="2" t="s">
        <v>3518</v>
      </c>
      <c r="V1897" s="2" t="s">
        <v>83</v>
      </c>
      <c r="W1897" s="2" t="s">
        <v>178</v>
      </c>
      <c r="X1897" s="2">
        <v>370.93</v>
      </c>
    </row>
    <row r="1898" spans="1:24" x14ac:dyDescent="0.3">
      <c r="A1898">
        <v>19774</v>
      </c>
      <c r="B1898" t="s">
        <v>5659</v>
      </c>
      <c r="C1898" s="3">
        <v>40915</v>
      </c>
      <c r="D1898" t="s">
        <v>25</v>
      </c>
      <c r="E1898">
        <v>11</v>
      </c>
      <c r="F1898" s="3">
        <f ca="1">40920+(RANDBETWEEN(1,10))</f>
        <v>40926</v>
      </c>
      <c r="G1898" t="s">
        <v>156</v>
      </c>
      <c r="H1898" t="s">
        <v>96</v>
      </c>
      <c r="I1898" t="s">
        <v>28</v>
      </c>
      <c r="J1898">
        <v>139.47499999999999</v>
      </c>
      <c r="K1898">
        <v>0</v>
      </c>
      <c r="L1898">
        <v>0.52</v>
      </c>
      <c r="M1898">
        <v>3.43</v>
      </c>
      <c r="N1898">
        <v>92.248800000000003</v>
      </c>
      <c r="O1898" s="1" t="s">
        <v>40</v>
      </c>
      <c r="P1898" s="1" t="s">
        <v>4967</v>
      </c>
      <c r="Q1898" s="1" t="s">
        <v>4968</v>
      </c>
      <c r="R1898" s="1" t="s">
        <v>220</v>
      </c>
      <c r="S1898" s="1" t="s">
        <v>4969</v>
      </c>
      <c r="T1898" s="1" t="s">
        <v>4970</v>
      </c>
      <c r="U1898" s="2" t="s">
        <v>5660</v>
      </c>
      <c r="V1898" s="2" t="s">
        <v>47</v>
      </c>
      <c r="W1898" s="2" t="s">
        <v>104</v>
      </c>
      <c r="X1898" s="2">
        <v>11.48</v>
      </c>
    </row>
    <row r="1899" spans="1:24" x14ac:dyDescent="0.3">
      <c r="A1899">
        <v>19775</v>
      </c>
      <c r="B1899" t="s">
        <v>5661</v>
      </c>
      <c r="C1899" s="3">
        <v>41138</v>
      </c>
      <c r="D1899" t="s">
        <v>62</v>
      </c>
      <c r="E1899">
        <v>17</v>
      </c>
      <c r="F1899" s="3">
        <f ca="1">41138+(RANDBETWEEN(1,10))</f>
        <v>41147</v>
      </c>
      <c r="G1899" t="s">
        <v>26</v>
      </c>
      <c r="H1899" t="s">
        <v>27</v>
      </c>
      <c r="I1899" t="s">
        <v>86</v>
      </c>
      <c r="J1899">
        <v>3403.75</v>
      </c>
      <c r="K1899">
        <v>0.06</v>
      </c>
      <c r="L1899">
        <v>0.36</v>
      </c>
      <c r="M1899">
        <v>48.58</v>
      </c>
      <c r="N1899">
        <v>2348.5875000000001</v>
      </c>
      <c r="O1899" s="1" t="s">
        <v>87</v>
      </c>
      <c r="P1899" s="1" t="s">
        <v>3061</v>
      </c>
      <c r="Q1899" s="1" t="s">
        <v>3062</v>
      </c>
      <c r="R1899" s="1" t="s">
        <v>90</v>
      </c>
      <c r="S1899" s="1" t="s">
        <v>3063</v>
      </c>
      <c r="T1899" s="1" t="s">
        <v>3064</v>
      </c>
      <c r="U1899" s="2" t="s">
        <v>3437</v>
      </c>
      <c r="V1899" s="2" t="s">
        <v>47</v>
      </c>
      <c r="W1899" s="2" t="s">
        <v>74</v>
      </c>
      <c r="X1899" s="2">
        <v>195.93</v>
      </c>
    </row>
    <row r="1900" spans="1:24" x14ac:dyDescent="0.3">
      <c r="A1900">
        <v>19776</v>
      </c>
      <c r="B1900" t="s">
        <v>5662</v>
      </c>
      <c r="C1900" s="3">
        <v>41689</v>
      </c>
      <c r="D1900" t="s">
        <v>62</v>
      </c>
      <c r="E1900">
        <v>8</v>
      </c>
      <c r="F1900" s="3">
        <f ca="1">41690+(RANDBETWEEN(1,10))</f>
        <v>41696</v>
      </c>
      <c r="G1900" t="s">
        <v>26</v>
      </c>
      <c r="H1900" t="s">
        <v>51</v>
      </c>
      <c r="I1900" t="s">
        <v>28</v>
      </c>
      <c r="J1900">
        <v>1300.8800000000001</v>
      </c>
      <c r="K1900">
        <v>0</v>
      </c>
      <c r="L1900">
        <v>0.57999999999999996</v>
      </c>
      <c r="M1900">
        <v>31.465</v>
      </c>
      <c r="N1900">
        <v>19.571999999999999</v>
      </c>
      <c r="O1900" s="1" t="s">
        <v>64</v>
      </c>
      <c r="P1900" s="1" t="s">
        <v>1187</v>
      </c>
      <c r="Q1900" s="1" t="s">
        <v>1188</v>
      </c>
      <c r="R1900" s="1" t="s">
        <v>128</v>
      </c>
      <c r="S1900" s="1" t="s">
        <v>1189</v>
      </c>
      <c r="T1900" s="1" t="s">
        <v>1190</v>
      </c>
      <c r="U1900" s="2" t="s">
        <v>565</v>
      </c>
      <c r="V1900" s="2" t="s">
        <v>47</v>
      </c>
      <c r="W1900" s="2" t="s">
        <v>104</v>
      </c>
      <c r="X1900" s="2">
        <v>153.93</v>
      </c>
    </row>
    <row r="1901" spans="1:24" x14ac:dyDescent="0.3">
      <c r="A1901">
        <v>19777</v>
      </c>
      <c r="B1901" t="s">
        <v>5662</v>
      </c>
      <c r="C1901" s="3">
        <v>41689</v>
      </c>
      <c r="D1901" t="s">
        <v>62</v>
      </c>
      <c r="E1901">
        <v>11</v>
      </c>
      <c r="F1901" s="3">
        <f ca="1">41690+(RANDBETWEEN(1,10))</f>
        <v>41695</v>
      </c>
      <c r="G1901" t="s">
        <v>26</v>
      </c>
      <c r="H1901" t="s">
        <v>51</v>
      </c>
      <c r="I1901" t="s">
        <v>28</v>
      </c>
      <c r="J1901">
        <v>477.435</v>
      </c>
      <c r="K1901">
        <v>0.05</v>
      </c>
      <c r="L1901">
        <v>0.6</v>
      </c>
      <c r="M1901">
        <v>10.99</v>
      </c>
      <c r="N1901">
        <v>-399.59500000000003</v>
      </c>
      <c r="O1901" s="1" t="s">
        <v>53</v>
      </c>
      <c r="P1901" s="1" t="s">
        <v>5663</v>
      </c>
      <c r="Q1901" s="1" t="s">
        <v>5664</v>
      </c>
      <c r="R1901" s="1" t="s">
        <v>100</v>
      </c>
      <c r="S1901" s="1" t="s">
        <v>5665</v>
      </c>
      <c r="T1901" s="1" t="s">
        <v>5666</v>
      </c>
      <c r="U1901" s="2" t="s">
        <v>536</v>
      </c>
      <c r="V1901" s="2" t="s">
        <v>47</v>
      </c>
      <c r="W1901" s="2" t="s">
        <v>94</v>
      </c>
      <c r="X1901" s="2">
        <v>45.43</v>
      </c>
    </row>
    <row r="1902" spans="1:24" x14ac:dyDescent="0.3">
      <c r="A1902">
        <v>19778</v>
      </c>
      <c r="B1902" t="s">
        <v>5667</v>
      </c>
      <c r="C1902" s="3">
        <v>40976</v>
      </c>
      <c r="D1902" t="s">
        <v>25</v>
      </c>
      <c r="E1902">
        <v>1</v>
      </c>
      <c r="F1902" s="3">
        <f ca="1">40983+(RANDBETWEEN(1,10))</f>
        <v>40988</v>
      </c>
      <c r="G1902" t="s">
        <v>26</v>
      </c>
      <c r="H1902" t="s">
        <v>27</v>
      </c>
      <c r="I1902" t="s">
        <v>86</v>
      </c>
      <c r="J1902">
        <v>44.66</v>
      </c>
      <c r="K1902">
        <v>0.01</v>
      </c>
      <c r="L1902">
        <v>0.55000000000000004</v>
      </c>
      <c r="M1902">
        <v>21.77</v>
      </c>
      <c r="N1902">
        <v>30.8154</v>
      </c>
      <c r="O1902" s="1" t="s">
        <v>29</v>
      </c>
      <c r="P1902" s="1" t="s">
        <v>673</v>
      </c>
      <c r="Q1902" s="1" t="s">
        <v>674</v>
      </c>
      <c r="R1902" s="1" t="s">
        <v>675</v>
      </c>
      <c r="S1902" s="1" t="s">
        <v>676</v>
      </c>
      <c r="T1902" s="1" t="s">
        <v>677</v>
      </c>
      <c r="U1902" s="2" t="s">
        <v>1422</v>
      </c>
      <c r="V1902" s="2" t="s">
        <v>83</v>
      </c>
      <c r="W1902" s="2" t="s">
        <v>178</v>
      </c>
      <c r="X1902" s="2">
        <v>33.774999999999999</v>
      </c>
    </row>
    <row r="1903" spans="1:24" x14ac:dyDescent="0.3">
      <c r="A1903">
        <v>19779</v>
      </c>
      <c r="B1903" t="s">
        <v>5668</v>
      </c>
      <c r="C1903" s="3">
        <v>41083</v>
      </c>
      <c r="D1903" t="s">
        <v>39</v>
      </c>
      <c r="E1903">
        <v>15</v>
      </c>
      <c r="F1903" s="3">
        <f ca="1">41085+(RANDBETWEEN(1,10))</f>
        <v>41090</v>
      </c>
      <c r="G1903" t="s">
        <v>26</v>
      </c>
      <c r="H1903" t="s">
        <v>96</v>
      </c>
      <c r="I1903" t="s">
        <v>28</v>
      </c>
      <c r="J1903">
        <v>912.03</v>
      </c>
      <c r="K1903">
        <v>0.09</v>
      </c>
      <c r="L1903">
        <v>0.56999999999999995</v>
      </c>
      <c r="M1903">
        <v>3.4649999999999999</v>
      </c>
      <c r="N1903">
        <v>629.30070000000001</v>
      </c>
      <c r="O1903" s="1" t="s">
        <v>53</v>
      </c>
      <c r="P1903" s="1" t="s">
        <v>5669</v>
      </c>
      <c r="Q1903" s="1" t="s">
        <v>5670</v>
      </c>
      <c r="R1903" s="1" t="s">
        <v>56</v>
      </c>
      <c r="S1903" s="1" t="s">
        <v>5671</v>
      </c>
      <c r="T1903" s="1" t="s">
        <v>5672</v>
      </c>
      <c r="U1903" s="2" t="s">
        <v>5426</v>
      </c>
      <c r="V1903" s="2" t="s">
        <v>36</v>
      </c>
      <c r="W1903" s="2" t="s">
        <v>37</v>
      </c>
      <c r="X1903" s="2">
        <v>73.465000000000003</v>
      </c>
    </row>
    <row r="1904" spans="1:24" x14ac:dyDescent="0.3">
      <c r="A1904">
        <v>19780</v>
      </c>
      <c r="B1904" t="s">
        <v>5673</v>
      </c>
      <c r="C1904" s="3">
        <v>40641</v>
      </c>
      <c r="D1904" t="s">
        <v>62</v>
      </c>
      <c r="E1904">
        <v>9</v>
      </c>
      <c r="F1904" s="3">
        <f ca="1">40643+(RANDBETWEEN(1,10))</f>
        <v>40650</v>
      </c>
      <c r="G1904" t="s">
        <v>156</v>
      </c>
      <c r="H1904" t="s">
        <v>27</v>
      </c>
      <c r="I1904" t="s">
        <v>28</v>
      </c>
      <c r="J1904">
        <v>1448.0550000000001</v>
      </c>
      <c r="K1904">
        <v>0.01</v>
      </c>
      <c r="L1904">
        <v>0.56000000000000005</v>
      </c>
      <c r="M1904">
        <v>16.170000000000002</v>
      </c>
      <c r="N1904">
        <v>999.15795000000003</v>
      </c>
      <c r="O1904" s="1" t="s">
        <v>225</v>
      </c>
      <c r="P1904" s="1" t="s">
        <v>5496</v>
      </c>
      <c r="Q1904" s="1" t="s">
        <v>5497</v>
      </c>
      <c r="R1904" s="1" t="s">
        <v>228</v>
      </c>
      <c r="S1904" s="1" t="s">
        <v>5498</v>
      </c>
      <c r="T1904" s="1" t="s">
        <v>5499</v>
      </c>
      <c r="U1904" s="2" t="s">
        <v>5674</v>
      </c>
      <c r="V1904" s="2" t="s">
        <v>47</v>
      </c>
      <c r="W1904" s="2" t="s">
        <v>71</v>
      </c>
      <c r="X1904" s="2">
        <v>150.43</v>
      </c>
    </row>
    <row r="1905" spans="1:24" x14ac:dyDescent="0.3">
      <c r="A1905">
        <v>19781</v>
      </c>
      <c r="B1905" t="s">
        <v>5675</v>
      </c>
      <c r="C1905" s="3">
        <v>40560</v>
      </c>
      <c r="D1905" t="s">
        <v>62</v>
      </c>
      <c r="E1905">
        <v>10</v>
      </c>
      <c r="F1905" s="3">
        <f ca="1">40560+(RANDBETWEEN(1,10))</f>
        <v>40562</v>
      </c>
      <c r="G1905" t="s">
        <v>26</v>
      </c>
      <c r="H1905" t="s">
        <v>27</v>
      </c>
      <c r="I1905" t="s">
        <v>86</v>
      </c>
      <c r="J1905">
        <v>1000.545</v>
      </c>
      <c r="K1905">
        <v>0.08</v>
      </c>
      <c r="L1905">
        <v>0.39</v>
      </c>
      <c r="M1905">
        <v>69.965000000000003</v>
      </c>
      <c r="N1905">
        <v>-839.52959999999996</v>
      </c>
      <c r="O1905" s="1" t="s">
        <v>64</v>
      </c>
      <c r="P1905" s="1" t="s">
        <v>786</v>
      </c>
      <c r="Q1905" s="1" t="s">
        <v>787</v>
      </c>
      <c r="R1905" s="1" t="s">
        <v>128</v>
      </c>
      <c r="S1905" s="1" t="s">
        <v>788</v>
      </c>
      <c r="T1905" s="1" t="s">
        <v>789</v>
      </c>
      <c r="U1905" s="2" t="s">
        <v>2749</v>
      </c>
      <c r="V1905" s="2" t="s">
        <v>47</v>
      </c>
      <c r="W1905" s="2" t="s">
        <v>203</v>
      </c>
      <c r="X1905" s="2">
        <v>106.855</v>
      </c>
    </row>
    <row r="1906" spans="1:24" x14ac:dyDescent="0.3">
      <c r="A1906">
        <v>19782</v>
      </c>
      <c r="B1906" t="s">
        <v>5675</v>
      </c>
      <c r="C1906" s="3">
        <v>40560</v>
      </c>
      <c r="D1906" t="s">
        <v>62</v>
      </c>
      <c r="E1906">
        <v>12</v>
      </c>
      <c r="F1906" s="3">
        <f ca="1">40562+(RANDBETWEEN(1,10))</f>
        <v>40565</v>
      </c>
      <c r="G1906" t="s">
        <v>26</v>
      </c>
      <c r="H1906" t="s">
        <v>96</v>
      </c>
      <c r="I1906" t="s">
        <v>86</v>
      </c>
      <c r="J1906">
        <v>71.295000000000002</v>
      </c>
      <c r="K1906">
        <v>0.01</v>
      </c>
      <c r="L1906">
        <v>0.59</v>
      </c>
      <c r="M1906">
        <v>5.4950000000000001</v>
      </c>
      <c r="N1906">
        <v>-187.054</v>
      </c>
      <c r="O1906" s="1" t="s">
        <v>87</v>
      </c>
      <c r="P1906" s="1" t="s">
        <v>5676</v>
      </c>
      <c r="Q1906" s="1" t="s">
        <v>5677</v>
      </c>
      <c r="R1906" s="1" t="s">
        <v>398</v>
      </c>
      <c r="S1906" s="1" t="s">
        <v>5678</v>
      </c>
      <c r="T1906" s="1" t="s">
        <v>5679</v>
      </c>
      <c r="U1906" s="2" t="s">
        <v>2439</v>
      </c>
      <c r="V1906" s="2" t="s">
        <v>47</v>
      </c>
      <c r="W1906" s="2" t="s">
        <v>104</v>
      </c>
      <c r="X1906" s="2">
        <v>5.88</v>
      </c>
    </row>
    <row r="1907" spans="1:24" x14ac:dyDescent="0.3">
      <c r="A1907">
        <v>19783</v>
      </c>
      <c r="B1907" t="s">
        <v>5680</v>
      </c>
      <c r="C1907" s="3">
        <v>41285</v>
      </c>
      <c r="D1907" t="s">
        <v>25</v>
      </c>
      <c r="E1907">
        <v>2</v>
      </c>
      <c r="F1907" s="3">
        <f ca="1">41287+(RANDBETWEEN(1,10))</f>
        <v>41291</v>
      </c>
      <c r="G1907" t="s">
        <v>26</v>
      </c>
      <c r="H1907" t="s">
        <v>27</v>
      </c>
      <c r="I1907" t="s">
        <v>28</v>
      </c>
      <c r="J1907">
        <v>19.844999999999999</v>
      </c>
      <c r="K1907">
        <v>7.0000000000000007E-2</v>
      </c>
      <c r="L1907">
        <v>0.39</v>
      </c>
      <c r="M1907">
        <v>5.2149999999999999</v>
      </c>
      <c r="N1907">
        <v>-20.013909999999999</v>
      </c>
      <c r="O1907" s="1" t="s">
        <v>53</v>
      </c>
      <c r="P1907" s="1" t="s">
        <v>5681</v>
      </c>
      <c r="Q1907" s="1" t="s">
        <v>5682</v>
      </c>
      <c r="R1907" s="1" t="s">
        <v>440</v>
      </c>
      <c r="S1907" s="1" t="s">
        <v>1172</v>
      </c>
      <c r="T1907" s="1" t="s">
        <v>5683</v>
      </c>
      <c r="U1907" s="2" t="s">
        <v>5684</v>
      </c>
      <c r="V1907" s="2" t="s">
        <v>47</v>
      </c>
      <c r="W1907" s="2" t="s">
        <v>111</v>
      </c>
      <c r="X1907" s="2">
        <v>9.73</v>
      </c>
    </row>
    <row r="1908" spans="1:24" x14ac:dyDescent="0.3">
      <c r="A1908">
        <v>19784</v>
      </c>
      <c r="B1908" t="s">
        <v>5680</v>
      </c>
      <c r="C1908" s="3">
        <v>41285</v>
      </c>
      <c r="D1908" t="s">
        <v>25</v>
      </c>
      <c r="E1908">
        <v>4</v>
      </c>
      <c r="F1908" s="3">
        <f ca="1">41294+(RANDBETWEEN(1,10))</f>
        <v>41296</v>
      </c>
      <c r="G1908" t="s">
        <v>26</v>
      </c>
      <c r="H1908" t="s">
        <v>27</v>
      </c>
      <c r="I1908" t="s">
        <v>28</v>
      </c>
      <c r="J1908">
        <v>62.93</v>
      </c>
      <c r="K1908">
        <v>0.04</v>
      </c>
      <c r="L1908">
        <v>0.49</v>
      </c>
      <c r="M1908">
        <v>23.1</v>
      </c>
      <c r="N1908">
        <v>-215.26400000000001</v>
      </c>
      <c r="O1908" s="1" t="s">
        <v>53</v>
      </c>
      <c r="P1908" s="1" t="s">
        <v>5681</v>
      </c>
      <c r="Q1908" s="1" t="s">
        <v>5682</v>
      </c>
      <c r="R1908" s="1" t="s">
        <v>440</v>
      </c>
      <c r="S1908" s="1" t="s">
        <v>1172</v>
      </c>
      <c r="T1908" s="1" t="s">
        <v>5683</v>
      </c>
      <c r="U1908" s="2" t="s">
        <v>5685</v>
      </c>
      <c r="V1908" s="2" t="s">
        <v>83</v>
      </c>
      <c r="W1908" s="2" t="s">
        <v>178</v>
      </c>
      <c r="X1908" s="2">
        <v>14.49</v>
      </c>
    </row>
    <row r="1909" spans="1:24" x14ac:dyDescent="0.3">
      <c r="A1909">
        <v>19785</v>
      </c>
      <c r="B1909" t="s">
        <v>5680</v>
      </c>
      <c r="C1909" s="3">
        <v>41285</v>
      </c>
      <c r="D1909" t="s">
        <v>25</v>
      </c>
      <c r="E1909">
        <v>5</v>
      </c>
      <c r="F1909" s="3">
        <f ca="1">41290+(RANDBETWEEN(1,10))</f>
        <v>41293</v>
      </c>
      <c r="G1909" t="s">
        <v>26</v>
      </c>
      <c r="H1909" t="s">
        <v>27</v>
      </c>
      <c r="I1909" t="s">
        <v>28</v>
      </c>
      <c r="J1909">
        <v>120.36499999999999</v>
      </c>
      <c r="K1909">
        <v>0.05</v>
      </c>
      <c r="L1909">
        <v>0.37</v>
      </c>
      <c r="M1909">
        <v>27.51</v>
      </c>
      <c r="N1909">
        <v>-334.96120000000002</v>
      </c>
      <c r="O1909" s="1" t="s">
        <v>53</v>
      </c>
      <c r="P1909" s="1" t="s">
        <v>5681</v>
      </c>
      <c r="Q1909" s="1" t="s">
        <v>5682</v>
      </c>
      <c r="R1909" s="1" t="s">
        <v>440</v>
      </c>
      <c r="S1909" s="1" t="s">
        <v>1172</v>
      </c>
      <c r="T1909" s="1" t="s">
        <v>5683</v>
      </c>
      <c r="U1909" s="2" t="s">
        <v>2667</v>
      </c>
      <c r="V1909" s="2" t="s">
        <v>47</v>
      </c>
      <c r="W1909" s="2" t="s">
        <v>74</v>
      </c>
      <c r="X1909" s="2">
        <v>22.68</v>
      </c>
    </row>
    <row r="1910" spans="1:24" x14ac:dyDescent="0.3">
      <c r="A1910">
        <v>19786</v>
      </c>
      <c r="B1910" t="s">
        <v>5680</v>
      </c>
      <c r="C1910" s="3">
        <v>41285</v>
      </c>
      <c r="D1910" t="s">
        <v>25</v>
      </c>
      <c r="E1910">
        <v>6</v>
      </c>
      <c r="F1910" s="3">
        <f ca="1">41290+(RANDBETWEEN(1,10))</f>
        <v>41296</v>
      </c>
      <c r="G1910" t="s">
        <v>26</v>
      </c>
      <c r="H1910" t="s">
        <v>96</v>
      </c>
      <c r="I1910" t="s">
        <v>28</v>
      </c>
      <c r="J1910">
        <v>77.63</v>
      </c>
      <c r="K1910">
        <v>0.01</v>
      </c>
      <c r="L1910">
        <v>0.56000000000000005</v>
      </c>
      <c r="M1910">
        <v>13.895</v>
      </c>
      <c r="N1910">
        <v>-220.8192</v>
      </c>
      <c r="O1910" s="1" t="s">
        <v>29</v>
      </c>
      <c r="P1910" s="1" t="s">
        <v>5686</v>
      </c>
      <c r="Q1910" s="1" t="s">
        <v>5687</v>
      </c>
      <c r="R1910" s="1" t="s">
        <v>460</v>
      </c>
      <c r="S1910" s="1" t="s">
        <v>5688</v>
      </c>
      <c r="T1910" s="1" t="s">
        <v>5689</v>
      </c>
      <c r="U1910" s="2" t="s">
        <v>5622</v>
      </c>
      <c r="V1910" s="2" t="s">
        <v>47</v>
      </c>
      <c r="W1910" s="2" t="s">
        <v>104</v>
      </c>
      <c r="X1910" s="2">
        <v>11.48</v>
      </c>
    </row>
    <row r="1911" spans="1:24" x14ac:dyDescent="0.3">
      <c r="A1911">
        <v>19787</v>
      </c>
      <c r="B1911" t="s">
        <v>5690</v>
      </c>
      <c r="C1911" s="3">
        <v>40964</v>
      </c>
      <c r="D1911" t="s">
        <v>50</v>
      </c>
      <c r="E1911">
        <v>8</v>
      </c>
      <c r="F1911" s="3">
        <f ca="1">40966+(RANDBETWEEN(1,10))</f>
        <v>40969</v>
      </c>
      <c r="G1911" t="s">
        <v>26</v>
      </c>
      <c r="H1911" t="s">
        <v>27</v>
      </c>
      <c r="I1911" t="s">
        <v>97</v>
      </c>
      <c r="J1911">
        <v>335.82499999999999</v>
      </c>
      <c r="K1911">
        <v>0.03</v>
      </c>
      <c r="L1911">
        <v>0.57999999999999996</v>
      </c>
      <c r="M1911">
        <v>16.835000000000001</v>
      </c>
      <c r="N1911">
        <v>-427.96600000000001</v>
      </c>
      <c r="O1911" s="1" t="s">
        <v>53</v>
      </c>
      <c r="P1911" s="1" t="s">
        <v>3660</v>
      </c>
      <c r="Q1911" s="1" t="s">
        <v>3661</v>
      </c>
      <c r="R1911" s="1" t="s">
        <v>56</v>
      </c>
      <c r="S1911" s="1" t="s">
        <v>3662</v>
      </c>
      <c r="T1911" s="1" t="s">
        <v>3663</v>
      </c>
      <c r="U1911" s="2" t="s">
        <v>5691</v>
      </c>
      <c r="V1911" s="2" t="s">
        <v>47</v>
      </c>
      <c r="W1911" s="2" t="s">
        <v>119</v>
      </c>
      <c r="X1911" s="2">
        <v>42.734999999999999</v>
      </c>
    </row>
    <row r="1912" spans="1:24" x14ac:dyDescent="0.3">
      <c r="A1912">
        <v>19788</v>
      </c>
      <c r="B1912" t="s">
        <v>5692</v>
      </c>
      <c r="C1912" s="3">
        <v>41784</v>
      </c>
      <c r="D1912" t="s">
        <v>148</v>
      </c>
      <c r="E1912">
        <v>7</v>
      </c>
      <c r="F1912" s="3">
        <f ca="1">41787+(RANDBETWEEN(1,10))</f>
        <v>41796</v>
      </c>
      <c r="G1912" t="s">
        <v>26</v>
      </c>
      <c r="H1912" t="s">
        <v>27</v>
      </c>
      <c r="I1912" t="s">
        <v>97</v>
      </c>
      <c r="J1912">
        <v>80.569999999999993</v>
      </c>
      <c r="K1912">
        <v>0</v>
      </c>
      <c r="L1912">
        <v>0.37</v>
      </c>
      <c r="M1912">
        <v>1.75</v>
      </c>
      <c r="N1912">
        <v>-2829.6515100000001</v>
      </c>
      <c r="O1912" s="1" t="s">
        <v>29</v>
      </c>
      <c r="P1912" s="1" t="s">
        <v>5693</v>
      </c>
      <c r="Q1912" s="1" t="s">
        <v>5694</v>
      </c>
      <c r="R1912" s="1" t="s">
        <v>460</v>
      </c>
      <c r="S1912" s="1" t="s">
        <v>5695</v>
      </c>
      <c r="T1912" s="1" t="s">
        <v>5696</v>
      </c>
      <c r="U1912" s="2" t="s">
        <v>377</v>
      </c>
      <c r="V1912" s="2" t="s">
        <v>47</v>
      </c>
      <c r="W1912" s="2" t="s">
        <v>203</v>
      </c>
      <c r="X1912" s="2">
        <v>10.78</v>
      </c>
    </row>
    <row r="1913" spans="1:24" x14ac:dyDescent="0.3">
      <c r="A1913">
        <v>19789</v>
      </c>
      <c r="B1913" t="s">
        <v>5692</v>
      </c>
      <c r="C1913" s="3">
        <v>41784</v>
      </c>
      <c r="D1913" t="s">
        <v>148</v>
      </c>
      <c r="E1913">
        <v>16</v>
      </c>
      <c r="F1913" s="3">
        <f ca="1">41786+(RANDBETWEEN(1,10))</f>
        <v>41790</v>
      </c>
      <c r="G1913" t="s">
        <v>26</v>
      </c>
      <c r="H1913" t="s">
        <v>96</v>
      </c>
      <c r="I1913" t="s">
        <v>97</v>
      </c>
      <c r="J1913">
        <v>94.08</v>
      </c>
      <c r="K1913">
        <v>0.08</v>
      </c>
      <c r="L1913">
        <v>0.52</v>
      </c>
      <c r="M1913">
        <v>2.625</v>
      </c>
      <c r="N1913">
        <v>-884.20500000000004</v>
      </c>
      <c r="O1913" s="1" t="s">
        <v>29</v>
      </c>
      <c r="P1913" s="1" t="s">
        <v>5693</v>
      </c>
      <c r="Q1913" s="1" t="s">
        <v>5694</v>
      </c>
      <c r="R1913" s="1" t="s">
        <v>460</v>
      </c>
      <c r="S1913" s="1" t="s">
        <v>5695</v>
      </c>
      <c r="T1913" s="1" t="s">
        <v>5696</v>
      </c>
      <c r="U1913" s="2" t="s">
        <v>378</v>
      </c>
      <c r="V1913" s="2" t="s">
        <v>47</v>
      </c>
      <c r="W1913" s="2" t="s">
        <v>176</v>
      </c>
      <c r="X1913" s="2">
        <v>6.335</v>
      </c>
    </row>
    <row r="1914" spans="1:24" x14ac:dyDescent="0.3">
      <c r="A1914">
        <v>19790</v>
      </c>
      <c r="B1914" t="s">
        <v>5692</v>
      </c>
      <c r="C1914" s="3">
        <v>41784</v>
      </c>
      <c r="D1914" t="s">
        <v>148</v>
      </c>
      <c r="E1914">
        <v>11</v>
      </c>
      <c r="F1914" s="3">
        <f ca="1">41786+(RANDBETWEEN(1,10))</f>
        <v>41787</v>
      </c>
      <c r="G1914" t="s">
        <v>156</v>
      </c>
      <c r="H1914" t="s">
        <v>27</v>
      </c>
      <c r="I1914" t="s">
        <v>97</v>
      </c>
      <c r="J1914">
        <v>671.40499999999997</v>
      </c>
      <c r="K1914">
        <v>0.02</v>
      </c>
      <c r="L1914">
        <v>0.59</v>
      </c>
      <c r="M1914">
        <v>29.19</v>
      </c>
      <c r="N1914">
        <v>14.679</v>
      </c>
      <c r="O1914" s="1" t="s">
        <v>29</v>
      </c>
      <c r="P1914" s="1" t="s">
        <v>5693</v>
      </c>
      <c r="Q1914" s="1" t="s">
        <v>5694</v>
      </c>
      <c r="R1914" s="1" t="s">
        <v>460</v>
      </c>
      <c r="S1914" s="1" t="s">
        <v>5695</v>
      </c>
      <c r="T1914" s="1" t="s">
        <v>5696</v>
      </c>
      <c r="U1914" s="2" t="s">
        <v>379</v>
      </c>
      <c r="V1914" s="2" t="s">
        <v>47</v>
      </c>
      <c r="W1914" s="2" t="s">
        <v>119</v>
      </c>
      <c r="X1914" s="2">
        <v>56.21</v>
      </c>
    </row>
    <row r="1915" spans="1:24" x14ac:dyDescent="0.3">
      <c r="A1915">
        <v>19791</v>
      </c>
      <c r="B1915" t="s">
        <v>5697</v>
      </c>
      <c r="C1915" s="3">
        <v>41632</v>
      </c>
      <c r="D1915" t="s">
        <v>50</v>
      </c>
      <c r="E1915">
        <v>10</v>
      </c>
      <c r="F1915" s="3">
        <f ca="1">41633+(RANDBETWEEN(1,10))</f>
        <v>41641</v>
      </c>
      <c r="G1915" t="s">
        <v>26</v>
      </c>
      <c r="H1915" t="s">
        <v>27</v>
      </c>
      <c r="I1915" t="s">
        <v>86</v>
      </c>
      <c r="J1915">
        <v>1332.17</v>
      </c>
      <c r="K1915">
        <v>0</v>
      </c>
      <c r="L1915">
        <v>0.4</v>
      </c>
      <c r="M1915">
        <v>51.52</v>
      </c>
      <c r="N1915">
        <v>566.63250000000005</v>
      </c>
      <c r="O1915" s="1" t="s">
        <v>40</v>
      </c>
      <c r="P1915" s="1" t="s">
        <v>4824</v>
      </c>
      <c r="Q1915" s="1" t="s">
        <v>4825</v>
      </c>
      <c r="R1915" s="1" t="s">
        <v>220</v>
      </c>
      <c r="S1915" s="1" t="s">
        <v>4826</v>
      </c>
      <c r="T1915" s="1" t="s">
        <v>4827</v>
      </c>
      <c r="U1915" s="2" t="s">
        <v>5698</v>
      </c>
      <c r="V1915" s="2" t="s">
        <v>47</v>
      </c>
      <c r="W1915" s="2" t="s">
        <v>48</v>
      </c>
      <c r="X1915" s="2">
        <v>125.61499999999999</v>
      </c>
    </row>
    <row r="1916" spans="1:24" x14ac:dyDescent="0.3">
      <c r="A1916">
        <v>19792</v>
      </c>
      <c r="B1916" t="s">
        <v>5699</v>
      </c>
      <c r="C1916" s="3">
        <v>41975</v>
      </c>
      <c r="D1916" t="s">
        <v>148</v>
      </c>
      <c r="E1916">
        <v>11</v>
      </c>
      <c r="F1916" s="3">
        <f ca="1">41976+(RANDBETWEEN(1,10))</f>
        <v>41984</v>
      </c>
      <c r="G1916" t="s">
        <v>26</v>
      </c>
      <c r="H1916" t="s">
        <v>27</v>
      </c>
      <c r="I1916" t="s">
        <v>97</v>
      </c>
      <c r="J1916">
        <v>115.85</v>
      </c>
      <c r="K1916">
        <v>0.02</v>
      </c>
      <c r="L1916">
        <v>0.36</v>
      </c>
      <c r="M1916">
        <v>3.4649999999999999</v>
      </c>
      <c r="N1916">
        <v>79.936499999999995</v>
      </c>
      <c r="O1916" s="1" t="s">
        <v>87</v>
      </c>
      <c r="P1916" s="1" t="s">
        <v>5700</v>
      </c>
      <c r="Q1916" s="1" t="s">
        <v>5701</v>
      </c>
      <c r="R1916" s="1" t="s">
        <v>398</v>
      </c>
      <c r="S1916" s="1" t="s">
        <v>5702</v>
      </c>
      <c r="T1916" s="1" t="s">
        <v>5703</v>
      </c>
      <c r="U1916" s="2" t="s">
        <v>3527</v>
      </c>
      <c r="V1916" s="2" t="s">
        <v>47</v>
      </c>
      <c r="W1916" s="2" t="s">
        <v>203</v>
      </c>
      <c r="X1916" s="2">
        <v>10.08</v>
      </c>
    </row>
    <row r="1917" spans="1:24" x14ac:dyDescent="0.3">
      <c r="A1917">
        <v>19793</v>
      </c>
      <c r="B1917" t="s">
        <v>5699</v>
      </c>
      <c r="C1917" s="3">
        <v>41975</v>
      </c>
      <c r="D1917" t="s">
        <v>148</v>
      </c>
      <c r="E1917">
        <v>25</v>
      </c>
      <c r="F1917" s="3">
        <f ca="1">41975+(RANDBETWEEN(1,10))</f>
        <v>41976</v>
      </c>
      <c r="G1917" t="s">
        <v>26</v>
      </c>
      <c r="H1917" t="s">
        <v>51</v>
      </c>
      <c r="I1917" t="s">
        <v>97</v>
      </c>
      <c r="J1917">
        <v>1925.385</v>
      </c>
      <c r="K1917">
        <v>0.03</v>
      </c>
      <c r="L1917">
        <v>0.43</v>
      </c>
      <c r="M1917">
        <v>6.9649999999999999</v>
      </c>
      <c r="N1917">
        <v>1328.5156500000001</v>
      </c>
      <c r="O1917" s="1" t="s">
        <v>40</v>
      </c>
      <c r="P1917" s="1" t="s">
        <v>826</v>
      </c>
      <c r="Q1917" s="1" t="s">
        <v>827</v>
      </c>
      <c r="R1917" s="1" t="s">
        <v>220</v>
      </c>
      <c r="S1917" s="1" t="s">
        <v>828</v>
      </c>
      <c r="T1917" s="1" t="s">
        <v>829</v>
      </c>
      <c r="U1917" s="2" t="s">
        <v>4462</v>
      </c>
      <c r="V1917" s="2" t="s">
        <v>36</v>
      </c>
      <c r="W1917" s="2" t="s">
        <v>60</v>
      </c>
      <c r="X1917" s="2">
        <v>77.84</v>
      </c>
    </row>
    <row r="1918" spans="1:24" x14ac:dyDescent="0.3">
      <c r="A1918">
        <v>19794</v>
      </c>
      <c r="B1918" t="s">
        <v>5704</v>
      </c>
      <c r="C1918" s="3">
        <v>41344</v>
      </c>
      <c r="D1918" t="s">
        <v>50</v>
      </c>
      <c r="E1918">
        <v>2</v>
      </c>
      <c r="F1918" s="3">
        <f ca="1">41344+(RANDBETWEEN(1,10))</f>
        <v>41348</v>
      </c>
      <c r="G1918" t="s">
        <v>156</v>
      </c>
      <c r="H1918" t="s">
        <v>27</v>
      </c>
      <c r="I1918" t="s">
        <v>28</v>
      </c>
      <c r="J1918">
        <v>148.75</v>
      </c>
      <c r="K1918">
        <v>0.08</v>
      </c>
      <c r="L1918">
        <v>0.68</v>
      </c>
      <c r="M1918">
        <v>14</v>
      </c>
      <c r="N1918">
        <v>-859.803</v>
      </c>
      <c r="O1918" s="1" t="s">
        <v>64</v>
      </c>
      <c r="P1918" s="1" t="s">
        <v>4773</v>
      </c>
      <c r="Q1918" s="1" t="s">
        <v>4774</v>
      </c>
      <c r="R1918" s="1" t="s">
        <v>67</v>
      </c>
      <c r="S1918" s="1" t="s">
        <v>4775</v>
      </c>
      <c r="T1918" s="1" t="s">
        <v>4776</v>
      </c>
      <c r="U1918" s="2" t="s">
        <v>2334</v>
      </c>
      <c r="V1918" s="2" t="s">
        <v>36</v>
      </c>
      <c r="W1918" s="2" t="s">
        <v>60</v>
      </c>
      <c r="X1918" s="2">
        <v>69.930000000000007</v>
      </c>
    </row>
    <row r="1919" spans="1:24" x14ac:dyDescent="0.3">
      <c r="A1919">
        <v>19795</v>
      </c>
      <c r="B1919" t="s">
        <v>5705</v>
      </c>
      <c r="C1919" s="3">
        <v>41334</v>
      </c>
      <c r="D1919" t="s">
        <v>62</v>
      </c>
      <c r="E1919">
        <v>9</v>
      </c>
      <c r="F1919" s="3">
        <f ca="1">41335+(RANDBETWEEN(1,10))</f>
        <v>41337</v>
      </c>
      <c r="G1919" t="s">
        <v>26</v>
      </c>
      <c r="H1919" t="s">
        <v>96</v>
      </c>
      <c r="I1919" t="s">
        <v>52</v>
      </c>
      <c r="J1919">
        <v>54.18</v>
      </c>
      <c r="K1919">
        <v>0.09</v>
      </c>
      <c r="L1919">
        <v>0.56000000000000005</v>
      </c>
      <c r="M1919">
        <v>2.4500000000000002</v>
      </c>
      <c r="N1919">
        <v>-8.5399999999999991</v>
      </c>
      <c r="O1919" s="1" t="s">
        <v>64</v>
      </c>
      <c r="P1919" s="1" t="s">
        <v>5706</v>
      </c>
      <c r="Q1919" s="1" t="s">
        <v>5707</v>
      </c>
      <c r="R1919" s="1" t="s">
        <v>128</v>
      </c>
      <c r="S1919" s="1" t="s">
        <v>5708</v>
      </c>
      <c r="T1919" s="1" t="s">
        <v>5709</v>
      </c>
      <c r="U1919" s="2" t="s">
        <v>384</v>
      </c>
      <c r="V1919" s="2" t="s">
        <v>47</v>
      </c>
      <c r="W1919" s="2" t="s">
        <v>104</v>
      </c>
      <c r="X1919" s="2">
        <v>6.16</v>
      </c>
    </row>
    <row r="1920" spans="1:24" x14ac:dyDescent="0.3">
      <c r="A1920">
        <v>19796</v>
      </c>
      <c r="B1920" t="s">
        <v>5705</v>
      </c>
      <c r="C1920" s="3">
        <v>41334</v>
      </c>
      <c r="D1920" t="s">
        <v>62</v>
      </c>
      <c r="E1920">
        <v>1</v>
      </c>
      <c r="F1920" s="3">
        <f ca="1">41336+(RANDBETWEEN(1,10))</f>
        <v>41337</v>
      </c>
      <c r="G1920" t="s">
        <v>26</v>
      </c>
      <c r="H1920" t="s">
        <v>96</v>
      </c>
      <c r="I1920" t="s">
        <v>52</v>
      </c>
      <c r="J1920">
        <v>16.414999999999999</v>
      </c>
      <c r="K1920">
        <v>0.09</v>
      </c>
      <c r="L1920">
        <v>0.36</v>
      </c>
      <c r="M1920">
        <v>4.2699999999999996</v>
      </c>
      <c r="N1920">
        <v>-18.41</v>
      </c>
      <c r="O1920" s="1" t="s">
        <v>225</v>
      </c>
      <c r="P1920" s="1" t="s">
        <v>5710</v>
      </c>
      <c r="Q1920" s="1" t="s">
        <v>5711</v>
      </c>
      <c r="R1920" s="1" t="s">
        <v>228</v>
      </c>
      <c r="S1920" s="1" t="s">
        <v>1285</v>
      </c>
      <c r="T1920" s="1" t="s">
        <v>1286</v>
      </c>
      <c r="U1920" s="2" t="s">
        <v>385</v>
      </c>
      <c r="V1920" s="2" t="s">
        <v>47</v>
      </c>
      <c r="W1920" s="2" t="s">
        <v>74</v>
      </c>
      <c r="X1920" s="2">
        <v>15.68</v>
      </c>
    </row>
    <row r="1921" spans="1:24" x14ac:dyDescent="0.3">
      <c r="A1921">
        <v>19797</v>
      </c>
      <c r="B1921" t="s">
        <v>5712</v>
      </c>
      <c r="C1921" s="3">
        <v>40568</v>
      </c>
      <c r="D1921" t="s">
        <v>50</v>
      </c>
      <c r="E1921">
        <v>4</v>
      </c>
      <c r="F1921" s="3">
        <f ca="1">40571+(RANDBETWEEN(1,10))</f>
        <v>40578</v>
      </c>
      <c r="G1921" t="s">
        <v>26</v>
      </c>
      <c r="H1921" t="s">
        <v>27</v>
      </c>
      <c r="I1921" t="s">
        <v>52</v>
      </c>
      <c r="J1921">
        <v>1430.31</v>
      </c>
      <c r="K1921">
        <v>0.1</v>
      </c>
      <c r="L1921">
        <v>0.56999999999999995</v>
      </c>
      <c r="M1921">
        <v>31.465</v>
      </c>
      <c r="N1921">
        <v>61.781999999999996</v>
      </c>
      <c r="O1921" s="1" t="s">
        <v>40</v>
      </c>
      <c r="P1921" s="1" t="s">
        <v>5271</v>
      </c>
      <c r="Q1921" s="1" t="s">
        <v>5272</v>
      </c>
      <c r="R1921" s="1" t="s">
        <v>43</v>
      </c>
      <c r="S1921" s="1" t="s">
        <v>2055</v>
      </c>
      <c r="T1921" s="1" t="s">
        <v>2056</v>
      </c>
      <c r="U1921" s="2" t="s">
        <v>5713</v>
      </c>
      <c r="V1921" s="2" t="s">
        <v>36</v>
      </c>
      <c r="W1921" s="2" t="s">
        <v>37</v>
      </c>
      <c r="X1921" s="2">
        <v>440.96499999999997</v>
      </c>
    </row>
    <row r="1922" spans="1:24" x14ac:dyDescent="0.3">
      <c r="A1922">
        <v>19798</v>
      </c>
      <c r="B1922" t="s">
        <v>5714</v>
      </c>
      <c r="C1922" s="3">
        <v>41551</v>
      </c>
      <c r="D1922" t="s">
        <v>50</v>
      </c>
      <c r="E1922">
        <v>23</v>
      </c>
      <c r="F1922" s="3">
        <f ca="1">41553+(RANDBETWEEN(1,10))</f>
        <v>41561</v>
      </c>
      <c r="G1922" t="s">
        <v>26</v>
      </c>
      <c r="H1922" t="s">
        <v>51</v>
      </c>
      <c r="I1922" t="s">
        <v>86</v>
      </c>
      <c r="J1922">
        <v>803.70500000000004</v>
      </c>
      <c r="K1922">
        <v>0.08</v>
      </c>
      <c r="L1922">
        <v>0.59</v>
      </c>
      <c r="M1922">
        <v>16.38</v>
      </c>
      <c r="N1922">
        <v>234.3348</v>
      </c>
      <c r="O1922" s="1" t="s">
        <v>29</v>
      </c>
      <c r="P1922" s="1" t="s">
        <v>5715</v>
      </c>
      <c r="Q1922" s="1" t="s">
        <v>5716</v>
      </c>
      <c r="R1922" s="1" t="s">
        <v>32</v>
      </c>
      <c r="S1922" s="1" t="s">
        <v>5717</v>
      </c>
      <c r="T1922" s="1" t="s">
        <v>5718</v>
      </c>
      <c r="U1922" s="2" t="s">
        <v>3567</v>
      </c>
      <c r="V1922" s="2" t="s">
        <v>47</v>
      </c>
      <c r="W1922" s="2" t="s">
        <v>94</v>
      </c>
      <c r="X1922" s="2">
        <v>35.805</v>
      </c>
    </row>
    <row r="1923" spans="1:24" x14ac:dyDescent="0.3">
      <c r="A1923">
        <v>19799</v>
      </c>
      <c r="B1923" t="s">
        <v>5719</v>
      </c>
      <c r="C1923" s="3">
        <v>41473</v>
      </c>
      <c r="D1923" t="s">
        <v>50</v>
      </c>
      <c r="E1923">
        <v>13</v>
      </c>
      <c r="F1923" s="3">
        <f ca="1">41474+(RANDBETWEEN(1,10))</f>
        <v>41478</v>
      </c>
      <c r="G1923" t="s">
        <v>26</v>
      </c>
      <c r="H1923" t="s">
        <v>27</v>
      </c>
      <c r="I1923" t="s">
        <v>28</v>
      </c>
      <c r="J1923">
        <v>165.06</v>
      </c>
      <c r="K1923">
        <v>0.03</v>
      </c>
      <c r="L1923">
        <v>0.38</v>
      </c>
      <c r="M1923">
        <v>1.75</v>
      </c>
      <c r="N1923">
        <v>113.8914</v>
      </c>
      <c r="O1923" s="1" t="s">
        <v>64</v>
      </c>
      <c r="P1923" s="1" t="s">
        <v>4861</v>
      </c>
      <c r="Q1923" s="1" t="s">
        <v>4862</v>
      </c>
      <c r="R1923" s="1" t="s">
        <v>67</v>
      </c>
      <c r="S1923" s="1" t="s">
        <v>4863</v>
      </c>
      <c r="T1923" s="1" t="s">
        <v>4864</v>
      </c>
      <c r="U1923" s="2" t="s">
        <v>312</v>
      </c>
      <c r="V1923" s="2" t="s">
        <v>47</v>
      </c>
      <c r="W1923" s="2" t="s">
        <v>203</v>
      </c>
      <c r="X1923" s="2">
        <v>12.914999999999999</v>
      </c>
    </row>
    <row r="1924" spans="1:24" x14ac:dyDescent="0.3">
      <c r="A1924">
        <v>19800</v>
      </c>
      <c r="B1924" t="s">
        <v>5719</v>
      </c>
      <c r="C1924" s="3">
        <v>41473</v>
      </c>
      <c r="D1924" t="s">
        <v>50</v>
      </c>
      <c r="E1924">
        <v>10</v>
      </c>
      <c r="F1924" s="3">
        <f ca="1">41474+(RANDBETWEEN(1,10))</f>
        <v>41483</v>
      </c>
      <c r="G1924" t="s">
        <v>156</v>
      </c>
      <c r="H1924" t="s">
        <v>27</v>
      </c>
      <c r="I1924" t="s">
        <v>28</v>
      </c>
      <c r="J1924">
        <v>238.84</v>
      </c>
      <c r="K1924">
        <v>0.05</v>
      </c>
      <c r="L1924">
        <v>0.37</v>
      </c>
      <c r="M1924">
        <v>27.684999999999999</v>
      </c>
      <c r="N1924">
        <v>-423.32499999999999</v>
      </c>
      <c r="O1924" s="1" t="s">
        <v>64</v>
      </c>
      <c r="P1924" s="1" t="s">
        <v>4861</v>
      </c>
      <c r="Q1924" s="1" t="s">
        <v>4862</v>
      </c>
      <c r="R1924" s="1" t="s">
        <v>67</v>
      </c>
      <c r="S1924" s="1" t="s">
        <v>4863</v>
      </c>
      <c r="T1924" s="1" t="s">
        <v>4864</v>
      </c>
      <c r="U1924" s="2" t="s">
        <v>387</v>
      </c>
      <c r="V1924" s="2" t="s">
        <v>47</v>
      </c>
      <c r="W1924" s="2" t="s">
        <v>74</v>
      </c>
      <c r="X1924" s="2">
        <v>22.68</v>
      </c>
    </row>
    <row r="1925" spans="1:24" x14ac:dyDescent="0.3">
      <c r="A1925">
        <v>19801</v>
      </c>
      <c r="B1925" t="s">
        <v>5720</v>
      </c>
      <c r="C1925" s="3">
        <v>41032</v>
      </c>
      <c r="D1925" t="s">
        <v>39</v>
      </c>
      <c r="E1925">
        <v>18</v>
      </c>
      <c r="F1925" s="3">
        <f ca="1">41033+(RANDBETWEEN(1,10))</f>
        <v>41034</v>
      </c>
      <c r="G1925" t="s">
        <v>26</v>
      </c>
      <c r="H1925" t="s">
        <v>51</v>
      </c>
      <c r="I1925" t="s">
        <v>28</v>
      </c>
      <c r="J1925">
        <v>790.16</v>
      </c>
      <c r="K1925">
        <v>0.08</v>
      </c>
      <c r="L1925">
        <v>0.48</v>
      </c>
      <c r="M1925">
        <v>17.43</v>
      </c>
      <c r="N1925">
        <v>646.04399999999998</v>
      </c>
      <c r="O1925" s="1" t="s">
        <v>53</v>
      </c>
      <c r="P1925" s="1" t="s">
        <v>5721</v>
      </c>
      <c r="Q1925" s="1" t="s">
        <v>5722</v>
      </c>
      <c r="R1925" s="1" t="s">
        <v>440</v>
      </c>
      <c r="S1925" s="1" t="s">
        <v>5723</v>
      </c>
      <c r="T1925" s="1" t="s">
        <v>5724</v>
      </c>
      <c r="U1925" s="2" t="s">
        <v>430</v>
      </c>
      <c r="V1925" s="2" t="s">
        <v>83</v>
      </c>
      <c r="W1925" s="2" t="s">
        <v>178</v>
      </c>
      <c r="X1925" s="2">
        <v>44.24</v>
      </c>
    </row>
    <row r="1926" spans="1:24" x14ac:dyDescent="0.3">
      <c r="A1926">
        <v>19802</v>
      </c>
      <c r="B1926" t="s">
        <v>5720</v>
      </c>
      <c r="C1926" s="3">
        <v>41032</v>
      </c>
      <c r="D1926" t="s">
        <v>39</v>
      </c>
      <c r="E1926">
        <v>7</v>
      </c>
      <c r="F1926" s="3">
        <f ca="1">41034+(RANDBETWEEN(1,10))</f>
        <v>41040</v>
      </c>
      <c r="G1926" t="s">
        <v>76</v>
      </c>
      <c r="H1926" t="s">
        <v>77</v>
      </c>
      <c r="I1926" t="s">
        <v>28</v>
      </c>
      <c r="J1926">
        <v>5575.3950000000004</v>
      </c>
      <c r="K1926">
        <v>0.08</v>
      </c>
      <c r="L1926">
        <v>0.56000000000000005</v>
      </c>
      <c r="M1926">
        <v>92.855000000000004</v>
      </c>
      <c r="N1926">
        <v>-344.51900000000001</v>
      </c>
      <c r="O1926" s="1" t="s">
        <v>53</v>
      </c>
      <c r="P1926" s="1" t="s">
        <v>5721</v>
      </c>
      <c r="Q1926" s="1" t="s">
        <v>5722</v>
      </c>
      <c r="R1926" s="1" t="s">
        <v>440</v>
      </c>
      <c r="S1926" s="1" t="s">
        <v>5723</v>
      </c>
      <c r="T1926" s="1" t="s">
        <v>5724</v>
      </c>
      <c r="U1926" s="2" t="s">
        <v>481</v>
      </c>
      <c r="V1926" s="2" t="s">
        <v>36</v>
      </c>
      <c r="W1926" s="2" t="s">
        <v>142</v>
      </c>
      <c r="X1926" s="2">
        <v>1071.49</v>
      </c>
    </row>
    <row r="1927" spans="1:24" x14ac:dyDescent="0.3">
      <c r="A1927">
        <v>19803</v>
      </c>
      <c r="B1927" t="s">
        <v>5725</v>
      </c>
      <c r="C1927" s="3">
        <v>41211</v>
      </c>
      <c r="D1927" t="s">
        <v>50</v>
      </c>
      <c r="E1927">
        <v>4</v>
      </c>
      <c r="F1927" s="3">
        <f ca="1">41213+(RANDBETWEEN(1,10))</f>
        <v>41221</v>
      </c>
      <c r="G1927" t="s">
        <v>26</v>
      </c>
      <c r="H1927" t="s">
        <v>27</v>
      </c>
      <c r="I1927" t="s">
        <v>97</v>
      </c>
      <c r="J1927">
        <v>469.84</v>
      </c>
      <c r="K1927">
        <v>0</v>
      </c>
      <c r="L1927">
        <v>0.64</v>
      </c>
      <c r="M1927">
        <v>22.75</v>
      </c>
      <c r="N1927">
        <v>-222.30179999999999</v>
      </c>
      <c r="O1927" s="1" t="s">
        <v>40</v>
      </c>
      <c r="P1927" s="1" t="s">
        <v>5726</v>
      </c>
      <c r="Q1927" s="1" t="s">
        <v>5727</v>
      </c>
      <c r="R1927" s="1" t="s">
        <v>43</v>
      </c>
      <c r="S1927" s="1" t="s">
        <v>5728</v>
      </c>
      <c r="T1927" s="1" t="s">
        <v>5729</v>
      </c>
      <c r="U1927" s="2" t="s">
        <v>2033</v>
      </c>
      <c r="V1927" s="2" t="s">
        <v>36</v>
      </c>
      <c r="W1927" s="2" t="s">
        <v>60</v>
      </c>
      <c r="X1927" s="2">
        <v>108.43</v>
      </c>
    </row>
    <row r="1928" spans="1:24" x14ac:dyDescent="0.3">
      <c r="A1928">
        <v>19804</v>
      </c>
      <c r="B1928" t="s">
        <v>5725</v>
      </c>
      <c r="C1928" s="3">
        <v>41211</v>
      </c>
      <c r="D1928" t="s">
        <v>50</v>
      </c>
      <c r="E1928">
        <v>14</v>
      </c>
      <c r="F1928" s="3">
        <f ca="1">41213+(RANDBETWEEN(1,10))</f>
        <v>41214</v>
      </c>
      <c r="G1928" t="s">
        <v>76</v>
      </c>
      <c r="H1928" t="s">
        <v>258</v>
      </c>
      <c r="I1928" t="s">
        <v>97</v>
      </c>
      <c r="J1928">
        <v>5954.2349999999997</v>
      </c>
      <c r="K1928">
        <v>0.04</v>
      </c>
      <c r="L1928">
        <v>0.68</v>
      </c>
      <c r="M1928">
        <v>198.45</v>
      </c>
      <c r="N1928">
        <v>-2893.59</v>
      </c>
      <c r="O1928" s="1" t="s">
        <v>64</v>
      </c>
      <c r="P1928" s="1" t="s">
        <v>5730</v>
      </c>
      <c r="Q1928" s="1" t="s">
        <v>5731</v>
      </c>
      <c r="R1928" s="1" t="s">
        <v>67</v>
      </c>
      <c r="S1928" s="1" t="s">
        <v>5732</v>
      </c>
      <c r="T1928" s="1" t="s">
        <v>5733</v>
      </c>
      <c r="U1928" s="2" t="s">
        <v>5734</v>
      </c>
      <c r="V1928" s="2" t="s">
        <v>83</v>
      </c>
      <c r="W1928" s="2" t="s">
        <v>298</v>
      </c>
      <c r="X1928" s="2">
        <v>423.43</v>
      </c>
    </row>
    <row r="1929" spans="1:24" x14ac:dyDescent="0.3">
      <c r="A1929">
        <v>19805</v>
      </c>
      <c r="B1929" t="s">
        <v>5735</v>
      </c>
      <c r="C1929" s="3">
        <v>40811</v>
      </c>
      <c r="D1929" t="s">
        <v>62</v>
      </c>
      <c r="E1929">
        <v>1</v>
      </c>
      <c r="F1929" s="3">
        <f ca="1">40813+(RANDBETWEEN(1,10))</f>
        <v>40816</v>
      </c>
      <c r="G1929" t="s">
        <v>26</v>
      </c>
      <c r="H1929" t="s">
        <v>96</v>
      </c>
      <c r="I1929" t="s">
        <v>52</v>
      </c>
      <c r="J1929">
        <v>110.985</v>
      </c>
      <c r="K1929">
        <v>7.0000000000000007E-2</v>
      </c>
      <c r="L1929">
        <v>0.82</v>
      </c>
      <c r="M1929">
        <v>17.5</v>
      </c>
      <c r="N1929">
        <v>-1049.3497</v>
      </c>
      <c r="O1929" s="1" t="s">
        <v>64</v>
      </c>
      <c r="P1929" s="1" t="s">
        <v>4683</v>
      </c>
      <c r="Q1929" s="1" t="s">
        <v>4684</v>
      </c>
      <c r="R1929" s="1" t="s">
        <v>128</v>
      </c>
      <c r="S1929" s="1" t="s">
        <v>4685</v>
      </c>
      <c r="T1929" s="1" t="s">
        <v>4686</v>
      </c>
      <c r="U1929" s="2" t="s">
        <v>361</v>
      </c>
      <c r="V1929" s="2" t="s">
        <v>36</v>
      </c>
      <c r="W1929" s="2" t="s">
        <v>37</v>
      </c>
      <c r="X1929" s="2">
        <v>125.965</v>
      </c>
    </row>
    <row r="1930" spans="1:24" x14ac:dyDescent="0.3">
      <c r="A1930">
        <v>19806</v>
      </c>
      <c r="B1930" t="s">
        <v>5736</v>
      </c>
      <c r="C1930" s="3">
        <v>41151</v>
      </c>
      <c r="D1930" t="s">
        <v>62</v>
      </c>
      <c r="E1930">
        <v>9</v>
      </c>
      <c r="F1930" s="3">
        <f ca="1">41152+(RANDBETWEEN(1,10))</f>
        <v>41157</v>
      </c>
      <c r="G1930" t="s">
        <v>76</v>
      </c>
      <c r="H1930" t="s">
        <v>77</v>
      </c>
      <c r="I1930" t="s">
        <v>28</v>
      </c>
      <c r="J1930">
        <v>8782.6550000000007</v>
      </c>
      <c r="K1930">
        <v>0.02</v>
      </c>
      <c r="L1930">
        <v>0.77</v>
      </c>
      <c r="M1930">
        <v>175</v>
      </c>
      <c r="N1930">
        <v>-289.25259999999997</v>
      </c>
      <c r="O1930" s="1" t="s">
        <v>87</v>
      </c>
      <c r="P1930" s="1" t="s">
        <v>5737</v>
      </c>
      <c r="Q1930" s="1" t="s">
        <v>5738</v>
      </c>
      <c r="R1930" s="1" t="s">
        <v>90</v>
      </c>
      <c r="S1930" s="1" t="s">
        <v>5739</v>
      </c>
      <c r="T1930" s="1" t="s">
        <v>5740</v>
      </c>
      <c r="U1930" s="2" t="s">
        <v>5741</v>
      </c>
      <c r="V1930" s="2" t="s">
        <v>83</v>
      </c>
      <c r="W1930" s="2" t="s">
        <v>84</v>
      </c>
      <c r="X1930" s="2">
        <v>948.43</v>
      </c>
    </row>
    <row r="1931" spans="1:24" x14ac:dyDescent="0.3">
      <c r="A1931">
        <v>19807</v>
      </c>
      <c r="B1931" t="s">
        <v>5736</v>
      </c>
      <c r="C1931" s="3">
        <v>41151</v>
      </c>
      <c r="D1931" t="s">
        <v>62</v>
      </c>
      <c r="E1931">
        <v>9</v>
      </c>
      <c r="F1931" s="3">
        <f ca="1">41152+(RANDBETWEEN(1,10))</f>
        <v>41154</v>
      </c>
      <c r="G1931" t="s">
        <v>26</v>
      </c>
      <c r="H1931" t="s">
        <v>96</v>
      </c>
      <c r="I1931" t="s">
        <v>28</v>
      </c>
      <c r="J1931">
        <v>150.11500000000001</v>
      </c>
      <c r="K1931">
        <v>0</v>
      </c>
      <c r="L1931">
        <v>0.36</v>
      </c>
      <c r="M1931">
        <v>4.2699999999999996</v>
      </c>
      <c r="N1931">
        <v>103.57935000000001</v>
      </c>
      <c r="O1931" s="1" t="s">
        <v>87</v>
      </c>
      <c r="P1931" s="1" t="s">
        <v>5737</v>
      </c>
      <c r="Q1931" s="1" t="s">
        <v>5738</v>
      </c>
      <c r="R1931" s="1" t="s">
        <v>90</v>
      </c>
      <c r="S1931" s="1" t="s">
        <v>5739</v>
      </c>
      <c r="T1931" s="1" t="s">
        <v>5740</v>
      </c>
      <c r="U1931" s="2" t="s">
        <v>385</v>
      </c>
      <c r="V1931" s="2" t="s">
        <v>47</v>
      </c>
      <c r="W1931" s="2" t="s">
        <v>74</v>
      </c>
      <c r="X1931" s="2">
        <v>15.68</v>
      </c>
    </row>
    <row r="1932" spans="1:24" x14ac:dyDescent="0.3">
      <c r="A1932">
        <v>19808</v>
      </c>
      <c r="B1932" t="s">
        <v>5742</v>
      </c>
      <c r="C1932" s="3">
        <v>41602</v>
      </c>
      <c r="D1932" t="s">
        <v>39</v>
      </c>
      <c r="E1932">
        <v>42</v>
      </c>
      <c r="F1932" s="3">
        <f ca="1">41603+(RANDBETWEEN(1,10))</f>
        <v>41608</v>
      </c>
      <c r="G1932" t="s">
        <v>26</v>
      </c>
      <c r="H1932" t="s">
        <v>27</v>
      </c>
      <c r="I1932" t="s">
        <v>28</v>
      </c>
      <c r="J1932">
        <v>3442.915</v>
      </c>
      <c r="K1932">
        <v>0.06</v>
      </c>
      <c r="L1932">
        <v>0.55000000000000004</v>
      </c>
      <c r="M1932">
        <v>15.75</v>
      </c>
      <c r="N1932">
        <v>2016.3989999999999</v>
      </c>
      <c r="O1932" s="1" t="s">
        <v>225</v>
      </c>
      <c r="P1932" s="1" t="s">
        <v>3306</v>
      </c>
      <c r="Q1932" s="1" t="s">
        <v>3307</v>
      </c>
      <c r="R1932" s="1" t="s">
        <v>391</v>
      </c>
      <c r="S1932" s="1" t="s">
        <v>3308</v>
      </c>
      <c r="T1932" s="1" t="s">
        <v>3309</v>
      </c>
      <c r="U1932" s="2" t="s">
        <v>755</v>
      </c>
      <c r="V1932" s="2" t="s">
        <v>47</v>
      </c>
      <c r="W1932" s="2" t="s">
        <v>71</v>
      </c>
      <c r="X1932" s="2">
        <v>80.430000000000007</v>
      </c>
    </row>
    <row r="1933" spans="1:24" x14ac:dyDescent="0.3">
      <c r="A1933">
        <v>19809</v>
      </c>
      <c r="B1933" t="s">
        <v>5743</v>
      </c>
      <c r="C1933" s="3">
        <v>41753</v>
      </c>
      <c r="D1933" t="s">
        <v>148</v>
      </c>
      <c r="E1933">
        <v>3</v>
      </c>
      <c r="F1933" s="3">
        <f ca="1">41754+(RANDBETWEEN(1,10))</f>
        <v>41763</v>
      </c>
      <c r="G1933" t="s">
        <v>26</v>
      </c>
      <c r="H1933" t="s">
        <v>27</v>
      </c>
      <c r="I1933" t="s">
        <v>97</v>
      </c>
      <c r="J1933">
        <v>624.19000000000005</v>
      </c>
      <c r="K1933">
        <v>0.02</v>
      </c>
      <c r="L1933">
        <v>0.56999999999999995</v>
      </c>
      <c r="M1933">
        <v>33.984999999999999</v>
      </c>
      <c r="N1933">
        <v>185.11500000000001</v>
      </c>
      <c r="O1933" s="1" t="s">
        <v>40</v>
      </c>
      <c r="P1933" s="1" t="s">
        <v>5744</v>
      </c>
      <c r="Q1933" s="1" t="s">
        <v>5745</v>
      </c>
      <c r="R1933" s="1" t="s">
        <v>43</v>
      </c>
      <c r="S1933" s="1" t="s">
        <v>5746</v>
      </c>
      <c r="T1933" s="1" t="s">
        <v>5747</v>
      </c>
      <c r="U1933" s="2" t="s">
        <v>5588</v>
      </c>
      <c r="V1933" s="2" t="s">
        <v>47</v>
      </c>
      <c r="W1933" s="2" t="s">
        <v>119</v>
      </c>
      <c r="X1933" s="2">
        <v>209.16</v>
      </c>
    </row>
    <row r="1934" spans="1:24" x14ac:dyDescent="0.3">
      <c r="A1934">
        <v>19810</v>
      </c>
      <c r="B1934" t="s">
        <v>5748</v>
      </c>
      <c r="C1934" s="3">
        <v>40607</v>
      </c>
      <c r="D1934" t="s">
        <v>50</v>
      </c>
      <c r="E1934">
        <v>11</v>
      </c>
      <c r="F1934" s="3">
        <f ca="1">40608+(RANDBETWEEN(1,10))</f>
        <v>40613</v>
      </c>
      <c r="G1934" t="s">
        <v>26</v>
      </c>
      <c r="H1934" t="s">
        <v>27</v>
      </c>
      <c r="I1934" t="s">
        <v>28</v>
      </c>
      <c r="J1934">
        <v>376.77499999999998</v>
      </c>
      <c r="K1934">
        <v>0.05</v>
      </c>
      <c r="L1934">
        <v>0.39</v>
      </c>
      <c r="M1934">
        <v>4.8650000000000002</v>
      </c>
      <c r="N1934">
        <v>259.97474999999997</v>
      </c>
      <c r="O1934" s="1" t="s">
        <v>53</v>
      </c>
      <c r="P1934" s="1" t="s">
        <v>1170</v>
      </c>
      <c r="Q1934" s="1" t="s">
        <v>1171</v>
      </c>
      <c r="R1934" s="1" t="s">
        <v>440</v>
      </c>
      <c r="S1934" s="1" t="s">
        <v>1172</v>
      </c>
      <c r="T1934" s="1" t="s">
        <v>1173</v>
      </c>
      <c r="U1934" s="2" t="s">
        <v>2681</v>
      </c>
      <c r="V1934" s="2" t="s">
        <v>47</v>
      </c>
      <c r="W1934" s="2" t="s">
        <v>48</v>
      </c>
      <c r="X1934" s="2">
        <v>34.229999999999997</v>
      </c>
    </row>
    <row r="1935" spans="1:24" x14ac:dyDescent="0.3">
      <c r="A1935">
        <v>19811</v>
      </c>
      <c r="B1935" t="s">
        <v>5748</v>
      </c>
      <c r="C1935" s="3">
        <v>40607</v>
      </c>
      <c r="D1935" t="s">
        <v>50</v>
      </c>
      <c r="E1935">
        <v>7</v>
      </c>
      <c r="F1935" s="3">
        <f ca="1">40608+(RANDBETWEEN(1,10))</f>
        <v>40618</v>
      </c>
      <c r="G1935" t="s">
        <v>156</v>
      </c>
      <c r="H1935" t="s">
        <v>96</v>
      </c>
      <c r="I1935" t="s">
        <v>28</v>
      </c>
      <c r="J1935">
        <v>88.025000000000006</v>
      </c>
      <c r="K1935">
        <v>0.02</v>
      </c>
      <c r="L1935">
        <v>0.56000000000000005</v>
      </c>
      <c r="M1935">
        <v>13.895</v>
      </c>
      <c r="N1935">
        <v>-232.22499999999999</v>
      </c>
      <c r="O1935" s="1" t="s">
        <v>29</v>
      </c>
      <c r="P1935" s="1" t="s">
        <v>5749</v>
      </c>
      <c r="Q1935" s="1" t="s">
        <v>5750</v>
      </c>
      <c r="R1935" s="1" t="s">
        <v>460</v>
      </c>
      <c r="S1935" s="1" t="s">
        <v>5688</v>
      </c>
      <c r="T1935" s="1" t="s">
        <v>5689</v>
      </c>
      <c r="U1935" s="2" t="s">
        <v>4166</v>
      </c>
      <c r="V1935" s="2" t="s">
        <v>47</v>
      </c>
      <c r="W1935" s="2" t="s">
        <v>104</v>
      </c>
      <c r="X1935" s="2">
        <v>11.48</v>
      </c>
    </row>
    <row r="1936" spans="1:24" x14ac:dyDescent="0.3">
      <c r="A1936">
        <v>19812</v>
      </c>
      <c r="B1936" t="s">
        <v>5751</v>
      </c>
      <c r="C1936" s="3">
        <v>41085</v>
      </c>
      <c r="D1936" t="s">
        <v>148</v>
      </c>
      <c r="E1936">
        <v>3</v>
      </c>
      <c r="F1936" s="3">
        <f ca="1">41086+(RANDBETWEEN(1,10))</f>
        <v>41087</v>
      </c>
      <c r="G1936" t="s">
        <v>26</v>
      </c>
      <c r="H1936" t="s">
        <v>27</v>
      </c>
      <c r="I1936" t="s">
        <v>28</v>
      </c>
      <c r="J1936">
        <v>67.094999999999999</v>
      </c>
      <c r="K1936">
        <v>0.04</v>
      </c>
      <c r="L1936">
        <v>0.39</v>
      </c>
      <c r="M1936">
        <v>17.535</v>
      </c>
      <c r="N1936">
        <v>-56.285600000000002</v>
      </c>
      <c r="O1936" s="1" t="s">
        <v>53</v>
      </c>
      <c r="P1936" s="1" t="s">
        <v>5752</v>
      </c>
      <c r="Q1936" s="1" t="s">
        <v>5753</v>
      </c>
      <c r="R1936" s="1" t="s">
        <v>56</v>
      </c>
      <c r="S1936" s="1" t="s">
        <v>5754</v>
      </c>
      <c r="T1936" s="1" t="s">
        <v>5755</v>
      </c>
      <c r="U1936" s="2" t="s">
        <v>2422</v>
      </c>
      <c r="V1936" s="2" t="s">
        <v>47</v>
      </c>
      <c r="W1936" s="2" t="s">
        <v>111</v>
      </c>
      <c r="X1936" s="2">
        <v>20.09</v>
      </c>
    </row>
    <row r="1937" spans="1:24" x14ac:dyDescent="0.3">
      <c r="A1937">
        <v>19813</v>
      </c>
      <c r="B1937" t="s">
        <v>5751</v>
      </c>
      <c r="C1937" s="3">
        <v>41085</v>
      </c>
      <c r="D1937" t="s">
        <v>148</v>
      </c>
      <c r="E1937">
        <v>8</v>
      </c>
      <c r="F1937" s="3">
        <f ca="1">41086+(RANDBETWEEN(1,10))</f>
        <v>41092</v>
      </c>
      <c r="G1937" t="s">
        <v>26</v>
      </c>
      <c r="H1937" t="s">
        <v>27</v>
      </c>
      <c r="I1937" t="s">
        <v>28</v>
      </c>
      <c r="J1937">
        <v>121.03</v>
      </c>
      <c r="K1937">
        <v>0.06</v>
      </c>
      <c r="L1937">
        <v>0.35</v>
      </c>
      <c r="M1937">
        <v>18.934999999999999</v>
      </c>
      <c r="N1937">
        <v>-201.1534</v>
      </c>
      <c r="O1937" s="1" t="s">
        <v>53</v>
      </c>
      <c r="P1937" s="1" t="s">
        <v>5752</v>
      </c>
      <c r="Q1937" s="1" t="s">
        <v>5753</v>
      </c>
      <c r="R1937" s="1" t="s">
        <v>56</v>
      </c>
      <c r="S1937" s="1" t="s">
        <v>5754</v>
      </c>
      <c r="T1937" s="1" t="s">
        <v>5755</v>
      </c>
      <c r="U1937" s="2" t="s">
        <v>231</v>
      </c>
      <c r="V1937" s="2" t="s">
        <v>47</v>
      </c>
      <c r="W1937" s="2" t="s">
        <v>111</v>
      </c>
      <c r="X1937" s="2">
        <v>14.84</v>
      </c>
    </row>
    <row r="1938" spans="1:24" x14ac:dyDescent="0.3">
      <c r="A1938">
        <v>19814</v>
      </c>
      <c r="B1938" t="s">
        <v>5756</v>
      </c>
      <c r="C1938" s="3">
        <v>41002</v>
      </c>
      <c r="D1938" t="s">
        <v>39</v>
      </c>
      <c r="E1938">
        <v>8</v>
      </c>
      <c r="F1938" s="3">
        <f ca="1">41003+(RANDBETWEEN(1,10))</f>
        <v>41004</v>
      </c>
      <c r="G1938" t="s">
        <v>26</v>
      </c>
      <c r="H1938" t="s">
        <v>27</v>
      </c>
      <c r="I1938" t="s">
        <v>52</v>
      </c>
      <c r="J1938">
        <v>2449.6149999999998</v>
      </c>
      <c r="K1938">
        <v>0.09</v>
      </c>
      <c r="L1938">
        <v>0.79</v>
      </c>
      <c r="M1938">
        <v>69.965000000000003</v>
      </c>
      <c r="N1938">
        <v>-4748.3369919999996</v>
      </c>
      <c r="O1938" s="1" t="s">
        <v>225</v>
      </c>
      <c r="P1938" s="1" t="s">
        <v>5757</v>
      </c>
      <c r="Q1938" s="1" t="s">
        <v>5758</v>
      </c>
      <c r="R1938" s="1" t="s">
        <v>228</v>
      </c>
      <c r="S1938" s="1" t="s">
        <v>1658</v>
      </c>
      <c r="T1938" s="1" t="s">
        <v>1659</v>
      </c>
      <c r="U1938" s="2" t="s">
        <v>1101</v>
      </c>
      <c r="V1938" s="2" t="s">
        <v>47</v>
      </c>
      <c r="W1938" s="2" t="s">
        <v>119</v>
      </c>
      <c r="X1938" s="2">
        <v>334.005</v>
      </c>
    </row>
    <row r="1939" spans="1:24" x14ac:dyDescent="0.3">
      <c r="A1939">
        <v>19815</v>
      </c>
      <c r="B1939" t="s">
        <v>5759</v>
      </c>
      <c r="C1939" s="3">
        <v>41654</v>
      </c>
      <c r="D1939" t="s">
        <v>62</v>
      </c>
      <c r="E1939">
        <v>12</v>
      </c>
      <c r="F1939" s="3">
        <f ca="1">41656+(RANDBETWEEN(1,10))</f>
        <v>41661</v>
      </c>
      <c r="G1939" t="s">
        <v>26</v>
      </c>
      <c r="H1939" t="s">
        <v>27</v>
      </c>
      <c r="I1939" t="s">
        <v>86</v>
      </c>
      <c r="J1939">
        <v>290.67500000000001</v>
      </c>
      <c r="K1939">
        <v>0.03</v>
      </c>
      <c r="L1939">
        <v>0.39</v>
      </c>
      <c r="M1939">
        <v>21.63</v>
      </c>
      <c r="N1939">
        <v>-405.79</v>
      </c>
      <c r="O1939" s="1" t="s">
        <v>87</v>
      </c>
      <c r="P1939" s="1" t="s">
        <v>5760</v>
      </c>
      <c r="Q1939" s="1" t="s">
        <v>5761</v>
      </c>
      <c r="R1939" s="1" t="s">
        <v>646</v>
      </c>
      <c r="S1939" s="1" t="s">
        <v>5762</v>
      </c>
      <c r="T1939" s="1" t="s">
        <v>5763</v>
      </c>
      <c r="U1939" s="2" t="s">
        <v>1445</v>
      </c>
      <c r="V1939" s="2" t="s">
        <v>47</v>
      </c>
      <c r="W1939" s="2" t="s">
        <v>74</v>
      </c>
      <c r="X1939" s="2">
        <v>23.73</v>
      </c>
    </row>
    <row r="1940" spans="1:24" x14ac:dyDescent="0.3">
      <c r="A1940">
        <v>19816</v>
      </c>
      <c r="B1940" t="s">
        <v>5764</v>
      </c>
      <c r="C1940" s="3">
        <v>40641</v>
      </c>
      <c r="D1940" t="s">
        <v>62</v>
      </c>
      <c r="E1940">
        <v>10</v>
      </c>
      <c r="F1940" s="3">
        <f ca="1">40642+(RANDBETWEEN(1,10))</f>
        <v>40646</v>
      </c>
      <c r="G1940" t="s">
        <v>26</v>
      </c>
      <c r="H1940" t="s">
        <v>27</v>
      </c>
      <c r="I1940" t="s">
        <v>52</v>
      </c>
      <c r="J1940">
        <v>1218.28</v>
      </c>
      <c r="K1940">
        <v>0.05</v>
      </c>
      <c r="L1940">
        <v>0.38</v>
      </c>
      <c r="M1940">
        <v>17.815000000000001</v>
      </c>
      <c r="N1940">
        <v>840.61320000000001</v>
      </c>
      <c r="O1940" s="1" t="s">
        <v>64</v>
      </c>
      <c r="P1940" s="1" t="s">
        <v>3667</v>
      </c>
      <c r="Q1940" s="1" t="s">
        <v>3668</v>
      </c>
      <c r="R1940" s="1" t="s">
        <v>128</v>
      </c>
      <c r="S1940" s="1" t="s">
        <v>3669</v>
      </c>
      <c r="T1940" s="1" t="s">
        <v>3670</v>
      </c>
      <c r="U1940" s="2" t="s">
        <v>4048</v>
      </c>
      <c r="V1940" s="2" t="s">
        <v>47</v>
      </c>
      <c r="W1940" s="2" t="s">
        <v>74</v>
      </c>
      <c r="X1940" s="2">
        <v>124.04</v>
      </c>
    </row>
    <row r="1941" spans="1:24" x14ac:dyDescent="0.3">
      <c r="A1941">
        <v>19817</v>
      </c>
      <c r="B1941" t="s">
        <v>5765</v>
      </c>
      <c r="C1941" s="3">
        <v>40746</v>
      </c>
      <c r="D1941" t="s">
        <v>148</v>
      </c>
      <c r="E1941">
        <v>10</v>
      </c>
      <c r="F1941" s="3">
        <f ca="1">40748+(RANDBETWEEN(1,10))</f>
        <v>40758</v>
      </c>
      <c r="G1941" t="s">
        <v>156</v>
      </c>
      <c r="H1941" t="s">
        <v>27</v>
      </c>
      <c r="I1941" t="s">
        <v>97</v>
      </c>
      <c r="J1941">
        <v>148.96</v>
      </c>
      <c r="K1941">
        <v>0.09</v>
      </c>
      <c r="L1941">
        <v>0.37</v>
      </c>
      <c r="M1941">
        <v>24.535</v>
      </c>
      <c r="N1941">
        <v>-540.07449999999994</v>
      </c>
      <c r="O1941" s="1" t="s">
        <v>29</v>
      </c>
      <c r="P1941" s="1" t="s">
        <v>3318</v>
      </c>
      <c r="Q1941" s="1" t="s">
        <v>3319</v>
      </c>
      <c r="R1941" s="1" t="s">
        <v>32</v>
      </c>
      <c r="S1941" s="1" t="s">
        <v>3320</v>
      </c>
      <c r="T1941" s="1" t="s">
        <v>3321</v>
      </c>
      <c r="U1941" s="2" t="s">
        <v>2043</v>
      </c>
      <c r="V1941" s="2" t="s">
        <v>47</v>
      </c>
      <c r="W1941" s="2" t="s">
        <v>111</v>
      </c>
      <c r="X1941" s="2">
        <v>13.615</v>
      </c>
    </row>
    <row r="1942" spans="1:24" x14ac:dyDescent="0.3">
      <c r="A1942">
        <v>19818</v>
      </c>
      <c r="B1942" t="s">
        <v>5766</v>
      </c>
      <c r="C1942" s="3">
        <v>41977</v>
      </c>
      <c r="D1942" t="s">
        <v>25</v>
      </c>
      <c r="E1942">
        <v>17</v>
      </c>
      <c r="F1942" s="3">
        <f ca="1">41982+(RANDBETWEEN(1,10))</f>
        <v>41990</v>
      </c>
      <c r="G1942" t="s">
        <v>26</v>
      </c>
      <c r="H1942" t="s">
        <v>27</v>
      </c>
      <c r="I1942" t="s">
        <v>52</v>
      </c>
      <c r="J1942">
        <v>367.60500000000002</v>
      </c>
      <c r="K1942">
        <v>0.08</v>
      </c>
      <c r="L1942">
        <v>0.37</v>
      </c>
      <c r="M1942">
        <v>25.795000000000002</v>
      </c>
      <c r="N1942">
        <v>-158.76</v>
      </c>
      <c r="O1942" s="1" t="s">
        <v>29</v>
      </c>
      <c r="P1942" s="1" t="s">
        <v>5767</v>
      </c>
      <c r="Q1942" s="1" t="s">
        <v>5768</v>
      </c>
      <c r="R1942" s="1" t="s">
        <v>675</v>
      </c>
      <c r="S1942" s="1" t="s">
        <v>5769</v>
      </c>
      <c r="T1942" s="1" t="s">
        <v>5770</v>
      </c>
      <c r="U1942" s="2" t="s">
        <v>2975</v>
      </c>
      <c r="V1942" s="2" t="s">
        <v>47</v>
      </c>
      <c r="W1942" s="2" t="s">
        <v>74</v>
      </c>
      <c r="X1942" s="2">
        <v>22.68</v>
      </c>
    </row>
    <row r="1943" spans="1:24" x14ac:dyDescent="0.3">
      <c r="A1943">
        <v>19819</v>
      </c>
      <c r="B1943" t="s">
        <v>5771</v>
      </c>
      <c r="C1943" s="3">
        <v>40655</v>
      </c>
      <c r="D1943" t="s">
        <v>50</v>
      </c>
      <c r="E1943">
        <v>8</v>
      </c>
      <c r="F1943" s="3">
        <f ca="1">40657+(RANDBETWEEN(1,10))</f>
        <v>40664</v>
      </c>
      <c r="G1943" t="s">
        <v>26</v>
      </c>
      <c r="H1943" t="s">
        <v>27</v>
      </c>
      <c r="I1943" t="s">
        <v>86</v>
      </c>
      <c r="J1943">
        <v>2874.0949999999998</v>
      </c>
      <c r="K1943">
        <v>0.05</v>
      </c>
      <c r="L1943">
        <v>0.4</v>
      </c>
      <c r="M1943">
        <v>25.13</v>
      </c>
      <c r="N1943">
        <v>1983.12555</v>
      </c>
      <c r="O1943" s="1" t="s">
        <v>29</v>
      </c>
      <c r="P1943" s="1" t="s">
        <v>3274</v>
      </c>
      <c r="Q1943" s="1" t="s">
        <v>3275</v>
      </c>
      <c r="R1943" s="1" t="s">
        <v>32</v>
      </c>
      <c r="S1943" s="1" t="s">
        <v>3276</v>
      </c>
      <c r="T1943" s="1" t="s">
        <v>3277</v>
      </c>
      <c r="U1943" s="2" t="s">
        <v>5772</v>
      </c>
      <c r="V1943" s="2" t="s">
        <v>36</v>
      </c>
      <c r="W1943" s="2" t="s">
        <v>60</v>
      </c>
      <c r="X1943" s="2">
        <v>353.43</v>
      </c>
    </row>
    <row r="1944" spans="1:24" x14ac:dyDescent="0.3">
      <c r="A1944">
        <v>19820</v>
      </c>
      <c r="B1944" t="s">
        <v>5773</v>
      </c>
      <c r="C1944" s="3">
        <v>41021</v>
      </c>
      <c r="D1944" t="s">
        <v>50</v>
      </c>
      <c r="E1944">
        <v>12</v>
      </c>
      <c r="F1944" s="3">
        <f ca="1">41023+(RANDBETWEEN(1,10))</f>
        <v>41026</v>
      </c>
      <c r="G1944" t="s">
        <v>26</v>
      </c>
      <c r="H1944" t="s">
        <v>63</v>
      </c>
      <c r="I1944" t="s">
        <v>28</v>
      </c>
      <c r="J1944">
        <v>171.57</v>
      </c>
      <c r="K1944">
        <v>0.08</v>
      </c>
      <c r="L1944">
        <v>0.56000000000000005</v>
      </c>
      <c r="M1944">
        <v>171.5</v>
      </c>
      <c r="N1944">
        <v>-7524.3</v>
      </c>
      <c r="O1944" s="1" t="s">
        <v>64</v>
      </c>
      <c r="P1944" s="1" t="s">
        <v>5774</v>
      </c>
      <c r="Q1944" s="1" t="s">
        <v>5775</v>
      </c>
      <c r="R1944" s="1" t="s">
        <v>67</v>
      </c>
      <c r="S1944" s="1" t="s">
        <v>5776</v>
      </c>
      <c r="T1944" s="1" t="s">
        <v>5777</v>
      </c>
      <c r="U1944" s="2" t="s">
        <v>4554</v>
      </c>
      <c r="V1944" s="2" t="s">
        <v>47</v>
      </c>
      <c r="W1944" s="2" t="s">
        <v>71</v>
      </c>
      <c r="X1944" s="2">
        <v>11.375</v>
      </c>
    </row>
    <row r="1945" spans="1:24" x14ac:dyDescent="0.3">
      <c r="A1945">
        <v>19821</v>
      </c>
      <c r="B1945" t="s">
        <v>5778</v>
      </c>
      <c r="C1945" s="3">
        <v>41622</v>
      </c>
      <c r="D1945" t="s">
        <v>50</v>
      </c>
      <c r="E1945">
        <v>17</v>
      </c>
      <c r="F1945" s="3">
        <f ca="1">41625+(RANDBETWEEN(1,10))</f>
        <v>41627</v>
      </c>
      <c r="G1945" t="s">
        <v>76</v>
      </c>
      <c r="H1945" t="s">
        <v>258</v>
      </c>
      <c r="I1945" t="s">
        <v>28</v>
      </c>
      <c r="J1945">
        <v>6259.96</v>
      </c>
      <c r="K1945">
        <v>0.1</v>
      </c>
      <c r="L1945">
        <v>0.76</v>
      </c>
      <c r="M1945">
        <v>205.52</v>
      </c>
      <c r="N1945">
        <v>-2835.7175000000002</v>
      </c>
      <c r="O1945" s="1" t="s">
        <v>64</v>
      </c>
      <c r="P1945" s="1" t="s">
        <v>5779</v>
      </c>
      <c r="Q1945" s="1" t="s">
        <v>5780</v>
      </c>
      <c r="R1945" s="1" t="s">
        <v>67</v>
      </c>
      <c r="S1945" s="1" t="s">
        <v>5781</v>
      </c>
      <c r="T1945" s="1" t="s">
        <v>5782</v>
      </c>
      <c r="U1945" s="2" t="s">
        <v>4900</v>
      </c>
      <c r="V1945" s="2" t="s">
        <v>83</v>
      </c>
      <c r="W1945" s="2" t="s">
        <v>298</v>
      </c>
      <c r="X1945" s="2">
        <v>402.43</v>
      </c>
    </row>
    <row r="1946" spans="1:24" x14ac:dyDescent="0.3">
      <c r="A1946">
        <v>19822</v>
      </c>
      <c r="B1946" t="s">
        <v>5783</v>
      </c>
      <c r="C1946" s="3">
        <v>41116</v>
      </c>
      <c r="D1946" t="s">
        <v>50</v>
      </c>
      <c r="E1946">
        <v>5</v>
      </c>
      <c r="F1946" s="3">
        <f ca="1">41117+(RANDBETWEEN(1,10))</f>
        <v>41118</v>
      </c>
      <c r="G1946" t="s">
        <v>26</v>
      </c>
      <c r="H1946" t="s">
        <v>96</v>
      </c>
      <c r="I1946" t="s">
        <v>28</v>
      </c>
      <c r="J1946">
        <v>175.245</v>
      </c>
      <c r="K1946">
        <v>0.02</v>
      </c>
      <c r="L1946">
        <v>0.38</v>
      </c>
      <c r="M1946">
        <v>15.365</v>
      </c>
      <c r="N1946">
        <v>45.395000000000003</v>
      </c>
      <c r="O1946" s="1" t="s">
        <v>40</v>
      </c>
      <c r="P1946" s="1" t="s">
        <v>5784</v>
      </c>
      <c r="Q1946" s="1" t="s">
        <v>5785</v>
      </c>
      <c r="R1946" s="1" t="s">
        <v>43</v>
      </c>
      <c r="S1946" s="1" t="s">
        <v>5786</v>
      </c>
      <c r="T1946" s="1" t="s">
        <v>5787</v>
      </c>
      <c r="U1946" s="2" t="s">
        <v>1254</v>
      </c>
      <c r="V1946" s="2" t="s">
        <v>47</v>
      </c>
      <c r="W1946" s="2" t="s">
        <v>74</v>
      </c>
      <c r="X1946" s="2">
        <v>32.445</v>
      </c>
    </row>
    <row r="1947" spans="1:24" x14ac:dyDescent="0.3">
      <c r="A1947">
        <v>19823</v>
      </c>
      <c r="B1947" t="s">
        <v>5788</v>
      </c>
      <c r="C1947" s="3">
        <v>40862</v>
      </c>
      <c r="D1947" t="s">
        <v>148</v>
      </c>
      <c r="E1947">
        <v>10</v>
      </c>
      <c r="F1947" s="3">
        <f ca="1">40863+(RANDBETWEEN(1,10))</f>
        <v>40873</v>
      </c>
      <c r="G1947" t="s">
        <v>26</v>
      </c>
      <c r="H1947" t="s">
        <v>27</v>
      </c>
      <c r="I1947" t="s">
        <v>28</v>
      </c>
      <c r="J1947">
        <v>237.51</v>
      </c>
      <c r="K1947">
        <v>0.08</v>
      </c>
      <c r="L1947">
        <v>0.37</v>
      </c>
      <c r="M1947">
        <v>24.605</v>
      </c>
      <c r="N1947">
        <v>31.262</v>
      </c>
      <c r="O1947" s="1" t="s">
        <v>29</v>
      </c>
      <c r="P1947" s="1" t="s">
        <v>5789</v>
      </c>
      <c r="Q1947" s="1" t="s">
        <v>5790</v>
      </c>
      <c r="R1947" s="1" t="s">
        <v>460</v>
      </c>
      <c r="S1947" s="1" t="s">
        <v>5791</v>
      </c>
      <c r="T1947" s="1" t="s">
        <v>5792</v>
      </c>
      <c r="U1947" s="2" t="s">
        <v>162</v>
      </c>
      <c r="V1947" s="2" t="s">
        <v>47</v>
      </c>
      <c r="W1947" s="2" t="s">
        <v>74</v>
      </c>
      <c r="X1947" s="2">
        <v>22.68</v>
      </c>
    </row>
    <row r="1948" spans="1:24" x14ac:dyDescent="0.3">
      <c r="A1948">
        <v>19824</v>
      </c>
      <c r="B1948" t="s">
        <v>5788</v>
      </c>
      <c r="C1948" s="3">
        <v>40862</v>
      </c>
      <c r="D1948" t="s">
        <v>148</v>
      </c>
      <c r="E1948">
        <v>33</v>
      </c>
      <c r="F1948" s="3">
        <f ca="1">40863+(RANDBETWEEN(1,10))</f>
        <v>40872</v>
      </c>
      <c r="G1948" t="s">
        <v>26</v>
      </c>
      <c r="H1948" t="s">
        <v>63</v>
      </c>
      <c r="I1948" t="s">
        <v>28</v>
      </c>
      <c r="J1948">
        <v>2615.48</v>
      </c>
      <c r="K1948">
        <v>0.01</v>
      </c>
      <c r="L1948">
        <v>0.84</v>
      </c>
      <c r="M1948">
        <v>122.5</v>
      </c>
      <c r="N1948">
        <v>803.73299999999995</v>
      </c>
      <c r="O1948" s="1" t="s">
        <v>29</v>
      </c>
      <c r="P1948" s="1" t="s">
        <v>5789</v>
      </c>
      <c r="Q1948" s="1" t="s">
        <v>5790</v>
      </c>
      <c r="R1948" s="1" t="s">
        <v>460</v>
      </c>
      <c r="S1948" s="1" t="s">
        <v>5791</v>
      </c>
      <c r="T1948" s="1" t="s">
        <v>5792</v>
      </c>
      <c r="U1948" s="2" t="s">
        <v>2742</v>
      </c>
      <c r="V1948" s="2" t="s">
        <v>47</v>
      </c>
      <c r="W1948" s="2" t="s">
        <v>119</v>
      </c>
      <c r="X1948" s="2">
        <v>71.19</v>
      </c>
    </row>
    <row r="1949" spans="1:24" x14ac:dyDescent="0.3">
      <c r="A1949">
        <v>19825</v>
      </c>
      <c r="B1949" t="s">
        <v>5793</v>
      </c>
      <c r="C1949" s="3">
        <v>41139</v>
      </c>
      <c r="D1949" t="s">
        <v>50</v>
      </c>
      <c r="E1949">
        <v>3</v>
      </c>
      <c r="F1949" s="3">
        <f ca="1">41140+(RANDBETWEEN(1,10))</f>
        <v>41149</v>
      </c>
      <c r="G1949" t="s">
        <v>26</v>
      </c>
      <c r="H1949" t="s">
        <v>96</v>
      </c>
      <c r="I1949" t="s">
        <v>52</v>
      </c>
      <c r="J1949">
        <v>425.35500000000002</v>
      </c>
      <c r="K1949">
        <v>0.02</v>
      </c>
      <c r="L1949">
        <v>0.38</v>
      </c>
      <c r="M1949">
        <v>17.78</v>
      </c>
      <c r="N1949">
        <v>774.45899999999995</v>
      </c>
      <c r="O1949" s="1" t="s">
        <v>40</v>
      </c>
      <c r="P1949" s="1" t="s">
        <v>4575</v>
      </c>
      <c r="Q1949" s="1" t="s">
        <v>4576</v>
      </c>
      <c r="R1949" s="1" t="s">
        <v>43</v>
      </c>
      <c r="S1949" s="1" t="s">
        <v>2055</v>
      </c>
      <c r="T1949" s="1" t="s">
        <v>2056</v>
      </c>
      <c r="U1949" s="2" t="s">
        <v>2638</v>
      </c>
      <c r="V1949" s="2" t="s">
        <v>47</v>
      </c>
      <c r="W1949" s="2" t="s">
        <v>74</v>
      </c>
      <c r="X1949" s="2">
        <v>132.79</v>
      </c>
    </row>
    <row r="1950" spans="1:24" x14ac:dyDescent="0.3">
      <c r="A1950">
        <v>19826</v>
      </c>
      <c r="B1950" t="s">
        <v>5794</v>
      </c>
      <c r="C1950" s="3">
        <v>40891</v>
      </c>
      <c r="D1950" t="s">
        <v>25</v>
      </c>
      <c r="E1950">
        <v>21</v>
      </c>
      <c r="F1950" s="3">
        <f ca="1">40898+(RANDBETWEEN(1,10))</f>
        <v>40901</v>
      </c>
      <c r="G1950" t="s">
        <v>26</v>
      </c>
      <c r="H1950" t="s">
        <v>27</v>
      </c>
      <c r="I1950" t="s">
        <v>52</v>
      </c>
      <c r="J1950">
        <v>943.39</v>
      </c>
      <c r="K1950">
        <v>0.09</v>
      </c>
      <c r="L1950">
        <v>0.4</v>
      </c>
      <c r="M1950">
        <v>17.43</v>
      </c>
      <c r="N1950">
        <v>433.62112500000001</v>
      </c>
      <c r="O1950" s="1" t="s">
        <v>40</v>
      </c>
      <c r="P1950" s="1" t="s">
        <v>4623</v>
      </c>
      <c r="Q1950" s="1" t="s">
        <v>4624</v>
      </c>
      <c r="R1950" s="1" t="s">
        <v>43</v>
      </c>
      <c r="S1950" s="1" t="s">
        <v>4625</v>
      </c>
      <c r="T1950" s="1" t="s">
        <v>4626</v>
      </c>
      <c r="U1950" s="2" t="s">
        <v>856</v>
      </c>
      <c r="V1950" s="2" t="s">
        <v>47</v>
      </c>
      <c r="W1950" s="2" t="s">
        <v>111</v>
      </c>
      <c r="X1950" s="2">
        <v>45.325000000000003</v>
      </c>
    </row>
    <row r="1951" spans="1:24" x14ac:dyDescent="0.3">
      <c r="A1951">
        <v>19827</v>
      </c>
      <c r="B1951" t="s">
        <v>5795</v>
      </c>
      <c r="C1951" s="3">
        <v>41987</v>
      </c>
      <c r="D1951" t="s">
        <v>25</v>
      </c>
      <c r="E1951">
        <v>4</v>
      </c>
      <c r="F1951" s="3">
        <f ca="1">41987+(RANDBETWEEN(1,10))</f>
        <v>41997</v>
      </c>
      <c r="G1951" t="s">
        <v>26</v>
      </c>
      <c r="H1951" t="s">
        <v>27</v>
      </c>
      <c r="I1951" t="s">
        <v>52</v>
      </c>
      <c r="J1951">
        <v>378.59500000000003</v>
      </c>
      <c r="K1951">
        <v>0</v>
      </c>
      <c r="L1951">
        <v>0.39</v>
      </c>
      <c r="M1951">
        <v>45.43</v>
      </c>
      <c r="N1951">
        <v>-20.421240000000001</v>
      </c>
      <c r="O1951" s="1" t="s">
        <v>40</v>
      </c>
      <c r="P1951" s="1" t="s">
        <v>4623</v>
      </c>
      <c r="Q1951" s="1" t="s">
        <v>4624</v>
      </c>
      <c r="R1951" s="1" t="s">
        <v>43</v>
      </c>
      <c r="S1951" s="1" t="s">
        <v>4625</v>
      </c>
      <c r="T1951" s="1" t="s">
        <v>4626</v>
      </c>
      <c r="U1951" s="2" t="s">
        <v>559</v>
      </c>
      <c r="V1951" s="2" t="s">
        <v>47</v>
      </c>
      <c r="W1951" s="2" t="s">
        <v>111</v>
      </c>
      <c r="X1951" s="2">
        <v>87.22</v>
      </c>
    </row>
    <row r="1952" spans="1:24" x14ac:dyDescent="0.3">
      <c r="A1952">
        <v>19828</v>
      </c>
      <c r="B1952" t="s">
        <v>5796</v>
      </c>
      <c r="C1952" s="3">
        <v>40975</v>
      </c>
      <c r="D1952" t="s">
        <v>39</v>
      </c>
      <c r="E1952">
        <v>9</v>
      </c>
      <c r="F1952" s="3">
        <f ca="1">40976+(RANDBETWEEN(1,10))</f>
        <v>40979</v>
      </c>
      <c r="G1952" t="s">
        <v>26</v>
      </c>
      <c r="H1952" t="s">
        <v>27</v>
      </c>
      <c r="I1952" t="s">
        <v>28</v>
      </c>
      <c r="J1952">
        <v>1059.625</v>
      </c>
      <c r="K1952">
        <v>0</v>
      </c>
      <c r="L1952">
        <v>0.79</v>
      </c>
      <c r="M1952">
        <v>22.75</v>
      </c>
      <c r="N1952">
        <v>-97.965000000000003</v>
      </c>
      <c r="O1952" s="1" t="s">
        <v>64</v>
      </c>
      <c r="P1952" s="1" t="s">
        <v>5797</v>
      </c>
      <c r="Q1952" s="1" t="s">
        <v>5798</v>
      </c>
      <c r="R1952" s="1" t="s">
        <v>128</v>
      </c>
      <c r="S1952" s="1" t="s">
        <v>5799</v>
      </c>
      <c r="T1952" s="1" t="s">
        <v>5800</v>
      </c>
      <c r="U1952" s="2" t="s">
        <v>4252</v>
      </c>
      <c r="V1952" s="2" t="s">
        <v>36</v>
      </c>
      <c r="W1952" s="2" t="s">
        <v>60</v>
      </c>
      <c r="X1952" s="2">
        <v>108.43</v>
      </c>
    </row>
    <row r="1953" spans="1:24" x14ac:dyDescent="0.3">
      <c r="A1953">
        <v>19829</v>
      </c>
      <c r="B1953" t="s">
        <v>5796</v>
      </c>
      <c r="C1953" s="3">
        <v>40975</v>
      </c>
      <c r="D1953" t="s">
        <v>39</v>
      </c>
      <c r="E1953">
        <v>7</v>
      </c>
      <c r="F1953" s="3">
        <f ca="1">40978+(RANDBETWEEN(1,10))</f>
        <v>40984</v>
      </c>
      <c r="G1953" t="s">
        <v>26</v>
      </c>
      <c r="H1953" t="s">
        <v>27</v>
      </c>
      <c r="I1953" t="s">
        <v>28</v>
      </c>
      <c r="J1953">
        <v>4308.6049999999996</v>
      </c>
      <c r="K1953">
        <v>7.0000000000000007E-2</v>
      </c>
      <c r="L1953">
        <v>0.57999999999999996</v>
      </c>
      <c r="M1953">
        <v>31.465</v>
      </c>
      <c r="N1953">
        <v>2972.9374499999999</v>
      </c>
      <c r="O1953" s="1" t="s">
        <v>64</v>
      </c>
      <c r="P1953" s="1" t="s">
        <v>5797</v>
      </c>
      <c r="Q1953" s="1" t="s">
        <v>5798</v>
      </c>
      <c r="R1953" s="1" t="s">
        <v>128</v>
      </c>
      <c r="S1953" s="1" t="s">
        <v>5799</v>
      </c>
      <c r="T1953" s="1" t="s">
        <v>5800</v>
      </c>
      <c r="U1953" s="2" t="s">
        <v>2189</v>
      </c>
      <c r="V1953" s="2" t="s">
        <v>36</v>
      </c>
      <c r="W1953" s="2" t="s">
        <v>37</v>
      </c>
      <c r="X1953" s="2">
        <v>720.96500000000003</v>
      </c>
    </row>
    <row r="1954" spans="1:24" x14ac:dyDescent="0.3">
      <c r="A1954">
        <v>19830</v>
      </c>
      <c r="B1954" t="s">
        <v>5801</v>
      </c>
      <c r="C1954" s="3">
        <v>41256</v>
      </c>
      <c r="D1954" t="s">
        <v>50</v>
      </c>
      <c r="E1954">
        <v>14</v>
      </c>
      <c r="F1954" s="3">
        <f ca="1">41258+(RANDBETWEEN(1,10))</f>
        <v>41260</v>
      </c>
      <c r="G1954" t="s">
        <v>156</v>
      </c>
      <c r="H1954" t="s">
        <v>27</v>
      </c>
      <c r="I1954" t="s">
        <v>28</v>
      </c>
      <c r="J1954">
        <v>1618.19</v>
      </c>
      <c r="K1954">
        <v>0.02</v>
      </c>
      <c r="L1954">
        <v>0.75</v>
      </c>
      <c r="M1954">
        <v>14</v>
      </c>
      <c r="N1954">
        <v>296.04750000000001</v>
      </c>
      <c r="O1954" s="1" t="s">
        <v>40</v>
      </c>
      <c r="P1954" s="1" t="s">
        <v>5802</v>
      </c>
      <c r="Q1954" s="1" t="s">
        <v>5803</v>
      </c>
      <c r="R1954" s="1" t="s">
        <v>43</v>
      </c>
      <c r="S1954" s="1" t="s">
        <v>5804</v>
      </c>
      <c r="T1954" s="1" t="s">
        <v>5805</v>
      </c>
      <c r="U1954" s="2" t="s">
        <v>216</v>
      </c>
      <c r="V1954" s="2" t="s">
        <v>36</v>
      </c>
      <c r="W1954" s="2" t="s">
        <v>60</v>
      </c>
      <c r="X1954" s="2">
        <v>107.55500000000001</v>
      </c>
    </row>
    <row r="1955" spans="1:24" x14ac:dyDescent="0.3">
      <c r="A1955">
        <v>19831</v>
      </c>
      <c r="B1955" t="s">
        <v>5806</v>
      </c>
      <c r="C1955" s="3">
        <v>41566</v>
      </c>
      <c r="D1955" t="s">
        <v>50</v>
      </c>
      <c r="E1955">
        <v>21</v>
      </c>
      <c r="F1955" s="3">
        <f ca="1">41567+(RANDBETWEEN(1,10))</f>
        <v>41572</v>
      </c>
      <c r="G1955" t="s">
        <v>26</v>
      </c>
      <c r="H1955" t="s">
        <v>63</v>
      </c>
      <c r="I1955" t="s">
        <v>52</v>
      </c>
      <c r="J1955">
        <v>41422.43</v>
      </c>
      <c r="K1955">
        <v>7.0000000000000007E-2</v>
      </c>
      <c r="L1955">
        <v>0.5</v>
      </c>
      <c r="M1955">
        <v>85.715000000000003</v>
      </c>
      <c r="N1955">
        <v>20906.387739999998</v>
      </c>
      <c r="O1955" s="1" t="s">
        <v>225</v>
      </c>
      <c r="P1955" s="1" t="s">
        <v>4782</v>
      </c>
      <c r="Q1955" s="1" t="s">
        <v>4783</v>
      </c>
      <c r="R1955" s="1" t="s">
        <v>228</v>
      </c>
      <c r="S1955" s="1" t="s">
        <v>4784</v>
      </c>
      <c r="T1955" s="1" t="s">
        <v>4785</v>
      </c>
      <c r="U1955" s="2" t="s">
        <v>5807</v>
      </c>
      <c r="V1955" s="2" t="s">
        <v>36</v>
      </c>
      <c r="W1955" s="2" t="s">
        <v>1327</v>
      </c>
      <c r="X1955" s="2">
        <v>2099.9650000000001</v>
      </c>
    </row>
    <row r="1956" spans="1:24" x14ac:dyDescent="0.3">
      <c r="A1956">
        <v>19832</v>
      </c>
      <c r="B1956" t="s">
        <v>5806</v>
      </c>
      <c r="C1956" s="3">
        <v>41566</v>
      </c>
      <c r="D1956" t="s">
        <v>50</v>
      </c>
      <c r="E1956">
        <v>22</v>
      </c>
      <c r="F1956" s="3">
        <f ca="1">41568+(RANDBETWEEN(1,10))</f>
        <v>41577</v>
      </c>
      <c r="G1956" t="s">
        <v>76</v>
      </c>
      <c r="H1956" t="s">
        <v>77</v>
      </c>
      <c r="I1956" t="s">
        <v>52</v>
      </c>
      <c r="J1956">
        <v>10823.89</v>
      </c>
      <c r="K1956">
        <v>0.02</v>
      </c>
      <c r="L1956">
        <v>0.76</v>
      </c>
      <c r="M1956">
        <v>100.205</v>
      </c>
      <c r="N1956">
        <v>368.56119999999999</v>
      </c>
      <c r="O1956" s="1" t="s">
        <v>53</v>
      </c>
      <c r="P1956" s="1" t="s">
        <v>5808</v>
      </c>
      <c r="Q1956" s="1" t="s">
        <v>5809</v>
      </c>
      <c r="R1956" s="1" t="s">
        <v>56</v>
      </c>
      <c r="S1956" s="1" t="s">
        <v>5810</v>
      </c>
      <c r="T1956" s="1" t="s">
        <v>5811</v>
      </c>
      <c r="U1956" s="2" t="s">
        <v>4062</v>
      </c>
      <c r="V1956" s="2" t="s">
        <v>83</v>
      </c>
      <c r="W1956" s="2" t="s">
        <v>84</v>
      </c>
      <c r="X1956" s="2">
        <v>475.96499999999997</v>
      </c>
    </row>
    <row r="1957" spans="1:24" x14ac:dyDescent="0.3">
      <c r="A1957">
        <v>19833</v>
      </c>
      <c r="B1957" t="s">
        <v>5806</v>
      </c>
      <c r="C1957" s="3">
        <v>41566</v>
      </c>
      <c r="D1957" t="s">
        <v>50</v>
      </c>
      <c r="E1957">
        <v>1</v>
      </c>
      <c r="F1957" s="3">
        <f ca="1">41568+(RANDBETWEEN(1,10))</f>
        <v>41572</v>
      </c>
      <c r="G1957" t="s">
        <v>76</v>
      </c>
      <c r="H1957" t="s">
        <v>258</v>
      </c>
      <c r="I1957" t="s">
        <v>52</v>
      </c>
      <c r="J1957">
        <v>666.08500000000004</v>
      </c>
      <c r="K1957">
        <v>0.02</v>
      </c>
      <c r="L1957">
        <v>0.74</v>
      </c>
      <c r="M1957">
        <v>102.235</v>
      </c>
      <c r="N1957">
        <v>-1140.5393999999999</v>
      </c>
      <c r="O1957" s="1" t="s">
        <v>53</v>
      </c>
      <c r="P1957" s="1" t="s">
        <v>5808</v>
      </c>
      <c r="Q1957" s="1" t="s">
        <v>5809</v>
      </c>
      <c r="R1957" s="1" t="s">
        <v>56</v>
      </c>
      <c r="S1957" s="1" t="s">
        <v>5810</v>
      </c>
      <c r="T1957" s="1" t="s">
        <v>5811</v>
      </c>
      <c r="U1957" s="2" t="s">
        <v>1724</v>
      </c>
      <c r="V1957" s="2" t="s">
        <v>83</v>
      </c>
      <c r="W1957" s="2" t="s">
        <v>263</v>
      </c>
      <c r="X1957" s="2">
        <v>627.51499999999999</v>
      </c>
    </row>
    <row r="1958" spans="1:24" x14ac:dyDescent="0.3">
      <c r="A1958">
        <v>19834</v>
      </c>
      <c r="B1958" t="s">
        <v>5812</v>
      </c>
      <c r="C1958" s="3">
        <v>41121</v>
      </c>
      <c r="D1958" t="s">
        <v>148</v>
      </c>
      <c r="E1958">
        <v>4</v>
      </c>
      <c r="F1958" s="3">
        <f ca="1">41124+(RANDBETWEEN(1,10))</f>
        <v>41132</v>
      </c>
      <c r="G1958" t="s">
        <v>76</v>
      </c>
      <c r="H1958" t="s">
        <v>77</v>
      </c>
      <c r="I1958" t="s">
        <v>97</v>
      </c>
      <c r="J1958">
        <v>1024.4849999999999</v>
      </c>
      <c r="K1958">
        <v>0.06</v>
      </c>
      <c r="L1958">
        <v>0.41</v>
      </c>
      <c r="M1958">
        <v>210</v>
      </c>
      <c r="N1958">
        <v>2331.7350000000001</v>
      </c>
      <c r="O1958" s="1" t="s">
        <v>53</v>
      </c>
      <c r="P1958" s="1" t="s">
        <v>1647</v>
      </c>
      <c r="Q1958" s="1" t="s">
        <v>1648</v>
      </c>
      <c r="R1958" s="1" t="s">
        <v>56</v>
      </c>
      <c r="S1958" s="1" t="s">
        <v>1649</v>
      </c>
      <c r="T1958" s="1" t="s">
        <v>1650</v>
      </c>
      <c r="U1958" s="2" t="s">
        <v>287</v>
      </c>
      <c r="V1958" s="2" t="s">
        <v>47</v>
      </c>
      <c r="W1958" s="2" t="s">
        <v>71</v>
      </c>
      <c r="X1958" s="2">
        <v>240.83500000000001</v>
      </c>
    </row>
    <row r="1959" spans="1:24" x14ac:dyDescent="0.3">
      <c r="A1959">
        <v>19835</v>
      </c>
      <c r="B1959" t="s">
        <v>5813</v>
      </c>
      <c r="C1959" s="3">
        <v>41552</v>
      </c>
      <c r="D1959" t="s">
        <v>25</v>
      </c>
      <c r="E1959">
        <v>6</v>
      </c>
      <c r="F1959" s="3">
        <f ca="1">41557+(RANDBETWEEN(1,10))</f>
        <v>41561</v>
      </c>
      <c r="G1959" t="s">
        <v>26</v>
      </c>
      <c r="H1959" t="s">
        <v>96</v>
      </c>
      <c r="I1959" t="s">
        <v>28</v>
      </c>
      <c r="J1959">
        <v>878.53499999999997</v>
      </c>
      <c r="K1959">
        <v>0.04</v>
      </c>
      <c r="L1959">
        <v>0.65</v>
      </c>
      <c r="M1959">
        <v>32.200000000000003</v>
      </c>
      <c r="N1959">
        <v>514.3306</v>
      </c>
      <c r="O1959" s="1" t="s">
        <v>64</v>
      </c>
      <c r="P1959" s="1" t="s">
        <v>5814</v>
      </c>
      <c r="Q1959" s="1" t="s">
        <v>5815</v>
      </c>
      <c r="R1959" s="1" t="s">
        <v>128</v>
      </c>
      <c r="S1959" s="1" t="s">
        <v>5816</v>
      </c>
      <c r="T1959" s="1" t="s">
        <v>5817</v>
      </c>
      <c r="U1959" s="2" t="s">
        <v>5818</v>
      </c>
      <c r="V1959" s="2" t="s">
        <v>83</v>
      </c>
      <c r="W1959" s="2" t="s">
        <v>178</v>
      </c>
      <c r="X1959" s="2">
        <v>139.93</v>
      </c>
    </row>
    <row r="1960" spans="1:24" x14ac:dyDescent="0.3">
      <c r="A1960">
        <v>19836</v>
      </c>
      <c r="B1960" t="s">
        <v>5819</v>
      </c>
      <c r="C1960" s="3">
        <v>41681</v>
      </c>
      <c r="D1960" t="s">
        <v>148</v>
      </c>
      <c r="E1960">
        <v>1</v>
      </c>
      <c r="F1960" s="3">
        <f ca="1">41682+(RANDBETWEEN(1,10))</f>
        <v>41689</v>
      </c>
      <c r="G1960" t="s">
        <v>26</v>
      </c>
      <c r="H1960" t="s">
        <v>281</v>
      </c>
      <c r="I1960" t="s">
        <v>28</v>
      </c>
      <c r="J1960">
        <v>68.144999999999996</v>
      </c>
      <c r="K1960">
        <v>7.0000000000000007E-2</v>
      </c>
      <c r="L1960">
        <v>0.57999999999999996</v>
      </c>
      <c r="M1960">
        <v>16.835000000000001</v>
      </c>
      <c r="N1960">
        <v>-358.512</v>
      </c>
      <c r="O1960" s="1" t="s">
        <v>29</v>
      </c>
      <c r="P1960" s="1" t="s">
        <v>5820</v>
      </c>
      <c r="Q1960" s="1" t="s">
        <v>5821</v>
      </c>
      <c r="R1960" s="1" t="s">
        <v>460</v>
      </c>
      <c r="S1960" s="1" t="s">
        <v>5822</v>
      </c>
      <c r="T1960" s="1" t="s">
        <v>5823</v>
      </c>
      <c r="U1960" s="2" t="s">
        <v>1890</v>
      </c>
      <c r="V1960" s="2" t="s">
        <v>36</v>
      </c>
      <c r="W1960" s="2" t="s">
        <v>37</v>
      </c>
      <c r="X1960" s="2">
        <v>73.465000000000003</v>
      </c>
    </row>
    <row r="1961" spans="1:24" x14ac:dyDescent="0.3">
      <c r="A1961">
        <v>19837</v>
      </c>
      <c r="B1961" t="s">
        <v>5824</v>
      </c>
      <c r="C1961" s="3">
        <v>41963</v>
      </c>
      <c r="D1961" t="s">
        <v>62</v>
      </c>
      <c r="E1961">
        <v>23</v>
      </c>
      <c r="F1961" s="3">
        <f ca="1">41965+(RANDBETWEEN(1,10))</f>
        <v>41968</v>
      </c>
      <c r="G1961" t="s">
        <v>26</v>
      </c>
      <c r="H1961" t="s">
        <v>27</v>
      </c>
      <c r="I1961" t="s">
        <v>28</v>
      </c>
      <c r="J1961">
        <v>579.46</v>
      </c>
      <c r="K1961">
        <v>0.01</v>
      </c>
      <c r="L1961">
        <v>0.35</v>
      </c>
      <c r="M1961">
        <v>10.465</v>
      </c>
      <c r="N1961">
        <v>252.89879999999999</v>
      </c>
      <c r="O1961" s="1" t="s">
        <v>87</v>
      </c>
      <c r="P1961" s="1" t="s">
        <v>4737</v>
      </c>
      <c r="Q1961" s="1" t="s">
        <v>4738</v>
      </c>
      <c r="R1961" s="1" t="s">
        <v>398</v>
      </c>
      <c r="S1961" s="1" t="s">
        <v>4739</v>
      </c>
      <c r="T1961" s="1" t="s">
        <v>4740</v>
      </c>
      <c r="U1961" s="2" t="s">
        <v>4681</v>
      </c>
      <c r="V1961" s="2" t="s">
        <v>47</v>
      </c>
      <c r="W1961" s="2" t="s">
        <v>111</v>
      </c>
      <c r="X1961" s="2">
        <v>23.625</v>
      </c>
    </row>
    <row r="1962" spans="1:24" x14ac:dyDescent="0.3">
      <c r="A1962">
        <v>19838</v>
      </c>
      <c r="B1962" t="s">
        <v>5825</v>
      </c>
      <c r="C1962" s="3">
        <v>40679</v>
      </c>
      <c r="D1962" t="s">
        <v>39</v>
      </c>
      <c r="E1962">
        <v>7</v>
      </c>
      <c r="F1962" s="3">
        <f ca="1">40680+(RANDBETWEEN(1,10))</f>
        <v>40685</v>
      </c>
      <c r="G1962" t="s">
        <v>26</v>
      </c>
      <c r="H1962" t="s">
        <v>27</v>
      </c>
      <c r="I1962" t="s">
        <v>28</v>
      </c>
      <c r="J1962">
        <v>698.35500000000002</v>
      </c>
      <c r="K1962">
        <v>0.03</v>
      </c>
      <c r="L1962">
        <v>0.38</v>
      </c>
      <c r="M1962">
        <v>5.2149999999999999</v>
      </c>
      <c r="N1962">
        <v>481.86495000000002</v>
      </c>
      <c r="O1962" s="1" t="s">
        <v>53</v>
      </c>
      <c r="P1962" s="1" t="s">
        <v>5135</v>
      </c>
      <c r="Q1962" s="1" t="s">
        <v>5136</v>
      </c>
      <c r="R1962" s="1" t="s">
        <v>100</v>
      </c>
      <c r="S1962" s="1" t="s">
        <v>5137</v>
      </c>
      <c r="T1962" s="1" t="s">
        <v>5138</v>
      </c>
      <c r="U1962" s="2" t="s">
        <v>301</v>
      </c>
      <c r="V1962" s="2" t="s">
        <v>47</v>
      </c>
      <c r="W1962" s="2" t="s">
        <v>111</v>
      </c>
      <c r="X1962" s="2">
        <v>99.855000000000004</v>
      </c>
    </row>
    <row r="1963" spans="1:24" x14ac:dyDescent="0.3">
      <c r="A1963">
        <v>19839</v>
      </c>
      <c r="B1963" t="s">
        <v>5825</v>
      </c>
      <c r="C1963" s="3">
        <v>40679</v>
      </c>
      <c r="D1963" t="s">
        <v>39</v>
      </c>
      <c r="E1963">
        <v>6</v>
      </c>
      <c r="F1963" s="3">
        <f ca="1">40681+(RANDBETWEEN(1,10))</f>
        <v>40682</v>
      </c>
      <c r="G1963" t="s">
        <v>26</v>
      </c>
      <c r="H1963" t="s">
        <v>27</v>
      </c>
      <c r="I1963" t="s">
        <v>28</v>
      </c>
      <c r="J1963">
        <v>129.67500000000001</v>
      </c>
      <c r="K1963">
        <v>7.0000000000000007E-2</v>
      </c>
      <c r="L1963">
        <v>0.36</v>
      </c>
      <c r="M1963">
        <v>25.024999999999999</v>
      </c>
      <c r="N1963">
        <v>-217</v>
      </c>
      <c r="O1963" s="1" t="s">
        <v>53</v>
      </c>
      <c r="P1963" s="1" t="s">
        <v>5135</v>
      </c>
      <c r="Q1963" s="1" t="s">
        <v>5136</v>
      </c>
      <c r="R1963" s="1" t="s">
        <v>100</v>
      </c>
      <c r="S1963" s="1" t="s">
        <v>5137</v>
      </c>
      <c r="T1963" s="1" t="s">
        <v>5138</v>
      </c>
      <c r="U1963" s="2" t="s">
        <v>1746</v>
      </c>
      <c r="V1963" s="2" t="s">
        <v>47</v>
      </c>
      <c r="W1963" s="2" t="s">
        <v>74</v>
      </c>
      <c r="X1963" s="2">
        <v>20.93</v>
      </c>
    </row>
    <row r="1964" spans="1:24" x14ac:dyDescent="0.3">
      <c r="A1964">
        <v>19840</v>
      </c>
      <c r="B1964" t="s">
        <v>5826</v>
      </c>
      <c r="C1964" s="3">
        <v>40624</v>
      </c>
      <c r="D1964" t="s">
        <v>50</v>
      </c>
      <c r="E1964">
        <v>11</v>
      </c>
      <c r="F1964" s="3">
        <f ca="1">40627+(RANDBETWEEN(1,10))</f>
        <v>40631</v>
      </c>
      <c r="G1964" t="s">
        <v>76</v>
      </c>
      <c r="H1964" t="s">
        <v>77</v>
      </c>
      <c r="I1964" t="s">
        <v>52</v>
      </c>
      <c r="J1964">
        <v>6398.77</v>
      </c>
      <c r="K1964">
        <v>0.03</v>
      </c>
      <c r="L1964">
        <v>0.62</v>
      </c>
      <c r="M1964">
        <v>105</v>
      </c>
      <c r="N1964">
        <v>4415.1513000000004</v>
      </c>
      <c r="O1964" s="1" t="s">
        <v>29</v>
      </c>
      <c r="P1964" s="1" t="s">
        <v>2145</v>
      </c>
      <c r="Q1964" s="1" t="s">
        <v>2146</v>
      </c>
      <c r="R1964" s="1" t="s">
        <v>460</v>
      </c>
      <c r="S1964" s="1" t="s">
        <v>2147</v>
      </c>
      <c r="T1964" s="1" t="s">
        <v>2148</v>
      </c>
      <c r="U1964" s="2" t="s">
        <v>2089</v>
      </c>
      <c r="V1964" s="2" t="s">
        <v>83</v>
      </c>
      <c r="W1964" s="2" t="s">
        <v>84</v>
      </c>
      <c r="X1964" s="2">
        <v>563.42999999999995</v>
      </c>
    </row>
    <row r="1965" spans="1:24" x14ac:dyDescent="0.3">
      <c r="A1965">
        <v>19841</v>
      </c>
      <c r="B1965" t="s">
        <v>5827</v>
      </c>
      <c r="C1965" s="3">
        <v>41720</v>
      </c>
      <c r="D1965" t="s">
        <v>50</v>
      </c>
      <c r="E1965">
        <v>10</v>
      </c>
      <c r="F1965" s="3">
        <f ca="1">41722+(RANDBETWEEN(1,10))</f>
        <v>41729</v>
      </c>
      <c r="G1965" t="s">
        <v>26</v>
      </c>
      <c r="H1965" t="s">
        <v>27</v>
      </c>
      <c r="I1965" t="s">
        <v>52</v>
      </c>
      <c r="J1965">
        <v>543.09500000000003</v>
      </c>
      <c r="K1965">
        <v>0.09</v>
      </c>
      <c r="L1965">
        <v>0.37</v>
      </c>
      <c r="M1965">
        <v>14</v>
      </c>
      <c r="N1965">
        <v>374.73554999999999</v>
      </c>
      <c r="O1965" s="1" t="s">
        <v>29</v>
      </c>
      <c r="P1965" s="1" t="s">
        <v>2145</v>
      </c>
      <c r="Q1965" s="1" t="s">
        <v>2146</v>
      </c>
      <c r="R1965" s="1" t="s">
        <v>460</v>
      </c>
      <c r="S1965" s="1" t="s">
        <v>2147</v>
      </c>
      <c r="T1965" s="1" t="s">
        <v>2148</v>
      </c>
      <c r="U1965" s="2" t="s">
        <v>1006</v>
      </c>
      <c r="V1965" s="2" t="s">
        <v>36</v>
      </c>
      <c r="W1965" s="2" t="s">
        <v>60</v>
      </c>
      <c r="X1965" s="2">
        <v>55.93</v>
      </c>
    </row>
    <row r="1966" spans="1:24" x14ac:dyDescent="0.3">
      <c r="A1966">
        <v>19842</v>
      </c>
      <c r="B1966" t="s">
        <v>5828</v>
      </c>
      <c r="C1966" s="3">
        <v>40797</v>
      </c>
      <c r="D1966" t="s">
        <v>39</v>
      </c>
      <c r="E1966">
        <v>18</v>
      </c>
      <c r="F1966" s="3">
        <f ca="1">40798+(RANDBETWEEN(1,10))</f>
        <v>40800</v>
      </c>
      <c r="G1966" t="s">
        <v>26</v>
      </c>
      <c r="H1966" t="s">
        <v>27</v>
      </c>
      <c r="I1966" t="s">
        <v>86</v>
      </c>
      <c r="J1966">
        <v>725.58500000000004</v>
      </c>
      <c r="K1966">
        <v>0.01</v>
      </c>
      <c r="L1966">
        <v>0.59</v>
      </c>
      <c r="M1966">
        <v>26.11</v>
      </c>
      <c r="N1966">
        <v>-408.66</v>
      </c>
      <c r="O1966" s="1" t="s">
        <v>40</v>
      </c>
      <c r="P1966" s="1" t="s">
        <v>5829</v>
      </c>
      <c r="Q1966" s="1" t="s">
        <v>5830</v>
      </c>
      <c r="R1966" s="1" t="s">
        <v>43</v>
      </c>
      <c r="S1966" s="1" t="s">
        <v>5831</v>
      </c>
      <c r="T1966" s="1" t="s">
        <v>5832</v>
      </c>
      <c r="U1966" s="2" t="s">
        <v>2766</v>
      </c>
      <c r="V1966" s="2" t="s">
        <v>47</v>
      </c>
      <c r="W1966" s="2" t="s">
        <v>119</v>
      </c>
      <c r="X1966" s="2">
        <v>38.15</v>
      </c>
    </row>
    <row r="1967" spans="1:24" x14ac:dyDescent="0.3">
      <c r="A1967">
        <v>19843</v>
      </c>
      <c r="B1967" t="s">
        <v>5828</v>
      </c>
      <c r="C1967" s="3">
        <v>40797</v>
      </c>
      <c r="D1967" t="s">
        <v>39</v>
      </c>
      <c r="E1967">
        <v>22</v>
      </c>
      <c r="F1967" s="3">
        <f ca="1">40798+(RANDBETWEEN(1,10))</f>
        <v>40800</v>
      </c>
      <c r="G1967" t="s">
        <v>26</v>
      </c>
      <c r="H1967" t="s">
        <v>281</v>
      </c>
      <c r="I1967" t="s">
        <v>86</v>
      </c>
      <c r="J1967">
        <v>500.92</v>
      </c>
      <c r="K1967">
        <v>0.1</v>
      </c>
      <c r="L1967">
        <v>0.6</v>
      </c>
      <c r="M1967">
        <v>17.605</v>
      </c>
      <c r="N1967">
        <v>-563.33199999999999</v>
      </c>
      <c r="O1967" s="1" t="s">
        <v>40</v>
      </c>
      <c r="P1967" s="1" t="s">
        <v>5829</v>
      </c>
      <c r="Q1967" s="1" t="s">
        <v>5830</v>
      </c>
      <c r="R1967" s="1" t="s">
        <v>43</v>
      </c>
      <c r="S1967" s="1" t="s">
        <v>5831</v>
      </c>
      <c r="T1967" s="1" t="s">
        <v>5832</v>
      </c>
      <c r="U1967" s="2" t="s">
        <v>408</v>
      </c>
      <c r="V1967" s="2" t="s">
        <v>36</v>
      </c>
      <c r="W1967" s="2" t="s">
        <v>37</v>
      </c>
      <c r="X1967" s="2">
        <v>27.965</v>
      </c>
    </row>
    <row r="1968" spans="1:24" x14ac:dyDescent="0.3">
      <c r="A1968">
        <v>19844</v>
      </c>
      <c r="B1968" t="s">
        <v>5833</v>
      </c>
      <c r="C1968" s="3">
        <v>41768</v>
      </c>
      <c r="D1968" t="s">
        <v>25</v>
      </c>
      <c r="E1968">
        <v>7</v>
      </c>
      <c r="F1968" s="3">
        <f ca="1">41773+(RANDBETWEEN(1,10))</f>
        <v>41776</v>
      </c>
      <c r="G1968" t="s">
        <v>26</v>
      </c>
      <c r="H1968" t="s">
        <v>27</v>
      </c>
      <c r="I1968" t="s">
        <v>28</v>
      </c>
      <c r="J1968">
        <v>850.64</v>
      </c>
      <c r="K1968">
        <v>0.09</v>
      </c>
      <c r="L1968">
        <v>0.76</v>
      </c>
      <c r="M1968">
        <v>26.355</v>
      </c>
      <c r="N1968">
        <v>-443.1</v>
      </c>
      <c r="O1968" s="1" t="s">
        <v>225</v>
      </c>
      <c r="P1968" s="1" t="s">
        <v>5834</v>
      </c>
      <c r="Q1968" s="1" t="s">
        <v>5835</v>
      </c>
      <c r="R1968" s="1" t="s">
        <v>228</v>
      </c>
      <c r="S1968" s="1" t="s">
        <v>5836</v>
      </c>
      <c r="T1968" s="1" t="s">
        <v>5837</v>
      </c>
      <c r="U1968" s="2" t="s">
        <v>5838</v>
      </c>
      <c r="V1968" s="2" t="s">
        <v>36</v>
      </c>
      <c r="W1968" s="2" t="s">
        <v>60</v>
      </c>
      <c r="X1968" s="2">
        <v>122.43</v>
      </c>
    </row>
    <row r="1969" spans="1:24" x14ac:dyDescent="0.3">
      <c r="A1969">
        <v>19845</v>
      </c>
      <c r="B1969" t="s">
        <v>5833</v>
      </c>
      <c r="C1969" s="3">
        <v>41768</v>
      </c>
      <c r="D1969" t="s">
        <v>25</v>
      </c>
      <c r="E1969">
        <v>1</v>
      </c>
      <c r="F1969" s="3">
        <f ca="1">41772+(RANDBETWEEN(1,10))</f>
        <v>41777</v>
      </c>
      <c r="G1969" t="s">
        <v>26</v>
      </c>
      <c r="H1969" t="s">
        <v>27</v>
      </c>
      <c r="I1969" t="s">
        <v>28</v>
      </c>
      <c r="J1969">
        <v>22.05</v>
      </c>
      <c r="K1969">
        <v>0.02</v>
      </c>
      <c r="L1969">
        <v>0.39</v>
      </c>
      <c r="M1969">
        <v>1.75</v>
      </c>
      <c r="N1969">
        <v>-20.72</v>
      </c>
      <c r="O1969" s="1" t="s">
        <v>225</v>
      </c>
      <c r="P1969" s="1" t="s">
        <v>5834</v>
      </c>
      <c r="Q1969" s="1" t="s">
        <v>5835</v>
      </c>
      <c r="R1969" s="1" t="s">
        <v>228</v>
      </c>
      <c r="S1969" s="1" t="s">
        <v>5836</v>
      </c>
      <c r="T1969" s="1" t="s">
        <v>5837</v>
      </c>
      <c r="U1969" s="2" t="s">
        <v>2675</v>
      </c>
      <c r="V1969" s="2" t="s">
        <v>47</v>
      </c>
      <c r="W1969" s="2" t="s">
        <v>203</v>
      </c>
      <c r="X1969" s="2">
        <v>22.05</v>
      </c>
    </row>
    <row r="1970" spans="1:24" x14ac:dyDescent="0.3">
      <c r="A1970">
        <v>19846</v>
      </c>
      <c r="B1970" t="s">
        <v>5839</v>
      </c>
      <c r="C1970" s="3">
        <v>41863</v>
      </c>
      <c r="D1970" t="s">
        <v>39</v>
      </c>
      <c r="E1970">
        <v>11</v>
      </c>
      <c r="F1970" s="3">
        <f ca="1">41864+(RANDBETWEEN(1,10))</f>
        <v>41866</v>
      </c>
      <c r="G1970" t="s">
        <v>26</v>
      </c>
      <c r="H1970" t="s">
        <v>27</v>
      </c>
      <c r="I1970" t="s">
        <v>52</v>
      </c>
      <c r="J1970">
        <v>15859.27</v>
      </c>
      <c r="K1970">
        <v>0.05</v>
      </c>
      <c r="L1970">
        <v>0.35</v>
      </c>
      <c r="M1970">
        <v>69.965000000000003</v>
      </c>
      <c r="N1970">
        <v>10942.8963</v>
      </c>
      <c r="O1970" s="1" t="s">
        <v>53</v>
      </c>
      <c r="P1970" s="1" t="s">
        <v>5840</v>
      </c>
      <c r="Q1970" s="1" t="s">
        <v>5841</v>
      </c>
      <c r="R1970" s="1" t="s">
        <v>56</v>
      </c>
      <c r="S1970" s="1" t="s">
        <v>5842</v>
      </c>
      <c r="T1970" s="1" t="s">
        <v>5843</v>
      </c>
      <c r="U1970" s="2" t="s">
        <v>1352</v>
      </c>
      <c r="V1970" s="2" t="s">
        <v>47</v>
      </c>
      <c r="W1970" s="2" t="s">
        <v>111</v>
      </c>
      <c r="X1970" s="2">
        <v>1473.43</v>
      </c>
    </row>
    <row r="1971" spans="1:24" x14ac:dyDescent="0.3">
      <c r="A1971">
        <v>19847</v>
      </c>
      <c r="B1971" t="s">
        <v>5839</v>
      </c>
      <c r="C1971" s="3">
        <v>41863</v>
      </c>
      <c r="D1971" t="s">
        <v>39</v>
      </c>
      <c r="E1971">
        <v>25</v>
      </c>
      <c r="F1971" s="3">
        <f ca="1">41864+(RANDBETWEEN(1,10))</f>
        <v>41873</v>
      </c>
      <c r="G1971" t="s">
        <v>26</v>
      </c>
      <c r="H1971" t="s">
        <v>27</v>
      </c>
      <c r="I1971" t="s">
        <v>52</v>
      </c>
      <c r="J1971">
        <v>2968.875</v>
      </c>
      <c r="K1971">
        <v>0.1</v>
      </c>
      <c r="L1971">
        <v>0.35</v>
      </c>
      <c r="M1971">
        <v>10.465</v>
      </c>
      <c r="N1971">
        <v>2048.5237499999998</v>
      </c>
      <c r="O1971" s="1" t="s">
        <v>225</v>
      </c>
      <c r="P1971" s="1" t="s">
        <v>5844</v>
      </c>
      <c r="Q1971" s="1" t="s">
        <v>5845</v>
      </c>
      <c r="R1971" s="1" t="s">
        <v>228</v>
      </c>
      <c r="S1971" s="1" t="s">
        <v>5846</v>
      </c>
      <c r="T1971" s="1" t="s">
        <v>5847</v>
      </c>
      <c r="U1971" s="2" t="s">
        <v>1132</v>
      </c>
      <c r="V1971" s="2" t="s">
        <v>47</v>
      </c>
      <c r="W1971" s="2" t="s">
        <v>111</v>
      </c>
      <c r="X1971" s="2">
        <v>131.94999999999999</v>
      </c>
    </row>
    <row r="1972" spans="1:24" x14ac:dyDescent="0.3">
      <c r="A1972">
        <v>19848</v>
      </c>
      <c r="B1972" t="s">
        <v>5848</v>
      </c>
      <c r="C1972" s="3">
        <v>41836</v>
      </c>
      <c r="D1972" t="s">
        <v>50</v>
      </c>
      <c r="E1972">
        <v>16</v>
      </c>
      <c r="F1972" s="3">
        <f ca="1">41837+(RANDBETWEEN(1,10))</f>
        <v>41840</v>
      </c>
      <c r="G1972" t="s">
        <v>26</v>
      </c>
      <c r="H1972" t="s">
        <v>281</v>
      </c>
      <c r="I1972" t="s">
        <v>97</v>
      </c>
      <c r="J1972">
        <v>1216.04</v>
      </c>
      <c r="K1972">
        <v>0.04</v>
      </c>
      <c r="L1972">
        <v>0.52</v>
      </c>
      <c r="M1972">
        <v>48.965000000000003</v>
      </c>
      <c r="N1972">
        <v>-669.07511999999997</v>
      </c>
      <c r="O1972" s="1" t="s">
        <v>87</v>
      </c>
      <c r="P1972" s="1" t="s">
        <v>3724</v>
      </c>
      <c r="Q1972" s="1" t="s">
        <v>3725</v>
      </c>
      <c r="R1972" s="1" t="s">
        <v>398</v>
      </c>
      <c r="S1972" s="1" t="s">
        <v>3726</v>
      </c>
      <c r="T1972" s="1" t="s">
        <v>3727</v>
      </c>
      <c r="U1972" s="2" t="s">
        <v>5849</v>
      </c>
      <c r="V1972" s="2" t="s">
        <v>47</v>
      </c>
      <c r="W1972" s="2" t="s">
        <v>71</v>
      </c>
      <c r="X1972" s="2">
        <v>75.81</v>
      </c>
    </row>
    <row r="1973" spans="1:24" x14ac:dyDescent="0.3">
      <c r="A1973">
        <v>19849</v>
      </c>
      <c r="B1973" t="s">
        <v>5850</v>
      </c>
      <c r="C1973" s="3">
        <v>40740</v>
      </c>
      <c r="D1973" t="s">
        <v>50</v>
      </c>
      <c r="E1973">
        <v>5</v>
      </c>
      <c r="F1973" s="3">
        <f ca="1">40742+(RANDBETWEEN(1,10))</f>
        <v>40744</v>
      </c>
      <c r="G1973" t="s">
        <v>26</v>
      </c>
      <c r="H1973" t="s">
        <v>63</v>
      </c>
      <c r="I1973" t="s">
        <v>97</v>
      </c>
      <c r="J1973">
        <v>236.74</v>
      </c>
      <c r="K1973">
        <v>0.02</v>
      </c>
      <c r="L1973">
        <v>0.73</v>
      </c>
      <c r="M1973">
        <v>50.295000000000002</v>
      </c>
      <c r="N1973">
        <v>-559.51</v>
      </c>
      <c r="O1973" s="1" t="s">
        <v>87</v>
      </c>
      <c r="P1973" s="1" t="s">
        <v>5851</v>
      </c>
      <c r="Q1973" s="1" t="s">
        <v>5852</v>
      </c>
      <c r="R1973" s="1" t="s">
        <v>646</v>
      </c>
      <c r="S1973" s="1" t="s">
        <v>1526</v>
      </c>
      <c r="T1973" s="1" t="s">
        <v>3151</v>
      </c>
      <c r="U1973" s="2" t="s">
        <v>5853</v>
      </c>
      <c r="V1973" s="2" t="s">
        <v>83</v>
      </c>
      <c r="W1973" s="2" t="s">
        <v>178</v>
      </c>
      <c r="X1973" s="2">
        <v>45.465000000000003</v>
      </c>
    </row>
    <row r="1974" spans="1:24" x14ac:dyDescent="0.3">
      <c r="A1974">
        <v>19850</v>
      </c>
      <c r="B1974" t="s">
        <v>5850</v>
      </c>
      <c r="C1974" s="3">
        <v>40740</v>
      </c>
      <c r="D1974" t="s">
        <v>50</v>
      </c>
      <c r="E1974">
        <v>7</v>
      </c>
      <c r="F1974" s="3">
        <f ca="1">40742+(RANDBETWEEN(1,10))</f>
        <v>40745</v>
      </c>
      <c r="G1974" t="s">
        <v>26</v>
      </c>
      <c r="H1974" t="s">
        <v>27</v>
      </c>
      <c r="I1974" t="s">
        <v>97</v>
      </c>
      <c r="J1974">
        <v>841.47</v>
      </c>
      <c r="K1974">
        <v>0.05</v>
      </c>
      <c r="L1974">
        <v>0.38</v>
      </c>
      <c r="M1974">
        <v>26.25</v>
      </c>
      <c r="N1974">
        <v>580.61429999999996</v>
      </c>
      <c r="O1974" s="1" t="s">
        <v>87</v>
      </c>
      <c r="P1974" s="1" t="s">
        <v>5851</v>
      </c>
      <c r="Q1974" s="1" t="s">
        <v>5852</v>
      </c>
      <c r="R1974" s="1" t="s">
        <v>646</v>
      </c>
      <c r="S1974" s="1" t="s">
        <v>1526</v>
      </c>
      <c r="T1974" s="1" t="s">
        <v>3151</v>
      </c>
      <c r="U1974" s="2" t="s">
        <v>5854</v>
      </c>
      <c r="V1974" s="2" t="s">
        <v>47</v>
      </c>
      <c r="W1974" s="2" t="s">
        <v>74</v>
      </c>
      <c r="X1974" s="2">
        <v>124.04</v>
      </c>
    </row>
    <row r="1975" spans="1:24" x14ac:dyDescent="0.3">
      <c r="A1975">
        <v>19851</v>
      </c>
      <c r="B1975" t="s">
        <v>5850</v>
      </c>
      <c r="C1975" s="3">
        <v>40740</v>
      </c>
      <c r="D1975" t="s">
        <v>50</v>
      </c>
      <c r="E1975">
        <v>14</v>
      </c>
      <c r="F1975" s="3">
        <f ca="1">40743+(RANDBETWEEN(1,10))</f>
        <v>40747</v>
      </c>
      <c r="G1975" t="s">
        <v>26</v>
      </c>
      <c r="H1975" t="s">
        <v>51</v>
      </c>
      <c r="I1975" t="s">
        <v>97</v>
      </c>
      <c r="J1975">
        <v>645.4</v>
      </c>
      <c r="K1975">
        <v>0.02</v>
      </c>
      <c r="L1975">
        <v>0.6</v>
      </c>
      <c r="M1975">
        <v>10.99</v>
      </c>
      <c r="N1975">
        <v>262.53500000000003</v>
      </c>
      <c r="O1975" s="1" t="s">
        <v>87</v>
      </c>
      <c r="P1975" s="1" t="s">
        <v>5851</v>
      </c>
      <c r="Q1975" s="1" t="s">
        <v>5852</v>
      </c>
      <c r="R1975" s="1" t="s">
        <v>646</v>
      </c>
      <c r="S1975" s="1" t="s">
        <v>1526</v>
      </c>
      <c r="T1975" s="1" t="s">
        <v>3151</v>
      </c>
      <c r="U1975" s="2" t="s">
        <v>536</v>
      </c>
      <c r="V1975" s="2" t="s">
        <v>47</v>
      </c>
      <c r="W1975" s="2" t="s">
        <v>94</v>
      </c>
      <c r="X1975" s="2">
        <v>45.43</v>
      </c>
    </row>
    <row r="1976" spans="1:24" x14ac:dyDescent="0.3">
      <c r="A1976">
        <v>19852</v>
      </c>
      <c r="B1976" t="s">
        <v>5855</v>
      </c>
      <c r="C1976" s="3">
        <v>40676</v>
      </c>
      <c r="D1976" t="s">
        <v>39</v>
      </c>
      <c r="E1976">
        <v>12</v>
      </c>
      <c r="F1976" s="3">
        <f ca="1">40678+(RANDBETWEEN(1,10))</f>
        <v>40683</v>
      </c>
      <c r="G1976" t="s">
        <v>156</v>
      </c>
      <c r="H1976" t="s">
        <v>96</v>
      </c>
      <c r="I1976" t="s">
        <v>86</v>
      </c>
      <c r="J1976">
        <v>110.425</v>
      </c>
      <c r="K1976">
        <v>0.08</v>
      </c>
      <c r="L1976">
        <v>0.39</v>
      </c>
      <c r="M1976">
        <v>2.8</v>
      </c>
      <c r="N1976">
        <v>76.193250000000006</v>
      </c>
      <c r="O1976" s="1" t="s">
        <v>87</v>
      </c>
      <c r="P1976" s="1" t="s">
        <v>3400</v>
      </c>
      <c r="Q1976" s="1" t="s">
        <v>3401</v>
      </c>
      <c r="R1976" s="1" t="s">
        <v>398</v>
      </c>
      <c r="S1976" s="1" t="s">
        <v>3402</v>
      </c>
      <c r="T1976" s="1" t="s">
        <v>3403</v>
      </c>
      <c r="U1976" s="2" t="s">
        <v>2672</v>
      </c>
      <c r="V1976" s="2" t="s">
        <v>47</v>
      </c>
      <c r="W1976" s="2" t="s">
        <v>176</v>
      </c>
      <c r="X1976" s="2">
        <v>9.17</v>
      </c>
    </row>
    <row r="1977" spans="1:24" x14ac:dyDescent="0.3">
      <c r="A1977">
        <v>19853</v>
      </c>
      <c r="B1977" t="s">
        <v>5856</v>
      </c>
      <c r="C1977" s="3">
        <v>41884</v>
      </c>
      <c r="D1977" t="s">
        <v>50</v>
      </c>
      <c r="E1977">
        <v>13</v>
      </c>
      <c r="F1977" s="3">
        <f ca="1">41885+(RANDBETWEEN(1,10))</f>
        <v>41891</v>
      </c>
      <c r="G1977" t="s">
        <v>26</v>
      </c>
      <c r="H1977" t="s">
        <v>51</v>
      </c>
      <c r="I1977" t="s">
        <v>28</v>
      </c>
      <c r="J1977">
        <v>221.48</v>
      </c>
      <c r="K1977">
        <v>0.02</v>
      </c>
      <c r="L1977">
        <v>0.72</v>
      </c>
      <c r="M1977">
        <v>8.3650000000000002</v>
      </c>
      <c r="N1977">
        <v>-135.40100000000001</v>
      </c>
      <c r="O1977" s="1" t="s">
        <v>40</v>
      </c>
      <c r="P1977" s="1" t="s">
        <v>5576</v>
      </c>
      <c r="Q1977" s="1" t="s">
        <v>5577</v>
      </c>
      <c r="R1977" s="1" t="s">
        <v>43</v>
      </c>
      <c r="S1977" s="1" t="s">
        <v>5578</v>
      </c>
      <c r="T1977" s="1" t="s">
        <v>5579</v>
      </c>
      <c r="U1977" s="2" t="s">
        <v>4176</v>
      </c>
      <c r="V1977" s="2" t="s">
        <v>36</v>
      </c>
      <c r="W1977" s="2" t="s">
        <v>60</v>
      </c>
      <c r="X1977" s="2">
        <v>16.695</v>
      </c>
    </row>
    <row r="1978" spans="1:24" x14ac:dyDescent="0.3">
      <c r="A1978">
        <v>19854</v>
      </c>
      <c r="B1978" t="s">
        <v>5856</v>
      </c>
      <c r="C1978" s="3">
        <v>41884</v>
      </c>
      <c r="D1978" t="s">
        <v>50</v>
      </c>
      <c r="E1978">
        <v>24</v>
      </c>
      <c r="F1978" s="3">
        <f ca="1">41884+(RANDBETWEEN(1,10))</f>
        <v>41887</v>
      </c>
      <c r="G1978" t="s">
        <v>26</v>
      </c>
      <c r="H1978" t="s">
        <v>51</v>
      </c>
      <c r="I1978" t="s">
        <v>28</v>
      </c>
      <c r="J1978">
        <v>902.79</v>
      </c>
      <c r="K1978">
        <v>0.1</v>
      </c>
      <c r="L1978">
        <v>0.56999999999999995</v>
      </c>
      <c r="M1978">
        <v>11.795</v>
      </c>
      <c r="N1978">
        <v>107.3142</v>
      </c>
      <c r="O1978" s="1" t="s">
        <v>40</v>
      </c>
      <c r="P1978" s="1" t="s">
        <v>5576</v>
      </c>
      <c r="Q1978" s="1" t="s">
        <v>5577</v>
      </c>
      <c r="R1978" s="1" t="s">
        <v>43</v>
      </c>
      <c r="S1978" s="1" t="s">
        <v>5578</v>
      </c>
      <c r="T1978" s="1" t="s">
        <v>5579</v>
      </c>
      <c r="U1978" s="2" t="s">
        <v>5857</v>
      </c>
      <c r="V1978" s="2" t="s">
        <v>47</v>
      </c>
      <c r="W1978" s="2" t="s">
        <v>94</v>
      </c>
      <c r="X1978" s="2">
        <v>38.43</v>
      </c>
    </row>
    <row r="1979" spans="1:24" x14ac:dyDescent="0.3">
      <c r="A1979">
        <v>19855</v>
      </c>
      <c r="B1979" t="s">
        <v>5858</v>
      </c>
      <c r="C1979" s="3">
        <v>41958</v>
      </c>
      <c r="D1979" t="s">
        <v>25</v>
      </c>
      <c r="E1979">
        <v>40</v>
      </c>
      <c r="F1979" s="3">
        <f ca="1">41963+(RANDBETWEEN(1,10))</f>
        <v>41967</v>
      </c>
      <c r="G1979" t="s">
        <v>26</v>
      </c>
      <c r="H1979" t="s">
        <v>27</v>
      </c>
      <c r="I1979" t="s">
        <v>28</v>
      </c>
      <c r="J1979">
        <v>853.82500000000005</v>
      </c>
      <c r="K1979">
        <v>0.09</v>
      </c>
      <c r="L1979">
        <v>0.37</v>
      </c>
      <c r="M1979">
        <v>31.08</v>
      </c>
      <c r="N1979">
        <v>391.10791999999998</v>
      </c>
      <c r="O1979" s="1" t="s">
        <v>225</v>
      </c>
      <c r="P1979" s="1" t="s">
        <v>4955</v>
      </c>
      <c r="Q1979" s="1" t="s">
        <v>4956</v>
      </c>
      <c r="R1979" s="1" t="s">
        <v>228</v>
      </c>
      <c r="S1979" s="1" t="s">
        <v>865</v>
      </c>
      <c r="T1979" s="1" t="s">
        <v>866</v>
      </c>
      <c r="U1979" s="2" t="s">
        <v>2179</v>
      </c>
      <c r="V1979" s="2" t="s">
        <v>47</v>
      </c>
      <c r="W1979" s="2" t="s">
        <v>74</v>
      </c>
      <c r="X1979" s="2">
        <v>22.68</v>
      </c>
    </row>
    <row r="1980" spans="1:24" x14ac:dyDescent="0.3">
      <c r="A1980">
        <v>19856</v>
      </c>
      <c r="B1980" t="s">
        <v>5859</v>
      </c>
      <c r="C1980" s="3">
        <v>41022</v>
      </c>
      <c r="D1980" t="s">
        <v>50</v>
      </c>
      <c r="E1980">
        <v>6</v>
      </c>
      <c r="F1980" s="3">
        <f ca="1">41023+(RANDBETWEEN(1,10))</f>
        <v>41024</v>
      </c>
      <c r="G1980" t="s">
        <v>156</v>
      </c>
      <c r="H1980" t="s">
        <v>27</v>
      </c>
      <c r="I1980" t="s">
        <v>52</v>
      </c>
      <c r="J1980">
        <v>91.77</v>
      </c>
      <c r="K1980">
        <v>7.0000000000000007E-2</v>
      </c>
      <c r="L1980">
        <v>0.38</v>
      </c>
      <c r="M1980">
        <v>5.2149999999999999</v>
      </c>
      <c r="N1980">
        <v>63.321300000000001</v>
      </c>
      <c r="O1980" s="1" t="s">
        <v>40</v>
      </c>
      <c r="P1980" s="1" t="s">
        <v>1849</v>
      </c>
      <c r="Q1980" s="1" t="s">
        <v>1850</v>
      </c>
      <c r="R1980" s="1" t="s">
        <v>43</v>
      </c>
      <c r="S1980" s="1" t="s">
        <v>1851</v>
      </c>
      <c r="T1980" s="1" t="s">
        <v>1852</v>
      </c>
      <c r="U1980" s="2" t="s">
        <v>1763</v>
      </c>
      <c r="V1980" s="2" t="s">
        <v>47</v>
      </c>
      <c r="W1980" s="2" t="s">
        <v>111</v>
      </c>
      <c r="X1980" s="2">
        <v>13.3</v>
      </c>
    </row>
    <row r="1981" spans="1:24" x14ac:dyDescent="0.3">
      <c r="A1981">
        <v>19857</v>
      </c>
      <c r="B1981" t="s">
        <v>5860</v>
      </c>
      <c r="C1981" s="3">
        <v>41220</v>
      </c>
      <c r="D1981" t="s">
        <v>148</v>
      </c>
      <c r="E1981">
        <v>30</v>
      </c>
      <c r="F1981" s="3">
        <f ca="1">41221+(RANDBETWEEN(1,10))</f>
        <v>41224</v>
      </c>
      <c r="G1981" t="s">
        <v>26</v>
      </c>
      <c r="H1981" t="s">
        <v>27</v>
      </c>
      <c r="I1981" t="s">
        <v>52</v>
      </c>
      <c r="J1981">
        <v>14671.754999999999</v>
      </c>
      <c r="K1981">
        <v>0.05</v>
      </c>
      <c r="L1981">
        <v>0.73</v>
      </c>
      <c r="M1981">
        <v>69.965000000000003</v>
      </c>
      <c r="N1981">
        <v>2390.9270000000001</v>
      </c>
      <c r="O1981" s="1" t="s">
        <v>29</v>
      </c>
      <c r="P1981" s="1" t="s">
        <v>1043</v>
      </c>
      <c r="Q1981" s="1" t="s">
        <v>1044</v>
      </c>
      <c r="R1981" s="1" t="s">
        <v>32</v>
      </c>
      <c r="S1981" s="1" t="s">
        <v>1045</v>
      </c>
      <c r="T1981" s="1" t="s">
        <v>1046</v>
      </c>
      <c r="U1981" s="2" t="s">
        <v>1828</v>
      </c>
      <c r="V1981" s="2" t="s">
        <v>47</v>
      </c>
      <c r="W1981" s="2" t="s">
        <v>119</v>
      </c>
      <c r="X1981" s="2">
        <v>492.97500000000002</v>
      </c>
    </row>
    <row r="1982" spans="1:24" x14ac:dyDescent="0.3">
      <c r="A1982">
        <v>19858</v>
      </c>
      <c r="B1982" t="s">
        <v>5861</v>
      </c>
      <c r="C1982" s="3">
        <v>41035</v>
      </c>
      <c r="D1982" t="s">
        <v>148</v>
      </c>
      <c r="E1982">
        <v>7</v>
      </c>
      <c r="F1982" s="3">
        <f ca="1">41036+(RANDBETWEEN(1,10))</f>
        <v>41038</v>
      </c>
      <c r="G1982" t="s">
        <v>26</v>
      </c>
      <c r="H1982" t="s">
        <v>27</v>
      </c>
      <c r="I1982" t="s">
        <v>28</v>
      </c>
      <c r="J1982">
        <v>4081.4549999999999</v>
      </c>
      <c r="K1982">
        <v>0.08</v>
      </c>
      <c r="L1982">
        <v>0.48</v>
      </c>
      <c r="M1982">
        <v>69.965000000000003</v>
      </c>
      <c r="N1982">
        <v>1694.5250000000001</v>
      </c>
      <c r="O1982" s="1" t="s">
        <v>87</v>
      </c>
      <c r="P1982" s="1" t="s">
        <v>5862</v>
      </c>
      <c r="Q1982" s="1" t="s">
        <v>5863</v>
      </c>
      <c r="R1982" s="1" t="s">
        <v>398</v>
      </c>
      <c r="S1982" s="1" t="s">
        <v>5864</v>
      </c>
      <c r="T1982" s="1" t="s">
        <v>5865</v>
      </c>
      <c r="U1982" s="2" t="s">
        <v>2205</v>
      </c>
      <c r="V1982" s="2" t="s">
        <v>36</v>
      </c>
      <c r="W1982" s="2" t="s">
        <v>60</v>
      </c>
      <c r="X1982" s="2">
        <v>629.96500000000003</v>
      </c>
    </row>
    <row r="1983" spans="1:24" x14ac:dyDescent="0.3">
      <c r="A1983">
        <v>19859</v>
      </c>
      <c r="B1983" t="s">
        <v>5866</v>
      </c>
      <c r="C1983" s="3">
        <v>40807</v>
      </c>
      <c r="D1983" t="s">
        <v>25</v>
      </c>
      <c r="E1983">
        <v>7</v>
      </c>
      <c r="F1983" s="3">
        <f ca="1">40812+(RANDBETWEEN(1,10))</f>
        <v>40817</v>
      </c>
      <c r="G1983" t="s">
        <v>26</v>
      </c>
      <c r="H1983" t="s">
        <v>51</v>
      </c>
      <c r="I1983" t="s">
        <v>28</v>
      </c>
      <c r="J1983">
        <v>147.07</v>
      </c>
      <c r="K1983">
        <v>0.05</v>
      </c>
      <c r="L1983">
        <v>0.55000000000000004</v>
      </c>
      <c r="M1983">
        <v>18.55</v>
      </c>
      <c r="N1983">
        <v>-177.625</v>
      </c>
      <c r="O1983" s="1" t="s">
        <v>40</v>
      </c>
      <c r="P1983" s="1" t="s">
        <v>5867</v>
      </c>
      <c r="Q1983" s="1" t="s">
        <v>5868</v>
      </c>
      <c r="R1983" s="1" t="s">
        <v>220</v>
      </c>
      <c r="S1983" s="1" t="s">
        <v>5869</v>
      </c>
      <c r="T1983" s="1" t="s">
        <v>5870</v>
      </c>
      <c r="U1983" s="2" t="s">
        <v>5871</v>
      </c>
      <c r="V1983" s="2" t="s">
        <v>47</v>
      </c>
      <c r="W1983" s="2" t="s">
        <v>94</v>
      </c>
      <c r="X1983" s="2">
        <v>20.09</v>
      </c>
    </row>
    <row r="1984" spans="1:24" x14ac:dyDescent="0.3">
      <c r="A1984">
        <v>19860</v>
      </c>
      <c r="B1984" t="s">
        <v>5872</v>
      </c>
      <c r="C1984" s="3">
        <v>40739</v>
      </c>
      <c r="D1984" t="s">
        <v>62</v>
      </c>
      <c r="E1984">
        <v>7</v>
      </c>
      <c r="F1984" s="3">
        <f ca="1">40739+(RANDBETWEEN(1,10))</f>
        <v>40742</v>
      </c>
      <c r="G1984" t="s">
        <v>26</v>
      </c>
      <c r="H1984" t="s">
        <v>96</v>
      </c>
      <c r="I1984" t="s">
        <v>28</v>
      </c>
      <c r="J1984">
        <v>67.515000000000001</v>
      </c>
      <c r="K1984">
        <v>0.09</v>
      </c>
      <c r="L1984">
        <v>0.56000000000000005</v>
      </c>
      <c r="M1984">
        <v>2.4500000000000002</v>
      </c>
      <c r="N1984">
        <v>16.975000000000001</v>
      </c>
      <c r="O1984" s="1" t="s">
        <v>87</v>
      </c>
      <c r="P1984" s="1" t="s">
        <v>5873</v>
      </c>
      <c r="Q1984" s="1" t="s">
        <v>5874</v>
      </c>
      <c r="R1984" s="1" t="s">
        <v>90</v>
      </c>
      <c r="S1984" s="1" t="s">
        <v>5875</v>
      </c>
      <c r="T1984" s="1" t="s">
        <v>5876</v>
      </c>
      <c r="U1984" s="2" t="s">
        <v>3059</v>
      </c>
      <c r="V1984" s="2" t="s">
        <v>47</v>
      </c>
      <c r="W1984" s="2" t="s">
        <v>104</v>
      </c>
      <c r="X1984" s="2">
        <v>10.08</v>
      </c>
    </row>
    <row r="1985" spans="1:24" x14ac:dyDescent="0.3">
      <c r="A1985">
        <v>19861</v>
      </c>
      <c r="B1985" t="s">
        <v>5877</v>
      </c>
      <c r="C1985" s="3">
        <v>41503</v>
      </c>
      <c r="D1985" t="s">
        <v>148</v>
      </c>
      <c r="E1985">
        <v>20</v>
      </c>
      <c r="F1985" s="3">
        <f ca="1">41503+(RANDBETWEEN(1,10))</f>
        <v>41506</v>
      </c>
      <c r="G1985" t="s">
        <v>76</v>
      </c>
      <c r="H1985" t="s">
        <v>258</v>
      </c>
      <c r="I1985" t="s">
        <v>52</v>
      </c>
      <c r="J1985">
        <v>18293.52</v>
      </c>
      <c r="K1985">
        <v>0</v>
      </c>
      <c r="L1985">
        <v>0.65</v>
      </c>
      <c r="M1985">
        <v>233.345</v>
      </c>
      <c r="N1985">
        <v>-1142.3069055999999</v>
      </c>
      <c r="O1985" s="1" t="s">
        <v>29</v>
      </c>
      <c r="P1985" s="1" t="s">
        <v>5050</v>
      </c>
      <c r="Q1985" s="1" t="s">
        <v>5051</v>
      </c>
      <c r="R1985" s="1" t="s">
        <v>675</v>
      </c>
      <c r="S1985" s="1" t="s">
        <v>5052</v>
      </c>
      <c r="T1985" s="1" t="s">
        <v>5053</v>
      </c>
      <c r="U1985" s="2" t="s">
        <v>4031</v>
      </c>
      <c r="V1985" s="2" t="s">
        <v>83</v>
      </c>
      <c r="W1985" s="2" t="s">
        <v>263</v>
      </c>
      <c r="X1985" s="2">
        <v>908.98500000000001</v>
      </c>
    </row>
    <row r="1986" spans="1:24" x14ac:dyDescent="0.3">
      <c r="A1986">
        <v>19862</v>
      </c>
      <c r="B1986" t="s">
        <v>5878</v>
      </c>
      <c r="C1986" s="3">
        <v>41805</v>
      </c>
      <c r="D1986" t="s">
        <v>50</v>
      </c>
      <c r="E1986">
        <v>13</v>
      </c>
      <c r="F1986" s="3">
        <f ca="1">41807+(RANDBETWEEN(1,10))</f>
        <v>41812</v>
      </c>
      <c r="G1986" t="s">
        <v>26</v>
      </c>
      <c r="H1986" t="s">
        <v>63</v>
      </c>
      <c r="I1986" t="s">
        <v>52</v>
      </c>
      <c r="J1986">
        <v>975.03</v>
      </c>
      <c r="K1986">
        <v>7.0000000000000007E-2</v>
      </c>
      <c r="L1986">
        <v>0.84</v>
      </c>
      <c r="M1986">
        <v>122.5</v>
      </c>
      <c r="N1986">
        <v>-3004.3159999999998</v>
      </c>
      <c r="O1986" s="1" t="s">
        <v>40</v>
      </c>
      <c r="P1986" s="1" t="s">
        <v>973</v>
      </c>
      <c r="Q1986" s="1" t="s">
        <v>974</v>
      </c>
      <c r="R1986" s="1" t="s">
        <v>43</v>
      </c>
      <c r="S1986" s="1" t="s">
        <v>975</v>
      </c>
      <c r="T1986" s="1" t="s">
        <v>976</v>
      </c>
      <c r="U1986" s="2" t="s">
        <v>2742</v>
      </c>
      <c r="V1986" s="2" t="s">
        <v>47</v>
      </c>
      <c r="W1986" s="2" t="s">
        <v>119</v>
      </c>
      <c r="X1986" s="2">
        <v>71.19</v>
      </c>
    </row>
    <row r="1987" spans="1:24" x14ac:dyDescent="0.3">
      <c r="A1987">
        <v>19863</v>
      </c>
      <c r="B1987" t="s">
        <v>5879</v>
      </c>
      <c r="C1987" s="3">
        <v>40588</v>
      </c>
      <c r="D1987" t="s">
        <v>25</v>
      </c>
      <c r="E1987">
        <v>1</v>
      </c>
      <c r="F1987" s="3">
        <f ca="1">40590+(RANDBETWEEN(1,10))</f>
        <v>40595</v>
      </c>
      <c r="G1987" t="s">
        <v>26</v>
      </c>
      <c r="H1987" t="s">
        <v>281</v>
      </c>
      <c r="I1987" t="s">
        <v>97</v>
      </c>
      <c r="J1987">
        <v>224.66499999999999</v>
      </c>
      <c r="K1987">
        <v>0.04</v>
      </c>
      <c r="L1987">
        <v>0.64</v>
      </c>
      <c r="M1987">
        <v>42.805</v>
      </c>
      <c r="N1987">
        <v>155.01884999999999</v>
      </c>
      <c r="O1987" s="1" t="s">
        <v>40</v>
      </c>
      <c r="P1987" s="1" t="s">
        <v>5880</v>
      </c>
      <c r="Q1987" s="1" t="s">
        <v>5881</v>
      </c>
      <c r="R1987" s="1" t="s">
        <v>43</v>
      </c>
      <c r="S1987" s="1" t="s">
        <v>5882</v>
      </c>
      <c r="T1987" s="1" t="s">
        <v>5883</v>
      </c>
      <c r="U1987" s="2" t="s">
        <v>2775</v>
      </c>
      <c r="V1987" s="2" t="s">
        <v>83</v>
      </c>
      <c r="W1987" s="2" t="s">
        <v>178</v>
      </c>
      <c r="X1987" s="2">
        <v>212.27500000000001</v>
      </c>
    </row>
    <row r="1988" spans="1:24" x14ac:dyDescent="0.3">
      <c r="A1988">
        <v>19864</v>
      </c>
      <c r="B1988" t="s">
        <v>5884</v>
      </c>
      <c r="C1988" s="3">
        <v>41066</v>
      </c>
      <c r="D1988" t="s">
        <v>50</v>
      </c>
      <c r="E1988">
        <v>2</v>
      </c>
      <c r="F1988" s="3">
        <f ca="1">41068+(RANDBETWEEN(1,10))</f>
        <v>41076</v>
      </c>
      <c r="G1988" t="s">
        <v>26</v>
      </c>
      <c r="H1988" t="s">
        <v>51</v>
      </c>
      <c r="I1988" t="s">
        <v>28</v>
      </c>
      <c r="J1988">
        <v>58.87</v>
      </c>
      <c r="K1988">
        <v>7.0000000000000007E-2</v>
      </c>
      <c r="L1988">
        <v>0.77</v>
      </c>
      <c r="M1988">
        <v>9.9049999999999994</v>
      </c>
      <c r="N1988">
        <v>-98.475999999999999</v>
      </c>
      <c r="O1988" s="1" t="s">
        <v>53</v>
      </c>
      <c r="P1988" s="1" t="s">
        <v>3013</v>
      </c>
      <c r="Q1988" s="1" t="s">
        <v>3014</v>
      </c>
      <c r="R1988" s="1" t="s">
        <v>440</v>
      </c>
      <c r="S1988" s="1" t="s">
        <v>3015</v>
      </c>
      <c r="T1988" s="1" t="s">
        <v>3016</v>
      </c>
      <c r="U1988" s="2" t="s">
        <v>2563</v>
      </c>
      <c r="V1988" s="2" t="s">
        <v>36</v>
      </c>
      <c r="W1988" s="2" t="s">
        <v>60</v>
      </c>
      <c r="X1988" s="2">
        <v>28.42</v>
      </c>
    </row>
    <row r="1989" spans="1:24" x14ac:dyDescent="0.3">
      <c r="A1989">
        <v>19865</v>
      </c>
      <c r="B1989" t="s">
        <v>5884</v>
      </c>
      <c r="C1989" s="3">
        <v>41066</v>
      </c>
      <c r="D1989" t="s">
        <v>50</v>
      </c>
      <c r="E1989">
        <v>11</v>
      </c>
      <c r="F1989" s="3">
        <f ca="1">41067+(RANDBETWEEN(1,10))</f>
        <v>41077</v>
      </c>
      <c r="G1989" t="s">
        <v>26</v>
      </c>
      <c r="H1989" t="s">
        <v>281</v>
      </c>
      <c r="I1989" t="s">
        <v>28</v>
      </c>
      <c r="J1989">
        <v>931.875</v>
      </c>
      <c r="K1989">
        <v>0.01</v>
      </c>
      <c r="L1989">
        <v>0.38</v>
      </c>
      <c r="M1989">
        <v>22.05</v>
      </c>
      <c r="N1989">
        <v>642.99374999999998</v>
      </c>
      <c r="O1989" s="1" t="s">
        <v>53</v>
      </c>
      <c r="P1989" s="1" t="s">
        <v>3013</v>
      </c>
      <c r="Q1989" s="1" t="s">
        <v>3014</v>
      </c>
      <c r="R1989" s="1" t="s">
        <v>440</v>
      </c>
      <c r="S1989" s="1" t="s">
        <v>3015</v>
      </c>
      <c r="T1989" s="1" t="s">
        <v>3016</v>
      </c>
      <c r="U1989" s="2" t="s">
        <v>3736</v>
      </c>
      <c r="V1989" s="2" t="s">
        <v>36</v>
      </c>
      <c r="W1989" s="2" t="s">
        <v>142</v>
      </c>
      <c r="X1989" s="2">
        <v>83.965000000000003</v>
      </c>
    </row>
    <row r="1990" spans="1:24" x14ac:dyDescent="0.3">
      <c r="A1990">
        <v>19866</v>
      </c>
      <c r="B1990" t="s">
        <v>5885</v>
      </c>
      <c r="C1990" s="3">
        <v>40937</v>
      </c>
      <c r="D1990" t="s">
        <v>62</v>
      </c>
      <c r="E1990">
        <v>7</v>
      </c>
      <c r="F1990" s="3">
        <f ca="1">40939+(RANDBETWEEN(1,10))</f>
        <v>40947</v>
      </c>
      <c r="G1990" t="s">
        <v>26</v>
      </c>
      <c r="H1990" t="s">
        <v>27</v>
      </c>
      <c r="I1990" t="s">
        <v>52</v>
      </c>
      <c r="J1990">
        <v>126.94499999999999</v>
      </c>
      <c r="K1990">
        <v>0.04</v>
      </c>
      <c r="L1990">
        <v>0.38</v>
      </c>
      <c r="M1990">
        <v>16.45</v>
      </c>
      <c r="N1990">
        <v>-220.73240000000001</v>
      </c>
      <c r="O1990" s="1" t="s">
        <v>40</v>
      </c>
      <c r="P1990" s="1" t="s">
        <v>5886</v>
      </c>
      <c r="Q1990" s="1" t="s">
        <v>5887</v>
      </c>
      <c r="R1990" s="1" t="s">
        <v>220</v>
      </c>
      <c r="S1990" s="1" t="s">
        <v>5888</v>
      </c>
      <c r="T1990" s="1" t="s">
        <v>5889</v>
      </c>
      <c r="U1990" s="2" t="s">
        <v>5182</v>
      </c>
      <c r="V1990" s="2" t="s">
        <v>47</v>
      </c>
      <c r="W1990" s="2" t="s">
        <v>74</v>
      </c>
      <c r="X1990" s="2">
        <v>17.43</v>
      </c>
    </row>
    <row r="1991" spans="1:24" x14ac:dyDescent="0.3">
      <c r="A1991">
        <v>19867</v>
      </c>
      <c r="B1991" t="s">
        <v>5890</v>
      </c>
      <c r="C1991" s="3">
        <v>41195</v>
      </c>
      <c r="D1991" t="s">
        <v>50</v>
      </c>
      <c r="E1991">
        <v>10</v>
      </c>
      <c r="F1991" s="3">
        <f ca="1">41197+(RANDBETWEEN(1,10))</f>
        <v>41205</v>
      </c>
      <c r="G1991" t="s">
        <v>26</v>
      </c>
      <c r="H1991" t="s">
        <v>51</v>
      </c>
      <c r="I1991" t="s">
        <v>52</v>
      </c>
      <c r="J1991">
        <v>1546.09</v>
      </c>
      <c r="K1991">
        <v>7.0000000000000007E-2</v>
      </c>
      <c r="L1991">
        <v>0.44</v>
      </c>
      <c r="M1991">
        <v>6.9649999999999999</v>
      </c>
      <c r="N1991">
        <v>1050.9757999999999</v>
      </c>
      <c r="O1991" s="1" t="s">
        <v>40</v>
      </c>
      <c r="P1991" s="1" t="s">
        <v>5891</v>
      </c>
      <c r="Q1991" s="1" t="s">
        <v>5892</v>
      </c>
      <c r="R1991" s="1" t="s">
        <v>43</v>
      </c>
      <c r="S1991" s="1" t="s">
        <v>5893</v>
      </c>
      <c r="T1991" s="1" t="s">
        <v>5894</v>
      </c>
      <c r="U1991" s="2" t="s">
        <v>2902</v>
      </c>
      <c r="V1991" s="2" t="s">
        <v>36</v>
      </c>
      <c r="W1991" s="2" t="s">
        <v>60</v>
      </c>
      <c r="X1991" s="2">
        <v>153.93</v>
      </c>
    </row>
    <row r="1992" spans="1:24" x14ac:dyDescent="0.3">
      <c r="A1992">
        <v>19868</v>
      </c>
      <c r="B1992" t="s">
        <v>5895</v>
      </c>
      <c r="C1992" s="3">
        <v>41644</v>
      </c>
      <c r="D1992" t="s">
        <v>39</v>
      </c>
      <c r="E1992">
        <v>9</v>
      </c>
      <c r="F1992" s="3">
        <f ca="1">41647+(RANDBETWEEN(1,10))</f>
        <v>41649</v>
      </c>
      <c r="G1992" t="s">
        <v>26</v>
      </c>
      <c r="H1992" t="s">
        <v>96</v>
      </c>
      <c r="I1992" t="s">
        <v>52</v>
      </c>
      <c r="J1992">
        <v>147.41999999999999</v>
      </c>
      <c r="K1992">
        <v>0.06</v>
      </c>
      <c r="L1992">
        <v>0.39</v>
      </c>
      <c r="M1992">
        <v>3.08</v>
      </c>
      <c r="N1992">
        <v>101.71980000000001</v>
      </c>
      <c r="O1992" s="1" t="s">
        <v>40</v>
      </c>
      <c r="P1992" s="1" t="s">
        <v>1739</v>
      </c>
      <c r="Q1992" s="1" t="s">
        <v>1740</v>
      </c>
      <c r="R1992" s="1" t="s">
        <v>43</v>
      </c>
      <c r="S1992" s="1" t="s">
        <v>1741</v>
      </c>
      <c r="T1992" s="1" t="s">
        <v>1742</v>
      </c>
      <c r="U1992" s="2" t="s">
        <v>1743</v>
      </c>
      <c r="V1992" s="2" t="s">
        <v>47</v>
      </c>
      <c r="W1992" s="2" t="s">
        <v>74</v>
      </c>
      <c r="X1992" s="2">
        <v>16.66</v>
      </c>
    </row>
    <row r="1993" spans="1:24" x14ac:dyDescent="0.3">
      <c r="A1993">
        <v>19869</v>
      </c>
      <c r="B1993" t="s">
        <v>5896</v>
      </c>
      <c r="C1993" s="3">
        <v>40916</v>
      </c>
      <c r="D1993" t="s">
        <v>39</v>
      </c>
      <c r="E1993">
        <v>6</v>
      </c>
      <c r="F1993" s="3">
        <f ca="1">40918+(RANDBETWEEN(1,10))</f>
        <v>40921</v>
      </c>
      <c r="G1993" t="s">
        <v>26</v>
      </c>
      <c r="H1993" t="s">
        <v>281</v>
      </c>
      <c r="I1993" t="s">
        <v>28</v>
      </c>
      <c r="J1993">
        <v>381.92</v>
      </c>
      <c r="K1993">
        <v>0.01</v>
      </c>
      <c r="L1993">
        <v>0.57999999999999996</v>
      </c>
      <c r="M1993">
        <v>16.835000000000001</v>
      </c>
      <c r="N1993">
        <v>2.2503600000000001</v>
      </c>
      <c r="O1993" s="1" t="s">
        <v>29</v>
      </c>
      <c r="P1993" s="1" t="s">
        <v>5897</v>
      </c>
      <c r="Q1993" s="1" t="s">
        <v>5898</v>
      </c>
      <c r="R1993" s="1" t="s">
        <v>675</v>
      </c>
      <c r="S1993" s="1" t="s">
        <v>4284</v>
      </c>
      <c r="T1993" s="1" t="s">
        <v>4285</v>
      </c>
      <c r="U1993" s="2" t="s">
        <v>1890</v>
      </c>
      <c r="V1993" s="2" t="s">
        <v>36</v>
      </c>
      <c r="W1993" s="2" t="s">
        <v>37</v>
      </c>
      <c r="X1993" s="2">
        <v>73.465000000000003</v>
      </c>
    </row>
    <row r="1994" spans="1:24" x14ac:dyDescent="0.3">
      <c r="A1994">
        <v>19870</v>
      </c>
      <c r="B1994" t="s">
        <v>5899</v>
      </c>
      <c r="C1994" s="3">
        <v>41573</v>
      </c>
      <c r="D1994" t="s">
        <v>62</v>
      </c>
      <c r="E1994">
        <v>13</v>
      </c>
      <c r="F1994" s="3">
        <f ca="1">41574+(RANDBETWEEN(1,10))</f>
        <v>41576</v>
      </c>
      <c r="G1994" t="s">
        <v>26</v>
      </c>
      <c r="H1994" t="s">
        <v>27</v>
      </c>
      <c r="I1994" t="s">
        <v>97</v>
      </c>
      <c r="J1994">
        <v>185.57</v>
      </c>
      <c r="K1994">
        <v>0.09</v>
      </c>
      <c r="L1994">
        <v>0.39</v>
      </c>
      <c r="M1994">
        <v>1.75</v>
      </c>
      <c r="N1994">
        <v>128.04329999999999</v>
      </c>
      <c r="O1994" s="1" t="s">
        <v>29</v>
      </c>
      <c r="P1994" s="1" t="s">
        <v>5900</v>
      </c>
      <c r="Q1994" s="1" t="s">
        <v>5901</v>
      </c>
      <c r="R1994" s="1" t="s">
        <v>675</v>
      </c>
      <c r="S1994" s="1" t="s">
        <v>1324</v>
      </c>
      <c r="T1994" s="1" t="s">
        <v>1325</v>
      </c>
      <c r="U1994" s="2" t="s">
        <v>1889</v>
      </c>
      <c r="V1994" s="2" t="s">
        <v>47</v>
      </c>
      <c r="W1994" s="2" t="s">
        <v>203</v>
      </c>
      <c r="X1994" s="2">
        <v>14.455</v>
      </c>
    </row>
    <row r="1995" spans="1:24" x14ac:dyDescent="0.3">
      <c r="A1995">
        <v>19871</v>
      </c>
      <c r="B1995" t="s">
        <v>5902</v>
      </c>
      <c r="C1995" s="3">
        <v>41198</v>
      </c>
      <c r="D1995" t="s">
        <v>50</v>
      </c>
      <c r="E1995">
        <v>1</v>
      </c>
      <c r="F1995" s="3">
        <f ca="1">41199+(RANDBETWEEN(1,10))</f>
        <v>41202</v>
      </c>
      <c r="G1995" t="s">
        <v>26</v>
      </c>
      <c r="H1995" t="s">
        <v>27</v>
      </c>
      <c r="I1995" t="s">
        <v>97</v>
      </c>
      <c r="J1995">
        <v>202.23</v>
      </c>
      <c r="K1995">
        <v>0.09</v>
      </c>
      <c r="L1995">
        <v>0.81</v>
      </c>
      <c r="M1995">
        <v>69.965000000000003</v>
      </c>
      <c r="N1995">
        <v>-458.85419999999999</v>
      </c>
      <c r="O1995" s="1" t="s">
        <v>29</v>
      </c>
      <c r="P1995" s="1" t="s">
        <v>5903</v>
      </c>
      <c r="Q1995" s="1" t="s">
        <v>5904</v>
      </c>
      <c r="R1995" s="1" t="s">
        <v>32</v>
      </c>
      <c r="S1995" s="1" t="s">
        <v>3913</v>
      </c>
      <c r="T1995" s="1" t="s">
        <v>1982</v>
      </c>
      <c r="U1995" s="2" t="s">
        <v>5307</v>
      </c>
      <c r="V1995" s="2" t="s">
        <v>47</v>
      </c>
      <c r="W1995" s="2" t="s">
        <v>119</v>
      </c>
      <c r="X1995" s="2">
        <v>185.465</v>
      </c>
    </row>
    <row r="1996" spans="1:24" x14ac:dyDescent="0.3">
      <c r="A1996">
        <v>19872</v>
      </c>
      <c r="B1996" t="s">
        <v>5902</v>
      </c>
      <c r="C1996" s="3">
        <v>41198</v>
      </c>
      <c r="D1996" t="s">
        <v>50</v>
      </c>
      <c r="E1996">
        <v>14</v>
      </c>
      <c r="F1996" s="3">
        <f ca="1">41198+(RANDBETWEEN(1,10))</f>
        <v>41205</v>
      </c>
      <c r="G1996" t="s">
        <v>26</v>
      </c>
      <c r="H1996" t="s">
        <v>27</v>
      </c>
      <c r="I1996" t="s">
        <v>97</v>
      </c>
      <c r="J1996">
        <v>1536.9549999999999</v>
      </c>
      <c r="K1996">
        <v>0.05</v>
      </c>
      <c r="L1996">
        <v>0.75</v>
      </c>
      <c r="M1996">
        <v>14</v>
      </c>
      <c r="N1996">
        <v>35.291200000000003</v>
      </c>
      <c r="O1996" s="1" t="s">
        <v>225</v>
      </c>
      <c r="P1996" s="1" t="s">
        <v>5905</v>
      </c>
      <c r="Q1996" s="1" t="s">
        <v>5906</v>
      </c>
      <c r="R1996" s="1" t="s">
        <v>228</v>
      </c>
      <c r="S1996" s="1" t="s">
        <v>5907</v>
      </c>
      <c r="T1996" s="1" t="s">
        <v>5908</v>
      </c>
      <c r="U1996" s="2" t="s">
        <v>216</v>
      </c>
      <c r="V1996" s="2" t="s">
        <v>36</v>
      </c>
      <c r="W1996" s="2" t="s">
        <v>60</v>
      </c>
      <c r="X1996" s="2">
        <v>107.55500000000001</v>
      </c>
    </row>
    <row r="1997" spans="1:24" x14ac:dyDescent="0.3">
      <c r="A1997">
        <v>19873</v>
      </c>
      <c r="B1997" t="s">
        <v>5902</v>
      </c>
      <c r="C1997" s="3">
        <v>41198</v>
      </c>
      <c r="D1997" t="s">
        <v>50</v>
      </c>
      <c r="E1997">
        <v>21</v>
      </c>
      <c r="F1997" s="3">
        <f ca="1">41200+(RANDBETWEEN(1,10))</f>
        <v>41203</v>
      </c>
      <c r="G1997" t="s">
        <v>156</v>
      </c>
      <c r="H1997" t="s">
        <v>27</v>
      </c>
      <c r="I1997" t="s">
        <v>97</v>
      </c>
      <c r="J1997">
        <v>361.69</v>
      </c>
      <c r="K1997">
        <v>0.09</v>
      </c>
      <c r="L1997">
        <v>0.36</v>
      </c>
      <c r="M1997">
        <v>19.88</v>
      </c>
      <c r="N1997">
        <v>-558.89378999999997</v>
      </c>
      <c r="O1997" s="1" t="s">
        <v>40</v>
      </c>
      <c r="P1997" s="1" t="s">
        <v>5909</v>
      </c>
      <c r="Q1997" s="1" t="s">
        <v>5910</v>
      </c>
      <c r="R1997" s="1" t="s">
        <v>220</v>
      </c>
      <c r="S1997" s="1" t="s">
        <v>4479</v>
      </c>
      <c r="T1997" s="1" t="s">
        <v>4480</v>
      </c>
      <c r="U1997" s="2" t="s">
        <v>4013</v>
      </c>
      <c r="V1997" s="2" t="s">
        <v>47</v>
      </c>
      <c r="W1997" s="2" t="s">
        <v>111</v>
      </c>
      <c r="X1997" s="2">
        <v>17.184999999999999</v>
      </c>
    </row>
    <row r="1998" spans="1:24" x14ac:dyDescent="0.3">
      <c r="A1998">
        <v>19874</v>
      </c>
      <c r="B1998" t="s">
        <v>5911</v>
      </c>
      <c r="C1998" s="3">
        <v>40881</v>
      </c>
      <c r="D1998" t="s">
        <v>39</v>
      </c>
      <c r="E1998">
        <v>1</v>
      </c>
      <c r="F1998" s="3">
        <f ca="1">40883+(RANDBETWEEN(1,10))</f>
        <v>40887</v>
      </c>
      <c r="G1998" t="s">
        <v>26</v>
      </c>
      <c r="H1998" t="s">
        <v>27</v>
      </c>
      <c r="I1998" t="s">
        <v>52</v>
      </c>
      <c r="J1998">
        <v>341.77499999999998</v>
      </c>
      <c r="K1998">
        <v>0.09</v>
      </c>
      <c r="L1998">
        <v>0.52</v>
      </c>
      <c r="M1998">
        <v>69.965000000000003</v>
      </c>
      <c r="N1998">
        <v>-565.16250000000002</v>
      </c>
      <c r="O1998" s="1" t="s">
        <v>87</v>
      </c>
      <c r="P1998" s="1" t="s">
        <v>3751</v>
      </c>
      <c r="Q1998" s="1" t="s">
        <v>3752</v>
      </c>
      <c r="R1998" s="1" t="s">
        <v>90</v>
      </c>
      <c r="S1998" s="1" t="s">
        <v>3753</v>
      </c>
      <c r="T1998" s="1" t="s">
        <v>3754</v>
      </c>
      <c r="U1998" s="2" t="s">
        <v>1438</v>
      </c>
      <c r="V1998" s="2" t="s">
        <v>36</v>
      </c>
      <c r="W1998" s="2" t="s">
        <v>60</v>
      </c>
      <c r="X1998" s="2">
        <v>349.96499999999997</v>
      </c>
    </row>
    <row r="1999" spans="1:24" x14ac:dyDescent="0.3">
      <c r="A1999">
        <v>19875</v>
      </c>
      <c r="B1999" t="s">
        <v>5911</v>
      </c>
      <c r="C1999" s="3">
        <v>40881</v>
      </c>
      <c r="D1999" t="s">
        <v>39</v>
      </c>
      <c r="E1999">
        <v>6</v>
      </c>
      <c r="F1999" s="3">
        <f ca="1">40882+(RANDBETWEEN(1,10))</f>
        <v>40889</v>
      </c>
      <c r="G1999" t="s">
        <v>26</v>
      </c>
      <c r="H1999" t="s">
        <v>27</v>
      </c>
      <c r="I1999" t="s">
        <v>52</v>
      </c>
      <c r="J1999">
        <v>3565.1350000000002</v>
      </c>
      <c r="K1999">
        <v>0.04</v>
      </c>
      <c r="L1999">
        <v>0.56000000000000005</v>
      </c>
      <c r="M1999">
        <v>18.41</v>
      </c>
      <c r="N1999">
        <v>-2.8490000000000002</v>
      </c>
      <c r="O1999" s="1" t="s">
        <v>87</v>
      </c>
      <c r="P1999" s="1" t="s">
        <v>3751</v>
      </c>
      <c r="Q1999" s="1" t="s">
        <v>3752</v>
      </c>
      <c r="R1999" s="1" t="s">
        <v>90</v>
      </c>
      <c r="S1999" s="1" t="s">
        <v>3753</v>
      </c>
      <c r="T1999" s="1" t="s">
        <v>3754</v>
      </c>
      <c r="U1999" s="2" t="s">
        <v>1881</v>
      </c>
      <c r="V1999" s="2" t="s">
        <v>36</v>
      </c>
      <c r="W1999" s="2" t="s">
        <v>37</v>
      </c>
      <c r="X1999" s="2">
        <v>720.96500000000003</v>
      </c>
    </row>
    <row r="2000" spans="1:24" x14ac:dyDescent="0.3">
      <c r="A2000">
        <v>19876</v>
      </c>
      <c r="B2000" t="s">
        <v>5912</v>
      </c>
      <c r="C2000" s="3">
        <v>42002</v>
      </c>
      <c r="D2000" t="s">
        <v>148</v>
      </c>
      <c r="E2000">
        <v>14</v>
      </c>
      <c r="F2000" s="3">
        <f ca="1">42003+(RANDBETWEEN(1,10))</f>
        <v>42010</v>
      </c>
      <c r="G2000" t="s">
        <v>26</v>
      </c>
      <c r="H2000" t="s">
        <v>27</v>
      </c>
      <c r="I2000" t="s">
        <v>86</v>
      </c>
      <c r="J2000">
        <v>319.58499999999998</v>
      </c>
      <c r="K2000">
        <v>0.09</v>
      </c>
      <c r="L2000">
        <v>0.39</v>
      </c>
      <c r="M2000">
        <v>21.63</v>
      </c>
      <c r="N2000">
        <v>-89.034959999999998</v>
      </c>
      <c r="O2000" s="1" t="s">
        <v>53</v>
      </c>
      <c r="P2000" s="1" t="s">
        <v>3197</v>
      </c>
      <c r="Q2000" s="1" t="s">
        <v>3198</v>
      </c>
      <c r="R2000" s="1" t="s">
        <v>100</v>
      </c>
      <c r="S2000" s="1" t="s">
        <v>3199</v>
      </c>
      <c r="T2000" s="1" t="s">
        <v>3200</v>
      </c>
      <c r="U2000" s="2" t="s">
        <v>1445</v>
      </c>
      <c r="V2000" s="2" t="s">
        <v>47</v>
      </c>
      <c r="W2000" s="2" t="s">
        <v>74</v>
      </c>
      <c r="X2000" s="2">
        <v>23.73</v>
      </c>
    </row>
    <row r="2001" spans="1:24" x14ac:dyDescent="0.3">
      <c r="A2001">
        <v>19877</v>
      </c>
      <c r="B2001" t="s">
        <v>5913</v>
      </c>
      <c r="C2001" s="3">
        <v>40773</v>
      </c>
      <c r="D2001" t="s">
        <v>148</v>
      </c>
      <c r="E2001">
        <v>10</v>
      </c>
      <c r="F2001" s="3">
        <f ca="1">40775+(RANDBETWEEN(1,10))</f>
        <v>40782</v>
      </c>
      <c r="G2001" t="s">
        <v>26</v>
      </c>
      <c r="H2001" t="s">
        <v>96</v>
      </c>
      <c r="I2001" t="s">
        <v>97</v>
      </c>
      <c r="J2001">
        <v>187.39</v>
      </c>
      <c r="K2001">
        <v>0.05</v>
      </c>
      <c r="L2001">
        <v>0.36</v>
      </c>
      <c r="M2001">
        <v>7.14</v>
      </c>
      <c r="N2001">
        <v>119.0364</v>
      </c>
      <c r="O2001" s="1" t="s">
        <v>29</v>
      </c>
      <c r="P2001" s="1" t="s">
        <v>1434</v>
      </c>
      <c r="Q2001" s="1" t="s">
        <v>1435</v>
      </c>
      <c r="R2001" s="1" t="s">
        <v>460</v>
      </c>
      <c r="S2001" s="1" t="s">
        <v>1436</v>
      </c>
      <c r="T2001" s="1" t="s">
        <v>1437</v>
      </c>
      <c r="U2001" s="2" t="s">
        <v>204</v>
      </c>
      <c r="V2001" s="2" t="s">
        <v>47</v>
      </c>
      <c r="W2001" s="2" t="s">
        <v>74</v>
      </c>
      <c r="X2001" s="2">
        <v>18.13</v>
      </c>
    </row>
    <row r="2002" spans="1:24" x14ac:dyDescent="0.3">
      <c r="A2002">
        <v>19878</v>
      </c>
      <c r="B2002" t="s">
        <v>5914</v>
      </c>
      <c r="C2002" s="3">
        <v>41059</v>
      </c>
      <c r="D2002" t="s">
        <v>25</v>
      </c>
      <c r="E2002">
        <v>15</v>
      </c>
      <c r="F2002" s="3">
        <f ca="1">41061+(RANDBETWEEN(1,10))</f>
        <v>41064</v>
      </c>
      <c r="G2002" t="s">
        <v>26</v>
      </c>
      <c r="H2002" t="s">
        <v>96</v>
      </c>
      <c r="I2002" t="s">
        <v>97</v>
      </c>
      <c r="J2002">
        <v>405.40499999999997</v>
      </c>
      <c r="K2002">
        <v>0.03</v>
      </c>
      <c r="L2002">
        <v>0.4</v>
      </c>
      <c r="M2002">
        <v>5.9850000000000003</v>
      </c>
      <c r="N2002">
        <v>279.72944999999999</v>
      </c>
      <c r="O2002" s="1" t="s">
        <v>40</v>
      </c>
      <c r="P2002" s="1" t="s">
        <v>1235</v>
      </c>
      <c r="Q2002" s="1" t="s">
        <v>1236</v>
      </c>
      <c r="R2002" s="1" t="s">
        <v>43</v>
      </c>
      <c r="S2002" s="1" t="s">
        <v>1237</v>
      </c>
      <c r="T2002" s="1" t="s">
        <v>1238</v>
      </c>
      <c r="U2002" s="2" t="s">
        <v>5167</v>
      </c>
      <c r="V2002" s="2" t="s">
        <v>47</v>
      </c>
      <c r="W2002" s="2" t="s">
        <v>74</v>
      </c>
      <c r="X2002" s="2">
        <v>25.9</v>
      </c>
    </row>
    <row r="2003" spans="1:24" x14ac:dyDescent="0.3">
      <c r="A2003">
        <v>19879</v>
      </c>
      <c r="B2003" t="s">
        <v>5915</v>
      </c>
      <c r="C2003" s="3">
        <v>41052</v>
      </c>
      <c r="D2003" t="s">
        <v>39</v>
      </c>
      <c r="E2003">
        <v>12</v>
      </c>
      <c r="F2003" s="3">
        <f ca="1">41054+(RANDBETWEEN(1,10))</f>
        <v>41057</v>
      </c>
      <c r="G2003" t="s">
        <v>26</v>
      </c>
      <c r="H2003" t="s">
        <v>27</v>
      </c>
      <c r="I2003" t="s">
        <v>52</v>
      </c>
      <c r="J2003">
        <v>154</v>
      </c>
      <c r="K2003">
        <v>0.09</v>
      </c>
      <c r="L2003">
        <v>0.37</v>
      </c>
      <c r="M2003">
        <v>1.75</v>
      </c>
      <c r="N2003">
        <v>106.26</v>
      </c>
      <c r="O2003" s="1" t="s">
        <v>87</v>
      </c>
      <c r="P2003" s="1" t="s">
        <v>5916</v>
      </c>
      <c r="Q2003" s="1" t="s">
        <v>5917</v>
      </c>
      <c r="R2003" s="1" t="s">
        <v>90</v>
      </c>
      <c r="S2003" s="1" t="s">
        <v>5918</v>
      </c>
      <c r="T2003" s="1" t="s">
        <v>5919</v>
      </c>
      <c r="U2003" s="2" t="s">
        <v>2907</v>
      </c>
      <c r="V2003" s="2" t="s">
        <v>47</v>
      </c>
      <c r="W2003" s="2" t="s">
        <v>203</v>
      </c>
      <c r="X2003" s="2">
        <v>13.125</v>
      </c>
    </row>
    <row r="2004" spans="1:24" x14ac:dyDescent="0.3">
      <c r="A2004">
        <v>19880</v>
      </c>
      <c r="B2004" t="s">
        <v>5915</v>
      </c>
      <c r="C2004" s="3">
        <v>41052</v>
      </c>
      <c r="D2004" t="s">
        <v>39</v>
      </c>
      <c r="E2004">
        <v>10</v>
      </c>
      <c r="F2004" s="3">
        <f ca="1">41054+(RANDBETWEEN(1,10))</f>
        <v>41064</v>
      </c>
      <c r="G2004" t="s">
        <v>26</v>
      </c>
      <c r="H2004" t="s">
        <v>27</v>
      </c>
      <c r="I2004" t="s">
        <v>52</v>
      </c>
      <c r="J2004">
        <v>1923.95</v>
      </c>
      <c r="K2004">
        <v>0.02</v>
      </c>
      <c r="L2004">
        <v>0.56999999999999995</v>
      </c>
      <c r="M2004">
        <v>17.465</v>
      </c>
      <c r="N2004">
        <v>837.36450000000002</v>
      </c>
      <c r="O2004" s="1" t="s">
        <v>87</v>
      </c>
      <c r="P2004" s="1" t="s">
        <v>5916</v>
      </c>
      <c r="Q2004" s="1" t="s">
        <v>5917</v>
      </c>
      <c r="R2004" s="1" t="s">
        <v>90</v>
      </c>
      <c r="S2004" s="1" t="s">
        <v>5918</v>
      </c>
      <c r="T2004" s="1" t="s">
        <v>5919</v>
      </c>
      <c r="U2004" s="2" t="s">
        <v>5920</v>
      </c>
      <c r="V2004" s="2" t="s">
        <v>36</v>
      </c>
      <c r="W2004" s="2" t="s">
        <v>37</v>
      </c>
      <c r="X2004" s="2">
        <v>230.965</v>
      </c>
    </row>
    <row r="2005" spans="1:24" x14ac:dyDescent="0.3">
      <c r="A2005">
        <v>19881</v>
      </c>
      <c r="B2005" t="s">
        <v>5915</v>
      </c>
      <c r="C2005" s="3">
        <v>41052</v>
      </c>
      <c r="D2005" t="s">
        <v>39</v>
      </c>
      <c r="E2005">
        <v>11</v>
      </c>
      <c r="F2005" s="3">
        <f ca="1">41052+(RANDBETWEEN(1,10))</f>
        <v>41060</v>
      </c>
      <c r="G2005" t="s">
        <v>26</v>
      </c>
      <c r="H2005" t="s">
        <v>51</v>
      </c>
      <c r="I2005" t="s">
        <v>52</v>
      </c>
      <c r="J2005">
        <v>322.38499999999999</v>
      </c>
      <c r="K2005">
        <v>0.06</v>
      </c>
      <c r="L2005">
        <v>0.49</v>
      </c>
      <c r="M2005">
        <v>6.9649999999999999</v>
      </c>
      <c r="N2005">
        <v>-249.70400000000001</v>
      </c>
      <c r="O2005" s="1" t="s">
        <v>87</v>
      </c>
      <c r="P2005" s="1" t="s">
        <v>3280</v>
      </c>
      <c r="Q2005" s="1" t="s">
        <v>3281</v>
      </c>
      <c r="R2005" s="1" t="s">
        <v>398</v>
      </c>
      <c r="S2005" s="1" t="s">
        <v>3282</v>
      </c>
      <c r="T2005" s="1" t="s">
        <v>3283</v>
      </c>
      <c r="U2005" s="2" t="s">
        <v>2723</v>
      </c>
      <c r="V2005" s="2" t="s">
        <v>36</v>
      </c>
      <c r="W2005" s="2" t="s">
        <v>60</v>
      </c>
      <c r="X2005" s="2">
        <v>29.75</v>
      </c>
    </row>
    <row r="2006" spans="1:24" x14ac:dyDescent="0.3">
      <c r="A2006">
        <v>19882</v>
      </c>
      <c r="B2006" t="s">
        <v>5915</v>
      </c>
      <c r="C2006" s="3">
        <v>41052</v>
      </c>
      <c r="D2006" t="s">
        <v>39</v>
      </c>
      <c r="E2006">
        <v>6</v>
      </c>
      <c r="F2006" s="3">
        <f ca="1">41052+(RANDBETWEEN(1,10))</f>
        <v>41053</v>
      </c>
      <c r="G2006" t="s">
        <v>26</v>
      </c>
      <c r="H2006" t="s">
        <v>96</v>
      </c>
      <c r="I2006" t="s">
        <v>52</v>
      </c>
      <c r="J2006">
        <v>45.85</v>
      </c>
      <c r="K2006">
        <v>0.04</v>
      </c>
      <c r="L2006">
        <v>0.52</v>
      </c>
      <c r="M2006">
        <v>2.73</v>
      </c>
      <c r="N2006">
        <v>-1474.1894167</v>
      </c>
      <c r="O2006" s="1" t="s">
        <v>87</v>
      </c>
      <c r="P2006" s="1" t="s">
        <v>3280</v>
      </c>
      <c r="Q2006" s="1" t="s">
        <v>3281</v>
      </c>
      <c r="R2006" s="1" t="s">
        <v>398</v>
      </c>
      <c r="S2006" s="1" t="s">
        <v>3282</v>
      </c>
      <c r="T2006" s="1" t="s">
        <v>3283</v>
      </c>
      <c r="U2006" s="2" t="s">
        <v>5921</v>
      </c>
      <c r="V2006" s="2" t="s">
        <v>47</v>
      </c>
      <c r="W2006" s="2" t="s">
        <v>176</v>
      </c>
      <c r="X2006" s="2">
        <v>7.63</v>
      </c>
    </row>
    <row r="2007" spans="1:24" x14ac:dyDescent="0.3">
      <c r="A2007">
        <v>19883</v>
      </c>
      <c r="B2007" t="s">
        <v>5915</v>
      </c>
      <c r="C2007" s="3">
        <v>41052</v>
      </c>
      <c r="D2007" t="s">
        <v>39</v>
      </c>
      <c r="E2007">
        <v>12</v>
      </c>
      <c r="F2007" s="3">
        <f ca="1">41052+(RANDBETWEEN(1,10))</f>
        <v>41056</v>
      </c>
      <c r="G2007" t="s">
        <v>26</v>
      </c>
      <c r="H2007" t="s">
        <v>27</v>
      </c>
      <c r="I2007" t="s">
        <v>52</v>
      </c>
      <c r="J2007">
        <v>548.625</v>
      </c>
      <c r="K2007">
        <v>0.02</v>
      </c>
      <c r="L2007">
        <v>0.56999999999999995</v>
      </c>
      <c r="M2007">
        <v>21.454999999999998</v>
      </c>
      <c r="N2007">
        <v>-2041.83</v>
      </c>
      <c r="O2007" s="1" t="s">
        <v>87</v>
      </c>
      <c r="P2007" s="1" t="s">
        <v>3280</v>
      </c>
      <c r="Q2007" s="1" t="s">
        <v>3281</v>
      </c>
      <c r="R2007" s="1" t="s">
        <v>398</v>
      </c>
      <c r="S2007" s="1" t="s">
        <v>3282</v>
      </c>
      <c r="T2007" s="1" t="s">
        <v>3283</v>
      </c>
      <c r="U2007" s="2" t="s">
        <v>5922</v>
      </c>
      <c r="V2007" s="2" t="s">
        <v>47</v>
      </c>
      <c r="W2007" s="2" t="s">
        <v>119</v>
      </c>
      <c r="X2007" s="2">
        <v>42.98</v>
      </c>
    </row>
    <row r="2008" spans="1:24" x14ac:dyDescent="0.3">
      <c r="A2008">
        <v>19884</v>
      </c>
      <c r="B2008" t="s">
        <v>5923</v>
      </c>
      <c r="C2008" s="3">
        <v>40610</v>
      </c>
      <c r="D2008" t="s">
        <v>25</v>
      </c>
      <c r="E2008">
        <v>3</v>
      </c>
      <c r="F2008" s="3">
        <f ca="1">40617+(RANDBETWEEN(1,10))</f>
        <v>40626</v>
      </c>
      <c r="G2008" t="s">
        <v>76</v>
      </c>
      <c r="H2008" t="s">
        <v>77</v>
      </c>
      <c r="I2008" t="s">
        <v>52</v>
      </c>
      <c r="J2008">
        <v>3409.49</v>
      </c>
      <c r="K2008">
        <v>0.01</v>
      </c>
      <c r="L2008">
        <v>0.56000000000000005</v>
      </c>
      <c r="M2008">
        <v>226.55500000000001</v>
      </c>
      <c r="N2008">
        <v>-171.059</v>
      </c>
      <c r="O2008" s="1" t="s">
        <v>29</v>
      </c>
      <c r="P2008" s="1" t="s">
        <v>5924</v>
      </c>
      <c r="Q2008" s="1" t="s">
        <v>5925</v>
      </c>
      <c r="R2008" s="1" t="s">
        <v>32</v>
      </c>
      <c r="S2008" s="1" t="s">
        <v>447</v>
      </c>
      <c r="T2008" s="1" t="s">
        <v>448</v>
      </c>
      <c r="U2008" s="2" t="s">
        <v>3031</v>
      </c>
      <c r="V2008" s="2" t="s">
        <v>83</v>
      </c>
      <c r="W2008" s="2" t="s">
        <v>84</v>
      </c>
      <c r="X2008" s="2">
        <v>1053.43</v>
      </c>
    </row>
    <row r="2009" spans="1:24" x14ac:dyDescent="0.3">
      <c r="A2009">
        <v>19885</v>
      </c>
      <c r="B2009" t="s">
        <v>5926</v>
      </c>
      <c r="C2009" s="3">
        <v>41706</v>
      </c>
      <c r="D2009" t="s">
        <v>25</v>
      </c>
      <c r="E2009">
        <v>8</v>
      </c>
      <c r="F2009" s="3">
        <f ca="1">41706+(RANDBETWEEN(1,10))</f>
        <v>41707</v>
      </c>
      <c r="G2009" t="s">
        <v>26</v>
      </c>
      <c r="H2009" t="s">
        <v>27</v>
      </c>
      <c r="I2009" t="s">
        <v>52</v>
      </c>
      <c r="J2009">
        <v>263.41000000000003</v>
      </c>
      <c r="K2009">
        <v>0.03</v>
      </c>
      <c r="L2009">
        <v>0.38</v>
      </c>
      <c r="M2009">
        <v>29.015000000000001</v>
      </c>
      <c r="N2009">
        <v>-700.26144999999997</v>
      </c>
      <c r="O2009" s="1" t="s">
        <v>29</v>
      </c>
      <c r="P2009" s="1" t="s">
        <v>5924</v>
      </c>
      <c r="Q2009" s="1" t="s">
        <v>5925</v>
      </c>
      <c r="R2009" s="1" t="s">
        <v>32</v>
      </c>
      <c r="S2009" s="1" t="s">
        <v>447</v>
      </c>
      <c r="T2009" s="1" t="s">
        <v>448</v>
      </c>
      <c r="U2009" s="2" t="s">
        <v>1682</v>
      </c>
      <c r="V2009" s="2" t="s">
        <v>47</v>
      </c>
      <c r="W2009" s="2" t="s">
        <v>48</v>
      </c>
      <c r="X2009" s="2">
        <v>30.59</v>
      </c>
    </row>
    <row r="2010" spans="1:24" x14ac:dyDescent="0.3">
      <c r="A2010">
        <v>19886</v>
      </c>
      <c r="B2010" t="s">
        <v>5927</v>
      </c>
      <c r="C2010" s="3">
        <v>41859</v>
      </c>
      <c r="D2010" t="s">
        <v>148</v>
      </c>
      <c r="E2010">
        <v>1</v>
      </c>
      <c r="F2010" s="3">
        <f ca="1">41859+(RANDBETWEEN(1,10))</f>
        <v>41868</v>
      </c>
      <c r="G2010" t="s">
        <v>26</v>
      </c>
      <c r="H2010" t="s">
        <v>27</v>
      </c>
      <c r="I2010" t="s">
        <v>28</v>
      </c>
      <c r="J2010">
        <v>48.72</v>
      </c>
      <c r="K2010">
        <v>0.09</v>
      </c>
      <c r="L2010">
        <v>0.6</v>
      </c>
      <c r="M2010">
        <v>33.075000000000003</v>
      </c>
      <c r="N2010">
        <v>22.169699999999999</v>
      </c>
      <c r="O2010" s="1" t="s">
        <v>64</v>
      </c>
      <c r="P2010" s="1" t="s">
        <v>4653</v>
      </c>
      <c r="Q2010" s="1" t="s">
        <v>4654</v>
      </c>
      <c r="R2010" s="1" t="s">
        <v>67</v>
      </c>
      <c r="S2010" s="1" t="s">
        <v>4655</v>
      </c>
      <c r="T2010" s="1" t="s">
        <v>4656</v>
      </c>
      <c r="U2010" s="2" t="s">
        <v>483</v>
      </c>
      <c r="V2010" s="2" t="s">
        <v>47</v>
      </c>
      <c r="W2010" s="2" t="s">
        <v>119</v>
      </c>
      <c r="X2010" s="2">
        <v>33.984999999999999</v>
      </c>
    </row>
    <row r="2011" spans="1:24" x14ac:dyDescent="0.3">
      <c r="A2011">
        <v>19887</v>
      </c>
      <c r="B2011" t="s">
        <v>5928</v>
      </c>
      <c r="C2011" s="3">
        <v>41374</v>
      </c>
      <c r="D2011" t="s">
        <v>62</v>
      </c>
      <c r="E2011">
        <v>4</v>
      </c>
      <c r="F2011" s="3">
        <f ca="1">41376+(RANDBETWEEN(1,10))</f>
        <v>41381</v>
      </c>
      <c r="G2011" t="s">
        <v>156</v>
      </c>
      <c r="H2011" t="s">
        <v>27</v>
      </c>
      <c r="I2011" t="s">
        <v>28</v>
      </c>
      <c r="J2011">
        <v>606.51499999999999</v>
      </c>
      <c r="K2011">
        <v>0.02</v>
      </c>
      <c r="L2011">
        <v>0.6</v>
      </c>
      <c r="M2011">
        <v>25.2</v>
      </c>
      <c r="N2011">
        <v>237.93</v>
      </c>
      <c r="O2011" s="1" t="s">
        <v>64</v>
      </c>
      <c r="P2011" s="1" t="s">
        <v>4058</v>
      </c>
      <c r="Q2011" s="1" t="s">
        <v>4059</v>
      </c>
      <c r="R2011" s="1" t="s">
        <v>67</v>
      </c>
      <c r="S2011" s="1" t="s">
        <v>4060</v>
      </c>
      <c r="T2011" s="1" t="s">
        <v>4061</v>
      </c>
      <c r="U2011" s="2" t="s">
        <v>5598</v>
      </c>
      <c r="V2011" s="2" t="s">
        <v>47</v>
      </c>
      <c r="W2011" s="2" t="s">
        <v>71</v>
      </c>
      <c r="X2011" s="2">
        <v>143.43</v>
      </c>
    </row>
    <row r="2012" spans="1:24" x14ac:dyDescent="0.3">
      <c r="A2012">
        <v>19888</v>
      </c>
      <c r="B2012" t="s">
        <v>5928</v>
      </c>
      <c r="C2012" s="3">
        <v>41374</v>
      </c>
      <c r="D2012" t="s">
        <v>62</v>
      </c>
      <c r="E2012">
        <v>4</v>
      </c>
      <c r="F2012" s="3">
        <f ca="1">41375+(RANDBETWEEN(1,10))</f>
        <v>41383</v>
      </c>
      <c r="G2012" t="s">
        <v>26</v>
      </c>
      <c r="H2012" t="s">
        <v>27</v>
      </c>
      <c r="I2012" t="s">
        <v>28</v>
      </c>
      <c r="J2012">
        <v>41.51</v>
      </c>
      <c r="K2012">
        <v>0.05</v>
      </c>
      <c r="L2012">
        <v>0.36</v>
      </c>
      <c r="M2012">
        <v>5.2149999999999999</v>
      </c>
      <c r="N2012">
        <v>3.7484999999999999</v>
      </c>
      <c r="O2012" s="1" t="s">
        <v>64</v>
      </c>
      <c r="P2012" s="1" t="s">
        <v>4058</v>
      </c>
      <c r="Q2012" s="1" t="s">
        <v>4059</v>
      </c>
      <c r="R2012" s="1" t="s">
        <v>67</v>
      </c>
      <c r="S2012" s="1" t="s">
        <v>4060</v>
      </c>
      <c r="T2012" s="1" t="s">
        <v>4061</v>
      </c>
      <c r="U2012" s="2" t="s">
        <v>2339</v>
      </c>
      <c r="V2012" s="2" t="s">
        <v>47</v>
      </c>
      <c r="W2012" s="2" t="s">
        <v>111</v>
      </c>
      <c r="X2012" s="2">
        <v>10.08</v>
      </c>
    </row>
    <row r="2013" spans="1:24" x14ac:dyDescent="0.3">
      <c r="A2013">
        <v>19889</v>
      </c>
      <c r="B2013" t="s">
        <v>5929</v>
      </c>
      <c r="C2013" s="3">
        <v>41975</v>
      </c>
      <c r="D2013" t="s">
        <v>50</v>
      </c>
      <c r="E2013">
        <v>1</v>
      </c>
      <c r="F2013" s="3">
        <f ca="1">41976+(RANDBETWEEN(1,10))</f>
        <v>41986</v>
      </c>
      <c r="G2013" t="s">
        <v>26</v>
      </c>
      <c r="H2013" t="s">
        <v>96</v>
      </c>
      <c r="I2013" t="s">
        <v>28</v>
      </c>
      <c r="J2013">
        <v>29.715</v>
      </c>
      <c r="K2013">
        <v>0.04</v>
      </c>
      <c r="L2013">
        <v>0.43</v>
      </c>
      <c r="M2013">
        <v>3.36</v>
      </c>
      <c r="N2013">
        <v>-10.348800000000001</v>
      </c>
      <c r="O2013" s="1" t="s">
        <v>225</v>
      </c>
      <c r="P2013" s="1" t="s">
        <v>3306</v>
      </c>
      <c r="Q2013" s="1" t="s">
        <v>3307</v>
      </c>
      <c r="R2013" s="1" t="s">
        <v>391</v>
      </c>
      <c r="S2013" s="1" t="s">
        <v>3308</v>
      </c>
      <c r="T2013" s="1" t="s">
        <v>3309</v>
      </c>
      <c r="U2013" s="2" t="s">
        <v>2587</v>
      </c>
      <c r="V2013" s="2" t="s">
        <v>83</v>
      </c>
      <c r="W2013" s="2" t="s">
        <v>178</v>
      </c>
      <c r="X2013" s="2">
        <v>29.19</v>
      </c>
    </row>
    <row r="2014" spans="1:24" x14ac:dyDescent="0.3">
      <c r="A2014">
        <v>19890</v>
      </c>
      <c r="B2014" t="s">
        <v>5929</v>
      </c>
      <c r="C2014" s="3">
        <v>41975</v>
      </c>
      <c r="D2014" t="s">
        <v>50</v>
      </c>
      <c r="E2014">
        <v>21</v>
      </c>
      <c r="F2014" s="3">
        <f ca="1">41975+(RANDBETWEEN(1,10))</f>
        <v>41984</v>
      </c>
      <c r="G2014" t="s">
        <v>26</v>
      </c>
      <c r="H2014" t="s">
        <v>27</v>
      </c>
      <c r="I2014" t="s">
        <v>28</v>
      </c>
      <c r="J2014">
        <v>7136.08</v>
      </c>
      <c r="K2014">
        <v>0.04</v>
      </c>
      <c r="L2014">
        <v>0.56999999999999995</v>
      </c>
      <c r="M2014">
        <v>31.465</v>
      </c>
      <c r="N2014">
        <v>4923.8951999999999</v>
      </c>
      <c r="O2014" s="1" t="s">
        <v>225</v>
      </c>
      <c r="P2014" s="1" t="s">
        <v>3306</v>
      </c>
      <c r="Q2014" s="1" t="s">
        <v>3307</v>
      </c>
      <c r="R2014" s="1" t="s">
        <v>391</v>
      </c>
      <c r="S2014" s="1" t="s">
        <v>3308</v>
      </c>
      <c r="T2014" s="1" t="s">
        <v>3309</v>
      </c>
      <c r="U2014" s="2" t="s">
        <v>2356</v>
      </c>
      <c r="V2014" s="2" t="s">
        <v>36</v>
      </c>
      <c r="W2014" s="2" t="s">
        <v>37</v>
      </c>
      <c r="X2014" s="2">
        <v>388.46499999999997</v>
      </c>
    </row>
    <row r="2015" spans="1:24" x14ac:dyDescent="0.3">
      <c r="A2015">
        <v>19891</v>
      </c>
      <c r="B2015" t="s">
        <v>5930</v>
      </c>
      <c r="C2015" s="3">
        <v>41776</v>
      </c>
      <c r="D2015" t="s">
        <v>62</v>
      </c>
      <c r="E2015">
        <v>2</v>
      </c>
      <c r="F2015" s="3">
        <f ca="1">41777+(RANDBETWEEN(1,10))</f>
        <v>41786</v>
      </c>
      <c r="G2015" t="s">
        <v>26</v>
      </c>
      <c r="H2015" t="s">
        <v>51</v>
      </c>
      <c r="I2015" t="s">
        <v>97</v>
      </c>
      <c r="J2015">
        <v>40.11</v>
      </c>
      <c r="K2015">
        <v>7.0000000000000007E-2</v>
      </c>
      <c r="L2015">
        <v>0.79</v>
      </c>
      <c r="M2015">
        <v>17.989999999999998</v>
      </c>
      <c r="N2015">
        <v>-152.98500000000001</v>
      </c>
      <c r="O2015" s="1" t="s">
        <v>87</v>
      </c>
      <c r="P2015" s="1" t="s">
        <v>5931</v>
      </c>
      <c r="Q2015" s="1" t="s">
        <v>5932</v>
      </c>
      <c r="R2015" s="1" t="s">
        <v>90</v>
      </c>
      <c r="S2015" s="1" t="s">
        <v>1619</v>
      </c>
      <c r="T2015" s="1" t="s">
        <v>1620</v>
      </c>
      <c r="U2015" s="2" t="s">
        <v>1639</v>
      </c>
      <c r="V2015" s="2" t="s">
        <v>36</v>
      </c>
      <c r="W2015" s="2" t="s">
        <v>60</v>
      </c>
      <c r="X2015" s="2">
        <v>17.57</v>
      </c>
    </row>
    <row r="2016" spans="1:24" x14ac:dyDescent="0.3">
      <c r="A2016">
        <v>19892</v>
      </c>
      <c r="B2016" t="s">
        <v>5933</v>
      </c>
      <c r="C2016" s="3">
        <v>41880</v>
      </c>
      <c r="D2016" t="s">
        <v>62</v>
      </c>
      <c r="E2016">
        <v>8</v>
      </c>
      <c r="F2016" s="3">
        <f ca="1">41883+(RANDBETWEEN(1,10))</f>
        <v>41887</v>
      </c>
      <c r="G2016" t="s">
        <v>156</v>
      </c>
      <c r="H2016" t="s">
        <v>27</v>
      </c>
      <c r="I2016" t="s">
        <v>86</v>
      </c>
      <c r="J2016">
        <v>198.065</v>
      </c>
      <c r="K2016">
        <v>0.09</v>
      </c>
      <c r="L2016">
        <v>0.37</v>
      </c>
      <c r="M2016">
        <v>28.664999999999999</v>
      </c>
      <c r="N2016">
        <v>8.8452000000000002</v>
      </c>
      <c r="O2016" s="1" t="s">
        <v>40</v>
      </c>
      <c r="P2016" s="1" t="s">
        <v>5161</v>
      </c>
      <c r="Q2016" s="1" t="s">
        <v>5162</v>
      </c>
      <c r="R2016" s="1" t="s">
        <v>43</v>
      </c>
      <c r="S2016" s="1" t="s">
        <v>5163</v>
      </c>
      <c r="T2016" s="1" t="s">
        <v>5164</v>
      </c>
      <c r="U2016" s="2" t="s">
        <v>474</v>
      </c>
      <c r="V2016" s="2" t="s">
        <v>47</v>
      </c>
      <c r="W2016" s="2" t="s">
        <v>74</v>
      </c>
      <c r="X2016" s="2">
        <v>22.68</v>
      </c>
    </row>
    <row r="2017" spans="1:24" x14ac:dyDescent="0.3">
      <c r="A2017">
        <v>19893</v>
      </c>
      <c r="B2017" t="s">
        <v>5934</v>
      </c>
      <c r="C2017" s="3">
        <v>41867</v>
      </c>
      <c r="D2017" t="s">
        <v>25</v>
      </c>
      <c r="E2017">
        <v>9</v>
      </c>
      <c r="F2017" s="3">
        <f ca="1">41871+(RANDBETWEEN(1,10))</f>
        <v>41875</v>
      </c>
      <c r="G2017" t="s">
        <v>26</v>
      </c>
      <c r="H2017" t="s">
        <v>27</v>
      </c>
      <c r="I2017" t="s">
        <v>52</v>
      </c>
      <c r="J2017">
        <v>1524.81</v>
      </c>
      <c r="K2017">
        <v>0.09</v>
      </c>
      <c r="L2017">
        <v>0.56999999999999995</v>
      </c>
      <c r="M2017">
        <v>69.965000000000003</v>
      </c>
      <c r="N2017">
        <v>-140.62384</v>
      </c>
      <c r="O2017" s="1" t="s">
        <v>40</v>
      </c>
      <c r="P2017" s="1" t="s">
        <v>5880</v>
      </c>
      <c r="Q2017" s="1" t="s">
        <v>5881</v>
      </c>
      <c r="R2017" s="1" t="s">
        <v>43</v>
      </c>
      <c r="S2017" s="1" t="s">
        <v>5882</v>
      </c>
      <c r="T2017" s="1" t="s">
        <v>5883</v>
      </c>
      <c r="U2017" s="2" t="s">
        <v>3665</v>
      </c>
      <c r="V2017" s="2" t="s">
        <v>47</v>
      </c>
      <c r="W2017" s="2" t="s">
        <v>71</v>
      </c>
      <c r="X2017" s="2">
        <v>173.005</v>
      </c>
    </row>
    <row r="2018" spans="1:24" x14ac:dyDescent="0.3">
      <c r="A2018">
        <v>19894</v>
      </c>
      <c r="B2018" t="s">
        <v>5935</v>
      </c>
      <c r="C2018" s="3">
        <v>41652</v>
      </c>
      <c r="D2018" t="s">
        <v>25</v>
      </c>
      <c r="E2018">
        <v>1</v>
      </c>
      <c r="F2018" s="3">
        <f ca="1">41657+(RANDBETWEEN(1,10))</f>
        <v>41664</v>
      </c>
      <c r="G2018" t="s">
        <v>76</v>
      </c>
      <c r="H2018" t="s">
        <v>77</v>
      </c>
      <c r="I2018" t="s">
        <v>28</v>
      </c>
      <c r="J2018">
        <v>519.57500000000005</v>
      </c>
      <c r="K2018">
        <v>0.03</v>
      </c>
      <c r="L2018">
        <v>0.56000000000000005</v>
      </c>
      <c r="M2018">
        <v>62.475000000000001</v>
      </c>
      <c r="N2018">
        <v>-1640.0942460000001</v>
      </c>
      <c r="O2018" s="1" t="s">
        <v>225</v>
      </c>
      <c r="P2018" s="1" t="s">
        <v>4819</v>
      </c>
      <c r="Q2018" s="1" t="s">
        <v>4820</v>
      </c>
      <c r="R2018" s="1" t="s">
        <v>228</v>
      </c>
      <c r="S2018" s="1" t="s">
        <v>4821</v>
      </c>
      <c r="T2018" s="1" t="s">
        <v>4822</v>
      </c>
      <c r="U2018" s="2" t="s">
        <v>881</v>
      </c>
      <c r="V2018" s="2" t="s">
        <v>36</v>
      </c>
      <c r="W2018" s="2" t="s">
        <v>142</v>
      </c>
      <c r="X2018" s="2">
        <v>509.07499999999999</v>
      </c>
    </row>
    <row r="2019" spans="1:24" x14ac:dyDescent="0.3">
      <c r="A2019">
        <v>19895</v>
      </c>
      <c r="B2019" t="s">
        <v>5936</v>
      </c>
      <c r="C2019" s="3">
        <v>40556</v>
      </c>
      <c r="D2019" t="s">
        <v>25</v>
      </c>
      <c r="E2019">
        <v>3</v>
      </c>
      <c r="F2019" s="3">
        <f ca="1">40556+(RANDBETWEEN(1,10))</f>
        <v>40565</v>
      </c>
      <c r="G2019" t="s">
        <v>26</v>
      </c>
      <c r="H2019" t="s">
        <v>27</v>
      </c>
      <c r="I2019" t="s">
        <v>28</v>
      </c>
      <c r="J2019">
        <v>533.89</v>
      </c>
      <c r="K2019">
        <v>0.02</v>
      </c>
      <c r="L2019">
        <v>0.37</v>
      </c>
      <c r="M2019">
        <v>17.815000000000001</v>
      </c>
      <c r="N2019">
        <v>368.38409999999999</v>
      </c>
      <c r="O2019" s="1" t="s">
        <v>225</v>
      </c>
      <c r="P2019" s="1" t="s">
        <v>4819</v>
      </c>
      <c r="Q2019" s="1" t="s">
        <v>4820</v>
      </c>
      <c r="R2019" s="1" t="s">
        <v>228</v>
      </c>
      <c r="S2019" s="1" t="s">
        <v>4821</v>
      </c>
      <c r="T2019" s="1" t="s">
        <v>4822</v>
      </c>
      <c r="U2019" s="2" t="s">
        <v>144</v>
      </c>
      <c r="V2019" s="2" t="s">
        <v>47</v>
      </c>
      <c r="W2019" s="2" t="s">
        <v>74</v>
      </c>
      <c r="X2019" s="2">
        <v>168.14</v>
      </c>
    </row>
    <row r="2020" spans="1:24" x14ac:dyDescent="0.3">
      <c r="A2020">
        <v>19896</v>
      </c>
      <c r="B2020" t="s">
        <v>5937</v>
      </c>
      <c r="C2020" s="3">
        <v>41672</v>
      </c>
      <c r="D2020" t="s">
        <v>50</v>
      </c>
      <c r="E2020">
        <v>10</v>
      </c>
      <c r="F2020" s="3">
        <f ca="1">41674+(RANDBETWEEN(1,10))</f>
        <v>41678</v>
      </c>
      <c r="G2020" t="s">
        <v>26</v>
      </c>
      <c r="H2020" t="s">
        <v>27</v>
      </c>
      <c r="I2020" t="s">
        <v>28</v>
      </c>
      <c r="J2020">
        <v>2903.8449999999998</v>
      </c>
      <c r="K2020">
        <v>0.04</v>
      </c>
      <c r="L2020">
        <v>0.45</v>
      </c>
      <c r="M2020">
        <v>21.454999999999998</v>
      </c>
      <c r="N2020">
        <v>2003.6530499999999</v>
      </c>
      <c r="O2020" s="1" t="s">
        <v>87</v>
      </c>
      <c r="P2020" s="1" t="s">
        <v>2778</v>
      </c>
      <c r="Q2020" s="1" t="s">
        <v>2779</v>
      </c>
      <c r="R2020" s="1" t="s">
        <v>398</v>
      </c>
      <c r="S2020" s="1" t="s">
        <v>2780</v>
      </c>
      <c r="T2020" s="1" t="s">
        <v>2781</v>
      </c>
      <c r="U2020" s="2" t="s">
        <v>3335</v>
      </c>
      <c r="V2020" s="2" t="s">
        <v>36</v>
      </c>
      <c r="W2020" s="2" t="s">
        <v>60</v>
      </c>
      <c r="X2020" s="2">
        <v>290.85000000000002</v>
      </c>
    </row>
    <row r="2021" spans="1:24" x14ac:dyDescent="0.3">
      <c r="A2021">
        <v>19897</v>
      </c>
      <c r="B2021" t="s">
        <v>5937</v>
      </c>
      <c r="C2021" s="3">
        <v>41672</v>
      </c>
      <c r="D2021" t="s">
        <v>50</v>
      </c>
      <c r="E2021">
        <v>11</v>
      </c>
      <c r="F2021" s="3">
        <f ca="1">41675+(RANDBETWEEN(1,10))</f>
        <v>41677</v>
      </c>
      <c r="G2021" t="s">
        <v>26</v>
      </c>
      <c r="H2021" t="s">
        <v>281</v>
      </c>
      <c r="I2021" t="s">
        <v>28</v>
      </c>
      <c r="J2021">
        <v>3309.04</v>
      </c>
      <c r="K2021">
        <v>7.0000000000000007E-2</v>
      </c>
      <c r="L2021">
        <v>0.74</v>
      </c>
      <c r="M2021">
        <v>196.7</v>
      </c>
      <c r="N2021">
        <v>-4886.7700000000004</v>
      </c>
      <c r="O2021" s="1" t="s">
        <v>87</v>
      </c>
      <c r="P2021" s="1" t="s">
        <v>2778</v>
      </c>
      <c r="Q2021" s="1" t="s">
        <v>2779</v>
      </c>
      <c r="R2021" s="1" t="s">
        <v>398</v>
      </c>
      <c r="S2021" s="1" t="s">
        <v>2780</v>
      </c>
      <c r="T2021" s="1" t="s">
        <v>2781</v>
      </c>
      <c r="U2021" s="2" t="s">
        <v>3131</v>
      </c>
      <c r="V2021" s="2" t="s">
        <v>83</v>
      </c>
      <c r="W2021" s="2" t="s">
        <v>178</v>
      </c>
      <c r="X2021" s="2">
        <v>318.43</v>
      </c>
    </row>
    <row r="2022" spans="1:24" x14ac:dyDescent="0.3">
      <c r="A2022">
        <v>19898</v>
      </c>
      <c r="B2022" t="s">
        <v>5938</v>
      </c>
      <c r="C2022" s="3">
        <v>40659</v>
      </c>
      <c r="D2022" t="s">
        <v>50</v>
      </c>
      <c r="E2022">
        <v>9</v>
      </c>
      <c r="F2022" s="3">
        <f ca="1">40661+(RANDBETWEEN(1,10))</f>
        <v>40669</v>
      </c>
      <c r="G2022" t="s">
        <v>26</v>
      </c>
      <c r="H2022" t="s">
        <v>96</v>
      </c>
      <c r="I2022" t="s">
        <v>86</v>
      </c>
      <c r="J2022">
        <v>101.78</v>
      </c>
      <c r="K2022">
        <v>7.0000000000000007E-2</v>
      </c>
      <c r="L2022">
        <v>0.48</v>
      </c>
      <c r="M2022">
        <v>2.9750000000000001</v>
      </c>
      <c r="N2022">
        <v>66.64</v>
      </c>
      <c r="O2022" s="1" t="s">
        <v>87</v>
      </c>
      <c r="P2022" s="1" t="s">
        <v>1053</v>
      </c>
      <c r="Q2022" s="1" t="s">
        <v>1054</v>
      </c>
      <c r="R2022" s="1" t="s">
        <v>90</v>
      </c>
      <c r="S2022" s="1" t="s">
        <v>1055</v>
      </c>
      <c r="T2022" s="1" t="s">
        <v>1056</v>
      </c>
      <c r="U2022" s="2" t="s">
        <v>353</v>
      </c>
      <c r="V2022" s="2" t="s">
        <v>47</v>
      </c>
      <c r="W2022" s="2" t="s">
        <v>104</v>
      </c>
      <c r="X2022" s="2">
        <v>11.83</v>
      </c>
    </row>
    <row r="2023" spans="1:24" x14ac:dyDescent="0.3">
      <c r="A2023">
        <v>19899</v>
      </c>
      <c r="B2023" t="s">
        <v>5939</v>
      </c>
      <c r="C2023" s="3">
        <v>41231</v>
      </c>
      <c r="D2023" t="s">
        <v>62</v>
      </c>
      <c r="E2023">
        <v>10</v>
      </c>
      <c r="F2023" s="3">
        <f ca="1">41232+(RANDBETWEEN(1,10))</f>
        <v>41236</v>
      </c>
      <c r="G2023" t="s">
        <v>26</v>
      </c>
      <c r="H2023" t="s">
        <v>51</v>
      </c>
      <c r="I2023" t="s">
        <v>86</v>
      </c>
      <c r="J2023">
        <v>1285.095</v>
      </c>
      <c r="K2023">
        <v>7.0000000000000007E-2</v>
      </c>
      <c r="L2023">
        <v>0.54</v>
      </c>
      <c r="M2023">
        <v>6.9649999999999999</v>
      </c>
      <c r="N2023">
        <v>22.869</v>
      </c>
      <c r="O2023" s="1" t="s">
        <v>40</v>
      </c>
      <c r="P2023" s="1" t="s">
        <v>4666</v>
      </c>
      <c r="Q2023" s="1" t="s">
        <v>4667</v>
      </c>
      <c r="R2023" s="1" t="s">
        <v>43</v>
      </c>
      <c r="S2023" s="1" t="s">
        <v>4668</v>
      </c>
      <c r="T2023" s="1" t="s">
        <v>4669</v>
      </c>
      <c r="U2023" s="2" t="s">
        <v>685</v>
      </c>
      <c r="V2023" s="2" t="s">
        <v>36</v>
      </c>
      <c r="W2023" s="2" t="s">
        <v>60</v>
      </c>
      <c r="X2023" s="2">
        <v>138.18</v>
      </c>
    </row>
    <row r="2024" spans="1:24" x14ac:dyDescent="0.3">
      <c r="A2024">
        <v>19900</v>
      </c>
      <c r="B2024" t="s">
        <v>5939</v>
      </c>
      <c r="C2024" s="3">
        <v>41231</v>
      </c>
      <c r="D2024" t="s">
        <v>62</v>
      </c>
      <c r="E2024">
        <v>31</v>
      </c>
      <c r="F2024" s="3">
        <f ca="1">41232+(RANDBETWEEN(1,10))</f>
        <v>41234</v>
      </c>
      <c r="G2024" t="s">
        <v>156</v>
      </c>
      <c r="H2024" t="s">
        <v>27</v>
      </c>
      <c r="I2024" t="s">
        <v>86</v>
      </c>
      <c r="J2024">
        <v>322.27999999999997</v>
      </c>
      <c r="K2024">
        <v>0.09</v>
      </c>
      <c r="L2024">
        <v>0.39</v>
      </c>
      <c r="M2024">
        <v>1.75</v>
      </c>
      <c r="N2024">
        <v>222.3732</v>
      </c>
      <c r="O2024" s="1" t="s">
        <v>40</v>
      </c>
      <c r="P2024" s="1" t="s">
        <v>4666</v>
      </c>
      <c r="Q2024" s="1" t="s">
        <v>4667</v>
      </c>
      <c r="R2024" s="1" t="s">
        <v>43</v>
      </c>
      <c r="S2024" s="1" t="s">
        <v>4668</v>
      </c>
      <c r="T2024" s="1" t="s">
        <v>4669</v>
      </c>
      <c r="U2024" s="2" t="s">
        <v>1706</v>
      </c>
      <c r="V2024" s="2" t="s">
        <v>47</v>
      </c>
      <c r="W2024" s="2" t="s">
        <v>203</v>
      </c>
      <c r="X2024" s="2">
        <v>9.1349999999999998</v>
      </c>
    </row>
    <row r="2025" spans="1:24" x14ac:dyDescent="0.3">
      <c r="A2025">
        <v>19901</v>
      </c>
      <c r="B2025" t="s">
        <v>5939</v>
      </c>
      <c r="C2025" s="3">
        <v>41231</v>
      </c>
      <c r="D2025" t="s">
        <v>62</v>
      </c>
      <c r="E2025">
        <v>11</v>
      </c>
      <c r="F2025" s="3">
        <f ca="1">41233+(RANDBETWEEN(1,10))</f>
        <v>41238</v>
      </c>
      <c r="G2025" t="s">
        <v>26</v>
      </c>
      <c r="H2025" t="s">
        <v>63</v>
      </c>
      <c r="I2025" t="s">
        <v>86</v>
      </c>
      <c r="J2025">
        <v>933.73</v>
      </c>
      <c r="K2025">
        <v>0</v>
      </c>
      <c r="L2025">
        <v>0.84</v>
      </c>
      <c r="M2025">
        <v>122.5</v>
      </c>
      <c r="N2025">
        <v>253.274</v>
      </c>
      <c r="O2025" s="1" t="s">
        <v>40</v>
      </c>
      <c r="P2025" s="1" t="s">
        <v>4666</v>
      </c>
      <c r="Q2025" s="1" t="s">
        <v>4667</v>
      </c>
      <c r="R2025" s="1" t="s">
        <v>43</v>
      </c>
      <c r="S2025" s="1" t="s">
        <v>4668</v>
      </c>
      <c r="T2025" s="1" t="s">
        <v>4669</v>
      </c>
      <c r="U2025" s="2" t="s">
        <v>2742</v>
      </c>
      <c r="V2025" s="2" t="s">
        <v>47</v>
      </c>
      <c r="W2025" s="2" t="s">
        <v>119</v>
      </c>
      <c r="X2025" s="2">
        <v>71.19</v>
      </c>
    </row>
    <row r="2026" spans="1:24" x14ac:dyDescent="0.3">
      <c r="A2026">
        <v>19902</v>
      </c>
      <c r="B2026" t="s">
        <v>5940</v>
      </c>
      <c r="C2026" s="3">
        <v>40612</v>
      </c>
      <c r="D2026" t="s">
        <v>148</v>
      </c>
      <c r="E2026">
        <v>2</v>
      </c>
      <c r="F2026" s="3">
        <f ca="1">40614+(RANDBETWEEN(1,10))</f>
        <v>40619</v>
      </c>
      <c r="G2026" t="s">
        <v>156</v>
      </c>
      <c r="H2026" t="s">
        <v>27</v>
      </c>
      <c r="I2026" t="s">
        <v>97</v>
      </c>
      <c r="J2026">
        <v>710.43</v>
      </c>
      <c r="K2026">
        <v>0.01</v>
      </c>
      <c r="L2026">
        <v>0.52</v>
      </c>
      <c r="M2026">
        <v>69.965000000000003</v>
      </c>
      <c r="N2026">
        <v>315.084</v>
      </c>
      <c r="O2026" s="1" t="s">
        <v>87</v>
      </c>
      <c r="P2026" s="1" t="s">
        <v>5275</v>
      </c>
      <c r="Q2026" s="1" t="s">
        <v>5276</v>
      </c>
      <c r="R2026" s="1" t="s">
        <v>646</v>
      </c>
      <c r="S2026" s="1" t="s">
        <v>5277</v>
      </c>
      <c r="T2026" s="1" t="s">
        <v>5278</v>
      </c>
      <c r="U2026" s="2" t="s">
        <v>4088</v>
      </c>
      <c r="V2026" s="2" t="s">
        <v>36</v>
      </c>
      <c r="W2026" s="2" t="s">
        <v>142</v>
      </c>
      <c r="X2026" s="2">
        <v>349.96499999999997</v>
      </c>
    </row>
    <row r="2027" spans="1:24" x14ac:dyDescent="0.3">
      <c r="A2027">
        <v>19903</v>
      </c>
      <c r="B2027" t="s">
        <v>5941</v>
      </c>
      <c r="C2027" s="3">
        <v>41732</v>
      </c>
      <c r="D2027" t="s">
        <v>50</v>
      </c>
      <c r="E2027">
        <v>5</v>
      </c>
      <c r="F2027" s="3">
        <f ca="1">41733+(RANDBETWEEN(1,10))</f>
        <v>41735</v>
      </c>
      <c r="G2027" t="s">
        <v>76</v>
      </c>
      <c r="H2027" t="s">
        <v>77</v>
      </c>
      <c r="I2027" t="s">
        <v>28</v>
      </c>
      <c r="J2027">
        <v>2628.29</v>
      </c>
      <c r="K2027">
        <v>0.09</v>
      </c>
      <c r="L2027">
        <v>0.59</v>
      </c>
      <c r="M2027">
        <v>200.2</v>
      </c>
      <c r="N2027">
        <v>-810.6</v>
      </c>
      <c r="O2027" s="1" t="s">
        <v>87</v>
      </c>
      <c r="P2027" s="1" t="s">
        <v>1641</v>
      </c>
      <c r="Q2027" s="1" t="s">
        <v>1642</v>
      </c>
      <c r="R2027" s="1" t="s">
        <v>497</v>
      </c>
      <c r="S2027" s="1" t="s">
        <v>1643</v>
      </c>
      <c r="T2027" s="1" t="s">
        <v>1644</v>
      </c>
      <c r="U2027" s="2" t="s">
        <v>5942</v>
      </c>
      <c r="V2027" s="2" t="s">
        <v>83</v>
      </c>
      <c r="W2027" s="2" t="s">
        <v>84</v>
      </c>
      <c r="X2027" s="2">
        <v>528.42999999999995</v>
      </c>
    </row>
    <row r="2028" spans="1:24" x14ac:dyDescent="0.3">
      <c r="A2028">
        <v>19904</v>
      </c>
      <c r="B2028" t="s">
        <v>5941</v>
      </c>
      <c r="C2028" s="3">
        <v>41732</v>
      </c>
      <c r="D2028" t="s">
        <v>50</v>
      </c>
      <c r="E2028">
        <v>10</v>
      </c>
      <c r="F2028" s="3">
        <f ca="1">41733+(RANDBETWEEN(1,10))</f>
        <v>41739</v>
      </c>
      <c r="G2028" t="s">
        <v>26</v>
      </c>
      <c r="H2028" t="s">
        <v>63</v>
      </c>
      <c r="I2028" t="s">
        <v>28</v>
      </c>
      <c r="J2028">
        <v>1380.4</v>
      </c>
      <c r="K2028">
        <v>0.02</v>
      </c>
      <c r="L2028">
        <v>0.8</v>
      </c>
      <c r="M2028">
        <v>122.5</v>
      </c>
      <c r="N2028">
        <v>-3918.74</v>
      </c>
      <c r="O2028" s="1" t="s">
        <v>87</v>
      </c>
      <c r="P2028" s="1" t="s">
        <v>1641</v>
      </c>
      <c r="Q2028" s="1" t="s">
        <v>1642</v>
      </c>
      <c r="R2028" s="1" t="s">
        <v>497</v>
      </c>
      <c r="S2028" s="1" t="s">
        <v>1643</v>
      </c>
      <c r="T2028" s="1" t="s">
        <v>1644</v>
      </c>
      <c r="U2028" s="2" t="s">
        <v>394</v>
      </c>
      <c r="V2028" s="2" t="s">
        <v>47</v>
      </c>
      <c r="W2028" s="2" t="s">
        <v>119</v>
      </c>
      <c r="X2028" s="2">
        <v>136.29</v>
      </c>
    </row>
    <row r="2029" spans="1:24" x14ac:dyDescent="0.3">
      <c r="A2029">
        <v>19905</v>
      </c>
      <c r="B2029" t="s">
        <v>5943</v>
      </c>
      <c r="C2029" s="3">
        <v>41382</v>
      </c>
      <c r="D2029" t="s">
        <v>39</v>
      </c>
      <c r="E2029">
        <v>13</v>
      </c>
      <c r="F2029" s="3">
        <f ca="1">41382+(RANDBETWEEN(1,10))</f>
        <v>41383</v>
      </c>
      <c r="G2029" t="s">
        <v>26</v>
      </c>
      <c r="H2029" t="s">
        <v>27</v>
      </c>
      <c r="I2029" t="s">
        <v>52</v>
      </c>
      <c r="J2029">
        <v>1804.32</v>
      </c>
      <c r="K2029">
        <v>0.05</v>
      </c>
      <c r="L2029">
        <v>0.67</v>
      </c>
      <c r="M2029">
        <v>24.92</v>
      </c>
      <c r="N2029">
        <v>365.78500000000003</v>
      </c>
      <c r="O2029" s="1" t="s">
        <v>87</v>
      </c>
      <c r="P2029" s="1" t="s">
        <v>2203</v>
      </c>
      <c r="Q2029" s="1" t="s">
        <v>2204</v>
      </c>
      <c r="R2029" s="1" t="s">
        <v>90</v>
      </c>
      <c r="S2029" s="1" t="s">
        <v>1811</v>
      </c>
      <c r="T2029" s="1" t="s">
        <v>1812</v>
      </c>
      <c r="U2029" s="2" t="s">
        <v>3979</v>
      </c>
      <c r="V2029" s="2" t="s">
        <v>36</v>
      </c>
      <c r="W2029" s="2" t="s">
        <v>60</v>
      </c>
      <c r="X2029" s="2">
        <v>139.93</v>
      </c>
    </row>
    <row r="2030" spans="1:24" x14ac:dyDescent="0.3">
      <c r="A2030">
        <v>19906</v>
      </c>
      <c r="B2030" t="s">
        <v>5943</v>
      </c>
      <c r="C2030" s="3">
        <v>41382</v>
      </c>
      <c r="D2030" t="s">
        <v>39</v>
      </c>
      <c r="E2030">
        <v>8</v>
      </c>
      <c r="F2030" s="3">
        <f ca="1">41383+(RANDBETWEEN(1,10))</f>
        <v>41390</v>
      </c>
      <c r="G2030" t="s">
        <v>26</v>
      </c>
      <c r="H2030" t="s">
        <v>27</v>
      </c>
      <c r="I2030" t="s">
        <v>52</v>
      </c>
      <c r="J2030">
        <v>156.97499999999999</v>
      </c>
      <c r="K2030">
        <v>0.04</v>
      </c>
      <c r="L2030">
        <v>0.35</v>
      </c>
      <c r="M2030">
        <v>18.55</v>
      </c>
      <c r="N2030">
        <v>-194.63499999999999</v>
      </c>
      <c r="O2030" s="1" t="s">
        <v>87</v>
      </c>
      <c r="P2030" s="1" t="s">
        <v>2203</v>
      </c>
      <c r="Q2030" s="1" t="s">
        <v>2204</v>
      </c>
      <c r="R2030" s="1" t="s">
        <v>90</v>
      </c>
      <c r="S2030" s="1" t="s">
        <v>1811</v>
      </c>
      <c r="T2030" s="1" t="s">
        <v>1812</v>
      </c>
      <c r="U2030" s="2" t="s">
        <v>2464</v>
      </c>
      <c r="V2030" s="2" t="s">
        <v>47</v>
      </c>
      <c r="W2030" s="2" t="s">
        <v>48</v>
      </c>
      <c r="X2030" s="2">
        <v>19.53</v>
      </c>
    </row>
    <row r="2031" spans="1:24" x14ac:dyDescent="0.3">
      <c r="A2031">
        <v>19907</v>
      </c>
      <c r="B2031" t="s">
        <v>5944</v>
      </c>
      <c r="C2031" s="3">
        <v>40664</v>
      </c>
      <c r="D2031" t="s">
        <v>62</v>
      </c>
      <c r="E2031">
        <v>10</v>
      </c>
      <c r="F2031" s="3">
        <f ca="1">40665+(RANDBETWEEN(1,10))</f>
        <v>40672</v>
      </c>
      <c r="G2031" t="s">
        <v>26</v>
      </c>
      <c r="H2031" t="s">
        <v>27</v>
      </c>
      <c r="I2031" t="s">
        <v>97</v>
      </c>
      <c r="J2031">
        <v>186.23500000000001</v>
      </c>
      <c r="K2031">
        <v>0.06</v>
      </c>
      <c r="L2031">
        <v>0.36</v>
      </c>
      <c r="M2031">
        <v>26.04</v>
      </c>
      <c r="N2031">
        <v>-131.46700000000001</v>
      </c>
      <c r="O2031" s="1" t="s">
        <v>29</v>
      </c>
      <c r="P2031" s="1" t="s">
        <v>3514</v>
      </c>
      <c r="Q2031" s="1" t="s">
        <v>3515</v>
      </c>
      <c r="R2031" s="1" t="s">
        <v>675</v>
      </c>
      <c r="S2031" s="1" t="s">
        <v>3516</v>
      </c>
      <c r="T2031" s="1" t="s">
        <v>3517</v>
      </c>
      <c r="U2031" s="2" t="s">
        <v>131</v>
      </c>
      <c r="V2031" s="2" t="s">
        <v>47</v>
      </c>
      <c r="W2031" s="2" t="s">
        <v>74</v>
      </c>
      <c r="X2031" s="2">
        <v>17.43</v>
      </c>
    </row>
    <row r="2032" spans="1:24" x14ac:dyDescent="0.3">
      <c r="A2032">
        <v>19908</v>
      </c>
      <c r="B2032" t="s">
        <v>5944</v>
      </c>
      <c r="C2032" s="3">
        <v>40664</v>
      </c>
      <c r="D2032" t="s">
        <v>62</v>
      </c>
      <c r="E2032">
        <v>18</v>
      </c>
      <c r="F2032" s="3">
        <f ca="1">40666+(RANDBETWEEN(1,10))</f>
        <v>40675</v>
      </c>
      <c r="G2032" t="s">
        <v>26</v>
      </c>
      <c r="H2032" t="s">
        <v>27</v>
      </c>
      <c r="I2032" t="s">
        <v>97</v>
      </c>
      <c r="J2032">
        <v>429.8</v>
      </c>
      <c r="K2032">
        <v>0.01</v>
      </c>
      <c r="L2032">
        <v>0.37</v>
      </c>
      <c r="M2032">
        <v>25.795000000000002</v>
      </c>
      <c r="N2032">
        <v>-1573.9290000000001</v>
      </c>
      <c r="O2032" s="1" t="s">
        <v>29</v>
      </c>
      <c r="P2032" s="1" t="s">
        <v>3514</v>
      </c>
      <c r="Q2032" s="1" t="s">
        <v>3515</v>
      </c>
      <c r="R2032" s="1" t="s">
        <v>675</v>
      </c>
      <c r="S2032" s="1" t="s">
        <v>3516</v>
      </c>
      <c r="T2032" s="1" t="s">
        <v>3517</v>
      </c>
      <c r="U2032" s="2" t="s">
        <v>2975</v>
      </c>
      <c r="V2032" s="2" t="s">
        <v>47</v>
      </c>
      <c r="W2032" s="2" t="s">
        <v>74</v>
      </c>
      <c r="X2032" s="2">
        <v>22.68</v>
      </c>
    </row>
    <row r="2033" spans="1:24" x14ac:dyDescent="0.3">
      <c r="A2033">
        <v>19909</v>
      </c>
      <c r="B2033" t="s">
        <v>5945</v>
      </c>
      <c r="C2033" s="3">
        <v>40565</v>
      </c>
      <c r="D2033" t="s">
        <v>25</v>
      </c>
      <c r="E2033">
        <v>8</v>
      </c>
      <c r="F2033" s="3">
        <f ca="1">40569+(RANDBETWEEN(1,10))</f>
        <v>40573</v>
      </c>
      <c r="G2033" t="s">
        <v>76</v>
      </c>
      <c r="H2033" t="s">
        <v>258</v>
      </c>
      <c r="I2033" t="s">
        <v>97</v>
      </c>
      <c r="J2033">
        <v>24657.57</v>
      </c>
      <c r="K2033">
        <v>0.02</v>
      </c>
      <c r="L2033">
        <v>0.62</v>
      </c>
      <c r="M2033">
        <v>155.92500000000001</v>
      </c>
      <c r="N2033">
        <v>17013.723300000001</v>
      </c>
      <c r="O2033" s="1" t="s">
        <v>87</v>
      </c>
      <c r="P2033" s="1" t="s">
        <v>1229</v>
      </c>
      <c r="Q2033" s="1" t="s">
        <v>1230</v>
      </c>
      <c r="R2033" s="1" t="s">
        <v>646</v>
      </c>
      <c r="S2033" s="1" t="s">
        <v>1231</v>
      </c>
      <c r="T2033" s="1" t="s">
        <v>1232</v>
      </c>
      <c r="U2033" s="2" t="s">
        <v>1930</v>
      </c>
      <c r="V2033" s="2" t="s">
        <v>83</v>
      </c>
      <c r="W2033" s="2" t="s">
        <v>298</v>
      </c>
      <c r="X2033" s="2">
        <v>3083.43</v>
      </c>
    </row>
    <row r="2034" spans="1:24" x14ac:dyDescent="0.3">
      <c r="A2034">
        <v>19910</v>
      </c>
      <c r="B2034" t="s">
        <v>5946</v>
      </c>
      <c r="C2034" s="3">
        <v>41547</v>
      </c>
      <c r="D2034" t="s">
        <v>39</v>
      </c>
      <c r="E2034">
        <v>24</v>
      </c>
      <c r="F2034" s="3">
        <f ca="1">41549+(RANDBETWEEN(1,10))</f>
        <v>41555</v>
      </c>
      <c r="G2034" t="s">
        <v>26</v>
      </c>
      <c r="H2034" t="s">
        <v>51</v>
      </c>
      <c r="I2034" t="s">
        <v>52</v>
      </c>
      <c r="J2034">
        <v>1170.47</v>
      </c>
      <c r="K2034">
        <v>0.05</v>
      </c>
      <c r="L2034">
        <v>0.49</v>
      </c>
      <c r="M2034">
        <v>6.9649999999999999</v>
      </c>
      <c r="N2034">
        <v>578.20000000000005</v>
      </c>
      <c r="O2034" s="1" t="s">
        <v>40</v>
      </c>
      <c r="P2034" s="1" t="s">
        <v>2358</v>
      </c>
      <c r="Q2034" s="1" t="s">
        <v>2359</v>
      </c>
      <c r="R2034" s="1" t="s">
        <v>220</v>
      </c>
      <c r="S2034" s="1" t="s">
        <v>2360</v>
      </c>
      <c r="T2034" s="1" t="s">
        <v>2361</v>
      </c>
      <c r="U2034" s="2" t="s">
        <v>1903</v>
      </c>
      <c r="V2034" s="2" t="s">
        <v>36</v>
      </c>
      <c r="W2034" s="2" t="s">
        <v>60</v>
      </c>
      <c r="X2034" s="2">
        <v>50.68</v>
      </c>
    </row>
    <row r="2035" spans="1:24" x14ac:dyDescent="0.3">
      <c r="A2035">
        <v>19911</v>
      </c>
      <c r="B2035" t="s">
        <v>5947</v>
      </c>
      <c r="C2035" s="3">
        <v>41694</v>
      </c>
      <c r="D2035" t="s">
        <v>62</v>
      </c>
      <c r="E2035">
        <v>11</v>
      </c>
      <c r="F2035" s="3">
        <f ca="1">41696+(RANDBETWEEN(1,10))</f>
        <v>41698</v>
      </c>
      <c r="G2035" t="s">
        <v>26</v>
      </c>
      <c r="H2035" t="s">
        <v>27</v>
      </c>
      <c r="I2035" t="s">
        <v>97</v>
      </c>
      <c r="J2035">
        <v>259.07</v>
      </c>
      <c r="K2035">
        <v>0.02</v>
      </c>
      <c r="L2035">
        <v>0.6</v>
      </c>
      <c r="M2035">
        <v>18.27</v>
      </c>
      <c r="N2035">
        <v>-372.26</v>
      </c>
      <c r="O2035" s="1" t="s">
        <v>40</v>
      </c>
      <c r="P2035" s="1" t="s">
        <v>3606</v>
      </c>
      <c r="Q2035" s="1" t="s">
        <v>3607</v>
      </c>
      <c r="R2035" s="1" t="s">
        <v>43</v>
      </c>
      <c r="S2035" s="1" t="s">
        <v>3608</v>
      </c>
      <c r="T2035" s="1" t="s">
        <v>3609</v>
      </c>
      <c r="U2035" s="2" t="s">
        <v>995</v>
      </c>
      <c r="V2035" s="2" t="s">
        <v>83</v>
      </c>
      <c r="W2035" s="2" t="s">
        <v>178</v>
      </c>
      <c r="X2035" s="2">
        <v>21.84</v>
      </c>
    </row>
    <row r="2036" spans="1:24" x14ac:dyDescent="0.3">
      <c r="A2036">
        <v>19912</v>
      </c>
      <c r="B2036" t="s">
        <v>5948</v>
      </c>
      <c r="C2036" s="3">
        <v>41782</v>
      </c>
      <c r="D2036" t="s">
        <v>62</v>
      </c>
      <c r="E2036">
        <v>9</v>
      </c>
      <c r="F2036" s="3">
        <f ca="1">41785+(RANDBETWEEN(1,10))</f>
        <v>41795</v>
      </c>
      <c r="G2036" t="s">
        <v>156</v>
      </c>
      <c r="H2036" t="s">
        <v>27</v>
      </c>
      <c r="I2036" t="s">
        <v>97</v>
      </c>
      <c r="J2036">
        <v>135.76499999999999</v>
      </c>
      <c r="K2036">
        <v>0.04</v>
      </c>
      <c r="L2036">
        <v>0.38</v>
      </c>
      <c r="M2036">
        <v>1.75</v>
      </c>
      <c r="N2036">
        <v>93.677850000000007</v>
      </c>
      <c r="O2036" s="1" t="s">
        <v>40</v>
      </c>
      <c r="P2036" s="1" t="s">
        <v>3896</v>
      </c>
      <c r="Q2036" s="1" t="s">
        <v>3897</v>
      </c>
      <c r="R2036" s="1" t="s">
        <v>43</v>
      </c>
      <c r="S2036" s="1" t="s">
        <v>3898</v>
      </c>
      <c r="T2036" s="1" t="s">
        <v>3899</v>
      </c>
      <c r="U2036" s="2" t="s">
        <v>702</v>
      </c>
      <c r="V2036" s="2" t="s">
        <v>47</v>
      </c>
      <c r="W2036" s="2" t="s">
        <v>203</v>
      </c>
      <c r="X2036" s="2">
        <v>12.914999999999999</v>
      </c>
    </row>
    <row r="2037" spans="1:24" x14ac:dyDescent="0.3">
      <c r="A2037">
        <v>19913</v>
      </c>
      <c r="B2037" t="s">
        <v>5949</v>
      </c>
      <c r="C2037" s="3">
        <v>41527</v>
      </c>
      <c r="D2037" t="s">
        <v>25</v>
      </c>
      <c r="E2037">
        <v>3</v>
      </c>
      <c r="F2037" s="3">
        <f ca="1">41531+(RANDBETWEEN(1,10))</f>
        <v>41541</v>
      </c>
      <c r="G2037" t="s">
        <v>26</v>
      </c>
      <c r="H2037" t="s">
        <v>27</v>
      </c>
      <c r="I2037" t="s">
        <v>86</v>
      </c>
      <c r="J2037">
        <v>365.75</v>
      </c>
      <c r="K2037">
        <v>0.08</v>
      </c>
      <c r="L2037">
        <v>0.38</v>
      </c>
      <c r="M2037">
        <v>26.25</v>
      </c>
      <c r="N2037">
        <v>43.12</v>
      </c>
      <c r="O2037" s="1" t="s">
        <v>40</v>
      </c>
      <c r="P2037" s="1" t="s">
        <v>5829</v>
      </c>
      <c r="Q2037" s="1" t="s">
        <v>5830</v>
      </c>
      <c r="R2037" s="1" t="s">
        <v>43</v>
      </c>
      <c r="S2037" s="1" t="s">
        <v>5831</v>
      </c>
      <c r="T2037" s="1" t="s">
        <v>5832</v>
      </c>
      <c r="U2037" s="2" t="s">
        <v>5854</v>
      </c>
      <c r="V2037" s="2" t="s">
        <v>47</v>
      </c>
      <c r="W2037" s="2" t="s">
        <v>74</v>
      </c>
      <c r="X2037" s="2">
        <v>124.04</v>
      </c>
    </row>
    <row r="2038" spans="1:24" x14ac:dyDescent="0.3">
      <c r="A2038">
        <v>19914</v>
      </c>
      <c r="B2038" t="s">
        <v>5950</v>
      </c>
      <c r="C2038" s="3">
        <v>40544</v>
      </c>
      <c r="D2038" t="s">
        <v>50</v>
      </c>
      <c r="E2038">
        <v>2</v>
      </c>
      <c r="F2038" s="3">
        <f ca="1">40546+(RANDBETWEEN(1,10))</f>
        <v>40549</v>
      </c>
      <c r="G2038" t="s">
        <v>156</v>
      </c>
      <c r="H2038" t="s">
        <v>63</v>
      </c>
      <c r="I2038" t="s">
        <v>97</v>
      </c>
      <c r="J2038">
        <v>678.58</v>
      </c>
      <c r="K2038">
        <v>0.08</v>
      </c>
      <c r="L2038" t="s">
        <v>182</v>
      </c>
      <c r="M2038">
        <v>122.5</v>
      </c>
      <c r="N2038">
        <v>-1488.2293999999999</v>
      </c>
      <c r="O2038" s="1" t="s">
        <v>53</v>
      </c>
      <c r="P2038" s="1" t="s">
        <v>4985</v>
      </c>
      <c r="Q2038" s="1" t="s">
        <v>4986</v>
      </c>
      <c r="R2038" s="1" t="s">
        <v>440</v>
      </c>
      <c r="S2038" s="1" t="s">
        <v>4987</v>
      </c>
      <c r="T2038" s="1" t="s">
        <v>4988</v>
      </c>
      <c r="U2038" s="2" t="s">
        <v>186</v>
      </c>
      <c r="V2038" s="2" t="s">
        <v>47</v>
      </c>
      <c r="W2038" s="2" t="s">
        <v>119</v>
      </c>
      <c r="X2038" s="2">
        <v>335.96499999999997</v>
      </c>
    </row>
    <row r="2039" spans="1:24" x14ac:dyDescent="0.3">
      <c r="A2039">
        <v>19915</v>
      </c>
      <c r="B2039" t="s">
        <v>5951</v>
      </c>
      <c r="C2039" s="3">
        <v>41403</v>
      </c>
      <c r="D2039" t="s">
        <v>39</v>
      </c>
      <c r="E2039">
        <v>10</v>
      </c>
      <c r="F2039" s="3">
        <f ca="1">41405+(RANDBETWEEN(1,10))</f>
        <v>41409</v>
      </c>
      <c r="G2039" t="s">
        <v>76</v>
      </c>
      <c r="H2039" t="s">
        <v>258</v>
      </c>
      <c r="I2039" t="s">
        <v>28</v>
      </c>
      <c r="J2039">
        <v>4869.8999999999996</v>
      </c>
      <c r="K2039">
        <v>7.0000000000000007E-2</v>
      </c>
      <c r="L2039">
        <v>0.64</v>
      </c>
      <c r="M2039">
        <v>153.125</v>
      </c>
      <c r="N2039">
        <v>-1239.4382000000001</v>
      </c>
      <c r="O2039" s="1" t="s">
        <v>87</v>
      </c>
      <c r="P2039" s="1" t="s">
        <v>2203</v>
      </c>
      <c r="Q2039" s="1" t="s">
        <v>2204</v>
      </c>
      <c r="R2039" s="1" t="s">
        <v>90</v>
      </c>
      <c r="S2039" s="1" t="s">
        <v>1811</v>
      </c>
      <c r="T2039" s="1" t="s">
        <v>1812</v>
      </c>
      <c r="U2039" s="2" t="s">
        <v>262</v>
      </c>
      <c r="V2039" s="2" t="s">
        <v>83</v>
      </c>
      <c r="W2039" s="2" t="s">
        <v>263</v>
      </c>
      <c r="X2039" s="2">
        <v>512.19000000000005</v>
      </c>
    </row>
    <row r="2040" spans="1:24" x14ac:dyDescent="0.3">
      <c r="A2040">
        <v>19916</v>
      </c>
      <c r="B2040" t="s">
        <v>5952</v>
      </c>
      <c r="C2040" s="3">
        <v>41038</v>
      </c>
      <c r="D2040" t="s">
        <v>50</v>
      </c>
      <c r="E2040">
        <v>4</v>
      </c>
      <c r="F2040" s="3">
        <f ca="1">41041+(RANDBETWEEN(1,10))</f>
        <v>41049</v>
      </c>
      <c r="G2040" t="s">
        <v>26</v>
      </c>
      <c r="H2040" t="s">
        <v>96</v>
      </c>
      <c r="I2040" t="s">
        <v>86</v>
      </c>
      <c r="J2040">
        <v>61.704999999999998</v>
      </c>
      <c r="K2040">
        <v>0.08</v>
      </c>
      <c r="L2040">
        <v>0.36</v>
      </c>
      <c r="M2040">
        <v>4.2699999999999996</v>
      </c>
      <c r="N2040">
        <v>23.765000000000001</v>
      </c>
      <c r="O2040" s="1" t="s">
        <v>40</v>
      </c>
      <c r="P2040" s="1" t="s">
        <v>5953</v>
      </c>
      <c r="Q2040" s="1" t="s">
        <v>5954</v>
      </c>
      <c r="R2040" s="1" t="s">
        <v>220</v>
      </c>
      <c r="S2040" s="1" t="s">
        <v>5955</v>
      </c>
      <c r="T2040" s="1" t="s">
        <v>5956</v>
      </c>
      <c r="U2040" s="2" t="s">
        <v>385</v>
      </c>
      <c r="V2040" s="2" t="s">
        <v>47</v>
      </c>
      <c r="W2040" s="2" t="s">
        <v>74</v>
      </c>
      <c r="X2040" s="2">
        <v>15.68</v>
      </c>
    </row>
    <row r="2041" spans="1:24" x14ac:dyDescent="0.3">
      <c r="A2041">
        <v>19917</v>
      </c>
      <c r="B2041" t="s">
        <v>5957</v>
      </c>
      <c r="C2041" s="3">
        <v>40684</v>
      </c>
      <c r="D2041" t="s">
        <v>148</v>
      </c>
      <c r="E2041">
        <v>13</v>
      </c>
      <c r="F2041" s="3">
        <f ca="1">40686+(RANDBETWEEN(1,10))</f>
        <v>40688</v>
      </c>
      <c r="G2041" t="s">
        <v>26</v>
      </c>
      <c r="H2041" t="s">
        <v>27</v>
      </c>
      <c r="I2041" t="s">
        <v>97</v>
      </c>
      <c r="J2041">
        <v>356.05500000000001</v>
      </c>
      <c r="K2041">
        <v>0.02</v>
      </c>
      <c r="L2041">
        <v>0.36</v>
      </c>
      <c r="M2041">
        <v>4.8650000000000002</v>
      </c>
      <c r="N2041">
        <v>245.67795000000001</v>
      </c>
      <c r="O2041" s="1" t="s">
        <v>64</v>
      </c>
      <c r="P2041" s="1" t="s">
        <v>4861</v>
      </c>
      <c r="Q2041" s="1" t="s">
        <v>4862</v>
      </c>
      <c r="R2041" s="1" t="s">
        <v>67</v>
      </c>
      <c r="S2041" s="1" t="s">
        <v>4863</v>
      </c>
      <c r="T2041" s="1" t="s">
        <v>4864</v>
      </c>
      <c r="U2041" s="2" t="s">
        <v>3975</v>
      </c>
      <c r="V2041" s="2" t="s">
        <v>47</v>
      </c>
      <c r="W2041" s="2" t="s">
        <v>48</v>
      </c>
      <c r="X2041" s="2">
        <v>26.74</v>
      </c>
    </row>
    <row r="2042" spans="1:24" x14ac:dyDescent="0.3">
      <c r="A2042">
        <v>19918</v>
      </c>
      <c r="B2042" t="s">
        <v>5958</v>
      </c>
      <c r="C2042" s="3">
        <v>40833</v>
      </c>
      <c r="D2042" t="s">
        <v>25</v>
      </c>
      <c r="E2042">
        <v>14</v>
      </c>
      <c r="F2042" s="3">
        <f ca="1">40837+(RANDBETWEEN(1,10))</f>
        <v>40847</v>
      </c>
      <c r="G2042" t="s">
        <v>26</v>
      </c>
      <c r="H2042" t="s">
        <v>63</v>
      </c>
      <c r="I2042" t="s">
        <v>97</v>
      </c>
      <c r="J2042">
        <v>3707.83</v>
      </c>
      <c r="K2042">
        <v>0.09</v>
      </c>
      <c r="L2042">
        <v>0.83</v>
      </c>
      <c r="M2042">
        <v>122.5</v>
      </c>
      <c r="N2042">
        <v>-3587.5601999999999</v>
      </c>
      <c r="O2042" s="1" t="s">
        <v>53</v>
      </c>
      <c r="P2042" s="1" t="s">
        <v>5959</v>
      </c>
      <c r="Q2042" s="1" t="s">
        <v>5960</v>
      </c>
      <c r="R2042" s="1" t="s">
        <v>56</v>
      </c>
      <c r="S2042" s="1" t="s">
        <v>5961</v>
      </c>
      <c r="T2042" s="1" t="s">
        <v>5962</v>
      </c>
      <c r="U2042" s="2" t="s">
        <v>5963</v>
      </c>
      <c r="V2042" s="2" t="s">
        <v>47</v>
      </c>
      <c r="W2042" s="2" t="s">
        <v>119</v>
      </c>
      <c r="X2042" s="2">
        <v>275.8</v>
      </c>
    </row>
    <row r="2043" spans="1:24" x14ac:dyDescent="0.3">
      <c r="A2043">
        <v>19919</v>
      </c>
      <c r="B2043" t="s">
        <v>5964</v>
      </c>
      <c r="C2043" s="3">
        <v>41081</v>
      </c>
      <c r="D2043" t="s">
        <v>148</v>
      </c>
      <c r="E2043">
        <v>3</v>
      </c>
      <c r="F2043" s="3">
        <f ca="1">41084+(RANDBETWEEN(1,10))</f>
        <v>41091</v>
      </c>
      <c r="G2043" t="s">
        <v>26</v>
      </c>
      <c r="H2043" t="s">
        <v>27</v>
      </c>
      <c r="I2043" t="s">
        <v>28</v>
      </c>
      <c r="J2043">
        <v>72.204999999999998</v>
      </c>
      <c r="K2043">
        <v>0.05</v>
      </c>
      <c r="L2043">
        <v>0.4</v>
      </c>
      <c r="M2043">
        <v>18.760000000000002</v>
      </c>
      <c r="N2043">
        <v>-297.87099999999998</v>
      </c>
      <c r="O2043" s="1" t="s">
        <v>53</v>
      </c>
      <c r="P2043" s="1" t="s">
        <v>5965</v>
      </c>
      <c r="Q2043" s="1" t="s">
        <v>5966</v>
      </c>
      <c r="R2043" s="1" t="s">
        <v>440</v>
      </c>
      <c r="S2043" s="1" t="s">
        <v>5967</v>
      </c>
      <c r="T2043" s="1" t="s">
        <v>5968</v>
      </c>
      <c r="U2043" s="2" t="s">
        <v>1501</v>
      </c>
      <c r="V2043" s="2" t="s">
        <v>47</v>
      </c>
      <c r="W2043" s="2" t="s">
        <v>111</v>
      </c>
      <c r="X2043" s="2">
        <v>21.98</v>
      </c>
    </row>
    <row r="2044" spans="1:24" x14ac:dyDescent="0.3">
      <c r="A2044">
        <v>19920</v>
      </c>
      <c r="B2044" t="s">
        <v>5964</v>
      </c>
      <c r="C2044" s="3">
        <v>41081</v>
      </c>
      <c r="D2044" t="s">
        <v>148</v>
      </c>
      <c r="E2044">
        <v>3</v>
      </c>
      <c r="F2044" s="3">
        <f ca="1">41083+(RANDBETWEEN(1,10))</f>
        <v>41090</v>
      </c>
      <c r="G2044" t="s">
        <v>26</v>
      </c>
      <c r="H2044" t="s">
        <v>27</v>
      </c>
      <c r="I2044" t="s">
        <v>28</v>
      </c>
      <c r="J2044">
        <v>77.489999999999995</v>
      </c>
      <c r="K2044">
        <v>0.06</v>
      </c>
      <c r="L2044">
        <v>0.36</v>
      </c>
      <c r="M2044">
        <v>4.8650000000000002</v>
      </c>
      <c r="N2044">
        <v>257.10300000000001</v>
      </c>
      <c r="O2044" s="1" t="s">
        <v>53</v>
      </c>
      <c r="P2044" s="1" t="s">
        <v>5965</v>
      </c>
      <c r="Q2044" s="1" t="s">
        <v>5966</v>
      </c>
      <c r="R2044" s="1" t="s">
        <v>440</v>
      </c>
      <c r="S2044" s="1" t="s">
        <v>5967</v>
      </c>
      <c r="T2044" s="1" t="s">
        <v>5968</v>
      </c>
      <c r="U2044" s="2" t="s">
        <v>5969</v>
      </c>
      <c r="V2044" s="2" t="s">
        <v>47</v>
      </c>
      <c r="W2044" s="2" t="s">
        <v>48</v>
      </c>
      <c r="X2044" s="2">
        <v>26.74</v>
      </c>
    </row>
    <row r="2045" spans="1:24" x14ac:dyDescent="0.3">
      <c r="A2045">
        <v>19921</v>
      </c>
      <c r="B2045" t="s">
        <v>5964</v>
      </c>
      <c r="C2045" s="3">
        <v>41081</v>
      </c>
      <c r="D2045" t="s">
        <v>148</v>
      </c>
      <c r="E2045">
        <v>14</v>
      </c>
      <c r="F2045" s="3">
        <f ca="1">41083+(RANDBETWEEN(1,10))</f>
        <v>41092</v>
      </c>
      <c r="G2045" t="s">
        <v>26</v>
      </c>
      <c r="H2045" t="s">
        <v>27</v>
      </c>
      <c r="I2045" t="s">
        <v>28</v>
      </c>
      <c r="J2045">
        <v>142.66</v>
      </c>
      <c r="K2045">
        <v>0.08</v>
      </c>
      <c r="L2045">
        <v>0.37</v>
      </c>
      <c r="M2045">
        <v>1.75</v>
      </c>
      <c r="N2045">
        <v>-13.9748</v>
      </c>
      <c r="O2045" s="1" t="s">
        <v>53</v>
      </c>
      <c r="P2045" s="1" t="s">
        <v>5965</v>
      </c>
      <c r="Q2045" s="1" t="s">
        <v>5966</v>
      </c>
      <c r="R2045" s="1" t="s">
        <v>440</v>
      </c>
      <c r="S2045" s="1" t="s">
        <v>5967</v>
      </c>
      <c r="T2045" s="1" t="s">
        <v>5968</v>
      </c>
      <c r="U2045" s="2" t="s">
        <v>5970</v>
      </c>
      <c r="V2045" s="2" t="s">
        <v>47</v>
      </c>
      <c r="W2045" s="2" t="s">
        <v>203</v>
      </c>
      <c r="X2045" s="2">
        <v>11.025</v>
      </c>
    </row>
    <row r="2046" spans="1:24" x14ac:dyDescent="0.3">
      <c r="A2046">
        <v>19922</v>
      </c>
      <c r="B2046" t="s">
        <v>5971</v>
      </c>
      <c r="C2046" s="3">
        <v>41468</v>
      </c>
      <c r="D2046" t="s">
        <v>148</v>
      </c>
      <c r="E2046">
        <v>10</v>
      </c>
      <c r="F2046" s="3">
        <f ca="1">41469+(RANDBETWEEN(1,10))</f>
        <v>41471</v>
      </c>
      <c r="G2046" t="s">
        <v>26</v>
      </c>
      <c r="H2046" t="s">
        <v>96</v>
      </c>
      <c r="I2046" t="s">
        <v>97</v>
      </c>
      <c r="J2046">
        <v>139.93</v>
      </c>
      <c r="K2046">
        <v>0.1</v>
      </c>
      <c r="L2046">
        <v>0.56000000000000005</v>
      </c>
      <c r="M2046">
        <v>3.29</v>
      </c>
      <c r="N2046">
        <v>41.755000000000003</v>
      </c>
      <c r="O2046" s="1" t="s">
        <v>40</v>
      </c>
      <c r="P2046" s="1" t="s">
        <v>1536</v>
      </c>
      <c r="Q2046" s="1" t="s">
        <v>1537</v>
      </c>
      <c r="R2046" s="1" t="s">
        <v>43</v>
      </c>
      <c r="S2046" s="1" t="s">
        <v>1538</v>
      </c>
      <c r="T2046" s="1" t="s">
        <v>1539</v>
      </c>
      <c r="U2046" s="2" t="s">
        <v>331</v>
      </c>
      <c r="V2046" s="2" t="s">
        <v>47</v>
      </c>
      <c r="W2046" s="2" t="s">
        <v>104</v>
      </c>
      <c r="X2046" s="2">
        <v>14.98</v>
      </c>
    </row>
    <row r="2047" spans="1:24" x14ac:dyDescent="0.3">
      <c r="A2047">
        <v>19923</v>
      </c>
      <c r="B2047" t="s">
        <v>5972</v>
      </c>
      <c r="C2047" s="3">
        <v>40638</v>
      </c>
      <c r="D2047" t="s">
        <v>50</v>
      </c>
      <c r="E2047">
        <v>11</v>
      </c>
      <c r="F2047" s="3">
        <f ca="1">40640+(RANDBETWEEN(1,10))</f>
        <v>40645</v>
      </c>
      <c r="G2047" t="s">
        <v>26</v>
      </c>
      <c r="H2047" t="s">
        <v>96</v>
      </c>
      <c r="I2047" t="s">
        <v>28</v>
      </c>
      <c r="J2047">
        <v>1329.02</v>
      </c>
      <c r="K2047">
        <v>0.1</v>
      </c>
      <c r="L2047">
        <v>0.41</v>
      </c>
      <c r="M2047">
        <v>48.615000000000002</v>
      </c>
      <c r="N2047">
        <v>-313.50200000000001</v>
      </c>
      <c r="O2047" s="1" t="s">
        <v>40</v>
      </c>
      <c r="P2047" s="1" t="s">
        <v>5973</v>
      </c>
      <c r="Q2047" s="1" t="s">
        <v>5974</v>
      </c>
      <c r="R2047" s="1" t="s">
        <v>43</v>
      </c>
      <c r="S2047" s="1" t="s">
        <v>815</v>
      </c>
      <c r="T2047" s="1" t="s">
        <v>816</v>
      </c>
      <c r="U2047" s="2" t="s">
        <v>530</v>
      </c>
      <c r="V2047" s="2" t="s">
        <v>47</v>
      </c>
      <c r="W2047" s="2" t="s">
        <v>104</v>
      </c>
      <c r="X2047" s="2">
        <v>127.925</v>
      </c>
    </row>
    <row r="2048" spans="1:24" x14ac:dyDescent="0.3">
      <c r="A2048">
        <v>19924</v>
      </c>
      <c r="B2048" t="s">
        <v>5975</v>
      </c>
      <c r="C2048" s="3">
        <v>41147</v>
      </c>
      <c r="D2048" t="s">
        <v>39</v>
      </c>
      <c r="E2048">
        <v>13</v>
      </c>
      <c r="F2048" s="3">
        <f ca="1">41149+(RANDBETWEEN(1,10))</f>
        <v>41151</v>
      </c>
      <c r="G2048" t="s">
        <v>26</v>
      </c>
      <c r="H2048" t="s">
        <v>281</v>
      </c>
      <c r="I2048" t="s">
        <v>28</v>
      </c>
      <c r="J2048">
        <v>937.72</v>
      </c>
      <c r="K2048">
        <v>0.08</v>
      </c>
      <c r="L2048">
        <v>0.52</v>
      </c>
      <c r="M2048">
        <v>48.965000000000003</v>
      </c>
      <c r="N2048">
        <v>4371.1080000000002</v>
      </c>
      <c r="O2048" s="1" t="s">
        <v>29</v>
      </c>
      <c r="P2048" s="1" t="s">
        <v>3501</v>
      </c>
      <c r="Q2048" s="1" t="s">
        <v>3502</v>
      </c>
      <c r="R2048" s="1" t="s">
        <v>32</v>
      </c>
      <c r="S2048" s="1" t="s">
        <v>3503</v>
      </c>
      <c r="T2048" s="1" t="s">
        <v>3504</v>
      </c>
      <c r="U2048" s="2" t="s">
        <v>5849</v>
      </c>
      <c r="V2048" s="2" t="s">
        <v>47</v>
      </c>
      <c r="W2048" s="2" t="s">
        <v>71</v>
      </c>
      <c r="X2048" s="2">
        <v>75.81</v>
      </c>
    </row>
    <row r="2049" spans="1:24" x14ac:dyDescent="0.3">
      <c r="A2049">
        <v>19925</v>
      </c>
      <c r="B2049" t="s">
        <v>5975</v>
      </c>
      <c r="C2049" s="3">
        <v>41147</v>
      </c>
      <c r="D2049" t="s">
        <v>39</v>
      </c>
      <c r="E2049">
        <v>20</v>
      </c>
      <c r="F2049" s="3">
        <f ca="1">41149+(RANDBETWEEN(1,10))</f>
        <v>41151</v>
      </c>
      <c r="G2049" t="s">
        <v>26</v>
      </c>
      <c r="H2049" t="s">
        <v>51</v>
      </c>
      <c r="I2049" t="s">
        <v>28</v>
      </c>
      <c r="J2049">
        <v>2183.58</v>
      </c>
      <c r="K2049">
        <v>0.01</v>
      </c>
      <c r="L2049">
        <v>0.39</v>
      </c>
      <c r="M2049">
        <v>11.55</v>
      </c>
      <c r="N2049">
        <v>-163.66</v>
      </c>
      <c r="O2049" s="1" t="s">
        <v>29</v>
      </c>
      <c r="P2049" s="1" t="s">
        <v>3501</v>
      </c>
      <c r="Q2049" s="1" t="s">
        <v>3502</v>
      </c>
      <c r="R2049" s="1" t="s">
        <v>32</v>
      </c>
      <c r="S2049" s="1" t="s">
        <v>3503</v>
      </c>
      <c r="T2049" s="1" t="s">
        <v>3504</v>
      </c>
      <c r="U2049" s="2" t="s">
        <v>5976</v>
      </c>
      <c r="V2049" s="2" t="s">
        <v>36</v>
      </c>
      <c r="W2049" s="2" t="s">
        <v>37</v>
      </c>
      <c r="X2049" s="2">
        <v>125.965</v>
      </c>
    </row>
    <row r="2050" spans="1:24" x14ac:dyDescent="0.3">
      <c r="A2050">
        <v>19926</v>
      </c>
      <c r="B2050" t="s">
        <v>5975</v>
      </c>
      <c r="C2050" s="3">
        <v>41147</v>
      </c>
      <c r="D2050" t="s">
        <v>39</v>
      </c>
      <c r="E2050">
        <v>5</v>
      </c>
      <c r="F2050" s="3">
        <f ca="1">41148+(RANDBETWEEN(1,10))</f>
        <v>41155</v>
      </c>
      <c r="G2050" t="s">
        <v>26</v>
      </c>
      <c r="H2050" t="s">
        <v>27</v>
      </c>
      <c r="I2050" t="s">
        <v>28</v>
      </c>
      <c r="J2050">
        <v>2181.13</v>
      </c>
      <c r="K2050">
        <v>0.06</v>
      </c>
      <c r="L2050">
        <v>0.57999999999999996</v>
      </c>
      <c r="M2050">
        <v>31.465</v>
      </c>
      <c r="N2050">
        <v>248.47200000000001</v>
      </c>
      <c r="O2050" s="1" t="s">
        <v>29</v>
      </c>
      <c r="P2050" s="1" t="s">
        <v>3501</v>
      </c>
      <c r="Q2050" s="1" t="s">
        <v>3502</v>
      </c>
      <c r="R2050" s="1" t="s">
        <v>32</v>
      </c>
      <c r="S2050" s="1" t="s">
        <v>3503</v>
      </c>
      <c r="T2050" s="1" t="s">
        <v>3504</v>
      </c>
      <c r="U2050" s="2" t="s">
        <v>1265</v>
      </c>
      <c r="V2050" s="2" t="s">
        <v>36</v>
      </c>
      <c r="W2050" s="2" t="s">
        <v>37</v>
      </c>
      <c r="X2050" s="2">
        <v>545.96500000000003</v>
      </c>
    </row>
    <row r="2051" spans="1:24" x14ac:dyDescent="0.3">
      <c r="A2051">
        <v>19927</v>
      </c>
      <c r="B2051" t="s">
        <v>5975</v>
      </c>
      <c r="C2051" s="3">
        <v>41147</v>
      </c>
      <c r="D2051" t="s">
        <v>39</v>
      </c>
      <c r="E2051">
        <v>5</v>
      </c>
      <c r="F2051" s="3">
        <f ca="1">41149+(RANDBETWEEN(1,10))</f>
        <v>41159</v>
      </c>
      <c r="G2051" t="s">
        <v>76</v>
      </c>
      <c r="H2051" t="s">
        <v>258</v>
      </c>
      <c r="I2051" t="s">
        <v>28</v>
      </c>
      <c r="J2051">
        <v>2990.61</v>
      </c>
      <c r="K2051">
        <v>0.05</v>
      </c>
      <c r="L2051">
        <v>0.72</v>
      </c>
      <c r="M2051">
        <v>243.74</v>
      </c>
      <c r="N2051">
        <v>-378.67200000000003</v>
      </c>
      <c r="O2051" s="1" t="s">
        <v>40</v>
      </c>
      <c r="P2051" s="1" t="s">
        <v>5977</v>
      </c>
      <c r="Q2051" s="1" t="s">
        <v>5978</v>
      </c>
      <c r="R2051" s="1" t="s">
        <v>43</v>
      </c>
      <c r="S2051" s="1" t="s">
        <v>5979</v>
      </c>
      <c r="T2051" s="1" t="s">
        <v>5980</v>
      </c>
      <c r="U2051" s="2" t="s">
        <v>1233</v>
      </c>
      <c r="V2051" s="2" t="s">
        <v>83</v>
      </c>
      <c r="W2051" s="2" t="s">
        <v>263</v>
      </c>
      <c r="X2051" s="2">
        <v>765.625</v>
      </c>
    </row>
    <row r="2052" spans="1:24" x14ac:dyDescent="0.3">
      <c r="A2052">
        <v>19928</v>
      </c>
      <c r="B2052" t="s">
        <v>5981</v>
      </c>
      <c r="C2052" s="3">
        <v>41374</v>
      </c>
      <c r="D2052" t="s">
        <v>50</v>
      </c>
      <c r="E2052">
        <v>8</v>
      </c>
      <c r="F2052" s="3">
        <f ca="1">41377+(RANDBETWEEN(1,10))</f>
        <v>41378</v>
      </c>
      <c r="G2052" t="s">
        <v>26</v>
      </c>
      <c r="H2052" t="s">
        <v>27</v>
      </c>
      <c r="I2052" t="s">
        <v>86</v>
      </c>
      <c r="J2052">
        <v>467.91500000000002</v>
      </c>
      <c r="K2052">
        <v>0.04</v>
      </c>
      <c r="L2052">
        <v>0.37</v>
      </c>
      <c r="M2052">
        <v>46.13</v>
      </c>
      <c r="N2052">
        <v>-416.78874999999999</v>
      </c>
      <c r="O2052" s="1" t="s">
        <v>225</v>
      </c>
      <c r="P2052" s="1" t="s">
        <v>389</v>
      </c>
      <c r="Q2052" s="1" t="s">
        <v>390</v>
      </c>
      <c r="R2052" s="1" t="s">
        <v>391</v>
      </c>
      <c r="S2052" s="1" t="s">
        <v>392</v>
      </c>
      <c r="T2052" s="1" t="s">
        <v>393</v>
      </c>
      <c r="U2052" s="2" t="s">
        <v>197</v>
      </c>
      <c r="V2052" s="2" t="s">
        <v>47</v>
      </c>
      <c r="W2052" s="2" t="s">
        <v>111</v>
      </c>
      <c r="X2052" s="2">
        <v>55.965000000000003</v>
      </c>
    </row>
    <row r="2053" spans="1:24" x14ac:dyDescent="0.3">
      <c r="A2053">
        <v>19929</v>
      </c>
      <c r="B2053" t="s">
        <v>5981</v>
      </c>
      <c r="C2053" s="3">
        <v>41374</v>
      </c>
      <c r="D2053" t="s">
        <v>50</v>
      </c>
      <c r="E2053">
        <v>6</v>
      </c>
      <c r="F2053" s="3">
        <f ca="1">41377+(RANDBETWEEN(1,10))</f>
        <v>41387</v>
      </c>
      <c r="G2053" t="s">
        <v>156</v>
      </c>
      <c r="H2053" t="s">
        <v>27</v>
      </c>
      <c r="I2053" t="s">
        <v>86</v>
      </c>
      <c r="J2053">
        <v>251.23</v>
      </c>
      <c r="K2053">
        <v>0.05</v>
      </c>
      <c r="L2053">
        <v>0.36</v>
      </c>
      <c r="M2053">
        <v>17.535</v>
      </c>
      <c r="N2053">
        <v>151.72499999999999</v>
      </c>
      <c r="O2053" s="1" t="s">
        <v>225</v>
      </c>
      <c r="P2053" s="1" t="s">
        <v>389</v>
      </c>
      <c r="Q2053" s="1" t="s">
        <v>390</v>
      </c>
      <c r="R2053" s="1" t="s">
        <v>391</v>
      </c>
      <c r="S2053" s="1" t="s">
        <v>392</v>
      </c>
      <c r="T2053" s="1" t="s">
        <v>393</v>
      </c>
      <c r="U2053" s="2" t="s">
        <v>4556</v>
      </c>
      <c r="V2053" s="2" t="s">
        <v>47</v>
      </c>
      <c r="W2053" s="2" t="s">
        <v>74</v>
      </c>
      <c r="X2053" s="2">
        <v>39.69</v>
      </c>
    </row>
    <row r="2054" spans="1:24" x14ac:dyDescent="0.3">
      <c r="A2054">
        <v>19930</v>
      </c>
      <c r="B2054" t="s">
        <v>5981</v>
      </c>
      <c r="C2054" s="3">
        <v>41374</v>
      </c>
      <c r="D2054" t="s">
        <v>50</v>
      </c>
      <c r="E2054">
        <v>10</v>
      </c>
      <c r="F2054" s="3">
        <f ca="1">41375+(RANDBETWEEN(1,10))</f>
        <v>41376</v>
      </c>
      <c r="G2054" t="s">
        <v>26</v>
      </c>
      <c r="H2054" t="s">
        <v>27</v>
      </c>
      <c r="I2054" t="s">
        <v>86</v>
      </c>
      <c r="J2054">
        <v>1232.56</v>
      </c>
      <c r="K2054">
        <v>0.02</v>
      </c>
      <c r="L2054">
        <v>0.38</v>
      </c>
      <c r="M2054">
        <v>17.815000000000001</v>
      </c>
      <c r="N2054">
        <v>850.46640000000002</v>
      </c>
      <c r="O2054" s="1" t="s">
        <v>225</v>
      </c>
      <c r="P2054" s="1" t="s">
        <v>389</v>
      </c>
      <c r="Q2054" s="1" t="s">
        <v>390</v>
      </c>
      <c r="R2054" s="1" t="s">
        <v>391</v>
      </c>
      <c r="S2054" s="1" t="s">
        <v>392</v>
      </c>
      <c r="T2054" s="1" t="s">
        <v>393</v>
      </c>
      <c r="U2054" s="2" t="s">
        <v>4048</v>
      </c>
      <c r="V2054" s="2" t="s">
        <v>47</v>
      </c>
      <c r="W2054" s="2" t="s">
        <v>74</v>
      </c>
      <c r="X2054" s="2">
        <v>124.04</v>
      </c>
    </row>
    <row r="2055" spans="1:24" x14ac:dyDescent="0.3">
      <c r="A2055">
        <v>19931</v>
      </c>
      <c r="B2055" t="s">
        <v>5982</v>
      </c>
      <c r="C2055" s="3">
        <v>41244</v>
      </c>
      <c r="D2055" t="s">
        <v>62</v>
      </c>
      <c r="E2055">
        <v>2</v>
      </c>
      <c r="F2055" s="3">
        <f ca="1">41246+(RANDBETWEEN(1,10))</f>
        <v>41253</v>
      </c>
      <c r="G2055" t="s">
        <v>26</v>
      </c>
      <c r="H2055" t="s">
        <v>51</v>
      </c>
      <c r="I2055" t="s">
        <v>86</v>
      </c>
      <c r="J2055">
        <v>165.27</v>
      </c>
      <c r="K2055">
        <v>0.05</v>
      </c>
      <c r="L2055">
        <v>0.41</v>
      </c>
      <c r="M2055">
        <v>17.78</v>
      </c>
      <c r="N2055">
        <v>13.807499999999999</v>
      </c>
      <c r="O2055" s="1" t="s">
        <v>64</v>
      </c>
      <c r="P2055" s="1" t="s">
        <v>3346</v>
      </c>
      <c r="Q2055" s="1" t="s">
        <v>3347</v>
      </c>
      <c r="R2055" s="1" t="s">
        <v>67</v>
      </c>
      <c r="S2055" s="1" t="s">
        <v>3348</v>
      </c>
      <c r="T2055" s="1" t="s">
        <v>3349</v>
      </c>
      <c r="U2055" s="2" t="s">
        <v>3475</v>
      </c>
      <c r="V2055" s="2" t="s">
        <v>83</v>
      </c>
      <c r="W2055" s="2" t="s">
        <v>178</v>
      </c>
      <c r="X2055" s="2">
        <v>77.805000000000007</v>
      </c>
    </row>
    <row r="2056" spans="1:24" x14ac:dyDescent="0.3">
      <c r="A2056">
        <v>19932</v>
      </c>
      <c r="B2056" t="s">
        <v>5983</v>
      </c>
      <c r="C2056" s="3">
        <v>40904</v>
      </c>
      <c r="D2056" t="s">
        <v>25</v>
      </c>
      <c r="E2056">
        <v>9</v>
      </c>
      <c r="F2056" s="3">
        <f ca="1">40911+(RANDBETWEEN(1,10))</f>
        <v>40917</v>
      </c>
      <c r="G2056" t="s">
        <v>26</v>
      </c>
      <c r="H2056" t="s">
        <v>27</v>
      </c>
      <c r="I2056" t="s">
        <v>97</v>
      </c>
      <c r="J2056">
        <v>91.63</v>
      </c>
      <c r="K2056">
        <v>0.05</v>
      </c>
      <c r="L2056">
        <v>0.38</v>
      </c>
      <c r="M2056">
        <v>1.75</v>
      </c>
      <c r="N2056">
        <v>63.224699999999999</v>
      </c>
      <c r="O2056" s="1" t="s">
        <v>53</v>
      </c>
      <c r="P2056" s="1" t="s">
        <v>5984</v>
      </c>
      <c r="Q2056" s="1" t="s">
        <v>5985</v>
      </c>
      <c r="R2056" s="1" t="s">
        <v>56</v>
      </c>
      <c r="S2056" s="1" t="s">
        <v>5986</v>
      </c>
      <c r="T2056" s="1" t="s">
        <v>5987</v>
      </c>
      <c r="U2056" s="2" t="s">
        <v>468</v>
      </c>
      <c r="V2056" s="2" t="s">
        <v>47</v>
      </c>
      <c r="W2056" s="2" t="s">
        <v>203</v>
      </c>
      <c r="X2056" s="2">
        <v>10.115</v>
      </c>
    </row>
    <row r="2057" spans="1:24" x14ac:dyDescent="0.3">
      <c r="A2057">
        <v>19933</v>
      </c>
      <c r="B2057" t="s">
        <v>5988</v>
      </c>
      <c r="C2057" s="3">
        <v>40623</v>
      </c>
      <c r="D2057" t="s">
        <v>39</v>
      </c>
      <c r="E2057">
        <v>8</v>
      </c>
      <c r="F2057" s="3">
        <f ca="1">40624+(RANDBETWEEN(1,10))</f>
        <v>40629</v>
      </c>
      <c r="G2057" t="s">
        <v>26</v>
      </c>
      <c r="H2057" t="s">
        <v>27</v>
      </c>
      <c r="I2057" t="s">
        <v>97</v>
      </c>
      <c r="J2057">
        <v>174.33500000000001</v>
      </c>
      <c r="K2057">
        <v>0.09</v>
      </c>
      <c r="L2057">
        <v>0.37</v>
      </c>
      <c r="M2057">
        <v>22.225000000000001</v>
      </c>
      <c r="N2057">
        <v>-310.10000000000002</v>
      </c>
      <c r="O2057" s="1" t="s">
        <v>53</v>
      </c>
      <c r="P2057" s="1" t="s">
        <v>4550</v>
      </c>
      <c r="Q2057" s="1" t="s">
        <v>4551</v>
      </c>
      <c r="R2057" s="1" t="s">
        <v>440</v>
      </c>
      <c r="S2057" s="1" t="s">
        <v>4552</v>
      </c>
      <c r="T2057" s="1" t="s">
        <v>4553</v>
      </c>
      <c r="U2057" s="2" t="s">
        <v>3424</v>
      </c>
      <c r="V2057" s="2" t="s">
        <v>47</v>
      </c>
      <c r="W2057" s="2" t="s">
        <v>74</v>
      </c>
      <c r="X2057" s="2">
        <v>22.68</v>
      </c>
    </row>
    <row r="2058" spans="1:24" x14ac:dyDescent="0.3">
      <c r="A2058">
        <v>19934</v>
      </c>
      <c r="B2058" t="s">
        <v>5989</v>
      </c>
      <c r="C2058" s="3">
        <v>40898</v>
      </c>
      <c r="D2058" t="s">
        <v>39</v>
      </c>
      <c r="E2058">
        <v>12</v>
      </c>
      <c r="F2058" s="3">
        <f ca="1">40901+(RANDBETWEEN(1,10))</f>
        <v>40908</v>
      </c>
      <c r="G2058" t="s">
        <v>26</v>
      </c>
      <c r="H2058" t="s">
        <v>27</v>
      </c>
      <c r="I2058" t="s">
        <v>86</v>
      </c>
      <c r="J2058">
        <v>4059.2649999999999</v>
      </c>
      <c r="K2058">
        <v>0</v>
      </c>
      <c r="L2058">
        <v>0.4</v>
      </c>
      <c r="M2058">
        <v>69.965000000000003</v>
      </c>
      <c r="N2058">
        <v>2800.8928500000002</v>
      </c>
      <c r="O2058" s="1" t="s">
        <v>40</v>
      </c>
      <c r="P2058" s="1" t="s">
        <v>4484</v>
      </c>
      <c r="Q2058" s="1" t="s">
        <v>4485</v>
      </c>
      <c r="R2058" s="1" t="s">
        <v>43</v>
      </c>
      <c r="S2058" s="1" t="s">
        <v>4486</v>
      </c>
      <c r="T2058" s="1" t="s">
        <v>4487</v>
      </c>
      <c r="U2058" s="2" t="s">
        <v>2845</v>
      </c>
      <c r="V2058" s="2" t="s">
        <v>47</v>
      </c>
      <c r="W2058" s="2" t="s">
        <v>48</v>
      </c>
      <c r="X2058" s="2">
        <v>316.68</v>
      </c>
    </row>
    <row r="2059" spans="1:24" x14ac:dyDescent="0.3">
      <c r="A2059">
        <v>19935</v>
      </c>
      <c r="B2059" t="s">
        <v>5990</v>
      </c>
      <c r="C2059" s="3">
        <v>41132</v>
      </c>
      <c r="D2059" t="s">
        <v>39</v>
      </c>
      <c r="E2059">
        <v>3</v>
      </c>
      <c r="F2059" s="3">
        <f ca="1">41132+(RANDBETWEEN(1,10))</f>
        <v>41137</v>
      </c>
      <c r="G2059" t="s">
        <v>26</v>
      </c>
      <c r="H2059" t="s">
        <v>96</v>
      </c>
      <c r="I2059" t="s">
        <v>28</v>
      </c>
      <c r="J2059">
        <v>55.965000000000003</v>
      </c>
      <c r="K2059">
        <v>0</v>
      </c>
      <c r="L2059">
        <v>0.52</v>
      </c>
      <c r="M2059">
        <v>2.4849999999999999</v>
      </c>
      <c r="N2059">
        <v>26.055399999999999</v>
      </c>
      <c r="O2059" s="1" t="s">
        <v>87</v>
      </c>
      <c r="P2059" s="1" t="s">
        <v>5991</v>
      </c>
      <c r="Q2059" s="1" t="s">
        <v>5992</v>
      </c>
      <c r="R2059" s="1" t="s">
        <v>90</v>
      </c>
      <c r="S2059" s="1" t="s">
        <v>5993</v>
      </c>
      <c r="T2059" s="1" t="s">
        <v>5994</v>
      </c>
      <c r="U2059" s="2" t="s">
        <v>2636</v>
      </c>
      <c r="V2059" s="2" t="s">
        <v>47</v>
      </c>
      <c r="W2059" s="2" t="s">
        <v>104</v>
      </c>
      <c r="X2059" s="2">
        <v>16.940000000000001</v>
      </c>
    </row>
    <row r="2060" spans="1:24" x14ac:dyDescent="0.3">
      <c r="A2060">
        <v>19936</v>
      </c>
      <c r="B2060" t="s">
        <v>5995</v>
      </c>
      <c r="C2060" s="3">
        <v>41521</v>
      </c>
      <c r="D2060" t="s">
        <v>148</v>
      </c>
      <c r="E2060">
        <v>24</v>
      </c>
      <c r="F2060" s="3">
        <f ca="1">41522+(RANDBETWEEN(1,10))</f>
        <v>41528</v>
      </c>
      <c r="G2060" t="s">
        <v>76</v>
      </c>
      <c r="H2060" t="s">
        <v>77</v>
      </c>
      <c r="I2060" t="s">
        <v>86</v>
      </c>
      <c r="J2060">
        <v>22249.884999999998</v>
      </c>
      <c r="K2060">
        <v>0.03</v>
      </c>
      <c r="L2060">
        <v>0.55000000000000004</v>
      </c>
      <c r="M2060">
        <v>190.08500000000001</v>
      </c>
      <c r="N2060">
        <v>9871.5400000000009</v>
      </c>
      <c r="O2060" s="1" t="s">
        <v>40</v>
      </c>
      <c r="P2060" s="1" t="s">
        <v>5996</v>
      </c>
      <c r="Q2060" s="1" t="s">
        <v>5997</v>
      </c>
      <c r="R2060" s="1" t="s">
        <v>43</v>
      </c>
      <c r="S2060" s="1" t="s">
        <v>5998</v>
      </c>
      <c r="T2060" s="1" t="s">
        <v>726</v>
      </c>
      <c r="U2060" s="2" t="s">
        <v>5999</v>
      </c>
      <c r="V2060" s="2" t="s">
        <v>83</v>
      </c>
      <c r="W2060" s="2" t="s">
        <v>84</v>
      </c>
      <c r="X2060" s="2">
        <v>906.43</v>
      </c>
    </row>
    <row r="2061" spans="1:24" x14ac:dyDescent="0.3">
      <c r="A2061">
        <v>19937</v>
      </c>
      <c r="B2061" t="s">
        <v>6000</v>
      </c>
      <c r="C2061" s="3">
        <v>41756</v>
      </c>
      <c r="D2061" t="s">
        <v>39</v>
      </c>
      <c r="E2061">
        <v>12</v>
      </c>
      <c r="F2061" s="3">
        <f ca="1">41757+(RANDBETWEEN(1,10))</f>
        <v>41760</v>
      </c>
      <c r="G2061" t="s">
        <v>26</v>
      </c>
      <c r="H2061" t="s">
        <v>51</v>
      </c>
      <c r="I2061" t="s">
        <v>97</v>
      </c>
      <c r="J2061">
        <v>1293.04</v>
      </c>
      <c r="K2061">
        <v>0</v>
      </c>
      <c r="L2061">
        <v>0.5</v>
      </c>
      <c r="M2061">
        <v>6.9649999999999999</v>
      </c>
      <c r="N2061">
        <v>892.19759999999997</v>
      </c>
      <c r="O2061" s="1" t="s">
        <v>40</v>
      </c>
      <c r="P2061" s="1" t="s">
        <v>6001</v>
      </c>
      <c r="Q2061" s="1" t="s">
        <v>6002</v>
      </c>
      <c r="R2061" s="1" t="s">
        <v>220</v>
      </c>
      <c r="S2061" s="1" t="s">
        <v>6003</v>
      </c>
      <c r="T2061" s="1" t="s">
        <v>6004</v>
      </c>
      <c r="U2061" s="2" t="s">
        <v>124</v>
      </c>
      <c r="V2061" s="2" t="s">
        <v>36</v>
      </c>
      <c r="W2061" s="2" t="s">
        <v>60</v>
      </c>
      <c r="X2061" s="2">
        <v>104.61499999999999</v>
      </c>
    </row>
    <row r="2062" spans="1:24" x14ac:dyDescent="0.3">
      <c r="A2062">
        <v>19938</v>
      </c>
      <c r="B2062" t="s">
        <v>6005</v>
      </c>
      <c r="C2062" s="3">
        <v>41739</v>
      </c>
      <c r="D2062" t="s">
        <v>148</v>
      </c>
      <c r="E2062">
        <v>8</v>
      </c>
      <c r="F2062" s="3">
        <f ca="1">41740+(RANDBETWEEN(1,10))</f>
        <v>41741</v>
      </c>
      <c r="G2062" t="s">
        <v>26</v>
      </c>
      <c r="H2062" t="s">
        <v>96</v>
      </c>
      <c r="I2062" t="s">
        <v>97</v>
      </c>
      <c r="J2062">
        <v>80.534999999999997</v>
      </c>
      <c r="K2062">
        <v>0.04</v>
      </c>
      <c r="L2062">
        <v>0.4</v>
      </c>
      <c r="M2062">
        <v>2.835</v>
      </c>
      <c r="N2062">
        <v>55.56915</v>
      </c>
      <c r="O2062" s="1" t="s">
        <v>29</v>
      </c>
      <c r="P2062" s="1" t="s">
        <v>4366</v>
      </c>
      <c r="Q2062" s="1" t="s">
        <v>4367</v>
      </c>
      <c r="R2062" s="1" t="s">
        <v>32</v>
      </c>
      <c r="S2062" s="1" t="s">
        <v>4368</v>
      </c>
      <c r="T2062" s="1" t="s">
        <v>4369</v>
      </c>
      <c r="U2062" s="2" t="s">
        <v>5264</v>
      </c>
      <c r="V2062" s="2" t="s">
        <v>47</v>
      </c>
      <c r="W2062" s="2" t="s">
        <v>104</v>
      </c>
      <c r="X2062" s="2">
        <v>10.29</v>
      </c>
    </row>
    <row r="2063" spans="1:24" x14ac:dyDescent="0.3">
      <c r="A2063">
        <v>19939</v>
      </c>
      <c r="B2063" t="s">
        <v>6005</v>
      </c>
      <c r="C2063" s="3">
        <v>41739</v>
      </c>
      <c r="D2063" t="s">
        <v>148</v>
      </c>
      <c r="E2063">
        <v>13</v>
      </c>
      <c r="F2063" s="3">
        <f ca="1">41740+(RANDBETWEEN(1,10))</f>
        <v>41745</v>
      </c>
      <c r="G2063" t="s">
        <v>26</v>
      </c>
      <c r="H2063" t="s">
        <v>51</v>
      </c>
      <c r="I2063" t="s">
        <v>97</v>
      </c>
      <c r="J2063">
        <v>1401.645</v>
      </c>
      <c r="K2063">
        <v>0.05</v>
      </c>
      <c r="L2063">
        <v>0.36</v>
      </c>
      <c r="M2063">
        <v>4.375</v>
      </c>
      <c r="N2063">
        <v>967.13504999999998</v>
      </c>
      <c r="O2063" s="1" t="s">
        <v>29</v>
      </c>
      <c r="P2063" s="1" t="s">
        <v>4366</v>
      </c>
      <c r="Q2063" s="1" t="s">
        <v>4367</v>
      </c>
      <c r="R2063" s="1" t="s">
        <v>32</v>
      </c>
      <c r="S2063" s="1" t="s">
        <v>4368</v>
      </c>
      <c r="T2063" s="1" t="s">
        <v>4369</v>
      </c>
      <c r="U2063" s="2" t="s">
        <v>6006</v>
      </c>
      <c r="V2063" s="2" t="s">
        <v>36</v>
      </c>
      <c r="W2063" s="2" t="s">
        <v>37</v>
      </c>
      <c r="X2063" s="2">
        <v>125.965</v>
      </c>
    </row>
    <row r="2064" spans="1:24" x14ac:dyDescent="0.3">
      <c r="A2064">
        <v>19940</v>
      </c>
      <c r="B2064" t="s">
        <v>6007</v>
      </c>
      <c r="C2064" s="3">
        <v>41233</v>
      </c>
      <c r="D2064" t="s">
        <v>39</v>
      </c>
      <c r="E2064">
        <v>37</v>
      </c>
      <c r="F2064" s="3">
        <f ca="1">41233+(RANDBETWEEN(1,10))</f>
        <v>41239</v>
      </c>
      <c r="G2064" t="s">
        <v>26</v>
      </c>
      <c r="H2064" t="s">
        <v>27</v>
      </c>
      <c r="I2064" t="s">
        <v>86</v>
      </c>
      <c r="J2064">
        <v>1808.1</v>
      </c>
      <c r="K2064">
        <v>0.02</v>
      </c>
      <c r="L2064">
        <v>0.56000000000000005</v>
      </c>
      <c r="M2064">
        <v>32.795000000000002</v>
      </c>
      <c r="N2064">
        <v>120.19</v>
      </c>
      <c r="O2064" s="1" t="s">
        <v>53</v>
      </c>
      <c r="P2064" s="1" t="s">
        <v>4921</v>
      </c>
      <c r="Q2064" s="1" t="s">
        <v>4922</v>
      </c>
      <c r="R2064" s="1" t="s">
        <v>56</v>
      </c>
      <c r="S2064" s="1" t="s">
        <v>4923</v>
      </c>
      <c r="T2064" s="1" t="s">
        <v>4924</v>
      </c>
      <c r="U2064" s="2" t="s">
        <v>2863</v>
      </c>
      <c r="V2064" s="2" t="s">
        <v>47</v>
      </c>
      <c r="W2064" s="2" t="s">
        <v>119</v>
      </c>
      <c r="X2064" s="2">
        <v>49.104999999999997</v>
      </c>
    </row>
    <row r="2065" spans="1:24" x14ac:dyDescent="0.3">
      <c r="A2065">
        <v>19941</v>
      </c>
      <c r="B2065" t="s">
        <v>6008</v>
      </c>
      <c r="C2065" s="3">
        <v>41921</v>
      </c>
      <c r="D2065" t="s">
        <v>62</v>
      </c>
      <c r="E2065">
        <v>13</v>
      </c>
      <c r="F2065" s="3">
        <f ca="1">41923+(RANDBETWEEN(1,10))</f>
        <v>41932</v>
      </c>
      <c r="G2065" t="s">
        <v>156</v>
      </c>
      <c r="H2065" t="s">
        <v>96</v>
      </c>
      <c r="I2065" t="s">
        <v>97</v>
      </c>
      <c r="J2065">
        <v>1640.415</v>
      </c>
      <c r="K2065">
        <v>0.1</v>
      </c>
      <c r="L2065">
        <v>0.38</v>
      </c>
      <c r="M2065">
        <v>17.78</v>
      </c>
      <c r="N2065">
        <v>18.437999999999999</v>
      </c>
      <c r="O2065" s="1" t="s">
        <v>87</v>
      </c>
      <c r="P2065" s="1" t="s">
        <v>6009</v>
      </c>
      <c r="Q2065" s="1" t="s">
        <v>6010</v>
      </c>
      <c r="R2065" s="1" t="s">
        <v>90</v>
      </c>
      <c r="S2065" s="1" t="s">
        <v>6011</v>
      </c>
      <c r="T2065" s="1" t="s">
        <v>6012</v>
      </c>
      <c r="U2065" s="2" t="s">
        <v>2638</v>
      </c>
      <c r="V2065" s="2" t="s">
        <v>47</v>
      </c>
      <c r="W2065" s="2" t="s">
        <v>74</v>
      </c>
      <c r="X2065" s="2">
        <v>132.79</v>
      </c>
    </row>
    <row r="2066" spans="1:24" x14ac:dyDescent="0.3">
      <c r="A2066">
        <v>19942</v>
      </c>
      <c r="B2066" t="s">
        <v>6013</v>
      </c>
      <c r="C2066" s="3">
        <v>40825</v>
      </c>
      <c r="D2066" t="s">
        <v>62</v>
      </c>
      <c r="E2066">
        <v>11</v>
      </c>
      <c r="F2066" s="3">
        <f ca="1">40826+(RANDBETWEEN(1,10))</f>
        <v>40836</v>
      </c>
      <c r="G2066" t="s">
        <v>26</v>
      </c>
      <c r="H2066" t="s">
        <v>51</v>
      </c>
      <c r="I2066" t="s">
        <v>97</v>
      </c>
      <c r="J2066">
        <v>332.39499999999998</v>
      </c>
      <c r="K2066">
        <v>0.06</v>
      </c>
      <c r="L2066">
        <v>0.59</v>
      </c>
      <c r="M2066">
        <v>21.49</v>
      </c>
      <c r="N2066">
        <v>369.87299999999999</v>
      </c>
      <c r="O2066" s="1" t="s">
        <v>87</v>
      </c>
      <c r="P2066" s="1" t="s">
        <v>6009</v>
      </c>
      <c r="Q2066" s="1" t="s">
        <v>6010</v>
      </c>
      <c r="R2066" s="1" t="s">
        <v>90</v>
      </c>
      <c r="S2066" s="1" t="s">
        <v>6011</v>
      </c>
      <c r="T2066" s="1" t="s">
        <v>6012</v>
      </c>
      <c r="U2066" s="2" t="s">
        <v>6014</v>
      </c>
      <c r="V2066" s="2" t="s">
        <v>47</v>
      </c>
      <c r="W2066" s="2" t="s">
        <v>94</v>
      </c>
      <c r="X2066" s="2">
        <v>29.995000000000001</v>
      </c>
    </row>
    <row r="2067" spans="1:24" x14ac:dyDescent="0.3">
      <c r="A2067">
        <v>19943</v>
      </c>
      <c r="B2067" t="s">
        <v>6015</v>
      </c>
      <c r="C2067" s="3">
        <v>41828</v>
      </c>
      <c r="D2067" t="s">
        <v>39</v>
      </c>
      <c r="E2067">
        <v>10</v>
      </c>
      <c r="F2067" s="3">
        <f ca="1">41830+(RANDBETWEEN(1,10))</f>
        <v>41838</v>
      </c>
      <c r="G2067" t="s">
        <v>76</v>
      </c>
      <c r="H2067" t="s">
        <v>77</v>
      </c>
      <c r="I2067" t="s">
        <v>97</v>
      </c>
      <c r="J2067">
        <v>5415.375</v>
      </c>
      <c r="K2067">
        <v>0.08</v>
      </c>
      <c r="L2067">
        <v>0.36</v>
      </c>
      <c r="M2067">
        <v>54.564999999999998</v>
      </c>
      <c r="N2067">
        <v>3736.6087499999999</v>
      </c>
      <c r="O2067" s="1" t="s">
        <v>40</v>
      </c>
      <c r="P2067" s="1" t="s">
        <v>6016</v>
      </c>
      <c r="Q2067" s="1" t="s">
        <v>6017</v>
      </c>
      <c r="R2067" s="1" t="s">
        <v>43</v>
      </c>
      <c r="S2067" s="1" t="s">
        <v>6018</v>
      </c>
      <c r="T2067" s="1" t="s">
        <v>6019</v>
      </c>
      <c r="U2067" s="2" t="s">
        <v>6020</v>
      </c>
      <c r="V2067" s="2" t="s">
        <v>36</v>
      </c>
      <c r="W2067" s="2" t="s">
        <v>142</v>
      </c>
      <c r="X2067" s="2">
        <v>703.39499999999998</v>
      </c>
    </row>
    <row r="2068" spans="1:24" x14ac:dyDescent="0.3">
      <c r="A2068">
        <v>19944</v>
      </c>
      <c r="B2068" t="s">
        <v>6015</v>
      </c>
      <c r="C2068" s="3">
        <v>41828</v>
      </c>
      <c r="D2068" t="s">
        <v>39</v>
      </c>
      <c r="E2068">
        <v>14</v>
      </c>
      <c r="F2068" s="3">
        <f ca="1">41830+(RANDBETWEEN(1,10))</f>
        <v>41833</v>
      </c>
      <c r="G2068" t="s">
        <v>26</v>
      </c>
      <c r="H2068" t="s">
        <v>63</v>
      </c>
      <c r="I2068" t="s">
        <v>97</v>
      </c>
      <c r="J2068">
        <v>276.53500000000003</v>
      </c>
      <c r="K2068">
        <v>0.04</v>
      </c>
      <c r="L2068">
        <v>0.6</v>
      </c>
      <c r="M2068">
        <v>171.5</v>
      </c>
      <c r="N2068">
        <v>-5732.0020800000002</v>
      </c>
      <c r="O2068" s="1" t="s">
        <v>225</v>
      </c>
      <c r="P2068" s="1" t="s">
        <v>2677</v>
      </c>
      <c r="Q2068" s="1" t="s">
        <v>2678</v>
      </c>
      <c r="R2068" s="1" t="s">
        <v>228</v>
      </c>
      <c r="S2068" s="1" t="s">
        <v>2679</v>
      </c>
      <c r="T2068" s="1" t="s">
        <v>2680</v>
      </c>
      <c r="U2068" s="2" t="s">
        <v>919</v>
      </c>
      <c r="V2068" s="2" t="s">
        <v>47</v>
      </c>
      <c r="W2068" s="2" t="s">
        <v>71</v>
      </c>
      <c r="X2068" s="2">
        <v>15.68</v>
      </c>
    </row>
    <row r="2069" spans="1:24" x14ac:dyDescent="0.3">
      <c r="A2069">
        <v>19945</v>
      </c>
      <c r="B2069" t="s">
        <v>6015</v>
      </c>
      <c r="C2069" s="3">
        <v>41828</v>
      </c>
      <c r="D2069" t="s">
        <v>39</v>
      </c>
      <c r="E2069">
        <v>17</v>
      </c>
      <c r="F2069" s="3">
        <f ca="1">41829+(RANDBETWEEN(1,10))</f>
        <v>41837</v>
      </c>
      <c r="G2069" t="s">
        <v>26</v>
      </c>
      <c r="H2069" t="s">
        <v>27</v>
      </c>
      <c r="I2069" t="s">
        <v>97</v>
      </c>
      <c r="J2069">
        <v>1481.7249999999999</v>
      </c>
      <c r="K2069">
        <v>0</v>
      </c>
      <c r="L2069">
        <v>0.39</v>
      </c>
      <c r="M2069">
        <v>40.39</v>
      </c>
      <c r="N2069">
        <v>657.33695999999998</v>
      </c>
      <c r="O2069" s="1" t="s">
        <v>225</v>
      </c>
      <c r="P2069" s="1" t="s">
        <v>2677</v>
      </c>
      <c r="Q2069" s="1" t="s">
        <v>2678</v>
      </c>
      <c r="R2069" s="1" t="s">
        <v>228</v>
      </c>
      <c r="S2069" s="1" t="s">
        <v>2679</v>
      </c>
      <c r="T2069" s="1" t="s">
        <v>2680</v>
      </c>
      <c r="U2069" s="2" t="s">
        <v>642</v>
      </c>
      <c r="V2069" s="2" t="s">
        <v>47</v>
      </c>
      <c r="W2069" s="2" t="s">
        <v>74</v>
      </c>
      <c r="X2069" s="2">
        <v>79.94</v>
      </c>
    </row>
    <row r="2070" spans="1:24" x14ac:dyDescent="0.3">
      <c r="A2070">
        <v>19946</v>
      </c>
      <c r="B2070" t="s">
        <v>6015</v>
      </c>
      <c r="C2070" s="3">
        <v>41828</v>
      </c>
      <c r="D2070" t="s">
        <v>39</v>
      </c>
      <c r="E2070">
        <v>9</v>
      </c>
      <c r="F2070" s="3">
        <f ca="1">41830+(RANDBETWEEN(1,10))</f>
        <v>41837</v>
      </c>
      <c r="G2070" t="s">
        <v>76</v>
      </c>
      <c r="H2070" t="s">
        <v>77</v>
      </c>
      <c r="I2070" t="s">
        <v>97</v>
      </c>
      <c r="J2070">
        <v>7178.2550000000001</v>
      </c>
      <c r="K2070">
        <v>0.04</v>
      </c>
      <c r="L2070">
        <v>0.72</v>
      </c>
      <c r="M2070">
        <v>100.31</v>
      </c>
      <c r="N2070">
        <v>2111.7264</v>
      </c>
      <c r="O2070" s="1" t="s">
        <v>225</v>
      </c>
      <c r="P2070" s="1" t="s">
        <v>2677</v>
      </c>
      <c r="Q2070" s="1" t="s">
        <v>2678</v>
      </c>
      <c r="R2070" s="1" t="s">
        <v>228</v>
      </c>
      <c r="S2070" s="1" t="s">
        <v>2679</v>
      </c>
      <c r="T2070" s="1" t="s">
        <v>2680</v>
      </c>
      <c r="U2070" s="2" t="s">
        <v>2071</v>
      </c>
      <c r="V2070" s="2" t="s">
        <v>47</v>
      </c>
      <c r="W2070" s="2" t="s">
        <v>119</v>
      </c>
      <c r="X2070" s="2">
        <v>787.57</v>
      </c>
    </row>
    <row r="2071" spans="1:24" x14ac:dyDescent="0.3">
      <c r="A2071">
        <v>19947</v>
      </c>
      <c r="B2071" t="s">
        <v>6021</v>
      </c>
      <c r="C2071" s="3">
        <v>40781</v>
      </c>
      <c r="D2071" t="s">
        <v>25</v>
      </c>
      <c r="E2071">
        <v>12</v>
      </c>
      <c r="F2071" s="3">
        <f ca="1">40788+(RANDBETWEEN(1,10))</f>
        <v>40794</v>
      </c>
      <c r="G2071" t="s">
        <v>156</v>
      </c>
      <c r="H2071" t="s">
        <v>27</v>
      </c>
      <c r="I2071" t="s">
        <v>28</v>
      </c>
      <c r="J2071">
        <v>303.76499999999999</v>
      </c>
      <c r="K2071">
        <v>0.04</v>
      </c>
      <c r="L2071">
        <v>0.37</v>
      </c>
      <c r="M2071">
        <v>18.059999999999999</v>
      </c>
      <c r="N2071">
        <v>-38.966200000000001</v>
      </c>
      <c r="O2071" s="1" t="s">
        <v>87</v>
      </c>
      <c r="P2071" s="1" t="s">
        <v>6022</v>
      </c>
      <c r="Q2071" s="1" t="s">
        <v>6023</v>
      </c>
      <c r="R2071" s="1" t="s">
        <v>646</v>
      </c>
      <c r="S2071" s="1" t="s">
        <v>6024</v>
      </c>
      <c r="T2071" s="1" t="s">
        <v>6025</v>
      </c>
      <c r="U2071" s="2" t="s">
        <v>6026</v>
      </c>
      <c r="V2071" s="2" t="s">
        <v>47</v>
      </c>
      <c r="W2071" s="2" t="s">
        <v>74</v>
      </c>
      <c r="X2071" s="2">
        <v>22.68</v>
      </c>
    </row>
    <row r="2072" spans="1:24" x14ac:dyDescent="0.3">
      <c r="A2072">
        <v>19948</v>
      </c>
      <c r="B2072" t="s">
        <v>6027</v>
      </c>
      <c r="C2072" s="3">
        <v>41425</v>
      </c>
      <c r="D2072" t="s">
        <v>62</v>
      </c>
      <c r="E2072">
        <v>13</v>
      </c>
      <c r="F2072" s="3">
        <f ca="1">41427+(RANDBETWEEN(1,10))</f>
        <v>41432</v>
      </c>
      <c r="G2072" t="s">
        <v>26</v>
      </c>
      <c r="H2072" t="s">
        <v>27</v>
      </c>
      <c r="I2072" t="s">
        <v>52</v>
      </c>
      <c r="J2072">
        <v>542.08000000000004</v>
      </c>
      <c r="K2072">
        <v>0.04</v>
      </c>
      <c r="L2072">
        <v>0.36</v>
      </c>
      <c r="M2072">
        <v>17.535</v>
      </c>
      <c r="N2072">
        <v>236.6</v>
      </c>
      <c r="O2072" s="1" t="s">
        <v>64</v>
      </c>
      <c r="P2072" s="1" t="s">
        <v>5078</v>
      </c>
      <c r="Q2072" s="1" t="s">
        <v>5079</v>
      </c>
      <c r="R2072" s="1" t="s">
        <v>128</v>
      </c>
      <c r="S2072" s="1" t="s">
        <v>5080</v>
      </c>
      <c r="T2072" s="1" t="s">
        <v>5081</v>
      </c>
      <c r="U2072" s="2" t="s">
        <v>4556</v>
      </c>
      <c r="V2072" s="2" t="s">
        <v>47</v>
      </c>
      <c r="W2072" s="2" t="s">
        <v>74</v>
      </c>
      <c r="X2072" s="2">
        <v>39.69</v>
      </c>
    </row>
    <row r="2073" spans="1:24" x14ac:dyDescent="0.3">
      <c r="A2073">
        <v>19949</v>
      </c>
      <c r="B2073" t="s">
        <v>6028</v>
      </c>
      <c r="C2073" s="3">
        <v>40931</v>
      </c>
      <c r="D2073" t="s">
        <v>25</v>
      </c>
      <c r="E2073">
        <v>3</v>
      </c>
      <c r="F2073" s="3">
        <f ca="1">40940+(RANDBETWEEN(1,10))</f>
        <v>40949</v>
      </c>
      <c r="G2073" t="s">
        <v>26</v>
      </c>
      <c r="H2073" t="s">
        <v>96</v>
      </c>
      <c r="I2073" t="s">
        <v>52</v>
      </c>
      <c r="J2073">
        <v>771.92499999999995</v>
      </c>
      <c r="K2073">
        <v>0.06</v>
      </c>
      <c r="L2073">
        <v>0.55000000000000004</v>
      </c>
      <c r="M2073">
        <v>3.4649999999999999</v>
      </c>
      <c r="N2073">
        <v>-46.3078</v>
      </c>
      <c r="O2073" s="1" t="s">
        <v>87</v>
      </c>
      <c r="P2073" s="1" t="s">
        <v>6029</v>
      </c>
      <c r="Q2073" s="1" t="s">
        <v>6030</v>
      </c>
      <c r="R2073" s="1" t="s">
        <v>497</v>
      </c>
      <c r="S2073" s="1" t="s">
        <v>1859</v>
      </c>
      <c r="T2073" s="1" t="s">
        <v>1860</v>
      </c>
      <c r="U2073" s="2" t="s">
        <v>5311</v>
      </c>
      <c r="V2073" s="2" t="s">
        <v>36</v>
      </c>
      <c r="W2073" s="2" t="s">
        <v>37</v>
      </c>
      <c r="X2073" s="2">
        <v>300.96499999999997</v>
      </c>
    </row>
    <row r="2074" spans="1:24" x14ac:dyDescent="0.3">
      <c r="A2074">
        <v>19950</v>
      </c>
      <c r="B2074" t="s">
        <v>6031</v>
      </c>
      <c r="C2074" s="3">
        <v>40637</v>
      </c>
      <c r="D2074" t="s">
        <v>148</v>
      </c>
      <c r="E2074">
        <v>12</v>
      </c>
      <c r="F2074" s="3">
        <f ca="1">40639+(RANDBETWEEN(1,10))</f>
        <v>40643</v>
      </c>
      <c r="G2074" t="s">
        <v>26</v>
      </c>
      <c r="H2074" t="s">
        <v>27</v>
      </c>
      <c r="I2074" t="s">
        <v>97</v>
      </c>
      <c r="J2074">
        <v>204.155</v>
      </c>
      <c r="K2074">
        <v>0.01</v>
      </c>
      <c r="L2074">
        <v>0.36</v>
      </c>
      <c r="M2074">
        <v>1.75</v>
      </c>
      <c r="N2074">
        <v>140.86695</v>
      </c>
      <c r="O2074" s="1" t="s">
        <v>53</v>
      </c>
      <c r="P2074" s="1" t="s">
        <v>4038</v>
      </c>
      <c r="Q2074" s="1" t="s">
        <v>4039</v>
      </c>
      <c r="R2074" s="1" t="s">
        <v>100</v>
      </c>
      <c r="S2074" s="1" t="s">
        <v>4040</v>
      </c>
      <c r="T2074" s="1" t="s">
        <v>4041</v>
      </c>
      <c r="U2074" s="2" t="s">
        <v>1158</v>
      </c>
      <c r="V2074" s="2" t="s">
        <v>47</v>
      </c>
      <c r="W2074" s="2" t="s">
        <v>203</v>
      </c>
      <c r="X2074" s="2">
        <v>17.184999999999999</v>
      </c>
    </row>
    <row r="2075" spans="1:24" x14ac:dyDescent="0.3">
      <c r="A2075">
        <v>19951</v>
      </c>
      <c r="B2075" t="s">
        <v>6031</v>
      </c>
      <c r="C2075" s="3">
        <v>40637</v>
      </c>
      <c r="D2075" t="s">
        <v>148</v>
      </c>
      <c r="E2075">
        <v>5</v>
      </c>
      <c r="F2075" s="3">
        <f ca="1">40639+(RANDBETWEEN(1,10))</f>
        <v>40648</v>
      </c>
      <c r="G2075" t="s">
        <v>156</v>
      </c>
      <c r="H2075" t="s">
        <v>96</v>
      </c>
      <c r="I2075" t="s">
        <v>97</v>
      </c>
      <c r="J2075">
        <v>71.47</v>
      </c>
      <c r="K2075">
        <v>0.09</v>
      </c>
      <c r="L2075">
        <v>0.37</v>
      </c>
      <c r="M2075">
        <v>4.55</v>
      </c>
      <c r="N2075">
        <v>49.314300000000003</v>
      </c>
      <c r="O2075" s="1" t="s">
        <v>53</v>
      </c>
      <c r="P2075" s="1" t="s">
        <v>4038</v>
      </c>
      <c r="Q2075" s="1" t="s">
        <v>4039</v>
      </c>
      <c r="R2075" s="1" t="s">
        <v>100</v>
      </c>
      <c r="S2075" s="1" t="s">
        <v>4040</v>
      </c>
      <c r="T2075" s="1" t="s">
        <v>4041</v>
      </c>
      <c r="U2075" s="2" t="s">
        <v>2823</v>
      </c>
      <c r="V2075" s="2" t="s">
        <v>47</v>
      </c>
      <c r="W2075" s="2" t="s">
        <v>74</v>
      </c>
      <c r="X2075" s="2">
        <v>14</v>
      </c>
    </row>
    <row r="2076" spans="1:24" x14ac:dyDescent="0.3">
      <c r="A2076">
        <v>19952</v>
      </c>
      <c r="B2076" t="s">
        <v>6032</v>
      </c>
      <c r="C2076" s="3">
        <v>41906</v>
      </c>
      <c r="D2076" t="s">
        <v>62</v>
      </c>
      <c r="E2076">
        <v>16</v>
      </c>
      <c r="F2076" s="3">
        <f ca="1">41906+(RANDBETWEEN(1,10))</f>
        <v>41913</v>
      </c>
      <c r="G2076" t="s">
        <v>26</v>
      </c>
      <c r="H2076" t="s">
        <v>96</v>
      </c>
      <c r="I2076" t="s">
        <v>97</v>
      </c>
      <c r="J2076">
        <v>3831.94</v>
      </c>
      <c r="K2076">
        <v>0.05</v>
      </c>
      <c r="L2076">
        <v>0.78</v>
      </c>
      <c r="M2076">
        <v>131.53</v>
      </c>
      <c r="N2076">
        <v>-2803.3642</v>
      </c>
      <c r="O2076" s="1" t="s">
        <v>87</v>
      </c>
      <c r="P2076" s="1" t="s">
        <v>3132</v>
      </c>
      <c r="Q2076" s="1" t="s">
        <v>3133</v>
      </c>
      <c r="R2076" s="1" t="s">
        <v>497</v>
      </c>
      <c r="S2076" s="1" t="s">
        <v>3134</v>
      </c>
      <c r="T2076" s="1" t="s">
        <v>3135</v>
      </c>
      <c r="U2076" s="2" t="s">
        <v>3541</v>
      </c>
      <c r="V2076" s="2" t="s">
        <v>83</v>
      </c>
      <c r="W2076" s="2" t="s">
        <v>178</v>
      </c>
      <c r="X2076" s="2">
        <v>247.48500000000001</v>
      </c>
    </row>
    <row r="2077" spans="1:24" x14ac:dyDescent="0.3">
      <c r="A2077">
        <v>19953</v>
      </c>
      <c r="B2077" t="s">
        <v>6033</v>
      </c>
      <c r="C2077" s="3">
        <v>41558</v>
      </c>
      <c r="D2077" t="s">
        <v>39</v>
      </c>
      <c r="E2077">
        <v>23</v>
      </c>
      <c r="F2077" s="3">
        <f ca="1">41561+(RANDBETWEEN(1,10))</f>
        <v>41563</v>
      </c>
      <c r="G2077" t="s">
        <v>26</v>
      </c>
      <c r="H2077" t="s">
        <v>51</v>
      </c>
      <c r="I2077" t="s">
        <v>52</v>
      </c>
      <c r="J2077">
        <v>3335.15</v>
      </c>
      <c r="K2077">
        <v>0.01</v>
      </c>
      <c r="L2077">
        <v>0.54</v>
      </c>
      <c r="M2077">
        <v>6.9649999999999999</v>
      </c>
      <c r="N2077">
        <v>2175.5929999999998</v>
      </c>
      <c r="O2077" s="1" t="s">
        <v>87</v>
      </c>
      <c r="P2077" s="1" t="s">
        <v>3294</v>
      </c>
      <c r="Q2077" s="1" t="s">
        <v>3295</v>
      </c>
      <c r="R2077" s="1" t="s">
        <v>497</v>
      </c>
      <c r="S2077" s="1" t="s">
        <v>3296</v>
      </c>
      <c r="T2077" s="1" t="s">
        <v>3297</v>
      </c>
      <c r="U2077" s="2" t="s">
        <v>685</v>
      </c>
      <c r="V2077" s="2" t="s">
        <v>36</v>
      </c>
      <c r="W2077" s="2" t="s">
        <v>60</v>
      </c>
      <c r="X2077" s="2">
        <v>138.18</v>
      </c>
    </row>
    <row r="2078" spans="1:24" x14ac:dyDescent="0.3">
      <c r="A2078">
        <v>19954</v>
      </c>
      <c r="B2078" t="s">
        <v>6034</v>
      </c>
      <c r="C2078" s="3">
        <v>41852</v>
      </c>
      <c r="D2078" t="s">
        <v>50</v>
      </c>
      <c r="E2078">
        <v>17</v>
      </c>
      <c r="F2078" s="3">
        <f ca="1">41853+(RANDBETWEEN(1,10))</f>
        <v>41856</v>
      </c>
      <c r="G2078" t="s">
        <v>26</v>
      </c>
      <c r="H2078" t="s">
        <v>27</v>
      </c>
      <c r="I2078" t="s">
        <v>97</v>
      </c>
      <c r="J2078">
        <v>315.49</v>
      </c>
      <c r="K2078">
        <v>0.01</v>
      </c>
      <c r="L2078">
        <v>0.41</v>
      </c>
      <c r="M2078">
        <v>18.62</v>
      </c>
      <c r="N2078">
        <v>100.065</v>
      </c>
      <c r="O2078" s="1" t="s">
        <v>87</v>
      </c>
      <c r="P2078" s="1" t="s">
        <v>6035</v>
      </c>
      <c r="Q2078" s="1" t="s">
        <v>6036</v>
      </c>
      <c r="R2078" s="1" t="s">
        <v>497</v>
      </c>
      <c r="S2078" s="1" t="s">
        <v>6037</v>
      </c>
      <c r="T2078" s="1" t="s">
        <v>6038</v>
      </c>
      <c r="U2078" s="2" t="s">
        <v>5159</v>
      </c>
      <c r="V2078" s="2" t="s">
        <v>83</v>
      </c>
      <c r="W2078" s="2" t="s">
        <v>178</v>
      </c>
      <c r="X2078" s="2">
        <v>17.324999999999999</v>
      </c>
    </row>
    <row r="2079" spans="1:24" x14ac:dyDescent="0.3">
      <c r="A2079">
        <v>19955</v>
      </c>
      <c r="B2079" t="s">
        <v>6034</v>
      </c>
      <c r="C2079" s="3">
        <v>41852</v>
      </c>
      <c r="D2079" t="s">
        <v>50</v>
      </c>
      <c r="E2079">
        <v>20</v>
      </c>
      <c r="F2079" s="3">
        <f ca="1">41853+(RANDBETWEEN(1,10))</f>
        <v>41858</v>
      </c>
      <c r="G2079" t="s">
        <v>26</v>
      </c>
      <c r="H2079" t="s">
        <v>27</v>
      </c>
      <c r="I2079" t="s">
        <v>97</v>
      </c>
      <c r="J2079">
        <v>1125.32</v>
      </c>
      <c r="K2079">
        <v>0</v>
      </c>
      <c r="L2079">
        <v>0.56999999999999995</v>
      </c>
      <c r="M2079">
        <v>26.914999999999999</v>
      </c>
      <c r="N2079">
        <v>-213.24799999999999</v>
      </c>
      <c r="O2079" s="1" t="s">
        <v>87</v>
      </c>
      <c r="P2079" s="1" t="s">
        <v>6035</v>
      </c>
      <c r="Q2079" s="1" t="s">
        <v>6036</v>
      </c>
      <c r="R2079" s="1" t="s">
        <v>497</v>
      </c>
      <c r="S2079" s="1" t="s">
        <v>6037</v>
      </c>
      <c r="T2079" s="1" t="s">
        <v>6038</v>
      </c>
      <c r="U2079" s="2" t="s">
        <v>3304</v>
      </c>
      <c r="V2079" s="2" t="s">
        <v>47</v>
      </c>
      <c r="W2079" s="2" t="s">
        <v>119</v>
      </c>
      <c r="X2079" s="2">
        <v>52.43</v>
      </c>
    </row>
    <row r="2080" spans="1:24" x14ac:dyDescent="0.3">
      <c r="A2080">
        <v>19956</v>
      </c>
      <c r="B2080" t="s">
        <v>6034</v>
      </c>
      <c r="C2080" s="3">
        <v>41852</v>
      </c>
      <c r="D2080" t="s">
        <v>50</v>
      </c>
      <c r="E2080">
        <v>9</v>
      </c>
      <c r="F2080" s="3">
        <f ca="1">41853+(RANDBETWEEN(1,10))</f>
        <v>41856</v>
      </c>
      <c r="G2080" t="s">
        <v>156</v>
      </c>
      <c r="H2080" t="s">
        <v>27</v>
      </c>
      <c r="I2080" t="s">
        <v>97</v>
      </c>
      <c r="J2080">
        <v>413.56</v>
      </c>
      <c r="K2080">
        <v>0.04</v>
      </c>
      <c r="L2080">
        <v>0.57999999999999996</v>
      </c>
      <c r="M2080">
        <v>17.43</v>
      </c>
      <c r="N2080">
        <v>171.92699999999999</v>
      </c>
      <c r="O2080" s="1" t="s">
        <v>29</v>
      </c>
      <c r="P2080" s="1" t="s">
        <v>6039</v>
      </c>
      <c r="Q2080" s="1" t="s">
        <v>6040</v>
      </c>
      <c r="R2080" s="1" t="s">
        <v>460</v>
      </c>
      <c r="S2080" s="1" t="s">
        <v>6041</v>
      </c>
      <c r="T2080" s="1" t="s">
        <v>6042</v>
      </c>
      <c r="U2080" s="2" t="s">
        <v>5213</v>
      </c>
      <c r="V2080" s="2" t="s">
        <v>47</v>
      </c>
      <c r="W2080" s="2" t="s">
        <v>71</v>
      </c>
      <c r="X2080" s="2">
        <v>41.895000000000003</v>
      </c>
    </row>
    <row r="2081" spans="1:24" x14ac:dyDescent="0.3">
      <c r="A2081">
        <v>19957</v>
      </c>
      <c r="B2081" t="s">
        <v>6043</v>
      </c>
      <c r="C2081" s="3">
        <v>41704</v>
      </c>
      <c r="D2081" t="s">
        <v>39</v>
      </c>
      <c r="E2081">
        <v>6</v>
      </c>
      <c r="F2081" s="3">
        <f ca="1">41706+(RANDBETWEEN(1,10))</f>
        <v>41716</v>
      </c>
      <c r="G2081" t="s">
        <v>26</v>
      </c>
      <c r="H2081" t="s">
        <v>51</v>
      </c>
      <c r="I2081" t="s">
        <v>28</v>
      </c>
      <c r="J2081">
        <v>149.38</v>
      </c>
      <c r="K2081">
        <v>0</v>
      </c>
      <c r="L2081">
        <v>0.71</v>
      </c>
      <c r="M2081">
        <v>9.59</v>
      </c>
      <c r="N2081">
        <v>-132.58000000000001</v>
      </c>
      <c r="O2081" s="1" t="s">
        <v>225</v>
      </c>
      <c r="P2081" s="1" t="s">
        <v>4318</v>
      </c>
      <c r="Q2081" s="1" t="s">
        <v>4319</v>
      </c>
      <c r="R2081" s="1" t="s">
        <v>391</v>
      </c>
      <c r="S2081" s="1" t="s">
        <v>4320</v>
      </c>
      <c r="T2081" s="1" t="s">
        <v>4321</v>
      </c>
      <c r="U2081" s="2" t="s">
        <v>3887</v>
      </c>
      <c r="V2081" s="2" t="s">
        <v>36</v>
      </c>
      <c r="W2081" s="2" t="s">
        <v>60</v>
      </c>
      <c r="X2081" s="2">
        <v>22.68</v>
      </c>
    </row>
    <row r="2082" spans="1:24" x14ac:dyDescent="0.3">
      <c r="A2082">
        <v>19958</v>
      </c>
      <c r="B2082" t="s">
        <v>6043</v>
      </c>
      <c r="C2082" s="3">
        <v>41704</v>
      </c>
      <c r="D2082" t="s">
        <v>39</v>
      </c>
      <c r="E2082">
        <v>5</v>
      </c>
      <c r="F2082" s="3">
        <f ca="1">41705+(RANDBETWEEN(1,10))</f>
        <v>41714</v>
      </c>
      <c r="G2082" t="s">
        <v>26</v>
      </c>
      <c r="H2082" t="s">
        <v>63</v>
      </c>
      <c r="I2082" t="s">
        <v>28</v>
      </c>
      <c r="J2082">
        <v>1532.86</v>
      </c>
      <c r="K2082">
        <v>7.0000000000000007E-2</v>
      </c>
      <c r="L2082">
        <v>0.63</v>
      </c>
      <c r="M2082">
        <v>241.5</v>
      </c>
      <c r="N2082">
        <v>-2600.08</v>
      </c>
      <c r="O2082" s="1" t="s">
        <v>225</v>
      </c>
      <c r="P2082" s="1" t="s">
        <v>4318</v>
      </c>
      <c r="Q2082" s="1" t="s">
        <v>4319</v>
      </c>
      <c r="R2082" s="1" t="s">
        <v>391</v>
      </c>
      <c r="S2082" s="1" t="s">
        <v>4320</v>
      </c>
      <c r="T2082" s="1" t="s">
        <v>4321</v>
      </c>
      <c r="U2082" s="2" t="s">
        <v>6044</v>
      </c>
      <c r="V2082" s="2" t="s">
        <v>83</v>
      </c>
      <c r="W2082" s="2" t="s">
        <v>263</v>
      </c>
      <c r="X2082" s="2">
        <v>391.86</v>
      </c>
    </row>
    <row r="2083" spans="1:24" x14ac:dyDescent="0.3">
      <c r="A2083">
        <v>19959</v>
      </c>
      <c r="B2083" t="s">
        <v>6045</v>
      </c>
      <c r="C2083" s="3">
        <v>41831</v>
      </c>
      <c r="D2083" t="s">
        <v>25</v>
      </c>
      <c r="E2083">
        <v>3</v>
      </c>
      <c r="F2083" s="3">
        <f ca="1">41833+(RANDBETWEEN(1,10))</f>
        <v>41837</v>
      </c>
      <c r="G2083" t="s">
        <v>76</v>
      </c>
      <c r="H2083" t="s">
        <v>258</v>
      </c>
      <c r="I2083" t="s">
        <v>28</v>
      </c>
      <c r="J2083">
        <v>1327.2349999999999</v>
      </c>
      <c r="K2083">
        <v>0.05</v>
      </c>
      <c r="L2083">
        <v>0.63</v>
      </c>
      <c r="M2083">
        <v>181.79</v>
      </c>
      <c r="N2083">
        <v>-908.69856000000004</v>
      </c>
      <c r="O2083" s="1" t="s">
        <v>53</v>
      </c>
      <c r="P2083" s="1" t="s">
        <v>6046</v>
      </c>
      <c r="Q2083" s="1" t="s">
        <v>6047</v>
      </c>
      <c r="R2083" s="1" t="s">
        <v>100</v>
      </c>
      <c r="S2083" s="1" t="s">
        <v>3524</v>
      </c>
      <c r="T2083" s="1" t="s">
        <v>3525</v>
      </c>
      <c r="U2083" s="2" t="s">
        <v>360</v>
      </c>
      <c r="V2083" s="2" t="s">
        <v>83</v>
      </c>
      <c r="W2083" s="2" t="s">
        <v>263</v>
      </c>
      <c r="X2083" s="2">
        <v>435.71499999999997</v>
      </c>
    </row>
    <row r="2084" spans="1:24" x14ac:dyDescent="0.3">
      <c r="A2084">
        <v>1996</v>
      </c>
      <c r="B2084" t="s">
        <v>6048</v>
      </c>
      <c r="C2084" s="3">
        <v>41804</v>
      </c>
      <c r="D2084" t="s">
        <v>62</v>
      </c>
      <c r="E2084">
        <v>33</v>
      </c>
      <c r="F2084" s="3">
        <f ca="1">41805+(RANDBETWEEN(1,10))</f>
        <v>41807</v>
      </c>
      <c r="G2084" t="s">
        <v>26</v>
      </c>
      <c r="H2084" t="s">
        <v>96</v>
      </c>
      <c r="I2084" t="s">
        <v>97</v>
      </c>
      <c r="J2084">
        <v>1384.075</v>
      </c>
      <c r="K2084">
        <v>0.03</v>
      </c>
      <c r="L2084">
        <v>0.55000000000000004</v>
      </c>
      <c r="M2084">
        <v>8.26</v>
      </c>
      <c r="N2084">
        <v>171.01</v>
      </c>
      <c r="O2084" s="1" t="s">
        <v>87</v>
      </c>
      <c r="P2084" s="1" t="s">
        <v>5156</v>
      </c>
      <c r="Q2084" s="1" t="s">
        <v>5157</v>
      </c>
      <c r="R2084" s="1" t="s">
        <v>398</v>
      </c>
      <c r="S2084" s="1" t="s">
        <v>3179</v>
      </c>
      <c r="T2084" s="1" t="s">
        <v>5158</v>
      </c>
      <c r="U2084" s="2" t="s">
        <v>2967</v>
      </c>
      <c r="V2084" s="2" t="s">
        <v>47</v>
      </c>
      <c r="W2084" s="2" t="s">
        <v>104</v>
      </c>
      <c r="X2084" s="2">
        <v>40.424999999999997</v>
      </c>
    </row>
    <row r="2085" spans="1:24" x14ac:dyDescent="0.3">
      <c r="A2085">
        <v>19960</v>
      </c>
      <c r="B2085" t="s">
        <v>6049</v>
      </c>
      <c r="C2085" s="3">
        <v>41066</v>
      </c>
      <c r="D2085" t="s">
        <v>39</v>
      </c>
      <c r="E2085">
        <v>11</v>
      </c>
      <c r="F2085" s="3">
        <f ca="1">41066+(RANDBETWEEN(1,10))</f>
        <v>41067</v>
      </c>
      <c r="G2085" t="s">
        <v>156</v>
      </c>
      <c r="H2085" t="s">
        <v>27</v>
      </c>
      <c r="I2085" t="s">
        <v>52</v>
      </c>
      <c r="J2085">
        <v>206.22</v>
      </c>
      <c r="K2085">
        <v>0.08</v>
      </c>
      <c r="L2085">
        <v>0.39</v>
      </c>
      <c r="M2085">
        <v>1.7150000000000001</v>
      </c>
      <c r="N2085">
        <v>142.29179999999999</v>
      </c>
      <c r="O2085" s="1" t="s">
        <v>53</v>
      </c>
      <c r="P2085" s="1" t="s">
        <v>5640</v>
      </c>
      <c r="Q2085" s="1" t="s">
        <v>5641</v>
      </c>
      <c r="R2085" s="1" t="s">
        <v>440</v>
      </c>
      <c r="S2085" s="1" t="s">
        <v>5642</v>
      </c>
      <c r="T2085" s="1" t="s">
        <v>5643</v>
      </c>
      <c r="U2085" s="2" t="s">
        <v>892</v>
      </c>
      <c r="V2085" s="2" t="s">
        <v>47</v>
      </c>
      <c r="W2085" s="2" t="s">
        <v>203</v>
      </c>
      <c r="X2085" s="2">
        <v>17.43</v>
      </c>
    </row>
    <row r="2086" spans="1:24" x14ac:dyDescent="0.3">
      <c r="A2086">
        <v>19961</v>
      </c>
      <c r="B2086" t="s">
        <v>6050</v>
      </c>
      <c r="C2086" s="3">
        <v>41340</v>
      </c>
      <c r="D2086" t="s">
        <v>39</v>
      </c>
      <c r="E2086">
        <v>3</v>
      </c>
      <c r="F2086" s="3">
        <f ca="1">41341+(RANDBETWEEN(1,10))</f>
        <v>41351</v>
      </c>
      <c r="G2086" t="s">
        <v>156</v>
      </c>
      <c r="H2086" t="s">
        <v>96</v>
      </c>
      <c r="I2086" t="s">
        <v>28</v>
      </c>
      <c r="J2086">
        <v>23.66</v>
      </c>
      <c r="K2086">
        <v>0</v>
      </c>
      <c r="L2086">
        <v>0.56999999999999995</v>
      </c>
      <c r="M2086">
        <v>2.9049999999999998</v>
      </c>
      <c r="N2086">
        <v>3.5</v>
      </c>
      <c r="O2086" s="1" t="s">
        <v>53</v>
      </c>
      <c r="P2086" s="1" t="s">
        <v>5540</v>
      </c>
      <c r="Q2086" s="1" t="s">
        <v>5541</v>
      </c>
      <c r="R2086" s="1" t="s">
        <v>440</v>
      </c>
      <c r="S2086" s="1" t="s">
        <v>4083</v>
      </c>
      <c r="T2086" s="1" t="s">
        <v>3397</v>
      </c>
      <c r="U2086" s="2" t="s">
        <v>6051</v>
      </c>
      <c r="V2086" s="2" t="s">
        <v>47</v>
      </c>
      <c r="W2086" s="2" t="s">
        <v>104</v>
      </c>
      <c r="X2086" s="2">
        <v>6.37</v>
      </c>
    </row>
    <row r="2087" spans="1:24" x14ac:dyDescent="0.3">
      <c r="A2087">
        <v>19962</v>
      </c>
      <c r="B2087" t="s">
        <v>6052</v>
      </c>
      <c r="C2087" s="3">
        <v>40959</v>
      </c>
      <c r="D2087" t="s">
        <v>50</v>
      </c>
      <c r="E2087">
        <v>9</v>
      </c>
      <c r="F2087" s="3">
        <f ca="1">40961+(RANDBETWEEN(1,10))</f>
        <v>40963</v>
      </c>
      <c r="G2087" t="s">
        <v>26</v>
      </c>
      <c r="H2087" t="s">
        <v>27</v>
      </c>
      <c r="I2087" t="s">
        <v>28</v>
      </c>
      <c r="J2087">
        <v>622.23</v>
      </c>
      <c r="K2087">
        <v>0.08</v>
      </c>
      <c r="L2087">
        <v>0.36</v>
      </c>
      <c r="M2087">
        <v>10.465</v>
      </c>
      <c r="N2087">
        <v>429.33870000000002</v>
      </c>
      <c r="O2087" s="1" t="s">
        <v>64</v>
      </c>
      <c r="P2087" s="1" t="s">
        <v>4861</v>
      </c>
      <c r="Q2087" s="1" t="s">
        <v>4862</v>
      </c>
      <c r="R2087" s="1" t="s">
        <v>67</v>
      </c>
      <c r="S2087" s="1" t="s">
        <v>4863</v>
      </c>
      <c r="T2087" s="1" t="s">
        <v>4864</v>
      </c>
      <c r="U2087" s="2" t="s">
        <v>5355</v>
      </c>
      <c r="V2087" s="2" t="s">
        <v>47</v>
      </c>
      <c r="W2087" s="2" t="s">
        <v>111</v>
      </c>
      <c r="X2087" s="2">
        <v>74.83</v>
      </c>
    </row>
    <row r="2088" spans="1:24" x14ac:dyDescent="0.3">
      <c r="A2088">
        <v>19963</v>
      </c>
      <c r="B2088" t="s">
        <v>6052</v>
      </c>
      <c r="C2088" s="3">
        <v>40959</v>
      </c>
      <c r="D2088" t="s">
        <v>50</v>
      </c>
      <c r="E2088">
        <v>12</v>
      </c>
      <c r="F2088" s="3">
        <f ca="1">40960+(RANDBETWEEN(1,10))</f>
        <v>40966</v>
      </c>
      <c r="G2088" t="s">
        <v>26</v>
      </c>
      <c r="H2088" t="s">
        <v>27</v>
      </c>
      <c r="I2088" t="s">
        <v>28</v>
      </c>
      <c r="J2088">
        <v>435.89</v>
      </c>
      <c r="K2088">
        <v>0.03</v>
      </c>
      <c r="L2088">
        <v>0.4</v>
      </c>
      <c r="M2088">
        <v>17.920000000000002</v>
      </c>
      <c r="N2088">
        <v>142.13499999999999</v>
      </c>
      <c r="O2088" s="1" t="s">
        <v>64</v>
      </c>
      <c r="P2088" s="1" t="s">
        <v>4861</v>
      </c>
      <c r="Q2088" s="1" t="s">
        <v>4862</v>
      </c>
      <c r="R2088" s="1" t="s">
        <v>67</v>
      </c>
      <c r="S2088" s="1" t="s">
        <v>4863</v>
      </c>
      <c r="T2088" s="1" t="s">
        <v>4864</v>
      </c>
      <c r="U2088" s="2" t="s">
        <v>2693</v>
      </c>
      <c r="V2088" s="2" t="s">
        <v>47</v>
      </c>
      <c r="W2088" s="2" t="s">
        <v>74</v>
      </c>
      <c r="X2088" s="2">
        <v>34.965000000000003</v>
      </c>
    </row>
    <row r="2089" spans="1:24" x14ac:dyDescent="0.3">
      <c r="A2089">
        <v>19964</v>
      </c>
      <c r="B2089" t="s">
        <v>6053</v>
      </c>
      <c r="C2089" s="3">
        <v>41046</v>
      </c>
      <c r="D2089" t="s">
        <v>50</v>
      </c>
      <c r="E2089">
        <v>17</v>
      </c>
      <c r="F2089" s="3">
        <f ca="1">41046+(RANDBETWEEN(1,10))</f>
        <v>41048</v>
      </c>
      <c r="G2089" t="s">
        <v>26</v>
      </c>
      <c r="H2089" t="s">
        <v>51</v>
      </c>
      <c r="I2089" t="s">
        <v>86</v>
      </c>
      <c r="J2089">
        <v>2325.75</v>
      </c>
      <c r="K2089">
        <v>0.06</v>
      </c>
      <c r="L2089">
        <v>0.59</v>
      </c>
      <c r="M2089">
        <v>31.465</v>
      </c>
      <c r="N2089">
        <v>688.03</v>
      </c>
      <c r="O2089" s="1" t="s">
        <v>53</v>
      </c>
      <c r="P2089" s="1" t="s">
        <v>6054</v>
      </c>
      <c r="Q2089" s="1" t="s">
        <v>6055</v>
      </c>
      <c r="R2089" s="1" t="s">
        <v>440</v>
      </c>
      <c r="S2089" s="1" t="s">
        <v>6056</v>
      </c>
      <c r="T2089" s="1" t="s">
        <v>5643</v>
      </c>
      <c r="U2089" s="2" t="s">
        <v>2755</v>
      </c>
      <c r="V2089" s="2" t="s">
        <v>47</v>
      </c>
      <c r="W2089" s="2" t="s">
        <v>104</v>
      </c>
      <c r="X2089" s="2">
        <v>143.39500000000001</v>
      </c>
    </row>
    <row r="2090" spans="1:24" x14ac:dyDescent="0.3">
      <c r="A2090">
        <v>19965</v>
      </c>
      <c r="B2090" t="s">
        <v>6053</v>
      </c>
      <c r="C2090" s="3">
        <v>41046</v>
      </c>
      <c r="D2090" t="s">
        <v>50</v>
      </c>
      <c r="E2090">
        <v>2</v>
      </c>
      <c r="F2090" s="3">
        <f ca="1">41048+(RANDBETWEEN(1,10))</f>
        <v>41051</v>
      </c>
      <c r="G2090" t="s">
        <v>26</v>
      </c>
      <c r="H2090" t="s">
        <v>63</v>
      </c>
      <c r="I2090" t="s">
        <v>86</v>
      </c>
      <c r="J2090">
        <v>756.31500000000005</v>
      </c>
      <c r="K2090">
        <v>0.06</v>
      </c>
      <c r="L2090">
        <v>0.82</v>
      </c>
      <c r="M2090">
        <v>122.5</v>
      </c>
      <c r="N2090">
        <v>-886.83</v>
      </c>
      <c r="O2090" s="1" t="s">
        <v>53</v>
      </c>
      <c r="P2090" s="1" t="s">
        <v>6054</v>
      </c>
      <c r="Q2090" s="1" t="s">
        <v>6055</v>
      </c>
      <c r="R2090" s="1" t="s">
        <v>440</v>
      </c>
      <c r="S2090" s="1" t="s">
        <v>6056</v>
      </c>
      <c r="T2090" s="1" t="s">
        <v>5643</v>
      </c>
      <c r="U2090" s="2" t="s">
        <v>4513</v>
      </c>
      <c r="V2090" s="2" t="s">
        <v>47</v>
      </c>
      <c r="W2090" s="2" t="s">
        <v>119</v>
      </c>
      <c r="X2090" s="2">
        <v>354.935</v>
      </c>
    </row>
    <row r="2091" spans="1:24" x14ac:dyDescent="0.3">
      <c r="A2091">
        <v>19966</v>
      </c>
      <c r="B2091" t="s">
        <v>6053</v>
      </c>
      <c r="C2091" s="3">
        <v>41046</v>
      </c>
      <c r="D2091" t="s">
        <v>50</v>
      </c>
      <c r="E2091">
        <v>15</v>
      </c>
      <c r="F2091" s="3">
        <f ca="1">41048+(RANDBETWEEN(1,10))</f>
        <v>41057</v>
      </c>
      <c r="G2091" t="s">
        <v>26</v>
      </c>
      <c r="H2091" t="s">
        <v>51</v>
      </c>
      <c r="I2091" t="s">
        <v>86</v>
      </c>
      <c r="J2091">
        <v>2671.4450000000002</v>
      </c>
      <c r="K2091">
        <v>0.01</v>
      </c>
      <c r="L2091">
        <v>0.35</v>
      </c>
      <c r="M2091">
        <v>4.375</v>
      </c>
      <c r="N2091">
        <v>1843.2970499999999</v>
      </c>
      <c r="O2091" s="1" t="s">
        <v>53</v>
      </c>
      <c r="P2091" s="1" t="s">
        <v>6054</v>
      </c>
      <c r="Q2091" s="1" t="s">
        <v>6055</v>
      </c>
      <c r="R2091" s="1" t="s">
        <v>440</v>
      </c>
      <c r="S2091" s="1" t="s">
        <v>6056</v>
      </c>
      <c r="T2091" s="1" t="s">
        <v>5643</v>
      </c>
      <c r="U2091" s="2" t="s">
        <v>2368</v>
      </c>
      <c r="V2091" s="2" t="s">
        <v>36</v>
      </c>
      <c r="W2091" s="2" t="s">
        <v>37</v>
      </c>
      <c r="X2091" s="2">
        <v>195.965</v>
      </c>
    </row>
    <row r="2092" spans="1:24" x14ac:dyDescent="0.3">
      <c r="A2092">
        <v>19967</v>
      </c>
      <c r="B2092" t="s">
        <v>6057</v>
      </c>
      <c r="C2092" s="3">
        <v>40787</v>
      </c>
      <c r="D2092" t="s">
        <v>39</v>
      </c>
      <c r="E2092">
        <v>10</v>
      </c>
      <c r="F2092" s="3">
        <f ca="1">40789+(RANDBETWEEN(1,10))</f>
        <v>40795</v>
      </c>
      <c r="G2092" t="s">
        <v>26</v>
      </c>
      <c r="H2092" t="s">
        <v>51</v>
      </c>
      <c r="I2092" t="s">
        <v>97</v>
      </c>
      <c r="J2092">
        <v>736.15499999999997</v>
      </c>
      <c r="K2092">
        <v>0.08</v>
      </c>
      <c r="L2092">
        <v>0.52</v>
      </c>
      <c r="M2092">
        <v>12.705</v>
      </c>
      <c r="N2092">
        <v>-103.63500000000001</v>
      </c>
      <c r="O2092" s="1" t="s">
        <v>53</v>
      </c>
      <c r="P2092" s="1" t="s">
        <v>5357</v>
      </c>
      <c r="Q2092" s="1" t="s">
        <v>5358</v>
      </c>
      <c r="R2092" s="1" t="s">
        <v>56</v>
      </c>
      <c r="S2092" s="1" t="s">
        <v>5359</v>
      </c>
      <c r="T2092" s="1" t="s">
        <v>5360</v>
      </c>
      <c r="U2092" s="2" t="s">
        <v>6058</v>
      </c>
      <c r="V2092" s="2" t="s">
        <v>83</v>
      </c>
      <c r="W2092" s="2" t="s">
        <v>178</v>
      </c>
      <c r="X2092" s="2">
        <v>77.805000000000007</v>
      </c>
    </row>
    <row r="2093" spans="1:24" x14ac:dyDescent="0.3">
      <c r="A2093">
        <v>19968</v>
      </c>
      <c r="B2093" t="s">
        <v>6059</v>
      </c>
      <c r="C2093" s="3">
        <v>41188</v>
      </c>
      <c r="D2093" t="s">
        <v>39</v>
      </c>
      <c r="E2093">
        <v>14</v>
      </c>
      <c r="F2093" s="3">
        <f ca="1">41189+(RANDBETWEEN(1,10))</f>
        <v>41195</v>
      </c>
      <c r="G2093" t="s">
        <v>76</v>
      </c>
      <c r="H2093" t="s">
        <v>258</v>
      </c>
      <c r="I2093" t="s">
        <v>97</v>
      </c>
      <c r="J2093">
        <v>2333.2049999999999</v>
      </c>
      <c r="K2093">
        <v>0.03</v>
      </c>
      <c r="L2093">
        <v>0.67</v>
      </c>
      <c r="M2093">
        <v>163.065</v>
      </c>
      <c r="N2093">
        <v>-5296.4271360000002</v>
      </c>
      <c r="O2093" s="1" t="s">
        <v>40</v>
      </c>
      <c r="P2093" s="1" t="s">
        <v>2238</v>
      </c>
      <c r="Q2093" s="1" t="s">
        <v>2239</v>
      </c>
      <c r="R2093" s="1" t="s">
        <v>43</v>
      </c>
      <c r="S2093" s="1" t="s">
        <v>2240</v>
      </c>
      <c r="T2093" s="1" t="s">
        <v>2241</v>
      </c>
      <c r="U2093" s="2" t="s">
        <v>4100</v>
      </c>
      <c r="V2093" s="2" t="s">
        <v>83</v>
      </c>
      <c r="W2093" s="2" t="s">
        <v>263</v>
      </c>
      <c r="X2093" s="2">
        <v>155.505</v>
      </c>
    </row>
    <row r="2094" spans="1:24" x14ac:dyDescent="0.3">
      <c r="A2094">
        <v>19969</v>
      </c>
      <c r="B2094" t="s">
        <v>6060</v>
      </c>
      <c r="C2094" s="3">
        <v>41202</v>
      </c>
      <c r="D2094" t="s">
        <v>25</v>
      </c>
      <c r="E2094">
        <v>6</v>
      </c>
      <c r="F2094" s="3">
        <f ca="1">41207+(RANDBETWEEN(1,10))</f>
        <v>41217</v>
      </c>
      <c r="G2094" t="s">
        <v>76</v>
      </c>
      <c r="H2094" t="s">
        <v>258</v>
      </c>
      <c r="I2094" t="s">
        <v>52</v>
      </c>
      <c r="J2094">
        <v>2851.1</v>
      </c>
      <c r="K2094">
        <v>7.0000000000000007E-2</v>
      </c>
      <c r="L2094">
        <v>0.69</v>
      </c>
      <c r="M2094">
        <v>191.59</v>
      </c>
      <c r="N2094">
        <v>-1449.63</v>
      </c>
      <c r="O2094" s="1" t="s">
        <v>40</v>
      </c>
      <c r="P2094" s="1" t="s">
        <v>2238</v>
      </c>
      <c r="Q2094" s="1" t="s">
        <v>2239</v>
      </c>
      <c r="R2094" s="1" t="s">
        <v>43</v>
      </c>
      <c r="S2094" s="1" t="s">
        <v>2240</v>
      </c>
      <c r="T2094" s="1" t="s">
        <v>2241</v>
      </c>
      <c r="U2094" s="2" t="s">
        <v>493</v>
      </c>
      <c r="V2094" s="2" t="s">
        <v>83</v>
      </c>
      <c r="W2094" s="2" t="s">
        <v>298</v>
      </c>
      <c r="X2094" s="2">
        <v>458.43</v>
      </c>
    </row>
    <row r="2095" spans="1:24" x14ac:dyDescent="0.3">
      <c r="A2095">
        <v>19970</v>
      </c>
      <c r="B2095" t="s">
        <v>6060</v>
      </c>
      <c r="C2095" s="3">
        <v>41202</v>
      </c>
      <c r="D2095" t="s">
        <v>25</v>
      </c>
      <c r="E2095">
        <v>23</v>
      </c>
      <c r="F2095" s="3">
        <f ca="1">41209+(RANDBETWEEN(1,10))</f>
        <v>41217</v>
      </c>
      <c r="G2095" t="s">
        <v>26</v>
      </c>
      <c r="H2095" t="s">
        <v>96</v>
      </c>
      <c r="I2095" t="s">
        <v>52</v>
      </c>
      <c r="J2095">
        <v>383.74</v>
      </c>
      <c r="K2095">
        <v>0.04</v>
      </c>
      <c r="L2095">
        <v>0.36</v>
      </c>
      <c r="M2095">
        <v>10.535</v>
      </c>
      <c r="N2095">
        <v>-27.820799999999998</v>
      </c>
      <c r="O2095" s="1" t="s">
        <v>40</v>
      </c>
      <c r="P2095" s="1" t="s">
        <v>6061</v>
      </c>
      <c r="Q2095" s="1" t="s">
        <v>6062</v>
      </c>
      <c r="R2095" s="1" t="s">
        <v>43</v>
      </c>
      <c r="S2095" s="1" t="s">
        <v>6063</v>
      </c>
      <c r="T2095" s="1" t="s">
        <v>6064</v>
      </c>
      <c r="U2095" s="2" t="s">
        <v>4183</v>
      </c>
      <c r="V2095" s="2" t="s">
        <v>47</v>
      </c>
      <c r="W2095" s="2" t="s">
        <v>74</v>
      </c>
      <c r="X2095" s="2">
        <v>16.66</v>
      </c>
    </row>
    <row r="2096" spans="1:24" x14ac:dyDescent="0.3">
      <c r="A2096">
        <v>19971</v>
      </c>
      <c r="B2096" t="s">
        <v>6065</v>
      </c>
      <c r="C2096" s="3">
        <v>40748</v>
      </c>
      <c r="D2096" t="s">
        <v>25</v>
      </c>
      <c r="E2096">
        <v>1</v>
      </c>
      <c r="F2096" s="3">
        <f ca="1">40748+(RANDBETWEEN(1,10))</f>
        <v>40753</v>
      </c>
      <c r="G2096" t="s">
        <v>156</v>
      </c>
      <c r="H2096" t="s">
        <v>27</v>
      </c>
      <c r="I2096" t="s">
        <v>28</v>
      </c>
      <c r="J2096">
        <v>239.57499999999999</v>
      </c>
      <c r="K2096">
        <v>0.02</v>
      </c>
      <c r="L2096">
        <v>0.57999999999999996</v>
      </c>
      <c r="M2096">
        <v>47.81</v>
      </c>
      <c r="N2096">
        <v>-90.16</v>
      </c>
      <c r="O2096" s="1" t="s">
        <v>64</v>
      </c>
      <c r="P2096" s="1" t="s">
        <v>6066</v>
      </c>
      <c r="Q2096" s="1" t="s">
        <v>6067</v>
      </c>
      <c r="R2096" s="1" t="s">
        <v>128</v>
      </c>
      <c r="S2096" s="1" t="s">
        <v>6068</v>
      </c>
      <c r="T2096" s="1" t="s">
        <v>6069</v>
      </c>
      <c r="U2096" s="2" t="s">
        <v>3345</v>
      </c>
      <c r="V2096" s="2" t="s">
        <v>47</v>
      </c>
      <c r="W2096" s="2" t="s">
        <v>71</v>
      </c>
      <c r="X2096" s="2">
        <v>178.43</v>
      </c>
    </row>
    <row r="2097" spans="1:24" x14ac:dyDescent="0.3">
      <c r="A2097">
        <v>19972</v>
      </c>
      <c r="B2097" t="s">
        <v>6070</v>
      </c>
      <c r="C2097" s="3">
        <v>41490</v>
      </c>
      <c r="D2097" t="s">
        <v>39</v>
      </c>
      <c r="E2097">
        <v>11</v>
      </c>
      <c r="F2097" s="3">
        <f ca="1">41492+(RANDBETWEEN(1,10))</f>
        <v>41497</v>
      </c>
      <c r="G2097" t="s">
        <v>76</v>
      </c>
      <c r="H2097" t="s">
        <v>258</v>
      </c>
      <c r="I2097" t="s">
        <v>97</v>
      </c>
      <c r="J2097">
        <v>14381.78</v>
      </c>
      <c r="K2097">
        <v>0.09</v>
      </c>
      <c r="L2097">
        <v>0.74</v>
      </c>
      <c r="M2097">
        <v>299.70499999999998</v>
      </c>
      <c r="N2097">
        <v>-1408.943536</v>
      </c>
      <c r="O2097" s="1" t="s">
        <v>64</v>
      </c>
      <c r="P2097" s="1" t="s">
        <v>4803</v>
      </c>
      <c r="Q2097" s="1" t="s">
        <v>4804</v>
      </c>
      <c r="R2097" s="1" t="s">
        <v>128</v>
      </c>
      <c r="S2097" s="1" t="s">
        <v>4805</v>
      </c>
      <c r="T2097" s="1" t="s">
        <v>4806</v>
      </c>
      <c r="U2097" s="2" t="s">
        <v>3542</v>
      </c>
      <c r="V2097" s="2" t="s">
        <v>83</v>
      </c>
      <c r="W2097" s="2" t="s">
        <v>263</v>
      </c>
      <c r="X2097" s="2">
        <v>1316.4549999999999</v>
      </c>
    </row>
    <row r="2098" spans="1:24" x14ac:dyDescent="0.3">
      <c r="A2098">
        <v>19973</v>
      </c>
      <c r="B2098" t="s">
        <v>6071</v>
      </c>
      <c r="C2098" s="3">
        <v>40639</v>
      </c>
      <c r="D2098" t="s">
        <v>62</v>
      </c>
      <c r="E2098">
        <v>7</v>
      </c>
      <c r="F2098" s="3">
        <f ca="1">40639+(RANDBETWEEN(1,10))</f>
        <v>40643</v>
      </c>
      <c r="G2098" t="s">
        <v>26</v>
      </c>
      <c r="H2098" t="s">
        <v>96</v>
      </c>
      <c r="I2098" t="s">
        <v>86</v>
      </c>
      <c r="J2098">
        <v>55.055</v>
      </c>
      <c r="K2098">
        <v>0.03</v>
      </c>
      <c r="L2098">
        <v>0.44</v>
      </c>
      <c r="M2098">
        <v>4.83</v>
      </c>
      <c r="N2098">
        <v>-24.64</v>
      </c>
      <c r="O2098" s="1" t="s">
        <v>29</v>
      </c>
      <c r="P2098" s="1" t="s">
        <v>6072</v>
      </c>
      <c r="Q2098" s="1" t="s">
        <v>6073</v>
      </c>
      <c r="R2098" s="1" t="s">
        <v>32</v>
      </c>
      <c r="S2098" s="1" t="s">
        <v>6074</v>
      </c>
      <c r="T2098" s="1" t="s">
        <v>6075</v>
      </c>
      <c r="U2098" s="2" t="s">
        <v>6076</v>
      </c>
      <c r="V2098" s="2" t="s">
        <v>47</v>
      </c>
      <c r="W2098" s="2" t="s">
        <v>176</v>
      </c>
      <c r="X2098" s="2">
        <v>7.63</v>
      </c>
    </row>
    <row r="2099" spans="1:24" x14ac:dyDescent="0.3">
      <c r="A2099">
        <v>19974</v>
      </c>
      <c r="B2099" t="s">
        <v>6071</v>
      </c>
      <c r="C2099" s="3">
        <v>40639</v>
      </c>
      <c r="D2099" t="s">
        <v>62</v>
      </c>
      <c r="E2099">
        <v>10</v>
      </c>
      <c r="F2099" s="3">
        <f ca="1">40641+(RANDBETWEEN(1,10))</f>
        <v>40644</v>
      </c>
      <c r="G2099" t="s">
        <v>76</v>
      </c>
      <c r="H2099" t="s">
        <v>258</v>
      </c>
      <c r="I2099" t="s">
        <v>86</v>
      </c>
      <c r="J2099">
        <v>6016.7449999999999</v>
      </c>
      <c r="K2099">
        <v>0.01</v>
      </c>
      <c r="L2099">
        <v>0.66</v>
      </c>
      <c r="M2099">
        <v>125.61499999999999</v>
      </c>
      <c r="N2099">
        <v>1884.82</v>
      </c>
      <c r="O2099" s="1" t="s">
        <v>40</v>
      </c>
      <c r="P2099" s="1" t="s">
        <v>6077</v>
      </c>
      <c r="Q2099" s="1" t="s">
        <v>6078</v>
      </c>
      <c r="R2099" s="1" t="s">
        <v>43</v>
      </c>
      <c r="S2099" s="1" t="s">
        <v>6079</v>
      </c>
      <c r="T2099" s="1" t="s">
        <v>6080</v>
      </c>
      <c r="U2099" s="2" t="s">
        <v>6081</v>
      </c>
      <c r="V2099" s="2" t="s">
        <v>83</v>
      </c>
      <c r="W2099" s="2" t="s">
        <v>298</v>
      </c>
      <c r="X2099" s="2">
        <v>598.42999999999995</v>
      </c>
    </row>
    <row r="2100" spans="1:24" x14ac:dyDescent="0.3">
      <c r="A2100">
        <v>19975</v>
      </c>
      <c r="B2100" t="s">
        <v>6082</v>
      </c>
      <c r="C2100" s="3">
        <v>41735</v>
      </c>
      <c r="D2100" t="s">
        <v>62</v>
      </c>
      <c r="E2100">
        <v>10</v>
      </c>
      <c r="F2100" s="3">
        <f ca="1">41735+(RANDBETWEEN(1,10))</f>
        <v>41744</v>
      </c>
      <c r="G2100" t="s">
        <v>26</v>
      </c>
      <c r="H2100" t="s">
        <v>281</v>
      </c>
      <c r="I2100" t="s">
        <v>86</v>
      </c>
      <c r="J2100">
        <v>206.5</v>
      </c>
      <c r="K2100">
        <v>0.05</v>
      </c>
      <c r="L2100">
        <v>0.55000000000000004</v>
      </c>
      <c r="M2100">
        <v>20.72</v>
      </c>
      <c r="N2100">
        <v>-478.45</v>
      </c>
      <c r="O2100" s="1" t="s">
        <v>40</v>
      </c>
      <c r="P2100" s="1" t="s">
        <v>6083</v>
      </c>
      <c r="Q2100" s="1" t="s">
        <v>6084</v>
      </c>
      <c r="R2100" s="1" t="s">
        <v>43</v>
      </c>
      <c r="S2100" s="1" t="s">
        <v>6085</v>
      </c>
      <c r="T2100" s="1" t="s">
        <v>6086</v>
      </c>
      <c r="U2100" s="2" t="s">
        <v>3267</v>
      </c>
      <c r="V2100" s="2" t="s">
        <v>83</v>
      </c>
      <c r="W2100" s="2" t="s">
        <v>178</v>
      </c>
      <c r="X2100" s="2">
        <v>20.195</v>
      </c>
    </row>
    <row r="2101" spans="1:24" x14ac:dyDescent="0.3">
      <c r="A2101">
        <v>19976</v>
      </c>
      <c r="B2101" t="s">
        <v>6087</v>
      </c>
      <c r="C2101" s="3">
        <v>40769</v>
      </c>
      <c r="D2101" t="s">
        <v>50</v>
      </c>
      <c r="E2101">
        <v>11</v>
      </c>
      <c r="F2101" s="3">
        <f ca="1">40771+(RANDBETWEEN(1,10))</f>
        <v>40780</v>
      </c>
      <c r="G2101" t="s">
        <v>26</v>
      </c>
      <c r="H2101" t="s">
        <v>27</v>
      </c>
      <c r="I2101" t="s">
        <v>52</v>
      </c>
      <c r="J2101">
        <v>254.69499999999999</v>
      </c>
      <c r="K2101">
        <v>0.04</v>
      </c>
      <c r="L2101">
        <v>0.53</v>
      </c>
      <c r="M2101">
        <v>18.934999999999999</v>
      </c>
      <c r="N2101">
        <v>-69.851600000000005</v>
      </c>
      <c r="O2101" s="1" t="s">
        <v>40</v>
      </c>
      <c r="P2101" s="1" t="s">
        <v>5891</v>
      </c>
      <c r="Q2101" s="1" t="s">
        <v>5892</v>
      </c>
      <c r="R2101" s="1" t="s">
        <v>43</v>
      </c>
      <c r="S2101" s="1" t="s">
        <v>5893</v>
      </c>
      <c r="T2101" s="1" t="s">
        <v>5894</v>
      </c>
      <c r="U2101" s="2" t="s">
        <v>5637</v>
      </c>
      <c r="V2101" s="2" t="s">
        <v>83</v>
      </c>
      <c r="W2101" s="2" t="s">
        <v>178</v>
      </c>
      <c r="X2101" s="2">
        <v>21.98</v>
      </c>
    </row>
    <row r="2102" spans="1:24" x14ac:dyDescent="0.3">
      <c r="A2102">
        <v>19977</v>
      </c>
      <c r="B2102" t="s">
        <v>6088</v>
      </c>
      <c r="C2102" s="3">
        <v>41865</v>
      </c>
      <c r="D2102" t="s">
        <v>50</v>
      </c>
      <c r="E2102">
        <v>23</v>
      </c>
      <c r="F2102" s="3">
        <f ca="1">41867+(RANDBETWEEN(1,10))</f>
        <v>41869</v>
      </c>
      <c r="G2102" t="s">
        <v>26</v>
      </c>
      <c r="H2102" t="s">
        <v>27</v>
      </c>
      <c r="I2102" t="s">
        <v>52</v>
      </c>
      <c r="J2102">
        <v>5768.1049999999996</v>
      </c>
      <c r="K2102">
        <v>0.06</v>
      </c>
      <c r="L2102">
        <v>0.57999999999999996</v>
      </c>
      <c r="M2102">
        <v>37.729999999999997</v>
      </c>
      <c r="N2102">
        <v>3264.9865920000002</v>
      </c>
      <c r="O2102" s="1" t="s">
        <v>40</v>
      </c>
      <c r="P2102" s="1" t="s">
        <v>5891</v>
      </c>
      <c r="Q2102" s="1" t="s">
        <v>5892</v>
      </c>
      <c r="R2102" s="1" t="s">
        <v>43</v>
      </c>
      <c r="S2102" s="1" t="s">
        <v>5893</v>
      </c>
      <c r="T2102" s="1" t="s">
        <v>5894</v>
      </c>
      <c r="U2102" s="2">
        <v>3395</v>
      </c>
      <c r="V2102" s="2" t="s">
        <v>36</v>
      </c>
      <c r="W2102" s="2" t="s">
        <v>37</v>
      </c>
      <c r="X2102" s="2">
        <v>300.96499999999997</v>
      </c>
    </row>
    <row r="2103" spans="1:24" x14ac:dyDescent="0.3">
      <c r="A2103">
        <v>19978</v>
      </c>
      <c r="B2103" t="s">
        <v>6089</v>
      </c>
      <c r="C2103" s="3">
        <v>41556</v>
      </c>
      <c r="D2103" t="s">
        <v>39</v>
      </c>
      <c r="E2103">
        <v>1</v>
      </c>
      <c r="F2103" s="3">
        <f ca="1">41558+(RANDBETWEEN(1,10))</f>
        <v>41568</v>
      </c>
      <c r="G2103" t="s">
        <v>26</v>
      </c>
      <c r="H2103" t="s">
        <v>27</v>
      </c>
      <c r="I2103" t="s">
        <v>86</v>
      </c>
      <c r="J2103">
        <v>140.35</v>
      </c>
      <c r="K2103">
        <v>0.09</v>
      </c>
      <c r="L2103">
        <v>0.37</v>
      </c>
      <c r="M2103">
        <v>40.704999999999998</v>
      </c>
      <c r="N2103">
        <v>-60.727589999999999</v>
      </c>
      <c r="O2103" s="1" t="s">
        <v>225</v>
      </c>
      <c r="P2103" s="1" t="s">
        <v>4955</v>
      </c>
      <c r="Q2103" s="1" t="s">
        <v>4956</v>
      </c>
      <c r="R2103" s="1" t="s">
        <v>228</v>
      </c>
      <c r="S2103" s="1" t="s">
        <v>865</v>
      </c>
      <c r="T2103" s="1" t="s">
        <v>866</v>
      </c>
      <c r="U2103" s="2" t="s">
        <v>4541</v>
      </c>
      <c r="V2103" s="2" t="s">
        <v>47</v>
      </c>
      <c r="W2103" s="2" t="s">
        <v>111</v>
      </c>
      <c r="X2103" s="2">
        <v>108.43</v>
      </c>
    </row>
    <row r="2104" spans="1:24" x14ac:dyDescent="0.3">
      <c r="A2104">
        <v>19979</v>
      </c>
      <c r="B2104" t="s">
        <v>6089</v>
      </c>
      <c r="C2104" s="3">
        <v>41556</v>
      </c>
      <c r="D2104" t="s">
        <v>39</v>
      </c>
      <c r="E2104">
        <v>21</v>
      </c>
      <c r="F2104" s="3">
        <f ca="1">41557+(RANDBETWEEN(1,10))</f>
        <v>41561</v>
      </c>
      <c r="G2104" t="s">
        <v>26</v>
      </c>
      <c r="H2104" t="s">
        <v>27</v>
      </c>
      <c r="I2104" t="s">
        <v>86</v>
      </c>
      <c r="J2104">
        <v>2474.605</v>
      </c>
      <c r="K2104">
        <v>0.09</v>
      </c>
      <c r="L2104">
        <v>0.37</v>
      </c>
      <c r="M2104">
        <v>51.52</v>
      </c>
      <c r="N2104">
        <v>519.97526000000005</v>
      </c>
      <c r="O2104" s="1" t="s">
        <v>40</v>
      </c>
      <c r="P2104" s="1" t="s">
        <v>6090</v>
      </c>
      <c r="Q2104" s="1" t="s">
        <v>6091</v>
      </c>
      <c r="R2104" s="1" t="s">
        <v>220</v>
      </c>
      <c r="S2104" s="1" t="s">
        <v>2607</v>
      </c>
      <c r="T2104" s="1" t="s">
        <v>2608</v>
      </c>
      <c r="U2104" s="2" t="s">
        <v>4073</v>
      </c>
      <c r="V2104" s="2" t="s">
        <v>47</v>
      </c>
      <c r="W2104" s="2" t="s">
        <v>111</v>
      </c>
      <c r="X2104" s="2">
        <v>120.89</v>
      </c>
    </row>
    <row r="2105" spans="1:24" x14ac:dyDescent="0.3">
      <c r="A2105">
        <v>19980</v>
      </c>
      <c r="B2105" t="s">
        <v>6092</v>
      </c>
      <c r="C2105" s="3">
        <v>41146</v>
      </c>
      <c r="D2105" t="s">
        <v>50</v>
      </c>
      <c r="E2105">
        <v>2</v>
      </c>
      <c r="F2105" s="3">
        <f ca="1">41148+(RANDBETWEEN(1,10))</f>
        <v>41153</v>
      </c>
      <c r="G2105" t="s">
        <v>26</v>
      </c>
      <c r="H2105" t="s">
        <v>96</v>
      </c>
      <c r="I2105" t="s">
        <v>28</v>
      </c>
      <c r="J2105">
        <v>9.31</v>
      </c>
      <c r="K2105">
        <v>0</v>
      </c>
      <c r="L2105">
        <v>0.38</v>
      </c>
      <c r="M2105">
        <v>2.4500000000000002</v>
      </c>
      <c r="N2105">
        <v>-241.79785000000001</v>
      </c>
      <c r="O2105" s="1" t="s">
        <v>225</v>
      </c>
      <c r="P2105" s="1" t="s">
        <v>3564</v>
      </c>
      <c r="Q2105" s="1" t="s">
        <v>3565</v>
      </c>
      <c r="R2105" s="1" t="s">
        <v>228</v>
      </c>
      <c r="S2105" s="1" t="s">
        <v>3566</v>
      </c>
      <c r="T2105" s="1" t="s">
        <v>598</v>
      </c>
      <c r="U2105" s="2" t="s">
        <v>293</v>
      </c>
      <c r="V2105" s="2" t="s">
        <v>47</v>
      </c>
      <c r="W2105" s="2" t="s">
        <v>176</v>
      </c>
      <c r="X2105" s="2">
        <v>3.99</v>
      </c>
    </row>
    <row r="2106" spans="1:24" x14ac:dyDescent="0.3">
      <c r="A2106">
        <v>19981</v>
      </c>
      <c r="B2106" t="s">
        <v>6093</v>
      </c>
      <c r="C2106" s="3">
        <v>41060</v>
      </c>
      <c r="D2106" t="s">
        <v>25</v>
      </c>
      <c r="E2106">
        <v>9</v>
      </c>
      <c r="F2106" s="3">
        <f ca="1">41064+(RANDBETWEEN(1,10))</f>
        <v>41072</v>
      </c>
      <c r="G2106" t="s">
        <v>26</v>
      </c>
      <c r="H2106" t="s">
        <v>27</v>
      </c>
      <c r="I2106" t="s">
        <v>97</v>
      </c>
      <c r="J2106">
        <v>135.345</v>
      </c>
      <c r="K2106">
        <v>0.06</v>
      </c>
      <c r="L2106">
        <v>0.49</v>
      </c>
      <c r="M2106">
        <v>24.22</v>
      </c>
      <c r="N2106">
        <v>-333.935</v>
      </c>
      <c r="O2106" s="1" t="s">
        <v>40</v>
      </c>
      <c r="P2106" s="1" t="s">
        <v>6094</v>
      </c>
      <c r="Q2106" s="1" t="s">
        <v>6095</v>
      </c>
      <c r="R2106" s="1" t="s">
        <v>220</v>
      </c>
      <c r="S2106" s="1" t="s">
        <v>6096</v>
      </c>
      <c r="T2106" s="1" t="s">
        <v>6097</v>
      </c>
      <c r="U2106" s="2" t="s">
        <v>6098</v>
      </c>
      <c r="V2106" s="2" t="s">
        <v>83</v>
      </c>
      <c r="W2106" s="2" t="s">
        <v>178</v>
      </c>
      <c r="X2106" s="2">
        <v>14.63</v>
      </c>
    </row>
    <row r="2107" spans="1:24" x14ac:dyDescent="0.3">
      <c r="A2107">
        <v>19982</v>
      </c>
      <c r="B2107" t="s">
        <v>6093</v>
      </c>
      <c r="C2107" s="3">
        <v>41060</v>
      </c>
      <c r="D2107" t="s">
        <v>25</v>
      </c>
      <c r="E2107">
        <v>13</v>
      </c>
      <c r="F2107" s="3">
        <f ca="1">41065+(RANDBETWEEN(1,10))</f>
        <v>41075</v>
      </c>
      <c r="G2107" t="s">
        <v>26</v>
      </c>
      <c r="H2107" t="s">
        <v>51</v>
      </c>
      <c r="I2107" t="s">
        <v>97</v>
      </c>
      <c r="J2107">
        <v>2078.79</v>
      </c>
      <c r="K2107">
        <v>0.04</v>
      </c>
      <c r="L2107">
        <v>0.59</v>
      </c>
      <c r="M2107">
        <v>11.55</v>
      </c>
      <c r="N2107">
        <v>1038.3030000000001</v>
      </c>
      <c r="O2107" s="1" t="s">
        <v>40</v>
      </c>
      <c r="P2107" s="1" t="s">
        <v>6094</v>
      </c>
      <c r="Q2107" s="1" t="s">
        <v>6095</v>
      </c>
      <c r="R2107" s="1" t="s">
        <v>220</v>
      </c>
      <c r="S2107" s="1" t="s">
        <v>6096</v>
      </c>
      <c r="T2107" s="1" t="s">
        <v>6097</v>
      </c>
      <c r="U2107" s="2" t="s">
        <v>3769</v>
      </c>
      <c r="V2107" s="2" t="s">
        <v>36</v>
      </c>
      <c r="W2107" s="2" t="s">
        <v>37</v>
      </c>
      <c r="X2107" s="2">
        <v>195.965</v>
      </c>
    </row>
    <row r="2108" spans="1:24" x14ac:dyDescent="0.3">
      <c r="A2108">
        <v>19983</v>
      </c>
      <c r="B2108" t="s">
        <v>6093</v>
      </c>
      <c r="C2108" s="3">
        <v>41060</v>
      </c>
      <c r="D2108" t="s">
        <v>25</v>
      </c>
      <c r="E2108">
        <v>11</v>
      </c>
      <c r="F2108" s="3">
        <f ca="1">41062+(RANDBETWEEN(1,10))</f>
        <v>41066</v>
      </c>
      <c r="G2108" t="s">
        <v>26</v>
      </c>
      <c r="H2108" t="s">
        <v>27</v>
      </c>
      <c r="I2108" t="s">
        <v>97</v>
      </c>
      <c r="J2108">
        <v>1202.4949999999999</v>
      </c>
      <c r="K2108">
        <v>0.05</v>
      </c>
      <c r="L2108">
        <v>0.85</v>
      </c>
      <c r="M2108">
        <v>17.5</v>
      </c>
      <c r="N2108">
        <v>-555.13149999999996</v>
      </c>
      <c r="O2108" s="1" t="s">
        <v>40</v>
      </c>
      <c r="P2108" s="1" t="s">
        <v>6094</v>
      </c>
      <c r="Q2108" s="1" t="s">
        <v>6095</v>
      </c>
      <c r="R2108" s="1" t="s">
        <v>220</v>
      </c>
      <c r="S2108" s="1" t="s">
        <v>6096</v>
      </c>
      <c r="T2108" s="1" t="s">
        <v>6097</v>
      </c>
      <c r="U2108" s="2" t="s">
        <v>6099</v>
      </c>
      <c r="V2108" s="2" t="s">
        <v>36</v>
      </c>
      <c r="W2108" s="2" t="s">
        <v>37</v>
      </c>
      <c r="X2108" s="2">
        <v>125.965</v>
      </c>
    </row>
    <row r="2109" spans="1:24" x14ac:dyDescent="0.3">
      <c r="A2109">
        <v>19984</v>
      </c>
      <c r="B2109" t="s">
        <v>6100</v>
      </c>
      <c r="C2109" s="3">
        <v>40975</v>
      </c>
      <c r="D2109" t="s">
        <v>50</v>
      </c>
      <c r="E2109">
        <v>2</v>
      </c>
      <c r="F2109" s="3">
        <f ca="1">40978+(RANDBETWEEN(1,10))</f>
        <v>40980</v>
      </c>
      <c r="G2109" t="s">
        <v>26</v>
      </c>
      <c r="H2109" t="s">
        <v>27</v>
      </c>
      <c r="I2109" t="s">
        <v>97</v>
      </c>
      <c r="J2109">
        <v>307.54500000000002</v>
      </c>
      <c r="K2109">
        <v>0.03</v>
      </c>
      <c r="L2109">
        <v>0.35</v>
      </c>
      <c r="M2109">
        <v>10.465</v>
      </c>
      <c r="N2109">
        <v>212.20605</v>
      </c>
      <c r="O2109" s="1" t="s">
        <v>29</v>
      </c>
      <c r="P2109" s="1" t="s">
        <v>6101</v>
      </c>
      <c r="Q2109" s="1" t="s">
        <v>6102</v>
      </c>
      <c r="R2109" s="1" t="s">
        <v>32</v>
      </c>
      <c r="S2109" s="1" t="s">
        <v>6103</v>
      </c>
      <c r="T2109" s="1" t="s">
        <v>6104</v>
      </c>
      <c r="U2109" s="2" t="s">
        <v>4761</v>
      </c>
      <c r="V2109" s="2" t="s">
        <v>47</v>
      </c>
      <c r="W2109" s="2" t="s">
        <v>111</v>
      </c>
      <c r="X2109" s="2">
        <v>146.79</v>
      </c>
    </row>
    <row r="2110" spans="1:24" x14ac:dyDescent="0.3">
      <c r="A2110">
        <v>19985</v>
      </c>
      <c r="B2110" t="s">
        <v>6100</v>
      </c>
      <c r="C2110" s="3">
        <v>40975</v>
      </c>
      <c r="D2110" t="s">
        <v>50</v>
      </c>
      <c r="E2110">
        <v>4</v>
      </c>
      <c r="F2110" s="3">
        <f ca="1">40976+(RANDBETWEEN(1,10))</f>
        <v>40981</v>
      </c>
      <c r="G2110" t="s">
        <v>26</v>
      </c>
      <c r="H2110" t="s">
        <v>27</v>
      </c>
      <c r="I2110" t="s">
        <v>97</v>
      </c>
      <c r="J2110">
        <v>64.855000000000004</v>
      </c>
      <c r="K2110">
        <v>0.08</v>
      </c>
      <c r="L2110">
        <v>0.4</v>
      </c>
      <c r="M2110">
        <v>23.52</v>
      </c>
      <c r="N2110">
        <v>-242.69</v>
      </c>
      <c r="O2110" s="1" t="s">
        <v>29</v>
      </c>
      <c r="P2110" s="1" t="s">
        <v>6101</v>
      </c>
      <c r="Q2110" s="1" t="s">
        <v>6102</v>
      </c>
      <c r="R2110" s="1" t="s">
        <v>32</v>
      </c>
      <c r="S2110" s="1" t="s">
        <v>6103</v>
      </c>
      <c r="T2110" s="1" t="s">
        <v>6104</v>
      </c>
      <c r="U2110" s="2" t="s">
        <v>2298</v>
      </c>
      <c r="V2110" s="2" t="s">
        <v>47</v>
      </c>
      <c r="W2110" s="2" t="s">
        <v>74</v>
      </c>
      <c r="X2110" s="2">
        <v>14.98</v>
      </c>
    </row>
    <row r="2111" spans="1:24" x14ac:dyDescent="0.3">
      <c r="A2111">
        <v>19986</v>
      </c>
      <c r="B2111" t="s">
        <v>6100</v>
      </c>
      <c r="C2111" s="3">
        <v>40975</v>
      </c>
      <c r="D2111" t="s">
        <v>50</v>
      </c>
      <c r="E2111">
        <v>11</v>
      </c>
      <c r="F2111" s="3">
        <f ca="1">40977+(RANDBETWEEN(1,10))</f>
        <v>40980</v>
      </c>
      <c r="G2111" t="s">
        <v>26</v>
      </c>
      <c r="H2111" t="s">
        <v>27</v>
      </c>
      <c r="I2111" t="s">
        <v>97</v>
      </c>
      <c r="J2111">
        <v>166.845</v>
      </c>
      <c r="K2111">
        <v>0.09</v>
      </c>
      <c r="L2111">
        <v>0.4</v>
      </c>
      <c r="M2111">
        <v>20.09</v>
      </c>
      <c r="N2111">
        <v>-521.04499999999996</v>
      </c>
      <c r="O2111" s="1" t="s">
        <v>29</v>
      </c>
      <c r="P2111" s="1" t="s">
        <v>6101</v>
      </c>
      <c r="Q2111" s="1" t="s">
        <v>6102</v>
      </c>
      <c r="R2111" s="1" t="s">
        <v>32</v>
      </c>
      <c r="S2111" s="1" t="s">
        <v>6103</v>
      </c>
      <c r="T2111" s="1" t="s">
        <v>6104</v>
      </c>
      <c r="U2111" s="2" t="s">
        <v>6105</v>
      </c>
      <c r="V2111" s="2" t="s">
        <v>47</v>
      </c>
      <c r="W2111" s="2" t="s">
        <v>74</v>
      </c>
      <c r="X2111" s="2">
        <v>14.98</v>
      </c>
    </row>
    <row r="2112" spans="1:24" x14ac:dyDescent="0.3">
      <c r="A2112">
        <v>19987</v>
      </c>
      <c r="B2112" t="s">
        <v>6106</v>
      </c>
      <c r="C2112" s="3">
        <v>40614</v>
      </c>
      <c r="D2112" t="s">
        <v>25</v>
      </c>
      <c r="E2112">
        <v>10</v>
      </c>
      <c r="F2112" s="3">
        <f ca="1">40621+(RANDBETWEEN(1,10))</f>
        <v>40626</v>
      </c>
      <c r="G2112" t="s">
        <v>26</v>
      </c>
      <c r="H2112" t="s">
        <v>96</v>
      </c>
      <c r="I2112" t="s">
        <v>86</v>
      </c>
      <c r="J2112">
        <v>1106.98</v>
      </c>
      <c r="K2112">
        <v>0.01</v>
      </c>
      <c r="L2112">
        <v>0.38</v>
      </c>
      <c r="M2112">
        <v>20.965</v>
      </c>
      <c r="N2112">
        <v>763.81619999999998</v>
      </c>
      <c r="O2112" s="1" t="s">
        <v>29</v>
      </c>
      <c r="P2112" s="1" t="s">
        <v>6107</v>
      </c>
      <c r="Q2112" s="1" t="s">
        <v>6108</v>
      </c>
      <c r="R2112" s="1" t="s">
        <v>32</v>
      </c>
      <c r="S2112" s="1" t="s">
        <v>6109</v>
      </c>
      <c r="T2112" s="1" t="s">
        <v>6110</v>
      </c>
      <c r="U2112" s="2" t="s">
        <v>5234</v>
      </c>
      <c r="V2112" s="2" t="s">
        <v>36</v>
      </c>
      <c r="W2112" s="2" t="s">
        <v>37</v>
      </c>
      <c r="X2112" s="2">
        <v>125.965</v>
      </c>
    </row>
    <row r="2113" spans="1:24" x14ac:dyDescent="0.3">
      <c r="A2113">
        <v>19988</v>
      </c>
      <c r="B2113" t="s">
        <v>6111</v>
      </c>
      <c r="C2113" s="3">
        <v>40716</v>
      </c>
      <c r="D2113" t="s">
        <v>25</v>
      </c>
      <c r="E2113">
        <v>9</v>
      </c>
      <c r="F2113" s="3">
        <f ca="1">40721+(RANDBETWEEN(1,10))</f>
        <v>40724</v>
      </c>
      <c r="G2113" t="s">
        <v>26</v>
      </c>
      <c r="H2113" t="s">
        <v>27</v>
      </c>
      <c r="I2113" t="s">
        <v>86</v>
      </c>
      <c r="J2113">
        <v>3332.91</v>
      </c>
      <c r="K2113">
        <v>0.05</v>
      </c>
      <c r="L2113">
        <v>0.56999999999999995</v>
      </c>
      <c r="M2113">
        <v>28.28</v>
      </c>
      <c r="N2113">
        <v>1494.9143999999999</v>
      </c>
      <c r="O2113" s="1" t="s">
        <v>40</v>
      </c>
      <c r="P2113" s="1" t="s">
        <v>6112</v>
      </c>
      <c r="Q2113" s="1" t="s">
        <v>6113</v>
      </c>
      <c r="R2113" s="1" t="s">
        <v>43</v>
      </c>
      <c r="S2113" s="1" t="s">
        <v>6114</v>
      </c>
      <c r="T2113" s="1" t="s">
        <v>6115</v>
      </c>
      <c r="U2113" s="2" t="s">
        <v>566</v>
      </c>
      <c r="V2113" s="2" t="s">
        <v>36</v>
      </c>
      <c r="W2113" s="2" t="s">
        <v>37</v>
      </c>
      <c r="X2113" s="2">
        <v>440.96499999999997</v>
      </c>
    </row>
    <row r="2114" spans="1:24" x14ac:dyDescent="0.3">
      <c r="A2114">
        <v>19989</v>
      </c>
      <c r="B2114" t="s">
        <v>6116</v>
      </c>
      <c r="C2114" s="3">
        <v>41816</v>
      </c>
      <c r="D2114" t="s">
        <v>50</v>
      </c>
      <c r="E2114">
        <v>7</v>
      </c>
      <c r="F2114" s="3">
        <f ca="1">41818+(RANDBETWEEN(1,10))</f>
        <v>41823</v>
      </c>
      <c r="G2114" t="s">
        <v>26</v>
      </c>
      <c r="H2114" t="s">
        <v>51</v>
      </c>
      <c r="I2114" t="s">
        <v>97</v>
      </c>
      <c r="J2114">
        <v>872.69</v>
      </c>
      <c r="K2114">
        <v>0</v>
      </c>
      <c r="L2114">
        <v>0.41</v>
      </c>
      <c r="M2114">
        <v>6.9649999999999999</v>
      </c>
      <c r="N2114">
        <v>602.15610000000004</v>
      </c>
      <c r="O2114" s="1" t="s">
        <v>64</v>
      </c>
      <c r="P2114" s="1" t="s">
        <v>4803</v>
      </c>
      <c r="Q2114" s="1" t="s">
        <v>4804</v>
      </c>
      <c r="R2114" s="1" t="s">
        <v>128</v>
      </c>
      <c r="S2114" s="1" t="s">
        <v>4805</v>
      </c>
      <c r="T2114" s="1" t="s">
        <v>4806</v>
      </c>
      <c r="U2114" s="2" t="s">
        <v>6117</v>
      </c>
      <c r="V2114" s="2" t="s">
        <v>36</v>
      </c>
      <c r="W2114" s="2" t="s">
        <v>60</v>
      </c>
      <c r="X2114" s="2">
        <v>116.515</v>
      </c>
    </row>
    <row r="2115" spans="1:24" x14ac:dyDescent="0.3">
      <c r="A2115">
        <v>19990</v>
      </c>
      <c r="B2115" t="s">
        <v>6118</v>
      </c>
      <c r="C2115" s="3">
        <v>40586</v>
      </c>
      <c r="D2115" t="s">
        <v>50</v>
      </c>
      <c r="E2115">
        <v>6</v>
      </c>
      <c r="F2115" s="3">
        <f ca="1">40589+(RANDBETWEEN(1,10))</f>
        <v>40591</v>
      </c>
      <c r="G2115" t="s">
        <v>26</v>
      </c>
      <c r="H2115" t="s">
        <v>281</v>
      </c>
      <c r="I2115" t="s">
        <v>97</v>
      </c>
      <c r="J2115">
        <v>3074.19</v>
      </c>
      <c r="K2115">
        <v>0.04</v>
      </c>
      <c r="L2115">
        <v>0.38</v>
      </c>
      <c r="M2115">
        <v>48.965000000000003</v>
      </c>
      <c r="N2115">
        <v>2121.1911</v>
      </c>
      <c r="O2115" s="1" t="s">
        <v>40</v>
      </c>
      <c r="P2115" s="1" t="s">
        <v>6001</v>
      </c>
      <c r="Q2115" s="1" t="s">
        <v>6002</v>
      </c>
      <c r="R2115" s="1" t="s">
        <v>220</v>
      </c>
      <c r="S2115" s="1" t="s">
        <v>6003</v>
      </c>
      <c r="T2115" s="1" t="s">
        <v>6004</v>
      </c>
      <c r="U2115" s="2" t="s">
        <v>480</v>
      </c>
      <c r="V2115" s="2" t="s">
        <v>36</v>
      </c>
      <c r="W2115" s="2" t="s">
        <v>142</v>
      </c>
      <c r="X2115" s="2">
        <v>528.42999999999995</v>
      </c>
    </row>
    <row r="2116" spans="1:24" x14ac:dyDescent="0.3">
      <c r="A2116">
        <v>19991</v>
      </c>
      <c r="B2116" t="s">
        <v>6118</v>
      </c>
      <c r="C2116" s="3">
        <v>40586</v>
      </c>
      <c r="D2116" t="s">
        <v>50</v>
      </c>
      <c r="E2116">
        <v>4</v>
      </c>
      <c r="F2116" s="3">
        <f ca="1">40588+(RANDBETWEEN(1,10))</f>
        <v>40598</v>
      </c>
      <c r="G2116" t="s">
        <v>26</v>
      </c>
      <c r="H2116" t="s">
        <v>27</v>
      </c>
      <c r="I2116" t="s">
        <v>97</v>
      </c>
      <c r="J2116">
        <v>2367.9949999999999</v>
      </c>
      <c r="K2116">
        <v>0.04</v>
      </c>
      <c r="L2116">
        <v>0.62</v>
      </c>
      <c r="M2116">
        <v>41.545000000000002</v>
      </c>
      <c r="N2116">
        <v>1120.3499999999999</v>
      </c>
      <c r="O2116" s="1" t="s">
        <v>40</v>
      </c>
      <c r="P2116" s="1" t="s">
        <v>6001</v>
      </c>
      <c r="Q2116" s="1" t="s">
        <v>6002</v>
      </c>
      <c r="R2116" s="1" t="s">
        <v>220</v>
      </c>
      <c r="S2116" s="1" t="s">
        <v>6003</v>
      </c>
      <c r="T2116" s="1" t="s">
        <v>6004</v>
      </c>
      <c r="U2116" s="2" t="s">
        <v>6119</v>
      </c>
      <c r="V2116" s="2" t="s">
        <v>47</v>
      </c>
      <c r="W2116" s="2" t="s">
        <v>119</v>
      </c>
      <c r="X2116" s="2">
        <v>616.66499999999996</v>
      </c>
    </row>
    <row r="2117" spans="1:24" x14ac:dyDescent="0.3">
      <c r="A2117">
        <v>19992</v>
      </c>
      <c r="B2117" t="s">
        <v>6120</v>
      </c>
      <c r="C2117" s="3">
        <v>41686</v>
      </c>
      <c r="D2117" t="s">
        <v>62</v>
      </c>
      <c r="E2117">
        <v>1</v>
      </c>
      <c r="F2117" s="3">
        <f ca="1">41687+(RANDBETWEEN(1,10))</f>
        <v>41696</v>
      </c>
      <c r="G2117" t="s">
        <v>26</v>
      </c>
      <c r="H2117" t="s">
        <v>27</v>
      </c>
      <c r="I2117" t="s">
        <v>86</v>
      </c>
      <c r="J2117">
        <v>27.3</v>
      </c>
      <c r="K2117">
        <v>0</v>
      </c>
      <c r="L2117">
        <v>0.6</v>
      </c>
      <c r="M2117">
        <v>18.27</v>
      </c>
      <c r="N2117">
        <v>-60.06</v>
      </c>
      <c r="O2117" s="1" t="s">
        <v>64</v>
      </c>
      <c r="P2117" s="1" t="s">
        <v>5068</v>
      </c>
      <c r="Q2117" s="1" t="s">
        <v>5069</v>
      </c>
      <c r="R2117" s="1" t="s">
        <v>128</v>
      </c>
      <c r="S2117" s="1" t="s">
        <v>1767</v>
      </c>
      <c r="T2117" s="1" t="s">
        <v>1768</v>
      </c>
      <c r="U2117" s="2" t="s">
        <v>995</v>
      </c>
      <c r="V2117" s="2" t="s">
        <v>83</v>
      </c>
      <c r="W2117" s="2" t="s">
        <v>178</v>
      </c>
      <c r="X2117" s="2">
        <v>21.84</v>
      </c>
    </row>
    <row r="2118" spans="1:24" x14ac:dyDescent="0.3">
      <c r="A2118">
        <v>19993</v>
      </c>
      <c r="B2118" t="s">
        <v>6120</v>
      </c>
      <c r="C2118" s="3">
        <v>41686</v>
      </c>
      <c r="D2118" t="s">
        <v>62</v>
      </c>
      <c r="E2118">
        <v>2</v>
      </c>
      <c r="F2118" s="3">
        <f ca="1">41688+(RANDBETWEEN(1,10))</f>
        <v>41692</v>
      </c>
      <c r="G2118" t="s">
        <v>26</v>
      </c>
      <c r="H2118" t="s">
        <v>27</v>
      </c>
      <c r="I2118" t="s">
        <v>86</v>
      </c>
      <c r="J2118">
        <v>19.25</v>
      </c>
      <c r="K2118">
        <v>0.02</v>
      </c>
      <c r="L2118">
        <v>0.39</v>
      </c>
      <c r="M2118">
        <v>1.75</v>
      </c>
      <c r="N2118">
        <v>13.282500000000001</v>
      </c>
      <c r="O2118" s="1" t="s">
        <v>53</v>
      </c>
      <c r="P2118" s="1" t="s">
        <v>6121</v>
      </c>
      <c r="Q2118" s="1" t="s">
        <v>6122</v>
      </c>
      <c r="R2118" s="1" t="s">
        <v>56</v>
      </c>
      <c r="S2118" s="1" t="s">
        <v>5336</v>
      </c>
      <c r="T2118" s="1" t="s">
        <v>5337</v>
      </c>
      <c r="U2118" s="2" t="s">
        <v>1706</v>
      </c>
      <c r="V2118" s="2" t="s">
        <v>47</v>
      </c>
      <c r="W2118" s="2" t="s">
        <v>203</v>
      </c>
      <c r="X2118" s="2">
        <v>9.1349999999999998</v>
      </c>
    </row>
    <row r="2119" spans="1:24" x14ac:dyDescent="0.3">
      <c r="A2119">
        <v>19994</v>
      </c>
      <c r="B2119" t="s">
        <v>6123</v>
      </c>
      <c r="C2119" s="3">
        <v>41833</v>
      </c>
      <c r="D2119" t="s">
        <v>148</v>
      </c>
      <c r="E2119">
        <v>15</v>
      </c>
      <c r="F2119" s="3">
        <f ca="1">41834+(RANDBETWEEN(1,10))</f>
        <v>41841</v>
      </c>
      <c r="G2119" t="s">
        <v>26</v>
      </c>
      <c r="H2119" t="s">
        <v>27</v>
      </c>
      <c r="I2119" t="s">
        <v>97</v>
      </c>
      <c r="J2119">
        <v>2716.91</v>
      </c>
      <c r="K2119">
        <v>7.0000000000000007E-2</v>
      </c>
      <c r="L2119">
        <v>0.37</v>
      </c>
      <c r="M2119">
        <v>23.765000000000001</v>
      </c>
      <c r="N2119">
        <v>1874.6678999999999</v>
      </c>
      <c r="O2119" s="1" t="s">
        <v>53</v>
      </c>
      <c r="P2119" s="1" t="s">
        <v>6124</v>
      </c>
      <c r="Q2119" s="1" t="s">
        <v>6125</v>
      </c>
      <c r="R2119" s="1" t="s">
        <v>100</v>
      </c>
      <c r="S2119" s="1" t="s">
        <v>6126</v>
      </c>
      <c r="T2119" s="1" t="s">
        <v>6127</v>
      </c>
      <c r="U2119" s="2" t="s">
        <v>4840</v>
      </c>
      <c r="V2119" s="2" t="s">
        <v>47</v>
      </c>
      <c r="W2119" s="2" t="s">
        <v>74</v>
      </c>
      <c r="X2119" s="2">
        <v>194.18</v>
      </c>
    </row>
    <row r="2120" spans="1:24" x14ac:dyDescent="0.3">
      <c r="A2120">
        <v>19995</v>
      </c>
      <c r="B2120" t="s">
        <v>6128</v>
      </c>
      <c r="C2120" s="3">
        <v>41687</v>
      </c>
      <c r="D2120" t="s">
        <v>39</v>
      </c>
      <c r="E2120">
        <v>6</v>
      </c>
      <c r="F2120" s="3">
        <f ca="1">41688+(RANDBETWEEN(1,10))</f>
        <v>41697</v>
      </c>
      <c r="G2120" t="s">
        <v>26</v>
      </c>
      <c r="H2120" t="s">
        <v>27</v>
      </c>
      <c r="I2120" t="s">
        <v>28</v>
      </c>
      <c r="J2120">
        <v>60.27</v>
      </c>
      <c r="K2120">
        <v>0</v>
      </c>
      <c r="L2120">
        <v>0.39</v>
      </c>
      <c r="M2120">
        <v>5.2149999999999999</v>
      </c>
      <c r="N2120">
        <v>4.5815000000000001</v>
      </c>
      <c r="O2120" s="1" t="s">
        <v>29</v>
      </c>
      <c r="P2120" s="1" t="s">
        <v>3477</v>
      </c>
      <c r="Q2120" s="1" t="s">
        <v>3478</v>
      </c>
      <c r="R2120" s="1" t="s">
        <v>460</v>
      </c>
      <c r="S2120" s="1" t="s">
        <v>3479</v>
      </c>
      <c r="T2120" s="1" t="s">
        <v>3480</v>
      </c>
      <c r="U2120" s="2" t="s">
        <v>5684</v>
      </c>
      <c r="V2120" s="2" t="s">
        <v>47</v>
      </c>
      <c r="W2120" s="2" t="s">
        <v>111</v>
      </c>
      <c r="X2120" s="2">
        <v>9.73</v>
      </c>
    </row>
    <row r="2121" spans="1:24" x14ac:dyDescent="0.3">
      <c r="A2121">
        <v>19996</v>
      </c>
      <c r="B2121" t="s">
        <v>6129</v>
      </c>
      <c r="C2121" s="3">
        <v>41804</v>
      </c>
      <c r="D2121" t="s">
        <v>62</v>
      </c>
      <c r="E2121">
        <v>8</v>
      </c>
      <c r="F2121" s="3">
        <f ca="1">41805+(RANDBETWEEN(1,10))</f>
        <v>41811</v>
      </c>
      <c r="G2121" t="s">
        <v>26</v>
      </c>
      <c r="H2121" t="s">
        <v>96</v>
      </c>
      <c r="I2121" t="s">
        <v>97</v>
      </c>
      <c r="J2121">
        <v>335.54500000000002</v>
      </c>
      <c r="K2121">
        <v>0.03</v>
      </c>
      <c r="L2121">
        <v>0.55000000000000004</v>
      </c>
      <c r="M2121">
        <v>8.26</v>
      </c>
      <c r="N2121">
        <v>4072.1309999999999</v>
      </c>
      <c r="O2121" s="1" t="s">
        <v>29</v>
      </c>
      <c r="P2121" s="1" t="s">
        <v>6039</v>
      </c>
      <c r="Q2121" s="1" t="s">
        <v>6040</v>
      </c>
      <c r="R2121" s="1" t="s">
        <v>460</v>
      </c>
      <c r="S2121" s="1" t="s">
        <v>6041</v>
      </c>
      <c r="T2121" s="1" t="s">
        <v>6042</v>
      </c>
      <c r="U2121" s="2" t="s">
        <v>2967</v>
      </c>
      <c r="V2121" s="2" t="s">
        <v>47</v>
      </c>
      <c r="W2121" s="2" t="s">
        <v>104</v>
      </c>
      <c r="X2121" s="2">
        <v>40.424999999999997</v>
      </c>
    </row>
    <row r="2122" spans="1:24" x14ac:dyDescent="0.3">
      <c r="A2122">
        <v>19997</v>
      </c>
      <c r="B2122" t="s">
        <v>6130</v>
      </c>
      <c r="C2122" s="3">
        <v>41402</v>
      </c>
      <c r="D2122" t="s">
        <v>39</v>
      </c>
      <c r="E2122">
        <v>14</v>
      </c>
      <c r="F2122" s="3">
        <f ca="1">41404+(RANDBETWEEN(1,10))</f>
        <v>41407</v>
      </c>
      <c r="G2122" t="s">
        <v>26</v>
      </c>
      <c r="H2122" t="s">
        <v>27</v>
      </c>
      <c r="I2122" t="s">
        <v>28</v>
      </c>
      <c r="J2122">
        <v>1510.0050000000001</v>
      </c>
      <c r="K2122">
        <v>0.03</v>
      </c>
      <c r="L2122">
        <v>0.75</v>
      </c>
      <c r="M2122">
        <v>14</v>
      </c>
      <c r="N2122">
        <v>30.681000000000001</v>
      </c>
      <c r="O2122" s="1" t="s">
        <v>53</v>
      </c>
      <c r="P2122" s="1" t="s">
        <v>6131</v>
      </c>
      <c r="Q2122" s="1" t="s">
        <v>6132</v>
      </c>
      <c r="R2122" s="1" t="s">
        <v>56</v>
      </c>
      <c r="S2122" s="1" t="s">
        <v>57</v>
      </c>
      <c r="T2122" s="1" t="s">
        <v>6133</v>
      </c>
      <c r="U2122" s="2" t="s">
        <v>216</v>
      </c>
      <c r="V2122" s="2" t="s">
        <v>36</v>
      </c>
      <c r="W2122" s="2" t="s">
        <v>60</v>
      </c>
      <c r="X2122" s="2">
        <v>107.55500000000001</v>
      </c>
    </row>
    <row r="2123" spans="1:24" x14ac:dyDescent="0.3">
      <c r="A2123">
        <v>19998</v>
      </c>
      <c r="B2123" t="s">
        <v>6134</v>
      </c>
      <c r="C2123" s="3">
        <v>40950</v>
      </c>
      <c r="D2123" t="s">
        <v>62</v>
      </c>
      <c r="E2123">
        <v>4</v>
      </c>
      <c r="F2123" s="3">
        <f ca="1">40951+(RANDBETWEEN(1,10))</f>
        <v>40956</v>
      </c>
      <c r="G2123" t="s">
        <v>26</v>
      </c>
      <c r="H2123" t="s">
        <v>51</v>
      </c>
      <c r="I2123" t="s">
        <v>86</v>
      </c>
      <c r="J2123">
        <v>373.94</v>
      </c>
      <c r="K2123">
        <v>0.1</v>
      </c>
      <c r="L2123">
        <v>0.55000000000000004</v>
      </c>
      <c r="M2123">
        <v>21.594999999999999</v>
      </c>
      <c r="N2123">
        <v>68.459999999999994</v>
      </c>
      <c r="O2123" s="1" t="s">
        <v>87</v>
      </c>
      <c r="P2123" s="1" t="s">
        <v>6135</v>
      </c>
      <c r="Q2123" s="1" t="s">
        <v>6136</v>
      </c>
      <c r="R2123" s="1" t="s">
        <v>646</v>
      </c>
      <c r="S2123" s="1" t="s">
        <v>6137</v>
      </c>
      <c r="T2123" s="1" t="s">
        <v>6138</v>
      </c>
      <c r="U2123" s="2" t="s">
        <v>1755</v>
      </c>
      <c r="V2123" s="2" t="s">
        <v>47</v>
      </c>
      <c r="W2123" s="2" t="s">
        <v>104</v>
      </c>
      <c r="X2123" s="2">
        <v>98.525000000000006</v>
      </c>
    </row>
    <row r="2124" spans="1:24" x14ac:dyDescent="0.3">
      <c r="A2124">
        <v>19999</v>
      </c>
      <c r="B2124" t="s">
        <v>6139</v>
      </c>
      <c r="C2124" s="3">
        <v>41502</v>
      </c>
      <c r="D2124" t="s">
        <v>62</v>
      </c>
      <c r="E2124">
        <v>2</v>
      </c>
      <c r="F2124" s="3">
        <f ca="1">41504+(RANDBETWEEN(1,10))</f>
        <v>41507</v>
      </c>
      <c r="G2124" t="s">
        <v>26</v>
      </c>
      <c r="H2124" t="s">
        <v>96</v>
      </c>
      <c r="I2124" t="s">
        <v>97</v>
      </c>
      <c r="J2124">
        <v>25.83</v>
      </c>
      <c r="K2124">
        <v>0.03</v>
      </c>
      <c r="L2124">
        <v>0.4</v>
      </c>
      <c r="M2124">
        <v>4.7249999999999996</v>
      </c>
      <c r="N2124">
        <v>-4.5317999999999996</v>
      </c>
      <c r="O2124" s="1" t="s">
        <v>53</v>
      </c>
      <c r="P2124" s="1" t="s">
        <v>6140</v>
      </c>
      <c r="Q2124" s="1" t="s">
        <v>6141</v>
      </c>
      <c r="R2124" s="1" t="s">
        <v>100</v>
      </c>
      <c r="S2124" s="1" t="s">
        <v>6142</v>
      </c>
      <c r="T2124" s="1" t="s">
        <v>6143</v>
      </c>
      <c r="U2124" s="2" t="s">
        <v>2529</v>
      </c>
      <c r="V2124" s="2" t="s">
        <v>47</v>
      </c>
      <c r="W2124" s="2" t="s">
        <v>176</v>
      </c>
      <c r="X2124" s="2">
        <v>11.515000000000001</v>
      </c>
    </row>
    <row r="2125" spans="1:24" x14ac:dyDescent="0.3">
      <c r="A2125">
        <v>2</v>
      </c>
      <c r="B2125" t="s">
        <v>6144</v>
      </c>
      <c r="C2125" s="3">
        <v>41690</v>
      </c>
      <c r="D2125" t="s">
        <v>50</v>
      </c>
      <c r="E2125">
        <v>2</v>
      </c>
      <c r="F2125" s="3">
        <f ca="1">41691+(RANDBETWEEN(1,10))</f>
        <v>41699</v>
      </c>
      <c r="G2125" t="s">
        <v>26</v>
      </c>
      <c r="H2125" t="s">
        <v>51</v>
      </c>
      <c r="I2125" t="s">
        <v>28</v>
      </c>
      <c r="J2125">
        <v>24.254999999999999</v>
      </c>
      <c r="K2125">
        <v>0.01</v>
      </c>
      <c r="L2125">
        <v>0.55000000000000004</v>
      </c>
      <c r="M2125">
        <v>8.9600000000000009</v>
      </c>
      <c r="N2125">
        <v>-16.239999999999998</v>
      </c>
      <c r="O2125" s="1" t="s">
        <v>64</v>
      </c>
      <c r="P2125" s="1" t="s">
        <v>194</v>
      </c>
      <c r="Q2125" s="1" t="s">
        <v>195</v>
      </c>
      <c r="R2125" s="1" t="s">
        <v>67</v>
      </c>
      <c r="S2125" s="1" t="s">
        <v>108</v>
      </c>
      <c r="T2125" s="1" t="s">
        <v>196</v>
      </c>
      <c r="U2125" s="2" t="s">
        <v>401</v>
      </c>
      <c r="V2125" s="2" t="s">
        <v>47</v>
      </c>
      <c r="W2125" s="2" t="s">
        <v>94</v>
      </c>
      <c r="X2125" s="2">
        <v>7.28</v>
      </c>
    </row>
    <row r="2126" spans="1:24" x14ac:dyDescent="0.3">
      <c r="A2126">
        <v>20000</v>
      </c>
      <c r="B2126" t="s">
        <v>6145</v>
      </c>
      <c r="C2126" s="3">
        <v>41682</v>
      </c>
      <c r="D2126" t="s">
        <v>148</v>
      </c>
      <c r="E2126">
        <v>8</v>
      </c>
      <c r="F2126" s="3">
        <f ca="1">41684+(RANDBETWEEN(1,10))</f>
        <v>41686</v>
      </c>
      <c r="G2126" t="s">
        <v>26</v>
      </c>
      <c r="H2126" t="s">
        <v>27</v>
      </c>
      <c r="I2126" t="s">
        <v>97</v>
      </c>
      <c r="J2126">
        <v>2108.7150000000001</v>
      </c>
      <c r="K2126">
        <v>7.0000000000000007E-2</v>
      </c>
      <c r="L2126">
        <v>0.59</v>
      </c>
      <c r="M2126">
        <v>15.75</v>
      </c>
      <c r="N2126">
        <v>1455.0133499999999</v>
      </c>
      <c r="O2126" s="1" t="s">
        <v>29</v>
      </c>
      <c r="P2126" s="1" t="s">
        <v>5050</v>
      </c>
      <c r="Q2126" s="1" t="s">
        <v>5051</v>
      </c>
      <c r="R2126" s="1" t="s">
        <v>675</v>
      </c>
      <c r="S2126" s="1" t="s">
        <v>5052</v>
      </c>
      <c r="T2126" s="1" t="s">
        <v>5053</v>
      </c>
      <c r="U2126" s="2" t="s">
        <v>136</v>
      </c>
      <c r="V2126" s="2" t="s">
        <v>47</v>
      </c>
      <c r="W2126" s="2" t="s">
        <v>71</v>
      </c>
      <c r="X2126" s="2">
        <v>283.43</v>
      </c>
    </row>
    <row r="2127" spans="1:24" x14ac:dyDescent="0.3">
      <c r="A2127">
        <v>20001</v>
      </c>
      <c r="B2127" t="s">
        <v>6146</v>
      </c>
      <c r="C2127" s="3">
        <v>40549</v>
      </c>
      <c r="D2127" t="s">
        <v>50</v>
      </c>
      <c r="E2127">
        <v>6</v>
      </c>
      <c r="F2127" s="3">
        <f ca="1">40551+(RANDBETWEEN(1,10))</f>
        <v>40555</v>
      </c>
      <c r="G2127" t="s">
        <v>76</v>
      </c>
      <c r="H2127" t="s">
        <v>77</v>
      </c>
      <c r="I2127" t="s">
        <v>52</v>
      </c>
      <c r="J2127">
        <v>3354.61</v>
      </c>
      <c r="K2127">
        <v>0.01</v>
      </c>
      <c r="L2127">
        <v>0.74</v>
      </c>
      <c r="M2127">
        <v>105</v>
      </c>
      <c r="N2127">
        <v>459.83699999999999</v>
      </c>
      <c r="O2127" s="1" t="s">
        <v>40</v>
      </c>
      <c r="P2127" s="1" t="s">
        <v>4575</v>
      </c>
      <c r="Q2127" s="1" t="s">
        <v>4576</v>
      </c>
      <c r="R2127" s="1" t="s">
        <v>43</v>
      </c>
      <c r="S2127" s="1" t="s">
        <v>2055</v>
      </c>
      <c r="T2127" s="1" t="s">
        <v>2056</v>
      </c>
      <c r="U2127" s="2" t="s">
        <v>4069</v>
      </c>
      <c r="V2127" s="2" t="s">
        <v>83</v>
      </c>
      <c r="W2127" s="2" t="s">
        <v>84</v>
      </c>
      <c r="X2127" s="2">
        <v>528.42999999999995</v>
      </c>
    </row>
    <row r="2128" spans="1:24" x14ac:dyDescent="0.3">
      <c r="A2128">
        <v>20002</v>
      </c>
      <c r="B2128" t="s">
        <v>6146</v>
      </c>
      <c r="C2128" s="3">
        <v>40549</v>
      </c>
      <c r="D2128" t="s">
        <v>50</v>
      </c>
      <c r="E2128">
        <v>12</v>
      </c>
      <c r="F2128" s="3">
        <f ca="1">40551+(RANDBETWEEN(1,10))</f>
        <v>40556</v>
      </c>
      <c r="G2128" t="s">
        <v>156</v>
      </c>
      <c r="H2128" t="s">
        <v>281</v>
      </c>
      <c r="I2128" t="s">
        <v>52</v>
      </c>
      <c r="J2128">
        <v>1290.94</v>
      </c>
      <c r="K2128">
        <v>0.01</v>
      </c>
      <c r="L2128">
        <v>0.57999999999999996</v>
      </c>
      <c r="M2128">
        <v>48.965000000000003</v>
      </c>
      <c r="N2128">
        <v>-312.52199999999999</v>
      </c>
      <c r="O2128" s="1" t="s">
        <v>40</v>
      </c>
      <c r="P2128" s="1" t="s">
        <v>4575</v>
      </c>
      <c r="Q2128" s="1" t="s">
        <v>4576</v>
      </c>
      <c r="R2128" s="1" t="s">
        <v>43</v>
      </c>
      <c r="S2128" s="1" t="s">
        <v>2055</v>
      </c>
      <c r="T2128" s="1" t="s">
        <v>2056</v>
      </c>
      <c r="U2128" s="2" t="s">
        <v>2573</v>
      </c>
      <c r="V2128" s="2" t="s">
        <v>47</v>
      </c>
      <c r="W2128" s="2" t="s">
        <v>119</v>
      </c>
      <c r="X2128" s="2">
        <v>98.98</v>
      </c>
    </row>
    <row r="2129" spans="1:24" x14ac:dyDescent="0.3">
      <c r="A2129">
        <v>20003</v>
      </c>
      <c r="B2129" t="s">
        <v>6146</v>
      </c>
      <c r="C2129" s="3">
        <v>40549</v>
      </c>
      <c r="D2129" t="s">
        <v>50</v>
      </c>
      <c r="E2129">
        <v>1</v>
      </c>
      <c r="F2129" s="3">
        <f ca="1">40550+(RANDBETWEEN(1,10))</f>
        <v>40552</v>
      </c>
      <c r="G2129" t="s">
        <v>26</v>
      </c>
      <c r="H2129" t="s">
        <v>27</v>
      </c>
      <c r="I2129" t="s">
        <v>52</v>
      </c>
      <c r="J2129">
        <v>108.01</v>
      </c>
      <c r="K2129">
        <v>0.03</v>
      </c>
      <c r="L2129">
        <v>0.55000000000000004</v>
      </c>
      <c r="M2129">
        <v>3.85</v>
      </c>
      <c r="N2129">
        <v>-738.62599999999998</v>
      </c>
      <c r="O2129" s="1" t="s">
        <v>40</v>
      </c>
      <c r="P2129" s="1" t="s">
        <v>4575</v>
      </c>
      <c r="Q2129" s="1" t="s">
        <v>4576</v>
      </c>
      <c r="R2129" s="1" t="s">
        <v>43</v>
      </c>
      <c r="S2129" s="1" t="s">
        <v>2055</v>
      </c>
      <c r="T2129" s="1" t="s">
        <v>2056</v>
      </c>
      <c r="U2129" s="2" t="s">
        <v>1451</v>
      </c>
      <c r="V2129" s="2" t="s">
        <v>36</v>
      </c>
      <c r="W2129" s="2" t="s">
        <v>37</v>
      </c>
      <c r="X2129" s="2">
        <v>125.965</v>
      </c>
    </row>
    <row r="2130" spans="1:24" x14ac:dyDescent="0.3">
      <c r="A2130">
        <v>20004</v>
      </c>
      <c r="B2130" t="s">
        <v>6147</v>
      </c>
      <c r="C2130" s="3">
        <v>41073</v>
      </c>
      <c r="D2130" t="s">
        <v>25</v>
      </c>
      <c r="E2130">
        <v>8</v>
      </c>
      <c r="F2130" s="3">
        <f ca="1">41075+(RANDBETWEEN(1,10))</f>
        <v>41083</v>
      </c>
      <c r="G2130" t="s">
        <v>26</v>
      </c>
      <c r="H2130" t="s">
        <v>27</v>
      </c>
      <c r="I2130" t="s">
        <v>52</v>
      </c>
      <c r="J2130">
        <v>59.115000000000002</v>
      </c>
      <c r="K2130">
        <v>0.04</v>
      </c>
      <c r="L2130">
        <v>0.36</v>
      </c>
      <c r="M2130">
        <v>5.2149999999999999</v>
      </c>
      <c r="N2130">
        <v>-21.638400000000001</v>
      </c>
      <c r="O2130" s="1" t="s">
        <v>40</v>
      </c>
      <c r="P2130" s="1" t="s">
        <v>4065</v>
      </c>
      <c r="Q2130" s="1" t="s">
        <v>4066</v>
      </c>
      <c r="R2130" s="1" t="s">
        <v>43</v>
      </c>
      <c r="S2130" s="1" t="s">
        <v>4067</v>
      </c>
      <c r="T2130" s="1" t="s">
        <v>4068</v>
      </c>
      <c r="U2130" s="2" t="s">
        <v>4015</v>
      </c>
      <c r="V2130" s="2" t="s">
        <v>47</v>
      </c>
      <c r="W2130" s="2" t="s">
        <v>111</v>
      </c>
      <c r="X2130" s="2">
        <v>7.28</v>
      </c>
    </row>
    <row r="2131" spans="1:24" x14ac:dyDescent="0.3">
      <c r="A2131">
        <v>20005</v>
      </c>
      <c r="B2131" t="s">
        <v>6147</v>
      </c>
      <c r="C2131" s="3">
        <v>41073</v>
      </c>
      <c r="D2131" t="s">
        <v>25</v>
      </c>
      <c r="E2131">
        <v>2</v>
      </c>
      <c r="F2131" s="3">
        <f ca="1">41075+(RANDBETWEEN(1,10))</f>
        <v>41079</v>
      </c>
      <c r="G2131" t="s">
        <v>76</v>
      </c>
      <c r="H2131" t="s">
        <v>77</v>
      </c>
      <c r="I2131" t="s">
        <v>52</v>
      </c>
      <c r="J2131">
        <v>1143.52</v>
      </c>
      <c r="K2131">
        <v>0.06</v>
      </c>
      <c r="L2131">
        <v>0.62</v>
      </c>
      <c r="M2131">
        <v>105</v>
      </c>
      <c r="N2131">
        <v>-525.70000000000005</v>
      </c>
      <c r="O2131" s="1" t="s">
        <v>40</v>
      </c>
      <c r="P2131" s="1" t="s">
        <v>4065</v>
      </c>
      <c r="Q2131" s="1" t="s">
        <v>4066</v>
      </c>
      <c r="R2131" s="1" t="s">
        <v>43</v>
      </c>
      <c r="S2131" s="1" t="s">
        <v>4067</v>
      </c>
      <c r="T2131" s="1" t="s">
        <v>4068</v>
      </c>
      <c r="U2131" s="2" t="s">
        <v>2089</v>
      </c>
      <c r="V2131" s="2" t="s">
        <v>83</v>
      </c>
      <c r="W2131" s="2" t="s">
        <v>84</v>
      </c>
      <c r="X2131" s="2">
        <v>563.42999999999995</v>
      </c>
    </row>
    <row r="2132" spans="1:24" x14ac:dyDescent="0.3">
      <c r="A2132">
        <v>20006</v>
      </c>
      <c r="B2132" t="s">
        <v>6148</v>
      </c>
      <c r="C2132" s="3">
        <v>40712</v>
      </c>
      <c r="D2132" t="s">
        <v>148</v>
      </c>
      <c r="E2132">
        <v>4</v>
      </c>
      <c r="F2132" s="3">
        <f ca="1">40713+(RANDBETWEEN(1,10))</f>
        <v>40716</v>
      </c>
      <c r="G2132" t="s">
        <v>26</v>
      </c>
      <c r="H2132" t="s">
        <v>51</v>
      </c>
      <c r="I2132" t="s">
        <v>28</v>
      </c>
      <c r="J2132">
        <v>141.01499999999999</v>
      </c>
      <c r="K2132">
        <v>0.1</v>
      </c>
      <c r="L2132">
        <v>0.6</v>
      </c>
      <c r="M2132">
        <v>10.115</v>
      </c>
      <c r="N2132">
        <v>-31.164000000000001</v>
      </c>
      <c r="O2132" s="1" t="s">
        <v>40</v>
      </c>
      <c r="P2132" s="1" t="s">
        <v>2743</v>
      </c>
      <c r="Q2132" s="1" t="s">
        <v>2744</v>
      </c>
      <c r="R2132" s="1" t="s">
        <v>43</v>
      </c>
      <c r="S2132" s="1" t="s">
        <v>1989</v>
      </c>
      <c r="T2132" s="1" t="s">
        <v>2745</v>
      </c>
      <c r="U2132" s="2" t="s">
        <v>6149</v>
      </c>
      <c r="V2132" s="2" t="s">
        <v>47</v>
      </c>
      <c r="W2132" s="2" t="s">
        <v>104</v>
      </c>
      <c r="X2132" s="2">
        <v>36.68</v>
      </c>
    </row>
    <row r="2133" spans="1:24" x14ac:dyDescent="0.3">
      <c r="A2133">
        <v>20007</v>
      </c>
      <c r="B2133" t="s">
        <v>6150</v>
      </c>
      <c r="C2133" s="3">
        <v>40756</v>
      </c>
      <c r="D2133" t="s">
        <v>62</v>
      </c>
      <c r="E2133">
        <v>14</v>
      </c>
      <c r="F2133" s="3">
        <f ca="1">40757+(RANDBETWEEN(1,10))</f>
        <v>40763</v>
      </c>
      <c r="G2133" t="s">
        <v>26</v>
      </c>
      <c r="H2133" t="s">
        <v>27</v>
      </c>
      <c r="I2133" t="s">
        <v>28</v>
      </c>
      <c r="J2133">
        <v>314.26499999999999</v>
      </c>
      <c r="K2133">
        <v>0.03</v>
      </c>
      <c r="L2133">
        <v>0.38</v>
      </c>
      <c r="M2133">
        <v>18.164999999999999</v>
      </c>
      <c r="N2133">
        <v>-101.82445</v>
      </c>
      <c r="O2133" s="1" t="s">
        <v>225</v>
      </c>
      <c r="P2133" s="1" t="s">
        <v>4819</v>
      </c>
      <c r="Q2133" s="1" t="s">
        <v>4820</v>
      </c>
      <c r="R2133" s="1" t="s">
        <v>228</v>
      </c>
      <c r="S2133" s="1" t="s">
        <v>4821</v>
      </c>
      <c r="T2133" s="1" t="s">
        <v>4822</v>
      </c>
      <c r="U2133" s="2" t="s">
        <v>1111</v>
      </c>
      <c r="V2133" s="2" t="s">
        <v>47</v>
      </c>
      <c r="W2133" s="2" t="s">
        <v>111</v>
      </c>
      <c r="X2133" s="2">
        <v>22.295000000000002</v>
      </c>
    </row>
    <row r="2134" spans="1:24" x14ac:dyDescent="0.3">
      <c r="A2134">
        <v>20008</v>
      </c>
      <c r="B2134" t="s">
        <v>6151</v>
      </c>
      <c r="C2134" s="3">
        <v>40865</v>
      </c>
      <c r="D2134" t="s">
        <v>39</v>
      </c>
      <c r="E2134">
        <v>3</v>
      </c>
      <c r="F2134" s="3">
        <f ca="1">40866+(RANDBETWEEN(1,10))</f>
        <v>40869</v>
      </c>
      <c r="G2134" t="s">
        <v>156</v>
      </c>
      <c r="H2134" t="s">
        <v>27</v>
      </c>
      <c r="I2134" t="s">
        <v>52</v>
      </c>
      <c r="J2134">
        <v>458.185</v>
      </c>
      <c r="K2134">
        <v>0.05</v>
      </c>
      <c r="L2134">
        <v>0.55000000000000004</v>
      </c>
      <c r="M2134">
        <v>35.875</v>
      </c>
      <c r="N2134">
        <v>15.015000000000001</v>
      </c>
      <c r="O2134" s="1" t="s">
        <v>29</v>
      </c>
      <c r="P2134" s="1" t="s">
        <v>2466</v>
      </c>
      <c r="Q2134" s="1" t="s">
        <v>2467</v>
      </c>
      <c r="R2134" s="1" t="s">
        <v>32</v>
      </c>
      <c r="S2134" s="1" t="s">
        <v>2468</v>
      </c>
      <c r="T2134" s="1" t="s">
        <v>2469</v>
      </c>
      <c r="U2134" s="2" t="s">
        <v>6152</v>
      </c>
      <c r="V2134" s="2" t="s">
        <v>36</v>
      </c>
      <c r="W2134" s="2" t="s">
        <v>60</v>
      </c>
      <c r="X2134" s="2">
        <v>139.965</v>
      </c>
    </row>
    <row r="2135" spans="1:24" x14ac:dyDescent="0.3">
      <c r="A2135">
        <v>20009</v>
      </c>
      <c r="B2135" t="s">
        <v>6153</v>
      </c>
      <c r="C2135" s="3">
        <v>40939</v>
      </c>
      <c r="D2135" t="s">
        <v>25</v>
      </c>
      <c r="E2135">
        <v>9</v>
      </c>
      <c r="F2135" s="3">
        <f ca="1">40946+(RANDBETWEEN(1,10))</f>
        <v>40954</v>
      </c>
      <c r="G2135" t="s">
        <v>76</v>
      </c>
      <c r="H2135" t="s">
        <v>77</v>
      </c>
      <c r="I2135" t="s">
        <v>86</v>
      </c>
      <c r="J2135">
        <v>6096.335</v>
      </c>
      <c r="K2135">
        <v>0.1</v>
      </c>
      <c r="L2135">
        <v>0.36</v>
      </c>
      <c r="M2135">
        <v>54.564999999999998</v>
      </c>
      <c r="N2135">
        <v>4206.4711500000003</v>
      </c>
      <c r="O2135" s="1" t="s">
        <v>87</v>
      </c>
      <c r="P2135" s="1" t="s">
        <v>6154</v>
      </c>
      <c r="Q2135" s="1" t="s">
        <v>6155</v>
      </c>
      <c r="R2135" s="1" t="s">
        <v>398</v>
      </c>
      <c r="S2135" s="1" t="s">
        <v>6156</v>
      </c>
      <c r="T2135" s="1" t="s">
        <v>6157</v>
      </c>
      <c r="U2135" s="2" t="s">
        <v>6020</v>
      </c>
      <c r="V2135" s="2" t="s">
        <v>36</v>
      </c>
      <c r="W2135" s="2" t="s">
        <v>142</v>
      </c>
      <c r="X2135" s="2">
        <v>703.39499999999998</v>
      </c>
    </row>
    <row r="2136" spans="1:24" x14ac:dyDescent="0.3">
      <c r="A2136">
        <v>20010</v>
      </c>
      <c r="B2136" t="s">
        <v>6158</v>
      </c>
      <c r="C2136" s="3">
        <v>40660</v>
      </c>
      <c r="D2136" t="s">
        <v>25</v>
      </c>
      <c r="E2136">
        <v>10</v>
      </c>
      <c r="F2136" s="3">
        <f ca="1">40660+(RANDBETWEEN(1,10))</f>
        <v>40664</v>
      </c>
      <c r="G2136" t="s">
        <v>26</v>
      </c>
      <c r="H2136" t="s">
        <v>27</v>
      </c>
      <c r="I2136" t="s">
        <v>28</v>
      </c>
      <c r="J2136">
        <v>9969.33</v>
      </c>
      <c r="K2136">
        <v>0.09</v>
      </c>
      <c r="L2136">
        <v>0.48</v>
      </c>
      <c r="M2136">
        <v>25.13</v>
      </c>
      <c r="N2136">
        <v>62.201999999999998</v>
      </c>
      <c r="O2136" s="1" t="s">
        <v>40</v>
      </c>
      <c r="P2136" s="1" t="s">
        <v>5034</v>
      </c>
      <c r="Q2136" s="1" t="s">
        <v>5035</v>
      </c>
      <c r="R2136" s="1" t="s">
        <v>220</v>
      </c>
      <c r="S2136" s="1" t="s">
        <v>5036</v>
      </c>
      <c r="T2136" s="1" t="s">
        <v>5037</v>
      </c>
      <c r="U2136" s="2" t="s">
        <v>2057</v>
      </c>
      <c r="V2136" s="2" t="s">
        <v>36</v>
      </c>
      <c r="W2136" s="2" t="s">
        <v>60</v>
      </c>
      <c r="X2136" s="2">
        <v>1053.395</v>
      </c>
    </row>
    <row r="2137" spans="1:24" x14ac:dyDescent="0.3">
      <c r="A2137">
        <v>20011</v>
      </c>
      <c r="B2137" t="s">
        <v>6159</v>
      </c>
      <c r="C2137" s="3">
        <v>41527</v>
      </c>
      <c r="D2137" t="s">
        <v>39</v>
      </c>
      <c r="E2137">
        <v>2</v>
      </c>
      <c r="F2137" s="3">
        <f ca="1">41528+(RANDBETWEEN(1,10))</f>
        <v>41532</v>
      </c>
      <c r="G2137" t="s">
        <v>26</v>
      </c>
      <c r="H2137" t="s">
        <v>281</v>
      </c>
      <c r="I2137" t="s">
        <v>52</v>
      </c>
      <c r="J2137">
        <v>730.87</v>
      </c>
      <c r="K2137">
        <v>0.06</v>
      </c>
      <c r="L2137">
        <v>0.65</v>
      </c>
      <c r="M2137">
        <v>48.965000000000003</v>
      </c>
      <c r="N2137">
        <v>504.30029999999999</v>
      </c>
      <c r="O2137" s="1" t="s">
        <v>87</v>
      </c>
      <c r="P2137" s="1" t="s">
        <v>6160</v>
      </c>
      <c r="Q2137" s="1" t="s">
        <v>6161</v>
      </c>
      <c r="R2137" s="1" t="s">
        <v>646</v>
      </c>
      <c r="S2137" s="1" t="s">
        <v>6162</v>
      </c>
      <c r="T2137" s="1" t="s">
        <v>6163</v>
      </c>
      <c r="U2137" s="2" t="s">
        <v>3518</v>
      </c>
      <c r="V2137" s="2" t="s">
        <v>83</v>
      </c>
      <c r="W2137" s="2" t="s">
        <v>178</v>
      </c>
      <c r="X2137" s="2">
        <v>370.93</v>
      </c>
    </row>
    <row r="2138" spans="1:24" x14ac:dyDescent="0.3">
      <c r="A2138">
        <v>20012</v>
      </c>
      <c r="B2138" t="s">
        <v>6159</v>
      </c>
      <c r="C2138" s="3">
        <v>41527</v>
      </c>
      <c r="D2138" t="s">
        <v>39</v>
      </c>
      <c r="E2138">
        <v>18</v>
      </c>
      <c r="F2138" s="3">
        <f ca="1">41529+(RANDBETWEEN(1,10))</f>
        <v>41532</v>
      </c>
      <c r="G2138" t="s">
        <v>26</v>
      </c>
      <c r="H2138" t="s">
        <v>51</v>
      </c>
      <c r="I2138" t="s">
        <v>52</v>
      </c>
      <c r="J2138">
        <v>2074.0300000000002</v>
      </c>
      <c r="K2138">
        <v>0.1</v>
      </c>
      <c r="L2138">
        <v>0.56000000000000005</v>
      </c>
      <c r="M2138">
        <v>31.465</v>
      </c>
      <c r="N2138">
        <v>349.26499999999999</v>
      </c>
      <c r="O2138" s="1" t="s">
        <v>87</v>
      </c>
      <c r="P2138" s="1" t="s">
        <v>6160</v>
      </c>
      <c r="Q2138" s="1" t="s">
        <v>6161</v>
      </c>
      <c r="R2138" s="1" t="s">
        <v>646</v>
      </c>
      <c r="S2138" s="1" t="s">
        <v>6162</v>
      </c>
      <c r="T2138" s="1" t="s">
        <v>6163</v>
      </c>
      <c r="U2138" s="2" t="s">
        <v>741</v>
      </c>
      <c r="V2138" s="2" t="s">
        <v>47</v>
      </c>
      <c r="W2138" s="2" t="s">
        <v>104</v>
      </c>
      <c r="X2138" s="2">
        <v>121.03</v>
      </c>
    </row>
    <row r="2139" spans="1:24" x14ac:dyDescent="0.3">
      <c r="A2139">
        <v>20013</v>
      </c>
      <c r="B2139" t="s">
        <v>6164</v>
      </c>
      <c r="C2139" s="3">
        <v>41935</v>
      </c>
      <c r="D2139" t="s">
        <v>62</v>
      </c>
      <c r="E2139">
        <v>18</v>
      </c>
      <c r="F2139" s="3">
        <f ca="1">41937+(RANDBETWEEN(1,10))</f>
        <v>41942</v>
      </c>
      <c r="G2139" t="s">
        <v>76</v>
      </c>
      <c r="H2139" t="s">
        <v>258</v>
      </c>
      <c r="I2139" t="s">
        <v>28</v>
      </c>
      <c r="J2139">
        <v>9914.3799999999992</v>
      </c>
      <c r="K2139">
        <v>0.09</v>
      </c>
      <c r="L2139">
        <v>0.69</v>
      </c>
      <c r="M2139">
        <v>211.715</v>
      </c>
      <c r="N2139">
        <v>-3707.2</v>
      </c>
      <c r="O2139" s="1" t="s">
        <v>53</v>
      </c>
      <c r="P2139" s="1" t="s">
        <v>3204</v>
      </c>
      <c r="Q2139" s="1" t="s">
        <v>3205</v>
      </c>
      <c r="R2139" s="1" t="s">
        <v>100</v>
      </c>
      <c r="S2139" s="1" t="s">
        <v>3206</v>
      </c>
      <c r="T2139" s="1" t="s">
        <v>3207</v>
      </c>
      <c r="U2139" s="2" t="s">
        <v>6165</v>
      </c>
      <c r="V2139" s="2" t="s">
        <v>83</v>
      </c>
      <c r="W2139" s="2" t="s">
        <v>298</v>
      </c>
      <c r="X2139" s="2">
        <v>598.42999999999995</v>
      </c>
    </row>
    <row r="2140" spans="1:24" x14ac:dyDescent="0.3">
      <c r="A2140">
        <v>20014</v>
      </c>
      <c r="B2140" t="s">
        <v>6166</v>
      </c>
      <c r="C2140" s="3">
        <v>40939</v>
      </c>
      <c r="D2140" t="s">
        <v>148</v>
      </c>
      <c r="E2140">
        <v>2</v>
      </c>
      <c r="F2140" s="3">
        <f ca="1">40940+(RANDBETWEEN(1,10))</f>
        <v>40949</v>
      </c>
      <c r="G2140" t="s">
        <v>26</v>
      </c>
      <c r="H2140" t="s">
        <v>27</v>
      </c>
      <c r="I2140" t="s">
        <v>28</v>
      </c>
      <c r="J2140">
        <v>44.064999999999998</v>
      </c>
      <c r="K2140">
        <v>7.0000000000000007E-2</v>
      </c>
      <c r="L2140">
        <v>0.36</v>
      </c>
      <c r="M2140">
        <v>19.844999999999999</v>
      </c>
      <c r="N2140">
        <v>-94.481800000000007</v>
      </c>
      <c r="O2140" s="1" t="s">
        <v>29</v>
      </c>
      <c r="P2140" s="1" t="s">
        <v>6167</v>
      </c>
      <c r="Q2140" s="1" t="s">
        <v>6168</v>
      </c>
      <c r="R2140" s="1" t="s">
        <v>675</v>
      </c>
      <c r="S2140" s="1" t="s">
        <v>6169</v>
      </c>
      <c r="T2140" s="1" t="s">
        <v>6170</v>
      </c>
      <c r="U2140" s="2" t="s">
        <v>1621</v>
      </c>
      <c r="V2140" s="2" t="s">
        <v>47</v>
      </c>
      <c r="W2140" s="2" t="s">
        <v>74</v>
      </c>
      <c r="X2140" s="2">
        <v>20.23</v>
      </c>
    </row>
    <row r="2141" spans="1:24" x14ac:dyDescent="0.3">
      <c r="A2141">
        <v>20015</v>
      </c>
      <c r="B2141" t="s">
        <v>6166</v>
      </c>
      <c r="C2141" s="3">
        <v>40939</v>
      </c>
      <c r="D2141" t="s">
        <v>148</v>
      </c>
      <c r="E2141">
        <v>13</v>
      </c>
      <c r="F2141" s="3">
        <f ca="1">40940+(RANDBETWEEN(1,10))</f>
        <v>40948</v>
      </c>
      <c r="G2141" t="s">
        <v>26</v>
      </c>
      <c r="H2141" t="s">
        <v>27</v>
      </c>
      <c r="I2141" t="s">
        <v>28</v>
      </c>
      <c r="J2141">
        <v>3523.87</v>
      </c>
      <c r="K2141">
        <v>0.1</v>
      </c>
      <c r="L2141">
        <v>0.38</v>
      </c>
      <c r="M2141">
        <v>69.965000000000003</v>
      </c>
      <c r="N2141">
        <v>2431.4703</v>
      </c>
      <c r="O2141" s="1" t="s">
        <v>87</v>
      </c>
      <c r="P2141" s="1" t="s">
        <v>6171</v>
      </c>
      <c r="Q2141" s="1" t="s">
        <v>6172</v>
      </c>
      <c r="R2141" s="1" t="s">
        <v>497</v>
      </c>
      <c r="S2141" s="1" t="s">
        <v>6173</v>
      </c>
      <c r="T2141" s="1" t="s">
        <v>6174</v>
      </c>
      <c r="U2141" s="2" t="s">
        <v>6175</v>
      </c>
      <c r="V2141" s="2" t="s">
        <v>47</v>
      </c>
      <c r="W2141" s="2" t="s">
        <v>48</v>
      </c>
      <c r="X2141" s="2">
        <v>293.755</v>
      </c>
    </row>
    <row r="2142" spans="1:24" x14ac:dyDescent="0.3">
      <c r="A2142">
        <v>20016</v>
      </c>
      <c r="B2142" t="s">
        <v>6176</v>
      </c>
      <c r="C2142" s="3">
        <v>40578</v>
      </c>
      <c r="D2142" t="s">
        <v>148</v>
      </c>
      <c r="E2142">
        <v>8</v>
      </c>
      <c r="F2142" s="3">
        <f ca="1">40579+(RANDBETWEEN(1,10))</f>
        <v>40586</v>
      </c>
      <c r="G2142" t="s">
        <v>26</v>
      </c>
      <c r="H2142" t="s">
        <v>27</v>
      </c>
      <c r="I2142" t="s">
        <v>97</v>
      </c>
      <c r="J2142">
        <v>65.064999999999998</v>
      </c>
      <c r="K2142">
        <v>0.05</v>
      </c>
      <c r="L2142">
        <v>0.37</v>
      </c>
      <c r="M2142">
        <v>21.175000000000001</v>
      </c>
      <c r="N2142">
        <v>-1046.1010000000001</v>
      </c>
      <c r="O2142" s="1" t="s">
        <v>53</v>
      </c>
      <c r="P2142" s="1" t="s">
        <v>6177</v>
      </c>
      <c r="Q2142" s="1" t="s">
        <v>6178</v>
      </c>
      <c r="R2142" s="1" t="s">
        <v>100</v>
      </c>
      <c r="S2142" s="1" t="s">
        <v>6179</v>
      </c>
      <c r="T2142" s="1" t="s">
        <v>6180</v>
      </c>
      <c r="U2142" s="2" t="s">
        <v>1376</v>
      </c>
      <c r="V2142" s="2" t="s">
        <v>47</v>
      </c>
      <c r="W2142" s="2" t="s">
        <v>111</v>
      </c>
      <c r="X2142" s="2">
        <v>7.56</v>
      </c>
    </row>
    <row r="2143" spans="1:24" x14ac:dyDescent="0.3">
      <c r="A2143">
        <v>20017</v>
      </c>
      <c r="B2143" t="s">
        <v>6176</v>
      </c>
      <c r="C2143" s="3">
        <v>40578</v>
      </c>
      <c r="D2143" t="s">
        <v>148</v>
      </c>
      <c r="E2143">
        <v>9</v>
      </c>
      <c r="F2143" s="3">
        <f ca="1">40579+(RANDBETWEEN(1,10))</f>
        <v>40588</v>
      </c>
      <c r="G2143" t="s">
        <v>26</v>
      </c>
      <c r="H2143" t="s">
        <v>27</v>
      </c>
      <c r="I2143" t="s">
        <v>97</v>
      </c>
      <c r="J2143">
        <v>205.905</v>
      </c>
      <c r="K2143">
        <v>0.03</v>
      </c>
      <c r="L2143">
        <v>0.37</v>
      </c>
      <c r="M2143">
        <v>23.1</v>
      </c>
      <c r="N2143">
        <v>-510.48200000000003</v>
      </c>
      <c r="O2143" s="1" t="s">
        <v>53</v>
      </c>
      <c r="P2143" s="1" t="s">
        <v>6177</v>
      </c>
      <c r="Q2143" s="1" t="s">
        <v>6178</v>
      </c>
      <c r="R2143" s="1" t="s">
        <v>100</v>
      </c>
      <c r="S2143" s="1" t="s">
        <v>6179</v>
      </c>
      <c r="T2143" s="1" t="s">
        <v>6180</v>
      </c>
      <c r="U2143" s="2" t="s">
        <v>241</v>
      </c>
      <c r="V2143" s="2" t="s">
        <v>47</v>
      </c>
      <c r="W2143" s="2" t="s">
        <v>74</v>
      </c>
      <c r="X2143" s="2">
        <v>22.68</v>
      </c>
    </row>
    <row r="2144" spans="1:24" x14ac:dyDescent="0.3">
      <c r="A2144">
        <v>20018</v>
      </c>
      <c r="B2144" t="s">
        <v>6176</v>
      </c>
      <c r="C2144" s="3">
        <v>40578</v>
      </c>
      <c r="D2144" t="s">
        <v>148</v>
      </c>
      <c r="E2144">
        <v>11</v>
      </c>
      <c r="F2144" s="3">
        <f ca="1">40579+(RANDBETWEEN(1,10))</f>
        <v>40587</v>
      </c>
      <c r="G2144" t="s">
        <v>76</v>
      </c>
      <c r="H2144" t="s">
        <v>258</v>
      </c>
      <c r="I2144" t="s">
        <v>97</v>
      </c>
      <c r="J2144">
        <v>5451.81</v>
      </c>
      <c r="K2144">
        <v>0.08</v>
      </c>
      <c r="L2144">
        <v>0.71</v>
      </c>
      <c r="M2144">
        <v>280.7</v>
      </c>
      <c r="N2144">
        <v>-97.828500000000005</v>
      </c>
      <c r="O2144" s="1" t="s">
        <v>53</v>
      </c>
      <c r="P2144" s="1" t="s">
        <v>6177</v>
      </c>
      <c r="Q2144" s="1" t="s">
        <v>6178</v>
      </c>
      <c r="R2144" s="1" t="s">
        <v>100</v>
      </c>
      <c r="S2144" s="1" t="s">
        <v>6179</v>
      </c>
      <c r="T2144" s="1" t="s">
        <v>6180</v>
      </c>
      <c r="U2144" s="2" t="s">
        <v>696</v>
      </c>
      <c r="V2144" s="2" t="s">
        <v>83</v>
      </c>
      <c r="W2144" s="2" t="s">
        <v>263</v>
      </c>
      <c r="X2144" s="2">
        <v>511.17500000000001</v>
      </c>
    </row>
    <row r="2145" spans="1:24" x14ac:dyDescent="0.3">
      <c r="A2145">
        <v>20019</v>
      </c>
      <c r="B2145" t="s">
        <v>6181</v>
      </c>
      <c r="C2145" s="3">
        <v>41490</v>
      </c>
      <c r="D2145" t="s">
        <v>50</v>
      </c>
      <c r="E2145">
        <v>5</v>
      </c>
      <c r="F2145" s="3">
        <f ca="1">41492+(RANDBETWEEN(1,10))</f>
        <v>41496</v>
      </c>
      <c r="G2145" t="s">
        <v>26</v>
      </c>
      <c r="H2145" t="s">
        <v>27</v>
      </c>
      <c r="I2145" t="s">
        <v>86</v>
      </c>
      <c r="J2145">
        <v>1629.4949999999999</v>
      </c>
      <c r="K2145">
        <v>0.06</v>
      </c>
      <c r="L2145">
        <v>0.56999999999999995</v>
      </c>
      <c r="M2145">
        <v>8.75</v>
      </c>
      <c r="N2145">
        <v>-234.47424000000001</v>
      </c>
      <c r="O2145" s="1" t="s">
        <v>225</v>
      </c>
      <c r="P2145" s="1" t="s">
        <v>4208</v>
      </c>
      <c r="Q2145" s="1" t="s">
        <v>4209</v>
      </c>
      <c r="R2145" s="1" t="s">
        <v>391</v>
      </c>
      <c r="S2145" s="1" t="s">
        <v>4210</v>
      </c>
      <c r="T2145" s="1" t="s">
        <v>4211</v>
      </c>
      <c r="U2145" s="2" t="s">
        <v>3011</v>
      </c>
      <c r="V2145" s="2" t="s">
        <v>36</v>
      </c>
      <c r="W2145" s="2" t="s">
        <v>37</v>
      </c>
      <c r="X2145" s="2">
        <v>388.46499999999997</v>
      </c>
    </row>
    <row r="2146" spans="1:24" x14ac:dyDescent="0.3">
      <c r="A2146">
        <v>20020</v>
      </c>
      <c r="B2146" t="s">
        <v>6182</v>
      </c>
      <c r="C2146" s="3">
        <v>41196</v>
      </c>
      <c r="D2146" t="s">
        <v>148</v>
      </c>
      <c r="E2146">
        <v>1</v>
      </c>
      <c r="F2146" s="3">
        <f ca="1">41198+(RANDBETWEEN(1,10))</f>
        <v>41203</v>
      </c>
      <c r="G2146" t="s">
        <v>76</v>
      </c>
      <c r="H2146" t="s">
        <v>77</v>
      </c>
      <c r="I2146" t="s">
        <v>86</v>
      </c>
      <c r="J2146">
        <v>645.61</v>
      </c>
      <c r="K2146">
        <v>0.05</v>
      </c>
      <c r="L2146">
        <v>0.62</v>
      </c>
      <c r="M2146">
        <v>105</v>
      </c>
      <c r="N2146">
        <v>-401.92739999999998</v>
      </c>
      <c r="O2146" s="1" t="s">
        <v>29</v>
      </c>
      <c r="P2146" s="1" t="s">
        <v>4435</v>
      </c>
      <c r="Q2146" s="1" t="s">
        <v>4436</v>
      </c>
      <c r="R2146" s="1" t="s">
        <v>32</v>
      </c>
      <c r="S2146" s="1" t="s">
        <v>4437</v>
      </c>
      <c r="T2146" s="1" t="s">
        <v>4438</v>
      </c>
      <c r="U2146" s="2" t="s">
        <v>2089</v>
      </c>
      <c r="V2146" s="2" t="s">
        <v>83</v>
      </c>
      <c r="W2146" s="2" t="s">
        <v>84</v>
      </c>
      <c r="X2146" s="2">
        <v>563.42999999999995</v>
      </c>
    </row>
    <row r="2147" spans="1:24" x14ac:dyDescent="0.3">
      <c r="A2147">
        <v>20021</v>
      </c>
      <c r="B2147" t="s">
        <v>6183</v>
      </c>
      <c r="C2147" s="3">
        <v>40976</v>
      </c>
      <c r="D2147" t="s">
        <v>148</v>
      </c>
      <c r="E2147">
        <v>9</v>
      </c>
      <c r="F2147" s="3">
        <f ca="1">40978+(RANDBETWEEN(1,10))</f>
        <v>40980</v>
      </c>
      <c r="G2147" t="s">
        <v>26</v>
      </c>
      <c r="H2147" t="s">
        <v>281</v>
      </c>
      <c r="I2147" t="s">
        <v>28</v>
      </c>
      <c r="J2147">
        <v>4776.8</v>
      </c>
      <c r="K2147">
        <v>7.0000000000000007E-2</v>
      </c>
      <c r="L2147">
        <v>0.38</v>
      </c>
      <c r="M2147">
        <v>48.965000000000003</v>
      </c>
      <c r="N2147">
        <v>3295.9920000000002</v>
      </c>
      <c r="O2147" s="1" t="s">
        <v>40</v>
      </c>
      <c r="P2147" s="1" t="s">
        <v>6184</v>
      </c>
      <c r="Q2147" s="1" t="s">
        <v>6185</v>
      </c>
      <c r="R2147" s="1" t="s">
        <v>220</v>
      </c>
      <c r="S2147" s="1" t="s">
        <v>6186</v>
      </c>
      <c r="T2147" s="1" t="s">
        <v>6187</v>
      </c>
      <c r="U2147" s="2" t="s">
        <v>480</v>
      </c>
      <c r="V2147" s="2" t="s">
        <v>36</v>
      </c>
      <c r="W2147" s="2" t="s">
        <v>142</v>
      </c>
      <c r="X2147" s="2">
        <v>528.42999999999995</v>
      </c>
    </row>
    <row r="2148" spans="1:24" x14ac:dyDescent="0.3">
      <c r="A2148">
        <v>20022</v>
      </c>
      <c r="B2148" t="s">
        <v>6183</v>
      </c>
      <c r="C2148" s="3">
        <v>40976</v>
      </c>
      <c r="D2148" t="s">
        <v>148</v>
      </c>
      <c r="E2148">
        <v>5</v>
      </c>
      <c r="F2148" s="3">
        <f ca="1">40978+(RANDBETWEEN(1,10))</f>
        <v>40986</v>
      </c>
      <c r="G2148" t="s">
        <v>76</v>
      </c>
      <c r="H2148" t="s">
        <v>77</v>
      </c>
      <c r="I2148" t="s">
        <v>28</v>
      </c>
      <c r="J2148">
        <v>398.44</v>
      </c>
      <c r="K2148">
        <v>0.06</v>
      </c>
      <c r="L2148">
        <v>0.78</v>
      </c>
      <c r="M2148">
        <v>185.60499999999999</v>
      </c>
      <c r="N2148">
        <v>-3263.9250000000002</v>
      </c>
      <c r="O2148" s="1" t="s">
        <v>40</v>
      </c>
      <c r="P2148" s="1" t="s">
        <v>6184</v>
      </c>
      <c r="Q2148" s="1" t="s">
        <v>6185</v>
      </c>
      <c r="R2148" s="1" t="s">
        <v>220</v>
      </c>
      <c r="S2148" s="1" t="s">
        <v>6186</v>
      </c>
      <c r="T2148" s="1" t="s">
        <v>6187</v>
      </c>
      <c r="U2148" s="2" t="s">
        <v>583</v>
      </c>
      <c r="V2148" s="2" t="s">
        <v>47</v>
      </c>
      <c r="W2148" s="2" t="s">
        <v>119</v>
      </c>
      <c r="X2148" s="2">
        <v>73.430000000000007</v>
      </c>
    </row>
    <row r="2149" spans="1:24" x14ac:dyDescent="0.3">
      <c r="A2149">
        <v>20023</v>
      </c>
      <c r="B2149" t="s">
        <v>6183</v>
      </c>
      <c r="C2149" s="3">
        <v>40976</v>
      </c>
      <c r="D2149" t="s">
        <v>148</v>
      </c>
      <c r="E2149">
        <v>9</v>
      </c>
      <c r="F2149" s="3">
        <f ca="1">40978+(RANDBETWEEN(1,10))</f>
        <v>40980</v>
      </c>
      <c r="G2149" t="s">
        <v>156</v>
      </c>
      <c r="H2149" t="s">
        <v>96</v>
      </c>
      <c r="I2149" t="s">
        <v>28</v>
      </c>
      <c r="J2149">
        <v>2096.6750000000002</v>
      </c>
      <c r="K2149">
        <v>0.1</v>
      </c>
      <c r="L2149">
        <v>0.85</v>
      </c>
      <c r="M2149">
        <v>3.4649999999999999</v>
      </c>
      <c r="N2149">
        <v>-1085.854</v>
      </c>
      <c r="O2149" s="1" t="s">
        <v>40</v>
      </c>
      <c r="P2149" s="1" t="s">
        <v>6184</v>
      </c>
      <c r="Q2149" s="1" t="s">
        <v>6185</v>
      </c>
      <c r="R2149" s="1" t="s">
        <v>220</v>
      </c>
      <c r="S2149" s="1" t="s">
        <v>6186</v>
      </c>
      <c r="T2149" s="1" t="s">
        <v>6187</v>
      </c>
      <c r="U2149" s="2" t="s">
        <v>678</v>
      </c>
      <c r="V2149" s="2" t="s">
        <v>36</v>
      </c>
      <c r="W2149" s="2" t="s">
        <v>37</v>
      </c>
      <c r="X2149" s="2">
        <v>300.96499999999997</v>
      </c>
    </row>
    <row r="2150" spans="1:24" x14ac:dyDescent="0.3">
      <c r="A2150">
        <v>20024</v>
      </c>
      <c r="B2150" t="s">
        <v>6188</v>
      </c>
      <c r="C2150" s="3">
        <v>41320</v>
      </c>
      <c r="D2150" t="s">
        <v>50</v>
      </c>
      <c r="E2150">
        <v>11</v>
      </c>
      <c r="F2150" s="3">
        <f ca="1">41322+(RANDBETWEEN(1,10))</f>
        <v>41332</v>
      </c>
      <c r="G2150" t="s">
        <v>76</v>
      </c>
      <c r="H2150" t="s">
        <v>258</v>
      </c>
      <c r="I2150" t="s">
        <v>28</v>
      </c>
      <c r="J2150">
        <v>4673.2</v>
      </c>
      <c r="K2150">
        <v>0.02</v>
      </c>
      <c r="L2150">
        <v>0.39</v>
      </c>
      <c r="M2150">
        <v>196.49</v>
      </c>
      <c r="N2150">
        <v>837.93499999999995</v>
      </c>
      <c r="O2150" s="1" t="s">
        <v>87</v>
      </c>
      <c r="P2150" s="1" t="s">
        <v>6189</v>
      </c>
      <c r="Q2150" s="1" t="s">
        <v>6190</v>
      </c>
      <c r="R2150" s="1" t="s">
        <v>646</v>
      </c>
      <c r="S2150" s="1" t="s">
        <v>6191</v>
      </c>
      <c r="T2150" s="1" t="s">
        <v>6192</v>
      </c>
      <c r="U2150" s="2" t="s">
        <v>5088</v>
      </c>
      <c r="V2150" s="2" t="s">
        <v>36</v>
      </c>
      <c r="W2150" s="2" t="s">
        <v>142</v>
      </c>
      <c r="X2150" s="2">
        <v>419.96499999999997</v>
      </c>
    </row>
    <row r="2151" spans="1:24" x14ac:dyDescent="0.3">
      <c r="A2151">
        <v>20025</v>
      </c>
      <c r="B2151" t="s">
        <v>6193</v>
      </c>
      <c r="C2151" s="3">
        <v>41974</v>
      </c>
      <c r="D2151" t="s">
        <v>50</v>
      </c>
      <c r="E2151">
        <v>21</v>
      </c>
      <c r="F2151" s="3">
        <f ca="1">41975+(RANDBETWEEN(1,10))</f>
        <v>41979</v>
      </c>
      <c r="G2151" t="s">
        <v>76</v>
      </c>
      <c r="H2151" t="s">
        <v>77</v>
      </c>
      <c r="I2151" t="s">
        <v>86</v>
      </c>
      <c r="J2151">
        <v>6689.55</v>
      </c>
      <c r="K2151">
        <v>0</v>
      </c>
      <c r="L2151">
        <v>0.66</v>
      </c>
      <c r="M2151">
        <v>147</v>
      </c>
      <c r="N2151">
        <v>-712.09151999999995</v>
      </c>
      <c r="O2151" s="1" t="s">
        <v>53</v>
      </c>
      <c r="P2151" s="1" t="s">
        <v>3269</v>
      </c>
      <c r="Q2151" s="1" t="s">
        <v>3270</v>
      </c>
      <c r="R2151" s="1" t="s">
        <v>56</v>
      </c>
      <c r="S2151" s="1" t="s">
        <v>3271</v>
      </c>
      <c r="T2151" s="1" t="s">
        <v>3272</v>
      </c>
      <c r="U2151" s="2" t="s">
        <v>2462</v>
      </c>
      <c r="V2151" s="2" t="s">
        <v>83</v>
      </c>
      <c r="W2151" s="2" t="s">
        <v>84</v>
      </c>
      <c r="X2151" s="2">
        <v>314.96499999999997</v>
      </c>
    </row>
    <row r="2152" spans="1:24" x14ac:dyDescent="0.3">
      <c r="A2152">
        <v>20026</v>
      </c>
      <c r="B2152" t="s">
        <v>6193</v>
      </c>
      <c r="C2152" s="3">
        <v>41974</v>
      </c>
      <c r="D2152" t="s">
        <v>50</v>
      </c>
      <c r="E2152">
        <v>5</v>
      </c>
      <c r="F2152" s="3">
        <f ca="1">41977+(RANDBETWEEN(1,10))</f>
        <v>41981</v>
      </c>
      <c r="G2152" t="s">
        <v>26</v>
      </c>
      <c r="H2152" t="s">
        <v>63</v>
      </c>
      <c r="I2152" t="s">
        <v>86</v>
      </c>
      <c r="J2152">
        <v>64881.915000000001</v>
      </c>
      <c r="K2152">
        <v>0.01</v>
      </c>
      <c r="L2152">
        <v>0.37</v>
      </c>
      <c r="M2152">
        <v>85.715000000000003</v>
      </c>
      <c r="N2152">
        <v>23252.43648</v>
      </c>
      <c r="O2152" s="1" t="s">
        <v>53</v>
      </c>
      <c r="P2152" s="1" t="s">
        <v>3269</v>
      </c>
      <c r="Q2152" s="1" t="s">
        <v>3270</v>
      </c>
      <c r="R2152" s="1" t="s">
        <v>56</v>
      </c>
      <c r="S2152" s="1" t="s">
        <v>3271</v>
      </c>
      <c r="T2152" s="1" t="s">
        <v>3272</v>
      </c>
      <c r="U2152" s="2" t="s">
        <v>6194</v>
      </c>
      <c r="V2152" s="2" t="s">
        <v>36</v>
      </c>
      <c r="W2152" s="2" t="s">
        <v>1327</v>
      </c>
      <c r="X2152" s="2">
        <v>12249.965</v>
      </c>
    </row>
    <row r="2153" spans="1:24" x14ac:dyDescent="0.3">
      <c r="A2153">
        <v>20027</v>
      </c>
      <c r="B2153" t="s">
        <v>6193</v>
      </c>
      <c r="C2153" s="3">
        <v>41974</v>
      </c>
      <c r="D2153" t="s">
        <v>50</v>
      </c>
      <c r="E2153">
        <v>22</v>
      </c>
      <c r="F2153" s="3">
        <f ca="1">41974+(RANDBETWEEN(1,10))</f>
        <v>41977</v>
      </c>
      <c r="G2153" t="s">
        <v>26</v>
      </c>
      <c r="H2153" t="s">
        <v>27</v>
      </c>
      <c r="I2153" t="s">
        <v>86</v>
      </c>
      <c r="J2153">
        <v>2274.86</v>
      </c>
      <c r="K2153">
        <v>0.06</v>
      </c>
      <c r="L2153">
        <v>0.4</v>
      </c>
      <c r="M2153">
        <v>20.16</v>
      </c>
      <c r="N2153">
        <v>1569.6533999999999</v>
      </c>
      <c r="O2153" s="1" t="s">
        <v>53</v>
      </c>
      <c r="P2153" s="1" t="s">
        <v>3269</v>
      </c>
      <c r="Q2153" s="1" t="s">
        <v>3270</v>
      </c>
      <c r="R2153" s="1" t="s">
        <v>56</v>
      </c>
      <c r="S2153" s="1" t="s">
        <v>3271</v>
      </c>
      <c r="T2153" s="1" t="s">
        <v>3272</v>
      </c>
      <c r="U2153" s="2" t="s">
        <v>2045</v>
      </c>
      <c r="V2153" s="2" t="s">
        <v>47</v>
      </c>
      <c r="W2153" s="2" t="s">
        <v>74</v>
      </c>
      <c r="X2153" s="2">
        <v>108.43</v>
      </c>
    </row>
    <row r="2154" spans="1:24" x14ac:dyDescent="0.3">
      <c r="A2154">
        <v>20028</v>
      </c>
      <c r="B2154" t="s">
        <v>6195</v>
      </c>
      <c r="C2154" s="3">
        <v>41881</v>
      </c>
      <c r="D2154" t="s">
        <v>39</v>
      </c>
      <c r="E2154">
        <v>14</v>
      </c>
      <c r="F2154" s="3">
        <f ca="1">41882+(RANDBETWEEN(1,10))</f>
        <v>41887</v>
      </c>
      <c r="G2154" t="s">
        <v>26</v>
      </c>
      <c r="H2154" t="s">
        <v>27</v>
      </c>
      <c r="I2154" t="s">
        <v>28</v>
      </c>
      <c r="J2154">
        <v>2592.73</v>
      </c>
      <c r="K2154">
        <v>0.09</v>
      </c>
      <c r="L2154">
        <v>0.36</v>
      </c>
      <c r="M2154">
        <v>37.625</v>
      </c>
      <c r="N2154">
        <v>1788.9837</v>
      </c>
      <c r="O2154" s="1" t="s">
        <v>29</v>
      </c>
      <c r="P2154" s="1" t="s">
        <v>5472</v>
      </c>
      <c r="Q2154" s="1" t="s">
        <v>5473</v>
      </c>
      <c r="R2154" s="1" t="s">
        <v>675</v>
      </c>
      <c r="S2154" s="1" t="s">
        <v>5474</v>
      </c>
      <c r="T2154" s="1" t="s">
        <v>5475</v>
      </c>
      <c r="U2154" s="2" t="s">
        <v>5401</v>
      </c>
      <c r="V2154" s="2" t="s">
        <v>47</v>
      </c>
      <c r="W2154" s="2" t="s">
        <v>74</v>
      </c>
      <c r="X2154" s="2">
        <v>192.36</v>
      </c>
    </row>
    <row r="2155" spans="1:24" x14ac:dyDescent="0.3">
      <c r="A2155">
        <v>20029</v>
      </c>
      <c r="B2155" t="s">
        <v>6196</v>
      </c>
      <c r="C2155" s="3">
        <v>41420</v>
      </c>
      <c r="D2155" t="s">
        <v>50</v>
      </c>
      <c r="E2155">
        <v>17</v>
      </c>
      <c r="F2155" s="3">
        <f ca="1">41420+(RANDBETWEEN(1,10))</f>
        <v>41429</v>
      </c>
      <c r="G2155" t="s">
        <v>26</v>
      </c>
      <c r="H2155" t="s">
        <v>51</v>
      </c>
      <c r="I2155" t="s">
        <v>28</v>
      </c>
      <c r="J2155">
        <v>1113.77</v>
      </c>
      <c r="K2155">
        <v>0.03</v>
      </c>
      <c r="L2155">
        <v>0.39</v>
      </c>
      <c r="M2155">
        <v>13.195</v>
      </c>
      <c r="N2155">
        <v>768.50130000000001</v>
      </c>
      <c r="O2155" s="1" t="s">
        <v>29</v>
      </c>
      <c r="P2155" s="1" t="s">
        <v>3477</v>
      </c>
      <c r="Q2155" s="1" t="s">
        <v>3478</v>
      </c>
      <c r="R2155" s="1" t="s">
        <v>460</v>
      </c>
      <c r="S2155" s="1" t="s">
        <v>3479</v>
      </c>
      <c r="T2155" s="1" t="s">
        <v>3480</v>
      </c>
      <c r="U2155" s="2" t="s">
        <v>6197</v>
      </c>
      <c r="V2155" s="2" t="s">
        <v>83</v>
      </c>
      <c r="W2155" s="2" t="s">
        <v>178</v>
      </c>
      <c r="X2155" s="2">
        <v>65.275000000000006</v>
      </c>
    </row>
    <row r="2156" spans="1:24" x14ac:dyDescent="0.3">
      <c r="A2156">
        <v>20030</v>
      </c>
      <c r="B2156" t="s">
        <v>6196</v>
      </c>
      <c r="C2156" s="3">
        <v>41420</v>
      </c>
      <c r="D2156" t="s">
        <v>50</v>
      </c>
      <c r="E2156">
        <v>16</v>
      </c>
      <c r="F2156" s="3">
        <f ca="1">41422+(RANDBETWEEN(1,10))</f>
        <v>41430</v>
      </c>
      <c r="G2156" t="s">
        <v>26</v>
      </c>
      <c r="H2156" t="s">
        <v>27</v>
      </c>
      <c r="I2156" t="s">
        <v>28</v>
      </c>
      <c r="J2156">
        <v>382.30500000000001</v>
      </c>
      <c r="K2156">
        <v>0.05</v>
      </c>
      <c r="L2156">
        <v>0.37</v>
      </c>
      <c r="M2156">
        <v>26.215</v>
      </c>
      <c r="N2156">
        <v>-495.28500000000003</v>
      </c>
      <c r="O2156" s="1" t="s">
        <v>29</v>
      </c>
      <c r="P2156" s="1" t="s">
        <v>3477</v>
      </c>
      <c r="Q2156" s="1" t="s">
        <v>3478</v>
      </c>
      <c r="R2156" s="1" t="s">
        <v>460</v>
      </c>
      <c r="S2156" s="1" t="s">
        <v>3479</v>
      </c>
      <c r="T2156" s="1" t="s">
        <v>3480</v>
      </c>
      <c r="U2156" s="2" t="s">
        <v>2916</v>
      </c>
      <c r="V2156" s="2" t="s">
        <v>47</v>
      </c>
      <c r="W2156" s="2" t="s">
        <v>74</v>
      </c>
      <c r="X2156" s="2">
        <v>22.68</v>
      </c>
    </row>
    <row r="2157" spans="1:24" x14ac:dyDescent="0.3">
      <c r="A2157">
        <v>20031</v>
      </c>
      <c r="B2157" t="s">
        <v>6198</v>
      </c>
      <c r="C2157" s="3">
        <v>41779</v>
      </c>
      <c r="D2157" t="s">
        <v>148</v>
      </c>
      <c r="E2157">
        <v>11</v>
      </c>
      <c r="F2157" s="3">
        <f ca="1">41782+(RANDBETWEEN(1,10))</f>
        <v>41791</v>
      </c>
      <c r="G2157" t="s">
        <v>26</v>
      </c>
      <c r="H2157" t="s">
        <v>27</v>
      </c>
      <c r="I2157" t="s">
        <v>86</v>
      </c>
      <c r="J2157">
        <v>242.375</v>
      </c>
      <c r="K2157">
        <v>0.02</v>
      </c>
      <c r="L2157">
        <v>0.36</v>
      </c>
      <c r="M2157">
        <v>27.86</v>
      </c>
      <c r="N2157">
        <v>-486.22</v>
      </c>
      <c r="O2157" s="1" t="s">
        <v>53</v>
      </c>
      <c r="P2157" s="1" t="s">
        <v>6199</v>
      </c>
      <c r="Q2157" s="1" t="s">
        <v>6200</v>
      </c>
      <c r="R2157" s="1" t="s">
        <v>100</v>
      </c>
      <c r="S2157" s="1" t="s">
        <v>6201</v>
      </c>
      <c r="T2157" s="1" t="s">
        <v>6202</v>
      </c>
      <c r="U2157" s="2" t="s">
        <v>3042</v>
      </c>
      <c r="V2157" s="2" t="s">
        <v>47</v>
      </c>
      <c r="W2157" s="2" t="s">
        <v>74</v>
      </c>
      <c r="X2157" s="2">
        <v>20.23</v>
      </c>
    </row>
    <row r="2158" spans="1:24" x14ac:dyDescent="0.3">
      <c r="A2158">
        <v>20032</v>
      </c>
      <c r="B2158" t="s">
        <v>6203</v>
      </c>
      <c r="C2158" s="3">
        <v>41227</v>
      </c>
      <c r="D2158" t="s">
        <v>25</v>
      </c>
      <c r="E2158">
        <v>24</v>
      </c>
      <c r="F2158" s="3">
        <f ca="1">41232+(RANDBETWEEN(1,10))</f>
        <v>41236</v>
      </c>
      <c r="G2158" t="s">
        <v>26</v>
      </c>
      <c r="H2158" t="s">
        <v>27</v>
      </c>
      <c r="I2158" t="s">
        <v>52</v>
      </c>
      <c r="J2158">
        <v>1724.9749999999999</v>
      </c>
      <c r="K2158">
        <v>0.06</v>
      </c>
      <c r="L2158">
        <v>0.78</v>
      </c>
      <c r="M2158">
        <v>22.75</v>
      </c>
      <c r="N2158">
        <v>104.209</v>
      </c>
      <c r="O2158" s="1" t="s">
        <v>40</v>
      </c>
      <c r="P2158" s="1" t="s">
        <v>6204</v>
      </c>
      <c r="Q2158" s="1" t="s">
        <v>6205</v>
      </c>
      <c r="R2158" s="1" t="s">
        <v>220</v>
      </c>
      <c r="S2158" s="1" t="s">
        <v>6206</v>
      </c>
      <c r="T2158" s="1" t="s">
        <v>6207</v>
      </c>
      <c r="U2158" s="2" t="s">
        <v>1138</v>
      </c>
      <c r="V2158" s="2" t="s">
        <v>36</v>
      </c>
      <c r="W2158" s="2" t="s">
        <v>60</v>
      </c>
      <c r="X2158" s="2">
        <v>73.394999999999996</v>
      </c>
    </row>
    <row r="2159" spans="1:24" x14ac:dyDescent="0.3">
      <c r="A2159">
        <v>20033</v>
      </c>
      <c r="B2159" t="s">
        <v>6208</v>
      </c>
      <c r="C2159" s="3">
        <v>41449</v>
      </c>
      <c r="D2159" t="s">
        <v>50</v>
      </c>
      <c r="E2159">
        <v>18</v>
      </c>
      <c r="F2159" s="3">
        <f ca="1">41451+(RANDBETWEEN(1,10))</f>
        <v>41453</v>
      </c>
      <c r="G2159" t="s">
        <v>26</v>
      </c>
      <c r="H2159" t="s">
        <v>27</v>
      </c>
      <c r="I2159" t="s">
        <v>52</v>
      </c>
      <c r="J2159">
        <v>1202.2850000000001</v>
      </c>
      <c r="K2159">
        <v>7.0000000000000007E-2</v>
      </c>
      <c r="L2159">
        <v>0.38</v>
      </c>
      <c r="M2159">
        <v>20.195</v>
      </c>
      <c r="N2159">
        <v>-729.46299999999997</v>
      </c>
      <c r="O2159" s="1" t="s">
        <v>53</v>
      </c>
      <c r="P2159" s="1" t="s">
        <v>6209</v>
      </c>
      <c r="Q2159" s="1" t="s">
        <v>6210</v>
      </c>
      <c r="R2159" s="1" t="s">
        <v>440</v>
      </c>
      <c r="S2159" s="1" t="s">
        <v>6211</v>
      </c>
      <c r="T2159" s="1" t="s">
        <v>6212</v>
      </c>
      <c r="U2159" s="2" t="s">
        <v>5065</v>
      </c>
      <c r="V2159" s="2" t="s">
        <v>47</v>
      </c>
      <c r="W2159" s="2" t="s">
        <v>74</v>
      </c>
      <c r="X2159" s="2">
        <v>69.930000000000007</v>
      </c>
    </row>
    <row r="2160" spans="1:24" x14ac:dyDescent="0.3">
      <c r="A2160">
        <v>20034</v>
      </c>
      <c r="B2160" t="s">
        <v>6208</v>
      </c>
      <c r="C2160" s="3">
        <v>41449</v>
      </c>
      <c r="D2160" t="s">
        <v>50</v>
      </c>
      <c r="E2160">
        <v>19</v>
      </c>
      <c r="F2160" s="3">
        <f ca="1">41450+(RANDBETWEEN(1,10))</f>
        <v>41457</v>
      </c>
      <c r="G2160" t="s">
        <v>26</v>
      </c>
      <c r="H2160" t="s">
        <v>51</v>
      </c>
      <c r="I2160" t="s">
        <v>52</v>
      </c>
      <c r="J2160">
        <v>2403.38</v>
      </c>
      <c r="K2160">
        <v>0.01</v>
      </c>
      <c r="L2160">
        <v>0.56000000000000005</v>
      </c>
      <c r="M2160">
        <v>31.465</v>
      </c>
      <c r="N2160">
        <v>-31.311</v>
      </c>
      <c r="O2160" s="1" t="s">
        <v>53</v>
      </c>
      <c r="P2160" s="1" t="s">
        <v>6209</v>
      </c>
      <c r="Q2160" s="1" t="s">
        <v>6210</v>
      </c>
      <c r="R2160" s="1" t="s">
        <v>440</v>
      </c>
      <c r="S2160" s="1" t="s">
        <v>6211</v>
      </c>
      <c r="T2160" s="1" t="s">
        <v>6212</v>
      </c>
      <c r="U2160" s="2" t="s">
        <v>741</v>
      </c>
      <c r="V2160" s="2" t="s">
        <v>47</v>
      </c>
      <c r="W2160" s="2" t="s">
        <v>104</v>
      </c>
      <c r="X2160" s="2">
        <v>121.03</v>
      </c>
    </row>
    <row r="2161" spans="1:24" x14ac:dyDescent="0.3">
      <c r="A2161">
        <v>20035</v>
      </c>
      <c r="B2161" t="s">
        <v>6213</v>
      </c>
      <c r="C2161" s="3">
        <v>41310</v>
      </c>
      <c r="D2161" t="s">
        <v>50</v>
      </c>
      <c r="E2161">
        <v>4</v>
      </c>
      <c r="F2161" s="3">
        <f ca="1">41311+(RANDBETWEEN(1,10))</f>
        <v>41321</v>
      </c>
      <c r="G2161" t="s">
        <v>156</v>
      </c>
      <c r="H2161" t="s">
        <v>27</v>
      </c>
      <c r="I2161" t="s">
        <v>28</v>
      </c>
      <c r="J2161">
        <v>438.48</v>
      </c>
      <c r="K2161">
        <v>0.02</v>
      </c>
      <c r="L2161">
        <v>0.35</v>
      </c>
      <c r="M2161">
        <v>10.465</v>
      </c>
      <c r="N2161">
        <v>302.55119999999999</v>
      </c>
      <c r="O2161" s="1" t="s">
        <v>64</v>
      </c>
      <c r="P2161" s="1" t="s">
        <v>2663</v>
      </c>
      <c r="Q2161" s="1" t="s">
        <v>2664</v>
      </c>
      <c r="R2161" s="1" t="s">
        <v>67</v>
      </c>
      <c r="S2161" s="1" t="s">
        <v>2665</v>
      </c>
      <c r="T2161" s="1" t="s">
        <v>2666</v>
      </c>
      <c r="U2161" s="2" t="s">
        <v>4393</v>
      </c>
      <c r="V2161" s="2" t="s">
        <v>47</v>
      </c>
      <c r="W2161" s="2" t="s">
        <v>111</v>
      </c>
      <c r="X2161" s="2">
        <v>106.96</v>
      </c>
    </row>
    <row r="2162" spans="1:24" x14ac:dyDescent="0.3">
      <c r="A2162">
        <v>20036</v>
      </c>
      <c r="B2162" t="s">
        <v>6214</v>
      </c>
      <c r="C2162" s="3">
        <v>40709</v>
      </c>
      <c r="D2162" t="s">
        <v>62</v>
      </c>
      <c r="E2162">
        <v>5</v>
      </c>
      <c r="F2162" s="3">
        <f ca="1">40711+(RANDBETWEEN(1,10))</f>
        <v>40719</v>
      </c>
      <c r="G2162" t="s">
        <v>26</v>
      </c>
      <c r="H2162" t="s">
        <v>27</v>
      </c>
      <c r="I2162" t="s">
        <v>97</v>
      </c>
      <c r="J2162">
        <v>98.034999999999997</v>
      </c>
      <c r="K2162">
        <v>0.09</v>
      </c>
      <c r="L2162">
        <v>0.39</v>
      </c>
      <c r="M2162">
        <v>5.2149999999999999</v>
      </c>
      <c r="N2162">
        <v>46.302900000000001</v>
      </c>
      <c r="O2162" s="1" t="s">
        <v>40</v>
      </c>
      <c r="P2162" s="1" t="s">
        <v>6215</v>
      </c>
      <c r="Q2162" s="1" t="s">
        <v>6216</v>
      </c>
      <c r="R2162" s="1" t="s">
        <v>220</v>
      </c>
      <c r="S2162" s="1" t="s">
        <v>6217</v>
      </c>
      <c r="T2162" s="1" t="s">
        <v>6218</v>
      </c>
      <c r="U2162" s="2" t="s">
        <v>1062</v>
      </c>
      <c r="V2162" s="2" t="s">
        <v>47</v>
      </c>
      <c r="W2162" s="2" t="s">
        <v>111</v>
      </c>
      <c r="X2162" s="2">
        <v>20.93</v>
      </c>
    </row>
    <row r="2163" spans="1:24" x14ac:dyDescent="0.3">
      <c r="A2163">
        <v>20037</v>
      </c>
      <c r="B2163" t="s">
        <v>6219</v>
      </c>
      <c r="C2163" s="3">
        <v>41172</v>
      </c>
      <c r="D2163" t="s">
        <v>25</v>
      </c>
      <c r="E2163">
        <v>20</v>
      </c>
      <c r="F2163" s="3">
        <f ca="1">41176+(RANDBETWEEN(1,10))</f>
        <v>41178</v>
      </c>
      <c r="G2163" t="s">
        <v>76</v>
      </c>
      <c r="H2163" t="s">
        <v>77</v>
      </c>
      <c r="I2163" t="s">
        <v>97</v>
      </c>
      <c r="J2163">
        <v>6076.35</v>
      </c>
      <c r="K2163">
        <v>0.1</v>
      </c>
      <c r="L2163">
        <v>0.66</v>
      </c>
      <c r="M2163">
        <v>147</v>
      </c>
      <c r="N2163">
        <v>-2876.5450000000001</v>
      </c>
      <c r="O2163" s="1" t="s">
        <v>87</v>
      </c>
      <c r="P2163" s="1" t="s">
        <v>6220</v>
      </c>
      <c r="Q2163" s="1" t="s">
        <v>6221</v>
      </c>
      <c r="R2163" s="1" t="s">
        <v>646</v>
      </c>
      <c r="S2163" s="1" t="s">
        <v>2737</v>
      </c>
      <c r="T2163" s="1" t="s">
        <v>2738</v>
      </c>
      <c r="U2163" s="2" t="s">
        <v>2462</v>
      </c>
      <c r="V2163" s="2" t="s">
        <v>83</v>
      </c>
      <c r="W2163" s="2" t="s">
        <v>84</v>
      </c>
      <c r="X2163" s="2">
        <v>314.96499999999997</v>
      </c>
    </row>
    <row r="2164" spans="1:24" x14ac:dyDescent="0.3">
      <c r="A2164">
        <v>20038</v>
      </c>
      <c r="B2164" t="s">
        <v>6219</v>
      </c>
      <c r="C2164" s="3">
        <v>41172</v>
      </c>
      <c r="D2164" t="s">
        <v>25</v>
      </c>
      <c r="E2164">
        <v>19</v>
      </c>
      <c r="F2164" s="3">
        <f ca="1">41174+(RANDBETWEEN(1,10))</f>
        <v>41180</v>
      </c>
      <c r="G2164" t="s">
        <v>26</v>
      </c>
      <c r="H2164" t="s">
        <v>96</v>
      </c>
      <c r="I2164" t="s">
        <v>97</v>
      </c>
      <c r="J2164">
        <v>330.57499999999999</v>
      </c>
      <c r="K2164">
        <v>0.05</v>
      </c>
      <c r="L2164">
        <v>0.51</v>
      </c>
      <c r="M2164">
        <v>7.1050000000000004</v>
      </c>
      <c r="N2164">
        <v>87.045000000000002</v>
      </c>
      <c r="O2164" s="1" t="s">
        <v>87</v>
      </c>
      <c r="P2164" s="1" t="s">
        <v>6220</v>
      </c>
      <c r="Q2164" s="1" t="s">
        <v>6221</v>
      </c>
      <c r="R2164" s="1" t="s">
        <v>646</v>
      </c>
      <c r="S2164" s="1" t="s">
        <v>2737</v>
      </c>
      <c r="T2164" s="1" t="s">
        <v>2738</v>
      </c>
      <c r="U2164" s="2" t="s">
        <v>3434</v>
      </c>
      <c r="V2164" s="2" t="s">
        <v>83</v>
      </c>
      <c r="W2164" s="2" t="s">
        <v>178</v>
      </c>
      <c r="X2164" s="2">
        <v>17.78</v>
      </c>
    </row>
    <row r="2165" spans="1:24" x14ac:dyDescent="0.3">
      <c r="A2165">
        <v>20039</v>
      </c>
      <c r="B2165" t="s">
        <v>6222</v>
      </c>
      <c r="C2165" s="3">
        <v>40639</v>
      </c>
      <c r="D2165" t="s">
        <v>39</v>
      </c>
      <c r="E2165">
        <v>4</v>
      </c>
      <c r="F2165" s="3">
        <f ca="1">40641+(RANDBETWEEN(1,10))</f>
        <v>40645</v>
      </c>
      <c r="G2165" t="s">
        <v>26</v>
      </c>
      <c r="H2165" t="s">
        <v>63</v>
      </c>
      <c r="I2165" t="s">
        <v>97</v>
      </c>
      <c r="J2165">
        <v>1281.9100000000001</v>
      </c>
      <c r="K2165">
        <v>0.06</v>
      </c>
      <c r="L2165">
        <v>0.83</v>
      </c>
      <c r="M2165">
        <v>122.5</v>
      </c>
      <c r="N2165">
        <v>108.88500000000001</v>
      </c>
      <c r="O2165" s="1" t="s">
        <v>40</v>
      </c>
      <c r="P2165" s="1" t="s">
        <v>6223</v>
      </c>
      <c r="Q2165" s="1" t="s">
        <v>6224</v>
      </c>
      <c r="R2165" s="1" t="s">
        <v>43</v>
      </c>
      <c r="S2165" s="1" t="s">
        <v>6225</v>
      </c>
      <c r="T2165" s="1" t="s">
        <v>6226</v>
      </c>
      <c r="U2165" s="2" t="s">
        <v>6227</v>
      </c>
      <c r="V2165" s="2" t="s">
        <v>47</v>
      </c>
      <c r="W2165" s="2" t="s">
        <v>119</v>
      </c>
      <c r="X2165" s="2">
        <v>314.40499999999997</v>
      </c>
    </row>
    <row r="2166" spans="1:24" x14ac:dyDescent="0.3">
      <c r="A2166">
        <v>20040</v>
      </c>
      <c r="B2166" t="s">
        <v>6222</v>
      </c>
      <c r="C2166" s="3">
        <v>40639</v>
      </c>
      <c r="D2166" t="s">
        <v>39</v>
      </c>
      <c r="E2166">
        <v>12</v>
      </c>
      <c r="F2166" s="3">
        <f ca="1">40641+(RANDBETWEEN(1,10))</f>
        <v>40646</v>
      </c>
      <c r="G2166" t="s">
        <v>26</v>
      </c>
      <c r="H2166" t="s">
        <v>27</v>
      </c>
      <c r="I2166" t="s">
        <v>97</v>
      </c>
      <c r="J2166">
        <v>552.96500000000003</v>
      </c>
      <c r="K2166">
        <v>0.1</v>
      </c>
      <c r="L2166">
        <v>0.56999999999999995</v>
      </c>
      <c r="M2166">
        <v>19.25</v>
      </c>
      <c r="N2166">
        <v>1254.0338999999999</v>
      </c>
      <c r="O2166" s="1" t="s">
        <v>40</v>
      </c>
      <c r="P2166" s="1" t="s">
        <v>6223</v>
      </c>
      <c r="Q2166" s="1" t="s">
        <v>6224</v>
      </c>
      <c r="R2166" s="1" t="s">
        <v>43</v>
      </c>
      <c r="S2166" s="1" t="s">
        <v>6225</v>
      </c>
      <c r="T2166" s="1" t="s">
        <v>6226</v>
      </c>
      <c r="U2166" s="2" t="s">
        <v>3384</v>
      </c>
      <c r="V2166" s="2" t="s">
        <v>47</v>
      </c>
      <c r="W2166" s="2" t="s">
        <v>119</v>
      </c>
      <c r="X2166" s="2">
        <v>47.005000000000003</v>
      </c>
    </row>
    <row r="2167" spans="1:24" x14ac:dyDescent="0.3">
      <c r="A2167">
        <v>20041</v>
      </c>
      <c r="B2167" t="s">
        <v>6222</v>
      </c>
      <c r="C2167" s="3">
        <v>40639</v>
      </c>
      <c r="D2167" t="s">
        <v>39</v>
      </c>
      <c r="E2167">
        <v>11</v>
      </c>
      <c r="F2167" s="3">
        <f ca="1">40639+(RANDBETWEEN(1,10))</f>
        <v>40641</v>
      </c>
      <c r="G2167" t="s">
        <v>26</v>
      </c>
      <c r="H2167" t="s">
        <v>27</v>
      </c>
      <c r="I2167" t="s">
        <v>97</v>
      </c>
      <c r="J2167">
        <v>4245.08</v>
      </c>
      <c r="K2167">
        <v>0.01</v>
      </c>
      <c r="L2167">
        <v>0.57999999999999996</v>
      </c>
      <c r="M2167">
        <v>26.914999999999999</v>
      </c>
      <c r="N2167">
        <v>29.126999999999999</v>
      </c>
      <c r="O2167" s="1" t="s">
        <v>40</v>
      </c>
      <c r="P2167" s="1" t="s">
        <v>6223</v>
      </c>
      <c r="Q2167" s="1" t="s">
        <v>6224</v>
      </c>
      <c r="R2167" s="1" t="s">
        <v>43</v>
      </c>
      <c r="S2167" s="1" t="s">
        <v>6225</v>
      </c>
      <c r="T2167" s="1" t="s">
        <v>6226</v>
      </c>
      <c r="U2167" s="2" t="s">
        <v>2511</v>
      </c>
      <c r="V2167" s="2" t="s">
        <v>36</v>
      </c>
      <c r="W2167" s="2" t="s">
        <v>37</v>
      </c>
      <c r="X2167" s="2">
        <v>440.96499999999997</v>
      </c>
    </row>
    <row r="2168" spans="1:24" x14ac:dyDescent="0.3">
      <c r="A2168">
        <v>20042</v>
      </c>
      <c r="B2168" t="s">
        <v>6228</v>
      </c>
      <c r="C2168" s="3">
        <v>41108</v>
      </c>
      <c r="D2168" t="s">
        <v>148</v>
      </c>
      <c r="E2168">
        <v>14</v>
      </c>
      <c r="F2168" s="3">
        <f ca="1">41108+(RANDBETWEEN(1,10))</f>
        <v>41118</v>
      </c>
      <c r="G2168" t="s">
        <v>26</v>
      </c>
      <c r="H2168" t="s">
        <v>27</v>
      </c>
      <c r="I2168" t="s">
        <v>28</v>
      </c>
      <c r="J2168">
        <v>794.64</v>
      </c>
      <c r="K2168">
        <v>0.02</v>
      </c>
      <c r="L2168">
        <v>0.37</v>
      </c>
      <c r="M2168">
        <v>14</v>
      </c>
      <c r="N2168">
        <v>110.2059</v>
      </c>
      <c r="O2168" s="1" t="s">
        <v>87</v>
      </c>
      <c r="P2168" s="1" t="s">
        <v>6229</v>
      </c>
      <c r="Q2168" s="1" t="s">
        <v>6230</v>
      </c>
      <c r="R2168" s="1" t="s">
        <v>90</v>
      </c>
      <c r="S2168" s="1" t="s">
        <v>1397</v>
      </c>
      <c r="T2168" s="1" t="s">
        <v>6231</v>
      </c>
      <c r="U2168" s="2" t="s">
        <v>1006</v>
      </c>
      <c r="V2168" s="2" t="s">
        <v>36</v>
      </c>
      <c r="W2168" s="2" t="s">
        <v>60</v>
      </c>
      <c r="X2168" s="2">
        <v>55.93</v>
      </c>
    </row>
    <row r="2169" spans="1:24" x14ac:dyDescent="0.3">
      <c r="A2169">
        <v>20043</v>
      </c>
      <c r="B2169" t="s">
        <v>6232</v>
      </c>
      <c r="C2169" s="3">
        <v>41183</v>
      </c>
      <c r="D2169" t="s">
        <v>50</v>
      </c>
      <c r="E2169">
        <v>10</v>
      </c>
      <c r="F2169" s="3">
        <f ca="1">41184+(RANDBETWEEN(1,10))</f>
        <v>41193</v>
      </c>
      <c r="G2169" t="s">
        <v>26</v>
      </c>
      <c r="H2169" t="s">
        <v>27</v>
      </c>
      <c r="I2169" t="s">
        <v>52</v>
      </c>
      <c r="J2169">
        <v>391.3</v>
      </c>
      <c r="K2169">
        <v>0.03</v>
      </c>
      <c r="L2169">
        <v>0.59</v>
      </c>
      <c r="M2169">
        <v>17.605</v>
      </c>
      <c r="N2169">
        <v>-127.8396</v>
      </c>
      <c r="O2169" s="1" t="s">
        <v>40</v>
      </c>
      <c r="P2169" s="1" t="s">
        <v>4065</v>
      </c>
      <c r="Q2169" s="1" t="s">
        <v>4066</v>
      </c>
      <c r="R2169" s="1" t="s">
        <v>43</v>
      </c>
      <c r="S2169" s="1" t="s">
        <v>4067</v>
      </c>
      <c r="T2169" s="1" t="s">
        <v>4068</v>
      </c>
      <c r="U2169" s="2" t="s">
        <v>3292</v>
      </c>
      <c r="V2169" s="2" t="s">
        <v>47</v>
      </c>
      <c r="W2169" s="2" t="s">
        <v>119</v>
      </c>
      <c r="X2169" s="2">
        <v>39.515000000000001</v>
      </c>
    </row>
    <row r="2170" spans="1:24" x14ac:dyDescent="0.3">
      <c r="A2170">
        <v>20044</v>
      </c>
      <c r="B2170" t="s">
        <v>6233</v>
      </c>
      <c r="C2170" s="3">
        <v>41610</v>
      </c>
      <c r="D2170" t="s">
        <v>62</v>
      </c>
      <c r="E2170">
        <v>16</v>
      </c>
      <c r="F2170" s="3">
        <f ca="1">41611+(RANDBETWEEN(1,10))</f>
        <v>41614</v>
      </c>
      <c r="G2170" t="s">
        <v>26</v>
      </c>
      <c r="H2170" t="s">
        <v>96</v>
      </c>
      <c r="I2170" t="s">
        <v>28</v>
      </c>
      <c r="J2170">
        <v>1721.615</v>
      </c>
      <c r="K2170">
        <v>0.02</v>
      </c>
      <c r="L2170">
        <v>0.38</v>
      </c>
      <c r="M2170">
        <v>20.965</v>
      </c>
      <c r="N2170">
        <v>1187.91435</v>
      </c>
      <c r="O2170" s="1" t="s">
        <v>29</v>
      </c>
      <c r="P2170" s="1" t="s">
        <v>4661</v>
      </c>
      <c r="Q2170" s="1" t="s">
        <v>4662</v>
      </c>
      <c r="R2170" s="1" t="s">
        <v>460</v>
      </c>
      <c r="S2170" s="1" t="s">
        <v>4663</v>
      </c>
      <c r="T2170" s="1" t="s">
        <v>4664</v>
      </c>
      <c r="U2170" s="2" t="s">
        <v>5234</v>
      </c>
      <c r="V2170" s="2" t="s">
        <v>36</v>
      </c>
      <c r="W2170" s="2" t="s">
        <v>37</v>
      </c>
      <c r="X2170" s="2">
        <v>125.965</v>
      </c>
    </row>
    <row r="2171" spans="1:24" x14ac:dyDescent="0.3">
      <c r="A2171">
        <v>20045</v>
      </c>
      <c r="B2171" t="s">
        <v>6234</v>
      </c>
      <c r="C2171" s="3">
        <v>40553</v>
      </c>
      <c r="D2171" t="s">
        <v>62</v>
      </c>
      <c r="E2171">
        <v>6</v>
      </c>
      <c r="F2171" s="3">
        <f ca="1">40555+(RANDBETWEEN(1,10))</f>
        <v>40562</v>
      </c>
      <c r="G2171" t="s">
        <v>26</v>
      </c>
      <c r="H2171" t="s">
        <v>96</v>
      </c>
      <c r="I2171" t="s">
        <v>28</v>
      </c>
      <c r="J2171">
        <v>174.23</v>
      </c>
      <c r="K2171">
        <v>0.01</v>
      </c>
      <c r="L2171">
        <v>0.43</v>
      </c>
      <c r="M2171">
        <v>3.36</v>
      </c>
      <c r="N2171">
        <v>120.2187</v>
      </c>
      <c r="O2171" s="1" t="s">
        <v>225</v>
      </c>
      <c r="P2171" s="1" t="s">
        <v>4980</v>
      </c>
      <c r="Q2171" s="1" t="s">
        <v>4981</v>
      </c>
      <c r="R2171" s="1" t="s">
        <v>228</v>
      </c>
      <c r="S2171" s="1" t="s">
        <v>4982</v>
      </c>
      <c r="T2171" s="1" t="s">
        <v>4983</v>
      </c>
      <c r="U2171" s="2" t="s">
        <v>2587</v>
      </c>
      <c r="V2171" s="2" t="s">
        <v>83</v>
      </c>
      <c r="W2171" s="2" t="s">
        <v>178</v>
      </c>
      <c r="X2171" s="2">
        <v>29.19</v>
      </c>
    </row>
    <row r="2172" spans="1:24" x14ac:dyDescent="0.3">
      <c r="A2172">
        <v>20046</v>
      </c>
      <c r="B2172" t="s">
        <v>6234</v>
      </c>
      <c r="C2172" s="3">
        <v>40553</v>
      </c>
      <c r="D2172" t="s">
        <v>62</v>
      </c>
      <c r="E2172">
        <v>5</v>
      </c>
      <c r="F2172" s="3">
        <f ca="1">40554+(RANDBETWEEN(1,10))</f>
        <v>40559</v>
      </c>
      <c r="G2172" t="s">
        <v>26</v>
      </c>
      <c r="H2172" t="s">
        <v>96</v>
      </c>
      <c r="I2172" t="s">
        <v>28</v>
      </c>
      <c r="J2172">
        <v>58.17</v>
      </c>
      <c r="K2172">
        <v>0.06</v>
      </c>
      <c r="L2172">
        <v>0.56000000000000005</v>
      </c>
      <c r="M2172">
        <v>13.895</v>
      </c>
      <c r="N2172">
        <v>-233.27500000000001</v>
      </c>
      <c r="O2172" s="1" t="s">
        <v>225</v>
      </c>
      <c r="P2172" s="1" t="s">
        <v>4980</v>
      </c>
      <c r="Q2172" s="1" t="s">
        <v>4981</v>
      </c>
      <c r="R2172" s="1" t="s">
        <v>228</v>
      </c>
      <c r="S2172" s="1" t="s">
        <v>4982</v>
      </c>
      <c r="T2172" s="1" t="s">
        <v>4983</v>
      </c>
      <c r="U2172" s="2" t="s">
        <v>4166</v>
      </c>
      <c r="V2172" s="2" t="s">
        <v>47</v>
      </c>
      <c r="W2172" s="2" t="s">
        <v>104</v>
      </c>
      <c r="X2172" s="2">
        <v>11.48</v>
      </c>
    </row>
    <row r="2173" spans="1:24" x14ac:dyDescent="0.3">
      <c r="A2173">
        <v>20047</v>
      </c>
      <c r="B2173" t="s">
        <v>6235</v>
      </c>
      <c r="C2173" s="3">
        <v>41151</v>
      </c>
      <c r="D2173" t="s">
        <v>62</v>
      </c>
      <c r="E2173">
        <v>18</v>
      </c>
      <c r="F2173" s="3">
        <f ca="1">41152+(RANDBETWEEN(1,10))</f>
        <v>41155</v>
      </c>
      <c r="G2173" t="s">
        <v>156</v>
      </c>
      <c r="H2173" t="s">
        <v>27</v>
      </c>
      <c r="I2173" t="s">
        <v>28</v>
      </c>
      <c r="J2173">
        <v>492.34500000000003</v>
      </c>
      <c r="K2173">
        <v>0.03</v>
      </c>
      <c r="L2173">
        <v>0.35</v>
      </c>
      <c r="M2173">
        <v>21.56</v>
      </c>
      <c r="N2173">
        <v>-120.78703</v>
      </c>
      <c r="O2173" s="1" t="s">
        <v>225</v>
      </c>
      <c r="P2173" s="1" t="s">
        <v>6236</v>
      </c>
      <c r="Q2173" s="1" t="s">
        <v>6237</v>
      </c>
      <c r="R2173" s="1" t="s">
        <v>391</v>
      </c>
      <c r="S2173" s="1" t="s">
        <v>1484</v>
      </c>
      <c r="T2173" s="1" t="s">
        <v>6238</v>
      </c>
      <c r="U2173" s="2" t="s">
        <v>3717</v>
      </c>
      <c r="V2173" s="2" t="s">
        <v>47</v>
      </c>
      <c r="W2173" s="2" t="s">
        <v>111</v>
      </c>
      <c r="X2173" s="2">
        <v>26.88</v>
      </c>
    </row>
    <row r="2174" spans="1:24" x14ac:dyDescent="0.3">
      <c r="A2174">
        <v>20048</v>
      </c>
      <c r="B2174" t="s">
        <v>6235</v>
      </c>
      <c r="C2174" s="3">
        <v>41151</v>
      </c>
      <c r="D2174" t="s">
        <v>62</v>
      </c>
      <c r="E2174">
        <v>16</v>
      </c>
      <c r="F2174" s="3">
        <f ca="1">41152+(RANDBETWEEN(1,10))</f>
        <v>41161</v>
      </c>
      <c r="G2174" t="s">
        <v>26</v>
      </c>
      <c r="H2174" t="s">
        <v>27</v>
      </c>
      <c r="I2174" t="s">
        <v>28</v>
      </c>
      <c r="J2174">
        <v>426.61500000000001</v>
      </c>
      <c r="K2174">
        <v>7.0000000000000007E-2</v>
      </c>
      <c r="L2174">
        <v>0.41</v>
      </c>
      <c r="M2174">
        <v>17.324999999999999</v>
      </c>
      <c r="N2174">
        <v>-66.903199999999998</v>
      </c>
      <c r="O2174" s="1" t="s">
        <v>225</v>
      </c>
      <c r="P2174" s="1" t="s">
        <v>6236</v>
      </c>
      <c r="Q2174" s="1" t="s">
        <v>6237</v>
      </c>
      <c r="R2174" s="1" t="s">
        <v>391</v>
      </c>
      <c r="S2174" s="1" t="s">
        <v>1484</v>
      </c>
      <c r="T2174" s="1" t="s">
        <v>6238</v>
      </c>
      <c r="U2174" s="2" t="s">
        <v>3405</v>
      </c>
      <c r="V2174" s="2" t="s">
        <v>83</v>
      </c>
      <c r="W2174" s="2" t="s">
        <v>178</v>
      </c>
      <c r="X2174" s="2">
        <v>27.86</v>
      </c>
    </row>
    <row r="2175" spans="1:24" x14ac:dyDescent="0.3">
      <c r="A2175">
        <v>20049</v>
      </c>
      <c r="B2175" t="s">
        <v>6239</v>
      </c>
      <c r="C2175" s="3">
        <v>40578</v>
      </c>
      <c r="D2175" t="s">
        <v>148</v>
      </c>
      <c r="E2175">
        <v>12</v>
      </c>
      <c r="F2175" s="3">
        <f ca="1">40579+(RANDBETWEEN(1,10))</f>
        <v>40585</v>
      </c>
      <c r="G2175" t="s">
        <v>26</v>
      </c>
      <c r="H2175" t="s">
        <v>27</v>
      </c>
      <c r="I2175" t="s">
        <v>86</v>
      </c>
      <c r="J2175">
        <v>599.65499999999997</v>
      </c>
      <c r="K2175">
        <v>7.0000000000000007E-2</v>
      </c>
      <c r="L2175">
        <v>0.38</v>
      </c>
      <c r="M2175">
        <v>22.61</v>
      </c>
      <c r="N2175">
        <v>237.524</v>
      </c>
      <c r="O2175" s="1" t="s">
        <v>40</v>
      </c>
      <c r="P2175" s="1" t="s">
        <v>4824</v>
      </c>
      <c r="Q2175" s="1" t="s">
        <v>4825</v>
      </c>
      <c r="R2175" s="1" t="s">
        <v>220</v>
      </c>
      <c r="S2175" s="1" t="s">
        <v>4826</v>
      </c>
      <c r="T2175" s="1" t="s">
        <v>4827</v>
      </c>
      <c r="U2175" s="2" t="s">
        <v>1867</v>
      </c>
      <c r="V2175" s="2" t="s">
        <v>47</v>
      </c>
      <c r="W2175" s="2" t="s">
        <v>111</v>
      </c>
      <c r="X2175" s="2">
        <v>50.68</v>
      </c>
    </row>
    <row r="2176" spans="1:24" x14ac:dyDescent="0.3">
      <c r="A2176">
        <v>20050</v>
      </c>
      <c r="B2176" t="s">
        <v>6240</v>
      </c>
      <c r="C2176" s="3">
        <v>41928</v>
      </c>
      <c r="D2176" t="s">
        <v>25</v>
      </c>
      <c r="E2176">
        <v>9</v>
      </c>
      <c r="F2176" s="3">
        <f ca="1">41928+(RANDBETWEEN(1,10))</f>
        <v>41934</v>
      </c>
      <c r="G2176" t="s">
        <v>26</v>
      </c>
      <c r="H2176" t="s">
        <v>51</v>
      </c>
      <c r="I2176" t="s">
        <v>28</v>
      </c>
      <c r="J2176">
        <v>673.61</v>
      </c>
      <c r="K2176">
        <v>0.08</v>
      </c>
      <c r="L2176">
        <v>0.59</v>
      </c>
      <c r="M2176">
        <v>19.355</v>
      </c>
      <c r="N2176">
        <v>16.625</v>
      </c>
      <c r="O2176" s="1" t="s">
        <v>87</v>
      </c>
      <c r="P2176" s="1" t="s">
        <v>6241</v>
      </c>
      <c r="Q2176" s="1" t="s">
        <v>6242</v>
      </c>
      <c r="R2176" s="1" t="s">
        <v>497</v>
      </c>
      <c r="S2176" s="1" t="s">
        <v>6243</v>
      </c>
      <c r="T2176" s="1" t="s">
        <v>6244</v>
      </c>
      <c r="U2176" s="2" t="s">
        <v>2037</v>
      </c>
      <c r="V2176" s="2" t="s">
        <v>47</v>
      </c>
      <c r="W2176" s="2" t="s">
        <v>104</v>
      </c>
      <c r="X2176" s="2">
        <v>77.034999999999997</v>
      </c>
    </row>
    <row r="2177" spans="1:24" x14ac:dyDescent="0.3">
      <c r="A2177">
        <v>20051</v>
      </c>
      <c r="B2177" t="s">
        <v>6245</v>
      </c>
      <c r="C2177" s="3">
        <v>40932</v>
      </c>
      <c r="D2177" t="s">
        <v>50</v>
      </c>
      <c r="E2177">
        <v>10</v>
      </c>
      <c r="F2177" s="3">
        <f ca="1">40933+(RANDBETWEEN(1,10))</f>
        <v>40941</v>
      </c>
      <c r="G2177" t="s">
        <v>26</v>
      </c>
      <c r="H2177" t="s">
        <v>27</v>
      </c>
      <c r="I2177" t="s">
        <v>97</v>
      </c>
      <c r="J2177">
        <v>1220.45</v>
      </c>
      <c r="K2177">
        <v>0.06</v>
      </c>
      <c r="L2177">
        <v>0.75</v>
      </c>
      <c r="M2177">
        <v>31.57</v>
      </c>
      <c r="N2177">
        <v>-782.19820000000004</v>
      </c>
      <c r="O2177" s="1" t="s">
        <v>225</v>
      </c>
      <c r="P2177" s="1" t="s">
        <v>3072</v>
      </c>
      <c r="Q2177" s="1" t="s">
        <v>3073</v>
      </c>
      <c r="R2177" s="1" t="s">
        <v>228</v>
      </c>
      <c r="S2177" s="1" t="s">
        <v>1794</v>
      </c>
      <c r="T2177" s="1" t="s">
        <v>548</v>
      </c>
      <c r="U2177" s="2" t="s">
        <v>6246</v>
      </c>
      <c r="V2177" s="2" t="s">
        <v>36</v>
      </c>
      <c r="W2177" s="2" t="s">
        <v>60</v>
      </c>
      <c r="X2177" s="2">
        <v>125.19499999999999</v>
      </c>
    </row>
    <row r="2178" spans="1:24" x14ac:dyDescent="0.3">
      <c r="A2178">
        <v>20052</v>
      </c>
      <c r="B2178" t="s">
        <v>6247</v>
      </c>
      <c r="C2178" s="3">
        <v>41594</v>
      </c>
      <c r="D2178" t="s">
        <v>39</v>
      </c>
      <c r="E2178">
        <v>41</v>
      </c>
      <c r="F2178" s="3">
        <f ca="1">41595+(RANDBETWEEN(1,10))</f>
        <v>41601</v>
      </c>
      <c r="G2178" t="s">
        <v>26</v>
      </c>
      <c r="H2178" t="s">
        <v>27</v>
      </c>
      <c r="I2178" t="s">
        <v>28</v>
      </c>
      <c r="J2178">
        <v>770.56</v>
      </c>
      <c r="K2178">
        <v>0.02</v>
      </c>
      <c r="L2178">
        <v>0.36</v>
      </c>
      <c r="M2178">
        <v>16.625</v>
      </c>
      <c r="N2178">
        <v>46.381999999999998</v>
      </c>
      <c r="O2178" s="1" t="s">
        <v>64</v>
      </c>
      <c r="P2178" s="1" t="s">
        <v>6248</v>
      </c>
      <c r="Q2178" s="1" t="s">
        <v>6249</v>
      </c>
      <c r="R2178" s="1" t="s">
        <v>67</v>
      </c>
      <c r="S2178" s="1" t="s">
        <v>6250</v>
      </c>
      <c r="T2178" s="1" t="s">
        <v>6251</v>
      </c>
      <c r="U2178" s="2" t="s">
        <v>1528</v>
      </c>
      <c r="V2178" s="2" t="s">
        <v>47</v>
      </c>
      <c r="W2178" s="2" t="s">
        <v>74</v>
      </c>
      <c r="X2178" s="2">
        <v>17.43</v>
      </c>
    </row>
    <row r="2179" spans="1:24" x14ac:dyDescent="0.3">
      <c r="A2179">
        <v>20053</v>
      </c>
      <c r="B2179" t="s">
        <v>6247</v>
      </c>
      <c r="C2179" s="3">
        <v>41594</v>
      </c>
      <c r="D2179" t="s">
        <v>39</v>
      </c>
      <c r="E2179">
        <v>20</v>
      </c>
      <c r="F2179" s="3">
        <f ca="1">41595+(RANDBETWEEN(1,10))</f>
        <v>41602</v>
      </c>
      <c r="G2179" t="s">
        <v>26</v>
      </c>
      <c r="H2179" t="s">
        <v>96</v>
      </c>
      <c r="I2179" t="s">
        <v>28</v>
      </c>
      <c r="J2179">
        <v>115.78</v>
      </c>
      <c r="K2179">
        <v>0.05</v>
      </c>
      <c r="L2179">
        <v>0.35</v>
      </c>
      <c r="M2179">
        <v>3.5</v>
      </c>
      <c r="N2179">
        <v>1.246</v>
      </c>
      <c r="O2179" s="1" t="s">
        <v>40</v>
      </c>
      <c r="P2179" s="1" t="s">
        <v>4224</v>
      </c>
      <c r="Q2179" s="1" t="s">
        <v>4225</v>
      </c>
      <c r="R2179" s="1" t="s">
        <v>43</v>
      </c>
      <c r="S2179" s="1" t="s">
        <v>2884</v>
      </c>
      <c r="T2179" s="1" t="s">
        <v>2885</v>
      </c>
      <c r="U2179" s="2" t="s">
        <v>6252</v>
      </c>
      <c r="V2179" s="2" t="s">
        <v>47</v>
      </c>
      <c r="W2179" s="2" t="s">
        <v>104</v>
      </c>
      <c r="X2179" s="2">
        <v>5.88</v>
      </c>
    </row>
    <row r="2180" spans="1:24" x14ac:dyDescent="0.3">
      <c r="A2180">
        <v>20054</v>
      </c>
      <c r="B2180" t="s">
        <v>6247</v>
      </c>
      <c r="C2180" s="3">
        <v>41594</v>
      </c>
      <c r="D2180" t="s">
        <v>39</v>
      </c>
      <c r="E2180">
        <v>41</v>
      </c>
      <c r="F2180" s="3">
        <f ca="1">41595+(RANDBETWEEN(1,10))</f>
        <v>41596</v>
      </c>
      <c r="G2180" t="s">
        <v>26</v>
      </c>
      <c r="H2180" t="s">
        <v>27</v>
      </c>
      <c r="I2180" t="s">
        <v>28</v>
      </c>
      <c r="J2180">
        <v>15366.12</v>
      </c>
      <c r="K2180">
        <v>0.01</v>
      </c>
      <c r="L2180">
        <v>0.59</v>
      </c>
      <c r="M2180">
        <v>31.465</v>
      </c>
      <c r="N2180">
        <v>9822.6512999999995</v>
      </c>
      <c r="O2180" s="1" t="s">
        <v>40</v>
      </c>
      <c r="P2180" s="1" t="s">
        <v>6253</v>
      </c>
      <c r="Q2180" s="1" t="s">
        <v>6254</v>
      </c>
      <c r="R2180" s="1" t="s">
        <v>220</v>
      </c>
      <c r="S2180" s="1" t="s">
        <v>6255</v>
      </c>
      <c r="T2180" s="1" t="s">
        <v>6256</v>
      </c>
      <c r="U2180" s="2" t="s">
        <v>295</v>
      </c>
      <c r="V2180" s="2" t="s">
        <v>36</v>
      </c>
      <c r="W2180" s="2" t="s">
        <v>37</v>
      </c>
      <c r="X2180" s="2">
        <v>440.96499999999997</v>
      </c>
    </row>
    <row r="2181" spans="1:24" x14ac:dyDescent="0.3">
      <c r="A2181">
        <v>20055</v>
      </c>
      <c r="B2181" t="s">
        <v>6257</v>
      </c>
      <c r="C2181" s="3">
        <v>41283</v>
      </c>
      <c r="D2181" t="s">
        <v>62</v>
      </c>
      <c r="E2181">
        <v>11</v>
      </c>
      <c r="F2181" s="3">
        <f ca="1">41285+(RANDBETWEEN(1,10))</f>
        <v>41290</v>
      </c>
      <c r="G2181" t="s">
        <v>26</v>
      </c>
      <c r="H2181" t="s">
        <v>27</v>
      </c>
      <c r="I2181" t="s">
        <v>28</v>
      </c>
      <c r="J2181">
        <v>265.47500000000002</v>
      </c>
      <c r="K2181">
        <v>0.02</v>
      </c>
      <c r="L2181">
        <v>0.37</v>
      </c>
      <c r="M2181">
        <v>22.434999999999999</v>
      </c>
      <c r="N2181">
        <v>-379.83679999999998</v>
      </c>
      <c r="O2181" s="1" t="s">
        <v>225</v>
      </c>
      <c r="P2181" s="1" t="s">
        <v>4980</v>
      </c>
      <c r="Q2181" s="1" t="s">
        <v>4981</v>
      </c>
      <c r="R2181" s="1" t="s">
        <v>228</v>
      </c>
      <c r="S2181" s="1" t="s">
        <v>4982</v>
      </c>
      <c r="T2181" s="1" t="s">
        <v>4983</v>
      </c>
      <c r="U2181" s="2" t="s">
        <v>6258</v>
      </c>
      <c r="V2181" s="2" t="s">
        <v>47</v>
      </c>
      <c r="W2181" s="2" t="s">
        <v>74</v>
      </c>
      <c r="X2181" s="2">
        <v>22.68</v>
      </c>
    </row>
    <row r="2182" spans="1:24" x14ac:dyDescent="0.3">
      <c r="A2182">
        <v>20056</v>
      </c>
      <c r="B2182" t="s">
        <v>6257</v>
      </c>
      <c r="C2182" s="3">
        <v>41283</v>
      </c>
      <c r="D2182" t="s">
        <v>62</v>
      </c>
      <c r="E2182">
        <v>11</v>
      </c>
      <c r="F2182" s="3">
        <f ca="1">41285+(RANDBETWEEN(1,10))</f>
        <v>41294</v>
      </c>
      <c r="G2182" t="s">
        <v>76</v>
      </c>
      <c r="H2182" t="s">
        <v>77</v>
      </c>
      <c r="I2182" t="s">
        <v>28</v>
      </c>
      <c r="J2182">
        <v>858.97</v>
      </c>
      <c r="K2182">
        <v>0.05</v>
      </c>
      <c r="L2182">
        <v>0.61</v>
      </c>
      <c r="M2182">
        <v>157.5</v>
      </c>
      <c r="N2182">
        <v>-5852.49</v>
      </c>
      <c r="O2182" s="1" t="s">
        <v>225</v>
      </c>
      <c r="P2182" s="1" t="s">
        <v>4980</v>
      </c>
      <c r="Q2182" s="1" t="s">
        <v>4981</v>
      </c>
      <c r="R2182" s="1" t="s">
        <v>228</v>
      </c>
      <c r="S2182" s="1" t="s">
        <v>4982</v>
      </c>
      <c r="T2182" s="1" t="s">
        <v>4983</v>
      </c>
      <c r="U2182" s="2" t="s">
        <v>2625</v>
      </c>
      <c r="V2182" s="2" t="s">
        <v>47</v>
      </c>
      <c r="W2182" s="2" t="s">
        <v>119</v>
      </c>
      <c r="X2182" s="2">
        <v>73.430000000000007</v>
      </c>
    </row>
    <row r="2183" spans="1:24" x14ac:dyDescent="0.3">
      <c r="A2183">
        <v>20057</v>
      </c>
      <c r="B2183" t="s">
        <v>6259</v>
      </c>
      <c r="C2183" s="3">
        <v>41887</v>
      </c>
      <c r="D2183" t="s">
        <v>39</v>
      </c>
      <c r="E2183">
        <v>21</v>
      </c>
      <c r="F2183" s="3">
        <f ca="1">41888+(RANDBETWEEN(1,10))</f>
        <v>41889</v>
      </c>
      <c r="G2183" t="s">
        <v>76</v>
      </c>
      <c r="H2183" t="s">
        <v>258</v>
      </c>
      <c r="I2183" t="s">
        <v>28</v>
      </c>
      <c r="J2183">
        <v>3661.14</v>
      </c>
      <c r="K2183">
        <v>0.05</v>
      </c>
      <c r="L2183">
        <v>0.69</v>
      </c>
      <c r="M2183">
        <v>189.38499999999999</v>
      </c>
      <c r="N2183">
        <v>-5183.9423999999999</v>
      </c>
      <c r="O2183" s="1" t="s">
        <v>29</v>
      </c>
      <c r="P2183" s="1" t="s">
        <v>1113</v>
      </c>
      <c r="Q2183" s="1" t="s">
        <v>1114</v>
      </c>
      <c r="R2183" s="1" t="s">
        <v>460</v>
      </c>
      <c r="S2183" s="1" t="s">
        <v>1115</v>
      </c>
      <c r="T2183" s="1" t="s">
        <v>1116</v>
      </c>
      <c r="U2183" s="2" t="s">
        <v>684</v>
      </c>
      <c r="V2183" s="2" t="s">
        <v>83</v>
      </c>
      <c r="W2183" s="2" t="s">
        <v>298</v>
      </c>
      <c r="X2183" s="2">
        <v>170.03</v>
      </c>
    </row>
    <row r="2184" spans="1:24" x14ac:dyDescent="0.3">
      <c r="A2184">
        <v>20058</v>
      </c>
      <c r="B2184" t="s">
        <v>6260</v>
      </c>
      <c r="C2184" s="3">
        <v>41647</v>
      </c>
      <c r="D2184" t="s">
        <v>25</v>
      </c>
      <c r="E2184">
        <v>4</v>
      </c>
      <c r="F2184" s="3">
        <f ca="1">41647+(RANDBETWEEN(1,10))</f>
        <v>41657</v>
      </c>
      <c r="G2184" t="s">
        <v>26</v>
      </c>
      <c r="H2184" t="s">
        <v>27</v>
      </c>
      <c r="I2184" t="s">
        <v>52</v>
      </c>
      <c r="J2184">
        <v>290.14999999999998</v>
      </c>
      <c r="K2184">
        <v>7.0000000000000007E-2</v>
      </c>
      <c r="L2184">
        <v>0.6</v>
      </c>
      <c r="M2184">
        <v>14</v>
      </c>
      <c r="N2184">
        <v>-93.223200000000006</v>
      </c>
      <c r="O2184" s="1" t="s">
        <v>53</v>
      </c>
      <c r="P2184" s="1" t="s">
        <v>5100</v>
      </c>
      <c r="Q2184" s="1" t="s">
        <v>5101</v>
      </c>
      <c r="R2184" s="1" t="s">
        <v>440</v>
      </c>
      <c r="S2184" s="1" t="s">
        <v>3428</v>
      </c>
      <c r="T2184" s="1" t="s">
        <v>3429</v>
      </c>
      <c r="U2184" s="2" t="s">
        <v>3946</v>
      </c>
      <c r="V2184" s="2" t="s">
        <v>36</v>
      </c>
      <c r="W2184" s="2" t="s">
        <v>60</v>
      </c>
      <c r="X2184" s="2">
        <v>73.325000000000003</v>
      </c>
    </row>
    <row r="2185" spans="1:24" x14ac:dyDescent="0.3">
      <c r="A2185">
        <v>20059</v>
      </c>
      <c r="B2185" t="s">
        <v>6261</v>
      </c>
      <c r="C2185" s="3">
        <v>41839</v>
      </c>
      <c r="D2185" t="s">
        <v>148</v>
      </c>
      <c r="E2185">
        <v>18</v>
      </c>
      <c r="F2185" s="3">
        <f ca="1">41842+(RANDBETWEEN(1,10))</f>
        <v>41848</v>
      </c>
      <c r="G2185" t="s">
        <v>76</v>
      </c>
      <c r="H2185" t="s">
        <v>258</v>
      </c>
      <c r="I2185" t="s">
        <v>86</v>
      </c>
      <c r="J2185">
        <v>10750.495000000001</v>
      </c>
      <c r="K2185">
        <v>0.04</v>
      </c>
      <c r="L2185">
        <v>0.64</v>
      </c>
      <c r="M2185">
        <v>182.7</v>
      </c>
      <c r="N2185">
        <v>-1640.0190204999999</v>
      </c>
      <c r="O2185" s="1" t="s">
        <v>225</v>
      </c>
      <c r="P2185" s="1" t="s">
        <v>6262</v>
      </c>
      <c r="Q2185" s="1" t="s">
        <v>6263</v>
      </c>
      <c r="R2185" s="1" t="s">
        <v>228</v>
      </c>
      <c r="S2185" s="1" t="s">
        <v>6264</v>
      </c>
      <c r="T2185" s="1" t="s">
        <v>6265</v>
      </c>
      <c r="U2185" s="2" t="s">
        <v>1775</v>
      </c>
      <c r="V2185" s="2" t="s">
        <v>83</v>
      </c>
      <c r="W2185" s="2" t="s">
        <v>263</v>
      </c>
      <c r="X2185" s="2">
        <v>744.1</v>
      </c>
    </row>
    <row r="2186" spans="1:24" x14ac:dyDescent="0.3">
      <c r="A2186">
        <v>20060</v>
      </c>
      <c r="B2186" t="s">
        <v>6261</v>
      </c>
      <c r="C2186" s="3">
        <v>41839</v>
      </c>
      <c r="D2186" t="s">
        <v>148</v>
      </c>
      <c r="E2186">
        <v>12</v>
      </c>
      <c r="F2186" s="3">
        <f ca="1">41840+(RANDBETWEEN(1,10))</f>
        <v>41842</v>
      </c>
      <c r="G2186" t="s">
        <v>26</v>
      </c>
      <c r="H2186" t="s">
        <v>27</v>
      </c>
      <c r="I2186" t="s">
        <v>86</v>
      </c>
      <c r="J2186">
        <v>2888.34</v>
      </c>
      <c r="K2186">
        <v>0.05</v>
      </c>
      <c r="L2186">
        <v>0.59</v>
      </c>
      <c r="M2186">
        <v>12.25</v>
      </c>
      <c r="N2186">
        <v>1992.9546</v>
      </c>
      <c r="O2186" s="1" t="s">
        <v>87</v>
      </c>
      <c r="P2186" s="1" t="s">
        <v>6266</v>
      </c>
      <c r="Q2186" s="1" t="s">
        <v>6267</v>
      </c>
      <c r="R2186" s="1" t="s">
        <v>90</v>
      </c>
      <c r="S2186" s="1" t="s">
        <v>653</v>
      </c>
      <c r="T2186" s="1" t="s">
        <v>654</v>
      </c>
      <c r="U2186" s="2" t="s">
        <v>989</v>
      </c>
      <c r="V2186" s="2" t="s">
        <v>47</v>
      </c>
      <c r="W2186" s="2" t="s">
        <v>71</v>
      </c>
      <c r="X2186" s="2">
        <v>248.39500000000001</v>
      </c>
    </row>
    <row r="2187" spans="1:24" x14ac:dyDescent="0.3">
      <c r="A2187">
        <v>20061</v>
      </c>
      <c r="B2187" t="s">
        <v>6268</v>
      </c>
      <c r="C2187" s="3">
        <v>40913</v>
      </c>
      <c r="D2187" t="s">
        <v>39</v>
      </c>
      <c r="E2187">
        <v>8</v>
      </c>
      <c r="F2187" s="3">
        <f ca="1">40913+(RANDBETWEEN(1,10))</f>
        <v>40915</v>
      </c>
      <c r="G2187" t="s">
        <v>26</v>
      </c>
      <c r="H2187" t="s">
        <v>96</v>
      </c>
      <c r="I2187" t="s">
        <v>52</v>
      </c>
      <c r="J2187">
        <v>100.69499999999999</v>
      </c>
      <c r="K2187">
        <v>0.09</v>
      </c>
      <c r="L2187">
        <v>0.44</v>
      </c>
      <c r="M2187">
        <v>2.4500000000000002</v>
      </c>
      <c r="N2187">
        <v>69.479550000000003</v>
      </c>
      <c r="O2187" s="1" t="s">
        <v>40</v>
      </c>
      <c r="P2187" s="1" t="s">
        <v>2358</v>
      </c>
      <c r="Q2187" s="1" t="s">
        <v>2359</v>
      </c>
      <c r="R2187" s="1" t="s">
        <v>220</v>
      </c>
      <c r="S2187" s="1" t="s">
        <v>2360</v>
      </c>
      <c r="T2187" s="1" t="s">
        <v>2361</v>
      </c>
      <c r="U2187" s="2" t="s">
        <v>703</v>
      </c>
      <c r="V2187" s="2" t="s">
        <v>47</v>
      </c>
      <c r="W2187" s="2" t="s">
        <v>104</v>
      </c>
      <c r="X2187" s="2">
        <v>13.475</v>
      </c>
    </row>
    <row r="2188" spans="1:24" x14ac:dyDescent="0.3">
      <c r="A2188">
        <v>20062</v>
      </c>
      <c r="B2188" t="s">
        <v>6268</v>
      </c>
      <c r="C2188" s="3">
        <v>40913</v>
      </c>
      <c r="D2188" t="s">
        <v>39</v>
      </c>
      <c r="E2188">
        <v>11</v>
      </c>
      <c r="F2188" s="3">
        <f ca="1">40915+(RANDBETWEEN(1,10))</f>
        <v>40916</v>
      </c>
      <c r="G2188" t="s">
        <v>156</v>
      </c>
      <c r="H2188" t="s">
        <v>27</v>
      </c>
      <c r="I2188" t="s">
        <v>52</v>
      </c>
      <c r="J2188">
        <v>2032.45</v>
      </c>
      <c r="K2188">
        <v>0.1</v>
      </c>
      <c r="L2188">
        <v>0.59</v>
      </c>
      <c r="M2188">
        <v>14.7</v>
      </c>
      <c r="N2188">
        <v>1208.65878</v>
      </c>
      <c r="O2188" s="1" t="s">
        <v>40</v>
      </c>
      <c r="P2188" s="1" t="s">
        <v>2358</v>
      </c>
      <c r="Q2188" s="1" t="s">
        <v>2359</v>
      </c>
      <c r="R2188" s="1" t="s">
        <v>220</v>
      </c>
      <c r="S2188" s="1" t="s">
        <v>2360</v>
      </c>
      <c r="T2188" s="1" t="s">
        <v>2361</v>
      </c>
      <c r="U2188" s="2">
        <v>5170</v>
      </c>
      <c r="V2188" s="2" t="s">
        <v>36</v>
      </c>
      <c r="W2188" s="2" t="s">
        <v>37</v>
      </c>
      <c r="X2188" s="2">
        <v>230.965</v>
      </c>
    </row>
    <row r="2189" spans="1:24" x14ac:dyDescent="0.3">
      <c r="A2189">
        <v>20063</v>
      </c>
      <c r="B2189" t="s">
        <v>6269</v>
      </c>
      <c r="C2189" s="3">
        <v>41882</v>
      </c>
      <c r="D2189" t="s">
        <v>25</v>
      </c>
      <c r="E2189">
        <v>1</v>
      </c>
      <c r="F2189" s="3">
        <f ca="1">41882+(RANDBETWEEN(1,10))</f>
        <v>41887</v>
      </c>
      <c r="G2189" t="s">
        <v>26</v>
      </c>
      <c r="H2189" t="s">
        <v>51</v>
      </c>
      <c r="I2189" t="s">
        <v>28</v>
      </c>
      <c r="J2189">
        <v>74.025000000000006</v>
      </c>
      <c r="K2189">
        <v>0.06</v>
      </c>
      <c r="L2189">
        <v>0.44</v>
      </c>
      <c r="M2189">
        <v>21.524999999999999</v>
      </c>
      <c r="N2189">
        <v>56.531999999999996</v>
      </c>
      <c r="O2189" s="1" t="s">
        <v>87</v>
      </c>
      <c r="P2189" s="1" t="s">
        <v>3828</v>
      </c>
      <c r="Q2189" s="1" t="s">
        <v>3829</v>
      </c>
      <c r="R2189" s="1" t="s">
        <v>398</v>
      </c>
      <c r="S2189" s="1" t="s">
        <v>3830</v>
      </c>
      <c r="T2189" s="1" t="s">
        <v>3831</v>
      </c>
      <c r="U2189" s="2" t="s">
        <v>3649</v>
      </c>
      <c r="V2189" s="2" t="s">
        <v>83</v>
      </c>
      <c r="W2189" s="2" t="s">
        <v>178</v>
      </c>
      <c r="X2189" s="2">
        <v>67.305000000000007</v>
      </c>
    </row>
    <row r="2190" spans="1:24" x14ac:dyDescent="0.3">
      <c r="A2190">
        <v>20064</v>
      </c>
      <c r="B2190" t="s">
        <v>6270</v>
      </c>
      <c r="C2190" s="3">
        <v>41712</v>
      </c>
      <c r="D2190" t="s">
        <v>148</v>
      </c>
      <c r="E2190">
        <v>11</v>
      </c>
      <c r="F2190" s="3">
        <f ca="1">41713+(RANDBETWEEN(1,10))</f>
        <v>41715</v>
      </c>
      <c r="G2190" t="s">
        <v>76</v>
      </c>
      <c r="H2190" t="s">
        <v>258</v>
      </c>
      <c r="I2190" t="s">
        <v>86</v>
      </c>
      <c r="J2190">
        <v>1798.79</v>
      </c>
      <c r="K2190">
        <v>0.04</v>
      </c>
      <c r="L2190">
        <v>0.67</v>
      </c>
      <c r="M2190">
        <v>163.065</v>
      </c>
      <c r="N2190">
        <v>118.961325</v>
      </c>
      <c r="O2190" s="1" t="s">
        <v>87</v>
      </c>
      <c r="P2190" s="1" t="s">
        <v>3807</v>
      </c>
      <c r="Q2190" s="1" t="s">
        <v>3808</v>
      </c>
      <c r="R2190" s="1" t="s">
        <v>398</v>
      </c>
      <c r="S2190" s="1" t="s">
        <v>3809</v>
      </c>
      <c r="T2190" s="1" t="s">
        <v>3810</v>
      </c>
      <c r="U2190" s="2" t="s">
        <v>4100</v>
      </c>
      <c r="V2190" s="2" t="s">
        <v>83</v>
      </c>
      <c r="W2190" s="2" t="s">
        <v>263</v>
      </c>
      <c r="X2190" s="2">
        <v>155.505</v>
      </c>
    </row>
    <row r="2191" spans="1:24" x14ac:dyDescent="0.3">
      <c r="A2191">
        <v>20065</v>
      </c>
      <c r="B2191" t="s">
        <v>6271</v>
      </c>
      <c r="C2191" s="3">
        <v>40825</v>
      </c>
      <c r="D2191" t="s">
        <v>39</v>
      </c>
      <c r="E2191">
        <v>9</v>
      </c>
      <c r="F2191" s="3">
        <f ca="1">40825+(RANDBETWEEN(1,10))</f>
        <v>40831</v>
      </c>
      <c r="G2191" t="s">
        <v>26</v>
      </c>
      <c r="H2191" t="s">
        <v>27</v>
      </c>
      <c r="I2191" t="s">
        <v>52</v>
      </c>
      <c r="J2191">
        <v>149.41499999999999</v>
      </c>
      <c r="K2191">
        <v>0.08</v>
      </c>
      <c r="L2191">
        <v>0.36</v>
      </c>
      <c r="M2191">
        <v>1.75</v>
      </c>
      <c r="N2191">
        <v>44.540999999999997</v>
      </c>
      <c r="O2191" s="1" t="s">
        <v>29</v>
      </c>
      <c r="P2191" s="1" t="s">
        <v>6272</v>
      </c>
      <c r="Q2191" s="1" t="s">
        <v>6273</v>
      </c>
      <c r="R2191" s="1" t="s">
        <v>32</v>
      </c>
      <c r="S2191" s="1" t="s">
        <v>6274</v>
      </c>
      <c r="T2191" s="1" t="s">
        <v>6275</v>
      </c>
      <c r="U2191" s="2" t="s">
        <v>1158</v>
      </c>
      <c r="V2191" s="2" t="s">
        <v>47</v>
      </c>
      <c r="W2191" s="2" t="s">
        <v>203</v>
      </c>
      <c r="X2191" s="2">
        <v>17.184999999999999</v>
      </c>
    </row>
    <row r="2192" spans="1:24" x14ac:dyDescent="0.3">
      <c r="A2192">
        <v>20066</v>
      </c>
      <c r="B2192" t="s">
        <v>6271</v>
      </c>
      <c r="C2192" s="3">
        <v>40825</v>
      </c>
      <c r="D2192" t="s">
        <v>39</v>
      </c>
      <c r="E2192">
        <v>11</v>
      </c>
      <c r="F2192" s="3">
        <f ca="1">40826+(RANDBETWEEN(1,10))</f>
        <v>40835</v>
      </c>
      <c r="G2192" t="s">
        <v>26</v>
      </c>
      <c r="H2192" t="s">
        <v>51</v>
      </c>
      <c r="I2192" t="s">
        <v>52</v>
      </c>
      <c r="J2192">
        <v>1145.9349999999999</v>
      </c>
      <c r="K2192">
        <v>0.02</v>
      </c>
      <c r="L2192">
        <v>0.55000000000000004</v>
      </c>
      <c r="M2192">
        <v>21.594999999999999</v>
      </c>
      <c r="N2192">
        <v>562.82309999999995</v>
      </c>
      <c r="O2192" s="1" t="s">
        <v>29</v>
      </c>
      <c r="P2192" s="1" t="s">
        <v>6272</v>
      </c>
      <c r="Q2192" s="1" t="s">
        <v>6273</v>
      </c>
      <c r="R2192" s="1" t="s">
        <v>32</v>
      </c>
      <c r="S2192" s="1" t="s">
        <v>6274</v>
      </c>
      <c r="T2192" s="1" t="s">
        <v>6275</v>
      </c>
      <c r="U2192" s="2" t="s">
        <v>1755</v>
      </c>
      <c r="V2192" s="2" t="s">
        <v>47</v>
      </c>
      <c r="W2192" s="2" t="s">
        <v>104</v>
      </c>
      <c r="X2192" s="2">
        <v>98.525000000000006</v>
      </c>
    </row>
    <row r="2193" spans="1:24" x14ac:dyDescent="0.3">
      <c r="A2193">
        <v>20067</v>
      </c>
      <c r="B2193" t="s">
        <v>6276</v>
      </c>
      <c r="C2193" s="3">
        <v>41242</v>
      </c>
      <c r="D2193" t="s">
        <v>50</v>
      </c>
      <c r="E2193">
        <v>31</v>
      </c>
      <c r="F2193" s="3">
        <f ca="1">41244+(RANDBETWEEN(1,10))</f>
        <v>41249</v>
      </c>
      <c r="G2193" t="s">
        <v>156</v>
      </c>
      <c r="H2193" t="s">
        <v>27</v>
      </c>
      <c r="I2193" t="s">
        <v>52</v>
      </c>
      <c r="J2193">
        <v>1284.605</v>
      </c>
      <c r="K2193">
        <v>0</v>
      </c>
      <c r="L2193">
        <v>0.59</v>
      </c>
      <c r="M2193">
        <v>15.75</v>
      </c>
      <c r="N2193">
        <v>92.861999999999995</v>
      </c>
      <c r="O2193" s="1" t="s">
        <v>29</v>
      </c>
      <c r="P2193" s="1" t="s">
        <v>5767</v>
      </c>
      <c r="Q2193" s="1" t="s">
        <v>5768</v>
      </c>
      <c r="R2193" s="1" t="s">
        <v>675</v>
      </c>
      <c r="S2193" s="1" t="s">
        <v>5769</v>
      </c>
      <c r="T2193" s="1" t="s">
        <v>5770</v>
      </c>
      <c r="U2193" s="2" t="s">
        <v>767</v>
      </c>
      <c r="V2193" s="2" t="s">
        <v>47</v>
      </c>
      <c r="W2193" s="2" t="s">
        <v>71</v>
      </c>
      <c r="X2193" s="2">
        <v>38.115000000000002</v>
      </c>
    </row>
    <row r="2194" spans="1:24" x14ac:dyDescent="0.3">
      <c r="A2194">
        <v>20068</v>
      </c>
      <c r="B2194" t="s">
        <v>6276</v>
      </c>
      <c r="C2194" s="3">
        <v>41242</v>
      </c>
      <c r="D2194" t="s">
        <v>50</v>
      </c>
      <c r="E2194">
        <v>16</v>
      </c>
      <c r="F2194" s="3">
        <f ca="1">41243+(RANDBETWEEN(1,10))</f>
        <v>41251</v>
      </c>
      <c r="G2194" t="s">
        <v>26</v>
      </c>
      <c r="H2194" t="s">
        <v>27</v>
      </c>
      <c r="I2194" t="s">
        <v>52</v>
      </c>
      <c r="J2194">
        <v>343</v>
      </c>
      <c r="K2194">
        <v>0.03</v>
      </c>
      <c r="L2194">
        <v>0.35</v>
      </c>
      <c r="M2194">
        <v>18.55</v>
      </c>
      <c r="N2194">
        <v>22.82</v>
      </c>
      <c r="O2194" s="1" t="s">
        <v>29</v>
      </c>
      <c r="P2194" s="1" t="s">
        <v>5767</v>
      </c>
      <c r="Q2194" s="1" t="s">
        <v>5768</v>
      </c>
      <c r="R2194" s="1" t="s">
        <v>675</v>
      </c>
      <c r="S2194" s="1" t="s">
        <v>5769</v>
      </c>
      <c r="T2194" s="1" t="s">
        <v>5770</v>
      </c>
      <c r="U2194" s="2" t="s">
        <v>2464</v>
      </c>
      <c r="V2194" s="2" t="s">
        <v>47</v>
      </c>
      <c r="W2194" s="2" t="s">
        <v>48</v>
      </c>
      <c r="X2194" s="2">
        <v>19.53</v>
      </c>
    </row>
    <row r="2195" spans="1:24" x14ac:dyDescent="0.3">
      <c r="A2195">
        <v>20069</v>
      </c>
      <c r="B2195" t="s">
        <v>6277</v>
      </c>
      <c r="C2195" s="3">
        <v>40953</v>
      </c>
      <c r="D2195" t="s">
        <v>148</v>
      </c>
      <c r="E2195">
        <v>7</v>
      </c>
      <c r="F2195" s="3">
        <f ca="1">40954+(RANDBETWEEN(1,10))</f>
        <v>40959</v>
      </c>
      <c r="G2195" t="s">
        <v>26</v>
      </c>
      <c r="H2195" t="s">
        <v>27</v>
      </c>
      <c r="I2195" t="s">
        <v>52</v>
      </c>
      <c r="J2195">
        <v>1331.645</v>
      </c>
      <c r="K2195">
        <v>0.05</v>
      </c>
      <c r="L2195">
        <v>0.56999999999999995</v>
      </c>
      <c r="M2195">
        <v>13.965</v>
      </c>
      <c r="N2195">
        <v>918.83505000000002</v>
      </c>
      <c r="O2195" s="1" t="s">
        <v>225</v>
      </c>
      <c r="P2195" s="1" t="s">
        <v>5525</v>
      </c>
      <c r="Q2195" s="1" t="s">
        <v>5526</v>
      </c>
      <c r="R2195" s="1" t="s">
        <v>228</v>
      </c>
      <c r="S2195" s="1" t="s">
        <v>5527</v>
      </c>
      <c r="T2195" s="1" t="s">
        <v>2680</v>
      </c>
      <c r="U2195" s="2" t="s">
        <v>6278</v>
      </c>
      <c r="V2195" s="2" t="s">
        <v>36</v>
      </c>
      <c r="W2195" s="2" t="s">
        <v>37</v>
      </c>
      <c r="X2195" s="2">
        <v>230.965</v>
      </c>
    </row>
    <row r="2196" spans="1:24" x14ac:dyDescent="0.3">
      <c r="A2196">
        <v>20070</v>
      </c>
      <c r="B2196" t="s">
        <v>6279</v>
      </c>
      <c r="C2196" s="3">
        <v>40933</v>
      </c>
      <c r="D2196" t="s">
        <v>50</v>
      </c>
      <c r="E2196">
        <v>12</v>
      </c>
      <c r="F2196" s="3">
        <f ca="1">40935+(RANDBETWEEN(1,10))</f>
        <v>40939</v>
      </c>
      <c r="G2196" t="s">
        <v>26</v>
      </c>
      <c r="H2196" t="s">
        <v>27</v>
      </c>
      <c r="I2196" t="s">
        <v>97</v>
      </c>
      <c r="J2196">
        <v>7929.88</v>
      </c>
      <c r="K2196">
        <v>0.09</v>
      </c>
      <c r="L2196">
        <v>0.55000000000000004</v>
      </c>
      <c r="M2196">
        <v>3.4649999999999999</v>
      </c>
      <c r="N2196">
        <v>5471.6171999999997</v>
      </c>
      <c r="O2196" s="1" t="s">
        <v>87</v>
      </c>
      <c r="P2196" s="1" t="s">
        <v>6280</v>
      </c>
      <c r="Q2196" s="1" t="s">
        <v>6281</v>
      </c>
      <c r="R2196" s="1" t="s">
        <v>398</v>
      </c>
      <c r="S2196" s="1" t="s">
        <v>6282</v>
      </c>
      <c r="T2196" s="1" t="s">
        <v>6283</v>
      </c>
      <c r="U2196" s="2" t="s">
        <v>1018</v>
      </c>
      <c r="V2196" s="2" t="s">
        <v>47</v>
      </c>
      <c r="W2196" s="2" t="s">
        <v>71</v>
      </c>
      <c r="X2196" s="2">
        <v>726.18</v>
      </c>
    </row>
    <row r="2197" spans="1:24" x14ac:dyDescent="0.3">
      <c r="A2197">
        <v>20071</v>
      </c>
      <c r="B2197" t="s">
        <v>6279</v>
      </c>
      <c r="C2197" s="3">
        <v>40933</v>
      </c>
      <c r="D2197" t="s">
        <v>50</v>
      </c>
      <c r="E2197">
        <v>7</v>
      </c>
      <c r="F2197" s="3">
        <f ca="1">40934+(RANDBETWEEN(1,10))</f>
        <v>40935</v>
      </c>
      <c r="G2197" t="s">
        <v>76</v>
      </c>
      <c r="H2197" t="s">
        <v>258</v>
      </c>
      <c r="I2197" t="s">
        <v>97</v>
      </c>
      <c r="J2197">
        <v>1437.415</v>
      </c>
      <c r="K2197">
        <v>7.0000000000000007E-2</v>
      </c>
      <c r="L2197">
        <v>0.61</v>
      </c>
      <c r="M2197">
        <v>128.13499999999999</v>
      </c>
      <c r="N2197">
        <v>-2075.4748</v>
      </c>
      <c r="O2197" s="1" t="s">
        <v>87</v>
      </c>
      <c r="P2197" s="1" t="s">
        <v>6280</v>
      </c>
      <c r="Q2197" s="1" t="s">
        <v>6281</v>
      </c>
      <c r="R2197" s="1" t="s">
        <v>398</v>
      </c>
      <c r="S2197" s="1" t="s">
        <v>6282</v>
      </c>
      <c r="T2197" s="1" t="s">
        <v>6283</v>
      </c>
      <c r="U2197" s="2" t="s">
        <v>4050</v>
      </c>
      <c r="V2197" s="2" t="s">
        <v>83</v>
      </c>
      <c r="W2197" s="2" t="s">
        <v>298</v>
      </c>
      <c r="X2197" s="2">
        <v>203.49</v>
      </c>
    </row>
    <row r="2198" spans="1:24" x14ac:dyDescent="0.3">
      <c r="A2198">
        <v>20072</v>
      </c>
      <c r="B2198" t="s">
        <v>6284</v>
      </c>
      <c r="C2198" s="3">
        <v>41648</v>
      </c>
      <c r="D2198" t="s">
        <v>39</v>
      </c>
      <c r="E2198">
        <v>11</v>
      </c>
      <c r="F2198" s="3">
        <f ca="1">41650+(RANDBETWEEN(1,10))</f>
        <v>41655</v>
      </c>
      <c r="G2198" t="s">
        <v>156</v>
      </c>
      <c r="H2198" t="s">
        <v>281</v>
      </c>
      <c r="I2198" t="s">
        <v>97</v>
      </c>
      <c r="J2198">
        <v>275.31</v>
      </c>
      <c r="K2198">
        <v>0.04</v>
      </c>
      <c r="L2198">
        <v>0.6</v>
      </c>
      <c r="M2198">
        <v>17.605</v>
      </c>
      <c r="N2198">
        <v>-453.38677999999999</v>
      </c>
      <c r="O2198" s="1" t="s">
        <v>53</v>
      </c>
      <c r="P2198" s="1" t="s">
        <v>3182</v>
      </c>
      <c r="Q2198" s="1" t="s">
        <v>3183</v>
      </c>
      <c r="R2198" s="1" t="s">
        <v>56</v>
      </c>
      <c r="S2198" s="1" t="s">
        <v>3184</v>
      </c>
      <c r="T2198" s="1" t="s">
        <v>3185</v>
      </c>
      <c r="U2198" s="2" t="s">
        <v>408</v>
      </c>
      <c r="V2198" s="2" t="s">
        <v>36</v>
      </c>
      <c r="W2198" s="2" t="s">
        <v>37</v>
      </c>
      <c r="X2198" s="2">
        <v>27.965</v>
      </c>
    </row>
    <row r="2199" spans="1:24" x14ac:dyDescent="0.3">
      <c r="A2199">
        <v>20073</v>
      </c>
      <c r="B2199" t="s">
        <v>6285</v>
      </c>
      <c r="C2199" s="3">
        <v>40586</v>
      </c>
      <c r="D2199" t="s">
        <v>25</v>
      </c>
      <c r="E2199">
        <v>4</v>
      </c>
      <c r="F2199" s="3">
        <f ca="1">40595+(RANDBETWEEN(1,10))</f>
        <v>40602</v>
      </c>
      <c r="G2199" t="s">
        <v>26</v>
      </c>
      <c r="H2199" t="s">
        <v>27</v>
      </c>
      <c r="I2199" t="s">
        <v>86</v>
      </c>
      <c r="J2199">
        <v>96.704999999999998</v>
      </c>
      <c r="K2199">
        <v>0.1</v>
      </c>
      <c r="L2199">
        <v>0.38</v>
      </c>
      <c r="M2199">
        <v>1.7150000000000001</v>
      </c>
      <c r="N2199">
        <v>66.72645</v>
      </c>
      <c r="O2199" s="1" t="s">
        <v>40</v>
      </c>
      <c r="P2199" s="1" t="s">
        <v>6286</v>
      </c>
      <c r="Q2199" s="1" t="s">
        <v>6287</v>
      </c>
      <c r="R2199" s="1" t="s">
        <v>220</v>
      </c>
      <c r="S2199" s="1" t="s">
        <v>6288</v>
      </c>
      <c r="T2199" s="1" t="s">
        <v>6289</v>
      </c>
      <c r="U2199" s="2" t="s">
        <v>1897</v>
      </c>
      <c r="V2199" s="2" t="s">
        <v>47</v>
      </c>
      <c r="W2199" s="2" t="s">
        <v>203</v>
      </c>
      <c r="X2199" s="2">
        <v>25.585000000000001</v>
      </c>
    </row>
    <row r="2200" spans="1:24" x14ac:dyDescent="0.3">
      <c r="A2200">
        <v>20074</v>
      </c>
      <c r="B2200" t="s">
        <v>6285</v>
      </c>
      <c r="C2200" s="3">
        <v>40586</v>
      </c>
      <c r="D2200" t="s">
        <v>25</v>
      </c>
      <c r="E2200">
        <v>5</v>
      </c>
      <c r="F2200" s="3">
        <f ca="1">40586+(RANDBETWEEN(1,10))</f>
        <v>40589</v>
      </c>
      <c r="G2200" t="s">
        <v>26</v>
      </c>
      <c r="H2200" t="s">
        <v>96</v>
      </c>
      <c r="I2200" t="s">
        <v>86</v>
      </c>
      <c r="J2200">
        <v>109.235</v>
      </c>
      <c r="K2200">
        <v>0.08</v>
      </c>
      <c r="L2200">
        <v>0.52</v>
      </c>
      <c r="M2200">
        <v>5.46</v>
      </c>
      <c r="N2200">
        <v>36.96</v>
      </c>
      <c r="O2200" s="1" t="s">
        <v>40</v>
      </c>
      <c r="P2200" s="1" t="s">
        <v>6286</v>
      </c>
      <c r="Q2200" s="1" t="s">
        <v>6287</v>
      </c>
      <c r="R2200" s="1" t="s">
        <v>220</v>
      </c>
      <c r="S2200" s="1" t="s">
        <v>6288</v>
      </c>
      <c r="T2200" s="1" t="s">
        <v>6289</v>
      </c>
      <c r="U2200" s="2" t="s">
        <v>6290</v>
      </c>
      <c r="V2200" s="2" t="s">
        <v>47</v>
      </c>
      <c r="W2200" s="2" t="s">
        <v>104</v>
      </c>
      <c r="X2200" s="2">
        <v>23.45</v>
      </c>
    </row>
    <row r="2201" spans="1:24" x14ac:dyDescent="0.3">
      <c r="A2201">
        <v>20075</v>
      </c>
      <c r="B2201" t="s">
        <v>6291</v>
      </c>
      <c r="C2201" s="3">
        <v>41770</v>
      </c>
      <c r="D2201" t="s">
        <v>50</v>
      </c>
      <c r="E2201">
        <v>2</v>
      </c>
      <c r="F2201" s="3">
        <f ca="1">41771+(RANDBETWEEN(1,10))</f>
        <v>41779</v>
      </c>
      <c r="G2201" t="s">
        <v>26</v>
      </c>
      <c r="H2201" t="s">
        <v>63</v>
      </c>
      <c r="I2201" t="s">
        <v>28</v>
      </c>
      <c r="J2201">
        <v>3941.21</v>
      </c>
      <c r="K2201">
        <v>0.08</v>
      </c>
      <c r="L2201">
        <v>0.44</v>
      </c>
      <c r="M2201">
        <v>85.715000000000003</v>
      </c>
      <c r="N2201">
        <v>-4734.38</v>
      </c>
      <c r="O2201" s="1" t="s">
        <v>40</v>
      </c>
      <c r="P2201" s="1" t="s">
        <v>6292</v>
      </c>
      <c r="Q2201" s="1" t="s">
        <v>6293</v>
      </c>
      <c r="R2201" s="1" t="s">
        <v>43</v>
      </c>
      <c r="S2201" s="1" t="s">
        <v>80</v>
      </c>
      <c r="T2201" s="1" t="s">
        <v>6294</v>
      </c>
      <c r="U2201" s="2" t="s">
        <v>6295</v>
      </c>
      <c r="V2201" s="2" t="s">
        <v>36</v>
      </c>
      <c r="W2201" s="2" t="s">
        <v>1327</v>
      </c>
      <c r="X2201" s="2">
        <v>2099.9650000000001</v>
      </c>
    </row>
    <row r="2202" spans="1:24" x14ac:dyDescent="0.3">
      <c r="A2202">
        <v>20076</v>
      </c>
      <c r="B2202" t="s">
        <v>6291</v>
      </c>
      <c r="C2202" s="3">
        <v>41770</v>
      </c>
      <c r="D2202" t="s">
        <v>50</v>
      </c>
      <c r="E2202">
        <v>8</v>
      </c>
      <c r="F2202" s="3">
        <f ca="1">41772+(RANDBETWEEN(1,10))</f>
        <v>41782</v>
      </c>
      <c r="G2202" t="s">
        <v>26</v>
      </c>
      <c r="H2202" t="s">
        <v>27</v>
      </c>
      <c r="I2202" t="s">
        <v>28</v>
      </c>
      <c r="J2202">
        <v>1554.28</v>
      </c>
      <c r="K2202">
        <v>0.08</v>
      </c>
      <c r="L2202">
        <v>0.56000000000000005</v>
      </c>
      <c r="M2202">
        <v>31.465</v>
      </c>
      <c r="N2202">
        <v>546.399</v>
      </c>
      <c r="O2202" s="1" t="s">
        <v>40</v>
      </c>
      <c r="P2202" s="1" t="s">
        <v>6292</v>
      </c>
      <c r="Q2202" s="1" t="s">
        <v>6293</v>
      </c>
      <c r="R2202" s="1" t="s">
        <v>43</v>
      </c>
      <c r="S2202" s="1" t="s">
        <v>80</v>
      </c>
      <c r="T2202" s="1" t="s">
        <v>6294</v>
      </c>
      <c r="U2202" s="2" t="s">
        <v>164</v>
      </c>
      <c r="V2202" s="2" t="s">
        <v>36</v>
      </c>
      <c r="W2202" s="2" t="s">
        <v>37</v>
      </c>
      <c r="X2202" s="2">
        <v>230.965</v>
      </c>
    </row>
    <row r="2203" spans="1:24" x14ac:dyDescent="0.3">
      <c r="A2203">
        <v>20077</v>
      </c>
      <c r="B2203" t="s">
        <v>6296</v>
      </c>
      <c r="C2203" s="3">
        <v>41632</v>
      </c>
      <c r="D2203" t="s">
        <v>148</v>
      </c>
      <c r="E2203">
        <v>5</v>
      </c>
      <c r="F2203" s="3">
        <f ca="1">41632+(RANDBETWEEN(1,10))</f>
        <v>41635</v>
      </c>
      <c r="G2203" t="s">
        <v>156</v>
      </c>
      <c r="H2203" t="s">
        <v>27</v>
      </c>
      <c r="I2203" t="s">
        <v>52</v>
      </c>
      <c r="J2203">
        <v>7389.6549999999997</v>
      </c>
      <c r="K2203">
        <v>0.03</v>
      </c>
      <c r="L2203">
        <v>0.35</v>
      </c>
      <c r="M2203">
        <v>69.965000000000003</v>
      </c>
      <c r="N2203">
        <v>5098.8619500000004</v>
      </c>
      <c r="O2203" s="1" t="s">
        <v>53</v>
      </c>
      <c r="P2203" s="1" t="s">
        <v>6297</v>
      </c>
      <c r="Q2203" s="1" t="s">
        <v>6298</v>
      </c>
      <c r="R2203" s="1" t="s">
        <v>100</v>
      </c>
      <c r="S2203" s="1" t="s">
        <v>3199</v>
      </c>
      <c r="T2203" s="1" t="s">
        <v>3200</v>
      </c>
      <c r="U2203" s="2" t="s">
        <v>1352</v>
      </c>
      <c r="V2203" s="2" t="s">
        <v>47</v>
      </c>
      <c r="W2203" s="2" t="s">
        <v>111</v>
      </c>
      <c r="X2203" s="2">
        <v>1473.43</v>
      </c>
    </row>
    <row r="2204" spans="1:24" x14ac:dyDescent="0.3">
      <c r="A2204">
        <v>20078</v>
      </c>
      <c r="B2204" t="s">
        <v>6299</v>
      </c>
      <c r="C2204" s="3">
        <v>41027</v>
      </c>
      <c r="D2204" t="s">
        <v>25</v>
      </c>
      <c r="E2204">
        <v>6</v>
      </c>
      <c r="F2204" s="3">
        <f ca="1">41031+(RANDBETWEEN(1,10))</f>
        <v>41039</v>
      </c>
      <c r="G2204" t="s">
        <v>26</v>
      </c>
      <c r="H2204" t="s">
        <v>27</v>
      </c>
      <c r="I2204" t="s">
        <v>28</v>
      </c>
      <c r="J2204">
        <v>342.33499999999998</v>
      </c>
      <c r="K2204">
        <v>7.0000000000000007E-2</v>
      </c>
      <c r="L2204">
        <v>0.57999999999999996</v>
      </c>
      <c r="M2204">
        <v>21.875</v>
      </c>
      <c r="N2204">
        <v>-97.93</v>
      </c>
      <c r="O2204" s="1" t="s">
        <v>64</v>
      </c>
      <c r="P2204" s="1" t="s">
        <v>6300</v>
      </c>
      <c r="Q2204" s="1" t="s">
        <v>6301</v>
      </c>
      <c r="R2204" s="1" t="s">
        <v>67</v>
      </c>
      <c r="S2204" s="1" t="s">
        <v>6302</v>
      </c>
      <c r="T2204" s="1" t="s">
        <v>6303</v>
      </c>
      <c r="U2204" s="2" t="s">
        <v>306</v>
      </c>
      <c r="V2204" s="2" t="s">
        <v>47</v>
      </c>
      <c r="W2204" s="2" t="s">
        <v>119</v>
      </c>
      <c r="X2204" s="2">
        <v>59.185000000000002</v>
      </c>
    </row>
    <row r="2205" spans="1:24" x14ac:dyDescent="0.3">
      <c r="A2205">
        <v>20079</v>
      </c>
      <c r="B2205" t="s">
        <v>6304</v>
      </c>
      <c r="C2205" s="3">
        <v>41029</v>
      </c>
      <c r="D2205" t="s">
        <v>50</v>
      </c>
      <c r="E2205">
        <v>11</v>
      </c>
      <c r="F2205" s="3">
        <f ca="1">41031+(RANDBETWEEN(1,10))</f>
        <v>41034</v>
      </c>
      <c r="G2205" t="s">
        <v>156</v>
      </c>
      <c r="H2205" t="s">
        <v>27</v>
      </c>
      <c r="I2205" t="s">
        <v>28</v>
      </c>
      <c r="J2205">
        <v>153.05500000000001</v>
      </c>
      <c r="K2205">
        <v>0.06</v>
      </c>
      <c r="L2205">
        <v>0.37</v>
      </c>
      <c r="M2205">
        <v>19.145</v>
      </c>
      <c r="N2205">
        <v>-7672.8609999999999</v>
      </c>
      <c r="O2205" s="1" t="s">
        <v>87</v>
      </c>
      <c r="P2205" s="1" t="s">
        <v>6305</v>
      </c>
      <c r="Q2205" s="1" t="s">
        <v>6306</v>
      </c>
      <c r="R2205" s="1" t="s">
        <v>646</v>
      </c>
      <c r="S2205" s="1" t="s">
        <v>6307</v>
      </c>
      <c r="T2205" s="1" t="s">
        <v>6308</v>
      </c>
      <c r="U2205" s="2" t="s">
        <v>879</v>
      </c>
      <c r="V2205" s="2" t="s">
        <v>47</v>
      </c>
      <c r="W2205" s="2" t="s">
        <v>111</v>
      </c>
      <c r="X2205" s="2">
        <v>12.53</v>
      </c>
    </row>
    <row r="2206" spans="1:24" x14ac:dyDescent="0.3">
      <c r="A2206">
        <v>20080</v>
      </c>
      <c r="B2206" t="s">
        <v>6304</v>
      </c>
      <c r="C2206" s="3">
        <v>41029</v>
      </c>
      <c r="D2206" t="s">
        <v>50</v>
      </c>
      <c r="E2206">
        <v>12</v>
      </c>
      <c r="F2206" s="3">
        <f ca="1">41031+(RANDBETWEEN(1,10))</f>
        <v>41040</v>
      </c>
      <c r="G2206" t="s">
        <v>26</v>
      </c>
      <c r="H2206" t="s">
        <v>51</v>
      </c>
      <c r="I2206" t="s">
        <v>28</v>
      </c>
      <c r="J2206">
        <v>90.825000000000003</v>
      </c>
      <c r="K2206">
        <v>0.1</v>
      </c>
      <c r="L2206">
        <v>0.41</v>
      </c>
      <c r="M2206">
        <v>15.994999999999999</v>
      </c>
      <c r="N2206">
        <v>-2186.9189999999999</v>
      </c>
      <c r="O2206" s="1" t="s">
        <v>87</v>
      </c>
      <c r="P2206" s="1" t="s">
        <v>6305</v>
      </c>
      <c r="Q2206" s="1" t="s">
        <v>6306</v>
      </c>
      <c r="R2206" s="1" t="s">
        <v>646</v>
      </c>
      <c r="S2206" s="1" t="s">
        <v>6307</v>
      </c>
      <c r="T2206" s="1" t="s">
        <v>6308</v>
      </c>
      <c r="U2206" s="2" t="s">
        <v>3903</v>
      </c>
      <c r="V2206" s="2" t="s">
        <v>83</v>
      </c>
      <c r="W2206" s="2" t="s">
        <v>178</v>
      </c>
      <c r="X2206" s="2">
        <v>7.8049999999999997</v>
      </c>
    </row>
    <row r="2207" spans="1:24" x14ac:dyDescent="0.3">
      <c r="A2207">
        <v>20081</v>
      </c>
      <c r="B2207" t="s">
        <v>6304</v>
      </c>
      <c r="C2207" s="3">
        <v>41029</v>
      </c>
      <c r="D2207" t="s">
        <v>50</v>
      </c>
      <c r="E2207">
        <v>5</v>
      </c>
      <c r="F2207" s="3">
        <f ca="1">41031+(RANDBETWEEN(1,10))</f>
        <v>41032</v>
      </c>
      <c r="G2207" t="s">
        <v>76</v>
      </c>
      <c r="H2207" t="s">
        <v>258</v>
      </c>
      <c r="I2207" t="s">
        <v>28</v>
      </c>
      <c r="J2207">
        <v>2355.605</v>
      </c>
      <c r="K2207">
        <v>0.01</v>
      </c>
      <c r="L2207">
        <v>0.63</v>
      </c>
      <c r="M2207">
        <v>181.79</v>
      </c>
      <c r="N2207">
        <v>-348.35570000000001</v>
      </c>
      <c r="O2207" s="1" t="s">
        <v>87</v>
      </c>
      <c r="P2207" s="1" t="s">
        <v>6305</v>
      </c>
      <c r="Q2207" s="1" t="s">
        <v>6306</v>
      </c>
      <c r="R2207" s="1" t="s">
        <v>646</v>
      </c>
      <c r="S2207" s="1" t="s">
        <v>6307</v>
      </c>
      <c r="T2207" s="1" t="s">
        <v>6308</v>
      </c>
      <c r="U2207" s="2" t="s">
        <v>360</v>
      </c>
      <c r="V2207" s="2" t="s">
        <v>83</v>
      </c>
      <c r="W2207" s="2" t="s">
        <v>263</v>
      </c>
      <c r="X2207" s="2">
        <v>435.71499999999997</v>
      </c>
    </row>
    <row r="2208" spans="1:24" x14ac:dyDescent="0.3">
      <c r="A2208">
        <v>20082</v>
      </c>
      <c r="B2208" t="s">
        <v>6309</v>
      </c>
      <c r="C2208" s="3">
        <v>41400</v>
      </c>
      <c r="D2208" t="s">
        <v>25</v>
      </c>
      <c r="E2208">
        <v>15</v>
      </c>
      <c r="F2208" s="3">
        <f ca="1">41405+(RANDBETWEEN(1,10))</f>
        <v>41411</v>
      </c>
      <c r="G2208" t="s">
        <v>76</v>
      </c>
      <c r="H2208" t="s">
        <v>77</v>
      </c>
      <c r="I2208" t="s">
        <v>28</v>
      </c>
      <c r="J2208">
        <v>1351.7349999999999</v>
      </c>
      <c r="K2208">
        <v>7.0000000000000007E-2</v>
      </c>
      <c r="L2208">
        <v>0.6</v>
      </c>
      <c r="M2208">
        <v>50.26</v>
      </c>
      <c r="N2208">
        <v>-740.53</v>
      </c>
      <c r="O2208" s="1" t="s">
        <v>53</v>
      </c>
      <c r="P2208" s="1" t="s">
        <v>6310</v>
      </c>
      <c r="Q2208" s="1" t="s">
        <v>6311</v>
      </c>
      <c r="R2208" s="1" t="s">
        <v>440</v>
      </c>
      <c r="S2208" s="1" t="s">
        <v>6312</v>
      </c>
      <c r="T2208" s="1" t="s">
        <v>6313</v>
      </c>
      <c r="U2208" s="2" t="s">
        <v>4583</v>
      </c>
      <c r="V2208" s="2" t="s">
        <v>83</v>
      </c>
      <c r="W2208" s="2" t="s">
        <v>84</v>
      </c>
      <c r="X2208" s="2">
        <v>90.93</v>
      </c>
    </row>
    <row r="2209" spans="1:24" x14ac:dyDescent="0.3">
      <c r="A2209">
        <v>20083</v>
      </c>
      <c r="B2209" t="s">
        <v>6309</v>
      </c>
      <c r="C2209" s="3">
        <v>41400</v>
      </c>
      <c r="D2209" t="s">
        <v>25</v>
      </c>
      <c r="E2209">
        <v>18</v>
      </c>
      <c r="F2209" s="3">
        <f ca="1">41409+(RANDBETWEEN(1,10))</f>
        <v>41412</v>
      </c>
      <c r="G2209" t="s">
        <v>26</v>
      </c>
      <c r="H2209" t="s">
        <v>27</v>
      </c>
      <c r="I2209" t="s">
        <v>28</v>
      </c>
      <c r="J2209">
        <v>6871.585</v>
      </c>
      <c r="K2209">
        <v>0.03</v>
      </c>
      <c r="L2209">
        <v>0.6</v>
      </c>
      <c r="M2209">
        <v>8.75</v>
      </c>
      <c r="N2209">
        <v>4741.39365</v>
      </c>
      <c r="O2209" s="1" t="s">
        <v>53</v>
      </c>
      <c r="P2209" s="1" t="s">
        <v>6310</v>
      </c>
      <c r="Q2209" s="1" t="s">
        <v>6311</v>
      </c>
      <c r="R2209" s="1" t="s">
        <v>440</v>
      </c>
      <c r="S2209" s="1" t="s">
        <v>6312</v>
      </c>
      <c r="T2209" s="1" t="s">
        <v>6313</v>
      </c>
      <c r="U2209" s="2" t="s">
        <v>4222</v>
      </c>
      <c r="V2209" s="2" t="s">
        <v>36</v>
      </c>
      <c r="W2209" s="2" t="s">
        <v>37</v>
      </c>
      <c r="X2209" s="2">
        <v>440.96499999999997</v>
      </c>
    </row>
    <row r="2210" spans="1:24" x14ac:dyDescent="0.3">
      <c r="A2210">
        <v>20084</v>
      </c>
      <c r="B2210" t="s">
        <v>6314</v>
      </c>
      <c r="C2210" s="3">
        <v>41544</v>
      </c>
      <c r="D2210" t="s">
        <v>39</v>
      </c>
      <c r="E2210">
        <v>3</v>
      </c>
      <c r="F2210" s="3">
        <f ca="1">41546+(RANDBETWEEN(1,10))</f>
        <v>41556</v>
      </c>
      <c r="G2210" t="s">
        <v>26</v>
      </c>
      <c r="H2210" t="s">
        <v>27</v>
      </c>
      <c r="I2210" t="s">
        <v>28</v>
      </c>
      <c r="J2210">
        <v>829.46500000000003</v>
      </c>
      <c r="K2210">
        <v>0.06</v>
      </c>
      <c r="L2210">
        <v>0.56000000000000005</v>
      </c>
      <c r="M2210">
        <v>17.149999999999999</v>
      </c>
      <c r="N2210">
        <v>-587.60799999999995</v>
      </c>
      <c r="O2210" s="1" t="s">
        <v>225</v>
      </c>
      <c r="P2210" s="1" t="s">
        <v>1877</v>
      </c>
      <c r="Q2210" s="1" t="s">
        <v>1878</v>
      </c>
      <c r="R2210" s="1" t="s">
        <v>228</v>
      </c>
      <c r="S2210" s="1" t="s">
        <v>1879</v>
      </c>
      <c r="T2210" s="1" t="s">
        <v>1880</v>
      </c>
      <c r="U2210" s="2" t="s">
        <v>35</v>
      </c>
      <c r="V2210" s="2" t="s">
        <v>36</v>
      </c>
      <c r="W2210" s="2" t="s">
        <v>37</v>
      </c>
      <c r="X2210" s="2">
        <v>335.96499999999997</v>
      </c>
    </row>
    <row r="2211" spans="1:24" x14ac:dyDescent="0.3">
      <c r="A2211">
        <v>20085</v>
      </c>
      <c r="B2211" t="s">
        <v>6315</v>
      </c>
      <c r="C2211" s="3">
        <v>41684</v>
      </c>
      <c r="D2211" t="s">
        <v>39</v>
      </c>
      <c r="E2211">
        <v>12</v>
      </c>
      <c r="F2211" s="3">
        <f ca="1">41685+(RANDBETWEEN(1,10))</f>
        <v>41695</v>
      </c>
      <c r="G2211" t="s">
        <v>26</v>
      </c>
      <c r="H2211" t="s">
        <v>27</v>
      </c>
      <c r="I2211" t="s">
        <v>52</v>
      </c>
      <c r="J2211">
        <v>896.66499999999996</v>
      </c>
      <c r="K2211">
        <v>0.01</v>
      </c>
      <c r="L2211">
        <v>0.37</v>
      </c>
      <c r="M2211">
        <v>30.38</v>
      </c>
      <c r="N2211">
        <v>-153.07599999999999</v>
      </c>
      <c r="O2211" s="1" t="s">
        <v>87</v>
      </c>
      <c r="P2211" s="1" t="s">
        <v>1256</v>
      </c>
      <c r="Q2211" s="1" t="s">
        <v>1257</v>
      </c>
      <c r="R2211" s="1" t="s">
        <v>398</v>
      </c>
      <c r="S2211" s="1" t="s">
        <v>1258</v>
      </c>
      <c r="T2211" s="1" t="s">
        <v>1259</v>
      </c>
      <c r="U2211" s="2" t="s">
        <v>3983</v>
      </c>
      <c r="V2211" s="2" t="s">
        <v>47</v>
      </c>
      <c r="W2211" s="2" t="s">
        <v>74</v>
      </c>
      <c r="X2211" s="2">
        <v>69.930000000000007</v>
      </c>
    </row>
    <row r="2212" spans="1:24" x14ac:dyDescent="0.3">
      <c r="A2212">
        <v>20086</v>
      </c>
      <c r="B2212" t="s">
        <v>6316</v>
      </c>
      <c r="C2212" s="3">
        <v>41697</v>
      </c>
      <c r="D2212" t="s">
        <v>25</v>
      </c>
      <c r="E2212">
        <v>4</v>
      </c>
      <c r="F2212" s="3">
        <f ca="1">41699+(RANDBETWEEN(1,10))</f>
        <v>41701</v>
      </c>
      <c r="G2212" t="s">
        <v>156</v>
      </c>
      <c r="H2212" t="s">
        <v>27</v>
      </c>
      <c r="I2212" t="s">
        <v>28</v>
      </c>
      <c r="J2212">
        <v>1475.2149999999999</v>
      </c>
      <c r="K2212">
        <v>7.0000000000000007E-2</v>
      </c>
      <c r="L2212">
        <v>0.59</v>
      </c>
      <c r="M2212">
        <v>30.8</v>
      </c>
      <c r="N2212">
        <v>73.584000000000003</v>
      </c>
      <c r="O2212" s="1" t="s">
        <v>87</v>
      </c>
      <c r="P2212" s="1" t="s">
        <v>687</v>
      </c>
      <c r="Q2212" s="1" t="s">
        <v>688</v>
      </c>
      <c r="R2212" s="1" t="s">
        <v>398</v>
      </c>
      <c r="S2212" s="1" t="s">
        <v>689</v>
      </c>
      <c r="T2212" s="1" t="s">
        <v>690</v>
      </c>
      <c r="U2212" s="2" t="s">
        <v>1548</v>
      </c>
      <c r="V2212" s="2" t="s">
        <v>36</v>
      </c>
      <c r="W2212" s="2" t="s">
        <v>37</v>
      </c>
      <c r="X2212" s="2">
        <v>440.96499999999997</v>
      </c>
    </row>
    <row r="2213" spans="1:24" x14ac:dyDescent="0.3">
      <c r="A2213">
        <v>20087</v>
      </c>
      <c r="B2213" t="s">
        <v>6317</v>
      </c>
      <c r="C2213" s="3">
        <v>41422</v>
      </c>
      <c r="D2213" t="s">
        <v>148</v>
      </c>
      <c r="E2213">
        <v>2</v>
      </c>
      <c r="F2213" s="3">
        <f ca="1">41423+(RANDBETWEEN(1,10))</f>
        <v>41433</v>
      </c>
      <c r="G2213" t="s">
        <v>76</v>
      </c>
      <c r="H2213" t="s">
        <v>258</v>
      </c>
      <c r="I2213" t="s">
        <v>86</v>
      </c>
      <c r="J2213">
        <v>755.755</v>
      </c>
      <c r="K2213">
        <v>0</v>
      </c>
      <c r="L2213">
        <v>0.62</v>
      </c>
      <c r="M2213">
        <v>125.44</v>
      </c>
      <c r="N2213">
        <v>-507.04500000000002</v>
      </c>
      <c r="O2213" s="1" t="s">
        <v>87</v>
      </c>
      <c r="P2213" s="1" t="s">
        <v>6318</v>
      </c>
      <c r="Q2213" s="1" t="s">
        <v>6319</v>
      </c>
      <c r="R2213" s="1" t="s">
        <v>646</v>
      </c>
      <c r="S2213" s="1" t="s">
        <v>6320</v>
      </c>
      <c r="T2213" s="1" t="s">
        <v>6321</v>
      </c>
      <c r="U2213" s="2" t="s">
        <v>1271</v>
      </c>
      <c r="V2213" s="2" t="s">
        <v>83</v>
      </c>
      <c r="W2213" s="2" t="s">
        <v>298</v>
      </c>
      <c r="X2213" s="2">
        <v>353.43</v>
      </c>
    </row>
    <row r="2214" spans="1:24" x14ac:dyDescent="0.3">
      <c r="A2214">
        <v>20088</v>
      </c>
      <c r="B2214" t="s">
        <v>6322</v>
      </c>
      <c r="C2214" s="3">
        <v>41178</v>
      </c>
      <c r="D2214" t="s">
        <v>25</v>
      </c>
      <c r="E2214">
        <v>22</v>
      </c>
      <c r="F2214" s="3">
        <f ca="1">41178+(RANDBETWEEN(1,10))</f>
        <v>41187</v>
      </c>
      <c r="G2214" t="s">
        <v>26</v>
      </c>
      <c r="H2214" t="s">
        <v>51</v>
      </c>
      <c r="I2214" t="s">
        <v>86</v>
      </c>
      <c r="J2214">
        <v>842.20500000000004</v>
      </c>
      <c r="K2214">
        <v>0.03</v>
      </c>
      <c r="L2214">
        <v>0.6</v>
      </c>
      <c r="M2214">
        <v>10.115</v>
      </c>
      <c r="N2214">
        <v>222.25</v>
      </c>
      <c r="O2214" s="1" t="s">
        <v>40</v>
      </c>
      <c r="P2214" s="1" t="s">
        <v>6323</v>
      </c>
      <c r="Q2214" s="1" t="s">
        <v>6324</v>
      </c>
      <c r="R2214" s="1" t="s">
        <v>43</v>
      </c>
      <c r="S2214" s="1" t="s">
        <v>6325</v>
      </c>
      <c r="T2214" s="1" t="s">
        <v>6326</v>
      </c>
      <c r="U2214" s="2" t="s">
        <v>6149</v>
      </c>
      <c r="V2214" s="2" t="s">
        <v>47</v>
      </c>
      <c r="W2214" s="2" t="s">
        <v>104</v>
      </c>
      <c r="X2214" s="2">
        <v>36.68</v>
      </c>
    </row>
    <row r="2215" spans="1:24" x14ac:dyDescent="0.3">
      <c r="A2215">
        <v>20089</v>
      </c>
      <c r="B2215" t="s">
        <v>6327</v>
      </c>
      <c r="C2215" s="3">
        <v>41411</v>
      </c>
      <c r="D2215" t="s">
        <v>148</v>
      </c>
      <c r="E2215">
        <v>13</v>
      </c>
      <c r="F2215" s="3">
        <f ca="1">41413+(RANDBETWEEN(1,10))</f>
        <v>41422</v>
      </c>
      <c r="G2215" t="s">
        <v>26</v>
      </c>
      <c r="H2215" t="s">
        <v>27</v>
      </c>
      <c r="I2215" t="s">
        <v>97</v>
      </c>
      <c r="J2215">
        <v>3719.24</v>
      </c>
      <c r="K2215">
        <v>0.02</v>
      </c>
      <c r="L2215">
        <v>0.48</v>
      </c>
      <c r="M2215">
        <v>25.13</v>
      </c>
      <c r="N2215">
        <v>-923.79700000000003</v>
      </c>
      <c r="O2215" s="1" t="s">
        <v>64</v>
      </c>
      <c r="P2215" s="1" t="s">
        <v>2484</v>
      </c>
      <c r="Q2215" s="1" t="s">
        <v>2485</v>
      </c>
      <c r="R2215" s="1" t="s">
        <v>128</v>
      </c>
      <c r="S2215" s="1" t="s">
        <v>2486</v>
      </c>
      <c r="T2215" s="1" t="s">
        <v>2487</v>
      </c>
      <c r="U2215" s="2" t="s">
        <v>5548</v>
      </c>
      <c r="V2215" s="2" t="s">
        <v>36</v>
      </c>
      <c r="W2215" s="2" t="s">
        <v>60</v>
      </c>
      <c r="X2215" s="2">
        <v>283.43</v>
      </c>
    </row>
    <row r="2216" spans="1:24" x14ac:dyDescent="0.3">
      <c r="A2216">
        <v>20090</v>
      </c>
      <c r="B2216" t="s">
        <v>6327</v>
      </c>
      <c r="C2216" s="3">
        <v>41411</v>
      </c>
      <c r="D2216" t="s">
        <v>148</v>
      </c>
      <c r="E2216">
        <v>10</v>
      </c>
      <c r="F2216" s="3">
        <f ca="1">41411+(RANDBETWEEN(1,10))</f>
        <v>41414</v>
      </c>
      <c r="G2216" t="s">
        <v>26</v>
      </c>
      <c r="H2216" t="s">
        <v>96</v>
      </c>
      <c r="I2216" t="s">
        <v>97</v>
      </c>
      <c r="J2216">
        <v>87.78</v>
      </c>
      <c r="K2216">
        <v>0.08</v>
      </c>
      <c r="L2216">
        <v>0.57999999999999996</v>
      </c>
      <c r="M2216">
        <v>8.4</v>
      </c>
      <c r="N2216">
        <v>-114.072</v>
      </c>
      <c r="O2216" s="1" t="s">
        <v>64</v>
      </c>
      <c r="P2216" s="1" t="s">
        <v>2484</v>
      </c>
      <c r="Q2216" s="1" t="s">
        <v>2485</v>
      </c>
      <c r="R2216" s="1" t="s">
        <v>128</v>
      </c>
      <c r="S2216" s="1" t="s">
        <v>2486</v>
      </c>
      <c r="T2216" s="1" t="s">
        <v>2487</v>
      </c>
      <c r="U2216" s="2" t="s">
        <v>6328</v>
      </c>
      <c r="V2216" s="2" t="s">
        <v>47</v>
      </c>
      <c r="W2216" s="2" t="s">
        <v>104</v>
      </c>
      <c r="X2216" s="2">
        <v>9.1</v>
      </c>
    </row>
    <row r="2217" spans="1:24" x14ac:dyDescent="0.3">
      <c r="A2217">
        <v>20091</v>
      </c>
      <c r="B2217" t="s">
        <v>6329</v>
      </c>
      <c r="C2217" s="3">
        <v>41477</v>
      </c>
      <c r="D2217" t="s">
        <v>39</v>
      </c>
      <c r="E2217">
        <v>16</v>
      </c>
      <c r="F2217" s="3">
        <f ca="1">41479+(RANDBETWEEN(1,10))</f>
        <v>41489</v>
      </c>
      <c r="G2217" t="s">
        <v>26</v>
      </c>
      <c r="H2217" t="s">
        <v>27</v>
      </c>
      <c r="I2217" t="s">
        <v>28</v>
      </c>
      <c r="J2217">
        <v>281.64499999999998</v>
      </c>
      <c r="K2217">
        <v>0.03</v>
      </c>
      <c r="L2217">
        <v>0.38</v>
      </c>
      <c r="M2217">
        <v>16.45</v>
      </c>
      <c r="N2217">
        <v>456.89699999999999</v>
      </c>
      <c r="O2217" s="1" t="s">
        <v>87</v>
      </c>
      <c r="P2217" s="1" t="s">
        <v>4361</v>
      </c>
      <c r="Q2217" s="1" t="s">
        <v>4362</v>
      </c>
      <c r="R2217" s="1" t="s">
        <v>646</v>
      </c>
      <c r="S2217" s="1" t="s">
        <v>4363</v>
      </c>
      <c r="T2217" s="1" t="s">
        <v>4364</v>
      </c>
      <c r="U2217" s="2" t="s">
        <v>5182</v>
      </c>
      <c r="V2217" s="2" t="s">
        <v>47</v>
      </c>
      <c r="W2217" s="2" t="s">
        <v>74</v>
      </c>
      <c r="X2217" s="2">
        <v>17.43</v>
      </c>
    </row>
    <row r="2218" spans="1:24" x14ac:dyDescent="0.3">
      <c r="A2218">
        <v>20092</v>
      </c>
      <c r="B2218" t="s">
        <v>6330</v>
      </c>
      <c r="C2218" s="3">
        <v>41056</v>
      </c>
      <c r="D2218" t="s">
        <v>62</v>
      </c>
      <c r="E2218">
        <v>5</v>
      </c>
      <c r="F2218" s="3">
        <f ca="1">41057+(RANDBETWEEN(1,10))</f>
        <v>41060</v>
      </c>
      <c r="G2218" t="s">
        <v>76</v>
      </c>
      <c r="H2218" t="s">
        <v>258</v>
      </c>
      <c r="I2218" t="s">
        <v>28</v>
      </c>
      <c r="J2218">
        <v>15054.865</v>
      </c>
      <c r="K2218">
        <v>7.0000000000000007E-2</v>
      </c>
      <c r="L2218">
        <v>0.62</v>
      </c>
      <c r="M2218">
        <v>155.92500000000001</v>
      </c>
      <c r="N2218">
        <v>-651.35699999999997</v>
      </c>
      <c r="O2218" s="1" t="s">
        <v>29</v>
      </c>
      <c r="P2218" s="1" t="s">
        <v>3051</v>
      </c>
      <c r="Q2218" s="1" t="s">
        <v>3052</v>
      </c>
      <c r="R2218" s="1" t="s">
        <v>460</v>
      </c>
      <c r="S2218" s="1" t="s">
        <v>3053</v>
      </c>
      <c r="T2218" s="1" t="s">
        <v>3054</v>
      </c>
      <c r="U2218" s="2" t="s">
        <v>1930</v>
      </c>
      <c r="V2218" s="2" t="s">
        <v>83</v>
      </c>
      <c r="W2218" s="2" t="s">
        <v>298</v>
      </c>
      <c r="X2218" s="2">
        <v>3083.43</v>
      </c>
    </row>
    <row r="2219" spans="1:24" x14ac:dyDescent="0.3">
      <c r="A2219">
        <v>20093</v>
      </c>
      <c r="B2219" t="s">
        <v>6330</v>
      </c>
      <c r="C2219" s="3">
        <v>41056</v>
      </c>
      <c r="D2219" t="s">
        <v>62</v>
      </c>
      <c r="E2219">
        <v>5</v>
      </c>
      <c r="F2219" s="3">
        <f ca="1">41057+(RANDBETWEEN(1,10))</f>
        <v>41060</v>
      </c>
      <c r="G2219" t="s">
        <v>26</v>
      </c>
      <c r="H2219" t="s">
        <v>27</v>
      </c>
      <c r="I2219" t="s">
        <v>28</v>
      </c>
      <c r="J2219">
        <v>243.91499999999999</v>
      </c>
      <c r="K2219">
        <v>0</v>
      </c>
      <c r="L2219">
        <v>0.59</v>
      </c>
      <c r="M2219">
        <v>15.785</v>
      </c>
      <c r="N2219">
        <v>-2007.971</v>
      </c>
      <c r="O2219" s="1" t="s">
        <v>29</v>
      </c>
      <c r="P2219" s="1" t="s">
        <v>3051</v>
      </c>
      <c r="Q2219" s="1" t="s">
        <v>3052</v>
      </c>
      <c r="R2219" s="1" t="s">
        <v>460</v>
      </c>
      <c r="S2219" s="1" t="s">
        <v>3053</v>
      </c>
      <c r="T2219" s="1" t="s">
        <v>3054</v>
      </c>
      <c r="U2219" s="2" t="s">
        <v>1495</v>
      </c>
      <c r="V2219" s="2" t="s">
        <v>47</v>
      </c>
      <c r="W2219" s="2" t="s">
        <v>119</v>
      </c>
      <c r="X2219" s="2">
        <v>47.18</v>
      </c>
    </row>
    <row r="2220" spans="1:24" x14ac:dyDescent="0.3">
      <c r="A2220">
        <v>20094</v>
      </c>
      <c r="B2220" t="s">
        <v>6331</v>
      </c>
      <c r="C2220" s="3">
        <v>41834</v>
      </c>
      <c r="D2220" t="s">
        <v>62</v>
      </c>
      <c r="E2220">
        <v>9</v>
      </c>
      <c r="F2220" s="3">
        <f ca="1">41835+(RANDBETWEEN(1,10))</f>
        <v>41840</v>
      </c>
      <c r="G2220" t="s">
        <v>26</v>
      </c>
      <c r="H2220" t="s">
        <v>51</v>
      </c>
      <c r="I2220" t="s">
        <v>52</v>
      </c>
      <c r="J2220">
        <v>1048.7049999999999</v>
      </c>
      <c r="K2220">
        <v>0.03</v>
      </c>
      <c r="L2220">
        <v>0.42</v>
      </c>
      <c r="M2220">
        <v>6.9649999999999999</v>
      </c>
      <c r="N2220">
        <v>300.78300000000002</v>
      </c>
      <c r="O2220" s="1" t="s">
        <v>29</v>
      </c>
      <c r="P2220" s="1" t="s">
        <v>1714</v>
      </c>
      <c r="Q2220" s="1" t="s">
        <v>1715</v>
      </c>
      <c r="R2220" s="1" t="s">
        <v>460</v>
      </c>
      <c r="S2220" s="1" t="s">
        <v>1716</v>
      </c>
      <c r="T2220" s="1" t="s">
        <v>1717</v>
      </c>
      <c r="U2220" s="2" t="s">
        <v>1226</v>
      </c>
      <c r="V2220" s="2" t="s">
        <v>36</v>
      </c>
      <c r="W2220" s="2" t="s">
        <v>60</v>
      </c>
      <c r="X2220" s="2">
        <v>111.23</v>
      </c>
    </row>
    <row r="2221" spans="1:24" x14ac:dyDescent="0.3">
      <c r="A2221">
        <v>20095</v>
      </c>
      <c r="B2221" t="s">
        <v>6332</v>
      </c>
      <c r="C2221" s="3">
        <v>41208</v>
      </c>
      <c r="D2221" t="s">
        <v>148</v>
      </c>
      <c r="E2221">
        <v>4</v>
      </c>
      <c r="F2221" s="3">
        <f ca="1">41209+(RANDBETWEEN(1,10))</f>
        <v>41213</v>
      </c>
      <c r="G2221" t="s">
        <v>26</v>
      </c>
      <c r="H2221" t="s">
        <v>27</v>
      </c>
      <c r="I2221" t="s">
        <v>97</v>
      </c>
      <c r="J2221">
        <v>489.61500000000001</v>
      </c>
      <c r="K2221">
        <v>7.0000000000000007E-2</v>
      </c>
      <c r="L2221">
        <v>0.56999999999999995</v>
      </c>
      <c r="M2221">
        <v>28.77</v>
      </c>
      <c r="N2221">
        <v>-52.995600000000003</v>
      </c>
      <c r="O2221" s="1" t="s">
        <v>40</v>
      </c>
      <c r="P2221" s="1" t="s">
        <v>6016</v>
      </c>
      <c r="Q2221" s="1" t="s">
        <v>6017</v>
      </c>
      <c r="R2221" s="1" t="s">
        <v>43</v>
      </c>
      <c r="S2221" s="1" t="s">
        <v>6018</v>
      </c>
      <c r="T2221" s="1" t="s">
        <v>6019</v>
      </c>
      <c r="U2221" s="2" t="s">
        <v>2001</v>
      </c>
      <c r="V2221" s="2" t="s">
        <v>47</v>
      </c>
      <c r="W2221" s="2" t="s">
        <v>119</v>
      </c>
      <c r="X2221" s="2">
        <v>121.66</v>
      </c>
    </row>
    <row r="2222" spans="1:24" x14ac:dyDescent="0.3">
      <c r="A2222">
        <v>20096</v>
      </c>
      <c r="B2222" t="s">
        <v>6332</v>
      </c>
      <c r="C2222" s="3">
        <v>41208</v>
      </c>
      <c r="D2222" t="s">
        <v>148</v>
      </c>
      <c r="E2222">
        <v>4</v>
      </c>
      <c r="F2222" s="3">
        <f ca="1">41210+(RANDBETWEEN(1,10))</f>
        <v>41218</v>
      </c>
      <c r="G2222" t="s">
        <v>76</v>
      </c>
      <c r="H2222" t="s">
        <v>258</v>
      </c>
      <c r="I2222" t="s">
        <v>97</v>
      </c>
      <c r="J2222">
        <v>269.88499999999999</v>
      </c>
      <c r="K2222">
        <v>0.03</v>
      </c>
      <c r="L2222">
        <v>0.76</v>
      </c>
      <c r="M2222">
        <v>97.125</v>
      </c>
      <c r="N2222">
        <v>-606.27419999999995</v>
      </c>
      <c r="O2222" s="1" t="s">
        <v>40</v>
      </c>
      <c r="P2222" s="1" t="s">
        <v>6016</v>
      </c>
      <c r="Q2222" s="1" t="s">
        <v>6017</v>
      </c>
      <c r="R2222" s="1" t="s">
        <v>43</v>
      </c>
      <c r="S2222" s="1" t="s">
        <v>6018</v>
      </c>
      <c r="T2222" s="1" t="s">
        <v>6019</v>
      </c>
      <c r="U2222" s="2" t="s">
        <v>365</v>
      </c>
      <c r="V2222" s="2" t="s">
        <v>83</v>
      </c>
      <c r="W2222" s="2" t="s">
        <v>263</v>
      </c>
      <c r="X2222" s="2">
        <v>53.305</v>
      </c>
    </row>
    <row r="2223" spans="1:24" x14ac:dyDescent="0.3">
      <c r="A2223">
        <v>20097</v>
      </c>
      <c r="B2223" t="s">
        <v>6333</v>
      </c>
      <c r="C2223" s="3">
        <v>40585</v>
      </c>
      <c r="D2223" t="s">
        <v>39</v>
      </c>
      <c r="E2223">
        <v>12</v>
      </c>
      <c r="F2223" s="3">
        <f ca="1">40586+(RANDBETWEEN(1,10))</f>
        <v>40593</v>
      </c>
      <c r="G2223" t="s">
        <v>156</v>
      </c>
      <c r="H2223" t="s">
        <v>27</v>
      </c>
      <c r="I2223" t="s">
        <v>52</v>
      </c>
      <c r="J2223">
        <v>7416.4650000000001</v>
      </c>
      <c r="K2223">
        <v>0.05</v>
      </c>
      <c r="L2223">
        <v>0.57999999999999996</v>
      </c>
      <c r="M2223">
        <v>31.465</v>
      </c>
      <c r="N2223">
        <v>388.68374999999997</v>
      </c>
      <c r="O2223" s="1" t="s">
        <v>87</v>
      </c>
      <c r="P2223" s="1" t="s">
        <v>1424</v>
      </c>
      <c r="Q2223" s="1" t="s">
        <v>1425</v>
      </c>
      <c r="R2223" s="1" t="s">
        <v>646</v>
      </c>
      <c r="S2223" s="1" t="s">
        <v>1426</v>
      </c>
      <c r="T2223" s="1" t="s">
        <v>1427</v>
      </c>
      <c r="U2223" s="2" t="s">
        <v>2189</v>
      </c>
      <c r="V2223" s="2" t="s">
        <v>36</v>
      </c>
      <c r="W2223" s="2" t="s">
        <v>37</v>
      </c>
      <c r="X2223" s="2">
        <v>720.96500000000003</v>
      </c>
    </row>
    <row r="2224" spans="1:24" x14ac:dyDescent="0.3">
      <c r="A2224">
        <v>20098</v>
      </c>
      <c r="B2224" t="s">
        <v>6333</v>
      </c>
      <c r="C2224" s="3">
        <v>40585</v>
      </c>
      <c r="D2224" t="s">
        <v>39</v>
      </c>
      <c r="E2224">
        <v>5</v>
      </c>
      <c r="F2224" s="3">
        <f ca="1">40586+(RANDBETWEEN(1,10))</f>
        <v>40595</v>
      </c>
      <c r="G2224" t="s">
        <v>26</v>
      </c>
      <c r="H2224" t="s">
        <v>27</v>
      </c>
      <c r="I2224" t="s">
        <v>52</v>
      </c>
      <c r="J2224">
        <v>2931.74</v>
      </c>
      <c r="K2224">
        <v>0.08</v>
      </c>
      <c r="L2224">
        <v>0.56000000000000005</v>
      </c>
      <c r="M2224">
        <v>31.465</v>
      </c>
      <c r="N2224">
        <v>-6873.1319999999996</v>
      </c>
      <c r="O2224" s="1" t="s">
        <v>87</v>
      </c>
      <c r="P2224" s="1" t="s">
        <v>1424</v>
      </c>
      <c r="Q2224" s="1" t="s">
        <v>1425</v>
      </c>
      <c r="R2224" s="1" t="s">
        <v>646</v>
      </c>
      <c r="S2224" s="1" t="s">
        <v>1426</v>
      </c>
      <c r="T2224" s="1" t="s">
        <v>1427</v>
      </c>
      <c r="U2224" s="2" t="s">
        <v>4735</v>
      </c>
      <c r="V2224" s="2" t="s">
        <v>36</v>
      </c>
      <c r="W2224" s="2" t="s">
        <v>37</v>
      </c>
      <c r="X2224" s="2">
        <v>720.96500000000003</v>
      </c>
    </row>
    <row r="2225" spans="1:24" x14ac:dyDescent="0.3">
      <c r="A2225">
        <v>20099</v>
      </c>
      <c r="B2225" t="s">
        <v>6334</v>
      </c>
      <c r="C2225" s="3">
        <v>41629</v>
      </c>
      <c r="D2225" t="s">
        <v>50</v>
      </c>
      <c r="E2225">
        <v>23</v>
      </c>
      <c r="F2225" s="3">
        <f ca="1">41631+(RANDBETWEEN(1,10))</f>
        <v>41636</v>
      </c>
      <c r="G2225" t="s">
        <v>156</v>
      </c>
      <c r="H2225" t="s">
        <v>51</v>
      </c>
      <c r="I2225" t="s">
        <v>86</v>
      </c>
      <c r="J2225">
        <v>2100.2449999999999</v>
      </c>
      <c r="K2225">
        <v>0.09</v>
      </c>
      <c r="L2225">
        <v>0.56999999999999995</v>
      </c>
      <c r="M2225">
        <v>31.465</v>
      </c>
      <c r="N2225">
        <v>-13.65</v>
      </c>
      <c r="O2225" s="1" t="s">
        <v>40</v>
      </c>
      <c r="P2225" s="1" t="s">
        <v>6335</v>
      </c>
      <c r="Q2225" s="1" t="s">
        <v>6336</v>
      </c>
      <c r="R2225" s="1" t="s">
        <v>43</v>
      </c>
      <c r="S2225" s="1" t="s">
        <v>6079</v>
      </c>
      <c r="T2225" s="1" t="s">
        <v>6080</v>
      </c>
      <c r="U2225" s="2" t="s">
        <v>3614</v>
      </c>
      <c r="V2225" s="2" t="s">
        <v>47</v>
      </c>
      <c r="W2225" s="2" t="s">
        <v>104</v>
      </c>
      <c r="X2225" s="2">
        <v>98.525000000000006</v>
      </c>
    </row>
    <row r="2226" spans="1:24" x14ac:dyDescent="0.3">
      <c r="A2226">
        <v>20100</v>
      </c>
      <c r="B2226" t="s">
        <v>6334</v>
      </c>
      <c r="C2226" s="3">
        <v>41629</v>
      </c>
      <c r="D2226" t="s">
        <v>50</v>
      </c>
      <c r="E2226">
        <v>14</v>
      </c>
      <c r="F2226" s="3">
        <f ca="1">41630+(RANDBETWEEN(1,10))</f>
        <v>41637</v>
      </c>
      <c r="G2226" t="s">
        <v>156</v>
      </c>
      <c r="H2226" t="s">
        <v>27</v>
      </c>
      <c r="I2226" t="s">
        <v>86</v>
      </c>
      <c r="J2226">
        <v>401.52</v>
      </c>
      <c r="K2226">
        <v>0.08</v>
      </c>
      <c r="L2226">
        <v>0.38</v>
      </c>
      <c r="M2226">
        <v>8.75</v>
      </c>
      <c r="N2226">
        <v>277.04880000000003</v>
      </c>
      <c r="O2226" s="1" t="s">
        <v>64</v>
      </c>
      <c r="P2226" s="1" t="s">
        <v>6337</v>
      </c>
      <c r="Q2226" s="1" t="s">
        <v>6338</v>
      </c>
      <c r="R2226" s="1" t="s">
        <v>128</v>
      </c>
      <c r="S2226" s="1" t="s">
        <v>6339</v>
      </c>
      <c r="T2226" s="1" t="s">
        <v>6340</v>
      </c>
      <c r="U2226" s="2" t="s">
        <v>6341</v>
      </c>
      <c r="V2226" s="2" t="s">
        <v>47</v>
      </c>
      <c r="W2226" s="2" t="s">
        <v>48</v>
      </c>
      <c r="X2226" s="2">
        <v>27.23</v>
      </c>
    </row>
    <row r="2227" spans="1:24" x14ac:dyDescent="0.3">
      <c r="A2227">
        <v>20101</v>
      </c>
      <c r="B2227" t="s">
        <v>6342</v>
      </c>
      <c r="C2227" s="3">
        <v>40949</v>
      </c>
      <c r="D2227" t="s">
        <v>148</v>
      </c>
      <c r="E2227">
        <v>3</v>
      </c>
      <c r="F2227" s="3">
        <f ca="1">40952+(RANDBETWEEN(1,10))</f>
        <v>40957</v>
      </c>
      <c r="G2227" t="s">
        <v>76</v>
      </c>
      <c r="H2227" t="s">
        <v>258</v>
      </c>
      <c r="I2227" t="s">
        <v>28</v>
      </c>
      <c r="J2227">
        <v>664.79</v>
      </c>
      <c r="K2227">
        <v>0.05</v>
      </c>
      <c r="L2227">
        <v>0.61</v>
      </c>
      <c r="M2227">
        <v>128.13499999999999</v>
      </c>
      <c r="N2227">
        <v>-713.65</v>
      </c>
      <c r="O2227" s="1" t="s">
        <v>29</v>
      </c>
      <c r="P2227" s="1" t="s">
        <v>6343</v>
      </c>
      <c r="Q2227" s="1" t="s">
        <v>6344</v>
      </c>
      <c r="R2227" s="1" t="s">
        <v>32</v>
      </c>
      <c r="S2227" s="1" t="s">
        <v>6103</v>
      </c>
      <c r="T2227" s="1" t="s">
        <v>6104</v>
      </c>
      <c r="U2227" s="2" t="s">
        <v>4050</v>
      </c>
      <c r="V2227" s="2" t="s">
        <v>83</v>
      </c>
      <c r="W2227" s="2" t="s">
        <v>298</v>
      </c>
      <c r="X2227" s="2">
        <v>203.49</v>
      </c>
    </row>
    <row r="2228" spans="1:24" x14ac:dyDescent="0.3">
      <c r="A2228">
        <v>20102</v>
      </c>
      <c r="B2228" t="s">
        <v>6345</v>
      </c>
      <c r="C2228" s="3">
        <v>41238</v>
      </c>
      <c r="D2228" t="s">
        <v>39</v>
      </c>
      <c r="E2228">
        <v>40</v>
      </c>
      <c r="F2228" s="3">
        <f ca="1">41239+(RANDBETWEEN(1,10))</f>
        <v>41243</v>
      </c>
      <c r="G2228" t="s">
        <v>26</v>
      </c>
      <c r="H2228" t="s">
        <v>27</v>
      </c>
      <c r="I2228" t="s">
        <v>86</v>
      </c>
      <c r="J2228">
        <v>913.78</v>
      </c>
      <c r="K2228">
        <v>0.03</v>
      </c>
      <c r="L2228">
        <v>0.6</v>
      </c>
      <c r="M2228">
        <v>18.27</v>
      </c>
      <c r="N2228">
        <v>71.441999999999993</v>
      </c>
      <c r="O2228" s="1" t="s">
        <v>40</v>
      </c>
      <c r="P2228" s="1" t="s">
        <v>4666</v>
      </c>
      <c r="Q2228" s="1" t="s">
        <v>4667</v>
      </c>
      <c r="R2228" s="1" t="s">
        <v>43</v>
      </c>
      <c r="S2228" s="1" t="s">
        <v>4668</v>
      </c>
      <c r="T2228" s="1" t="s">
        <v>4669</v>
      </c>
      <c r="U2228" s="2" t="s">
        <v>995</v>
      </c>
      <c r="V2228" s="2" t="s">
        <v>83</v>
      </c>
      <c r="W2228" s="2" t="s">
        <v>178</v>
      </c>
      <c r="X2228" s="2">
        <v>21.84</v>
      </c>
    </row>
    <row r="2229" spans="1:24" x14ac:dyDescent="0.3">
      <c r="A2229">
        <v>20103</v>
      </c>
      <c r="B2229" t="s">
        <v>6346</v>
      </c>
      <c r="C2229" s="3">
        <v>41977</v>
      </c>
      <c r="D2229" t="s">
        <v>25</v>
      </c>
      <c r="E2229">
        <v>24</v>
      </c>
      <c r="F2229" s="3">
        <f ca="1">41981+(RANDBETWEEN(1,10))</f>
        <v>41988</v>
      </c>
      <c r="G2229" t="s">
        <v>156</v>
      </c>
      <c r="H2229" t="s">
        <v>96</v>
      </c>
      <c r="I2229" t="s">
        <v>52</v>
      </c>
      <c r="J2229">
        <v>718.13</v>
      </c>
      <c r="K2229">
        <v>0.1</v>
      </c>
      <c r="L2229">
        <v>0.4</v>
      </c>
      <c r="M2229">
        <v>7.5250000000000004</v>
      </c>
      <c r="N2229">
        <v>-46.883200000000002</v>
      </c>
      <c r="O2229" s="1" t="s">
        <v>87</v>
      </c>
      <c r="P2229" s="1" t="s">
        <v>3148</v>
      </c>
      <c r="Q2229" s="1" t="s">
        <v>3149</v>
      </c>
      <c r="R2229" s="1" t="s">
        <v>646</v>
      </c>
      <c r="S2229" s="1" t="s">
        <v>3150</v>
      </c>
      <c r="T2229" s="1" t="s">
        <v>3151</v>
      </c>
      <c r="U2229" s="2" t="s">
        <v>4359</v>
      </c>
      <c r="V2229" s="2" t="s">
        <v>47</v>
      </c>
      <c r="W2229" s="2" t="s">
        <v>74</v>
      </c>
      <c r="X2229" s="2">
        <v>31.885000000000002</v>
      </c>
    </row>
    <row r="2230" spans="1:24" x14ac:dyDescent="0.3">
      <c r="A2230">
        <v>20104</v>
      </c>
      <c r="B2230" t="s">
        <v>6347</v>
      </c>
      <c r="C2230" s="3">
        <v>41704</v>
      </c>
      <c r="D2230" t="s">
        <v>25</v>
      </c>
      <c r="E2230">
        <v>11</v>
      </c>
      <c r="F2230" s="3">
        <f ca="1">41708+(RANDBETWEEN(1,10))</f>
        <v>41710</v>
      </c>
      <c r="G2230" t="s">
        <v>26</v>
      </c>
      <c r="H2230" t="s">
        <v>27</v>
      </c>
      <c r="I2230" t="s">
        <v>28</v>
      </c>
      <c r="J2230">
        <v>1541.47</v>
      </c>
      <c r="K2230">
        <v>7.0000000000000007E-2</v>
      </c>
      <c r="L2230">
        <v>0.55000000000000004</v>
      </c>
      <c r="M2230">
        <v>35.875</v>
      </c>
      <c r="N2230">
        <v>585.79499999999996</v>
      </c>
      <c r="O2230" s="1" t="s">
        <v>87</v>
      </c>
      <c r="P2230" s="1" t="s">
        <v>2778</v>
      </c>
      <c r="Q2230" s="1" t="s">
        <v>2779</v>
      </c>
      <c r="R2230" s="1" t="s">
        <v>398</v>
      </c>
      <c r="S2230" s="1" t="s">
        <v>2780</v>
      </c>
      <c r="T2230" s="1" t="s">
        <v>2781</v>
      </c>
      <c r="U2230" s="2" t="s">
        <v>6152</v>
      </c>
      <c r="V2230" s="2" t="s">
        <v>36</v>
      </c>
      <c r="W2230" s="2" t="s">
        <v>60</v>
      </c>
      <c r="X2230" s="2">
        <v>139.965</v>
      </c>
    </row>
    <row r="2231" spans="1:24" x14ac:dyDescent="0.3">
      <c r="A2231">
        <v>20105</v>
      </c>
      <c r="B2231" t="s">
        <v>6348</v>
      </c>
      <c r="C2231" s="3">
        <v>41141</v>
      </c>
      <c r="D2231" t="s">
        <v>50</v>
      </c>
      <c r="E2231">
        <v>5</v>
      </c>
      <c r="F2231" s="3">
        <f ca="1">41143+(RANDBETWEEN(1,10))</f>
        <v>41152</v>
      </c>
      <c r="G2231" t="s">
        <v>76</v>
      </c>
      <c r="H2231" t="s">
        <v>77</v>
      </c>
      <c r="I2231" t="s">
        <v>86</v>
      </c>
      <c r="J2231">
        <v>2193.415</v>
      </c>
      <c r="K2231">
        <v>7.0000000000000007E-2</v>
      </c>
      <c r="L2231">
        <v>0.74</v>
      </c>
      <c r="M2231">
        <v>245.7</v>
      </c>
      <c r="N2231">
        <v>-561.44200000000001</v>
      </c>
      <c r="O2231" s="1" t="s">
        <v>64</v>
      </c>
      <c r="P2231" s="1" t="s">
        <v>6349</v>
      </c>
      <c r="Q2231" s="1" t="s">
        <v>6350</v>
      </c>
      <c r="R2231" s="1" t="s">
        <v>67</v>
      </c>
      <c r="S2231" s="1" t="s">
        <v>4191</v>
      </c>
      <c r="T2231" s="1" t="s">
        <v>4192</v>
      </c>
      <c r="U2231" s="2" t="s">
        <v>358</v>
      </c>
      <c r="V2231" s="2" t="s">
        <v>83</v>
      </c>
      <c r="W2231" s="2" t="s">
        <v>84</v>
      </c>
      <c r="X2231" s="2">
        <v>430.46499999999997</v>
      </c>
    </row>
    <row r="2232" spans="1:24" x14ac:dyDescent="0.3">
      <c r="A2232">
        <v>20106</v>
      </c>
      <c r="B2232" t="s">
        <v>6351</v>
      </c>
      <c r="C2232" s="3">
        <v>40875</v>
      </c>
      <c r="D2232" t="s">
        <v>50</v>
      </c>
      <c r="E2232">
        <v>23</v>
      </c>
      <c r="F2232" s="3">
        <f ca="1">40876+(RANDBETWEEN(1,10))</f>
        <v>40878</v>
      </c>
      <c r="G2232" t="s">
        <v>26</v>
      </c>
      <c r="H2232" t="s">
        <v>27</v>
      </c>
      <c r="I2232" t="s">
        <v>52</v>
      </c>
      <c r="J2232">
        <v>2806.7550000000001</v>
      </c>
      <c r="K2232">
        <v>0.05</v>
      </c>
      <c r="L2232">
        <v>0.38</v>
      </c>
      <c r="M2232">
        <v>17.815000000000001</v>
      </c>
      <c r="N2232">
        <v>1936.66095</v>
      </c>
      <c r="O2232" s="1" t="s">
        <v>40</v>
      </c>
      <c r="P2232" s="1" t="s">
        <v>2107</v>
      </c>
      <c r="Q2232" s="1" t="s">
        <v>2108</v>
      </c>
      <c r="R2232" s="1" t="s">
        <v>43</v>
      </c>
      <c r="S2232" s="1" t="s">
        <v>2109</v>
      </c>
      <c r="T2232" s="1" t="s">
        <v>2110</v>
      </c>
      <c r="U2232" s="2" t="s">
        <v>4048</v>
      </c>
      <c r="V2232" s="2" t="s">
        <v>47</v>
      </c>
      <c r="W2232" s="2" t="s">
        <v>74</v>
      </c>
      <c r="X2232" s="2">
        <v>124.04</v>
      </c>
    </row>
    <row r="2233" spans="1:24" x14ac:dyDescent="0.3">
      <c r="A2233">
        <v>20107</v>
      </c>
      <c r="B2233" t="s">
        <v>6352</v>
      </c>
      <c r="C2233" s="3">
        <v>40820</v>
      </c>
      <c r="D2233" t="s">
        <v>148</v>
      </c>
      <c r="E2233">
        <v>11</v>
      </c>
      <c r="F2233" s="3">
        <f ca="1">40820+(RANDBETWEEN(1,10))</f>
        <v>40821</v>
      </c>
      <c r="G2233" t="s">
        <v>26</v>
      </c>
      <c r="H2233" t="s">
        <v>27</v>
      </c>
      <c r="I2233" t="s">
        <v>52</v>
      </c>
      <c r="J2233">
        <v>2483.9499999999998</v>
      </c>
      <c r="K2233">
        <v>0.02</v>
      </c>
      <c r="L2233">
        <v>0.46</v>
      </c>
      <c r="M2233">
        <v>50.68</v>
      </c>
      <c r="N2233">
        <v>-350.59500000000003</v>
      </c>
      <c r="O2233" s="1" t="s">
        <v>29</v>
      </c>
      <c r="P2233" s="1" t="s">
        <v>6353</v>
      </c>
      <c r="Q2233" s="1" t="s">
        <v>6354</v>
      </c>
      <c r="R2233" s="1" t="s">
        <v>675</v>
      </c>
      <c r="S2233" s="1" t="s">
        <v>6355</v>
      </c>
      <c r="T2233" s="1" t="s">
        <v>6356</v>
      </c>
      <c r="U2233" s="2" t="s">
        <v>6357</v>
      </c>
      <c r="V2233" s="2" t="s">
        <v>83</v>
      </c>
      <c r="W2233" s="2" t="s">
        <v>178</v>
      </c>
      <c r="X2233" s="2">
        <v>223.79</v>
      </c>
    </row>
    <row r="2234" spans="1:24" x14ac:dyDescent="0.3">
      <c r="A2234">
        <v>20108</v>
      </c>
      <c r="B2234" t="s">
        <v>6352</v>
      </c>
      <c r="C2234" s="3">
        <v>40820</v>
      </c>
      <c r="D2234" t="s">
        <v>148</v>
      </c>
      <c r="E2234">
        <v>5</v>
      </c>
      <c r="F2234" s="3">
        <f ca="1">40822+(RANDBETWEEN(1,10))</f>
        <v>40830</v>
      </c>
      <c r="G2234" t="s">
        <v>26</v>
      </c>
      <c r="H2234" t="s">
        <v>51</v>
      </c>
      <c r="I2234" t="s">
        <v>52</v>
      </c>
      <c r="J2234">
        <v>95.97</v>
      </c>
      <c r="K2234">
        <v>0.01</v>
      </c>
      <c r="L2234">
        <v>0.79</v>
      </c>
      <c r="M2234">
        <v>17.989999999999998</v>
      </c>
      <c r="N2234">
        <v>-13.818</v>
      </c>
      <c r="O2234" s="1" t="s">
        <v>225</v>
      </c>
      <c r="P2234" s="1" t="s">
        <v>6358</v>
      </c>
      <c r="Q2234" s="1" t="s">
        <v>6359</v>
      </c>
      <c r="R2234" s="1" t="s">
        <v>228</v>
      </c>
      <c r="S2234" s="1" t="s">
        <v>6360</v>
      </c>
      <c r="T2234" s="1" t="s">
        <v>886</v>
      </c>
      <c r="U2234" s="2" t="s">
        <v>1639</v>
      </c>
      <c r="V2234" s="2" t="s">
        <v>36</v>
      </c>
      <c r="W2234" s="2" t="s">
        <v>60</v>
      </c>
      <c r="X2234" s="2">
        <v>17.57</v>
      </c>
    </row>
    <row r="2235" spans="1:24" x14ac:dyDescent="0.3">
      <c r="A2235">
        <v>20109</v>
      </c>
      <c r="B2235" t="s">
        <v>6361</v>
      </c>
      <c r="C2235" s="3">
        <v>41222</v>
      </c>
      <c r="D2235" t="s">
        <v>39</v>
      </c>
      <c r="E2235">
        <v>28</v>
      </c>
      <c r="F2235" s="3">
        <f ca="1">41223+(RANDBETWEEN(1,10))</f>
        <v>41230</v>
      </c>
      <c r="G2235" t="s">
        <v>26</v>
      </c>
      <c r="H2235" t="s">
        <v>27</v>
      </c>
      <c r="I2235" t="s">
        <v>28</v>
      </c>
      <c r="J2235">
        <v>614.74</v>
      </c>
      <c r="K2235">
        <v>0.01</v>
      </c>
      <c r="L2235">
        <v>0.36</v>
      </c>
      <c r="M2235">
        <v>17.36</v>
      </c>
      <c r="N2235">
        <v>25.83</v>
      </c>
      <c r="O2235" s="1" t="s">
        <v>53</v>
      </c>
      <c r="P2235" s="1" t="s">
        <v>5959</v>
      </c>
      <c r="Q2235" s="1" t="s">
        <v>5960</v>
      </c>
      <c r="R2235" s="1" t="s">
        <v>56</v>
      </c>
      <c r="S2235" s="1" t="s">
        <v>5961</v>
      </c>
      <c r="T2235" s="1" t="s">
        <v>5962</v>
      </c>
      <c r="U2235" s="2" t="s">
        <v>1834</v>
      </c>
      <c r="V2235" s="2" t="s">
        <v>47</v>
      </c>
      <c r="W2235" s="2" t="s">
        <v>74</v>
      </c>
      <c r="X2235" s="2">
        <v>20.23</v>
      </c>
    </row>
    <row r="2236" spans="1:24" x14ac:dyDescent="0.3">
      <c r="A2236">
        <v>20110</v>
      </c>
      <c r="B2236" t="s">
        <v>6362</v>
      </c>
      <c r="C2236" s="3">
        <v>40923</v>
      </c>
      <c r="D2236" t="s">
        <v>148</v>
      </c>
      <c r="E2236">
        <v>11</v>
      </c>
      <c r="F2236" s="3">
        <f ca="1">40926+(RANDBETWEEN(1,10))</f>
        <v>40931</v>
      </c>
      <c r="G2236" t="s">
        <v>26</v>
      </c>
      <c r="H2236" t="s">
        <v>27</v>
      </c>
      <c r="I2236" t="s">
        <v>86</v>
      </c>
      <c r="J2236">
        <v>3211.25</v>
      </c>
      <c r="K2236">
        <v>0</v>
      </c>
      <c r="L2236">
        <v>0.48</v>
      </c>
      <c r="M2236">
        <v>25.13</v>
      </c>
      <c r="N2236">
        <v>2215.7624999999998</v>
      </c>
      <c r="O2236" s="1" t="s">
        <v>225</v>
      </c>
      <c r="P2236" s="1" t="s">
        <v>4043</v>
      </c>
      <c r="Q2236" s="1" t="s">
        <v>4044</v>
      </c>
      <c r="R2236" s="1" t="s">
        <v>391</v>
      </c>
      <c r="S2236" s="1" t="s">
        <v>4045</v>
      </c>
      <c r="T2236" s="1" t="s">
        <v>4046</v>
      </c>
      <c r="U2236" s="2" t="s">
        <v>5548</v>
      </c>
      <c r="V2236" s="2" t="s">
        <v>36</v>
      </c>
      <c r="W2236" s="2" t="s">
        <v>60</v>
      </c>
      <c r="X2236" s="2">
        <v>283.43</v>
      </c>
    </row>
    <row r="2237" spans="1:24" x14ac:dyDescent="0.3">
      <c r="A2237">
        <v>20111</v>
      </c>
      <c r="B2237" t="s">
        <v>6362</v>
      </c>
      <c r="C2237" s="3">
        <v>40923</v>
      </c>
      <c r="D2237" t="s">
        <v>148</v>
      </c>
      <c r="E2237">
        <v>6</v>
      </c>
      <c r="F2237" s="3">
        <f ca="1">40924+(RANDBETWEEN(1,10))</f>
        <v>40929</v>
      </c>
      <c r="G2237" t="s">
        <v>26</v>
      </c>
      <c r="H2237" t="s">
        <v>27</v>
      </c>
      <c r="I2237" t="s">
        <v>86</v>
      </c>
      <c r="J2237">
        <v>1032.4649999999999</v>
      </c>
      <c r="K2237">
        <v>0.01</v>
      </c>
      <c r="L2237">
        <v>0.38</v>
      </c>
      <c r="M2237">
        <v>20.895</v>
      </c>
      <c r="N2237">
        <v>712.40084999999999</v>
      </c>
      <c r="O2237" s="1" t="s">
        <v>225</v>
      </c>
      <c r="P2237" s="1" t="s">
        <v>4043</v>
      </c>
      <c r="Q2237" s="1" t="s">
        <v>4044</v>
      </c>
      <c r="R2237" s="1" t="s">
        <v>391</v>
      </c>
      <c r="S2237" s="1" t="s">
        <v>4045</v>
      </c>
      <c r="T2237" s="1" t="s">
        <v>4046</v>
      </c>
      <c r="U2237" s="2" t="s">
        <v>6363</v>
      </c>
      <c r="V2237" s="2" t="s">
        <v>47</v>
      </c>
      <c r="W2237" s="2" t="s">
        <v>74</v>
      </c>
      <c r="X2237" s="2">
        <v>171.185</v>
      </c>
    </row>
    <row r="2238" spans="1:24" x14ac:dyDescent="0.3">
      <c r="A2238">
        <v>20112</v>
      </c>
      <c r="B2238" t="s">
        <v>6364</v>
      </c>
      <c r="C2238" s="3">
        <v>41727</v>
      </c>
      <c r="D2238" t="s">
        <v>148</v>
      </c>
      <c r="E2238">
        <v>6</v>
      </c>
      <c r="F2238" s="3">
        <f ca="1">41730+(RANDBETWEEN(1,10))</f>
        <v>41737</v>
      </c>
      <c r="G2238" t="s">
        <v>26</v>
      </c>
      <c r="H2238" t="s">
        <v>27</v>
      </c>
      <c r="I2238" t="s">
        <v>86</v>
      </c>
      <c r="J2238">
        <v>99.924999999999997</v>
      </c>
      <c r="K2238">
        <v>0.09</v>
      </c>
      <c r="L2238">
        <v>0.36</v>
      </c>
      <c r="M2238">
        <v>5.2149999999999999</v>
      </c>
      <c r="N2238">
        <v>68.948250000000002</v>
      </c>
      <c r="O2238" s="1" t="s">
        <v>29</v>
      </c>
      <c r="P2238" s="1" t="s">
        <v>6107</v>
      </c>
      <c r="Q2238" s="1" t="s">
        <v>6108</v>
      </c>
      <c r="R2238" s="1" t="s">
        <v>32</v>
      </c>
      <c r="S2238" s="1" t="s">
        <v>6109</v>
      </c>
      <c r="T2238" s="1" t="s">
        <v>6110</v>
      </c>
      <c r="U2238" s="2" t="s">
        <v>6365</v>
      </c>
      <c r="V2238" s="2" t="s">
        <v>47</v>
      </c>
      <c r="W2238" s="2" t="s">
        <v>111</v>
      </c>
      <c r="X2238" s="2">
        <v>16.87</v>
      </c>
    </row>
    <row r="2239" spans="1:24" x14ac:dyDescent="0.3">
      <c r="A2239">
        <v>20113</v>
      </c>
      <c r="B2239" t="s">
        <v>6366</v>
      </c>
      <c r="C2239" s="3">
        <v>40850</v>
      </c>
      <c r="D2239" t="s">
        <v>25</v>
      </c>
      <c r="E2239">
        <v>33</v>
      </c>
      <c r="F2239" s="3">
        <f ca="1">40857+(RANDBETWEEN(1,10))</f>
        <v>40867</v>
      </c>
      <c r="G2239" t="s">
        <v>26</v>
      </c>
      <c r="H2239" t="s">
        <v>27</v>
      </c>
      <c r="I2239" t="s">
        <v>86</v>
      </c>
      <c r="J2239">
        <v>1363.5650000000001</v>
      </c>
      <c r="K2239">
        <v>7.0000000000000007E-2</v>
      </c>
      <c r="L2239">
        <v>0.56999999999999995</v>
      </c>
      <c r="M2239">
        <v>21.454999999999998</v>
      </c>
      <c r="N2239">
        <v>53.326000000000001</v>
      </c>
      <c r="O2239" s="1" t="s">
        <v>40</v>
      </c>
      <c r="P2239" s="1" t="s">
        <v>6323</v>
      </c>
      <c r="Q2239" s="1" t="s">
        <v>6324</v>
      </c>
      <c r="R2239" s="1" t="s">
        <v>43</v>
      </c>
      <c r="S2239" s="1" t="s">
        <v>6325</v>
      </c>
      <c r="T2239" s="1" t="s">
        <v>6326</v>
      </c>
      <c r="U2239" s="2" t="s">
        <v>5922</v>
      </c>
      <c r="V2239" s="2" t="s">
        <v>47</v>
      </c>
      <c r="W2239" s="2" t="s">
        <v>119</v>
      </c>
      <c r="X2239" s="2">
        <v>42.98</v>
      </c>
    </row>
    <row r="2240" spans="1:24" x14ac:dyDescent="0.3">
      <c r="A2240">
        <v>20114</v>
      </c>
      <c r="B2240" t="s">
        <v>6367</v>
      </c>
      <c r="C2240" s="3">
        <v>41301</v>
      </c>
      <c r="D2240" t="s">
        <v>50</v>
      </c>
      <c r="E2240">
        <v>12</v>
      </c>
      <c r="F2240" s="3">
        <f ca="1">41303+(RANDBETWEEN(1,10))</f>
        <v>41312</v>
      </c>
      <c r="G2240" t="s">
        <v>26</v>
      </c>
      <c r="H2240" t="s">
        <v>51</v>
      </c>
      <c r="I2240" t="s">
        <v>97</v>
      </c>
      <c r="J2240">
        <v>283.57</v>
      </c>
      <c r="K2240">
        <v>0.03</v>
      </c>
      <c r="L2240">
        <v>0.37</v>
      </c>
      <c r="M2240">
        <v>17.324999999999999</v>
      </c>
      <c r="N2240">
        <v>-61.758200000000002</v>
      </c>
      <c r="O2240" s="1" t="s">
        <v>225</v>
      </c>
      <c r="P2240" s="1" t="s">
        <v>863</v>
      </c>
      <c r="Q2240" s="1" t="s">
        <v>864</v>
      </c>
      <c r="R2240" s="1" t="s">
        <v>228</v>
      </c>
      <c r="S2240" s="1" t="s">
        <v>865</v>
      </c>
      <c r="T2240" s="1" t="s">
        <v>866</v>
      </c>
      <c r="U2240" s="2" t="s">
        <v>790</v>
      </c>
      <c r="V2240" s="2" t="s">
        <v>83</v>
      </c>
      <c r="W2240" s="2" t="s">
        <v>178</v>
      </c>
      <c r="X2240" s="2">
        <v>23.24</v>
      </c>
    </row>
    <row r="2241" spans="1:24" x14ac:dyDescent="0.3">
      <c r="A2241">
        <v>20115</v>
      </c>
      <c r="B2241" t="s">
        <v>6367</v>
      </c>
      <c r="C2241" s="3">
        <v>41301</v>
      </c>
      <c r="D2241" t="s">
        <v>50</v>
      </c>
      <c r="E2241">
        <v>11</v>
      </c>
      <c r="F2241" s="3">
        <f ca="1">41301+(RANDBETWEEN(1,10))</f>
        <v>41305</v>
      </c>
      <c r="G2241" t="s">
        <v>76</v>
      </c>
      <c r="H2241" t="s">
        <v>77</v>
      </c>
      <c r="I2241" t="s">
        <v>97</v>
      </c>
      <c r="J2241">
        <v>5334.1049999999996</v>
      </c>
      <c r="K2241">
        <v>0.06</v>
      </c>
      <c r="L2241">
        <v>0.56000000000000005</v>
      </c>
      <c r="M2241">
        <v>62.475000000000001</v>
      </c>
      <c r="N2241">
        <v>2523.7813999999998</v>
      </c>
      <c r="O2241" s="1" t="s">
        <v>225</v>
      </c>
      <c r="P2241" s="1" t="s">
        <v>863</v>
      </c>
      <c r="Q2241" s="1" t="s">
        <v>864</v>
      </c>
      <c r="R2241" s="1" t="s">
        <v>228</v>
      </c>
      <c r="S2241" s="1" t="s">
        <v>865</v>
      </c>
      <c r="T2241" s="1" t="s">
        <v>866</v>
      </c>
      <c r="U2241" s="2" t="s">
        <v>881</v>
      </c>
      <c r="V2241" s="2" t="s">
        <v>36</v>
      </c>
      <c r="W2241" s="2" t="s">
        <v>142</v>
      </c>
      <c r="X2241" s="2">
        <v>509.07499999999999</v>
      </c>
    </row>
    <row r="2242" spans="1:24" x14ac:dyDescent="0.3">
      <c r="A2242">
        <v>20116</v>
      </c>
      <c r="B2242" t="s">
        <v>6367</v>
      </c>
      <c r="C2242" s="3">
        <v>41301</v>
      </c>
      <c r="D2242" t="s">
        <v>50</v>
      </c>
      <c r="E2242">
        <v>10</v>
      </c>
      <c r="F2242" s="3">
        <f ca="1">41303+(RANDBETWEEN(1,10))</f>
        <v>41305</v>
      </c>
      <c r="G2242" t="s">
        <v>26</v>
      </c>
      <c r="H2242" t="s">
        <v>96</v>
      </c>
      <c r="I2242" t="s">
        <v>97</v>
      </c>
      <c r="J2242">
        <v>82.144999999999996</v>
      </c>
      <c r="K2242">
        <v>0.03</v>
      </c>
      <c r="L2242">
        <v>0.57999999999999996</v>
      </c>
      <c r="M2242">
        <v>3.92</v>
      </c>
      <c r="N2242">
        <v>-27.472200000000001</v>
      </c>
      <c r="O2242" s="1" t="s">
        <v>225</v>
      </c>
      <c r="P2242" s="1" t="s">
        <v>863</v>
      </c>
      <c r="Q2242" s="1" t="s">
        <v>864</v>
      </c>
      <c r="R2242" s="1" t="s">
        <v>228</v>
      </c>
      <c r="S2242" s="1" t="s">
        <v>865</v>
      </c>
      <c r="T2242" s="1" t="s">
        <v>866</v>
      </c>
      <c r="U2242" s="2" t="s">
        <v>6368</v>
      </c>
      <c r="V2242" s="2" t="s">
        <v>47</v>
      </c>
      <c r="W2242" s="2" t="s">
        <v>104</v>
      </c>
      <c r="X2242" s="2">
        <v>7.7350000000000003</v>
      </c>
    </row>
    <row r="2243" spans="1:24" x14ac:dyDescent="0.3">
      <c r="A2243">
        <v>20117</v>
      </c>
      <c r="B2243" t="s">
        <v>6369</v>
      </c>
      <c r="C2243" s="3">
        <v>40782</v>
      </c>
      <c r="D2243" t="s">
        <v>39</v>
      </c>
      <c r="E2243">
        <v>23</v>
      </c>
      <c r="F2243" s="3">
        <f ca="1">40784+(RANDBETWEEN(1,10))</f>
        <v>40792</v>
      </c>
      <c r="G2243" t="s">
        <v>26</v>
      </c>
      <c r="H2243" t="s">
        <v>27</v>
      </c>
      <c r="I2243" t="s">
        <v>86</v>
      </c>
      <c r="J2243">
        <v>3326.5050000000001</v>
      </c>
      <c r="K2243">
        <v>0.02</v>
      </c>
      <c r="L2243">
        <v>0.36</v>
      </c>
      <c r="M2243">
        <v>61.18</v>
      </c>
      <c r="N2243">
        <v>1928.8248000000001</v>
      </c>
      <c r="O2243" s="1" t="s">
        <v>29</v>
      </c>
      <c r="P2243" s="1" t="s">
        <v>4787</v>
      </c>
      <c r="Q2243" s="1" t="s">
        <v>4788</v>
      </c>
      <c r="R2243" s="1" t="s">
        <v>32</v>
      </c>
      <c r="S2243" s="1" t="s">
        <v>4789</v>
      </c>
      <c r="T2243" s="1" t="s">
        <v>4790</v>
      </c>
      <c r="U2243" s="2" t="s">
        <v>1688</v>
      </c>
      <c r="V2243" s="2" t="s">
        <v>47</v>
      </c>
      <c r="W2243" s="2" t="s">
        <v>74</v>
      </c>
      <c r="X2243" s="2">
        <v>143.465</v>
      </c>
    </row>
    <row r="2244" spans="1:24" x14ac:dyDescent="0.3">
      <c r="A2244">
        <v>20118</v>
      </c>
      <c r="B2244" t="s">
        <v>6370</v>
      </c>
      <c r="C2244" s="3">
        <v>41257</v>
      </c>
      <c r="D2244" t="s">
        <v>50</v>
      </c>
      <c r="E2244">
        <v>5</v>
      </c>
      <c r="F2244" s="3">
        <f ca="1">41260+(RANDBETWEEN(1,10))</f>
        <v>41266</v>
      </c>
      <c r="G2244" t="s">
        <v>26</v>
      </c>
      <c r="H2244" t="s">
        <v>27</v>
      </c>
      <c r="I2244" t="s">
        <v>97</v>
      </c>
      <c r="J2244">
        <v>367.04500000000002</v>
      </c>
      <c r="K2244">
        <v>0.08</v>
      </c>
      <c r="L2244">
        <v>0.65</v>
      </c>
      <c r="M2244">
        <v>20.965</v>
      </c>
      <c r="N2244">
        <v>-120.33</v>
      </c>
      <c r="O2244" s="1" t="s">
        <v>29</v>
      </c>
      <c r="P2244" s="1" t="s">
        <v>6371</v>
      </c>
      <c r="Q2244" s="1" t="s">
        <v>6372</v>
      </c>
      <c r="R2244" s="1" t="s">
        <v>32</v>
      </c>
      <c r="S2244" s="1" t="s">
        <v>6373</v>
      </c>
      <c r="T2244" s="1" t="s">
        <v>6374</v>
      </c>
      <c r="U2244" s="2" t="s">
        <v>3946</v>
      </c>
      <c r="V2244" s="2" t="s">
        <v>36</v>
      </c>
      <c r="W2244" s="2" t="s">
        <v>60</v>
      </c>
      <c r="X2244" s="2">
        <v>73.325000000000003</v>
      </c>
    </row>
    <row r="2245" spans="1:24" x14ac:dyDescent="0.3">
      <c r="A2245">
        <v>20119</v>
      </c>
      <c r="B2245" t="s">
        <v>6370</v>
      </c>
      <c r="C2245" s="3">
        <v>41257</v>
      </c>
      <c r="D2245" t="s">
        <v>50</v>
      </c>
      <c r="E2245">
        <v>21</v>
      </c>
      <c r="F2245" s="3">
        <f ca="1">41259+(RANDBETWEEN(1,10))</f>
        <v>41268</v>
      </c>
      <c r="G2245" t="s">
        <v>26</v>
      </c>
      <c r="H2245" t="s">
        <v>27</v>
      </c>
      <c r="I2245" t="s">
        <v>97</v>
      </c>
      <c r="J2245">
        <v>479.32499999999999</v>
      </c>
      <c r="K2245">
        <v>0.06</v>
      </c>
      <c r="L2245">
        <v>0.37</v>
      </c>
      <c r="M2245">
        <v>29.4</v>
      </c>
      <c r="N2245">
        <v>-359.41500000000002</v>
      </c>
      <c r="O2245" s="1" t="s">
        <v>29</v>
      </c>
      <c r="P2245" s="1" t="s">
        <v>6371</v>
      </c>
      <c r="Q2245" s="1" t="s">
        <v>6372</v>
      </c>
      <c r="R2245" s="1" t="s">
        <v>32</v>
      </c>
      <c r="S2245" s="1" t="s">
        <v>6373</v>
      </c>
      <c r="T2245" s="1" t="s">
        <v>6374</v>
      </c>
      <c r="U2245" s="2" t="s">
        <v>2097</v>
      </c>
      <c r="V2245" s="2" t="s">
        <v>47</v>
      </c>
      <c r="W2245" s="2" t="s">
        <v>74</v>
      </c>
      <c r="X2245" s="2">
        <v>22.68</v>
      </c>
    </row>
    <row r="2246" spans="1:24" x14ac:dyDescent="0.3">
      <c r="A2246">
        <v>20120</v>
      </c>
      <c r="B2246" t="s">
        <v>6370</v>
      </c>
      <c r="C2246" s="3">
        <v>41257</v>
      </c>
      <c r="D2246" t="s">
        <v>50</v>
      </c>
      <c r="E2246">
        <v>15</v>
      </c>
      <c r="F2246" s="3">
        <f ca="1">41259+(RANDBETWEEN(1,10))</f>
        <v>41266</v>
      </c>
      <c r="G2246" t="s">
        <v>26</v>
      </c>
      <c r="H2246" t="s">
        <v>96</v>
      </c>
      <c r="I2246" t="s">
        <v>97</v>
      </c>
      <c r="J2246">
        <v>141.12</v>
      </c>
      <c r="K2246">
        <v>0.06</v>
      </c>
      <c r="L2246">
        <v>0.44</v>
      </c>
      <c r="M2246">
        <v>14.98</v>
      </c>
      <c r="N2246">
        <v>-155.97749999999999</v>
      </c>
      <c r="O2246" s="1" t="s">
        <v>29</v>
      </c>
      <c r="P2246" s="1" t="s">
        <v>6371</v>
      </c>
      <c r="Q2246" s="1" t="s">
        <v>6372</v>
      </c>
      <c r="R2246" s="1" t="s">
        <v>32</v>
      </c>
      <c r="S2246" s="1" t="s">
        <v>6373</v>
      </c>
      <c r="T2246" s="1" t="s">
        <v>6374</v>
      </c>
      <c r="U2246" s="2" t="s">
        <v>5200</v>
      </c>
      <c r="V2246" s="2" t="s">
        <v>47</v>
      </c>
      <c r="W2246" s="2" t="s">
        <v>104</v>
      </c>
      <c r="X2246" s="2">
        <v>8.82</v>
      </c>
    </row>
    <row r="2247" spans="1:24" x14ac:dyDescent="0.3">
      <c r="A2247">
        <v>20121</v>
      </c>
      <c r="B2247" t="s">
        <v>6370</v>
      </c>
      <c r="C2247" s="3">
        <v>41257</v>
      </c>
      <c r="D2247" t="s">
        <v>50</v>
      </c>
      <c r="E2247">
        <v>11</v>
      </c>
      <c r="F2247" s="3">
        <f ca="1">41258+(RANDBETWEEN(1,10))</f>
        <v>41264</v>
      </c>
      <c r="G2247" t="s">
        <v>26</v>
      </c>
      <c r="H2247" t="s">
        <v>51</v>
      </c>
      <c r="I2247" t="s">
        <v>97</v>
      </c>
      <c r="J2247">
        <v>439.88</v>
      </c>
      <c r="K2247">
        <v>0.04</v>
      </c>
      <c r="L2247">
        <v>0.56999999999999995</v>
      </c>
      <c r="M2247">
        <v>11.795</v>
      </c>
      <c r="N2247">
        <v>101.64</v>
      </c>
      <c r="O2247" s="1" t="s">
        <v>29</v>
      </c>
      <c r="P2247" s="1" t="s">
        <v>6371</v>
      </c>
      <c r="Q2247" s="1" t="s">
        <v>6372</v>
      </c>
      <c r="R2247" s="1" t="s">
        <v>32</v>
      </c>
      <c r="S2247" s="1" t="s">
        <v>6373</v>
      </c>
      <c r="T2247" s="1" t="s">
        <v>6374</v>
      </c>
      <c r="U2247" s="2" t="s">
        <v>5857</v>
      </c>
      <c r="V2247" s="2" t="s">
        <v>47</v>
      </c>
      <c r="W2247" s="2" t="s">
        <v>94</v>
      </c>
      <c r="X2247" s="2">
        <v>38.43</v>
      </c>
    </row>
    <row r="2248" spans="1:24" x14ac:dyDescent="0.3">
      <c r="A2248">
        <v>20122</v>
      </c>
      <c r="B2248" t="s">
        <v>6370</v>
      </c>
      <c r="C2248" s="3">
        <v>41257</v>
      </c>
      <c r="D2248" t="s">
        <v>50</v>
      </c>
      <c r="E2248">
        <v>5</v>
      </c>
      <c r="F2248" s="3">
        <f ca="1">41259+(RANDBETWEEN(1,10))</f>
        <v>41265</v>
      </c>
      <c r="G2248" t="s">
        <v>26</v>
      </c>
      <c r="H2248" t="s">
        <v>27</v>
      </c>
      <c r="I2248" t="s">
        <v>97</v>
      </c>
      <c r="J2248">
        <v>248.78</v>
      </c>
      <c r="K2248">
        <v>0.09</v>
      </c>
      <c r="L2248">
        <v>0.56000000000000005</v>
      </c>
      <c r="M2248">
        <v>32.795000000000002</v>
      </c>
      <c r="N2248">
        <v>-101.815</v>
      </c>
      <c r="O2248" s="1" t="s">
        <v>29</v>
      </c>
      <c r="P2248" s="1" t="s">
        <v>6371</v>
      </c>
      <c r="Q2248" s="1" t="s">
        <v>6372</v>
      </c>
      <c r="R2248" s="1" t="s">
        <v>32</v>
      </c>
      <c r="S2248" s="1" t="s">
        <v>6373</v>
      </c>
      <c r="T2248" s="1" t="s">
        <v>6374</v>
      </c>
      <c r="U2248" s="2" t="s">
        <v>2863</v>
      </c>
      <c r="V2248" s="2" t="s">
        <v>47</v>
      </c>
      <c r="W2248" s="2" t="s">
        <v>119</v>
      </c>
      <c r="X2248" s="2">
        <v>49.104999999999997</v>
      </c>
    </row>
    <row r="2249" spans="1:24" x14ac:dyDescent="0.3">
      <c r="A2249">
        <v>20123</v>
      </c>
      <c r="B2249" t="s">
        <v>6375</v>
      </c>
      <c r="C2249" s="3">
        <v>41990</v>
      </c>
      <c r="D2249" t="s">
        <v>50</v>
      </c>
      <c r="E2249">
        <v>7</v>
      </c>
      <c r="F2249" s="3">
        <f ca="1">41992+(RANDBETWEEN(1,10))</f>
        <v>41999</v>
      </c>
      <c r="G2249" t="s">
        <v>26</v>
      </c>
      <c r="H2249" t="s">
        <v>27</v>
      </c>
      <c r="I2249" t="s">
        <v>28</v>
      </c>
      <c r="J2249">
        <v>1828.96</v>
      </c>
      <c r="K2249">
        <v>0.1</v>
      </c>
      <c r="L2249">
        <v>0.56999999999999995</v>
      </c>
      <c r="M2249">
        <v>3.4649999999999999</v>
      </c>
      <c r="N2249">
        <v>1120.42112</v>
      </c>
      <c r="O2249" s="1" t="s">
        <v>40</v>
      </c>
      <c r="P2249" s="1" t="s">
        <v>6292</v>
      </c>
      <c r="Q2249" s="1" t="s">
        <v>6293</v>
      </c>
      <c r="R2249" s="1" t="s">
        <v>43</v>
      </c>
      <c r="S2249" s="1" t="s">
        <v>80</v>
      </c>
      <c r="T2249" s="1" t="s">
        <v>6294</v>
      </c>
      <c r="U2249" s="2" t="s">
        <v>6376</v>
      </c>
      <c r="V2249" s="2" t="s">
        <v>47</v>
      </c>
      <c r="W2249" s="2" t="s">
        <v>71</v>
      </c>
      <c r="X2249" s="2">
        <v>284.62</v>
      </c>
    </row>
    <row r="2250" spans="1:24" x14ac:dyDescent="0.3">
      <c r="A2250">
        <v>20124</v>
      </c>
      <c r="B2250" t="s">
        <v>6377</v>
      </c>
      <c r="C2250" s="3">
        <v>40866</v>
      </c>
      <c r="D2250" t="s">
        <v>39</v>
      </c>
      <c r="E2250">
        <v>14</v>
      </c>
      <c r="F2250" s="3">
        <f ca="1">40868+(RANDBETWEEN(1,10))</f>
        <v>40870</v>
      </c>
      <c r="G2250" t="s">
        <v>76</v>
      </c>
      <c r="H2250" t="s">
        <v>77</v>
      </c>
      <c r="I2250" t="s">
        <v>28</v>
      </c>
      <c r="J2250">
        <v>14999.46</v>
      </c>
      <c r="K2250">
        <v>7.0000000000000007E-2</v>
      </c>
      <c r="L2250">
        <v>0.56000000000000005</v>
      </c>
      <c r="M2250">
        <v>226.55500000000001</v>
      </c>
      <c r="N2250">
        <v>4898.74</v>
      </c>
      <c r="O2250" s="1" t="s">
        <v>29</v>
      </c>
      <c r="P2250" s="1" t="s">
        <v>5749</v>
      </c>
      <c r="Q2250" s="1" t="s">
        <v>5750</v>
      </c>
      <c r="R2250" s="1" t="s">
        <v>460</v>
      </c>
      <c r="S2250" s="1" t="s">
        <v>5688</v>
      </c>
      <c r="T2250" s="1" t="s">
        <v>5689</v>
      </c>
      <c r="U2250" s="2" t="s">
        <v>3031</v>
      </c>
      <c r="V2250" s="2" t="s">
        <v>83</v>
      </c>
      <c r="W2250" s="2" t="s">
        <v>84</v>
      </c>
      <c r="X2250" s="2">
        <v>1053.43</v>
      </c>
    </row>
    <row r="2251" spans="1:24" x14ac:dyDescent="0.3">
      <c r="A2251">
        <v>20125</v>
      </c>
      <c r="B2251" t="s">
        <v>6377</v>
      </c>
      <c r="C2251" s="3">
        <v>40866</v>
      </c>
      <c r="D2251" t="s">
        <v>39</v>
      </c>
      <c r="E2251">
        <v>28</v>
      </c>
      <c r="F2251" s="3">
        <f ca="1">40866+(RANDBETWEEN(1,10))</f>
        <v>40873</v>
      </c>
      <c r="G2251" t="s">
        <v>76</v>
      </c>
      <c r="H2251" t="s">
        <v>77</v>
      </c>
      <c r="I2251" t="s">
        <v>28</v>
      </c>
      <c r="J2251">
        <v>2209.7950000000001</v>
      </c>
      <c r="K2251">
        <v>0.01</v>
      </c>
      <c r="L2251">
        <v>0.61</v>
      </c>
      <c r="M2251">
        <v>157.5</v>
      </c>
      <c r="N2251">
        <v>814.24699999999996</v>
      </c>
      <c r="O2251" s="1" t="s">
        <v>29</v>
      </c>
      <c r="P2251" s="1" t="s">
        <v>5749</v>
      </c>
      <c r="Q2251" s="1" t="s">
        <v>5750</v>
      </c>
      <c r="R2251" s="1" t="s">
        <v>460</v>
      </c>
      <c r="S2251" s="1" t="s">
        <v>5688</v>
      </c>
      <c r="T2251" s="1" t="s">
        <v>5689</v>
      </c>
      <c r="U2251" s="2" t="s">
        <v>2625</v>
      </c>
      <c r="V2251" s="2" t="s">
        <v>47</v>
      </c>
      <c r="W2251" s="2" t="s">
        <v>119</v>
      </c>
      <c r="X2251" s="2">
        <v>73.430000000000007</v>
      </c>
    </row>
    <row r="2252" spans="1:24" x14ac:dyDescent="0.3">
      <c r="A2252">
        <v>20126</v>
      </c>
      <c r="B2252" t="s">
        <v>6378</v>
      </c>
      <c r="C2252" s="3">
        <v>41733</v>
      </c>
      <c r="D2252" t="s">
        <v>50</v>
      </c>
      <c r="E2252">
        <v>5</v>
      </c>
      <c r="F2252" s="3">
        <f ca="1">41735+(RANDBETWEEN(1,10))</f>
        <v>41740</v>
      </c>
      <c r="G2252" t="s">
        <v>26</v>
      </c>
      <c r="H2252" t="s">
        <v>27</v>
      </c>
      <c r="I2252" t="s">
        <v>28</v>
      </c>
      <c r="J2252">
        <v>275.17</v>
      </c>
      <c r="K2252">
        <v>7.0000000000000007E-2</v>
      </c>
      <c r="L2252">
        <v>0.36</v>
      </c>
      <c r="M2252">
        <v>38.185000000000002</v>
      </c>
      <c r="N2252">
        <v>-181.00425000000001</v>
      </c>
      <c r="O2252" s="1" t="s">
        <v>64</v>
      </c>
      <c r="P2252" s="1" t="s">
        <v>4313</v>
      </c>
      <c r="Q2252" s="1" t="s">
        <v>4314</v>
      </c>
      <c r="R2252" s="1" t="s">
        <v>67</v>
      </c>
      <c r="S2252" s="1" t="s">
        <v>4315</v>
      </c>
      <c r="T2252" s="1" t="s">
        <v>4316</v>
      </c>
      <c r="U2252" s="2" t="s">
        <v>5084</v>
      </c>
      <c r="V2252" s="2" t="s">
        <v>47</v>
      </c>
      <c r="W2252" s="2" t="s">
        <v>111</v>
      </c>
      <c r="X2252" s="2">
        <v>53.48</v>
      </c>
    </row>
    <row r="2253" spans="1:24" x14ac:dyDescent="0.3">
      <c r="A2253">
        <v>20127</v>
      </c>
      <c r="B2253" t="s">
        <v>6379</v>
      </c>
      <c r="C2253" s="3">
        <v>40620</v>
      </c>
      <c r="D2253" t="s">
        <v>62</v>
      </c>
      <c r="E2253">
        <v>5</v>
      </c>
      <c r="F2253" s="3">
        <f ca="1">40620+(RANDBETWEEN(1,10))</f>
        <v>40626</v>
      </c>
      <c r="G2253" t="s">
        <v>26</v>
      </c>
      <c r="H2253" t="s">
        <v>281</v>
      </c>
      <c r="I2253" t="s">
        <v>28</v>
      </c>
      <c r="J2253">
        <v>328.33499999999998</v>
      </c>
      <c r="K2253">
        <v>0.01</v>
      </c>
      <c r="L2253">
        <v>0.57999999999999996</v>
      </c>
      <c r="M2253">
        <v>16.835000000000001</v>
      </c>
      <c r="N2253">
        <v>-31.878</v>
      </c>
      <c r="O2253" s="1" t="s">
        <v>225</v>
      </c>
      <c r="P2253" s="1" t="s">
        <v>6380</v>
      </c>
      <c r="Q2253" s="1" t="s">
        <v>6381</v>
      </c>
      <c r="R2253" s="1" t="s">
        <v>391</v>
      </c>
      <c r="S2253" s="1" t="s">
        <v>6382</v>
      </c>
      <c r="T2253" s="1" t="s">
        <v>6383</v>
      </c>
      <c r="U2253" s="2" t="s">
        <v>1890</v>
      </c>
      <c r="V2253" s="2" t="s">
        <v>36</v>
      </c>
      <c r="W2253" s="2" t="s">
        <v>37</v>
      </c>
      <c r="X2253" s="2">
        <v>73.465000000000003</v>
      </c>
    </row>
    <row r="2254" spans="1:24" x14ac:dyDescent="0.3">
      <c r="A2254">
        <v>20128</v>
      </c>
      <c r="B2254" t="s">
        <v>6384</v>
      </c>
      <c r="C2254" s="3">
        <v>41099</v>
      </c>
      <c r="D2254" t="s">
        <v>39</v>
      </c>
      <c r="E2254">
        <v>11</v>
      </c>
      <c r="F2254" s="3">
        <f ca="1">41101+(RANDBETWEEN(1,10))</f>
        <v>41106</v>
      </c>
      <c r="G2254" t="s">
        <v>156</v>
      </c>
      <c r="H2254" t="s">
        <v>96</v>
      </c>
      <c r="I2254" t="s">
        <v>52</v>
      </c>
      <c r="J2254">
        <v>1434.0550000000001</v>
      </c>
      <c r="K2254">
        <v>0.09</v>
      </c>
      <c r="L2254">
        <v>0.65</v>
      </c>
      <c r="M2254">
        <v>32.200000000000003</v>
      </c>
      <c r="N2254">
        <v>539.55999999999995</v>
      </c>
      <c r="O2254" s="1" t="s">
        <v>40</v>
      </c>
      <c r="P2254" s="1" t="s">
        <v>6385</v>
      </c>
      <c r="Q2254" s="1" t="s">
        <v>6386</v>
      </c>
      <c r="R2254" s="1" t="s">
        <v>220</v>
      </c>
      <c r="S2254" s="1" t="s">
        <v>6387</v>
      </c>
      <c r="T2254" s="1" t="s">
        <v>6388</v>
      </c>
      <c r="U2254" s="2" t="s">
        <v>5818</v>
      </c>
      <c r="V2254" s="2" t="s">
        <v>83</v>
      </c>
      <c r="W2254" s="2" t="s">
        <v>178</v>
      </c>
      <c r="X2254" s="2">
        <v>139.93</v>
      </c>
    </row>
    <row r="2255" spans="1:24" x14ac:dyDescent="0.3">
      <c r="A2255">
        <v>20129</v>
      </c>
      <c r="B2255" t="s">
        <v>6389</v>
      </c>
      <c r="C2255" s="3">
        <v>41350</v>
      </c>
      <c r="D2255" t="s">
        <v>62</v>
      </c>
      <c r="E2255">
        <v>5</v>
      </c>
      <c r="F2255" s="3">
        <f ca="1">41352+(RANDBETWEEN(1,10))</f>
        <v>41355</v>
      </c>
      <c r="G2255" t="s">
        <v>76</v>
      </c>
      <c r="H2255" t="s">
        <v>77</v>
      </c>
      <c r="I2255" t="s">
        <v>28</v>
      </c>
      <c r="J2255">
        <v>4477.4449999999997</v>
      </c>
      <c r="K2255">
        <v>0.02</v>
      </c>
      <c r="L2255">
        <v>0.55000000000000004</v>
      </c>
      <c r="M2255">
        <v>151.62</v>
      </c>
      <c r="N2255">
        <v>2373.91</v>
      </c>
      <c r="O2255" s="1" t="s">
        <v>64</v>
      </c>
      <c r="P2255" s="1" t="s">
        <v>2023</v>
      </c>
      <c r="Q2255" s="1" t="s">
        <v>2024</v>
      </c>
      <c r="R2255" s="1" t="s">
        <v>67</v>
      </c>
      <c r="S2255" s="1" t="s">
        <v>2025</v>
      </c>
      <c r="T2255" s="1" t="s">
        <v>2026</v>
      </c>
      <c r="U2255" s="2" t="s">
        <v>1924</v>
      </c>
      <c r="V2255" s="2" t="s">
        <v>83</v>
      </c>
      <c r="W2255" s="2" t="s">
        <v>84</v>
      </c>
      <c r="X2255" s="2">
        <v>853.93</v>
      </c>
    </row>
    <row r="2256" spans="1:24" x14ac:dyDescent="0.3">
      <c r="A2256">
        <v>20130</v>
      </c>
      <c r="B2256" t="s">
        <v>6389</v>
      </c>
      <c r="C2256" s="3">
        <v>41350</v>
      </c>
      <c r="D2256" t="s">
        <v>62</v>
      </c>
      <c r="E2256">
        <v>12</v>
      </c>
      <c r="F2256" s="3">
        <f ca="1">41351+(RANDBETWEEN(1,10))</f>
        <v>41356</v>
      </c>
      <c r="G2256" t="s">
        <v>26</v>
      </c>
      <c r="H2256" t="s">
        <v>96</v>
      </c>
      <c r="I2256" t="s">
        <v>28</v>
      </c>
      <c r="J2256">
        <v>1753.5</v>
      </c>
      <c r="K2256">
        <v>0.02</v>
      </c>
      <c r="L2256">
        <v>0.65</v>
      </c>
      <c r="M2256">
        <v>32.200000000000003</v>
      </c>
      <c r="N2256">
        <v>545.02</v>
      </c>
      <c r="O2256" s="1" t="s">
        <v>64</v>
      </c>
      <c r="P2256" s="1" t="s">
        <v>2023</v>
      </c>
      <c r="Q2256" s="1" t="s">
        <v>2024</v>
      </c>
      <c r="R2256" s="1" t="s">
        <v>67</v>
      </c>
      <c r="S2256" s="1" t="s">
        <v>2025</v>
      </c>
      <c r="T2256" s="1" t="s">
        <v>2026</v>
      </c>
      <c r="U2256" s="2" t="s">
        <v>5818</v>
      </c>
      <c r="V2256" s="2" t="s">
        <v>83</v>
      </c>
      <c r="W2256" s="2" t="s">
        <v>178</v>
      </c>
      <c r="X2256" s="2">
        <v>139.93</v>
      </c>
    </row>
    <row r="2257" spans="1:24" x14ac:dyDescent="0.3">
      <c r="A2257">
        <v>20131</v>
      </c>
      <c r="B2257" t="s">
        <v>6390</v>
      </c>
      <c r="C2257" s="3">
        <v>41217</v>
      </c>
      <c r="D2257" t="s">
        <v>25</v>
      </c>
      <c r="E2257">
        <v>30</v>
      </c>
      <c r="F2257" s="3">
        <f ca="1">41222+(RANDBETWEEN(1,10))</f>
        <v>41225</v>
      </c>
      <c r="G2257" t="s">
        <v>76</v>
      </c>
      <c r="H2257" t="s">
        <v>258</v>
      </c>
      <c r="I2257" t="s">
        <v>86</v>
      </c>
      <c r="J2257">
        <v>15861.475</v>
      </c>
      <c r="K2257">
        <v>0.05</v>
      </c>
      <c r="L2257">
        <v>0.65</v>
      </c>
      <c r="M2257">
        <v>231.94499999999999</v>
      </c>
      <c r="N2257">
        <v>538.33500000000004</v>
      </c>
      <c r="O2257" s="1" t="s">
        <v>87</v>
      </c>
      <c r="P2257" s="1" t="s">
        <v>1662</v>
      </c>
      <c r="Q2257" s="1" t="s">
        <v>1663</v>
      </c>
      <c r="R2257" s="1" t="s">
        <v>646</v>
      </c>
      <c r="S2257" s="1" t="s">
        <v>718</v>
      </c>
      <c r="T2257" s="1" t="s">
        <v>719</v>
      </c>
      <c r="U2257" s="2" t="s">
        <v>3398</v>
      </c>
      <c r="V2257" s="2" t="s">
        <v>83</v>
      </c>
      <c r="W2257" s="2" t="s">
        <v>298</v>
      </c>
      <c r="X2257" s="2">
        <v>528.42999999999995</v>
      </c>
    </row>
    <row r="2258" spans="1:24" x14ac:dyDescent="0.3">
      <c r="A2258">
        <v>20132</v>
      </c>
      <c r="B2258" t="s">
        <v>6391</v>
      </c>
      <c r="C2258" s="3">
        <v>40980</v>
      </c>
      <c r="D2258" t="s">
        <v>50</v>
      </c>
      <c r="E2258">
        <v>5</v>
      </c>
      <c r="F2258" s="3">
        <f ca="1">40981+(RANDBETWEEN(1,10))</f>
        <v>40985</v>
      </c>
      <c r="G2258" t="s">
        <v>26</v>
      </c>
      <c r="H2258" t="s">
        <v>27</v>
      </c>
      <c r="I2258" t="s">
        <v>52</v>
      </c>
      <c r="J2258">
        <v>1821.645</v>
      </c>
      <c r="K2258">
        <v>0.1</v>
      </c>
      <c r="L2258">
        <v>0.55000000000000004</v>
      </c>
      <c r="M2258">
        <v>31.465</v>
      </c>
      <c r="N2258">
        <v>-19.795999999999999</v>
      </c>
      <c r="O2258" s="1" t="s">
        <v>40</v>
      </c>
      <c r="P2258" s="1" t="s">
        <v>6392</v>
      </c>
      <c r="Q2258" s="1" t="s">
        <v>6393</v>
      </c>
      <c r="R2258" s="1" t="s">
        <v>43</v>
      </c>
      <c r="S2258" s="1" t="s">
        <v>6394</v>
      </c>
      <c r="T2258" s="1" t="s">
        <v>6395</v>
      </c>
      <c r="U2258" s="2" t="s">
        <v>5120</v>
      </c>
      <c r="V2258" s="2" t="s">
        <v>36</v>
      </c>
      <c r="W2258" s="2" t="s">
        <v>37</v>
      </c>
      <c r="X2258" s="2">
        <v>440.96499999999997</v>
      </c>
    </row>
    <row r="2259" spans="1:24" x14ac:dyDescent="0.3">
      <c r="A2259">
        <v>20133</v>
      </c>
      <c r="B2259" t="s">
        <v>6391</v>
      </c>
      <c r="C2259" s="3">
        <v>40980</v>
      </c>
      <c r="D2259" t="s">
        <v>50</v>
      </c>
      <c r="E2259">
        <v>3</v>
      </c>
      <c r="F2259" s="3">
        <f ca="1">40981+(RANDBETWEEN(1,10))</f>
        <v>40991</v>
      </c>
      <c r="G2259" t="s">
        <v>156</v>
      </c>
      <c r="H2259" t="s">
        <v>27</v>
      </c>
      <c r="I2259" t="s">
        <v>52</v>
      </c>
      <c r="J2259">
        <v>1158.115</v>
      </c>
      <c r="K2259">
        <v>0</v>
      </c>
      <c r="L2259">
        <v>0.56999999999999995</v>
      </c>
      <c r="M2259">
        <v>28.28</v>
      </c>
      <c r="N2259">
        <v>257.83800000000002</v>
      </c>
      <c r="O2259" s="1" t="s">
        <v>87</v>
      </c>
      <c r="P2259" s="1" t="s">
        <v>6396</v>
      </c>
      <c r="Q2259" s="1" t="s">
        <v>6397</v>
      </c>
      <c r="R2259" s="1" t="s">
        <v>497</v>
      </c>
      <c r="S2259" s="1" t="s">
        <v>6398</v>
      </c>
      <c r="T2259" s="1" t="s">
        <v>6399</v>
      </c>
      <c r="U2259" s="2" t="s">
        <v>1547</v>
      </c>
      <c r="V2259" s="2" t="s">
        <v>36</v>
      </c>
      <c r="W2259" s="2" t="s">
        <v>37</v>
      </c>
      <c r="X2259" s="2">
        <v>440.96499999999997</v>
      </c>
    </row>
    <row r="2260" spans="1:24" x14ac:dyDescent="0.3">
      <c r="A2260">
        <v>20134</v>
      </c>
      <c r="B2260" t="s">
        <v>6400</v>
      </c>
      <c r="C2260" s="3">
        <v>41738</v>
      </c>
      <c r="D2260" t="s">
        <v>50</v>
      </c>
      <c r="E2260">
        <v>8</v>
      </c>
      <c r="F2260" s="3">
        <f ca="1">41739+(RANDBETWEEN(1,10))</f>
        <v>41743</v>
      </c>
      <c r="G2260" t="s">
        <v>26</v>
      </c>
      <c r="H2260" t="s">
        <v>27</v>
      </c>
      <c r="I2260" t="s">
        <v>97</v>
      </c>
      <c r="J2260">
        <v>289.69499999999999</v>
      </c>
      <c r="K2260">
        <v>0.06</v>
      </c>
      <c r="L2260">
        <v>0.38</v>
      </c>
      <c r="M2260">
        <v>10.465</v>
      </c>
      <c r="N2260">
        <v>199.88955000000001</v>
      </c>
      <c r="O2260" s="1" t="s">
        <v>40</v>
      </c>
      <c r="P2260" s="1" t="s">
        <v>1235</v>
      </c>
      <c r="Q2260" s="1" t="s">
        <v>1236</v>
      </c>
      <c r="R2260" s="1" t="s">
        <v>43</v>
      </c>
      <c r="S2260" s="1" t="s">
        <v>1237</v>
      </c>
      <c r="T2260" s="1" t="s">
        <v>1238</v>
      </c>
      <c r="U2260" s="2" t="s">
        <v>1610</v>
      </c>
      <c r="V2260" s="2" t="s">
        <v>47</v>
      </c>
      <c r="W2260" s="2" t="s">
        <v>111</v>
      </c>
      <c r="X2260" s="2">
        <v>38.185000000000002</v>
      </c>
    </row>
    <row r="2261" spans="1:24" x14ac:dyDescent="0.3">
      <c r="A2261">
        <v>20135</v>
      </c>
      <c r="B2261" t="s">
        <v>6400</v>
      </c>
      <c r="C2261" s="3">
        <v>41738</v>
      </c>
      <c r="D2261" t="s">
        <v>50</v>
      </c>
      <c r="E2261">
        <v>8</v>
      </c>
      <c r="F2261" s="3">
        <f ca="1">41740+(RANDBETWEEN(1,10))</f>
        <v>41745</v>
      </c>
      <c r="G2261" t="s">
        <v>156</v>
      </c>
      <c r="H2261" t="s">
        <v>96</v>
      </c>
      <c r="I2261" t="s">
        <v>97</v>
      </c>
      <c r="J2261">
        <v>355.95</v>
      </c>
      <c r="K2261">
        <v>0.01</v>
      </c>
      <c r="L2261">
        <v>0.52</v>
      </c>
      <c r="M2261">
        <v>21.7</v>
      </c>
      <c r="N2261">
        <v>109.34</v>
      </c>
      <c r="O2261" s="1" t="s">
        <v>225</v>
      </c>
      <c r="P2261" s="1" t="s">
        <v>6401</v>
      </c>
      <c r="Q2261" s="1" t="s">
        <v>6402</v>
      </c>
      <c r="R2261" s="1" t="s">
        <v>228</v>
      </c>
      <c r="S2261" s="1" t="s">
        <v>6403</v>
      </c>
      <c r="T2261" s="1" t="s">
        <v>6404</v>
      </c>
      <c r="U2261" s="2" t="s">
        <v>2413</v>
      </c>
      <c r="V2261" s="2" t="s">
        <v>83</v>
      </c>
      <c r="W2261" s="2" t="s">
        <v>178</v>
      </c>
      <c r="X2261" s="2">
        <v>42.244999999999997</v>
      </c>
    </row>
    <row r="2262" spans="1:24" x14ac:dyDescent="0.3">
      <c r="A2262">
        <v>20136</v>
      </c>
      <c r="B2262" t="s">
        <v>6405</v>
      </c>
      <c r="C2262" s="3">
        <v>41595</v>
      </c>
      <c r="D2262" t="s">
        <v>148</v>
      </c>
      <c r="E2262">
        <v>3</v>
      </c>
      <c r="F2262" s="3">
        <f ca="1">41597+(RANDBETWEEN(1,10))</f>
        <v>41605</v>
      </c>
      <c r="G2262" t="s">
        <v>26</v>
      </c>
      <c r="H2262" t="s">
        <v>27</v>
      </c>
      <c r="I2262" t="s">
        <v>97</v>
      </c>
      <c r="J2262">
        <v>12535.32</v>
      </c>
      <c r="K2262">
        <v>7.0000000000000007E-2</v>
      </c>
      <c r="L2262">
        <v>0.35</v>
      </c>
      <c r="M2262">
        <v>69.965000000000003</v>
      </c>
      <c r="N2262">
        <v>285.75085000000001</v>
      </c>
      <c r="O2262" s="1" t="s">
        <v>40</v>
      </c>
      <c r="P2262" s="1" t="s">
        <v>5303</v>
      </c>
      <c r="Q2262" s="1" t="s">
        <v>5304</v>
      </c>
      <c r="R2262" s="1" t="s">
        <v>43</v>
      </c>
      <c r="S2262" s="1" t="s">
        <v>5305</v>
      </c>
      <c r="T2262" s="1" t="s">
        <v>4392</v>
      </c>
      <c r="U2262" s="2" t="s">
        <v>2579</v>
      </c>
      <c r="V2262" s="2" t="s">
        <v>47</v>
      </c>
      <c r="W2262" s="2" t="s">
        <v>111</v>
      </c>
      <c r="X2262" s="2">
        <v>4448.4650000000001</v>
      </c>
    </row>
    <row r="2263" spans="1:24" x14ac:dyDescent="0.3">
      <c r="A2263">
        <v>20137</v>
      </c>
      <c r="B2263" t="s">
        <v>6405</v>
      </c>
      <c r="C2263" s="3">
        <v>41595</v>
      </c>
      <c r="D2263" t="s">
        <v>148</v>
      </c>
      <c r="E2263">
        <v>11</v>
      </c>
      <c r="F2263" s="3">
        <f ca="1">41595+(RANDBETWEEN(1,10))</f>
        <v>41603</v>
      </c>
      <c r="G2263" t="s">
        <v>26</v>
      </c>
      <c r="H2263" t="s">
        <v>27</v>
      </c>
      <c r="I2263" t="s">
        <v>97</v>
      </c>
      <c r="J2263">
        <v>266.98</v>
      </c>
      <c r="K2263">
        <v>7.0000000000000007E-2</v>
      </c>
      <c r="L2263">
        <v>0.38</v>
      </c>
      <c r="M2263">
        <v>1.7150000000000001</v>
      </c>
      <c r="N2263">
        <v>184.21619999999999</v>
      </c>
      <c r="O2263" s="1" t="s">
        <v>40</v>
      </c>
      <c r="P2263" s="1" t="s">
        <v>5303</v>
      </c>
      <c r="Q2263" s="1" t="s">
        <v>5304</v>
      </c>
      <c r="R2263" s="1" t="s">
        <v>43</v>
      </c>
      <c r="S2263" s="1" t="s">
        <v>5305</v>
      </c>
      <c r="T2263" s="1" t="s">
        <v>4392</v>
      </c>
      <c r="U2263" s="2" t="s">
        <v>1897</v>
      </c>
      <c r="V2263" s="2" t="s">
        <v>47</v>
      </c>
      <c r="W2263" s="2" t="s">
        <v>203</v>
      </c>
      <c r="X2263" s="2">
        <v>25.585000000000001</v>
      </c>
    </row>
    <row r="2264" spans="1:24" x14ac:dyDescent="0.3">
      <c r="A2264">
        <v>20138</v>
      </c>
      <c r="B2264" t="s">
        <v>6406</v>
      </c>
      <c r="C2264" s="3">
        <v>40574</v>
      </c>
      <c r="D2264" t="s">
        <v>50</v>
      </c>
      <c r="E2264">
        <v>9</v>
      </c>
      <c r="F2264" s="3">
        <f ca="1">40576+(RANDBETWEEN(1,10))</f>
        <v>40584</v>
      </c>
      <c r="G2264" t="s">
        <v>26</v>
      </c>
      <c r="H2264" t="s">
        <v>96</v>
      </c>
      <c r="I2264" t="s">
        <v>28</v>
      </c>
      <c r="J2264">
        <v>225.68</v>
      </c>
      <c r="K2264">
        <v>0</v>
      </c>
      <c r="L2264">
        <v>0.38</v>
      </c>
      <c r="M2264">
        <v>5.6</v>
      </c>
      <c r="N2264">
        <v>-1203.538</v>
      </c>
      <c r="O2264" s="1" t="s">
        <v>87</v>
      </c>
      <c r="P2264" s="1" t="s">
        <v>6407</v>
      </c>
      <c r="Q2264" s="1" t="s">
        <v>6408</v>
      </c>
      <c r="R2264" s="1" t="s">
        <v>90</v>
      </c>
      <c r="S2264" s="1" t="s">
        <v>6409</v>
      </c>
      <c r="T2264" s="1" t="s">
        <v>6410</v>
      </c>
      <c r="U2264" s="2" t="s">
        <v>4250</v>
      </c>
      <c r="V2264" s="2" t="s">
        <v>47</v>
      </c>
      <c r="W2264" s="2" t="s">
        <v>74</v>
      </c>
      <c r="X2264" s="2">
        <v>24.43</v>
      </c>
    </row>
    <row r="2265" spans="1:24" x14ac:dyDescent="0.3">
      <c r="A2265">
        <v>20139</v>
      </c>
      <c r="B2265" t="s">
        <v>6411</v>
      </c>
      <c r="C2265" s="3">
        <v>41115</v>
      </c>
      <c r="D2265" t="s">
        <v>62</v>
      </c>
      <c r="E2265">
        <v>5</v>
      </c>
      <c r="F2265" s="3">
        <f ca="1">41115+(RANDBETWEEN(1,10))</f>
        <v>41116</v>
      </c>
      <c r="G2265" t="s">
        <v>26</v>
      </c>
      <c r="H2265" t="s">
        <v>281</v>
      </c>
      <c r="I2265" t="s">
        <v>52</v>
      </c>
      <c r="J2265">
        <v>2322.915</v>
      </c>
      <c r="K2265">
        <v>0.01</v>
      </c>
      <c r="L2265" t="s">
        <v>182</v>
      </c>
      <c r="M2265">
        <v>44.274999999999999</v>
      </c>
      <c r="N2265">
        <v>1602.8113499999999</v>
      </c>
      <c r="O2265" s="1" t="s">
        <v>64</v>
      </c>
      <c r="P2265" s="1" t="s">
        <v>6412</v>
      </c>
      <c r="Q2265" s="1" t="s">
        <v>6413</v>
      </c>
      <c r="R2265" s="1" t="s">
        <v>128</v>
      </c>
      <c r="S2265" s="1" t="s">
        <v>6414</v>
      </c>
      <c r="T2265" s="1" t="s">
        <v>6415</v>
      </c>
      <c r="U2265" s="2" t="s">
        <v>1695</v>
      </c>
      <c r="V2265" s="2" t="s">
        <v>83</v>
      </c>
      <c r="W2265" s="2" t="s">
        <v>84</v>
      </c>
      <c r="X2265" s="2">
        <v>448.84</v>
      </c>
    </row>
    <row r="2266" spans="1:24" x14ac:dyDescent="0.3">
      <c r="A2266">
        <v>20140</v>
      </c>
      <c r="B2266" t="s">
        <v>6411</v>
      </c>
      <c r="C2266" s="3">
        <v>41115</v>
      </c>
      <c r="D2266" t="s">
        <v>62</v>
      </c>
      <c r="E2266">
        <v>2</v>
      </c>
      <c r="F2266" s="3">
        <f ca="1">41115+(RANDBETWEEN(1,10))</f>
        <v>41116</v>
      </c>
      <c r="G2266" t="s">
        <v>26</v>
      </c>
      <c r="H2266" t="s">
        <v>51</v>
      </c>
      <c r="I2266" t="s">
        <v>52</v>
      </c>
      <c r="J2266">
        <v>222.25</v>
      </c>
      <c r="K2266">
        <v>0.03</v>
      </c>
      <c r="L2266">
        <v>0.56999999999999995</v>
      </c>
      <c r="M2266">
        <v>4.375</v>
      </c>
      <c r="N2266">
        <v>-272.65699999999998</v>
      </c>
      <c r="O2266" s="1" t="s">
        <v>64</v>
      </c>
      <c r="P2266" s="1" t="s">
        <v>6412</v>
      </c>
      <c r="Q2266" s="1" t="s">
        <v>6413</v>
      </c>
      <c r="R2266" s="1" t="s">
        <v>128</v>
      </c>
      <c r="S2266" s="1" t="s">
        <v>6414</v>
      </c>
      <c r="T2266" s="1" t="s">
        <v>6415</v>
      </c>
      <c r="U2266" s="2" t="s">
        <v>1964</v>
      </c>
      <c r="V2266" s="2" t="s">
        <v>36</v>
      </c>
      <c r="W2266" s="2" t="s">
        <v>37</v>
      </c>
      <c r="X2266" s="2">
        <v>125.965</v>
      </c>
    </row>
    <row r="2267" spans="1:24" x14ac:dyDescent="0.3">
      <c r="A2267">
        <v>20141</v>
      </c>
      <c r="B2267" t="s">
        <v>6416</v>
      </c>
      <c r="C2267" s="3">
        <v>41858</v>
      </c>
      <c r="D2267" t="s">
        <v>50</v>
      </c>
      <c r="E2267">
        <v>19</v>
      </c>
      <c r="F2267" s="3">
        <f ca="1">41860+(RANDBETWEEN(1,10))</f>
        <v>41861</v>
      </c>
      <c r="G2267" t="s">
        <v>26</v>
      </c>
      <c r="H2267" t="s">
        <v>27</v>
      </c>
      <c r="I2267" t="s">
        <v>28</v>
      </c>
      <c r="J2267">
        <v>10879.05</v>
      </c>
      <c r="K2267">
        <v>0.02</v>
      </c>
      <c r="L2267">
        <v>0.66</v>
      </c>
      <c r="M2267">
        <v>69.965000000000003</v>
      </c>
      <c r="N2267">
        <v>3277.7220000000002</v>
      </c>
      <c r="O2267" s="1" t="s">
        <v>87</v>
      </c>
      <c r="P2267" s="1" t="s">
        <v>6417</v>
      </c>
      <c r="Q2267" s="1" t="s">
        <v>6418</v>
      </c>
      <c r="R2267" s="1" t="s">
        <v>90</v>
      </c>
      <c r="S2267" s="1" t="s">
        <v>6419</v>
      </c>
      <c r="T2267" s="1" t="s">
        <v>6420</v>
      </c>
      <c r="U2267" s="2" t="s">
        <v>6421</v>
      </c>
      <c r="V2267" s="2" t="s">
        <v>47</v>
      </c>
      <c r="W2267" s="2" t="s">
        <v>119</v>
      </c>
      <c r="X2267" s="2">
        <v>565.42499999999995</v>
      </c>
    </row>
    <row r="2268" spans="1:24" x14ac:dyDescent="0.3">
      <c r="A2268">
        <v>20142</v>
      </c>
      <c r="B2268" t="s">
        <v>6422</v>
      </c>
      <c r="C2268" s="3">
        <v>41313</v>
      </c>
      <c r="D2268" t="s">
        <v>39</v>
      </c>
      <c r="E2268">
        <v>12</v>
      </c>
      <c r="F2268" s="3">
        <f ca="1">41315+(RANDBETWEEN(1,10))</f>
        <v>41318</v>
      </c>
      <c r="G2268" t="s">
        <v>156</v>
      </c>
      <c r="H2268" t="s">
        <v>27</v>
      </c>
      <c r="I2268" t="s">
        <v>97</v>
      </c>
      <c r="J2268">
        <v>229.88</v>
      </c>
      <c r="K2268">
        <v>0.05</v>
      </c>
      <c r="L2268">
        <v>0.37</v>
      </c>
      <c r="M2268">
        <v>17.71</v>
      </c>
      <c r="N2268">
        <v>-263.375</v>
      </c>
      <c r="O2268" s="1" t="s">
        <v>53</v>
      </c>
      <c r="P2268" s="1" t="s">
        <v>6423</v>
      </c>
      <c r="Q2268" s="1" t="s">
        <v>6424</v>
      </c>
      <c r="R2268" s="1" t="s">
        <v>100</v>
      </c>
      <c r="S2268" s="1" t="s">
        <v>6425</v>
      </c>
      <c r="T2268" s="1" t="s">
        <v>6426</v>
      </c>
      <c r="U2268" s="2" t="s">
        <v>6427</v>
      </c>
      <c r="V2268" s="2" t="s">
        <v>47</v>
      </c>
      <c r="W2268" s="2" t="s">
        <v>74</v>
      </c>
      <c r="X2268" s="2">
        <v>18.48</v>
      </c>
    </row>
    <row r="2269" spans="1:24" x14ac:dyDescent="0.3">
      <c r="A2269">
        <v>20143</v>
      </c>
      <c r="B2269" t="s">
        <v>6428</v>
      </c>
      <c r="C2269" s="3">
        <v>41165</v>
      </c>
      <c r="D2269" t="s">
        <v>62</v>
      </c>
      <c r="E2269">
        <v>10</v>
      </c>
      <c r="F2269" s="3">
        <f ca="1">41166+(RANDBETWEEN(1,10))</f>
        <v>41167</v>
      </c>
      <c r="G2269" t="s">
        <v>26</v>
      </c>
      <c r="H2269" t="s">
        <v>27</v>
      </c>
      <c r="I2269" t="s">
        <v>97</v>
      </c>
      <c r="J2269">
        <v>168.56</v>
      </c>
      <c r="K2269">
        <v>0.02</v>
      </c>
      <c r="L2269">
        <v>0.36</v>
      </c>
      <c r="M2269">
        <v>20.405000000000001</v>
      </c>
      <c r="N2269">
        <v>-260.41750000000002</v>
      </c>
      <c r="O2269" s="1" t="s">
        <v>53</v>
      </c>
      <c r="P2269" s="1" t="s">
        <v>1819</v>
      </c>
      <c r="Q2269" s="1" t="s">
        <v>1820</v>
      </c>
      <c r="R2269" s="1" t="s">
        <v>56</v>
      </c>
      <c r="S2269" s="1" t="s">
        <v>1821</v>
      </c>
      <c r="T2269" s="1" t="s">
        <v>1822</v>
      </c>
      <c r="U2269" s="2" t="s">
        <v>6429</v>
      </c>
      <c r="V2269" s="2" t="s">
        <v>47</v>
      </c>
      <c r="W2269" s="2" t="s">
        <v>111</v>
      </c>
      <c r="X2269" s="2">
        <v>15.89</v>
      </c>
    </row>
    <row r="2270" spans="1:24" x14ac:dyDescent="0.3">
      <c r="A2270">
        <v>20144</v>
      </c>
      <c r="B2270" t="s">
        <v>6428</v>
      </c>
      <c r="C2270" s="3">
        <v>41165</v>
      </c>
      <c r="D2270" t="s">
        <v>62</v>
      </c>
      <c r="E2270">
        <v>8</v>
      </c>
      <c r="F2270" s="3">
        <f ca="1">41167+(RANDBETWEEN(1,10))</f>
        <v>41172</v>
      </c>
      <c r="G2270" t="s">
        <v>26</v>
      </c>
      <c r="H2270" t="s">
        <v>51</v>
      </c>
      <c r="I2270" t="s">
        <v>97</v>
      </c>
      <c r="J2270">
        <v>818.93</v>
      </c>
      <c r="K2270">
        <v>0.02</v>
      </c>
      <c r="L2270">
        <v>0.7</v>
      </c>
      <c r="M2270">
        <v>31.465</v>
      </c>
      <c r="N2270">
        <v>-378.49</v>
      </c>
      <c r="O2270" s="1" t="s">
        <v>53</v>
      </c>
      <c r="P2270" s="1" t="s">
        <v>1819</v>
      </c>
      <c r="Q2270" s="1" t="s">
        <v>1820</v>
      </c>
      <c r="R2270" s="1" t="s">
        <v>56</v>
      </c>
      <c r="S2270" s="1" t="s">
        <v>1821</v>
      </c>
      <c r="T2270" s="1" t="s">
        <v>1822</v>
      </c>
      <c r="U2270" s="2" t="s">
        <v>4907</v>
      </c>
      <c r="V2270" s="2" t="s">
        <v>36</v>
      </c>
      <c r="W2270" s="2" t="s">
        <v>60</v>
      </c>
      <c r="X2270" s="2">
        <v>99.68</v>
      </c>
    </row>
    <row r="2271" spans="1:24" x14ac:dyDescent="0.3">
      <c r="A2271">
        <v>20145</v>
      </c>
      <c r="B2271" t="s">
        <v>6430</v>
      </c>
      <c r="C2271" s="3">
        <v>41756</v>
      </c>
      <c r="D2271" t="s">
        <v>39</v>
      </c>
      <c r="E2271">
        <v>9</v>
      </c>
      <c r="F2271" s="3">
        <f ca="1">41756+(RANDBETWEEN(1,10))</f>
        <v>41759</v>
      </c>
      <c r="G2271" t="s">
        <v>156</v>
      </c>
      <c r="H2271" t="s">
        <v>51</v>
      </c>
      <c r="I2271" t="s">
        <v>52</v>
      </c>
      <c r="J2271">
        <v>940.24</v>
      </c>
      <c r="K2271">
        <v>0.04</v>
      </c>
      <c r="L2271">
        <v>0.5</v>
      </c>
      <c r="M2271">
        <v>6.9649999999999999</v>
      </c>
      <c r="N2271">
        <v>648.76559999999995</v>
      </c>
      <c r="O2271" s="1" t="s">
        <v>87</v>
      </c>
      <c r="P2271" s="1" t="s">
        <v>5028</v>
      </c>
      <c r="Q2271" s="1" t="s">
        <v>5029</v>
      </c>
      <c r="R2271" s="1" t="s">
        <v>497</v>
      </c>
      <c r="S2271" s="1" t="s">
        <v>5030</v>
      </c>
      <c r="T2271" s="1" t="s">
        <v>5031</v>
      </c>
      <c r="U2271" s="2" t="s">
        <v>124</v>
      </c>
      <c r="V2271" s="2" t="s">
        <v>36</v>
      </c>
      <c r="W2271" s="2" t="s">
        <v>60</v>
      </c>
      <c r="X2271" s="2">
        <v>104.61499999999999</v>
      </c>
    </row>
    <row r="2272" spans="1:24" x14ac:dyDescent="0.3">
      <c r="A2272">
        <v>20146</v>
      </c>
      <c r="B2272" t="s">
        <v>6431</v>
      </c>
      <c r="C2272" s="3">
        <v>41059</v>
      </c>
      <c r="D2272" t="s">
        <v>50</v>
      </c>
      <c r="E2272">
        <v>2</v>
      </c>
      <c r="F2272" s="3">
        <f ca="1">41061+(RANDBETWEEN(1,10))</f>
        <v>41070</v>
      </c>
      <c r="G2272" t="s">
        <v>26</v>
      </c>
      <c r="H2272" t="s">
        <v>27</v>
      </c>
      <c r="I2272" t="s">
        <v>97</v>
      </c>
      <c r="J2272">
        <v>375.34</v>
      </c>
      <c r="K2272">
        <v>0.1</v>
      </c>
      <c r="L2272">
        <v>0.39</v>
      </c>
      <c r="M2272">
        <v>56.384999999999998</v>
      </c>
      <c r="N2272">
        <v>-9.5392499999999991</v>
      </c>
      <c r="O2272" s="1" t="s">
        <v>64</v>
      </c>
      <c r="P2272" s="1" t="s">
        <v>6432</v>
      </c>
      <c r="Q2272" s="1" t="s">
        <v>6433</v>
      </c>
      <c r="R2272" s="1" t="s">
        <v>67</v>
      </c>
      <c r="S2272" s="1" t="s">
        <v>6434</v>
      </c>
      <c r="T2272" s="1" t="s">
        <v>6435</v>
      </c>
      <c r="U2272" s="2" t="s">
        <v>6436</v>
      </c>
      <c r="V2272" s="2" t="s">
        <v>47</v>
      </c>
      <c r="W2272" s="2" t="s">
        <v>111</v>
      </c>
      <c r="X2272" s="2">
        <v>183.4</v>
      </c>
    </row>
    <row r="2273" spans="1:24" x14ac:dyDescent="0.3">
      <c r="A2273">
        <v>20147</v>
      </c>
      <c r="B2273" t="s">
        <v>6437</v>
      </c>
      <c r="C2273" s="3">
        <v>41169</v>
      </c>
      <c r="D2273" t="s">
        <v>148</v>
      </c>
      <c r="E2273">
        <v>12</v>
      </c>
      <c r="F2273" s="3">
        <f ca="1">41171+(RANDBETWEEN(1,10))</f>
        <v>41176</v>
      </c>
      <c r="G2273" t="s">
        <v>26</v>
      </c>
      <c r="H2273" t="s">
        <v>51</v>
      </c>
      <c r="I2273" t="s">
        <v>52</v>
      </c>
      <c r="J2273">
        <v>1237.32</v>
      </c>
      <c r="K2273">
        <v>0.1</v>
      </c>
      <c r="L2273">
        <v>0.42</v>
      </c>
      <c r="M2273">
        <v>6.9649999999999999</v>
      </c>
      <c r="N2273">
        <v>-50.862000000000002</v>
      </c>
      <c r="O2273" s="1" t="s">
        <v>64</v>
      </c>
      <c r="P2273" s="1" t="s">
        <v>6438</v>
      </c>
      <c r="Q2273" s="1" t="s">
        <v>6439</v>
      </c>
      <c r="R2273" s="1" t="s">
        <v>67</v>
      </c>
      <c r="S2273" s="1" t="s">
        <v>6440</v>
      </c>
      <c r="T2273" s="1" t="s">
        <v>6441</v>
      </c>
      <c r="U2273" s="2" t="s">
        <v>1226</v>
      </c>
      <c r="V2273" s="2" t="s">
        <v>36</v>
      </c>
      <c r="W2273" s="2" t="s">
        <v>60</v>
      </c>
      <c r="X2273" s="2">
        <v>111.23</v>
      </c>
    </row>
    <row r="2274" spans="1:24" x14ac:dyDescent="0.3">
      <c r="A2274">
        <v>20148</v>
      </c>
      <c r="B2274" t="s">
        <v>6442</v>
      </c>
      <c r="C2274" s="3">
        <v>40945</v>
      </c>
      <c r="D2274" t="s">
        <v>62</v>
      </c>
      <c r="E2274">
        <v>11</v>
      </c>
      <c r="F2274" s="3">
        <f ca="1">40947+(RANDBETWEEN(1,10))</f>
        <v>40950</v>
      </c>
      <c r="G2274" t="s">
        <v>156</v>
      </c>
      <c r="H2274" t="s">
        <v>51</v>
      </c>
      <c r="I2274" t="s">
        <v>97</v>
      </c>
      <c r="J2274">
        <v>204.715</v>
      </c>
      <c r="K2274">
        <v>0</v>
      </c>
      <c r="L2274">
        <v>0.64</v>
      </c>
      <c r="M2274">
        <v>15.12</v>
      </c>
      <c r="N2274">
        <v>-391.61500000000001</v>
      </c>
      <c r="O2274" s="1" t="s">
        <v>40</v>
      </c>
      <c r="P2274" s="1" t="s">
        <v>6094</v>
      </c>
      <c r="Q2274" s="1" t="s">
        <v>6095</v>
      </c>
      <c r="R2274" s="1" t="s">
        <v>220</v>
      </c>
      <c r="S2274" s="1" t="s">
        <v>6096</v>
      </c>
      <c r="T2274" s="1" t="s">
        <v>6097</v>
      </c>
      <c r="U2274" s="2" t="s">
        <v>6443</v>
      </c>
      <c r="V2274" s="2" t="s">
        <v>36</v>
      </c>
      <c r="W2274" s="2" t="s">
        <v>60</v>
      </c>
      <c r="X2274" s="2">
        <v>17.43</v>
      </c>
    </row>
    <row r="2275" spans="1:24" x14ac:dyDescent="0.3">
      <c r="A2275">
        <v>20149</v>
      </c>
      <c r="B2275" t="s">
        <v>6442</v>
      </c>
      <c r="C2275" s="3">
        <v>40945</v>
      </c>
      <c r="D2275" t="s">
        <v>62</v>
      </c>
      <c r="E2275">
        <v>7</v>
      </c>
      <c r="F2275" s="3">
        <f ca="1">40945+(RANDBETWEEN(1,10))</f>
        <v>40950</v>
      </c>
      <c r="G2275" t="s">
        <v>26</v>
      </c>
      <c r="H2275" t="s">
        <v>27</v>
      </c>
      <c r="I2275" t="s">
        <v>97</v>
      </c>
      <c r="J2275">
        <v>995.22500000000002</v>
      </c>
      <c r="K2275">
        <v>7.0000000000000007E-2</v>
      </c>
      <c r="L2275">
        <v>0.74</v>
      </c>
      <c r="M2275">
        <v>22.75</v>
      </c>
      <c r="N2275">
        <v>-188.33500000000001</v>
      </c>
      <c r="O2275" s="1" t="s">
        <v>40</v>
      </c>
      <c r="P2275" s="1" t="s">
        <v>6094</v>
      </c>
      <c r="Q2275" s="1" t="s">
        <v>6095</v>
      </c>
      <c r="R2275" s="1" t="s">
        <v>220</v>
      </c>
      <c r="S2275" s="1" t="s">
        <v>6096</v>
      </c>
      <c r="T2275" s="1" t="s">
        <v>6097</v>
      </c>
      <c r="U2275" s="2" t="s">
        <v>4349</v>
      </c>
      <c r="V2275" s="2" t="s">
        <v>36</v>
      </c>
      <c r="W2275" s="2" t="s">
        <v>60</v>
      </c>
      <c r="X2275" s="2">
        <v>143.43</v>
      </c>
    </row>
    <row r="2276" spans="1:24" x14ac:dyDescent="0.3">
      <c r="A2276">
        <v>20150</v>
      </c>
      <c r="B2276" t="s">
        <v>6442</v>
      </c>
      <c r="C2276" s="3">
        <v>40945</v>
      </c>
      <c r="D2276" t="s">
        <v>62</v>
      </c>
      <c r="E2276">
        <v>11</v>
      </c>
      <c r="F2276" s="3">
        <f ca="1">40946+(RANDBETWEEN(1,10))</f>
        <v>40954</v>
      </c>
      <c r="G2276" t="s">
        <v>26</v>
      </c>
      <c r="H2276" t="s">
        <v>96</v>
      </c>
      <c r="I2276" t="s">
        <v>97</v>
      </c>
      <c r="J2276">
        <v>109.16500000000001</v>
      </c>
      <c r="K2276">
        <v>0.01</v>
      </c>
      <c r="L2276">
        <v>0.57999999999999996</v>
      </c>
      <c r="M2276">
        <v>8.4</v>
      </c>
      <c r="N2276">
        <v>-179.55</v>
      </c>
      <c r="O2276" s="1" t="s">
        <v>40</v>
      </c>
      <c r="P2276" s="1" t="s">
        <v>6094</v>
      </c>
      <c r="Q2276" s="1" t="s">
        <v>6095</v>
      </c>
      <c r="R2276" s="1" t="s">
        <v>220</v>
      </c>
      <c r="S2276" s="1" t="s">
        <v>6096</v>
      </c>
      <c r="T2276" s="1" t="s">
        <v>6097</v>
      </c>
      <c r="U2276" s="2" t="s">
        <v>6328</v>
      </c>
      <c r="V2276" s="2" t="s">
        <v>47</v>
      </c>
      <c r="W2276" s="2" t="s">
        <v>104</v>
      </c>
      <c r="X2276" s="2">
        <v>9.1</v>
      </c>
    </row>
    <row r="2277" spans="1:24" x14ac:dyDescent="0.3">
      <c r="A2277">
        <v>20151</v>
      </c>
      <c r="B2277" t="s">
        <v>6444</v>
      </c>
      <c r="C2277" s="3">
        <v>41772</v>
      </c>
      <c r="D2277" t="s">
        <v>62</v>
      </c>
      <c r="E2277">
        <v>12</v>
      </c>
      <c r="F2277" s="3">
        <f ca="1">41774+(RANDBETWEEN(1,10))</f>
        <v>41783</v>
      </c>
      <c r="G2277" t="s">
        <v>26</v>
      </c>
      <c r="H2277" t="s">
        <v>27</v>
      </c>
      <c r="I2277" t="s">
        <v>86</v>
      </c>
      <c r="J2277">
        <v>4407.8999999999996</v>
      </c>
      <c r="K2277">
        <v>0.02</v>
      </c>
      <c r="L2277">
        <v>0.59</v>
      </c>
      <c r="M2277">
        <v>14.7</v>
      </c>
      <c r="N2277">
        <v>3041.451</v>
      </c>
      <c r="O2277" s="1" t="s">
        <v>53</v>
      </c>
      <c r="P2277" s="1" t="s">
        <v>6445</v>
      </c>
      <c r="Q2277" s="1" t="s">
        <v>6446</v>
      </c>
      <c r="R2277" s="1" t="s">
        <v>100</v>
      </c>
      <c r="S2277" s="1" t="s">
        <v>6447</v>
      </c>
      <c r="T2277" s="1" t="s">
        <v>6448</v>
      </c>
      <c r="U2277" s="2" t="s">
        <v>798</v>
      </c>
      <c r="V2277" s="2" t="s">
        <v>36</v>
      </c>
      <c r="W2277" s="2" t="s">
        <v>37</v>
      </c>
      <c r="X2277" s="2">
        <v>440.96499999999997</v>
      </c>
    </row>
    <row r="2278" spans="1:24" x14ac:dyDescent="0.3">
      <c r="A2278">
        <v>20152</v>
      </c>
      <c r="B2278" t="s">
        <v>6444</v>
      </c>
      <c r="C2278" s="3">
        <v>41772</v>
      </c>
      <c r="D2278" t="s">
        <v>62</v>
      </c>
      <c r="E2278">
        <v>2</v>
      </c>
      <c r="F2278" s="3">
        <f ca="1">41774+(RANDBETWEEN(1,10))</f>
        <v>41779</v>
      </c>
      <c r="G2278" t="s">
        <v>76</v>
      </c>
      <c r="H2278" t="s">
        <v>77</v>
      </c>
      <c r="I2278" t="s">
        <v>86</v>
      </c>
      <c r="J2278">
        <v>2202.4450000000002</v>
      </c>
      <c r="K2278">
        <v>0.01</v>
      </c>
      <c r="L2278">
        <v>0.6</v>
      </c>
      <c r="M2278">
        <v>243.42500000000001</v>
      </c>
      <c r="N2278">
        <v>-179.48</v>
      </c>
      <c r="O2278" s="1" t="s">
        <v>87</v>
      </c>
      <c r="P2278" s="1" t="s">
        <v>6449</v>
      </c>
      <c r="Q2278" s="1" t="s">
        <v>6450</v>
      </c>
      <c r="R2278" s="1" t="s">
        <v>90</v>
      </c>
      <c r="S2278" s="1" t="s">
        <v>6451</v>
      </c>
      <c r="T2278" s="1" t="s">
        <v>6452</v>
      </c>
      <c r="U2278" s="2" t="s">
        <v>5566</v>
      </c>
      <c r="V2278" s="2" t="s">
        <v>83</v>
      </c>
      <c r="W2278" s="2" t="s">
        <v>84</v>
      </c>
      <c r="X2278" s="2">
        <v>997.43</v>
      </c>
    </row>
    <row r="2279" spans="1:24" x14ac:dyDescent="0.3">
      <c r="A2279">
        <v>20153</v>
      </c>
      <c r="B2279" t="s">
        <v>6444</v>
      </c>
      <c r="C2279" s="3">
        <v>41772</v>
      </c>
      <c r="D2279" t="s">
        <v>62</v>
      </c>
      <c r="E2279">
        <v>15</v>
      </c>
      <c r="F2279" s="3">
        <f ca="1">41773+(RANDBETWEEN(1,10))</f>
        <v>41781</v>
      </c>
      <c r="G2279" t="s">
        <v>156</v>
      </c>
      <c r="H2279" t="s">
        <v>27</v>
      </c>
      <c r="I2279" t="s">
        <v>86</v>
      </c>
      <c r="J2279">
        <v>2869.8249999999998</v>
      </c>
      <c r="K2279">
        <v>0.04</v>
      </c>
      <c r="L2279">
        <v>0.56999999999999995</v>
      </c>
      <c r="M2279">
        <v>17.465</v>
      </c>
      <c r="N2279">
        <v>1980.1792499999999</v>
      </c>
      <c r="O2279" s="1" t="s">
        <v>40</v>
      </c>
      <c r="P2279" s="1" t="s">
        <v>6453</v>
      </c>
      <c r="Q2279" s="1" t="s">
        <v>6454</v>
      </c>
      <c r="R2279" s="1" t="s">
        <v>220</v>
      </c>
      <c r="S2279" s="1" t="s">
        <v>2425</v>
      </c>
      <c r="T2279" s="1" t="s">
        <v>2426</v>
      </c>
      <c r="U2279" s="2" t="s">
        <v>5920</v>
      </c>
      <c r="V2279" s="2" t="s">
        <v>36</v>
      </c>
      <c r="W2279" s="2" t="s">
        <v>37</v>
      </c>
      <c r="X2279" s="2">
        <v>230.965</v>
      </c>
    </row>
    <row r="2280" spans="1:24" x14ac:dyDescent="0.3">
      <c r="A2280">
        <v>20154</v>
      </c>
      <c r="B2280" t="s">
        <v>6455</v>
      </c>
      <c r="C2280" s="3">
        <v>41480</v>
      </c>
      <c r="D2280" t="s">
        <v>25</v>
      </c>
      <c r="E2280">
        <v>10</v>
      </c>
      <c r="F2280" s="3">
        <f ca="1">41484+(RANDBETWEEN(1,10))</f>
        <v>41488</v>
      </c>
      <c r="G2280" t="s">
        <v>156</v>
      </c>
      <c r="H2280" t="s">
        <v>27</v>
      </c>
      <c r="I2280" t="s">
        <v>97</v>
      </c>
      <c r="J2280">
        <v>3495.3449999999998</v>
      </c>
      <c r="K2280">
        <v>0.08</v>
      </c>
      <c r="L2280">
        <v>0.5</v>
      </c>
      <c r="M2280">
        <v>69.965000000000003</v>
      </c>
      <c r="N2280">
        <v>1283.2049999999999</v>
      </c>
      <c r="O2280" s="1" t="s">
        <v>64</v>
      </c>
      <c r="P2280" s="1" t="s">
        <v>4697</v>
      </c>
      <c r="Q2280" s="1" t="s">
        <v>4698</v>
      </c>
      <c r="R2280" s="1" t="s">
        <v>67</v>
      </c>
      <c r="S2280" s="1" t="s">
        <v>4699</v>
      </c>
      <c r="T2280" s="1" t="s">
        <v>4700</v>
      </c>
      <c r="U2280" s="2" t="s">
        <v>6456</v>
      </c>
      <c r="V2280" s="2" t="s">
        <v>36</v>
      </c>
      <c r="W2280" s="2" t="s">
        <v>60</v>
      </c>
      <c r="X2280" s="2">
        <v>349.96499999999997</v>
      </c>
    </row>
    <row r="2281" spans="1:24" x14ac:dyDescent="0.3">
      <c r="A2281">
        <v>20155</v>
      </c>
      <c r="B2281" t="s">
        <v>6457</v>
      </c>
      <c r="C2281" s="3">
        <v>41314</v>
      </c>
      <c r="D2281" t="s">
        <v>62</v>
      </c>
      <c r="E2281">
        <v>14</v>
      </c>
      <c r="F2281" s="3">
        <f ca="1">41315+(RANDBETWEEN(1,10))</f>
        <v>41322</v>
      </c>
      <c r="G2281" t="s">
        <v>156</v>
      </c>
      <c r="H2281" t="s">
        <v>27</v>
      </c>
      <c r="I2281" t="s">
        <v>86</v>
      </c>
      <c r="J2281">
        <v>1416.0650000000001</v>
      </c>
      <c r="K2281">
        <v>0.09</v>
      </c>
      <c r="L2281">
        <v>0.78</v>
      </c>
      <c r="M2281">
        <v>14</v>
      </c>
      <c r="N2281">
        <v>-22.19</v>
      </c>
      <c r="O2281" s="1" t="s">
        <v>64</v>
      </c>
      <c r="P2281" s="1" t="s">
        <v>3346</v>
      </c>
      <c r="Q2281" s="1" t="s">
        <v>3347</v>
      </c>
      <c r="R2281" s="1" t="s">
        <v>67</v>
      </c>
      <c r="S2281" s="1" t="s">
        <v>3348</v>
      </c>
      <c r="T2281" s="1" t="s">
        <v>3349</v>
      </c>
      <c r="U2281" s="2" t="s">
        <v>4266</v>
      </c>
      <c r="V2281" s="2" t="s">
        <v>36</v>
      </c>
      <c r="W2281" s="2" t="s">
        <v>60</v>
      </c>
      <c r="X2281" s="2">
        <v>101.85</v>
      </c>
    </row>
    <row r="2282" spans="1:24" x14ac:dyDescent="0.3">
      <c r="A2282">
        <v>20156</v>
      </c>
      <c r="B2282" t="s">
        <v>6457</v>
      </c>
      <c r="C2282" s="3">
        <v>41314</v>
      </c>
      <c r="D2282" t="s">
        <v>62</v>
      </c>
      <c r="E2282">
        <v>3</v>
      </c>
      <c r="F2282" s="3">
        <f ca="1">41317+(RANDBETWEEN(1,10))</f>
        <v>41318</v>
      </c>
      <c r="G2282" t="s">
        <v>26</v>
      </c>
      <c r="H2282" t="s">
        <v>27</v>
      </c>
      <c r="I2282" t="s">
        <v>86</v>
      </c>
      <c r="J2282">
        <v>988.71500000000003</v>
      </c>
      <c r="K2282">
        <v>0.01</v>
      </c>
      <c r="L2282">
        <v>0.56999999999999995</v>
      </c>
      <c r="M2282">
        <v>31.465</v>
      </c>
      <c r="N2282">
        <v>-653.34500000000003</v>
      </c>
      <c r="O2282" s="1" t="s">
        <v>64</v>
      </c>
      <c r="P2282" s="1" t="s">
        <v>3346</v>
      </c>
      <c r="Q2282" s="1" t="s">
        <v>3347</v>
      </c>
      <c r="R2282" s="1" t="s">
        <v>67</v>
      </c>
      <c r="S2282" s="1" t="s">
        <v>3348</v>
      </c>
      <c r="T2282" s="1" t="s">
        <v>3349</v>
      </c>
      <c r="U2282" s="2" t="s">
        <v>2356</v>
      </c>
      <c r="V2282" s="2" t="s">
        <v>36</v>
      </c>
      <c r="W2282" s="2" t="s">
        <v>37</v>
      </c>
      <c r="X2282" s="2">
        <v>388.46499999999997</v>
      </c>
    </row>
    <row r="2283" spans="1:24" x14ac:dyDescent="0.3">
      <c r="A2283">
        <v>20157</v>
      </c>
      <c r="B2283" t="s">
        <v>6458</v>
      </c>
      <c r="C2283" s="3">
        <v>41331</v>
      </c>
      <c r="D2283" t="s">
        <v>62</v>
      </c>
      <c r="E2283">
        <v>6</v>
      </c>
      <c r="F2283" s="3">
        <f ca="1">41332+(RANDBETWEEN(1,10))</f>
        <v>41337</v>
      </c>
      <c r="G2283" t="s">
        <v>26</v>
      </c>
      <c r="H2283" t="s">
        <v>27</v>
      </c>
      <c r="I2283" t="s">
        <v>97</v>
      </c>
      <c r="J2283">
        <v>905.76499999999999</v>
      </c>
      <c r="K2283">
        <v>0.08</v>
      </c>
      <c r="L2283">
        <v>0.39</v>
      </c>
      <c r="M2283">
        <v>10.465</v>
      </c>
      <c r="N2283">
        <v>-2134.2440000000001</v>
      </c>
      <c r="O2283" s="1" t="s">
        <v>87</v>
      </c>
      <c r="P2283" s="1" t="s">
        <v>2075</v>
      </c>
      <c r="Q2283" s="1" t="s">
        <v>2076</v>
      </c>
      <c r="R2283" s="1" t="s">
        <v>398</v>
      </c>
      <c r="S2283" s="1" t="s">
        <v>2077</v>
      </c>
      <c r="T2283" s="1" t="s">
        <v>2078</v>
      </c>
      <c r="U2283" s="2" t="s">
        <v>2837</v>
      </c>
      <c r="V2283" s="2" t="s">
        <v>47</v>
      </c>
      <c r="W2283" s="2" t="s">
        <v>111</v>
      </c>
      <c r="X2283" s="2">
        <v>151.935</v>
      </c>
    </row>
    <row r="2284" spans="1:24" x14ac:dyDescent="0.3">
      <c r="A2284">
        <v>20158</v>
      </c>
      <c r="B2284" t="s">
        <v>6459</v>
      </c>
      <c r="C2284" s="3">
        <v>41114</v>
      </c>
      <c r="D2284" t="s">
        <v>25</v>
      </c>
      <c r="E2284">
        <v>14</v>
      </c>
      <c r="F2284" s="3">
        <f ca="1">41116+(RANDBETWEEN(1,10))</f>
        <v>41117</v>
      </c>
      <c r="G2284" t="s">
        <v>156</v>
      </c>
      <c r="H2284" t="s">
        <v>27</v>
      </c>
      <c r="I2284" t="s">
        <v>28</v>
      </c>
      <c r="J2284">
        <v>299.42500000000001</v>
      </c>
      <c r="K2284">
        <v>0.04</v>
      </c>
      <c r="L2284">
        <v>0.4</v>
      </c>
      <c r="M2284">
        <v>26.25</v>
      </c>
      <c r="N2284">
        <v>-677.18</v>
      </c>
      <c r="O2284" s="1" t="s">
        <v>225</v>
      </c>
      <c r="P2284" s="1" t="s">
        <v>6460</v>
      </c>
      <c r="Q2284" s="1" t="s">
        <v>6461</v>
      </c>
      <c r="R2284" s="1" t="s">
        <v>228</v>
      </c>
      <c r="S2284" s="1" t="s">
        <v>6462</v>
      </c>
      <c r="T2284" s="1" t="s">
        <v>6463</v>
      </c>
      <c r="U2284" s="2" t="s">
        <v>6464</v>
      </c>
      <c r="V2284" s="2" t="s">
        <v>47</v>
      </c>
      <c r="W2284" s="2" t="s">
        <v>74</v>
      </c>
      <c r="X2284" s="2">
        <v>20.93</v>
      </c>
    </row>
    <row r="2285" spans="1:24" x14ac:dyDescent="0.3">
      <c r="A2285">
        <v>20159</v>
      </c>
      <c r="B2285" t="s">
        <v>6465</v>
      </c>
      <c r="C2285" s="3">
        <v>41657</v>
      </c>
      <c r="D2285" t="s">
        <v>148</v>
      </c>
      <c r="E2285">
        <v>1</v>
      </c>
      <c r="F2285" s="3">
        <f ca="1">41657+(RANDBETWEEN(1,10))</f>
        <v>41661</v>
      </c>
      <c r="G2285" t="s">
        <v>26</v>
      </c>
      <c r="H2285" t="s">
        <v>27</v>
      </c>
      <c r="I2285" t="s">
        <v>86</v>
      </c>
      <c r="J2285">
        <v>630.94500000000005</v>
      </c>
      <c r="K2285">
        <v>0.01</v>
      </c>
      <c r="L2285">
        <v>0.59</v>
      </c>
      <c r="M2285">
        <v>8.75</v>
      </c>
      <c r="N2285">
        <v>1289.463</v>
      </c>
      <c r="O2285" s="1" t="s">
        <v>29</v>
      </c>
      <c r="P2285" s="1" t="s">
        <v>5715</v>
      </c>
      <c r="Q2285" s="1" t="s">
        <v>5716</v>
      </c>
      <c r="R2285" s="1" t="s">
        <v>32</v>
      </c>
      <c r="S2285" s="1" t="s">
        <v>5717</v>
      </c>
      <c r="T2285" s="1" t="s">
        <v>5718</v>
      </c>
      <c r="U2285" s="2" t="s">
        <v>5038</v>
      </c>
      <c r="V2285" s="2" t="s">
        <v>36</v>
      </c>
      <c r="W2285" s="2" t="s">
        <v>37</v>
      </c>
      <c r="X2285" s="2">
        <v>720.96500000000003</v>
      </c>
    </row>
    <row r="2286" spans="1:24" x14ac:dyDescent="0.3">
      <c r="A2286">
        <v>20160</v>
      </c>
      <c r="B2286" t="s">
        <v>6466</v>
      </c>
      <c r="C2286" s="3">
        <v>41770</v>
      </c>
      <c r="D2286" t="s">
        <v>148</v>
      </c>
      <c r="E2286">
        <v>9</v>
      </c>
      <c r="F2286" s="3">
        <f ca="1">41771+(RANDBETWEEN(1,10))</f>
        <v>41777</v>
      </c>
      <c r="G2286" t="s">
        <v>26</v>
      </c>
      <c r="H2286" t="s">
        <v>51</v>
      </c>
      <c r="I2286" t="s">
        <v>52</v>
      </c>
      <c r="J2286">
        <v>182.94499999999999</v>
      </c>
      <c r="K2286">
        <v>0.03</v>
      </c>
      <c r="L2286">
        <v>0.56000000000000005</v>
      </c>
      <c r="M2286">
        <v>12.6</v>
      </c>
      <c r="N2286">
        <v>-5202.232</v>
      </c>
      <c r="O2286" s="1" t="s">
        <v>29</v>
      </c>
      <c r="P2286" s="1" t="s">
        <v>5924</v>
      </c>
      <c r="Q2286" s="1" t="s">
        <v>5925</v>
      </c>
      <c r="R2286" s="1" t="s">
        <v>32</v>
      </c>
      <c r="S2286" s="1" t="s">
        <v>447</v>
      </c>
      <c r="T2286" s="1" t="s">
        <v>448</v>
      </c>
      <c r="U2286" s="2" t="s">
        <v>4710</v>
      </c>
      <c r="V2286" s="2" t="s">
        <v>47</v>
      </c>
      <c r="W2286" s="2" t="s">
        <v>94</v>
      </c>
      <c r="X2286" s="2">
        <v>19.88</v>
      </c>
    </row>
    <row r="2287" spans="1:24" x14ac:dyDescent="0.3">
      <c r="A2287">
        <v>20161</v>
      </c>
      <c r="B2287" t="s">
        <v>6467</v>
      </c>
      <c r="C2287" s="3">
        <v>41796</v>
      </c>
      <c r="D2287" t="s">
        <v>62</v>
      </c>
      <c r="E2287">
        <v>12</v>
      </c>
      <c r="F2287" s="3">
        <f ca="1">41798+(RANDBETWEEN(1,10))</f>
        <v>41806</v>
      </c>
      <c r="G2287" t="s">
        <v>26</v>
      </c>
      <c r="H2287" t="s">
        <v>27</v>
      </c>
      <c r="I2287" t="s">
        <v>86</v>
      </c>
      <c r="J2287">
        <v>577.60500000000002</v>
      </c>
      <c r="K2287">
        <v>0</v>
      </c>
      <c r="L2287">
        <v>0.43</v>
      </c>
      <c r="M2287">
        <v>18.059999999999999</v>
      </c>
      <c r="N2287">
        <v>308.82600000000002</v>
      </c>
      <c r="O2287" s="1" t="s">
        <v>53</v>
      </c>
      <c r="P2287" s="1" t="s">
        <v>2243</v>
      </c>
      <c r="Q2287" s="1" t="s">
        <v>2244</v>
      </c>
      <c r="R2287" s="1" t="s">
        <v>56</v>
      </c>
      <c r="S2287" s="1" t="s">
        <v>615</v>
      </c>
      <c r="T2287" s="1" t="s">
        <v>616</v>
      </c>
      <c r="U2287" s="2" t="s">
        <v>2445</v>
      </c>
      <c r="V2287" s="2" t="s">
        <v>83</v>
      </c>
      <c r="W2287" s="2" t="s">
        <v>178</v>
      </c>
      <c r="X2287" s="2">
        <v>44.03</v>
      </c>
    </row>
    <row r="2288" spans="1:24" x14ac:dyDescent="0.3">
      <c r="A2288">
        <v>20162</v>
      </c>
      <c r="B2288" t="s">
        <v>6468</v>
      </c>
      <c r="C2288" s="3">
        <v>41721</v>
      </c>
      <c r="D2288" t="s">
        <v>62</v>
      </c>
      <c r="E2288">
        <v>3</v>
      </c>
      <c r="F2288" s="3">
        <f ca="1">41722+(RANDBETWEEN(1,10))</f>
        <v>41725</v>
      </c>
      <c r="G2288" t="s">
        <v>156</v>
      </c>
      <c r="H2288" t="s">
        <v>27</v>
      </c>
      <c r="I2288" t="s">
        <v>28</v>
      </c>
      <c r="J2288">
        <v>338.38</v>
      </c>
      <c r="K2288">
        <v>0.01</v>
      </c>
      <c r="L2288">
        <v>0.64</v>
      </c>
      <c r="M2288">
        <v>22.75</v>
      </c>
      <c r="N2288">
        <v>-294.42</v>
      </c>
      <c r="O2288" s="1" t="s">
        <v>64</v>
      </c>
      <c r="P2288" s="1" t="s">
        <v>4058</v>
      </c>
      <c r="Q2288" s="1" t="s">
        <v>4059</v>
      </c>
      <c r="R2288" s="1" t="s">
        <v>67</v>
      </c>
      <c r="S2288" s="1" t="s">
        <v>4060</v>
      </c>
      <c r="T2288" s="1" t="s">
        <v>4061</v>
      </c>
      <c r="U2288" s="2" t="s">
        <v>2033</v>
      </c>
      <c r="V2288" s="2" t="s">
        <v>36</v>
      </c>
      <c r="W2288" s="2" t="s">
        <v>60</v>
      </c>
      <c r="X2288" s="2">
        <v>108.43</v>
      </c>
    </row>
    <row r="2289" spans="1:24" x14ac:dyDescent="0.3">
      <c r="A2289">
        <v>20163</v>
      </c>
      <c r="B2289" t="s">
        <v>6468</v>
      </c>
      <c r="C2289" s="3">
        <v>41721</v>
      </c>
      <c r="D2289" t="s">
        <v>62</v>
      </c>
      <c r="E2289">
        <v>9</v>
      </c>
      <c r="F2289" s="3">
        <f ca="1">41723+(RANDBETWEEN(1,10))</f>
        <v>41728</v>
      </c>
      <c r="G2289" t="s">
        <v>26</v>
      </c>
      <c r="H2289" t="s">
        <v>96</v>
      </c>
      <c r="I2289" t="s">
        <v>28</v>
      </c>
      <c r="J2289">
        <v>124.215</v>
      </c>
      <c r="K2289">
        <v>0.09</v>
      </c>
      <c r="L2289">
        <v>0.56999999999999995</v>
      </c>
      <c r="M2289">
        <v>4.0949999999999998</v>
      </c>
      <c r="N2289">
        <v>20.93</v>
      </c>
      <c r="O2289" s="1" t="s">
        <v>64</v>
      </c>
      <c r="P2289" s="1" t="s">
        <v>4058</v>
      </c>
      <c r="Q2289" s="1" t="s">
        <v>4059</v>
      </c>
      <c r="R2289" s="1" t="s">
        <v>67</v>
      </c>
      <c r="S2289" s="1" t="s">
        <v>4060</v>
      </c>
      <c r="T2289" s="1" t="s">
        <v>4061</v>
      </c>
      <c r="U2289" s="2" t="s">
        <v>6469</v>
      </c>
      <c r="V2289" s="2" t="s">
        <v>47</v>
      </c>
      <c r="W2289" s="2" t="s">
        <v>104</v>
      </c>
      <c r="X2289" s="2">
        <v>14.455</v>
      </c>
    </row>
    <row r="2290" spans="1:24" x14ac:dyDescent="0.3">
      <c r="A2290">
        <v>20164</v>
      </c>
      <c r="B2290" t="s">
        <v>6470</v>
      </c>
      <c r="C2290" s="3">
        <v>41125</v>
      </c>
      <c r="D2290" t="s">
        <v>148</v>
      </c>
      <c r="E2290">
        <v>4</v>
      </c>
      <c r="F2290" s="3">
        <f ca="1">41128+(RANDBETWEEN(1,10))</f>
        <v>41129</v>
      </c>
      <c r="G2290" t="s">
        <v>26</v>
      </c>
      <c r="H2290" t="s">
        <v>27</v>
      </c>
      <c r="I2290" t="s">
        <v>52</v>
      </c>
      <c r="J2290">
        <v>79.239999999999995</v>
      </c>
      <c r="K2290">
        <v>0.06</v>
      </c>
      <c r="L2290">
        <v>0.4</v>
      </c>
      <c r="M2290">
        <v>21.91</v>
      </c>
      <c r="N2290">
        <v>-63.663600000000002</v>
      </c>
      <c r="O2290" s="1" t="s">
        <v>40</v>
      </c>
      <c r="P2290" s="1" t="s">
        <v>6471</v>
      </c>
      <c r="Q2290" s="1" t="s">
        <v>6472</v>
      </c>
      <c r="R2290" s="1" t="s">
        <v>43</v>
      </c>
      <c r="S2290" s="1" t="s">
        <v>6473</v>
      </c>
      <c r="T2290" s="1" t="s">
        <v>1444</v>
      </c>
      <c r="U2290" s="2" t="s">
        <v>817</v>
      </c>
      <c r="V2290" s="2" t="s">
        <v>47</v>
      </c>
      <c r="W2290" s="2" t="s">
        <v>74</v>
      </c>
      <c r="X2290" s="2">
        <v>18.48</v>
      </c>
    </row>
    <row r="2291" spans="1:24" x14ac:dyDescent="0.3">
      <c r="A2291">
        <v>20165</v>
      </c>
      <c r="B2291" t="s">
        <v>6470</v>
      </c>
      <c r="C2291" s="3">
        <v>41125</v>
      </c>
      <c r="D2291" t="s">
        <v>148</v>
      </c>
      <c r="E2291">
        <v>20</v>
      </c>
      <c r="F2291" s="3">
        <f ca="1">41127+(RANDBETWEEN(1,10))</f>
        <v>41133</v>
      </c>
      <c r="G2291" t="s">
        <v>26</v>
      </c>
      <c r="H2291" t="s">
        <v>27</v>
      </c>
      <c r="I2291" t="s">
        <v>52</v>
      </c>
      <c r="J2291">
        <v>1261.26</v>
      </c>
      <c r="K2291">
        <v>0.08</v>
      </c>
      <c r="L2291">
        <v>0.37</v>
      </c>
      <c r="M2291">
        <v>33.39</v>
      </c>
      <c r="N2291">
        <v>136.07859999999999</v>
      </c>
      <c r="O2291" s="1" t="s">
        <v>40</v>
      </c>
      <c r="P2291" s="1" t="s">
        <v>6471</v>
      </c>
      <c r="Q2291" s="1" t="s">
        <v>6472</v>
      </c>
      <c r="R2291" s="1" t="s">
        <v>43</v>
      </c>
      <c r="S2291" s="1" t="s">
        <v>6473</v>
      </c>
      <c r="T2291" s="1" t="s">
        <v>1444</v>
      </c>
      <c r="U2291" s="2" t="s">
        <v>838</v>
      </c>
      <c r="V2291" s="2" t="s">
        <v>47</v>
      </c>
      <c r="W2291" s="2" t="s">
        <v>74</v>
      </c>
      <c r="X2291" s="2">
        <v>66.394999999999996</v>
      </c>
    </row>
    <row r="2292" spans="1:24" x14ac:dyDescent="0.3">
      <c r="A2292">
        <v>20166</v>
      </c>
      <c r="B2292" t="s">
        <v>6470</v>
      </c>
      <c r="C2292" s="3">
        <v>41125</v>
      </c>
      <c r="D2292" t="s">
        <v>148</v>
      </c>
      <c r="E2292">
        <v>6</v>
      </c>
      <c r="F2292" s="3">
        <f ca="1">41127+(RANDBETWEEN(1,10))</f>
        <v>41134</v>
      </c>
      <c r="G2292" t="s">
        <v>26</v>
      </c>
      <c r="H2292" t="s">
        <v>27</v>
      </c>
      <c r="I2292" t="s">
        <v>52</v>
      </c>
      <c r="J2292">
        <v>1173.69</v>
      </c>
      <c r="K2292">
        <v>0.06</v>
      </c>
      <c r="L2292">
        <v>0.59</v>
      </c>
      <c r="M2292">
        <v>13.965</v>
      </c>
      <c r="N2292">
        <v>-20.74072</v>
      </c>
      <c r="O2292" s="1" t="s">
        <v>40</v>
      </c>
      <c r="P2292" s="1" t="s">
        <v>6471</v>
      </c>
      <c r="Q2292" s="1" t="s">
        <v>6472</v>
      </c>
      <c r="R2292" s="1" t="s">
        <v>43</v>
      </c>
      <c r="S2292" s="1" t="s">
        <v>6473</v>
      </c>
      <c r="T2292" s="1" t="s">
        <v>1444</v>
      </c>
      <c r="U2292" s="2" t="s">
        <v>1991</v>
      </c>
      <c r="V2292" s="2" t="s">
        <v>36</v>
      </c>
      <c r="W2292" s="2" t="s">
        <v>37</v>
      </c>
      <c r="X2292" s="2">
        <v>230.965</v>
      </c>
    </row>
    <row r="2293" spans="1:24" x14ac:dyDescent="0.3">
      <c r="A2293">
        <v>20167</v>
      </c>
      <c r="B2293" t="s">
        <v>6474</v>
      </c>
      <c r="C2293" s="3">
        <v>41453</v>
      </c>
      <c r="D2293" t="s">
        <v>25</v>
      </c>
      <c r="E2293">
        <v>15</v>
      </c>
      <c r="F2293" s="3">
        <f ca="1">41457+(RANDBETWEEN(1,10))</f>
        <v>41459</v>
      </c>
      <c r="G2293" t="s">
        <v>156</v>
      </c>
      <c r="H2293" t="s">
        <v>96</v>
      </c>
      <c r="I2293" t="s">
        <v>28</v>
      </c>
      <c r="J2293">
        <v>179.55</v>
      </c>
      <c r="K2293">
        <v>0.05</v>
      </c>
      <c r="L2293">
        <v>0.4</v>
      </c>
      <c r="M2293">
        <v>4.7249999999999996</v>
      </c>
      <c r="N2293">
        <v>86.394000000000005</v>
      </c>
      <c r="O2293" s="1" t="s">
        <v>53</v>
      </c>
      <c r="P2293" s="1" t="s">
        <v>6475</v>
      </c>
      <c r="Q2293" s="1" t="s">
        <v>6476</v>
      </c>
      <c r="R2293" s="1" t="s">
        <v>56</v>
      </c>
      <c r="S2293" s="1" t="s">
        <v>6477</v>
      </c>
      <c r="T2293" s="1" t="s">
        <v>6478</v>
      </c>
      <c r="U2293" s="2" t="s">
        <v>2529</v>
      </c>
      <c r="V2293" s="2" t="s">
        <v>47</v>
      </c>
      <c r="W2293" s="2" t="s">
        <v>176</v>
      </c>
      <c r="X2293" s="2">
        <v>11.515000000000001</v>
      </c>
    </row>
    <row r="2294" spans="1:24" x14ac:dyDescent="0.3">
      <c r="A2294">
        <v>20168</v>
      </c>
      <c r="B2294" t="s">
        <v>6474</v>
      </c>
      <c r="C2294" s="3">
        <v>41453</v>
      </c>
      <c r="D2294" t="s">
        <v>25</v>
      </c>
      <c r="E2294">
        <v>4</v>
      </c>
      <c r="F2294" s="3">
        <f ca="1">41460+(RANDBETWEEN(1,10))</f>
        <v>41469</v>
      </c>
      <c r="G2294" t="s">
        <v>76</v>
      </c>
      <c r="H2294" t="s">
        <v>77</v>
      </c>
      <c r="I2294" t="s">
        <v>28</v>
      </c>
      <c r="J2294">
        <v>2217.0050000000001</v>
      </c>
      <c r="K2294">
        <v>0.1</v>
      </c>
      <c r="L2294">
        <v>0.62</v>
      </c>
      <c r="M2294">
        <v>105</v>
      </c>
      <c r="N2294">
        <v>-182.05600000000001</v>
      </c>
      <c r="O2294" s="1" t="s">
        <v>64</v>
      </c>
      <c r="P2294" s="1" t="s">
        <v>6479</v>
      </c>
      <c r="Q2294" s="1" t="s">
        <v>6480</v>
      </c>
      <c r="R2294" s="1" t="s">
        <v>128</v>
      </c>
      <c r="S2294" s="1" t="s">
        <v>6481</v>
      </c>
      <c r="T2294" s="1" t="s">
        <v>6482</v>
      </c>
      <c r="U2294" s="2" t="s">
        <v>2089</v>
      </c>
      <c r="V2294" s="2" t="s">
        <v>83</v>
      </c>
      <c r="W2294" s="2" t="s">
        <v>84</v>
      </c>
      <c r="X2294" s="2">
        <v>563.42999999999995</v>
      </c>
    </row>
    <row r="2295" spans="1:24" x14ac:dyDescent="0.3">
      <c r="A2295">
        <v>20169</v>
      </c>
      <c r="B2295" t="s">
        <v>6483</v>
      </c>
      <c r="C2295" s="3">
        <v>41541</v>
      </c>
      <c r="D2295" t="s">
        <v>62</v>
      </c>
      <c r="E2295">
        <v>9</v>
      </c>
      <c r="F2295" s="3">
        <f ca="1">41542+(RANDBETWEEN(1,10))</f>
        <v>41547</v>
      </c>
      <c r="G2295" t="s">
        <v>156</v>
      </c>
      <c r="H2295" t="s">
        <v>96</v>
      </c>
      <c r="I2295" t="s">
        <v>52</v>
      </c>
      <c r="J2295">
        <v>62.16</v>
      </c>
      <c r="K2295">
        <v>0.02</v>
      </c>
      <c r="L2295">
        <v>0.59</v>
      </c>
      <c r="M2295">
        <v>5.4950000000000001</v>
      </c>
      <c r="N2295">
        <v>-48.825000000000003</v>
      </c>
      <c r="O2295" s="1" t="s">
        <v>40</v>
      </c>
      <c r="P2295" s="1" t="s">
        <v>4065</v>
      </c>
      <c r="Q2295" s="1" t="s">
        <v>4066</v>
      </c>
      <c r="R2295" s="1" t="s">
        <v>43</v>
      </c>
      <c r="S2295" s="1" t="s">
        <v>4067</v>
      </c>
      <c r="T2295" s="1" t="s">
        <v>4068</v>
      </c>
      <c r="U2295" s="2" t="s">
        <v>2439</v>
      </c>
      <c r="V2295" s="2" t="s">
        <v>47</v>
      </c>
      <c r="W2295" s="2" t="s">
        <v>104</v>
      </c>
      <c r="X2295" s="2">
        <v>5.88</v>
      </c>
    </row>
    <row r="2296" spans="1:24" x14ac:dyDescent="0.3">
      <c r="A2296">
        <v>20170</v>
      </c>
      <c r="B2296" t="s">
        <v>6483</v>
      </c>
      <c r="C2296" s="3">
        <v>41541</v>
      </c>
      <c r="D2296" t="s">
        <v>62</v>
      </c>
      <c r="E2296">
        <v>19</v>
      </c>
      <c r="F2296" s="3">
        <f ca="1">41541+(RANDBETWEEN(1,10))</f>
        <v>41545</v>
      </c>
      <c r="G2296" t="s">
        <v>26</v>
      </c>
      <c r="H2296" t="s">
        <v>281</v>
      </c>
      <c r="I2296" t="s">
        <v>52</v>
      </c>
      <c r="J2296">
        <v>1885.2750000000001</v>
      </c>
      <c r="K2296">
        <v>0.02</v>
      </c>
      <c r="L2296">
        <v>0.57999999999999996</v>
      </c>
      <c r="M2296">
        <v>48.965000000000003</v>
      </c>
      <c r="N2296">
        <v>-476.7</v>
      </c>
      <c r="O2296" s="1" t="s">
        <v>40</v>
      </c>
      <c r="P2296" s="1" t="s">
        <v>4065</v>
      </c>
      <c r="Q2296" s="1" t="s">
        <v>4066</v>
      </c>
      <c r="R2296" s="1" t="s">
        <v>43</v>
      </c>
      <c r="S2296" s="1" t="s">
        <v>4067</v>
      </c>
      <c r="T2296" s="1" t="s">
        <v>4068</v>
      </c>
      <c r="U2296" s="2" t="s">
        <v>2573</v>
      </c>
      <c r="V2296" s="2" t="s">
        <v>47</v>
      </c>
      <c r="W2296" s="2" t="s">
        <v>119</v>
      </c>
      <c r="X2296" s="2">
        <v>98.98</v>
      </c>
    </row>
    <row r="2297" spans="1:24" x14ac:dyDescent="0.3">
      <c r="A2297">
        <v>20171</v>
      </c>
      <c r="B2297" t="s">
        <v>6484</v>
      </c>
      <c r="C2297" s="3">
        <v>41511</v>
      </c>
      <c r="D2297" t="s">
        <v>39</v>
      </c>
      <c r="E2297">
        <v>17</v>
      </c>
      <c r="F2297" s="3">
        <f ca="1">41512+(RANDBETWEEN(1,10))</f>
        <v>41518</v>
      </c>
      <c r="G2297" t="s">
        <v>76</v>
      </c>
      <c r="H2297" t="s">
        <v>258</v>
      </c>
      <c r="I2297" t="s">
        <v>52</v>
      </c>
      <c r="J2297">
        <v>15017.205</v>
      </c>
      <c r="K2297">
        <v>0</v>
      </c>
      <c r="L2297">
        <v>0.56000000000000005</v>
      </c>
      <c r="M2297">
        <v>210.7</v>
      </c>
      <c r="N2297">
        <v>7584.7114000000001</v>
      </c>
      <c r="O2297" s="1" t="s">
        <v>64</v>
      </c>
      <c r="P2297" s="1" t="s">
        <v>2317</v>
      </c>
      <c r="Q2297" s="1" t="s">
        <v>2318</v>
      </c>
      <c r="R2297" s="1" t="s">
        <v>128</v>
      </c>
      <c r="S2297" s="1" t="s">
        <v>2319</v>
      </c>
      <c r="T2297" s="1" t="s">
        <v>2320</v>
      </c>
      <c r="U2297" s="2" t="s">
        <v>5128</v>
      </c>
      <c r="V2297" s="2" t="s">
        <v>83</v>
      </c>
      <c r="W2297" s="2" t="s">
        <v>298</v>
      </c>
      <c r="X2297" s="2">
        <v>843.43</v>
      </c>
    </row>
    <row r="2298" spans="1:24" x14ac:dyDescent="0.3">
      <c r="A2298">
        <v>20172</v>
      </c>
      <c r="B2298" t="s">
        <v>6484</v>
      </c>
      <c r="C2298" s="3">
        <v>41511</v>
      </c>
      <c r="D2298" t="s">
        <v>39</v>
      </c>
      <c r="E2298">
        <v>10</v>
      </c>
      <c r="F2298" s="3">
        <f ca="1">41512+(RANDBETWEEN(1,10))</f>
        <v>41518</v>
      </c>
      <c r="G2298" t="s">
        <v>26</v>
      </c>
      <c r="H2298" t="s">
        <v>27</v>
      </c>
      <c r="I2298" t="s">
        <v>52</v>
      </c>
      <c r="J2298">
        <v>226.66</v>
      </c>
      <c r="K2298">
        <v>0.09</v>
      </c>
      <c r="L2298">
        <v>0.36</v>
      </c>
      <c r="M2298">
        <v>33.880000000000003</v>
      </c>
      <c r="N2298">
        <v>-235.21680000000001</v>
      </c>
      <c r="O2298" s="1" t="s">
        <v>64</v>
      </c>
      <c r="P2298" s="1" t="s">
        <v>2317</v>
      </c>
      <c r="Q2298" s="1" t="s">
        <v>2318</v>
      </c>
      <c r="R2298" s="1" t="s">
        <v>128</v>
      </c>
      <c r="S2298" s="1" t="s">
        <v>2319</v>
      </c>
      <c r="T2298" s="1" t="s">
        <v>2320</v>
      </c>
      <c r="U2298" s="2" t="s">
        <v>6485</v>
      </c>
      <c r="V2298" s="2" t="s">
        <v>47</v>
      </c>
      <c r="W2298" s="2" t="s">
        <v>74</v>
      </c>
      <c r="X2298" s="2">
        <v>22.68</v>
      </c>
    </row>
    <row r="2299" spans="1:24" x14ac:dyDescent="0.3">
      <c r="A2299">
        <v>20173</v>
      </c>
      <c r="B2299" t="s">
        <v>6486</v>
      </c>
      <c r="C2299" s="3">
        <v>41916</v>
      </c>
      <c r="D2299" t="s">
        <v>62</v>
      </c>
      <c r="E2299">
        <v>21</v>
      </c>
      <c r="F2299" s="3">
        <f ca="1">41919+(RANDBETWEEN(1,10))</f>
        <v>41925</v>
      </c>
      <c r="G2299" t="s">
        <v>156</v>
      </c>
      <c r="H2299" t="s">
        <v>27</v>
      </c>
      <c r="I2299" t="s">
        <v>86</v>
      </c>
      <c r="J2299">
        <v>4011.105</v>
      </c>
      <c r="K2299">
        <v>0.1</v>
      </c>
      <c r="L2299">
        <v>0.56999999999999995</v>
      </c>
      <c r="M2299">
        <v>12.25</v>
      </c>
      <c r="N2299">
        <v>-124.509</v>
      </c>
      <c r="O2299" s="1" t="s">
        <v>87</v>
      </c>
      <c r="P2299" s="1" t="s">
        <v>6487</v>
      </c>
      <c r="Q2299" s="1" t="s">
        <v>6488</v>
      </c>
      <c r="R2299" s="1" t="s">
        <v>497</v>
      </c>
      <c r="S2299" s="1" t="s">
        <v>6489</v>
      </c>
      <c r="T2299" s="1" t="s">
        <v>6490</v>
      </c>
      <c r="U2299" s="2" t="s">
        <v>6491</v>
      </c>
      <c r="V2299" s="2" t="s">
        <v>47</v>
      </c>
      <c r="W2299" s="2" t="s">
        <v>71</v>
      </c>
      <c r="X2299" s="2">
        <v>210.77</v>
      </c>
    </row>
    <row r="2300" spans="1:24" x14ac:dyDescent="0.3">
      <c r="A2300">
        <v>20174</v>
      </c>
      <c r="B2300" t="s">
        <v>6486</v>
      </c>
      <c r="C2300" s="3">
        <v>41916</v>
      </c>
      <c r="D2300" t="s">
        <v>62</v>
      </c>
      <c r="E2300">
        <v>7</v>
      </c>
      <c r="F2300" s="3">
        <f ca="1">41918+(RANDBETWEEN(1,10))</f>
        <v>41922</v>
      </c>
      <c r="G2300" t="s">
        <v>26</v>
      </c>
      <c r="H2300" t="s">
        <v>63</v>
      </c>
      <c r="I2300" t="s">
        <v>86</v>
      </c>
      <c r="J2300">
        <v>2002.63</v>
      </c>
      <c r="K2300">
        <v>0.05</v>
      </c>
      <c r="L2300">
        <v>0.83</v>
      </c>
      <c r="M2300">
        <v>122.5</v>
      </c>
      <c r="N2300">
        <v>455.07420000000002</v>
      </c>
      <c r="O2300" s="1" t="s">
        <v>87</v>
      </c>
      <c r="P2300" s="1" t="s">
        <v>6487</v>
      </c>
      <c r="Q2300" s="1" t="s">
        <v>6488</v>
      </c>
      <c r="R2300" s="1" t="s">
        <v>497</v>
      </c>
      <c r="S2300" s="1" t="s">
        <v>6489</v>
      </c>
      <c r="T2300" s="1" t="s">
        <v>6490</v>
      </c>
      <c r="U2300" s="2" t="s">
        <v>6492</v>
      </c>
      <c r="V2300" s="2" t="s">
        <v>47</v>
      </c>
      <c r="W2300" s="2" t="s">
        <v>119</v>
      </c>
      <c r="X2300" s="2">
        <v>283.43</v>
      </c>
    </row>
    <row r="2301" spans="1:24" x14ac:dyDescent="0.3">
      <c r="A2301">
        <v>20175</v>
      </c>
      <c r="B2301" t="s">
        <v>6486</v>
      </c>
      <c r="C2301" s="3">
        <v>41916</v>
      </c>
      <c r="D2301" t="s">
        <v>62</v>
      </c>
      <c r="E2301">
        <v>4</v>
      </c>
      <c r="F2301" s="3">
        <f ca="1">41918+(RANDBETWEEN(1,10))</f>
        <v>41924</v>
      </c>
      <c r="G2301" t="s">
        <v>76</v>
      </c>
      <c r="H2301" t="s">
        <v>258</v>
      </c>
      <c r="I2301" t="s">
        <v>86</v>
      </c>
      <c r="J2301">
        <v>2619.4699999999998</v>
      </c>
      <c r="K2301">
        <v>7.0000000000000007E-2</v>
      </c>
      <c r="L2301">
        <v>0.71</v>
      </c>
      <c r="M2301">
        <v>196.7</v>
      </c>
      <c r="N2301">
        <v>-1561.1106</v>
      </c>
      <c r="O2301" s="1" t="s">
        <v>87</v>
      </c>
      <c r="P2301" s="1" t="s">
        <v>6487</v>
      </c>
      <c r="Q2301" s="1" t="s">
        <v>6488</v>
      </c>
      <c r="R2301" s="1" t="s">
        <v>497</v>
      </c>
      <c r="S2301" s="1" t="s">
        <v>6489</v>
      </c>
      <c r="T2301" s="1" t="s">
        <v>6490</v>
      </c>
      <c r="U2301" s="2" t="s">
        <v>6493</v>
      </c>
      <c r="V2301" s="2" t="s">
        <v>83</v>
      </c>
      <c r="W2301" s="2" t="s">
        <v>263</v>
      </c>
      <c r="X2301" s="2">
        <v>627.51499999999999</v>
      </c>
    </row>
    <row r="2302" spans="1:24" x14ac:dyDescent="0.3">
      <c r="A2302">
        <v>20176</v>
      </c>
      <c r="B2302" t="s">
        <v>6494</v>
      </c>
      <c r="C2302" s="3">
        <v>40818</v>
      </c>
      <c r="D2302" t="s">
        <v>50</v>
      </c>
      <c r="E2302">
        <v>12</v>
      </c>
      <c r="F2302" s="3">
        <f ca="1">40820+(RANDBETWEEN(1,10))</f>
        <v>40822</v>
      </c>
      <c r="G2302" t="s">
        <v>76</v>
      </c>
      <c r="H2302" t="s">
        <v>258</v>
      </c>
      <c r="I2302" t="s">
        <v>28</v>
      </c>
      <c r="J2302">
        <v>12347.37</v>
      </c>
      <c r="K2302">
        <v>0.03</v>
      </c>
      <c r="L2302">
        <v>0.55000000000000004</v>
      </c>
      <c r="M2302">
        <v>192.22</v>
      </c>
      <c r="N2302">
        <v>4454.0328</v>
      </c>
      <c r="O2302" s="1" t="s">
        <v>225</v>
      </c>
      <c r="P2302" s="1" t="s">
        <v>6495</v>
      </c>
      <c r="Q2302" s="1" t="s">
        <v>6496</v>
      </c>
      <c r="R2302" s="1" t="s">
        <v>228</v>
      </c>
      <c r="S2302" s="1" t="s">
        <v>6497</v>
      </c>
      <c r="T2302" s="1" t="s">
        <v>6498</v>
      </c>
      <c r="U2302" s="2" t="s">
        <v>5085</v>
      </c>
      <c r="V2302" s="2" t="s">
        <v>83</v>
      </c>
      <c r="W2302" s="2" t="s">
        <v>298</v>
      </c>
      <c r="X2302" s="2">
        <v>1053.43</v>
      </c>
    </row>
    <row r="2303" spans="1:24" x14ac:dyDescent="0.3">
      <c r="A2303">
        <v>20177</v>
      </c>
      <c r="B2303" t="s">
        <v>6494</v>
      </c>
      <c r="C2303" s="3">
        <v>40818</v>
      </c>
      <c r="D2303" t="s">
        <v>50</v>
      </c>
      <c r="E2303">
        <v>2</v>
      </c>
      <c r="F2303" s="3">
        <f ca="1">40820+(RANDBETWEEN(1,10))</f>
        <v>40824</v>
      </c>
      <c r="G2303" t="s">
        <v>76</v>
      </c>
      <c r="H2303" t="s">
        <v>77</v>
      </c>
      <c r="I2303" t="s">
        <v>28</v>
      </c>
      <c r="J2303">
        <v>16443.735000000001</v>
      </c>
      <c r="K2303">
        <v>0.02</v>
      </c>
      <c r="L2303">
        <v>0.56999999999999995</v>
      </c>
      <c r="M2303">
        <v>103.95</v>
      </c>
      <c r="N2303">
        <v>-18867.586122000001</v>
      </c>
      <c r="O2303" s="1" t="s">
        <v>225</v>
      </c>
      <c r="P2303" s="1" t="s">
        <v>6495</v>
      </c>
      <c r="Q2303" s="1" t="s">
        <v>6496</v>
      </c>
      <c r="R2303" s="1" t="s">
        <v>228</v>
      </c>
      <c r="S2303" s="1" t="s">
        <v>6497</v>
      </c>
      <c r="T2303" s="1" t="s">
        <v>6498</v>
      </c>
      <c r="U2303" s="2" t="s">
        <v>2100</v>
      </c>
      <c r="V2303" s="2" t="s">
        <v>36</v>
      </c>
      <c r="W2303" s="2" t="s">
        <v>142</v>
      </c>
      <c r="X2303" s="2">
        <v>8925.49</v>
      </c>
    </row>
    <row r="2304" spans="1:24" x14ac:dyDescent="0.3">
      <c r="A2304">
        <v>20178</v>
      </c>
      <c r="B2304" t="s">
        <v>6499</v>
      </c>
      <c r="C2304" s="3">
        <v>41738</v>
      </c>
      <c r="D2304" t="s">
        <v>62</v>
      </c>
      <c r="E2304">
        <v>12</v>
      </c>
      <c r="F2304" s="3">
        <f ca="1">41741+(RANDBETWEEN(1,10))</f>
        <v>41745</v>
      </c>
      <c r="G2304" t="s">
        <v>76</v>
      </c>
      <c r="H2304" t="s">
        <v>258</v>
      </c>
      <c r="I2304" t="s">
        <v>86</v>
      </c>
      <c r="J2304">
        <v>2975.56</v>
      </c>
      <c r="K2304">
        <v>0.08</v>
      </c>
      <c r="L2304">
        <v>0.56000000000000005</v>
      </c>
      <c r="M2304">
        <v>163.59</v>
      </c>
      <c r="N2304">
        <v>-3124.7649999999999</v>
      </c>
      <c r="O2304" s="1" t="s">
        <v>87</v>
      </c>
      <c r="P2304" s="1" t="s">
        <v>6500</v>
      </c>
      <c r="Q2304" s="1" t="s">
        <v>6501</v>
      </c>
      <c r="R2304" s="1" t="s">
        <v>90</v>
      </c>
      <c r="S2304" s="1" t="s">
        <v>6502</v>
      </c>
      <c r="T2304" s="1" t="s">
        <v>6503</v>
      </c>
      <c r="U2304" s="2" t="s">
        <v>1107</v>
      </c>
      <c r="V2304" s="2" t="s">
        <v>83</v>
      </c>
      <c r="W2304" s="2" t="s">
        <v>298</v>
      </c>
      <c r="X2304" s="2">
        <v>248.43</v>
      </c>
    </row>
    <row r="2305" spans="1:24" x14ac:dyDescent="0.3">
      <c r="A2305">
        <v>20179</v>
      </c>
      <c r="B2305" t="s">
        <v>6504</v>
      </c>
      <c r="C2305" s="3">
        <v>41977</v>
      </c>
      <c r="D2305" t="s">
        <v>39</v>
      </c>
      <c r="E2305">
        <v>1</v>
      </c>
      <c r="F2305" s="3">
        <f ca="1">41979+(RANDBETWEEN(1,10))</f>
        <v>41987</v>
      </c>
      <c r="G2305" t="s">
        <v>76</v>
      </c>
      <c r="H2305" t="s">
        <v>258</v>
      </c>
      <c r="I2305" t="s">
        <v>28</v>
      </c>
      <c r="J2305">
        <v>360.15</v>
      </c>
      <c r="K2305">
        <v>7.0000000000000007E-2</v>
      </c>
      <c r="L2305">
        <v>0.69</v>
      </c>
      <c r="M2305">
        <v>189.38499999999999</v>
      </c>
      <c r="N2305">
        <v>8.5679999999999996</v>
      </c>
      <c r="O2305" s="1" t="s">
        <v>225</v>
      </c>
      <c r="P2305" s="1" t="s">
        <v>6358</v>
      </c>
      <c r="Q2305" s="1" t="s">
        <v>6359</v>
      </c>
      <c r="R2305" s="1" t="s">
        <v>228</v>
      </c>
      <c r="S2305" s="1" t="s">
        <v>6360</v>
      </c>
      <c r="T2305" s="1" t="s">
        <v>886</v>
      </c>
      <c r="U2305" s="2" t="s">
        <v>684</v>
      </c>
      <c r="V2305" s="2" t="s">
        <v>83</v>
      </c>
      <c r="W2305" s="2" t="s">
        <v>298</v>
      </c>
      <c r="X2305" s="2">
        <v>170.03</v>
      </c>
    </row>
    <row r="2306" spans="1:24" x14ac:dyDescent="0.3">
      <c r="A2306">
        <v>20180</v>
      </c>
      <c r="B2306" t="s">
        <v>6505</v>
      </c>
      <c r="C2306" s="3">
        <v>41460</v>
      </c>
      <c r="D2306" t="s">
        <v>39</v>
      </c>
      <c r="E2306">
        <v>17</v>
      </c>
      <c r="F2306" s="3">
        <f ca="1">41462+(RANDBETWEEN(1,10))</f>
        <v>41463</v>
      </c>
      <c r="G2306" t="s">
        <v>156</v>
      </c>
      <c r="H2306" t="s">
        <v>27</v>
      </c>
      <c r="I2306" t="s">
        <v>97</v>
      </c>
      <c r="J2306">
        <v>2987.74</v>
      </c>
      <c r="K2306">
        <v>0.01</v>
      </c>
      <c r="L2306">
        <v>0.56999999999999995</v>
      </c>
      <c r="M2306">
        <v>69.965000000000003</v>
      </c>
      <c r="N2306">
        <v>41.183100000000003</v>
      </c>
      <c r="O2306" s="1" t="s">
        <v>29</v>
      </c>
      <c r="P2306" s="1" t="s">
        <v>6039</v>
      </c>
      <c r="Q2306" s="1" t="s">
        <v>6040</v>
      </c>
      <c r="R2306" s="1" t="s">
        <v>460</v>
      </c>
      <c r="S2306" s="1" t="s">
        <v>6041</v>
      </c>
      <c r="T2306" s="1" t="s">
        <v>6042</v>
      </c>
      <c r="U2306" s="2" t="s">
        <v>3665</v>
      </c>
      <c r="V2306" s="2" t="s">
        <v>47</v>
      </c>
      <c r="W2306" s="2" t="s">
        <v>71</v>
      </c>
      <c r="X2306" s="2">
        <v>173.005</v>
      </c>
    </row>
    <row r="2307" spans="1:24" x14ac:dyDescent="0.3">
      <c r="A2307">
        <v>20181</v>
      </c>
      <c r="B2307" t="s">
        <v>6506</v>
      </c>
      <c r="C2307" s="3">
        <v>41927</v>
      </c>
      <c r="D2307" t="s">
        <v>62</v>
      </c>
      <c r="E2307">
        <v>23</v>
      </c>
      <c r="F2307" s="3">
        <f ca="1">41930+(RANDBETWEEN(1,10))</f>
        <v>41937</v>
      </c>
      <c r="G2307" t="s">
        <v>26</v>
      </c>
      <c r="H2307" t="s">
        <v>27</v>
      </c>
      <c r="I2307" t="s">
        <v>97</v>
      </c>
      <c r="J2307">
        <v>3975.65</v>
      </c>
      <c r="K2307">
        <v>0.03</v>
      </c>
      <c r="L2307">
        <v>0.37</v>
      </c>
      <c r="M2307">
        <v>20.51</v>
      </c>
      <c r="N2307">
        <v>-2533.692</v>
      </c>
      <c r="O2307" s="1" t="s">
        <v>53</v>
      </c>
      <c r="P2307" s="1" t="s">
        <v>2762</v>
      </c>
      <c r="Q2307" s="1" t="s">
        <v>2763</v>
      </c>
      <c r="R2307" s="1" t="s">
        <v>100</v>
      </c>
      <c r="S2307" s="1" t="s">
        <v>2764</v>
      </c>
      <c r="T2307" s="1" t="s">
        <v>2765</v>
      </c>
      <c r="U2307" s="2" t="s">
        <v>2008</v>
      </c>
      <c r="V2307" s="2" t="s">
        <v>47</v>
      </c>
      <c r="W2307" s="2" t="s">
        <v>74</v>
      </c>
      <c r="X2307" s="2">
        <v>167.65</v>
      </c>
    </row>
    <row r="2308" spans="1:24" x14ac:dyDescent="0.3">
      <c r="A2308">
        <v>20182</v>
      </c>
      <c r="B2308" t="s">
        <v>6507</v>
      </c>
      <c r="C2308" s="3">
        <v>40570</v>
      </c>
      <c r="D2308" t="s">
        <v>62</v>
      </c>
      <c r="E2308">
        <v>9</v>
      </c>
      <c r="F2308" s="3">
        <f ca="1">40571+(RANDBETWEEN(1,10))</f>
        <v>40576</v>
      </c>
      <c r="G2308" t="s">
        <v>26</v>
      </c>
      <c r="H2308" t="s">
        <v>96</v>
      </c>
      <c r="I2308" t="s">
        <v>28</v>
      </c>
      <c r="J2308">
        <v>88.27</v>
      </c>
      <c r="K2308">
        <v>0.09</v>
      </c>
      <c r="L2308">
        <v>0.57999999999999996</v>
      </c>
      <c r="M2308">
        <v>2.4500000000000002</v>
      </c>
      <c r="N2308">
        <v>22.344000000000001</v>
      </c>
      <c r="O2308" s="1" t="s">
        <v>87</v>
      </c>
      <c r="P2308" s="1" t="s">
        <v>978</v>
      </c>
      <c r="Q2308" s="1" t="s">
        <v>979</v>
      </c>
      <c r="R2308" s="1" t="s">
        <v>90</v>
      </c>
      <c r="S2308" s="1" t="s">
        <v>980</v>
      </c>
      <c r="T2308" s="1" t="s">
        <v>981</v>
      </c>
      <c r="U2308" s="2" t="s">
        <v>2921</v>
      </c>
      <c r="V2308" s="2" t="s">
        <v>47</v>
      </c>
      <c r="W2308" s="2" t="s">
        <v>104</v>
      </c>
      <c r="X2308" s="2">
        <v>10.29</v>
      </c>
    </row>
    <row r="2309" spans="1:24" x14ac:dyDescent="0.3">
      <c r="A2309">
        <v>20183</v>
      </c>
      <c r="B2309" t="s">
        <v>6507</v>
      </c>
      <c r="C2309" s="3">
        <v>40570</v>
      </c>
      <c r="D2309" t="s">
        <v>62</v>
      </c>
      <c r="E2309">
        <v>10</v>
      </c>
      <c r="F2309" s="3">
        <f ca="1">40572+(RANDBETWEEN(1,10))</f>
        <v>40577</v>
      </c>
      <c r="G2309" t="s">
        <v>26</v>
      </c>
      <c r="H2309" t="s">
        <v>51</v>
      </c>
      <c r="I2309" t="s">
        <v>28</v>
      </c>
      <c r="J2309">
        <v>1590.4</v>
      </c>
      <c r="K2309">
        <v>0.03</v>
      </c>
      <c r="L2309">
        <v>0.57999999999999996</v>
      </c>
      <c r="M2309">
        <v>31.465</v>
      </c>
      <c r="N2309">
        <v>959.2758</v>
      </c>
      <c r="O2309" s="1" t="s">
        <v>53</v>
      </c>
      <c r="P2309" s="1" t="s">
        <v>6508</v>
      </c>
      <c r="Q2309" s="1" t="s">
        <v>6509</v>
      </c>
      <c r="R2309" s="1" t="s">
        <v>440</v>
      </c>
      <c r="S2309" s="1" t="s">
        <v>6510</v>
      </c>
      <c r="T2309" s="1" t="s">
        <v>6511</v>
      </c>
      <c r="U2309" s="2" t="s">
        <v>565</v>
      </c>
      <c r="V2309" s="2" t="s">
        <v>47</v>
      </c>
      <c r="W2309" s="2" t="s">
        <v>104</v>
      </c>
      <c r="X2309" s="2">
        <v>153.93</v>
      </c>
    </row>
    <row r="2310" spans="1:24" x14ac:dyDescent="0.3">
      <c r="A2310">
        <v>20184</v>
      </c>
      <c r="B2310" t="s">
        <v>6507</v>
      </c>
      <c r="C2310" s="3">
        <v>40570</v>
      </c>
      <c r="D2310" t="s">
        <v>62</v>
      </c>
      <c r="E2310">
        <v>13</v>
      </c>
      <c r="F2310" s="3">
        <f ca="1">40573+(RANDBETWEEN(1,10))</f>
        <v>40576</v>
      </c>
      <c r="G2310" t="s">
        <v>26</v>
      </c>
      <c r="H2310" t="s">
        <v>96</v>
      </c>
      <c r="I2310" t="s">
        <v>28</v>
      </c>
      <c r="J2310">
        <v>50.854999999999997</v>
      </c>
      <c r="K2310">
        <v>0.06</v>
      </c>
      <c r="L2310">
        <v>0.38</v>
      </c>
      <c r="M2310">
        <v>2.4500000000000002</v>
      </c>
      <c r="N2310">
        <v>-13.237</v>
      </c>
      <c r="O2310" s="1" t="s">
        <v>53</v>
      </c>
      <c r="P2310" s="1" t="s">
        <v>6508</v>
      </c>
      <c r="Q2310" s="1" t="s">
        <v>6509</v>
      </c>
      <c r="R2310" s="1" t="s">
        <v>440</v>
      </c>
      <c r="S2310" s="1" t="s">
        <v>6510</v>
      </c>
      <c r="T2310" s="1" t="s">
        <v>6511</v>
      </c>
      <c r="U2310" s="2" t="s">
        <v>293</v>
      </c>
      <c r="V2310" s="2" t="s">
        <v>47</v>
      </c>
      <c r="W2310" s="2" t="s">
        <v>176</v>
      </c>
      <c r="X2310" s="2">
        <v>3.99</v>
      </c>
    </row>
    <row r="2311" spans="1:24" x14ac:dyDescent="0.3">
      <c r="A2311">
        <v>20185</v>
      </c>
      <c r="B2311" t="s">
        <v>6512</v>
      </c>
      <c r="C2311" s="3">
        <v>41292</v>
      </c>
      <c r="D2311" t="s">
        <v>62</v>
      </c>
      <c r="E2311">
        <v>5</v>
      </c>
      <c r="F2311" s="3">
        <f ca="1">41293+(RANDBETWEEN(1,10))</f>
        <v>41300</v>
      </c>
      <c r="G2311" t="s">
        <v>76</v>
      </c>
      <c r="H2311" t="s">
        <v>77</v>
      </c>
      <c r="I2311" t="s">
        <v>97</v>
      </c>
      <c r="J2311">
        <v>5255.2849999999999</v>
      </c>
      <c r="K2311">
        <v>7.0000000000000007E-2</v>
      </c>
      <c r="L2311">
        <v>0.56000000000000005</v>
      </c>
      <c r="M2311">
        <v>226.55500000000001</v>
      </c>
      <c r="N2311">
        <v>1607.8635999999999</v>
      </c>
      <c r="O2311" s="1" t="s">
        <v>40</v>
      </c>
      <c r="P2311" s="1" t="s">
        <v>6094</v>
      </c>
      <c r="Q2311" s="1" t="s">
        <v>6095</v>
      </c>
      <c r="R2311" s="1" t="s">
        <v>220</v>
      </c>
      <c r="S2311" s="1" t="s">
        <v>6096</v>
      </c>
      <c r="T2311" s="1" t="s">
        <v>6097</v>
      </c>
      <c r="U2311" s="2" t="s">
        <v>3031</v>
      </c>
      <c r="V2311" s="2" t="s">
        <v>83</v>
      </c>
      <c r="W2311" s="2" t="s">
        <v>84</v>
      </c>
      <c r="X2311" s="2">
        <v>1053.43</v>
      </c>
    </row>
    <row r="2312" spans="1:24" x14ac:dyDescent="0.3">
      <c r="A2312">
        <v>20186</v>
      </c>
      <c r="B2312" t="s">
        <v>6513</v>
      </c>
      <c r="C2312" s="3">
        <v>40989</v>
      </c>
      <c r="D2312" t="s">
        <v>62</v>
      </c>
      <c r="E2312">
        <v>4</v>
      </c>
      <c r="F2312" s="3">
        <f ca="1">40990+(RANDBETWEEN(1,10))</f>
        <v>40991</v>
      </c>
      <c r="G2312" t="s">
        <v>26</v>
      </c>
      <c r="H2312" t="s">
        <v>27</v>
      </c>
      <c r="I2312" t="s">
        <v>28</v>
      </c>
      <c r="J2312">
        <v>733.95</v>
      </c>
      <c r="K2312">
        <v>0.09</v>
      </c>
      <c r="L2312">
        <v>0.37</v>
      </c>
      <c r="M2312">
        <v>23.765000000000001</v>
      </c>
      <c r="N2312">
        <v>506.4255</v>
      </c>
      <c r="O2312" s="1" t="s">
        <v>40</v>
      </c>
      <c r="P2312" s="1" t="s">
        <v>4227</v>
      </c>
      <c r="Q2312" s="1" t="s">
        <v>4228</v>
      </c>
      <c r="R2312" s="1" t="s">
        <v>43</v>
      </c>
      <c r="S2312" s="1" t="s">
        <v>4229</v>
      </c>
      <c r="T2312" s="1" t="s">
        <v>4230</v>
      </c>
      <c r="U2312" s="2" t="s">
        <v>4840</v>
      </c>
      <c r="V2312" s="2" t="s">
        <v>47</v>
      </c>
      <c r="W2312" s="2" t="s">
        <v>74</v>
      </c>
      <c r="X2312" s="2">
        <v>194.18</v>
      </c>
    </row>
    <row r="2313" spans="1:24" x14ac:dyDescent="0.3">
      <c r="A2313">
        <v>20187</v>
      </c>
      <c r="B2313" t="s">
        <v>6514</v>
      </c>
      <c r="C2313" s="3">
        <v>40770</v>
      </c>
      <c r="D2313" t="s">
        <v>62</v>
      </c>
      <c r="E2313">
        <v>17</v>
      </c>
      <c r="F2313" s="3">
        <f ca="1">40771+(RANDBETWEEN(1,10))</f>
        <v>40775</v>
      </c>
      <c r="G2313" t="s">
        <v>26</v>
      </c>
      <c r="H2313" t="s">
        <v>27</v>
      </c>
      <c r="I2313" t="s">
        <v>28</v>
      </c>
      <c r="J2313">
        <v>304.88499999999999</v>
      </c>
      <c r="K2313">
        <v>0.02</v>
      </c>
      <c r="L2313">
        <v>0.39</v>
      </c>
      <c r="M2313">
        <v>1.7150000000000001</v>
      </c>
      <c r="N2313">
        <v>-185.024</v>
      </c>
      <c r="O2313" s="1" t="s">
        <v>53</v>
      </c>
      <c r="P2313" s="1" t="s">
        <v>4084</v>
      </c>
      <c r="Q2313" s="1" t="s">
        <v>4085</v>
      </c>
      <c r="R2313" s="1" t="s">
        <v>56</v>
      </c>
      <c r="S2313" s="1" t="s">
        <v>4086</v>
      </c>
      <c r="T2313" s="1" t="s">
        <v>4087</v>
      </c>
      <c r="U2313" s="2" t="s">
        <v>892</v>
      </c>
      <c r="V2313" s="2" t="s">
        <v>47</v>
      </c>
      <c r="W2313" s="2" t="s">
        <v>203</v>
      </c>
      <c r="X2313" s="2">
        <v>17.43</v>
      </c>
    </row>
    <row r="2314" spans="1:24" x14ac:dyDescent="0.3">
      <c r="A2314">
        <v>20188</v>
      </c>
      <c r="B2314" t="s">
        <v>6514</v>
      </c>
      <c r="C2314" s="3">
        <v>40770</v>
      </c>
      <c r="D2314" t="s">
        <v>62</v>
      </c>
      <c r="E2314">
        <v>9</v>
      </c>
      <c r="F2314" s="3">
        <f ca="1">40771+(RANDBETWEEN(1,10))</f>
        <v>40777</v>
      </c>
      <c r="G2314" t="s">
        <v>26</v>
      </c>
      <c r="H2314" t="s">
        <v>51</v>
      </c>
      <c r="I2314" t="s">
        <v>28</v>
      </c>
      <c r="J2314">
        <v>596.61</v>
      </c>
      <c r="K2314">
        <v>0.01</v>
      </c>
      <c r="L2314">
        <v>0.83</v>
      </c>
      <c r="M2314">
        <v>3.4649999999999999</v>
      </c>
      <c r="N2314">
        <v>158.82300000000001</v>
      </c>
      <c r="O2314" s="1" t="s">
        <v>53</v>
      </c>
      <c r="P2314" s="1" t="s">
        <v>4084</v>
      </c>
      <c r="Q2314" s="1" t="s">
        <v>4085</v>
      </c>
      <c r="R2314" s="1" t="s">
        <v>56</v>
      </c>
      <c r="S2314" s="1" t="s">
        <v>4086</v>
      </c>
      <c r="T2314" s="1" t="s">
        <v>4087</v>
      </c>
      <c r="U2314" s="2" t="s">
        <v>6515</v>
      </c>
      <c r="V2314" s="2" t="s">
        <v>36</v>
      </c>
      <c r="W2314" s="2" t="s">
        <v>37</v>
      </c>
      <c r="X2314" s="2">
        <v>73.465000000000003</v>
      </c>
    </row>
    <row r="2315" spans="1:24" x14ac:dyDescent="0.3">
      <c r="A2315">
        <v>20189</v>
      </c>
      <c r="B2315" t="s">
        <v>6516</v>
      </c>
      <c r="C2315" s="3">
        <v>41035</v>
      </c>
      <c r="D2315" t="s">
        <v>39</v>
      </c>
      <c r="E2315">
        <v>3</v>
      </c>
      <c r="F2315" s="3">
        <f ca="1">41037+(RANDBETWEEN(1,10))</f>
        <v>41046</v>
      </c>
      <c r="G2315" t="s">
        <v>26</v>
      </c>
      <c r="H2315" t="s">
        <v>27</v>
      </c>
      <c r="I2315" t="s">
        <v>86</v>
      </c>
      <c r="J2315">
        <v>50.435000000000002</v>
      </c>
      <c r="K2315">
        <v>0</v>
      </c>
      <c r="L2315">
        <v>0.38</v>
      </c>
      <c r="M2315">
        <v>18.41</v>
      </c>
      <c r="N2315">
        <v>-103.36199999999999</v>
      </c>
      <c r="O2315" s="1" t="s">
        <v>64</v>
      </c>
      <c r="P2315" s="1" t="s">
        <v>6517</v>
      </c>
      <c r="Q2315" s="1" t="s">
        <v>6518</v>
      </c>
      <c r="R2315" s="1" t="s">
        <v>128</v>
      </c>
      <c r="S2315" s="1" t="s">
        <v>6519</v>
      </c>
      <c r="T2315" s="1" t="s">
        <v>6520</v>
      </c>
      <c r="U2315" s="2" t="s">
        <v>1287</v>
      </c>
      <c r="V2315" s="2" t="s">
        <v>47</v>
      </c>
      <c r="W2315" s="2" t="s">
        <v>111</v>
      </c>
      <c r="X2315" s="2">
        <v>13.93</v>
      </c>
    </row>
    <row r="2316" spans="1:24" x14ac:dyDescent="0.3">
      <c r="A2316">
        <v>20190</v>
      </c>
      <c r="B2316" t="s">
        <v>6521</v>
      </c>
      <c r="C2316" s="3">
        <v>41377</v>
      </c>
      <c r="D2316" t="s">
        <v>62</v>
      </c>
      <c r="E2316">
        <v>5</v>
      </c>
      <c r="F2316" s="3">
        <f ca="1">41379+(RANDBETWEEN(1,10))</f>
        <v>41387</v>
      </c>
      <c r="G2316" t="s">
        <v>26</v>
      </c>
      <c r="H2316" t="s">
        <v>96</v>
      </c>
      <c r="I2316" t="s">
        <v>28</v>
      </c>
      <c r="J2316">
        <v>66.114999999999995</v>
      </c>
      <c r="K2316">
        <v>0.03</v>
      </c>
      <c r="L2316">
        <v>0.39</v>
      </c>
      <c r="M2316">
        <v>2.4849999999999999</v>
      </c>
      <c r="N2316">
        <v>45.619349999999997</v>
      </c>
      <c r="O2316" s="1" t="s">
        <v>225</v>
      </c>
      <c r="P2316" s="1" t="s">
        <v>6380</v>
      </c>
      <c r="Q2316" s="1" t="s">
        <v>6381</v>
      </c>
      <c r="R2316" s="1" t="s">
        <v>391</v>
      </c>
      <c r="S2316" s="1" t="s">
        <v>6382</v>
      </c>
      <c r="T2316" s="1" t="s">
        <v>6383</v>
      </c>
      <c r="U2316" s="2" t="s">
        <v>2000</v>
      </c>
      <c r="V2316" s="2" t="s">
        <v>47</v>
      </c>
      <c r="W2316" s="2" t="s">
        <v>176</v>
      </c>
      <c r="X2316" s="2">
        <v>13.23</v>
      </c>
    </row>
    <row r="2317" spans="1:24" x14ac:dyDescent="0.3">
      <c r="A2317">
        <v>20191</v>
      </c>
      <c r="B2317" t="s">
        <v>6522</v>
      </c>
      <c r="C2317" s="3">
        <v>41885</v>
      </c>
      <c r="D2317" t="s">
        <v>39</v>
      </c>
      <c r="E2317">
        <v>15</v>
      </c>
      <c r="F2317" s="3">
        <f ca="1">41886+(RANDBETWEEN(1,10))</f>
        <v>41887</v>
      </c>
      <c r="G2317" t="s">
        <v>26</v>
      </c>
      <c r="H2317" t="s">
        <v>27</v>
      </c>
      <c r="I2317" t="s">
        <v>97</v>
      </c>
      <c r="J2317">
        <v>1492.645</v>
      </c>
      <c r="K2317">
        <v>0.01</v>
      </c>
      <c r="L2317">
        <v>0.75</v>
      </c>
      <c r="M2317">
        <v>14</v>
      </c>
      <c r="N2317">
        <v>3.4020000000000001</v>
      </c>
      <c r="O2317" s="1" t="s">
        <v>225</v>
      </c>
      <c r="P2317" s="1" t="s">
        <v>6523</v>
      </c>
      <c r="Q2317" s="1" t="s">
        <v>6524</v>
      </c>
      <c r="R2317" s="1" t="s">
        <v>228</v>
      </c>
      <c r="S2317" s="1" t="s">
        <v>6525</v>
      </c>
      <c r="T2317" s="1" t="s">
        <v>6526</v>
      </c>
      <c r="U2317" s="2" t="s">
        <v>4155</v>
      </c>
      <c r="V2317" s="2" t="s">
        <v>36</v>
      </c>
      <c r="W2317" s="2" t="s">
        <v>60</v>
      </c>
      <c r="X2317" s="2">
        <v>96.18</v>
      </c>
    </row>
    <row r="2318" spans="1:24" x14ac:dyDescent="0.3">
      <c r="A2318">
        <v>20192</v>
      </c>
      <c r="B2318" t="s">
        <v>6527</v>
      </c>
      <c r="C2318" s="3">
        <v>41728</v>
      </c>
      <c r="D2318" t="s">
        <v>39</v>
      </c>
      <c r="E2318">
        <v>9</v>
      </c>
      <c r="F2318" s="3">
        <f ca="1">41730+(RANDBETWEEN(1,10))</f>
        <v>41735</v>
      </c>
      <c r="G2318" t="s">
        <v>26</v>
      </c>
      <c r="H2318" t="s">
        <v>63</v>
      </c>
      <c r="I2318" t="s">
        <v>86</v>
      </c>
      <c r="J2318">
        <v>2105.67</v>
      </c>
      <c r="K2318">
        <v>0.1</v>
      </c>
      <c r="L2318">
        <v>0.68</v>
      </c>
      <c r="M2318">
        <v>241.5</v>
      </c>
      <c r="N2318">
        <v>-6708.4849999999997</v>
      </c>
      <c r="O2318" s="1" t="s">
        <v>64</v>
      </c>
      <c r="P2318" s="1" t="s">
        <v>3965</v>
      </c>
      <c r="Q2318" s="1" t="s">
        <v>3966</v>
      </c>
      <c r="R2318" s="1" t="s">
        <v>128</v>
      </c>
      <c r="S2318" s="1" t="s">
        <v>3967</v>
      </c>
      <c r="T2318" s="1" t="s">
        <v>2650</v>
      </c>
      <c r="U2318" s="2" t="s">
        <v>1152</v>
      </c>
      <c r="V2318" s="2" t="s">
        <v>83</v>
      </c>
      <c r="W2318" s="2" t="s">
        <v>263</v>
      </c>
      <c r="X2318" s="2">
        <v>249.79499999999999</v>
      </c>
    </row>
    <row r="2319" spans="1:24" x14ac:dyDescent="0.3">
      <c r="A2319">
        <v>20193</v>
      </c>
      <c r="B2319" t="s">
        <v>6528</v>
      </c>
      <c r="C2319" s="3">
        <v>41257</v>
      </c>
      <c r="D2319" t="s">
        <v>62</v>
      </c>
      <c r="E2319">
        <v>15</v>
      </c>
      <c r="F2319" s="3">
        <f ca="1">41257+(RANDBETWEEN(1,10))</f>
        <v>41265</v>
      </c>
      <c r="G2319" t="s">
        <v>26</v>
      </c>
      <c r="H2319" t="s">
        <v>96</v>
      </c>
      <c r="I2319" t="s">
        <v>28</v>
      </c>
      <c r="J2319">
        <v>201.845</v>
      </c>
      <c r="K2319">
        <v>0.05</v>
      </c>
      <c r="L2319">
        <v>0.44</v>
      </c>
      <c r="M2319">
        <v>5.6349999999999998</v>
      </c>
      <c r="N2319">
        <v>66.307500000000005</v>
      </c>
      <c r="O2319" s="1" t="s">
        <v>40</v>
      </c>
      <c r="P2319" s="1" t="s">
        <v>5576</v>
      </c>
      <c r="Q2319" s="1" t="s">
        <v>5577</v>
      </c>
      <c r="R2319" s="1" t="s">
        <v>43</v>
      </c>
      <c r="S2319" s="1" t="s">
        <v>5578</v>
      </c>
      <c r="T2319" s="1" t="s">
        <v>5579</v>
      </c>
      <c r="U2319" s="2" t="s">
        <v>6529</v>
      </c>
      <c r="V2319" s="2" t="s">
        <v>83</v>
      </c>
      <c r="W2319" s="2" t="s">
        <v>178</v>
      </c>
      <c r="X2319" s="2">
        <v>12.95</v>
      </c>
    </row>
    <row r="2320" spans="1:24" x14ac:dyDescent="0.3">
      <c r="A2320">
        <v>20194</v>
      </c>
      <c r="B2320" t="s">
        <v>6528</v>
      </c>
      <c r="C2320" s="3">
        <v>41257</v>
      </c>
      <c r="D2320" t="s">
        <v>62</v>
      </c>
      <c r="E2320">
        <v>19</v>
      </c>
      <c r="F2320" s="3">
        <f ca="1">41257+(RANDBETWEEN(1,10))</f>
        <v>41259</v>
      </c>
      <c r="G2320" t="s">
        <v>156</v>
      </c>
      <c r="H2320" t="s">
        <v>27</v>
      </c>
      <c r="I2320" t="s">
        <v>28</v>
      </c>
      <c r="J2320">
        <v>1435.5250000000001</v>
      </c>
      <c r="K2320">
        <v>7.0000000000000007E-2</v>
      </c>
      <c r="L2320">
        <v>0.38</v>
      </c>
      <c r="M2320">
        <v>52.85</v>
      </c>
      <c r="N2320">
        <v>-260.61874999999998</v>
      </c>
      <c r="O2320" s="1" t="s">
        <v>87</v>
      </c>
      <c r="P2320" s="1" t="s">
        <v>6530</v>
      </c>
      <c r="Q2320" s="1" t="s">
        <v>6531</v>
      </c>
      <c r="R2320" s="1" t="s">
        <v>646</v>
      </c>
      <c r="S2320" s="1" t="s">
        <v>6532</v>
      </c>
      <c r="T2320" s="1" t="s">
        <v>6533</v>
      </c>
      <c r="U2320" s="2" t="s">
        <v>2602</v>
      </c>
      <c r="V2320" s="2" t="s">
        <v>47</v>
      </c>
      <c r="W2320" s="2" t="s">
        <v>111</v>
      </c>
      <c r="X2320" s="2">
        <v>78.33</v>
      </c>
    </row>
    <row r="2321" spans="1:24" x14ac:dyDescent="0.3">
      <c r="A2321">
        <v>20195</v>
      </c>
      <c r="B2321" t="s">
        <v>6528</v>
      </c>
      <c r="C2321" s="3">
        <v>41257</v>
      </c>
      <c r="D2321" t="s">
        <v>62</v>
      </c>
      <c r="E2321">
        <v>21</v>
      </c>
      <c r="F2321" s="3">
        <f ca="1">41259+(RANDBETWEEN(1,10))</f>
        <v>41261</v>
      </c>
      <c r="G2321" t="s">
        <v>26</v>
      </c>
      <c r="H2321" t="s">
        <v>27</v>
      </c>
      <c r="I2321" t="s">
        <v>28</v>
      </c>
      <c r="J2321">
        <v>1442.175</v>
      </c>
      <c r="K2321">
        <v>0.06</v>
      </c>
      <c r="L2321">
        <v>0.68</v>
      </c>
      <c r="M2321">
        <v>14</v>
      </c>
      <c r="N2321">
        <v>61.162500000000001</v>
      </c>
      <c r="O2321" s="1" t="s">
        <v>87</v>
      </c>
      <c r="P2321" s="1" t="s">
        <v>6530</v>
      </c>
      <c r="Q2321" s="1" t="s">
        <v>6531</v>
      </c>
      <c r="R2321" s="1" t="s">
        <v>646</v>
      </c>
      <c r="S2321" s="1" t="s">
        <v>6532</v>
      </c>
      <c r="T2321" s="1" t="s">
        <v>6533</v>
      </c>
      <c r="U2321" s="2" t="s">
        <v>2334</v>
      </c>
      <c r="V2321" s="2" t="s">
        <v>36</v>
      </c>
      <c r="W2321" s="2" t="s">
        <v>60</v>
      </c>
      <c r="X2321" s="2">
        <v>69.930000000000007</v>
      </c>
    </row>
    <row r="2322" spans="1:24" x14ac:dyDescent="0.3">
      <c r="A2322">
        <v>20196</v>
      </c>
      <c r="B2322" t="s">
        <v>6528</v>
      </c>
      <c r="C2322" s="3">
        <v>41257</v>
      </c>
      <c r="D2322" t="s">
        <v>62</v>
      </c>
      <c r="E2322">
        <v>1</v>
      </c>
      <c r="F2322" s="3">
        <f ca="1">41258+(RANDBETWEEN(1,10))</f>
        <v>41266</v>
      </c>
      <c r="G2322" t="s">
        <v>26</v>
      </c>
      <c r="H2322" t="s">
        <v>281</v>
      </c>
      <c r="I2322" t="s">
        <v>28</v>
      </c>
      <c r="J2322">
        <v>67.83</v>
      </c>
      <c r="K2322">
        <v>0.01</v>
      </c>
      <c r="L2322">
        <v>0.57999999999999996</v>
      </c>
      <c r="M2322">
        <v>16.835000000000001</v>
      </c>
      <c r="N2322">
        <v>-168.4375</v>
      </c>
      <c r="O2322" s="1" t="s">
        <v>87</v>
      </c>
      <c r="P2322" s="1" t="s">
        <v>6530</v>
      </c>
      <c r="Q2322" s="1" t="s">
        <v>6531</v>
      </c>
      <c r="R2322" s="1" t="s">
        <v>646</v>
      </c>
      <c r="S2322" s="1" t="s">
        <v>6532</v>
      </c>
      <c r="T2322" s="1" t="s">
        <v>6533</v>
      </c>
      <c r="U2322" s="2" t="s">
        <v>1890</v>
      </c>
      <c r="V2322" s="2" t="s">
        <v>36</v>
      </c>
      <c r="W2322" s="2" t="s">
        <v>37</v>
      </c>
      <c r="X2322" s="2">
        <v>73.465000000000003</v>
      </c>
    </row>
    <row r="2323" spans="1:24" x14ac:dyDescent="0.3">
      <c r="A2323">
        <v>20197</v>
      </c>
      <c r="B2323" t="s">
        <v>6534</v>
      </c>
      <c r="C2323" s="3">
        <v>40664</v>
      </c>
      <c r="D2323" t="s">
        <v>62</v>
      </c>
      <c r="E2323">
        <v>16</v>
      </c>
      <c r="F2323" s="3">
        <f ca="1">40666+(RANDBETWEEN(1,10))</f>
        <v>40672</v>
      </c>
      <c r="G2323" t="s">
        <v>26</v>
      </c>
      <c r="H2323" t="s">
        <v>27</v>
      </c>
      <c r="I2323" t="s">
        <v>28</v>
      </c>
      <c r="J2323">
        <v>688.41499999999996</v>
      </c>
      <c r="K2323">
        <v>0.01</v>
      </c>
      <c r="L2323">
        <v>0.4</v>
      </c>
      <c r="M2323">
        <v>19.704999999999998</v>
      </c>
      <c r="N2323">
        <v>137.23500000000001</v>
      </c>
      <c r="O2323" s="1" t="s">
        <v>40</v>
      </c>
      <c r="P2323" s="1" t="s">
        <v>6535</v>
      </c>
      <c r="Q2323" s="1" t="s">
        <v>6536</v>
      </c>
      <c r="R2323" s="1" t="s">
        <v>220</v>
      </c>
      <c r="S2323" s="1" t="s">
        <v>6537</v>
      </c>
      <c r="T2323" s="1" t="s">
        <v>6538</v>
      </c>
      <c r="U2323" s="2" t="s">
        <v>941</v>
      </c>
      <c r="V2323" s="2" t="s">
        <v>47</v>
      </c>
      <c r="W2323" s="2" t="s">
        <v>111</v>
      </c>
      <c r="X2323" s="2">
        <v>40.950000000000003</v>
      </c>
    </row>
    <row r="2324" spans="1:24" x14ac:dyDescent="0.3">
      <c r="A2324">
        <v>20198</v>
      </c>
      <c r="B2324" t="s">
        <v>6534</v>
      </c>
      <c r="C2324" s="3">
        <v>40664</v>
      </c>
      <c r="D2324" t="s">
        <v>62</v>
      </c>
      <c r="E2324">
        <v>9</v>
      </c>
      <c r="F2324" s="3">
        <f ca="1">40664+(RANDBETWEEN(1,10))</f>
        <v>40671</v>
      </c>
      <c r="G2324" t="s">
        <v>26</v>
      </c>
      <c r="H2324" t="s">
        <v>27</v>
      </c>
      <c r="I2324" t="s">
        <v>28</v>
      </c>
      <c r="J2324">
        <v>140.97999999999999</v>
      </c>
      <c r="K2324">
        <v>0.03</v>
      </c>
      <c r="L2324">
        <v>0.35</v>
      </c>
      <c r="M2324">
        <v>5.2149999999999999</v>
      </c>
      <c r="N2324">
        <v>351.33</v>
      </c>
      <c r="O2324" s="1" t="s">
        <v>40</v>
      </c>
      <c r="P2324" s="1" t="s">
        <v>6535</v>
      </c>
      <c r="Q2324" s="1" t="s">
        <v>6536</v>
      </c>
      <c r="R2324" s="1" t="s">
        <v>220</v>
      </c>
      <c r="S2324" s="1" t="s">
        <v>6537</v>
      </c>
      <c r="T2324" s="1" t="s">
        <v>6538</v>
      </c>
      <c r="U2324" s="2" t="s">
        <v>5253</v>
      </c>
      <c r="V2324" s="2" t="s">
        <v>47</v>
      </c>
      <c r="W2324" s="2" t="s">
        <v>111</v>
      </c>
      <c r="X2324" s="2">
        <v>15.925000000000001</v>
      </c>
    </row>
    <row r="2325" spans="1:24" x14ac:dyDescent="0.3">
      <c r="A2325">
        <v>20199</v>
      </c>
      <c r="B2325" t="s">
        <v>6539</v>
      </c>
      <c r="C2325" s="3">
        <v>41942</v>
      </c>
      <c r="D2325" t="s">
        <v>50</v>
      </c>
      <c r="E2325">
        <v>25</v>
      </c>
      <c r="F2325" s="3">
        <f ca="1">41942+(RANDBETWEEN(1,10))</f>
        <v>41952</v>
      </c>
      <c r="G2325" t="s">
        <v>76</v>
      </c>
      <c r="H2325" t="s">
        <v>77</v>
      </c>
      <c r="I2325" t="s">
        <v>28</v>
      </c>
      <c r="J2325">
        <v>9475.7250000000004</v>
      </c>
      <c r="K2325">
        <v>0.01</v>
      </c>
      <c r="L2325">
        <v>0.56999999999999995</v>
      </c>
      <c r="M2325">
        <v>54.81</v>
      </c>
      <c r="N2325">
        <v>5185.8450000000003</v>
      </c>
      <c r="O2325" s="1" t="s">
        <v>40</v>
      </c>
      <c r="P2325" s="1" t="s">
        <v>2192</v>
      </c>
      <c r="Q2325" s="1" t="s">
        <v>2193</v>
      </c>
      <c r="R2325" s="1" t="s">
        <v>220</v>
      </c>
      <c r="S2325" s="1" t="s">
        <v>2194</v>
      </c>
      <c r="T2325" s="1" t="s">
        <v>2195</v>
      </c>
      <c r="U2325" s="2" t="s">
        <v>2461</v>
      </c>
      <c r="V2325" s="2" t="s">
        <v>47</v>
      </c>
      <c r="W2325" s="2" t="s">
        <v>71</v>
      </c>
      <c r="X2325" s="2">
        <v>353.43</v>
      </c>
    </row>
    <row r="2326" spans="1:24" x14ac:dyDescent="0.3">
      <c r="A2326">
        <v>20200</v>
      </c>
      <c r="B2326" t="s">
        <v>6539</v>
      </c>
      <c r="C2326" s="3">
        <v>41942</v>
      </c>
      <c r="D2326" t="s">
        <v>50</v>
      </c>
      <c r="E2326">
        <v>12</v>
      </c>
      <c r="F2326" s="3">
        <f ca="1">41944+(RANDBETWEEN(1,10))</f>
        <v>41954</v>
      </c>
      <c r="G2326" t="s">
        <v>26</v>
      </c>
      <c r="H2326" t="s">
        <v>27</v>
      </c>
      <c r="I2326" t="s">
        <v>28</v>
      </c>
      <c r="J2326">
        <v>344.26</v>
      </c>
      <c r="K2326">
        <v>0</v>
      </c>
      <c r="L2326">
        <v>0.38</v>
      </c>
      <c r="M2326">
        <v>20.86</v>
      </c>
      <c r="N2326">
        <v>-96.215000000000003</v>
      </c>
      <c r="O2326" s="1" t="s">
        <v>40</v>
      </c>
      <c r="P2326" s="1" t="s">
        <v>2192</v>
      </c>
      <c r="Q2326" s="1" t="s">
        <v>2193</v>
      </c>
      <c r="R2326" s="1" t="s">
        <v>220</v>
      </c>
      <c r="S2326" s="1" t="s">
        <v>2194</v>
      </c>
      <c r="T2326" s="1" t="s">
        <v>2195</v>
      </c>
      <c r="U2326" s="2" t="s">
        <v>2322</v>
      </c>
      <c r="V2326" s="2" t="s">
        <v>47</v>
      </c>
      <c r="W2326" s="2" t="s">
        <v>74</v>
      </c>
      <c r="X2326" s="2">
        <v>25.725000000000001</v>
      </c>
    </row>
    <row r="2327" spans="1:24" x14ac:dyDescent="0.3">
      <c r="A2327">
        <v>20201</v>
      </c>
      <c r="B2327" t="s">
        <v>6539</v>
      </c>
      <c r="C2327" s="3">
        <v>41942</v>
      </c>
      <c r="D2327" t="s">
        <v>50</v>
      </c>
      <c r="E2327">
        <v>10</v>
      </c>
      <c r="F2327" s="3">
        <f ca="1">41943+(RANDBETWEEN(1,10))</f>
        <v>41953</v>
      </c>
      <c r="G2327" t="s">
        <v>26</v>
      </c>
      <c r="H2327" t="s">
        <v>27</v>
      </c>
      <c r="I2327" t="s">
        <v>28</v>
      </c>
      <c r="J2327">
        <v>1323.385</v>
      </c>
      <c r="K2327">
        <v>0.1</v>
      </c>
      <c r="L2327">
        <v>0.36</v>
      </c>
      <c r="M2327">
        <v>61.18</v>
      </c>
      <c r="N2327">
        <v>83.79</v>
      </c>
      <c r="O2327" s="1" t="s">
        <v>40</v>
      </c>
      <c r="P2327" s="1" t="s">
        <v>2192</v>
      </c>
      <c r="Q2327" s="1" t="s">
        <v>2193</v>
      </c>
      <c r="R2327" s="1" t="s">
        <v>220</v>
      </c>
      <c r="S2327" s="1" t="s">
        <v>2194</v>
      </c>
      <c r="T2327" s="1" t="s">
        <v>2195</v>
      </c>
      <c r="U2327" s="2" t="s">
        <v>1688</v>
      </c>
      <c r="V2327" s="2" t="s">
        <v>47</v>
      </c>
      <c r="W2327" s="2" t="s">
        <v>74</v>
      </c>
      <c r="X2327" s="2">
        <v>143.465</v>
      </c>
    </row>
    <row r="2328" spans="1:24" x14ac:dyDescent="0.3">
      <c r="A2328">
        <v>20202</v>
      </c>
      <c r="B2328" t="s">
        <v>6540</v>
      </c>
      <c r="C2328" s="3">
        <v>41217</v>
      </c>
      <c r="D2328" t="s">
        <v>39</v>
      </c>
      <c r="E2328">
        <v>31</v>
      </c>
      <c r="F2328" s="3">
        <f ca="1">41219+(RANDBETWEEN(1,10))</f>
        <v>41227</v>
      </c>
      <c r="G2328" t="s">
        <v>26</v>
      </c>
      <c r="H2328" t="s">
        <v>27</v>
      </c>
      <c r="I2328" t="s">
        <v>28</v>
      </c>
      <c r="J2328">
        <v>829.01</v>
      </c>
      <c r="K2328">
        <v>0.05</v>
      </c>
      <c r="L2328">
        <v>0.37</v>
      </c>
      <c r="M2328">
        <v>39.024999999999999</v>
      </c>
      <c r="N2328">
        <v>166.50899999999999</v>
      </c>
      <c r="O2328" s="1" t="s">
        <v>87</v>
      </c>
      <c r="P2328" s="1" t="s">
        <v>6154</v>
      </c>
      <c r="Q2328" s="1" t="s">
        <v>6155</v>
      </c>
      <c r="R2328" s="1" t="s">
        <v>398</v>
      </c>
      <c r="S2328" s="1" t="s">
        <v>6156</v>
      </c>
      <c r="T2328" s="1" t="s">
        <v>6157</v>
      </c>
      <c r="U2328" s="2" t="s">
        <v>4160</v>
      </c>
      <c r="V2328" s="2" t="s">
        <v>47</v>
      </c>
      <c r="W2328" s="2" t="s">
        <v>74</v>
      </c>
      <c r="X2328" s="2">
        <v>25.48</v>
      </c>
    </row>
    <row r="2329" spans="1:24" x14ac:dyDescent="0.3">
      <c r="A2329">
        <v>20203</v>
      </c>
      <c r="B2329" t="s">
        <v>6541</v>
      </c>
      <c r="C2329" s="3">
        <v>40843</v>
      </c>
      <c r="D2329" t="s">
        <v>50</v>
      </c>
      <c r="E2329">
        <v>18</v>
      </c>
      <c r="F2329" s="3">
        <f ca="1">40844+(RANDBETWEEN(1,10))</f>
        <v>40850</v>
      </c>
      <c r="G2329" t="s">
        <v>26</v>
      </c>
      <c r="H2329" t="s">
        <v>96</v>
      </c>
      <c r="I2329" t="s">
        <v>86</v>
      </c>
      <c r="J2329">
        <v>200.34</v>
      </c>
      <c r="K2329">
        <v>0.08</v>
      </c>
      <c r="L2329">
        <v>0.56000000000000005</v>
      </c>
      <c r="M2329">
        <v>13.895</v>
      </c>
      <c r="N2329">
        <v>1.4931000000000001</v>
      </c>
      <c r="O2329" s="1" t="s">
        <v>87</v>
      </c>
      <c r="P2329" s="1" t="s">
        <v>6542</v>
      </c>
      <c r="Q2329" s="1" t="s">
        <v>6543</v>
      </c>
      <c r="R2329" s="1" t="s">
        <v>398</v>
      </c>
      <c r="S2329" s="1" t="s">
        <v>6544</v>
      </c>
      <c r="T2329" s="1" t="s">
        <v>6545</v>
      </c>
      <c r="U2329" s="2" t="s">
        <v>5622</v>
      </c>
      <c r="V2329" s="2" t="s">
        <v>47</v>
      </c>
      <c r="W2329" s="2" t="s">
        <v>104</v>
      </c>
      <c r="X2329" s="2">
        <v>11.48</v>
      </c>
    </row>
    <row r="2330" spans="1:24" x14ac:dyDescent="0.3">
      <c r="A2330">
        <v>20204</v>
      </c>
      <c r="B2330" t="s">
        <v>6541</v>
      </c>
      <c r="C2330" s="3">
        <v>40843</v>
      </c>
      <c r="D2330" t="s">
        <v>50</v>
      </c>
      <c r="E2330">
        <v>22</v>
      </c>
      <c r="F2330" s="3">
        <f ca="1">40845+(RANDBETWEEN(1,10))</f>
        <v>40852</v>
      </c>
      <c r="G2330" t="s">
        <v>156</v>
      </c>
      <c r="H2330" t="s">
        <v>51</v>
      </c>
      <c r="I2330" t="s">
        <v>86</v>
      </c>
      <c r="J2330">
        <v>2886.45</v>
      </c>
      <c r="K2330">
        <v>0.09</v>
      </c>
      <c r="L2330">
        <v>0.59</v>
      </c>
      <c r="M2330">
        <v>31.465</v>
      </c>
      <c r="N2330">
        <v>231.756</v>
      </c>
      <c r="O2330" s="1" t="s">
        <v>87</v>
      </c>
      <c r="P2330" s="1" t="s">
        <v>6542</v>
      </c>
      <c r="Q2330" s="1" t="s">
        <v>6543</v>
      </c>
      <c r="R2330" s="1" t="s">
        <v>398</v>
      </c>
      <c r="S2330" s="1" t="s">
        <v>6544</v>
      </c>
      <c r="T2330" s="1" t="s">
        <v>6545</v>
      </c>
      <c r="U2330" s="2" t="s">
        <v>2755</v>
      </c>
      <c r="V2330" s="2" t="s">
        <v>47</v>
      </c>
      <c r="W2330" s="2" t="s">
        <v>104</v>
      </c>
      <c r="X2330" s="2">
        <v>143.39500000000001</v>
      </c>
    </row>
    <row r="2331" spans="1:24" x14ac:dyDescent="0.3">
      <c r="A2331">
        <v>20205</v>
      </c>
      <c r="B2331" t="s">
        <v>6546</v>
      </c>
      <c r="C2331" s="3">
        <v>41179</v>
      </c>
      <c r="D2331" t="s">
        <v>25</v>
      </c>
      <c r="E2331">
        <v>4</v>
      </c>
      <c r="F2331" s="3">
        <f ca="1">41181+(RANDBETWEEN(1,10))</f>
        <v>41190</v>
      </c>
      <c r="G2331" t="s">
        <v>76</v>
      </c>
      <c r="H2331" t="s">
        <v>77</v>
      </c>
      <c r="I2331" t="s">
        <v>28</v>
      </c>
      <c r="J2331">
        <v>3806.18</v>
      </c>
      <c r="K2331">
        <v>0.05</v>
      </c>
      <c r="L2331">
        <v>0.57999999999999996</v>
      </c>
      <c r="M2331">
        <v>62.51</v>
      </c>
      <c r="N2331">
        <v>23.095800000000001</v>
      </c>
      <c r="O2331" s="1" t="s">
        <v>53</v>
      </c>
      <c r="P2331" s="1" t="s">
        <v>6547</v>
      </c>
      <c r="Q2331" s="1" t="s">
        <v>6548</v>
      </c>
      <c r="R2331" s="1" t="s">
        <v>56</v>
      </c>
      <c r="S2331" s="1" t="s">
        <v>2815</v>
      </c>
      <c r="T2331" s="1" t="s">
        <v>2816</v>
      </c>
      <c r="U2331" s="2" t="s">
        <v>2262</v>
      </c>
      <c r="V2331" s="2" t="s">
        <v>36</v>
      </c>
      <c r="W2331" s="2" t="s">
        <v>142</v>
      </c>
      <c r="X2331" s="2">
        <v>927.43</v>
      </c>
    </row>
    <row r="2332" spans="1:24" x14ac:dyDescent="0.3">
      <c r="A2332">
        <v>20206</v>
      </c>
      <c r="B2332" t="s">
        <v>6549</v>
      </c>
      <c r="C2332" s="3">
        <v>41375</v>
      </c>
      <c r="D2332" t="s">
        <v>39</v>
      </c>
      <c r="E2332">
        <v>10</v>
      </c>
      <c r="F2332" s="3">
        <f ca="1">41377+(RANDBETWEEN(1,10))</f>
        <v>41379</v>
      </c>
      <c r="G2332" t="s">
        <v>76</v>
      </c>
      <c r="H2332" t="s">
        <v>258</v>
      </c>
      <c r="I2332" t="s">
        <v>97</v>
      </c>
      <c r="J2332">
        <v>1786.4</v>
      </c>
      <c r="K2332">
        <v>0.01</v>
      </c>
      <c r="L2332">
        <v>0.69</v>
      </c>
      <c r="M2332">
        <v>189.38499999999999</v>
      </c>
      <c r="N2332">
        <v>-4950.4350000000004</v>
      </c>
      <c r="O2332" s="1" t="s">
        <v>53</v>
      </c>
      <c r="P2332" s="1" t="s">
        <v>6550</v>
      </c>
      <c r="Q2332" s="1" t="s">
        <v>6551</v>
      </c>
      <c r="R2332" s="1" t="s">
        <v>100</v>
      </c>
      <c r="S2332" s="1" t="s">
        <v>6552</v>
      </c>
      <c r="T2332" s="1" t="s">
        <v>6553</v>
      </c>
      <c r="U2332" s="2" t="s">
        <v>684</v>
      </c>
      <c r="V2332" s="2" t="s">
        <v>83</v>
      </c>
      <c r="W2332" s="2" t="s">
        <v>298</v>
      </c>
      <c r="X2332" s="2">
        <v>170.03</v>
      </c>
    </row>
    <row r="2333" spans="1:24" x14ac:dyDescent="0.3">
      <c r="A2333">
        <v>20207</v>
      </c>
      <c r="B2333" t="s">
        <v>6549</v>
      </c>
      <c r="C2333" s="3">
        <v>41375</v>
      </c>
      <c r="D2333" t="s">
        <v>39</v>
      </c>
      <c r="E2333">
        <v>10</v>
      </c>
      <c r="F2333" s="3">
        <f ca="1">41378+(RANDBETWEEN(1,10))</f>
        <v>41384</v>
      </c>
      <c r="G2333" t="s">
        <v>156</v>
      </c>
      <c r="H2333" t="s">
        <v>281</v>
      </c>
      <c r="I2333" t="s">
        <v>97</v>
      </c>
      <c r="J2333">
        <v>3618.895</v>
      </c>
      <c r="K2333">
        <v>0.04</v>
      </c>
      <c r="L2333">
        <v>0.65</v>
      </c>
      <c r="M2333">
        <v>48.965000000000003</v>
      </c>
      <c r="N2333">
        <v>2497.03755</v>
      </c>
      <c r="O2333" s="1" t="s">
        <v>53</v>
      </c>
      <c r="P2333" s="1" t="s">
        <v>6550</v>
      </c>
      <c r="Q2333" s="1" t="s">
        <v>6551</v>
      </c>
      <c r="R2333" s="1" t="s">
        <v>100</v>
      </c>
      <c r="S2333" s="1" t="s">
        <v>6552</v>
      </c>
      <c r="T2333" s="1" t="s">
        <v>6553</v>
      </c>
      <c r="U2333" s="2" t="s">
        <v>3518</v>
      </c>
      <c r="V2333" s="2" t="s">
        <v>83</v>
      </c>
      <c r="W2333" s="2" t="s">
        <v>178</v>
      </c>
      <c r="X2333" s="2">
        <v>370.93</v>
      </c>
    </row>
    <row r="2334" spans="1:24" x14ac:dyDescent="0.3">
      <c r="A2334">
        <v>20208</v>
      </c>
      <c r="B2334" t="s">
        <v>6549</v>
      </c>
      <c r="C2334" s="3">
        <v>41375</v>
      </c>
      <c r="D2334" t="s">
        <v>39</v>
      </c>
      <c r="E2334">
        <v>1</v>
      </c>
      <c r="F2334" s="3">
        <f ca="1">41376+(RANDBETWEEN(1,10))</f>
        <v>41386</v>
      </c>
      <c r="G2334" t="s">
        <v>26</v>
      </c>
      <c r="H2334" t="s">
        <v>96</v>
      </c>
      <c r="I2334" t="s">
        <v>97</v>
      </c>
      <c r="J2334">
        <v>24.535</v>
      </c>
      <c r="K2334">
        <v>0.09</v>
      </c>
      <c r="L2334">
        <v>0.38</v>
      </c>
      <c r="M2334">
        <v>7.5949999999999998</v>
      </c>
      <c r="N2334">
        <v>-18.934999999999999</v>
      </c>
      <c r="O2334" s="1" t="s">
        <v>53</v>
      </c>
      <c r="P2334" s="1" t="s">
        <v>6550</v>
      </c>
      <c r="Q2334" s="1" t="s">
        <v>6551</v>
      </c>
      <c r="R2334" s="1" t="s">
        <v>100</v>
      </c>
      <c r="S2334" s="1" t="s">
        <v>6552</v>
      </c>
      <c r="T2334" s="1" t="s">
        <v>6553</v>
      </c>
      <c r="U2334" s="2" t="s">
        <v>6554</v>
      </c>
      <c r="V2334" s="2" t="s">
        <v>47</v>
      </c>
      <c r="W2334" s="2" t="s">
        <v>74</v>
      </c>
      <c r="X2334" s="2">
        <v>24.64</v>
      </c>
    </row>
    <row r="2335" spans="1:24" x14ac:dyDescent="0.3">
      <c r="A2335">
        <v>20209</v>
      </c>
      <c r="B2335" t="s">
        <v>6555</v>
      </c>
      <c r="C2335" s="3">
        <v>41949</v>
      </c>
      <c r="D2335" t="s">
        <v>25</v>
      </c>
      <c r="E2335">
        <v>29</v>
      </c>
      <c r="F2335" s="3">
        <f ca="1">41953+(RANDBETWEEN(1,10))</f>
        <v>41954</v>
      </c>
      <c r="G2335" t="s">
        <v>26</v>
      </c>
      <c r="H2335" t="s">
        <v>51</v>
      </c>
      <c r="I2335" t="s">
        <v>28</v>
      </c>
      <c r="J2335">
        <v>987.84</v>
      </c>
      <c r="K2335">
        <v>0.04</v>
      </c>
      <c r="L2335">
        <v>0.43</v>
      </c>
      <c r="M2335">
        <v>6.9649999999999999</v>
      </c>
      <c r="N2335">
        <v>638.77967999999998</v>
      </c>
      <c r="O2335" s="1" t="s">
        <v>29</v>
      </c>
      <c r="P2335" s="1" t="s">
        <v>840</v>
      </c>
      <c r="Q2335" s="1" t="s">
        <v>841</v>
      </c>
      <c r="R2335" s="1" t="s">
        <v>32</v>
      </c>
      <c r="S2335" s="1" t="s">
        <v>842</v>
      </c>
      <c r="T2335" s="1" t="s">
        <v>843</v>
      </c>
      <c r="U2335" s="2" t="s">
        <v>237</v>
      </c>
      <c r="V2335" s="2" t="s">
        <v>36</v>
      </c>
      <c r="W2335" s="2" t="s">
        <v>60</v>
      </c>
      <c r="X2335" s="2">
        <v>34.229999999999997</v>
      </c>
    </row>
    <row r="2336" spans="1:24" x14ac:dyDescent="0.3">
      <c r="A2336">
        <v>20210</v>
      </c>
      <c r="B2336" t="s">
        <v>6555</v>
      </c>
      <c r="C2336" s="3">
        <v>41949</v>
      </c>
      <c r="D2336" t="s">
        <v>25</v>
      </c>
      <c r="E2336">
        <v>15</v>
      </c>
      <c r="F2336" s="3">
        <f ca="1">41958+(RANDBETWEEN(1,10))</f>
        <v>41959</v>
      </c>
      <c r="G2336" t="s">
        <v>156</v>
      </c>
      <c r="H2336" t="s">
        <v>51</v>
      </c>
      <c r="I2336" t="s">
        <v>28</v>
      </c>
      <c r="J2336">
        <v>665.98</v>
      </c>
      <c r="K2336">
        <v>0.01</v>
      </c>
      <c r="L2336">
        <v>0.55000000000000004</v>
      </c>
      <c r="M2336">
        <v>9.9749999999999996</v>
      </c>
      <c r="N2336">
        <v>459.52620000000002</v>
      </c>
      <c r="O2336" s="1" t="s">
        <v>53</v>
      </c>
      <c r="P2336" s="1" t="s">
        <v>6556</v>
      </c>
      <c r="Q2336" s="1" t="s">
        <v>6557</v>
      </c>
      <c r="R2336" s="1" t="s">
        <v>56</v>
      </c>
      <c r="S2336" s="1" t="s">
        <v>6558</v>
      </c>
      <c r="T2336" s="1" t="s">
        <v>6559</v>
      </c>
      <c r="U2336" s="2" t="s">
        <v>3256</v>
      </c>
      <c r="V2336" s="2" t="s">
        <v>83</v>
      </c>
      <c r="W2336" s="2" t="s">
        <v>178</v>
      </c>
      <c r="X2336" s="2">
        <v>42.77</v>
      </c>
    </row>
    <row r="2337" spans="1:24" x14ac:dyDescent="0.3">
      <c r="A2337">
        <v>20211</v>
      </c>
      <c r="B2337" t="s">
        <v>6560</v>
      </c>
      <c r="C2337" s="3">
        <v>41618</v>
      </c>
      <c r="D2337" t="s">
        <v>50</v>
      </c>
      <c r="E2337">
        <v>8</v>
      </c>
      <c r="F2337" s="3">
        <f ca="1">41620+(RANDBETWEEN(1,10))</f>
        <v>41629</v>
      </c>
      <c r="G2337" t="s">
        <v>76</v>
      </c>
      <c r="H2337" t="s">
        <v>258</v>
      </c>
      <c r="I2337" t="s">
        <v>52</v>
      </c>
      <c r="J2337">
        <v>1775.375</v>
      </c>
      <c r="K2337">
        <v>0.02</v>
      </c>
      <c r="L2337">
        <v>0.61</v>
      </c>
      <c r="M2337">
        <v>128.13499999999999</v>
      </c>
      <c r="N2337">
        <v>-431.06</v>
      </c>
      <c r="O2337" s="1" t="s">
        <v>53</v>
      </c>
      <c r="P2337" s="1" t="s">
        <v>4558</v>
      </c>
      <c r="Q2337" s="1" t="s">
        <v>4559</v>
      </c>
      <c r="R2337" s="1" t="s">
        <v>440</v>
      </c>
      <c r="S2337" s="1" t="s">
        <v>4560</v>
      </c>
      <c r="T2337" s="1" t="s">
        <v>4561</v>
      </c>
      <c r="U2337" s="2" t="s">
        <v>4050</v>
      </c>
      <c r="V2337" s="2" t="s">
        <v>83</v>
      </c>
      <c r="W2337" s="2" t="s">
        <v>298</v>
      </c>
      <c r="X2337" s="2">
        <v>203.49</v>
      </c>
    </row>
    <row r="2338" spans="1:24" x14ac:dyDescent="0.3">
      <c r="A2338">
        <v>20212</v>
      </c>
      <c r="B2338" t="s">
        <v>6561</v>
      </c>
      <c r="C2338" s="3">
        <v>40769</v>
      </c>
      <c r="D2338" t="s">
        <v>39</v>
      </c>
      <c r="E2338">
        <v>7</v>
      </c>
      <c r="F2338" s="3">
        <f ca="1">40770+(RANDBETWEEN(1,10))</f>
        <v>40780</v>
      </c>
      <c r="G2338" t="s">
        <v>26</v>
      </c>
      <c r="H2338" t="s">
        <v>27</v>
      </c>
      <c r="I2338" t="s">
        <v>52</v>
      </c>
      <c r="J2338">
        <v>3548.44</v>
      </c>
      <c r="K2338">
        <v>0.06</v>
      </c>
      <c r="L2338">
        <v>0.56999999999999995</v>
      </c>
      <c r="M2338">
        <v>31.465</v>
      </c>
      <c r="N2338">
        <v>169.65018000000001</v>
      </c>
      <c r="O2338" s="1" t="s">
        <v>40</v>
      </c>
      <c r="P2338" s="1" t="s">
        <v>6562</v>
      </c>
      <c r="Q2338" s="1" t="s">
        <v>6563</v>
      </c>
      <c r="R2338" s="1" t="s">
        <v>220</v>
      </c>
      <c r="S2338" s="1" t="s">
        <v>6564</v>
      </c>
      <c r="T2338" s="1" t="s">
        <v>6565</v>
      </c>
      <c r="U2338" s="2">
        <v>2180</v>
      </c>
      <c r="V2338" s="2" t="s">
        <v>36</v>
      </c>
      <c r="W2338" s="2" t="s">
        <v>37</v>
      </c>
      <c r="X2338" s="2">
        <v>615.96500000000003</v>
      </c>
    </row>
    <row r="2339" spans="1:24" x14ac:dyDescent="0.3">
      <c r="A2339">
        <v>20213</v>
      </c>
      <c r="B2339" t="s">
        <v>6566</v>
      </c>
      <c r="C2339" s="3">
        <v>41495</v>
      </c>
      <c r="D2339" t="s">
        <v>50</v>
      </c>
      <c r="E2339">
        <v>1</v>
      </c>
      <c r="F2339" s="3">
        <f ca="1">41495+(RANDBETWEEN(1,10))</f>
        <v>41503</v>
      </c>
      <c r="G2339" t="s">
        <v>26</v>
      </c>
      <c r="H2339" t="s">
        <v>96</v>
      </c>
      <c r="I2339" t="s">
        <v>86</v>
      </c>
      <c r="J2339">
        <v>12.04</v>
      </c>
      <c r="K2339">
        <v>0.04</v>
      </c>
      <c r="L2339">
        <v>0.39</v>
      </c>
      <c r="M2339">
        <v>5.53</v>
      </c>
      <c r="N2339">
        <v>-7.0251999999999999</v>
      </c>
      <c r="O2339" s="1" t="s">
        <v>29</v>
      </c>
      <c r="P2339" s="1" t="s">
        <v>6567</v>
      </c>
      <c r="Q2339" s="1" t="s">
        <v>6568</v>
      </c>
      <c r="R2339" s="1" t="s">
        <v>32</v>
      </c>
      <c r="S2339" s="1" t="s">
        <v>6569</v>
      </c>
      <c r="T2339" s="1" t="s">
        <v>6570</v>
      </c>
      <c r="U2339" s="2" t="s">
        <v>6571</v>
      </c>
      <c r="V2339" s="2" t="s">
        <v>47</v>
      </c>
      <c r="W2339" s="2" t="s">
        <v>176</v>
      </c>
      <c r="X2339" s="2">
        <v>10.43</v>
      </c>
    </row>
    <row r="2340" spans="1:24" x14ac:dyDescent="0.3">
      <c r="A2340">
        <v>20214</v>
      </c>
      <c r="B2340" t="s">
        <v>6566</v>
      </c>
      <c r="C2340" s="3">
        <v>41495</v>
      </c>
      <c r="D2340" t="s">
        <v>50</v>
      </c>
      <c r="E2340">
        <v>1</v>
      </c>
      <c r="F2340" s="3">
        <f ca="1">41496+(RANDBETWEEN(1,10))</f>
        <v>41498</v>
      </c>
      <c r="G2340" t="s">
        <v>26</v>
      </c>
      <c r="H2340" t="s">
        <v>96</v>
      </c>
      <c r="I2340" t="s">
        <v>86</v>
      </c>
      <c r="J2340">
        <v>25.2</v>
      </c>
      <c r="K2340">
        <v>7.0000000000000007E-2</v>
      </c>
      <c r="L2340">
        <v>0.54</v>
      </c>
      <c r="M2340">
        <v>11.795</v>
      </c>
      <c r="N2340">
        <v>-18.636800000000001</v>
      </c>
      <c r="O2340" s="1" t="s">
        <v>87</v>
      </c>
      <c r="P2340" s="1" t="s">
        <v>6572</v>
      </c>
      <c r="Q2340" s="1" t="s">
        <v>6573</v>
      </c>
      <c r="R2340" s="1" t="s">
        <v>497</v>
      </c>
      <c r="S2340" s="1" t="s">
        <v>6574</v>
      </c>
      <c r="T2340" s="1" t="s">
        <v>6575</v>
      </c>
      <c r="U2340" s="2" t="s">
        <v>665</v>
      </c>
      <c r="V2340" s="2" t="s">
        <v>47</v>
      </c>
      <c r="W2340" s="2" t="s">
        <v>176</v>
      </c>
      <c r="X2340" s="2">
        <v>20.335000000000001</v>
      </c>
    </row>
    <row r="2341" spans="1:24" x14ac:dyDescent="0.3">
      <c r="A2341">
        <v>20215</v>
      </c>
      <c r="B2341" t="s">
        <v>6576</v>
      </c>
      <c r="C2341" s="3">
        <v>41997</v>
      </c>
      <c r="D2341" t="s">
        <v>50</v>
      </c>
      <c r="E2341">
        <v>4</v>
      </c>
      <c r="F2341" s="3">
        <f ca="1">41999+(RANDBETWEEN(1,10))</f>
        <v>42000</v>
      </c>
      <c r="G2341" t="s">
        <v>26</v>
      </c>
      <c r="H2341" t="s">
        <v>27</v>
      </c>
      <c r="I2341" t="s">
        <v>28</v>
      </c>
      <c r="J2341">
        <v>102.06</v>
      </c>
      <c r="K2341">
        <v>0.09</v>
      </c>
      <c r="L2341">
        <v>0.37</v>
      </c>
      <c r="M2341">
        <v>19.18</v>
      </c>
      <c r="N2341">
        <v>181.524</v>
      </c>
      <c r="O2341" s="1" t="s">
        <v>64</v>
      </c>
      <c r="P2341" s="1" t="s">
        <v>3380</v>
      </c>
      <c r="Q2341" s="1" t="s">
        <v>3381</v>
      </c>
      <c r="R2341" s="1" t="s">
        <v>128</v>
      </c>
      <c r="S2341" s="1" t="s">
        <v>3382</v>
      </c>
      <c r="T2341" s="1" t="s">
        <v>3383</v>
      </c>
      <c r="U2341" s="2" t="s">
        <v>5054</v>
      </c>
      <c r="V2341" s="2" t="s">
        <v>47</v>
      </c>
      <c r="W2341" s="2" t="s">
        <v>111</v>
      </c>
      <c r="X2341" s="2">
        <v>23.835000000000001</v>
      </c>
    </row>
    <row r="2342" spans="1:24" x14ac:dyDescent="0.3">
      <c r="A2342">
        <v>20216</v>
      </c>
      <c r="B2342" t="s">
        <v>6577</v>
      </c>
      <c r="C2342" s="3">
        <v>40882</v>
      </c>
      <c r="D2342" t="s">
        <v>25</v>
      </c>
      <c r="E2342">
        <v>16</v>
      </c>
      <c r="F2342" s="3">
        <f ca="1">40889+(RANDBETWEEN(1,10))</f>
        <v>40898</v>
      </c>
      <c r="G2342" t="s">
        <v>26</v>
      </c>
      <c r="H2342" t="s">
        <v>51</v>
      </c>
      <c r="I2342" t="s">
        <v>97</v>
      </c>
      <c r="J2342">
        <v>699.16</v>
      </c>
      <c r="K2342">
        <v>7.0000000000000007E-2</v>
      </c>
      <c r="L2342">
        <v>0.48</v>
      </c>
      <c r="M2342">
        <v>17.43</v>
      </c>
      <c r="N2342">
        <v>396.95249999999999</v>
      </c>
      <c r="O2342" s="1" t="s">
        <v>29</v>
      </c>
      <c r="P2342" s="1" t="s">
        <v>6578</v>
      </c>
      <c r="Q2342" s="1" t="s">
        <v>6579</v>
      </c>
      <c r="R2342" s="1" t="s">
        <v>460</v>
      </c>
      <c r="S2342" s="1" t="s">
        <v>6580</v>
      </c>
      <c r="T2342" s="1" t="s">
        <v>6581</v>
      </c>
      <c r="U2342" s="2" t="s">
        <v>430</v>
      </c>
      <c r="V2342" s="2" t="s">
        <v>83</v>
      </c>
      <c r="W2342" s="2" t="s">
        <v>178</v>
      </c>
      <c r="X2342" s="2">
        <v>44.24</v>
      </c>
    </row>
    <row r="2343" spans="1:24" x14ac:dyDescent="0.3">
      <c r="A2343">
        <v>20217</v>
      </c>
      <c r="B2343" t="s">
        <v>6582</v>
      </c>
      <c r="C2343" s="3">
        <v>41644</v>
      </c>
      <c r="D2343" t="s">
        <v>148</v>
      </c>
      <c r="E2343">
        <v>8</v>
      </c>
      <c r="F2343" s="3">
        <f ca="1">41645+(RANDBETWEEN(1,10))</f>
        <v>41650</v>
      </c>
      <c r="G2343" t="s">
        <v>26</v>
      </c>
      <c r="H2343" t="s">
        <v>63</v>
      </c>
      <c r="I2343" t="s">
        <v>28</v>
      </c>
      <c r="J2343">
        <v>2160.27</v>
      </c>
      <c r="K2343">
        <v>0.09</v>
      </c>
      <c r="L2343">
        <v>0.81</v>
      </c>
      <c r="M2343">
        <v>122.5</v>
      </c>
      <c r="N2343">
        <v>-3551.5088000000001</v>
      </c>
      <c r="O2343" s="1" t="s">
        <v>29</v>
      </c>
      <c r="P2343" s="1" t="s">
        <v>6583</v>
      </c>
      <c r="Q2343" s="1" t="s">
        <v>6584</v>
      </c>
      <c r="R2343" s="1" t="s">
        <v>32</v>
      </c>
      <c r="S2343" s="1" t="s">
        <v>6585</v>
      </c>
      <c r="T2343" s="1" t="s">
        <v>6586</v>
      </c>
      <c r="U2343" s="2" t="s">
        <v>166</v>
      </c>
      <c r="V2343" s="2" t="s">
        <v>47</v>
      </c>
      <c r="W2343" s="2" t="s">
        <v>119</v>
      </c>
      <c r="X2343" s="2">
        <v>283.43</v>
      </c>
    </row>
    <row r="2344" spans="1:24" x14ac:dyDescent="0.3">
      <c r="A2344">
        <v>20218</v>
      </c>
      <c r="B2344" t="s">
        <v>6582</v>
      </c>
      <c r="C2344" s="3">
        <v>41644</v>
      </c>
      <c r="D2344" t="s">
        <v>148</v>
      </c>
      <c r="E2344">
        <v>8</v>
      </c>
      <c r="F2344" s="3">
        <f ca="1">41646+(RANDBETWEEN(1,10))</f>
        <v>41654</v>
      </c>
      <c r="G2344" t="s">
        <v>26</v>
      </c>
      <c r="H2344" t="s">
        <v>27</v>
      </c>
      <c r="I2344" t="s">
        <v>28</v>
      </c>
      <c r="J2344">
        <v>169.22499999999999</v>
      </c>
      <c r="K2344">
        <v>0.05</v>
      </c>
      <c r="L2344">
        <v>0.39</v>
      </c>
      <c r="M2344">
        <v>29.715</v>
      </c>
      <c r="N2344">
        <v>-716.55786999999998</v>
      </c>
      <c r="O2344" s="1" t="s">
        <v>40</v>
      </c>
      <c r="P2344" s="1" t="s">
        <v>6587</v>
      </c>
      <c r="Q2344" s="1" t="s">
        <v>6588</v>
      </c>
      <c r="R2344" s="1" t="s">
        <v>43</v>
      </c>
      <c r="S2344" s="1" t="s">
        <v>6589</v>
      </c>
      <c r="T2344" s="1" t="s">
        <v>6590</v>
      </c>
      <c r="U2344" s="2" t="s">
        <v>3658</v>
      </c>
      <c r="V2344" s="2" t="s">
        <v>47</v>
      </c>
      <c r="W2344" s="2" t="s">
        <v>111</v>
      </c>
      <c r="X2344" s="2">
        <v>20.335000000000001</v>
      </c>
    </row>
    <row r="2345" spans="1:24" x14ac:dyDescent="0.3">
      <c r="A2345">
        <v>20219</v>
      </c>
      <c r="B2345" t="s">
        <v>6582</v>
      </c>
      <c r="C2345" s="3">
        <v>41644</v>
      </c>
      <c r="D2345" t="s">
        <v>148</v>
      </c>
      <c r="E2345">
        <v>3</v>
      </c>
      <c r="F2345" s="3">
        <f ca="1">41645+(RANDBETWEEN(1,10))</f>
        <v>41649</v>
      </c>
      <c r="G2345" t="s">
        <v>26</v>
      </c>
      <c r="H2345" t="s">
        <v>27</v>
      </c>
      <c r="I2345" t="s">
        <v>28</v>
      </c>
      <c r="J2345">
        <v>1385.405</v>
      </c>
      <c r="K2345">
        <v>7.0000000000000007E-2</v>
      </c>
      <c r="L2345">
        <v>0.6</v>
      </c>
      <c r="M2345">
        <v>28.28</v>
      </c>
      <c r="N2345">
        <v>-1166.9088200000001</v>
      </c>
      <c r="O2345" s="1" t="s">
        <v>29</v>
      </c>
      <c r="P2345" s="1" t="s">
        <v>6591</v>
      </c>
      <c r="Q2345" s="1" t="s">
        <v>6592</v>
      </c>
      <c r="R2345" s="1" t="s">
        <v>460</v>
      </c>
      <c r="S2345" s="1" t="s">
        <v>2591</v>
      </c>
      <c r="T2345" s="1" t="s">
        <v>2592</v>
      </c>
      <c r="U2345" s="2" t="s">
        <v>630</v>
      </c>
      <c r="V2345" s="2" t="s">
        <v>36</v>
      </c>
      <c r="W2345" s="2" t="s">
        <v>37</v>
      </c>
      <c r="X2345" s="2">
        <v>545.96500000000003</v>
      </c>
    </row>
    <row r="2346" spans="1:24" x14ac:dyDescent="0.3">
      <c r="A2346">
        <v>20220</v>
      </c>
      <c r="B2346" t="s">
        <v>6582</v>
      </c>
      <c r="C2346" s="3">
        <v>41644</v>
      </c>
      <c r="D2346" t="s">
        <v>148</v>
      </c>
      <c r="E2346">
        <v>9</v>
      </c>
      <c r="F2346" s="3">
        <f ca="1">41645+(RANDBETWEEN(1,10))</f>
        <v>41652</v>
      </c>
      <c r="G2346" t="s">
        <v>26</v>
      </c>
      <c r="H2346" t="s">
        <v>27</v>
      </c>
      <c r="I2346" t="s">
        <v>28</v>
      </c>
      <c r="J2346">
        <v>525.875</v>
      </c>
      <c r="K2346">
        <v>0.1</v>
      </c>
      <c r="L2346">
        <v>0.59</v>
      </c>
      <c r="M2346">
        <v>33.145000000000003</v>
      </c>
      <c r="N2346">
        <v>-614.54399999999998</v>
      </c>
      <c r="O2346" s="1" t="s">
        <v>64</v>
      </c>
      <c r="P2346" s="1" t="s">
        <v>6593</v>
      </c>
      <c r="Q2346" s="1" t="s">
        <v>6594</v>
      </c>
      <c r="R2346" s="1" t="s">
        <v>128</v>
      </c>
      <c r="S2346" s="1" t="s">
        <v>6595</v>
      </c>
      <c r="T2346" s="1" t="s">
        <v>6596</v>
      </c>
      <c r="U2346" s="2" t="s">
        <v>811</v>
      </c>
      <c r="V2346" s="2" t="s">
        <v>47</v>
      </c>
      <c r="W2346" s="2" t="s">
        <v>119</v>
      </c>
      <c r="X2346" s="2">
        <v>61.95</v>
      </c>
    </row>
    <row r="2347" spans="1:24" x14ac:dyDescent="0.3">
      <c r="A2347">
        <v>20221</v>
      </c>
      <c r="B2347" t="s">
        <v>6597</v>
      </c>
      <c r="C2347" s="3">
        <v>41775</v>
      </c>
      <c r="D2347" t="s">
        <v>39</v>
      </c>
      <c r="E2347">
        <v>1</v>
      </c>
      <c r="F2347" s="3">
        <f ca="1">41776+(RANDBETWEEN(1,10))</f>
        <v>41779</v>
      </c>
      <c r="G2347" t="s">
        <v>26</v>
      </c>
      <c r="H2347" t="s">
        <v>51</v>
      </c>
      <c r="I2347" t="s">
        <v>97</v>
      </c>
      <c r="J2347">
        <v>141.29499999999999</v>
      </c>
      <c r="K2347">
        <v>0.1</v>
      </c>
      <c r="L2347">
        <v>0.44</v>
      </c>
      <c r="M2347">
        <v>6.9649999999999999</v>
      </c>
      <c r="N2347">
        <v>-415.87</v>
      </c>
      <c r="O2347" s="1" t="s">
        <v>40</v>
      </c>
      <c r="P2347" s="1" t="s">
        <v>5465</v>
      </c>
      <c r="Q2347" s="1" t="s">
        <v>5466</v>
      </c>
      <c r="R2347" s="1" t="s">
        <v>43</v>
      </c>
      <c r="S2347" s="1" t="s">
        <v>5467</v>
      </c>
      <c r="T2347" s="1" t="s">
        <v>5468</v>
      </c>
      <c r="U2347" s="2" t="s">
        <v>2902</v>
      </c>
      <c r="V2347" s="2" t="s">
        <v>36</v>
      </c>
      <c r="W2347" s="2" t="s">
        <v>60</v>
      </c>
      <c r="X2347" s="2">
        <v>153.93</v>
      </c>
    </row>
    <row r="2348" spans="1:24" x14ac:dyDescent="0.3">
      <c r="A2348">
        <v>20222</v>
      </c>
      <c r="B2348" t="s">
        <v>6598</v>
      </c>
      <c r="C2348" s="3">
        <v>41110</v>
      </c>
      <c r="D2348" t="s">
        <v>39</v>
      </c>
      <c r="E2348">
        <v>5</v>
      </c>
      <c r="F2348" s="3">
        <f ca="1">41110+(RANDBETWEEN(1,10))</f>
        <v>41114</v>
      </c>
      <c r="G2348" t="s">
        <v>76</v>
      </c>
      <c r="H2348" t="s">
        <v>77</v>
      </c>
      <c r="I2348" t="s">
        <v>28</v>
      </c>
      <c r="J2348">
        <v>8089.0249999999996</v>
      </c>
      <c r="K2348">
        <v>0.04</v>
      </c>
      <c r="L2348">
        <v>0.38</v>
      </c>
      <c r="M2348">
        <v>171.5</v>
      </c>
      <c r="N2348">
        <v>4200.7174999999997</v>
      </c>
      <c r="O2348" s="1" t="s">
        <v>64</v>
      </c>
      <c r="P2348" s="1" t="s">
        <v>6599</v>
      </c>
      <c r="Q2348" s="1" t="s">
        <v>6600</v>
      </c>
      <c r="R2348" s="1" t="s">
        <v>128</v>
      </c>
      <c r="S2348" s="1" t="s">
        <v>6601</v>
      </c>
      <c r="T2348" s="1" t="s">
        <v>6602</v>
      </c>
      <c r="U2348" s="2" t="s">
        <v>1480</v>
      </c>
      <c r="V2348" s="2" t="s">
        <v>36</v>
      </c>
      <c r="W2348" s="2" t="s">
        <v>1327</v>
      </c>
      <c r="X2348" s="2">
        <v>1574.9649999999999</v>
      </c>
    </row>
    <row r="2349" spans="1:24" x14ac:dyDescent="0.3">
      <c r="A2349">
        <v>20223</v>
      </c>
      <c r="B2349" t="s">
        <v>6598</v>
      </c>
      <c r="C2349" s="3">
        <v>41110</v>
      </c>
      <c r="D2349" t="s">
        <v>39</v>
      </c>
      <c r="E2349">
        <v>4</v>
      </c>
      <c r="F2349" s="3">
        <f ca="1">41111+(RANDBETWEEN(1,10))</f>
        <v>41112</v>
      </c>
      <c r="G2349" t="s">
        <v>26</v>
      </c>
      <c r="H2349" t="s">
        <v>96</v>
      </c>
      <c r="I2349" t="s">
        <v>28</v>
      </c>
      <c r="J2349">
        <v>54.984999999999999</v>
      </c>
      <c r="K2349">
        <v>0.06</v>
      </c>
      <c r="L2349">
        <v>0.37</v>
      </c>
      <c r="M2349">
        <v>4.55</v>
      </c>
      <c r="N2349">
        <v>28.245000000000001</v>
      </c>
      <c r="O2349" s="1" t="s">
        <v>40</v>
      </c>
      <c r="P2349" s="1" t="s">
        <v>6603</v>
      </c>
      <c r="Q2349" s="1" t="s">
        <v>6604</v>
      </c>
      <c r="R2349" s="1" t="s">
        <v>43</v>
      </c>
      <c r="S2349" s="1" t="s">
        <v>6605</v>
      </c>
      <c r="T2349" s="1" t="s">
        <v>6606</v>
      </c>
      <c r="U2349" s="2" t="s">
        <v>2823</v>
      </c>
      <c r="V2349" s="2" t="s">
        <v>47</v>
      </c>
      <c r="W2349" s="2" t="s">
        <v>74</v>
      </c>
      <c r="X2349" s="2">
        <v>14</v>
      </c>
    </row>
    <row r="2350" spans="1:24" x14ac:dyDescent="0.3">
      <c r="A2350">
        <v>20224</v>
      </c>
      <c r="B2350" t="s">
        <v>6607</v>
      </c>
      <c r="C2350" s="3">
        <v>41293</v>
      </c>
      <c r="D2350" t="s">
        <v>39</v>
      </c>
      <c r="E2350">
        <v>3</v>
      </c>
      <c r="F2350" s="3">
        <f ca="1">41294+(RANDBETWEEN(1,10))</f>
        <v>41302</v>
      </c>
      <c r="G2350" t="s">
        <v>156</v>
      </c>
      <c r="H2350" t="s">
        <v>27</v>
      </c>
      <c r="I2350" t="s">
        <v>52</v>
      </c>
      <c r="J2350">
        <v>49.244999999999997</v>
      </c>
      <c r="K2350">
        <v>0</v>
      </c>
      <c r="L2350">
        <v>0.36</v>
      </c>
      <c r="M2350">
        <v>3.4649999999999999</v>
      </c>
      <c r="N2350">
        <v>33.979050000000001</v>
      </c>
      <c r="O2350" s="1" t="s">
        <v>64</v>
      </c>
      <c r="P2350" s="1" t="s">
        <v>6608</v>
      </c>
      <c r="Q2350" s="1" t="s">
        <v>6609</v>
      </c>
      <c r="R2350" s="1" t="s">
        <v>128</v>
      </c>
      <c r="S2350" s="1" t="s">
        <v>6601</v>
      </c>
      <c r="T2350" s="1" t="s">
        <v>6602</v>
      </c>
      <c r="U2350" s="2" t="s">
        <v>3527</v>
      </c>
      <c r="V2350" s="2" t="s">
        <v>47</v>
      </c>
      <c r="W2350" s="2" t="s">
        <v>203</v>
      </c>
      <c r="X2350" s="2">
        <v>10.08</v>
      </c>
    </row>
    <row r="2351" spans="1:24" x14ac:dyDescent="0.3">
      <c r="A2351">
        <v>20225</v>
      </c>
      <c r="B2351" t="s">
        <v>6610</v>
      </c>
      <c r="C2351" s="3">
        <v>41841</v>
      </c>
      <c r="D2351" t="s">
        <v>25</v>
      </c>
      <c r="E2351">
        <v>11</v>
      </c>
      <c r="F2351" s="3">
        <f ca="1">41845+(RANDBETWEEN(1,10))</f>
        <v>41848</v>
      </c>
      <c r="G2351" t="s">
        <v>26</v>
      </c>
      <c r="H2351" t="s">
        <v>51</v>
      </c>
      <c r="I2351" t="s">
        <v>97</v>
      </c>
      <c r="J2351">
        <v>596.67999999999995</v>
      </c>
      <c r="K2351">
        <v>0.06</v>
      </c>
      <c r="L2351">
        <v>0.39</v>
      </c>
      <c r="M2351">
        <v>31.465</v>
      </c>
      <c r="N2351">
        <v>192.64671999999999</v>
      </c>
      <c r="O2351" s="1" t="s">
        <v>40</v>
      </c>
      <c r="P2351" s="1" t="s">
        <v>6611</v>
      </c>
      <c r="Q2351" s="1" t="s">
        <v>6612</v>
      </c>
      <c r="R2351" s="1" t="s">
        <v>220</v>
      </c>
      <c r="S2351" s="1" t="s">
        <v>3762</v>
      </c>
      <c r="T2351" s="1" t="s">
        <v>3763</v>
      </c>
      <c r="U2351" s="2" t="s">
        <v>2064</v>
      </c>
      <c r="V2351" s="2" t="s">
        <v>83</v>
      </c>
      <c r="W2351" s="2" t="s">
        <v>178</v>
      </c>
      <c r="X2351" s="2">
        <v>52.43</v>
      </c>
    </row>
    <row r="2352" spans="1:24" x14ac:dyDescent="0.3">
      <c r="A2352">
        <v>20226</v>
      </c>
      <c r="B2352" t="s">
        <v>6610</v>
      </c>
      <c r="C2352" s="3">
        <v>41841</v>
      </c>
      <c r="D2352" t="s">
        <v>25</v>
      </c>
      <c r="E2352">
        <v>15</v>
      </c>
      <c r="F2352" s="3">
        <f ca="1">41843+(RANDBETWEEN(1,10))</f>
        <v>41845</v>
      </c>
      <c r="G2352" t="s">
        <v>26</v>
      </c>
      <c r="H2352" t="s">
        <v>27</v>
      </c>
      <c r="I2352" t="s">
        <v>97</v>
      </c>
      <c r="J2352">
        <v>1195.5650000000001</v>
      </c>
      <c r="K2352">
        <v>0.09</v>
      </c>
      <c r="L2352">
        <v>0.39</v>
      </c>
      <c r="M2352">
        <v>10.465</v>
      </c>
      <c r="N2352">
        <v>824.93984999999998</v>
      </c>
      <c r="O2352" s="1" t="s">
        <v>64</v>
      </c>
      <c r="P2352" s="1" t="s">
        <v>6613</v>
      </c>
      <c r="Q2352" s="1" t="s">
        <v>6614</v>
      </c>
      <c r="R2352" s="1" t="s">
        <v>67</v>
      </c>
      <c r="S2352" s="1" t="s">
        <v>6615</v>
      </c>
      <c r="T2352" s="1" t="s">
        <v>6616</v>
      </c>
      <c r="U2352" s="2" t="s">
        <v>1757</v>
      </c>
      <c r="V2352" s="2" t="s">
        <v>47</v>
      </c>
      <c r="W2352" s="2" t="s">
        <v>111</v>
      </c>
      <c r="X2352" s="2">
        <v>87.325000000000003</v>
      </c>
    </row>
    <row r="2353" spans="1:24" x14ac:dyDescent="0.3">
      <c r="A2353">
        <v>20227</v>
      </c>
      <c r="B2353" t="s">
        <v>6617</v>
      </c>
      <c r="C2353" s="3">
        <v>41340</v>
      </c>
      <c r="D2353" t="s">
        <v>148</v>
      </c>
      <c r="E2353">
        <v>12</v>
      </c>
      <c r="F2353" s="3">
        <f ca="1">41341+(RANDBETWEEN(1,10))</f>
        <v>41351</v>
      </c>
      <c r="G2353" t="s">
        <v>26</v>
      </c>
      <c r="H2353" t="s">
        <v>51</v>
      </c>
      <c r="I2353" t="s">
        <v>28</v>
      </c>
      <c r="J2353">
        <v>215.91499999999999</v>
      </c>
      <c r="K2353">
        <v>0.01</v>
      </c>
      <c r="L2353">
        <v>0.47</v>
      </c>
      <c r="M2353">
        <v>20.02</v>
      </c>
      <c r="N2353">
        <v>-404.39</v>
      </c>
      <c r="O2353" s="1" t="s">
        <v>53</v>
      </c>
      <c r="P2353" s="1" t="s">
        <v>6618</v>
      </c>
      <c r="Q2353" s="1" t="s">
        <v>6619</v>
      </c>
      <c r="R2353" s="1" t="s">
        <v>56</v>
      </c>
      <c r="S2353" s="1" t="s">
        <v>896</v>
      </c>
      <c r="T2353" s="1" t="s">
        <v>897</v>
      </c>
      <c r="U2353" s="2" t="s">
        <v>5176</v>
      </c>
      <c r="V2353" s="2" t="s">
        <v>83</v>
      </c>
      <c r="W2353" s="2" t="s">
        <v>178</v>
      </c>
      <c r="X2353" s="2">
        <v>16.87</v>
      </c>
    </row>
    <row r="2354" spans="1:24" x14ac:dyDescent="0.3">
      <c r="A2354">
        <v>20228</v>
      </c>
      <c r="B2354" t="s">
        <v>6620</v>
      </c>
      <c r="C2354" s="3">
        <v>40890</v>
      </c>
      <c r="D2354" t="s">
        <v>50</v>
      </c>
      <c r="E2354">
        <v>12</v>
      </c>
      <c r="F2354" s="3">
        <f ca="1">40892+(RANDBETWEEN(1,10))</f>
        <v>40896</v>
      </c>
      <c r="G2354" t="s">
        <v>76</v>
      </c>
      <c r="H2354" t="s">
        <v>77</v>
      </c>
      <c r="I2354" t="s">
        <v>97</v>
      </c>
      <c r="J2354">
        <v>22269.974999999999</v>
      </c>
      <c r="K2354">
        <v>0.02</v>
      </c>
      <c r="L2354">
        <v>0.6</v>
      </c>
      <c r="M2354">
        <v>91</v>
      </c>
      <c r="N2354">
        <v>15366.28275</v>
      </c>
      <c r="O2354" s="1" t="s">
        <v>87</v>
      </c>
      <c r="P2354" s="1" t="s">
        <v>5018</v>
      </c>
      <c r="Q2354" s="1" t="s">
        <v>5019</v>
      </c>
      <c r="R2354" s="1" t="s">
        <v>90</v>
      </c>
      <c r="S2354" s="1" t="s">
        <v>5020</v>
      </c>
      <c r="T2354" s="1" t="s">
        <v>5021</v>
      </c>
      <c r="U2354" s="2" t="s">
        <v>1670</v>
      </c>
      <c r="V2354" s="2" t="s">
        <v>83</v>
      </c>
      <c r="W2354" s="2" t="s">
        <v>84</v>
      </c>
      <c r="X2354" s="2">
        <v>1753.43</v>
      </c>
    </row>
    <row r="2355" spans="1:24" x14ac:dyDescent="0.3">
      <c r="A2355">
        <v>20229</v>
      </c>
      <c r="B2355" t="s">
        <v>6621</v>
      </c>
      <c r="C2355" s="3">
        <v>41835</v>
      </c>
      <c r="D2355" t="s">
        <v>50</v>
      </c>
      <c r="E2355">
        <v>11</v>
      </c>
      <c r="F2355" s="3">
        <f ca="1">41837+(RANDBETWEEN(1,10))</f>
        <v>41840</v>
      </c>
      <c r="G2355" t="s">
        <v>26</v>
      </c>
      <c r="H2355" t="s">
        <v>27</v>
      </c>
      <c r="I2355" t="s">
        <v>28</v>
      </c>
      <c r="J2355">
        <v>269.67500000000001</v>
      </c>
      <c r="K2355">
        <v>0</v>
      </c>
      <c r="L2355">
        <v>0.37</v>
      </c>
      <c r="M2355">
        <v>21.77</v>
      </c>
      <c r="N2355">
        <v>-201.00023999999999</v>
      </c>
      <c r="O2355" s="1" t="s">
        <v>40</v>
      </c>
      <c r="P2355" s="1" t="s">
        <v>6622</v>
      </c>
      <c r="Q2355" s="1" t="s">
        <v>6623</v>
      </c>
      <c r="R2355" s="1" t="s">
        <v>43</v>
      </c>
      <c r="S2355" s="1" t="s">
        <v>6624</v>
      </c>
      <c r="T2355" s="1" t="s">
        <v>6625</v>
      </c>
      <c r="U2355" s="2" t="s">
        <v>4158</v>
      </c>
      <c r="V2355" s="2" t="s">
        <v>47</v>
      </c>
      <c r="W2355" s="2" t="s">
        <v>74</v>
      </c>
      <c r="X2355" s="2">
        <v>22.68</v>
      </c>
    </row>
    <row r="2356" spans="1:24" x14ac:dyDescent="0.3">
      <c r="A2356">
        <v>20230</v>
      </c>
      <c r="B2356" t="s">
        <v>6621</v>
      </c>
      <c r="C2356" s="3">
        <v>41835</v>
      </c>
      <c r="D2356" t="s">
        <v>50</v>
      </c>
      <c r="E2356">
        <v>8</v>
      </c>
      <c r="F2356" s="3">
        <f ca="1">41837+(RANDBETWEEN(1,10))</f>
        <v>41846</v>
      </c>
      <c r="G2356" t="s">
        <v>26</v>
      </c>
      <c r="H2356" t="s">
        <v>96</v>
      </c>
      <c r="I2356" t="s">
        <v>28</v>
      </c>
      <c r="J2356">
        <v>543.05999999999995</v>
      </c>
      <c r="K2356">
        <v>0.06</v>
      </c>
      <c r="L2356">
        <v>0.44</v>
      </c>
      <c r="M2356">
        <v>14.35</v>
      </c>
      <c r="N2356">
        <v>727.50300000000004</v>
      </c>
      <c r="O2356" s="1" t="s">
        <v>87</v>
      </c>
      <c r="P2356" s="1" t="s">
        <v>6407</v>
      </c>
      <c r="Q2356" s="1" t="s">
        <v>6408</v>
      </c>
      <c r="R2356" s="1" t="s">
        <v>90</v>
      </c>
      <c r="S2356" s="1" t="s">
        <v>6409</v>
      </c>
      <c r="T2356" s="1" t="s">
        <v>6410</v>
      </c>
      <c r="U2356" s="2" t="s">
        <v>550</v>
      </c>
      <c r="V2356" s="2" t="s">
        <v>47</v>
      </c>
      <c r="W2356" s="2" t="s">
        <v>104</v>
      </c>
      <c r="X2356" s="2">
        <v>69.44</v>
      </c>
    </row>
    <row r="2357" spans="1:24" x14ac:dyDescent="0.3">
      <c r="A2357">
        <v>20231</v>
      </c>
      <c r="B2357" t="s">
        <v>6626</v>
      </c>
      <c r="C2357" s="3">
        <v>41402</v>
      </c>
      <c r="D2357" t="s">
        <v>39</v>
      </c>
      <c r="E2357">
        <v>18</v>
      </c>
      <c r="F2357" s="3">
        <f ca="1">41402+(RANDBETWEEN(1,10))</f>
        <v>41406</v>
      </c>
      <c r="G2357" t="s">
        <v>26</v>
      </c>
      <c r="H2357" t="s">
        <v>27</v>
      </c>
      <c r="I2357" t="s">
        <v>28</v>
      </c>
      <c r="J2357">
        <v>4065.7750000000001</v>
      </c>
      <c r="K2357">
        <v>7.0000000000000007E-2</v>
      </c>
      <c r="L2357">
        <v>0.46</v>
      </c>
      <c r="M2357">
        <v>50.68</v>
      </c>
      <c r="N2357">
        <v>525.90300000000002</v>
      </c>
      <c r="O2357" s="1" t="s">
        <v>87</v>
      </c>
      <c r="P2357" s="1" t="s">
        <v>4960</v>
      </c>
      <c r="Q2357" s="1" t="s">
        <v>4961</v>
      </c>
      <c r="R2357" s="1" t="s">
        <v>90</v>
      </c>
      <c r="S2357" s="1" t="s">
        <v>4962</v>
      </c>
      <c r="T2357" s="1" t="s">
        <v>4963</v>
      </c>
      <c r="U2357" s="2" t="s">
        <v>6357</v>
      </c>
      <c r="V2357" s="2" t="s">
        <v>83</v>
      </c>
      <c r="W2357" s="2" t="s">
        <v>178</v>
      </c>
      <c r="X2357" s="2">
        <v>223.79</v>
      </c>
    </row>
    <row r="2358" spans="1:24" x14ac:dyDescent="0.3">
      <c r="A2358">
        <v>20232</v>
      </c>
      <c r="B2358" t="s">
        <v>6627</v>
      </c>
      <c r="C2358" s="3">
        <v>41939</v>
      </c>
      <c r="D2358" t="s">
        <v>148</v>
      </c>
      <c r="E2358">
        <v>14</v>
      </c>
      <c r="F2358" s="3">
        <f ca="1">41940+(RANDBETWEEN(1,10))</f>
        <v>41950</v>
      </c>
      <c r="G2358" t="s">
        <v>26</v>
      </c>
      <c r="H2358" t="s">
        <v>27</v>
      </c>
      <c r="I2358" t="s">
        <v>86</v>
      </c>
      <c r="J2358">
        <v>979.93</v>
      </c>
      <c r="K2358">
        <v>7.0000000000000007E-2</v>
      </c>
      <c r="L2358">
        <v>0.36</v>
      </c>
      <c r="M2358">
        <v>10.465</v>
      </c>
      <c r="N2358">
        <v>593.03650000000005</v>
      </c>
      <c r="O2358" s="1" t="s">
        <v>64</v>
      </c>
      <c r="P2358" s="1" t="s">
        <v>1765</v>
      </c>
      <c r="Q2358" s="1" t="s">
        <v>1766</v>
      </c>
      <c r="R2358" s="1" t="s">
        <v>128</v>
      </c>
      <c r="S2358" s="1" t="s">
        <v>1767</v>
      </c>
      <c r="T2358" s="1" t="s">
        <v>1768</v>
      </c>
      <c r="U2358" s="2" t="s">
        <v>5355</v>
      </c>
      <c r="V2358" s="2" t="s">
        <v>47</v>
      </c>
      <c r="W2358" s="2" t="s">
        <v>111</v>
      </c>
      <c r="X2358" s="2">
        <v>74.83</v>
      </c>
    </row>
    <row r="2359" spans="1:24" x14ac:dyDescent="0.3">
      <c r="A2359">
        <v>20233</v>
      </c>
      <c r="B2359" t="s">
        <v>6628</v>
      </c>
      <c r="C2359" s="3">
        <v>40811</v>
      </c>
      <c r="D2359" t="s">
        <v>62</v>
      </c>
      <c r="E2359">
        <v>7</v>
      </c>
      <c r="F2359" s="3">
        <f ca="1">40811+(RANDBETWEEN(1,10))</f>
        <v>40817</v>
      </c>
      <c r="G2359" t="s">
        <v>76</v>
      </c>
      <c r="H2359" t="s">
        <v>77</v>
      </c>
      <c r="I2359" t="s">
        <v>86</v>
      </c>
      <c r="J2359">
        <v>4720.9049999999997</v>
      </c>
      <c r="K2359">
        <v>0.06</v>
      </c>
      <c r="L2359">
        <v>0.36</v>
      </c>
      <c r="M2359">
        <v>54.564999999999998</v>
      </c>
      <c r="N2359">
        <v>1860.663</v>
      </c>
      <c r="O2359" s="1" t="s">
        <v>64</v>
      </c>
      <c r="P2359" s="1" t="s">
        <v>6629</v>
      </c>
      <c r="Q2359" s="1" t="s">
        <v>6630</v>
      </c>
      <c r="R2359" s="1" t="s">
        <v>128</v>
      </c>
      <c r="S2359" s="1" t="s">
        <v>6631</v>
      </c>
      <c r="T2359" s="1" t="s">
        <v>6632</v>
      </c>
      <c r="U2359" s="2" t="s">
        <v>6020</v>
      </c>
      <c r="V2359" s="2" t="s">
        <v>36</v>
      </c>
      <c r="W2359" s="2" t="s">
        <v>142</v>
      </c>
      <c r="X2359" s="2">
        <v>703.39499999999998</v>
      </c>
    </row>
    <row r="2360" spans="1:24" x14ac:dyDescent="0.3">
      <c r="A2360">
        <v>20234</v>
      </c>
      <c r="B2360" t="s">
        <v>6633</v>
      </c>
      <c r="C2360" s="3">
        <v>40811</v>
      </c>
      <c r="D2360" t="s">
        <v>62</v>
      </c>
      <c r="E2360">
        <v>1</v>
      </c>
      <c r="F2360" s="3">
        <f ca="1">40813+(RANDBETWEEN(1,10))</f>
        <v>40818</v>
      </c>
      <c r="G2360" t="s">
        <v>26</v>
      </c>
      <c r="H2360" t="s">
        <v>63</v>
      </c>
      <c r="I2360" t="s">
        <v>86</v>
      </c>
      <c r="J2360">
        <v>97.86</v>
      </c>
      <c r="K2360">
        <v>0.17</v>
      </c>
      <c r="L2360">
        <v>0.57999999999999996</v>
      </c>
      <c r="M2360">
        <v>47.46</v>
      </c>
      <c r="N2360">
        <v>-31.954999999999998</v>
      </c>
      <c r="O2360" s="1" t="s">
        <v>64</v>
      </c>
      <c r="P2360" s="1" t="s">
        <v>6634</v>
      </c>
      <c r="Q2360" s="1" t="s">
        <v>6635</v>
      </c>
      <c r="R2360" s="1" t="s">
        <v>67</v>
      </c>
      <c r="S2360" s="1" t="s">
        <v>6636</v>
      </c>
      <c r="T2360" s="1" t="s">
        <v>6637</v>
      </c>
      <c r="U2360" s="2" t="s">
        <v>6638</v>
      </c>
      <c r="V2360" s="2" t="s">
        <v>83</v>
      </c>
      <c r="W2360" s="2" t="s">
        <v>178</v>
      </c>
      <c r="X2360" s="2">
        <v>52.115000000000002</v>
      </c>
    </row>
    <row r="2361" spans="1:24" x14ac:dyDescent="0.3">
      <c r="A2361">
        <v>20235</v>
      </c>
      <c r="B2361" t="s">
        <v>6639</v>
      </c>
      <c r="C2361" s="3">
        <v>41962</v>
      </c>
      <c r="D2361" t="s">
        <v>39</v>
      </c>
      <c r="E2361">
        <v>39</v>
      </c>
      <c r="F2361" s="3">
        <f ca="1">41964+(RANDBETWEEN(1,10))</f>
        <v>41965</v>
      </c>
      <c r="G2361" t="s">
        <v>76</v>
      </c>
      <c r="H2361" t="s">
        <v>77</v>
      </c>
      <c r="I2361" t="s">
        <v>97</v>
      </c>
      <c r="J2361">
        <v>69587.315000000002</v>
      </c>
      <c r="K2361">
        <v>0.04</v>
      </c>
      <c r="L2361">
        <v>0.38</v>
      </c>
      <c r="M2361">
        <v>98.49</v>
      </c>
      <c r="N2361">
        <v>1284.0029999999999</v>
      </c>
      <c r="O2361" s="1" t="s">
        <v>225</v>
      </c>
      <c r="P2361" s="1" t="s">
        <v>3564</v>
      </c>
      <c r="Q2361" s="1" t="s">
        <v>3565</v>
      </c>
      <c r="R2361" s="1" t="s">
        <v>228</v>
      </c>
      <c r="S2361" s="1" t="s">
        <v>3566</v>
      </c>
      <c r="T2361" s="1" t="s">
        <v>598</v>
      </c>
      <c r="U2361" s="2" t="s">
        <v>720</v>
      </c>
      <c r="V2361" s="2" t="s">
        <v>36</v>
      </c>
      <c r="W2361" s="2" t="s">
        <v>142</v>
      </c>
      <c r="X2361" s="2">
        <v>1753.43</v>
      </c>
    </row>
    <row r="2362" spans="1:24" x14ac:dyDescent="0.3">
      <c r="A2362">
        <v>20236</v>
      </c>
      <c r="B2362" t="s">
        <v>6640</v>
      </c>
      <c r="C2362" s="3">
        <v>41478</v>
      </c>
      <c r="D2362" t="s">
        <v>62</v>
      </c>
      <c r="E2362">
        <v>17</v>
      </c>
      <c r="F2362" s="3">
        <f ca="1">41479+(RANDBETWEEN(1,10))</f>
        <v>41486</v>
      </c>
      <c r="G2362" t="s">
        <v>26</v>
      </c>
      <c r="H2362" t="s">
        <v>27</v>
      </c>
      <c r="I2362" t="s">
        <v>97</v>
      </c>
      <c r="J2362">
        <v>612.67499999999995</v>
      </c>
      <c r="K2362">
        <v>0.09</v>
      </c>
      <c r="L2362">
        <v>0.59</v>
      </c>
      <c r="M2362">
        <v>15.75</v>
      </c>
      <c r="N2362">
        <v>-186.13</v>
      </c>
      <c r="O2362" s="1" t="s">
        <v>53</v>
      </c>
      <c r="P2362" s="1" t="s">
        <v>6641</v>
      </c>
      <c r="Q2362" s="1" t="s">
        <v>6642</v>
      </c>
      <c r="R2362" s="1" t="s">
        <v>440</v>
      </c>
      <c r="S2362" s="1" t="s">
        <v>6643</v>
      </c>
      <c r="T2362" s="1" t="s">
        <v>6644</v>
      </c>
      <c r="U2362" s="2" t="s">
        <v>767</v>
      </c>
      <c r="V2362" s="2" t="s">
        <v>47</v>
      </c>
      <c r="W2362" s="2" t="s">
        <v>71</v>
      </c>
      <c r="X2362" s="2">
        <v>38.115000000000002</v>
      </c>
    </row>
    <row r="2363" spans="1:24" x14ac:dyDescent="0.3">
      <c r="A2363">
        <v>20237</v>
      </c>
      <c r="B2363" t="s">
        <v>6645</v>
      </c>
      <c r="C2363" s="3">
        <v>41848</v>
      </c>
      <c r="D2363" t="s">
        <v>148</v>
      </c>
      <c r="E2363">
        <v>17</v>
      </c>
      <c r="F2363" s="3">
        <f ca="1">41849+(RANDBETWEEN(1,10))</f>
        <v>41850</v>
      </c>
      <c r="G2363" t="s">
        <v>26</v>
      </c>
      <c r="H2363" t="s">
        <v>27</v>
      </c>
      <c r="I2363" t="s">
        <v>52</v>
      </c>
      <c r="J2363">
        <v>3269.7</v>
      </c>
      <c r="K2363">
        <v>0.03</v>
      </c>
      <c r="L2363">
        <v>0.55000000000000004</v>
      </c>
      <c r="M2363">
        <v>14.7</v>
      </c>
      <c r="N2363">
        <v>2256.0929999999998</v>
      </c>
      <c r="O2363" s="1" t="s">
        <v>87</v>
      </c>
      <c r="P2363" s="1" t="s">
        <v>3294</v>
      </c>
      <c r="Q2363" s="1" t="s">
        <v>3295</v>
      </c>
      <c r="R2363" s="1" t="s">
        <v>497</v>
      </c>
      <c r="S2363" s="1" t="s">
        <v>3296</v>
      </c>
      <c r="T2363" s="1" t="s">
        <v>3297</v>
      </c>
      <c r="U2363" s="2" t="s">
        <v>425</v>
      </c>
      <c r="V2363" s="2" t="s">
        <v>36</v>
      </c>
      <c r="W2363" s="2" t="s">
        <v>37</v>
      </c>
      <c r="X2363" s="2">
        <v>230.965</v>
      </c>
    </row>
    <row r="2364" spans="1:24" x14ac:dyDescent="0.3">
      <c r="A2364">
        <v>20238</v>
      </c>
      <c r="B2364" t="s">
        <v>6645</v>
      </c>
      <c r="C2364" s="3">
        <v>41848</v>
      </c>
      <c r="D2364" t="s">
        <v>148</v>
      </c>
      <c r="E2364">
        <v>13</v>
      </c>
      <c r="F2364" s="3">
        <f ca="1">41850+(RANDBETWEEN(1,10))</f>
        <v>41854</v>
      </c>
      <c r="G2364" t="s">
        <v>26</v>
      </c>
      <c r="H2364" t="s">
        <v>96</v>
      </c>
      <c r="I2364" t="s">
        <v>52</v>
      </c>
      <c r="J2364">
        <v>181.02</v>
      </c>
      <c r="K2364">
        <v>0.03</v>
      </c>
      <c r="L2364">
        <v>0.39</v>
      </c>
      <c r="M2364">
        <v>2.4849999999999999</v>
      </c>
      <c r="N2364">
        <v>124.9038</v>
      </c>
      <c r="O2364" s="1" t="s">
        <v>87</v>
      </c>
      <c r="P2364" s="1" t="s">
        <v>6646</v>
      </c>
      <c r="Q2364" s="1" t="s">
        <v>6647</v>
      </c>
      <c r="R2364" s="1" t="s">
        <v>398</v>
      </c>
      <c r="S2364" s="1" t="s">
        <v>3179</v>
      </c>
      <c r="T2364" s="1" t="s">
        <v>6648</v>
      </c>
      <c r="U2364" s="2" t="s">
        <v>2000</v>
      </c>
      <c r="V2364" s="2" t="s">
        <v>47</v>
      </c>
      <c r="W2364" s="2" t="s">
        <v>176</v>
      </c>
      <c r="X2364" s="2">
        <v>13.23</v>
      </c>
    </row>
    <row r="2365" spans="1:24" x14ac:dyDescent="0.3">
      <c r="A2365">
        <v>20239</v>
      </c>
      <c r="B2365" t="s">
        <v>6649</v>
      </c>
      <c r="C2365" s="3">
        <v>41642</v>
      </c>
      <c r="D2365" t="s">
        <v>25</v>
      </c>
      <c r="E2365">
        <v>6</v>
      </c>
      <c r="F2365" s="3">
        <f ca="1">41651+(RANDBETWEEN(1,10))</f>
        <v>41656</v>
      </c>
      <c r="G2365" t="s">
        <v>26</v>
      </c>
      <c r="H2365" t="s">
        <v>27</v>
      </c>
      <c r="I2365" t="s">
        <v>97</v>
      </c>
      <c r="J2365">
        <v>3201.1</v>
      </c>
      <c r="K2365">
        <v>7.0000000000000007E-2</v>
      </c>
      <c r="L2365">
        <v>0.39</v>
      </c>
      <c r="M2365">
        <v>69.965000000000003</v>
      </c>
      <c r="N2365">
        <v>2208.759</v>
      </c>
      <c r="O2365" s="1" t="s">
        <v>64</v>
      </c>
      <c r="P2365" s="1" t="s">
        <v>6650</v>
      </c>
      <c r="Q2365" s="1" t="s">
        <v>6651</v>
      </c>
      <c r="R2365" s="1" t="s">
        <v>67</v>
      </c>
      <c r="S2365" s="1" t="s">
        <v>6652</v>
      </c>
      <c r="T2365" s="1" t="s">
        <v>6653</v>
      </c>
      <c r="U2365" s="2" t="s">
        <v>2128</v>
      </c>
      <c r="V2365" s="2" t="s">
        <v>47</v>
      </c>
      <c r="W2365" s="2" t="s">
        <v>48</v>
      </c>
      <c r="X2365" s="2">
        <v>570.255</v>
      </c>
    </row>
    <row r="2366" spans="1:24" x14ac:dyDescent="0.3">
      <c r="A2366">
        <v>20240</v>
      </c>
      <c r="B2366" t="s">
        <v>6649</v>
      </c>
      <c r="C2366" s="3">
        <v>41642</v>
      </c>
      <c r="D2366" t="s">
        <v>25</v>
      </c>
      <c r="E2366">
        <v>7</v>
      </c>
      <c r="F2366" s="3">
        <f ca="1">41649+(RANDBETWEEN(1,10))</f>
        <v>41654</v>
      </c>
      <c r="G2366" t="s">
        <v>26</v>
      </c>
      <c r="H2366" t="s">
        <v>96</v>
      </c>
      <c r="I2366" t="s">
        <v>97</v>
      </c>
      <c r="J2366">
        <v>65.38</v>
      </c>
      <c r="K2366">
        <v>0.08</v>
      </c>
      <c r="L2366">
        <v>0.44</v>
      </c>
      <c r="M2366">
        <v>14.98</v>
      </c>
      <c r="N2366">
        <v>-306.96820000000002</v>
      </c>
      <c r="O2366" s="1" t="s">
        <v>64</v>
      </c>
      <c r="P2366" s="1" t="s">
        <v>6650</v>
      </c>
      <c r="Q2366" s="1" t="s">
        <v>6651</v>
      </c>
      <c r="R2366" s="1" t="s">
        <v>67</v>
      </c>
      <c r="S2366" s="1" t="s">
        <v>6652</v>
      </c>
      <c r="T2366" s="1" t="s">
        <v>6653</v>
      </c>
      <c r="U2366" s="2" t="s">
        <v>5200</v>
      </c>
      <c r="V2366" s="2" t="s">
        <v>47</v>
      </c>
      <c r="W2366" s="2" t="s">
        <v>104</v>
      </c>
      <c r="X2366" s="2">
        <v>8.82</v>
      </c>
    </row>
    <row r="2367" spans="1:24" x14ac:dyDescent="0.3">
      <c r="A2367">
        <v>20241</v>
      </c>
      <c r="B2367" t="s">
        <v>6649</v>
      </c>
      <c r="C2367" s="3">
        <v>41642</v>
      </c>
      <c r="D2367" t="s">
        <v>25</v>
      </c>
      <c r="E2367">
        <v>7</v>
      </c>
      <c r="F2367" s="3">
        <f ca="1">41646+(RANDBETWEEN(1,10))</f>
        <v>41652</v>
      </c>
      <c r="G2367" t="s">
        <v>76</v>
      </c>
      <c r="H2367" t="s">
        <v>77</v>
      </c>
      <c r="I2367" t="s">
        <v>97</v>
      </c>
      <c r="J2367">
        <v>2218.335</v>
      </c>
      <c r="K2367">
        <v>0.03</v>
      </c>
      <c r="L2367">
        <v>0.36</v>
      </c>
      <c r="M2367">
        <v>49</v>
      </c>
      <c r="N2367">
        <v>3996.51</v>
      </c>
      <c r="O2367" s="1" t="s">
        <v>64</v>
      </c>
      <c r="P2367" s="1" t="s">
        <v>4270</v>
      </c>
      <c r="Q2367" s="1" t="s">
        <v>4271</v>
      </c>
      <c r="R2367" s="1" t="s">
        <v>128</v>
      </c>
      <c r="S2367" s="1" t="s">
        <v>4272</v>
      </c>
      <c r="T2367" s="1" t="s">
        <v>4273</v>
      </c>
      <c r="U2367" s="2" t="s">
        <v>2449</v>
      </c>
      <c r="V2367" s="2" t="s">
        <v>36</v>
      </c>
      <c r="W2367" s="2" t="s">
        <v>142</v>
      </c>
      <c r="X2367" s="2">
        <v>318.39499999999998</v>
      </c>
    </row>
    <row r="2368" spans="1:24" x14ac:dyDescent="0.3">
      <c r="A2368">
        <v>20242</v>
      </c>
      <c r="B2368" t="s">
        <v>6654</v>
      </c>
      <c r="C2368" s="3">
        <v>41112</v>
      </c>
      <c r="D2368" t="s">
        <v>50</v>
      </c>
      <c r="E2368">
        <v>1</v>
      </c>
      <c r="F2368" s="3">
        <f ca="1">41114+(RANDBETWEEN(1,10))</f>
        <v>41120</v>
      </c>
      <c r="G2368" t="s">
        <v>156</v>
      </c>
      <c r="H2368" t="s">
        <v>27</v>
      </c>
      <c r="I2368" t="s">
        <v>86</v>
      </c>
      <c r="J2368">
        <v>119.595</v>
      </c>
      <c r="K2368">
        <v>0.01</v>
      </c>
      <c r="L2368">
        <v>0.75</v>
      </c>
      <c r="M2368">
        <v>14</v>
      </c>
      <c r="N2368">
        <v>-438.06</v>
      </c>
      <c r="O2368" s="1" t="s">
        <v>87</v>
      </c>
      <c r="P2368" s="1" t="s">
        <v>1708</v>
      </c>
      <c r="Q2368" s="1" t="s">
        <v>1709</v>
      </c>
      <c r="R2368" s="1" t="s">
        <v>398</v>
      </c>
      <c r="S2368" s="1" t="s">
        <v>1710</v>
      </c>
      <c r="T2368" s="1" t="s">
        <v>1711</v>
      </c>
      <c r="U2368" s="2" t="s">
        <v>216</v>
      </c>
      <c r="V2368" s="2" t="s">
        <v>36</v>
      </c>
      <c r="W2368" s="2" t="s">
        <v>60</v>
      </c>
      <c r="X2368" s="2">
        <v>107.55500000000001</v>
      </c>
    </row>
    <row r="2369" spans="1:24" x14ac:dyDescent="0.3">
      <c r="A2369">
        <v>20243</v>
      </c>
      <c r="B2369" t="s">
        <v>6654</v>
      </c>
      <c r="C2369" s="3">
        <v>41112</v>
      </c>
      <c r="D2369" t="s">
        <v>50</v>
      </c>
      <c r="E2369">
        <v>7</v>
      </c>
      <c r="F2369" s="3">
        <f ca="1">41113+(RANDBETWEEN(1,10))</f>
        <v>41120</v>
      </c>
      <c r="G2369" t="s">
        <v>156</v>
      </c>
      <c r="H2369" t="s">
        <v>281</v>
      </c>
      <c r="I2369" t="s">
        <v>86</v>
      </c>
      <c r="J2369">
        <v>1482.74</v>
      </c>
      <c r="K2369">
        <v>7.0000000000000007E-2</v>
      </c>
      <c r="L2369">
        <v>0.63</v>
      </c>
      <c r="M2369">
        <v>37.94</v>
      </c>
      <c r="N2369">
        <v>1023.0906</v>
      </c>
      <c r="O2369" s="1" t="s">
        <v>87</v>
      </c>
      <c r="P2369" s="1" t="s">
        <v>1708</v>
      </c>
      <c r="Q2369" s="1" t="s">
        <v>1709</v>
      </c>
      <c r="R2369" s="1" t="s">
        <v>398</v>
      </c>
      <c r="S2369" s="1" t="s">
        <v>1710</v>
      </c>
      <c r="T2369" s="1" t="s">
        <v>1711</v>
      </c>
      <c r="U2369" s="2" t="s">
        <v>6655</v>
      </c>
      <c r="V2369" s="2" t="s">
        <v>83</v>
      </c>
      <c r="W2369" s="2" t="s">
        <v>178</v>
      </c>
      <c r="X2369" s="2">
        <v>217.63</v>
      </c>
    </row>
    <row r="2370" spans="1:24" x14ac:dyDescent="0.3">
      <c r="A2370">
        <v>20244</v>
      </c>
      <c r="B2370" t="s">
        <v>6654</v>
      </c>
      <c r="C2370" s="3">
        <v>41112</v>
      </c>
      <c r="D2370" t="s">
        <v>50</v>
      </c>
      <c r="E2370">
        <v>6</v>
      </c>
      <c r="F2370" s="3">
        <f ca="1">41112+(RANDBETWEEN(1,10))</f>
        <v>41118</v>
      </c>
      <c r="G2370" t="s">
        <v>156</v>
      </c>
      <c r="H2370" t="s">
        <v>27</v>
      </c>
      <c r="I2370" t="s">
        <v>86</v>
      </c>
      <c r="J2370">
        <v>3929.52</v>
      </c>
      <c r="K2370">
        <v>0.09</v>
      </c>
      <c r="L2370">
        <v>0.71</v>
      </c>
      <c r="M2370">
        <v>69.965000000000003</v>
      </c>
      <c r="N2370">
        <v>641.48</v>
      </c>
      <c r="O2370" s="1" t="s">
        <v>87</v>
      </c>
      <c r="P2370" s="1" t="s">
        <v>1708</v>
      </c>
      <c r="Q2370" s="1" t="s">
        <v>1709</v>
      </c>
      <c r="R2370" s="1" t="s">
        <v>398</v>
      </c>
      <c r="S2370" s="1" t="s">
        <v>1710</v>
      </c>
      <c r="T2370" s="1" t="s">
        <v>1711</v>
      </c>
      <c r="U2370" s="2" t="s">
        <v>624</v>
      </c>
      <c r="V2370" s="2" t="s">
        <v>47</v>
      </c>
      <c r="W2370" s="2" t="s">
        <v>119</v>
      </c>
      <c r="X2370" s="2">
        <v>676.09500000000003</v>
      </c>
    </row>
    <row r="2371" spans="1:24" x14ac:dyDescent="0.3">
      <c r="A2371">
        <v>20245</v>
      </c>
      <c r="B2371" t="s">
        <v>5567</v>
      </c>
      <c r="C2371" s="3">
        <v>40939</v>
      </c>
      <c r="D2371" t="s">
        <v>62</v>
      </c>
      <c r="E2371">
        <v>9</v>
      </c>
      <c r="F2371" s="3">
        <f ca="1">40940+(RANDBETWEEN(1,10))</f>
        <v>40947</v>
      </c>
      <c r="G2371" t="s">
        <v>26</v>
      </c>
      <c r="H2371" t="s">
        <v>96</v>
      </c>
      <c r="I2371" t="s">
        <v>86</v>
      </c>
      <c r="J2371">
        <v>68.704999999999998</v>
      </c>
      <c r="K2371">
        <v>0.09</v>
      </c>
      <c r="L2371">
        <v>0.44</v>
      </c>
      <c r="M2371">
        <v>4.83</v>
      </c>
      <c r="N2371">
        <v>-43.660400000000003</v>
      </c>
      <c r="O2371" s="1" t="s">
        <v>87</v>
      </c>
      <c r="P2371" s="1" t="s">
        <v>5568</v>
      </c>
      <c r="Q2371" s="1" t="s">
        <v>5569</v>
      </c>
      <c r="R2371" s="1" t="s">
        <v>646</v>
      </c>
      <c r="S2371" s="1" t="s">
        <v>5570</v>
      </c>
      <c r="T2371" s="1" t="s">
        <v>5571</v>
      </c>
      <c r="U2371" s="2" t="s">
        <v>6076</v>
      </c>
      <c r="V2371" s="2" t="s">
        <v>47</v>
      </c>
      <c r="W2371" s="2" t="s">
        <v>176</v>
      </c>
      <c r="X2371" s="2">
        <v>7.63</v>
      </c>
    </row>
    <row r="2372" spans="1:24" x14ac:dyDescent="0.3">
      <c r="A2372">
        <v>20246</v>
      </c>
      <c r="B2372" t="s">
        <v>6656</v>
      </c>
      <c r="C2372" s="3">
        <v>41738</v>
      </c>
      <c r="D2372" t="s">
        <v>50</v>
      </c>
      <c r="E2372">
        <v>2</v>
      </c>
      <c r="F2372" s="3">
        <f ca="1">41740+(RANDBETWEEN(1,10))</f>
        <v>41743</v>
      </c>
      <c r="G2372" t="s">
        <v>26</v>
      </c>
      <c r="H2372" t="s">
        <v>27</v>
      </c>
      <c r="I2372" t="s">
        <v>28</v>
      </c>
      <c r="J2372">
        <v>262.67500000000001</v>
      </c>
      <c r="K2372">
        <v>0</v>
      </c>
      <c r="L2372">
        <v>0.56999999999999995</v>
      </c>
      <c r="M2372">
        <v>28.77</v>
      </c>
      <c r="N2372">
        <v>22.434999999999999</v>
      </c>
      <c r="O2372" s="1" t="s">
        <v>40</v>
      </c>
      <c r="P2372" s="1" t="s">
        <v>6657</v>
      </c>
      <c r="Q2372" s="1" t="s">
        <v>6658</v>
      </c>
      <c r="R2372" s="1" t="s">
        <v>220</v>
      </c>
      <c r="S2372" s="1" t="s">
        <v>221</v>
      </c>
      <c r="T2372" s="1" t="s">
        <v>6659</v>
      </c>
      <c r="U2372" s="2" t="s">
        <v>2001</v>
      </c>
      <c r="V2372" s="2" t="s">
        <v>47</v>
      </c>
      <c r="W2372" s="2" t="s">
        <v>119</v>
      </c>
      <c r="X2372" s="2">
        <v>121.66</v>
      </c>
    </row>
    <row r="2373" spans="1:24" x14ac:dyDescent="0.3">
      <c r="A2373">
        <v>20247</v>
      </c>
      <c r="B2373" t="s">
        <v>6656</v>
      </c>
      <c r="C2373" s="3">
        <v>41738</v>
      </c>
      <c r="D2373" t="s">
        <v>50</v>
      </c>
      <c r="E2373">
        <v>7</v>
      </c>
      <c r="F2373" s="3">
        <f ca="1">41740+(RANDBETWEEN(1,10))</f>
        <v>41744</v>
      </c>
      <c r="G2373" t="s">
        <v>26</v>
      </c>
      <c r="H2373" t="s">
        <v>51</v>
      </c>
      <c r="I2373" t="s">
        <v>28</v>
      </c>
      <c r="J2373">
        <v>1153.04</v>
      </c>
      <c r="K2373">
        <v>7.0000000000000007E-2</v>
      </c>
      <c r="L2373">
        <v>0.83</v>
      </c>
      <c r="M2373">
        <v>17.5</v>
      </c>
      <c r="N2373">
        <v>-642.87300000000005</v>
      </c>
      <c r="O2373" s="1" t="s">
        <v>40</v>
      </c>
      <c r="P2373" s="1" t="s">
        <v>6657</v>
      </c>
      <c r="Q2373" s="1" t="s">
        <v>6658</v>
      </c>
      <c r="R2373" s="1" t="s">
        <v>220</v>
      </c>
      <c r="S2373" s="1" t="s">
        <v>221</v>
      </c>
      <c r="T2373" s="1" t="s">
        <v>6659</v>
      </c>
      <c r="U2373" s="2" t="s">
        <v>4376</v>
      </c>
      <c r="V2373" s="2" t="s">
        <v>36</v>
      </c>
      <c r="W2373" s="2" t="s">
        <v>37</v>
      </c>
      <c r="X2373" s="2">
        <v>195.965</v>
      </c>
    </row>
    <row r="2374" spans="1:24" x14ac:dyDescent="0.3">
      <c r="A2374">
        <v>20248</v>
      </c>
      <c r="B2374" t="s">
        <v>6660</v>
      </c>
      <c r="C2374" s="3">
        <v>41189</v>
      </c>
      <c r="D2374" t="s">
        <v>50</v>
      </c>
      <c r="E2374">
        <v>11</v>
      </c>
      <c r="F2374" s="3">
        <f ca="1">41191+(RANDBETWEEN(1,10))</f>
        <v>41196</v>
      </c>
      <c r="G2374" t="s">
        <v>26</v>
      </c>
      <c r="H2374" t="s">
        <v>27</v>
      </c>
      <c r="I2374" t="s">
        <v>86</v>
      </c>
      <c r="J2374">
        <v>3906.98</v>
      </c>
      <c r="K2374">
        <v>0.08</v>
      </c>
      <c r="L2374">
        <v>0.59</v>
      </c>
      <c r="M2374">
        <v>14.7</v>
      </c>
      <c r="N2374">
        <v>1015.86492</v>
      </c>
      <c r="O2374" s="1" t="s">
        <v>29</v>
      </c>
      <c r="P2374" s="1" t="s">
        <v>6661</v>
      </c>
      <c r="Q2374" s="1" t="s">
        <v>6662</v>
      </c>
      <c r="R2374" s="1" t="s">
        <v>675</v>
      </c>
      <c r="S2374" s="1" t="s">
        <v>1324</v>
      </c>
      <c r="T2374" s="1" t="s">
        <v>1325</v>
      </c>
      <c r="U2374" s="2" t="s">
        <v>798</v>
      </c>
      <c r="V2374" s="2" t="s">
        <v>36</v>
      </c>
      <c r="W2374" s="2" t="s">
        <v>37</v>
      </c>
      <c r="X2374" s="2">
        <v>440.96499999999997</v>
      </c>
    </row>
    <row r="2375" spans="1:24" x14ac:dyDescent="0.3">
      <c r="A2375">
        <v>20249</v>
      </c>
      <c r="B2375" t="s">
        <v>6663</v>
      </c>
      <c r="C2375" s="3">
        <v>40836</v>
      </c>
      <c r="D2375" t="s">
        <v>39</v>
      </c>
      <c r="E2375">
        <v>20</v>
      </c>
      <c r="F2375" s="3">
        <f ca="1">40838+(RANDBETWEEN(1,10))</f>
        <v>40839</v>
      </c>
      <c r="G2375" t="s">
        <v>26</v>
      </c>
      <c r="H2375" t="s">
        <v>63</v>
      </c>
      <c r="I2375" t="s">
        <v>97</v>
      </c>
      <c r="J2375">
        <v>23102.205000000002</v>
      </c>
      <c r="K2375">
        <v>0.03</v>
      </c>
      <c r="L2375">
        <v>0.55000000000000004</v>
      </c>
      <c r="M2375">
        <v>85.715000000000003</v>
      </c>
      <c r="N2375">
        <v>15940.52145</v>
      </c>
      <c r="O2375" s="1" t="s">
        <v>53</v>
      </c>
      <c r="P2375" s="1" t="s">
        <v>6664</v>
      </c>
      <c r="Q2375" s="1" t="s">
        <v>6665</v>
      </c>
      <c r="R2375" s="1" t="s">
        <v>56</v>
      </c>
      <c r="S2375" s="1" t="s">
        <v>6666</v>
      </c>
      <c r="T2375" s="1" t="s">
        <v>6667</v>
      </c>
      <c r="U2375" s="2" t="s">
        <v>4893</v>
      </c>
      <c r="V2375" s="2" t="s">
        <v>83</v>
      </c>
      <c r="W2375" s="2" t="s">
        <v>84</v>
      </c>
      <c r="X2375" s="2">
        <v>1123.43</v>
      </c>
    </row>
    <row r="2376" spans="1:24" x14ac:dyDescent="0.3">
      <c r="A2376">
        <v>20250</v>
      </c>
      <c r="B2376" t="s">
        <v>6663</v>
      </c>
      <c r="C2376" s="3">
        <v>40836</v>
      </c>
      <c r="D2376" t="s">
        <v>39</v>
      </c>
      <c r="E2376">
        <v>18</v>
      </c>
      <c r="F2376" s="3">
        <f ca="1">40837+(RANDBETWEEN(1,10))</f>
        <v>40840</v>
      </c>
      <c r="G2376" t="s">
        <v>26</v>
      </c>
      <c r="H2376" t="s">
        <v>27</v>
      </c>
      <c r="I2376" t="s">
        <v>97</v>
      </c>
      <c r="J2376">
        <v>6341.9650000000001</v>
      </c>
      <c r="K2376">
        <v>0.06</v>
      </c>
      <c r="L2376">
        <v>0.59</v>
      </c>
      <c r="M2376">
        <v>30.8</v>
      </c>
      <c r="N2376">
        <v>2163.67578</v>
      </c>
      <c r="O2376" s="1" t="s">
        <v>53</v>
      </c>
      <c r="P2376" s="1" t="s">
        <v>6664</v>
      </c>
      <c r="Q2376" s="1" t="s">
        <v>6665</v>
      </c>
      <c r="R2376" s="1" t="s">
        <v>56</v>
      </c>
      <c r="S2376" s="1" t="s">
        <v>6666</v>
      </c>
      <c r="T2376" s="1" t="s">
        <v>6667</v>
      </c>
      <c r="U2376" s="2" t="s">
        <v>1548</v>
      </c>
      <c r="V2376" s="2" t="s">
        <v>36</v>
      </c>
      <c r="W2376" s="2" t="s">
        <v>37</v>
      </c>
      <c r="X2376" s="2">
        <v>440.96499999999997</v>
      </c>
    </row>
    <row r="2377" spans="1:24" x14ac:dyDescent="0.3">
      <c r="A2377">
        <v>20251</v>
      </c>
      <c r="B2377" t="s">
        <v>6668</v>
      </c>
      <c r="C2377" s="3">
        <v>41938</v>
      </c>
      <c r="D2377" t="s">
        <v>62</v>
      </c>
      <c r="E2377">
        <v>12</v>
      </c>
      <c r="F2377" s="3">
        <f ca="1">41938+(RANDBETWEEN(1,10))</f>
        <v>41946</v>
      </c>
      <c r="G2377" t="s">
        <v>156</v>
      </c>
      <c r="H2377" t="s">
        <v>96</v>
      </c>
      <c r="I2377" t="s">
        <v>52</v>
      </c>
      <c r="J2377">
        <v>399.38499999999999</v>
      </c>
      <c r="K2377">
        <v>0</v>
      </c>
      <c r="L2377">
        <v>0.4</v>
      </c>
      <c r="M2377">
        <v>7.5250000000000004</v>
      </c>
      <c r="N2377">
        <v>-11.319000000000001</v>
      </c>
      <c r="O2377" s="1" t="s">
        <v>40</v>
      </c>
      <c r="P2377" s="1" t="s">
        <v>6669</v>
      </c>
      <c r="Q2377" s="1" t="s">
        <v>6670</v>
      </c>
      <c r="R2377" s="1" t="s">
        <v>43</v>
      </c>
      <c r="S2377" s="1" t="s">
        <v>6671</v>
      </c>
      <c r="T2377" s="1" t="s">
        <v>6672</v>
      </c>
      <c r="U2377" s="2" t="s">
        <v>4359</v>
      </c>
      <c r="V2377" s="2" t="s">
        <v>47</v>
      </c>
      <c r="W2377" s="2" t="s">
        <v>74</v>
      </c>
      <c r="X2377" s="2">
        <v>31.885000000000002</v>
      </c>
    </row>
    <row r="2378" spans="1:24" x14ac:dyDescent="0.3">
      <c r="A2378">
        <v>20252</v>
      </c>
      <c r="B2378" t="s">
        <v>6668</v>
      </c>
      <c r="C2378" s="3">
        <v>41938</v>
      </c>
      <c r="D2378" t="s">
        <v>62</v>
      </c>
      <c r="E2378">
        <v>10</v>
      </c>
      <c r="F2378" s="3">
        <f ca="1">41939+(RANDBETWEEN(1,10))</f>
        <v>41943</v>
      </c>
      <c r="G2378" t="s">
        <v>26</v>
      </c>
      <c r="H2378" t="s">
        <v>27</v>
      </c>
      <c r="I2378" t="s">
        <v>52</v>
      </c>
      <c r="J2378">
        <v>190.995</v>
      </c>
      <c r="K2378">
        <v>0.08</v>
      </c>
      <c r="L2378">
        <v>0.4</v>
      </c>
      <c r="M2378">
        <v>20.475000000000001</v>
      </c>
      <c r="N2378">
        <v>241.39500000000001</v>
      </c>
      <c r="O2378" s="1" t="s">
        <v>40</v>
      </c>
      <c r="P2378" s="1" t="s">
        <v>6669</v>
      </c>
      <c r="Q2378" s="1" t="s">
        <v>6670</v>
      </c>
      <c r="R2378" s="1" t="s">
        <v>43</v>
      </c>
      <c r="S2378" s="1" t="s">
        <v>6671</v>
      </c>
      <c r="T2378" s="1" t="s">
        <v>6672</v>
      </c>
      <c r="U2378" s="2" t="s">
        <v>6673</v>
      </c>
      <c r="V2378" s="2" t="s">
        <v>47</v>
      </c>
      <c r="W2378" s="2" t="s">
        <v>74</v>
      </c>
      <c r="X2378" s="2">
        <v>18.48</v>
      </c>
    </row>
    <row r="2379" spans="1:24" x14ac:dyDescent="0.3">
      <c r="A2379">
        <v>20253</v>
      </c>
      <c r="B2379" t="s">
        <v>6674</v>
      </c>
      <c r="C2379" s="3">
        <v>40691</v>
      </c>
      <c r="D2379" t="s">
        <v>62</v>
      </c>
      <c r="E2379">
        <v>11</v>
      </c>
      <c r="F2379" s="3">
        <f ca="1">40693+(RANDBETWEEN(1,10))</f>
        <v>40698</v>
      </c>
      <c r="G2379" t="s">
        <v>26</v>
      </c>
      <c r="H2379" t="s">
        <v>27</v>
      </c>
      <c r="I2379" t="s">
        <v>52</v>
      </c>
      <c r="J2379">
        <v>706.19500000000005</v>
      </c>
      <c r="K2379">
        <v>0.03</v>
      </c>
      <c r="L2379">
        <v>0.59</v>
      </c>
      <c r="M2379">
        <v>33.145000000000003</v>
      </c>
      <c r="N2379">
        <v>98.639099999999999</v>
      </c>
      <c r="O2379" s="1" t="s">
        <v>53</v>
      </c>
      <c r="P2379" s="1" t="s">
        <v>2791</v>
      </c>
      <c r="Q2379" s="1" t="s">
        <v>2792</v>
      </c>
      <c r="R2379" s="1" t="s">
        <v>100</v>
      </c>
      <c r="S2379" s="1" t="s">
        <v>2793</v>
      </c>
      <c r="T2379" s="1" t="s">
        <v>2794</v>
      </c>
      <c r="U2379" s="2" t="s">
        <v>811</v>
      </c>
      <c r="V2379" s="2" t="s">
        <v>47</v>
      </c>
      <c r="W2379" s="2" t="s">
        <v>119</v>
      </c>
      <c r="X2379" s="2">
        <v>61.95</v>
      </c>
    </row>
    <row r="2380" spans="1:24" x14ac:dyDescent="0.3">
      <c r="A2380">
        <v>20254</v>
      </c>
      <c r="B2380" t="s">
        <v>6675</v>
      </c>
      <c r="C2380" s="3">
        <v>40631</v>
      </c>
      <c r="D2380" t="s">
        <v>39</v>
      </c>
      <c r="E2380">
        <v>7</v>
      </c>
      <c r="F2380" s="3">
        <f ca="1">40632+(RANDBETWEEN(1,10))</f>
        <v>40633</v>
      </c>
      <c r="G2380" t="s">
        <v>26</v>
      </c>
      <c r="H2380" t="s">
        <v>27</v>
      </c>
      <c r="I2380" t="s">
        <v>86</v>
      </c>
      <c r="J2380">
        <v>969.745</v>
      </c>
      <c r="K2380">
        <v>0.04</v>
      </c>
      <c r="L2380">
        <v>0.74</v>
      </c>
      <c r="M2380">
        <v>22.75</v>
      </c>
      <c r="N2380">
        <v>-313.25</v>
      </c>
      <c r="O2380" s="1" t="s">
        <v>53</v>
      </c>
      <c r="P2380" s="1" t="s">
        <v>6054</v>
      </c>
      <c r="Q2380" s="1" t="s">
        <v>6055</v>
      </c>
      <c r="R2380" s="1" t="s">
        <v>440</v>
      </c>
      <c r="S2380" s="1" t="s">
        <v>6056</v>
      </c>
      <c r="T2380" s="1" t="s">
        <v>5643</v>
      </c>
      <c r="U2380" s="2" t="s">
        <v>4349</v>
      </c>
      <c r="V2380" s="2" t="s">
        <v>36</v>
      </c>
      <c r="W2380" s="2" t="s">
        <v>60</v>
      </c>
      <c r="X2380" s="2">
        <v>143.43</v>
      </c>
    </row>
    <row r="2381" spans="1:24" x14ac:dyDescent="0.3">
      <c r="A2381">
        <v>20255</v>
      </c>
      <c r="B2381" t="s">
        <v>6675</v>
      </c>
      <c r="C2381" s="3">
        <v>40631</v>
      </c>
      <c r="D2381" t="s">
        <v>39</v>
      </c>
      <c r="E2381">
        <v>5</v>
      </c>
      <c r="F2381" s="3">
        <f ca="1">40633+(RANDBETWEEN(1,10))</f>
        <v>40634</v>
      </c>
      <c r="G2381" t="s">
        <v>26</v>
      </c>
      <c r="H2381" t="s">
        <v>51</v>
      </c>
      <c r="I2381" t="s">
        <v>86</v>
      </c>
      <c r="J2381">
        <v>523.84500000000003</v>
      </c>
      <c r="K2381">
        <v>0.05</v>
      </c>
      <c r="L2381">
        <v>0.39</v>
      </c>
      <c r="M2381">
        <v>11.55</v>
      </c>
      <c r="N2381">
        <v>361.45305000000002</v>
      </c>
      <c r="O2381" s="1" t="s">
        <v>29</v>
      </c>
      <c r="P2381" s="1" t="s">
        <v>6676</v>
      </c>
      <c r="Q2381" s="1" t="s">
        <v>6677</v>
      </c>
      <c r="R2381" s="1" t="s">
        <v>675</v>
      </c>
      <c r="S2381" s="1" t="s">
        <v>1324</v>
      </c>
      <c r="T2381" s="1" t="s">
        <v>1325</v>
      </c>
      <c r="U2381" s="2" t="s">
        <v>5976</v>
      </c>
      <c r="V2381" s="2" t="s">
        <v>36</v>
      </c>
      <c r="W2381" s="2" t="s">
        <v>37</v>
      </c>
      <c r="X2381" s="2">
        <v>125.965</v>
      </c>
    </row>
    <row r="2382" spans="1:24" x14ac:dyDescent="0.3">
      <c r="A2382">
        <v>20256</v>
      </c>
      <c r="B2382" t="s">
        <v>6678</v>
      </c>
      <c r="C2382" s="3">
        <v>40966</v>
      </c>
      <c r="D2382" t="s">
        <v>25</v>
      </c>
      <c r="E2382">
        <v>1</v>
      </c>
      <c r="F2382" s="3">
        <f ca="1">40969+(RANDBETWEEN(1,10))</f>
        <v>40976</v>
      </c>
      <c r="G2382" t="s">
        <v>26</v>
      </c>
      <c r="H2382" t="s">
        <v>27</v>
      </c>
      <c r="I2382" t="s">
        <v>28</v>
      </c>
      <c r="J2382">
        <v>23.274999999999999</v>
      </c>
      <c r="K2382">
        <v>0.09</v>
      </c>
      <c r="L2382">
        <v>0.38</v>
      </c>
      <c r="M2382">
        <v>1.7150000000000001</v>
      </c>
      <c r="N2382">
        <v>-27.51</v>
      </c>
      <c r="O2382" s="1" t="s">
        <v>40</v>
      </c>
      <c r="P2382" s="1" t="s">
        <v>4824</v>
      </c>
      <c r="Q2382" s="1" t="s">
        <v>4825</v>
      </c>
      <c r="R2382" s="1" t="s">
        <v>220</v>
      </c>
      <c r="S2382" s="1" t="s">
        <v>4826</v>
      </c>
      <c r="T2382" s="1" t="s">
        <v>4827</v>
      </c>
      <c r="U2382" s="2" t="s">
        <v>1897</v>
      </c>
      <c r="V2382" s="2" t="s">
        <v>47</v>
      </c>
      <c r="W2382" s="2" t="s">
        <v>203</v>
      </c>
      <c r="X2382" s="2">
        <v>25.585000000000001</v>
      </c>
    </row>
    <row r="2383" spans="1:24" x14ac:dyDescent="0.3">
      <c r="A2383">
        <v>20257</v>
      </c>
      <c r="B2383" t="s">
        <v>6678</v>
      </c>
      <c r="C2383" s="3">
        <v>40966</v>
      </c>
      <c r="D2383" t="s">
        <v>25</v>
      </c>
      <c r="E2383">
        <v>7</v>
      </c>
      <c r="F2383" s="3">
        <f ca="1">40969+(RANDBETWEEN(1,10))</f>
        <v>40973</v>
      </c>
      <c r="G2383" t="s">
        <v>76</v>
      </c>
      <c r="H2383" t="s">
        <v>258</v>
      </c>
      <c r="I2383" t="s">
        <v>28</v>
      </c>
      <c r="J2383">
        <v>3066.14</v>
      </c>
      <c r="K2383">
        <v>0.06</v>
      </c>
      <c r="L2383">
        <v>0.69</v>
      </c>
      <c r="M2383">
        <v>191.59</v>
      </c>
      <c r="N2383">
        <v>-2803.8150000000001</v>
      </c>
      <c r="O2383" s="1" t="s">
        <v>29</v>
      </c>
      <c r="P2383" s="1" t="s">
        <v>6679</v>
      </c>
      <c r="Q2383" s="1" t="s">
        <v>6680</v>
      </c>
      <c r="R2383" s="1" t="s">
        <v>32</v>
      </c>
      <c r="S2383" s="1" t="s">
        <v>6681</v>
      </c>
      <c r="T2383" s="1" t="s">
        <v>6682</v>
      </c>
      <c r="U2383" s="2" t="s">
        <v>493</v>
      </c>
      <c r="V2383" s="2" t="s">
        <v>83</v>
      </c>
      <c r="W2383" s="2" t="s">
        <v>298</v>
      </c>
      <c r="X2383" s="2">
        <v>458.43</v>
      </c>
    </row>
    <row r="2384" spans="1:24" x14ac:dyDescent="0.3">
      <c r="A2384">
        <v>20258</v>
      </c>
      <c r="B2384" t="s">
        <v>6678</v>
      </c>
      <c r="C2384" s="3">
        <v>40966</v>
      </c>
      <c r="D2384" t="s">
        <v>25</v>
      </c>
      <c r="E2384">
        <v>4</v>
      </c>
      <c r="F2384" s="3">
        <f ca="1">40974+(RANDBETWEEN(1,10))</f>
        <v>40984</v>
      </c>
      <c r="G2384" t="s">
        <v>26</v>
      </c>
      <c r="H2384" t="s">
        <v>27</v>
      </c>
      <c r="I2384" t="s">
        <v>28</v>
      </c>
      <c r="J2384">
        <v>641.69000000000005</v>
      </c>
      <c r="K2384">
        <v>0.08</v>
      </c>
      <c r="L2384">
        <v>0.38</v>
      </c>
      <c r="M2384">
        <v>20.335000000000001</v>
      </c>
      <c r="N2384">
        <v>442.76609999999999</v>
      </c>
      <c r="O2384" s="1" t="s">
        <v>29</v>
      </c>
      <c r="P2384" s="1" t="s">
        <v>6679</v>
      </c>
      <c r="Q2384" s="1" t="s">
        <v>6680</v>
      </c>
      <c r="R2384" s="1" t="s">
        <v>32</v>
      </c>
      <c r="S2384" s="1" t="s">
        <v>6681</v>
      </c>
      <c r="T2384" s="1" t="s">
        <v>6682</v>
      </c>
      <c r="U2384" s="2" t="s">
        <v>1912</v>
      </c>
      <c r="V2384" s="2" t="s">
        <v>47</v>
      </c>
      <c r="W2384" s="2" t="s">
        <v>74</v>
      </c>
      <c r="X2384" s="2">
        <v>171.185</v>
      </c>
    </row>
    <row r="2385" spans="1:24" x14ac:dyDescent="0.3">
      <c r="A2385">
        <v>20259</v>
      </c>
      <c r="B2385" t="s">
        <v>6678</v>
      </c>
      <c r="C2385" s="3">
        <v>40966</v>
      </c>
      <c r="D2385" t="s">
        <v>25</v>
      </c>
      <c r="E2385">
        <v>10</v>
      </c>
      <c r="F2385" s="3">
        <f ca="1">40972+(RANDBETWEEN(1,10))</f>
        <v>40980</v>
      </c>
      <c r="G2385" t="s">
        <v>26</v>
      </c>
      <c r="H2385" t="s">
        <v>27</v>
      </c>
      <c r="I2385" t="s">
        <v>28</v>
      </c>
      <c r="J2385">
        <v>3971.3449999999998</v>
      </c>
      <c r="K2385">
        <v>0</v>
      </c>
      <c r="L2385">
        <v>0.78</v>
      </c>
      <c r="M2385">
        <v>30.24</v>
      </c>
      <c r="N2385">
        <v>1774.01</v>
      </c>
      <c r="O2385" s="1" t="s">
        <v>29</v>
      </c>
      <c r="P2385" s="1" t="s">
        <v>6679</v>
      </c>
      <c r="Q2385" s="1" t="s">
        <v>6680</v>
      </c>
      <c r="R2385" s="1" t="s">
        <v>32</v>
      </c>
      <c r="S2385" s="1" t="s">
        <v>6681</v>
      </c>
      <c r="T2385" s="1" t="s">
        <v>6682</v>
      </c>
      <c r="U2385" s="2" t="s">
        <v>5174</v>
      </c>
      <c r="V2385" s="2" t="s">
        <v>47</v>
      </c>
      <c r="W2385" s="2" t="s">
        <v>119</v>
      </c>
      <c r="X2385" s="2">
        <v>388.60500000000002</v>
      </c>
    </row>
    <row r="2386" spans="1:24" x14ac:dyDescent="0.3">
      <c r="A2386">
        <v>20260</v>
      </c>
      <c r="B2386" t="s">
        <v>6683</v>
      </c>
      <c r="C2386" s="3">
        <v>41886</v>
      </c>
      <c r="D2386" t="s">
        <v>25</v>
      </c>
      <c r="E2386">
        <v>11</v>
      </c>
      <c r="F2386" s="3">
        <f ca="1">41891+(RANDBETWEEN(1,10))</f>
        <v>41892</v>
      </c>
      <c r="G2386" t="s">
        <v>76</v>
      </c>
      <c r="H2386" t="s">
        <v>258</v>
      </c>
      <c r="I2386" t="s">
        <v>52</v>
      </c>
      <c r="J2386">
        <v>4824.7849999999999</v>
      </c>
      <c r="K2386">
        <v>7.0000000000000007E-2</v>
      </c>
      <c r="L2386">
        <v>0.63</v>
      </c>
      <c r="M2386">
        <v>181.79</v>
      </c>
      <c r="N2386">
        <v>-1611.4718620000001</v>
      </c>
      <c r="O2386" s="1" t="s">
        <v>29</v>
      </c>
      <c r="P2386" s="1" t="s">
        <v>6676</v>
      </c>
      <c r="Q2386" s="1" t="s">
        <v>6677</v>
      </c>
      <c r="R2386" s="1" t="s">
        <v>675</v>
      </c>
      <c r="S2386" s="1" t="s">
        <v>1324</v>
      </c>
      <c r="T2386" s="1" t="s">
        <v>1325</v>
      </c>
      <c r="U2386" s="2" t="s">
        <v>360</v>
      </c>
      <c r="V2386" s="2" t="s">
        <v>83</v>
      </c>
      <c r="W2386" s="2" t="s">
        <v>263</v>
      </c>
      <c r="X2386" s="2">
        <v>435.71499999999997</v>
      </c>
    </row>
    <row r="2387" spans="1:24" x14ac:dyDescent="0.3">
      <c r="A2387">
        <v>20261</v>
      </c>
      <c r="B2387" t="s">
        <v>6684</v>
      </c>
      <c r="C2387" s="3">
        <v>41764</v>
      </c>
      <c r="D2387" t="s">
        <v>50</v>
      </c>
      <c r="E2387">
        <v>5</v>
      </c>
      <c r="F2387" s="3">
        <f ca="1">41765+(RANDBETWEEN(1,10))</f>
        <v>41769</v>
      </c>
      <c r="G2387" t="s">
        <v>26</v>
      </c>
      <c r="H2387" t="s">
        <v>27</v>
      </c>
      <c r="I2387" t="s">
        <v>97</v>
      </c>
      <c r="J2387">
        <v>112.35</v>
      </c>
      <c r="K2387">
        <v>0.03</v>
      </c>
      <c r="L2387">
        <v>0.36</v>
      </c>
      <c r="M2387">
        <v>8.75</v>
      </c>
      <c r="N2387">
        <v>57.155000000000001</v>
      </c>
      <c r="O2387" s="1" t="s">
        <v>64</v>
      </c>
      <c r="P2387" s="1" t="s">
        <v>6685</v>
      </c>
      <c r="Q2387" s="1" t="s">
        <v>6686</v>
      </c>
      <c r="R2387" s="1" t="s">
        <v>67</v>
      </c>
      <c r="S2387" s="1" t="s">
        <v>6687</v>
      </c>
      <c r="T2387" s="1" t="s">
        <v>6688</v>
      </c>
      <c r="U2387" s="2" t="s">
        <v>1486</v>
      </c>
      <c r="V2387" s="2" t="s">
        <v>47</v>
      </c>
      <c r="W2387" s="2" t="s">
        <v>48</v>
      </c>
      <c r="X2387" s="2">
        <v>20.93</v>
      </c>
    </row>
    <row r="2388" spans="1:24" x14ac:dyDescent="0.3">
      <c r="A2388">
        <v>20262</v>
      </c>
      <c r="B2388" t="s">
        <v>6689</v>
      </c>
      <c r="C2388" s="3">
        <v>41461</v>
      </c>
      <c r="D2388" t="s">
        <v>148</v>
      </c>
      <c r="E2388">
        <v>1</v>
      </c>
      <c r="F2388" s="3">
        <f ca="1">41462+(RANDBETWEEN(1,10))</f>
        <v>41468</v>
      </c>
      <c r="G2388" t="s">
        <v>26</v>
      </c>
      <c r="H2388" t="s">
        <v>27</v>
      </c>
      <c r="I2388" t="s">
        <v>28</v>
      </c>
      <c r="J2388">
        <v>33.914999999999999</v>
      </c>
      <c r="K2388">
        <v>0.05</v>
      </c>
      <c r="L2388">
        <v>0.36</v>
      </c>
      <c r="M2388">
        <v>16.52</v>
      </c>
      <c r="N2388">
        <v>-137.102</v>
      </c>
      <c r="O2388" s="1" t="s">
        <v>40</v>
      </c>
      <c r="P2388" s="1" t="s">
        <v>5977</v>
      </c>
      <c r="Q2388" s="1" t="s">
        <v>5978</v>
      </c>
      <c r="R2388" s="1" t="s">
        <v>43</v>
      </c>
      <c r="S2388" s="1" t="s">
        <v>5979</v>
      </c>
      <c r="T2388" s="1" t="s">
        <v>5980</v>
      </c>
      <c r="U2388" s="2" t="s">
        <v>904</v>
      </c>
      <c r="V2388" s="2" t="s">
        <v>47</v>
      </c>
      <c r="W2388" s="2" t="s">
        <v>74</v>
      </c>
      <c r="X2388" s="2">
        <v>17.43</v>
      </c>
    </row>
    <row r="2389" spans="1:24" x14ac:dyDescent="0.3">
      <c r="A2389">
        <v>20263</v>
      </c>
      <c r="B2389" t="s">
        <v>6689</v>
      </c>
      <c r="C2389" s="3">
        <v>41461</v>
      </c>
      <c r="D2389" t="s">
        <v>148</v>
      </c>
      <c r="E2389">
        <v>16</v>
      </c>
      <c r="F2389" s="3">
        <f ca="1">41463+(RANDBETWEEN(1,10))</f>
        <v>41468</v>
      </c>
      <c r="G2389" t="s">
        <v>26</v>
      </c>
      <c r="H2389" t="s">
        <v>96</v>
      </c>
      <c r="I2389" t="s">
        <v>28</v>
      </c>
      <c r="J2389">
        <v>387.31</v>
      </c>
      <c r="K2389">
        <v>0.03</v>
      </c>
      <c r="L2389">
        <v>0.47</v>
      </c>
      <c r="M2389">
        <v>8.2249999999999996</v>
      </c>
      <c r="N2389">
        <v>-2174.5219999999999</v>
      </c>
      <c r="O2389" s="1" t="s">
        <v>40</v>
      </c>
      <c r="P2389" s="1" t="s">
        <v>5977</v>
      </c>
      <c r="Q2389" s="1" t="s">
        <v>5978</v>
      </c>
      <c r="R2389" s="1" t="s">
        <v>43</v>
      </c>
      <c r="S2389" s="1" t="s">
        <v>5979</v>
      </c>
      <c r="T2389" s="1" t="s">
        <v>5980</v>
      </c>
      <c r="U2389" s="2" t="s">
        <v>6690</v>
      </c>
      <c r="V2389" s="2" t="s">
        <v>47</v>
      </c>
      <c r="W2389" s="2" t="s">
        <v>104</v>
      </c>
      <c r="X2389" s="2">
        <v>24.78</v>
      </c>
    </row>
    <row r="2390" spans="1:24" x14ac:dyDescent="0.3">
      <c r="A2390">
        <v>20264</v>
      </c>
      <c r="B2390" t="s">
        <v>6691</v>
      </c>
      <c r="C2390" s="3">
        <v>41591</v>
      </c>
      <c r="D2390" t="s">
        <v>39</v>
      </c>
      <c r="E2390">
        <v>40</v>
      </c>
      <c r="F2390" s="3">
        <f ca="1">41592+(RANDBETWEEN(1,10))</f>
        <v>41601</v>
      </c>
      <c r="G2390" t="s">
        <v>76</v>
      </c>
      <c r="H2390" t="s">
        <v>258</v>
      </c>
      <c r="I2390" t="s">
        <v>28</v>
      </c>
      <c r="J2390">
        <v>44562</v>
      </c>
      <c r="K2390">
        <v>0.01</v>
      </c>
      <c r="L2390">
        <v>0.71</v>
      </c>
      <c r="M2390">
        <v>148.82</v>
      </c>
      <c r="N2390">
        <v>678.33385620000001</v>
      </c>
      <c r="O2390" s="1" t="s">
        <v>29</v>
      </c>
      <c r="P2390" s="1" t="s">
        <v>6692</v>
      </c>
      <c r="Q2390" s="1" t="s">
        <v>6693</v>
      </c>
      <c r="R2390" s="1" t="s">
        <v>32</v>
      </c>
      <c r="S2390" s="1" t="s">
        <v>6694</v>
      </c>
      <c r="T2390" s="1" t="s">
        <v>6695</v>
      </c>
      <c r="U2390" s="2" t="s">
        <v>2984</v>
      </c>
      <c r="V2390" s="2" t="s">
        <v>83</v>
      </c>
      <c r="W2390" s="2" t="s">
        <v>263</v>
      </c>
      <c r="X2390" s="2">
        <v>1403.43</v>
      </c>
    </row>
    <row r="2391" spans="1:24" x14ac:dyDescent="0.3">
      <c r="A2391">
        <v>20265</v>
      </c>
      <c r="B2391" t="s">
        <v>6696</v>
      </c>
      <c r="C2391" s="3">
        <v>41275</v>
      </c>
      <c r="D2391" t="s">
        <v>25</v>
      </c>
      <c r="E2391">
        <v>3</v>
      </c>
      <c r="F2391" s="3">
        <f ca="1">41282+(RANDBETWEEN(1,10))</f>
        <v>41288</v>
      </c>
      <c r="G2391" t="s">
        <v>156</v>
      </c>
      <c r="H2391" t="s">
        <v>96</v>
      </c>
      <c r="I2391" t="s">
        <v>52</v>
      </c>
      <c r="J2391">
        <v>59.99</v>
      </c>
      <c r="K2391">
        <v>0.06</v>
      </c>
      <c r="L2391">
        <v>0.36</v>
      </c>
      <c r="M2391">
        <v>7.14</v>
      </c>
      <c r="N2391">
        <v>1157.8045500000001</v>
      </c>
      <c r="O2391" s="1" t="s">
        <v>87</v>
      </c>
      <c r="P2391" s="1" t="s">
        <v>1400</v>
      </c>
      <c r="Q2391" s="1" t="s">
        <v>1401</v>
      </c>
      <c r="R2391" s="1" t="s">
        <v>646</v>
      </c>
      <c r="S2391" s="1" t="s">
        <v>1402</v>
      </c>
      <c r="T2391" s="1" t="s">
        <v>1403</v>
      </c>
      <c r="U2391" s="2" t="s">
        <v>204</v>
      </c>
      <c r="V2391" s="2" t="s">
        <v>47</v>
      </c>
      <c r="W2391" s="2" t="s">
        <v>74</v>
      </c>
      <c r="X2391" s="2">
        <v>18.13</v>
      </c>
    </row>
    <row r="2392" spans="1:24" x14ac:dyDescent="0.3">
      <c r="A2392">
        <v>20266</v>
      </c>
      <c r="B2392" t="s">
        <v>6697</v>
      </c>
      <c r="C2392" s="3">
        <v>41107</v>
      </c>
      <c r="D2392" t="s">
        <v>39</v>
      </c>
      <c r="E2392">
        <v>15</v>
      </c>
      <c r="F2392" s="3">
        <f ca="1">41109+(RANDBETWEEN(1,10))</f>
        <v>41115</v>
      </c>
      <c r="G2392" t="s">
        <v>26</v>
      </c>
      <c r="H2392" t="s">
        <v>27</v>
      </c>
      <c r="I2392" t="s">
        <v>28</v>
      </c>
      <c r="J2392">
        <v>6011.3549999999996</v>
      </c>
      <c r="K2392">
        <v>0.01</v>
      </c>
      <c r="L2392">
        <v>0.57999999999999996</v>
      </c>
      <c r="M2392">
        <v>8.75</v>
      </c>
      <c r="N2392">
        <v>-0.29399999999999998</v>
      </c>
      <c r="O2392" s="1" t="s">
        <v>87</v>
      </c>
      <c r="P2392" s="1" t="s">
        <v>6305</v>
      </c>
      <c r="Q2392" s="1" t="s">
        <v>6306</v>
      </c>
      <c r="R2392" s="1" t="s">
        <v>646</v>
      </c>
      <c r="S2392" s="1" t="s">
        <v>6307</v>
      </c>
      <c r="T2392" s="1" t="s">
        <v>6308</v>
      </c>
      <c r="U2392" s="2" t="s">
        <v>6698</v>
      </c>
      <c r="V2392" s="2" t="s">
        <v>36</v>
      </c>
      <c r="W2392" s="2" t="s">
        <v>37</v>
      </c>
      <c r="X2392" s="2">
        <v>440.96499999999997</v>
      </c>
    </row>
    <row r="2393" spans="1:24" x14ac:dyDescent="0.3">
      <c r="A2393">
        <v>20267</v>
      </c>
      <c r="B2393" t="s">
        <v>6697</v>
      </c>
      <c r="C2393" s="3">
        <v>41107</v>
      </c>
      <c r="D2393" t="s">
        <v>39</v>
      </c>
      <c r="E2393">
        <v>11</v>
      </c>
      <c r="F2393" s="3">
        <f ca="1">41109+(RANDBETWEEN(1,10))</f>
        <v>41110</v>
      </c>
      <c r="G2393" t="s">
        <v>26</v>
      </c>
      <c r="H2393" t="s">
        <v>51</v>
      </c>
      <c r="I2393" t="s">
        <v>28</v>
      </c>
      <c r="J2393">
        <v>443.94</v>
      </c>
      <c r="K2393">
        <v>0.09</v>
      </c>
      <c r="L2393">
        <v>0.55000000000000004</v>
      </c>
      <c r="M2393">
        <v>9.9749999999999996</v>
      </c>
      <c r="N2393">
        <v>-200.60599999999999</v>
      </c>
      <c r="O2393" s="1" t="s">
        <v>40</v>
      </c>
      <c r="P2393" s="1" t="s">
        <v>6699</v>
      </c>
      <c r="Q2393" s="1" t="s">
        <v>6700</v>
      </c>
      <c r="R2393" s="1" t="s">
        <v>43</v>
      </c>
      <c r="S2393" s="1" t="s">
        <v>6701</v>
      </c>
      <c r="T2393" s="1" t="s">
        <v>6702</v>
      </c>
      <c r="U2393" s="2" t="s">
        <v>3256</v>
      </c>
      <c r="V2393" s="2" t="s">
        <v>83</v>
      </c>
      <c r="W2393" s="2" t="s">
        <v>178</v>
      </c>
      <c r="X2393" s="2">
        <v>42.77</v>
      </c>
    </row>
    <row r="2394" spans="1:24" x14ac:dyDescent="0.3">
      <c r="A2394">
        <v>20268</v>
      </c>
      <c r="B2394" t="s">
        <v>6703</v>
      </c>
      <c r="C2394" s="3">
        <v>41372</v>
      </c>
      <c r="D2394" t="s">
        <v>50</v>
      </c>
      <c r="E2394">
        <v>9</v>
      </c>
      <c r="F2394" s="3">
        <f ca="1">41373+(RANDBETWEEN(1,10))</f>
        <v>41379</v>
      </c>
      <c r="G2394" t="s">
        <v>26</v>
      </c>
      <c r="H2394" t="s">
        <v>27</v>
      </c>
      <c r="I2394" t="s">
        <v>52</v>
      </c>
      <c r="J2394">
        <v>909.05499999999995</v>
      </c>
      <c r="K2394">
        <v>0.01</v>
      </c>
      <c r="L2394">
        <v>0.44</v>
      </c>
      <c r="M2394">
        <v>68.11</v>
      </c>
      <c r="N2394">
        <v>-97.265000000000001</v>
      </c>
      <c r="O2394" s="1" t="s">
        <v>87</v>
      </c>
      <c r="P2394" s="1" t="s">
        <v>3252</v>
      </c>
      <c r="Q2394" s="1" t="s">
        <v>3253</v>
      </c>
      <c r="R2394" s="1" t="s">
        <v>497</v>
      </c>
      <c r="S2394" s="1" t="s">
        <v>3254</v>
      </c>
      <c r="T2394" s="1" t="s">
        <v>3255</v>
      </c>
      <c r="U2394" s="2" t="s">
        <v>3998</v>
      </c>
      <c r="V2394" s="2" t="s">
        <v>83</v>
      </c>
      <c r="W2394" s="2" t="s">
        <v>178</v>
      </c>
      <c r="X2394" s="2">
        <v>95.97</v>
      </c>
    </row>
    <row r="2395" spans="1:24" x14ac:dyDescent="0.3">
      <c r="A2395">
        <v>20269</v>
      </c>
      <c r="B2395" t="s">
        <v>6704</v>
      </c>
      <c r="C2395" s="3">
        <v>41567</v>
      </c>
      <c r="D2395" t="s">
        <v>50</v>
      </c>
      <c r="E2395">
        <v>8</v>
      </c>
      <c r="F2395" s="3">
        <f ca="1">41569+(RANDBETWEEN(1,10))</f>
        <v>41570</v>
      </c>
      <c r="G2395" t="s">
        <v>26</v>
      </c>
      <c r="H2395" t="s">
        <v>27</v>
      </c>
      <c r="I2395" t="s">
        <v>86</v>
      </c>
      <c r="J2395">
        <v>3058.5450000000001</v>
      </c>
      <c r="K2395">
        <v>0</v>
      </c>
      <c r="L2395">
        <v>0.56999999999999995</v>
      </c>
      <c r="M2395">
        <v>28.28</v>
      </c>
      <c r="N2395">
        <v>569.51495999999997</v>
      </c>
      <c r="O2395" s="1" t="s">
        <v>225</v>
      </c>
      <c r="P2395" s="1" t="s">
        <v>6705</v>
      </c>
      <c r="Q2395" s="1" t="s">
        <v>6706</v>
      </c>
      <c r="R2395" s="1" t="s">
        <v>228</v>
      </c>
      <c r="S2395" s="1" t="s">
        <v>6707</v>
      </c>
      <c r="T2395" s="1" t="s">
        <v>6708</v>
      </c>
      <c r="U2395" s="2" t="s">
        <v>1547</v>
      </c>
      <c r="V2395" s="2" t="s">
        <v>36</v>
      </c>
      <c r="W2395" s="2" t="s">
        <v>37</v>
      </c>
      <c r="X2395" s="2">
        <v>440.96499999999997</v>
      </c>
    </row>
    <row r="2396" spans="1:24" x14ac:dyDescent="0.3">
      <c r="A2396">
        <v>20270</v>
      </c>
      <c r="B2396" t="s">
        <v>6709</v>
      </c>
      <c r="C2396" s="3">
        <v>40817</v>
      </c>
      <c r="D2396" t="s">
        <v>50</v>
      </c>
      <c r="E2396">
        <v>23</v>
      </c>
      <c r="F2396" s="3">
        <f ca="1">40819+(RANDBETWEEN(1,10))</f>
        <v>40823</v>
      </c>
      <c r="G2396" t="s">
        <v>26</v>
      </c>
      <c r="H2396" t="s">
        <v>27</v>
      </c>
      <c r="I2396" t="s">
        <v>28</v>
      </c>
      <c r="J2396">
        <v>11522.07</v>
      </c>
      <c r="K2396">
        <v>0.03</v>
      </c>
      <c r="L2396">
        <v>0.56000000000000005</v>
      </c>
      <c r="M2396">
        <v>69.965000000000003</v>
      </c>
      <c r="N2396">
        <v>-29.358350000000002</v>
      </c>
      <c r="O2396" s="1" t="s">
        <v>53</v>
      </c>
      <c r="P2396" s="1" t="s">
        <v>2827</v>
      </c>
      <c r="Q2396" s="1" t="s">
        <v>2828</v>
      </c>
      <c r="R2396" s="1" t="s">
        <v>100</v>
      </c>
      <c r="S2396" s="1" t="s">
        <v>2829</v>
      </c>
      <c r="T2396" s="1" t="s">
        <v>2830</v>
      </c>
      <c r="U2396" s="2" t="s">
        <v>3048</v>
      </c>
      <c r="V2396" s="2" t="s">
        <v>47</v>
      </c>
      <c r="W2396" s="2" t="s">
        <v>119</v>
      </c>
      <c r="X2396" s="2">
        <v>500.01</v>
      </c>
    </row>
    <row r="2397" spans="1:24" x14ac:dyDescent="0.3">
      <c r="A2397">
        <v>20271</v>
      </c>
      <c r="B2397" t="s">
        <v>6710</v>
      </c>
      <c r="C2397" s="3">
        <v>41039</v>
      </c>
      <c r="D2397" t="s">
        <v>39</v>
      </c>
      <c r="E2397">
        <v>14</v>
      </c>
      <c r="F2397" s="3">
        <f ca="1">41041+(RANDBETWEEN(1,10))</f>
        <v>41045</v>
      </c>
      <c r="G2397" t="s">
        <v>26</v>
      </c>
      <c r="H2397" t="s">
        <v>51</v>
      </c>
      <c r="I2397" t="s">
        <v>28</v>
      </c>
      <c r="J2397">
        <v>1932.77</v>
      </c>
      <c r="K2397">
        <v>0.03</v>
      </c>
      <c r="L2397">
        <v>0.54</v>
      </c>
      <c r="M2397">
        <v>6.9649999999999999</v>
      </c>
      <c r="N2397">
        <v>1333.6113</v>
      </c>
      <c r="O2397" s="1" t="s">
        <v>87</v>
      </c>
      <c r="P2397" s="1" t="s">
        <v>6530</v>
      </c>
      <c r="Q2397" s="1" t="s">
        <v>6531</v>
      </c>
      <c r="R2397" s="1" t="s">
        <v>646</v>
      </c>
      <c r="S2397" s="1" t="s">
        <v>6532</v>
      </c>
      <c r="T2397" s="1" t="s">
        <v>6533</v>
      </c>
      <c r="U2397" s="2" t="s">
        <v>685</v>
      </c>
      <c r="V2397" s="2" t="s">
        <v>36</v>
      </c>
      <c r="W2397" s="2" t="s">
        <v>60</v>
      </c>
      <c r="X2397" s="2">
        <v>138.18</v>
      </c>
    </row>
    <row r="2398" spans="1:24" x14ac:dyDescent="0.3">
      <c r="A2398">
        <v>20272</v>
      </c>
      <c r="B2398" t="s">
        <v>6710</v>
      </c>
      <c r="C2398" s="3">
        <v>41039</v>
      </c>
      <c r="D2398" t="s">
        <v>39</v>
      </c>
      <c r="E2398">
        <v>14</v>
      </c>
      <c r="F2398" s="3">
        <f ca="1">41039+(RANDBETWEEN(1,10))</f>
        <v>41043</v>
      </c>
      <c r="G2398" t="s">
        <v>26</v>
      </c>
      <c r="H2398" t="s">
        <v>96</v>
      </c>
      <c r="I2398" t="s">
        <v>28</v>
      </c>
      <c r="J2398">
        <v>185.255</v>
      </c>
      <c r="K2398">
        <v>0.06</v>
      </c>
      <c r="L2398">
        <v>0.35</v>
      </c>
      <c r="M2398">
        <v>6.7549999999999999</v>
      </c>
      <c r="N2398">
        <v>49.454999999999998</v>
      </c>
      <c r="O2398" s="1" t="s">
        <v>87</v>
      </c>
      <c r="P2398" s="1" t="s">
        <v>6530</v>
      </c>
      <c r="Q2398" s="1" t="s">
        <v>6531</v>
      </c>
      <c r="R2398" s="1" t="s">
        <v>646</v>
      </c>
      <c r="S2398" s="1" t="s">
        <v>6532</v>
      </c>
      <c r="T2398" s="1" t="s">
        <v>6533</v>
      </c>
      <c r="U2398" s="2" t="s">
        <v>4373</v>
      </c>
      <c r="V2398" s="2" t="s">
        <v>47</v>
      </c>
      <c r="W2398" s="2" t="s">
        <v>74</v>
      </c>
      <c r="X2398" s="2">
        <v>12.984999999999999</v>
      </c>
    </row>
    <row r="2399" spans="1:24" x14ac:dyDescent="0.3">
      <c r="A2399">
        <v>20273</v>
      </c>
      <c r="B2399" t="s">
        <v>6711</v>
      </c>
      <c r="C2399" s="3">
        <v>41850</v>
      </c>
      <c r="D2399" t="s">
        <v>148</v>
      </c>
      <c r="E2399">
        <v>6</v>
      </c>
      <c r="F2399" s="3">
        <f ca="1">41852+(RANDBETWEEN(1,10))</f>
        <v>41858</v>
      </c>
      <c r="G2399" t="s">
        <v>26</v>
      </c>
      <c r="H2399" t="s">
        <v>27</v>
      </c>
      <c r="I2399" t="s">
        <v>28</v>
      </c>
      <c r="J2399">
        <v>148.64500000000001</v>
      </c>
      <c r="K2399">
        <v>0.03</v>
      </c>
      <c r="L2399">
        <v>0.36</v>
      </c>
      <c r="M2399">
        <v>23.274999999999999</v>
      </c>
      <c r="N2399">
        <v>-138.62855999999999</v>
      </c>
      <c r="O2399" s="1" t="s">
        <v>225</v>
      </c>
      <c r="P2399" s="1" t="s">
        <v>2428</v>
      </c>
      <c r="Q2399" s="1" t="s">
        <v>2429</v>
      </c>
      <c r="R2399" s="1" t="s">
        <v>228</v>
      </c>
      <c r="S2399" s="1" t="s">
        <v>2430</v>
      </c>
      <c r="T2399" s="1" t="s">
        <v>2431</v>
      </c>
      <c r="U2399" s="2" t="s">
        <v>3190</v>
      </c>
      <c r="V2399" s="2" t="s">
        <v>47</v>
      </c>
      <c r="W2399" s="2" t="s">
        <v>74</v>
      </c>
      <c r="X2399" s="2">
        <v>22.68</v>
      </c>
    </row>
    <row r="2400" spans="1:24" x14ac:dyDescent="0.3">
      <c r="A2400">
        <v>20274</v>
      </c>
      <c r="B2400" t="s">
        <v>6712</v>
      </c>
      <c r="C2400" s="3">
        <v>41488</v>
      </c>
      <c r="D2400" t="s">
        <v>62</v>
      </c>
      <c r="E2400">
        <v>3</v>
      </c>
      <c r="F2400" s="3">
        <f ca="1">41489+(RANDBETWEEN(1,10))</f>
        <v>41495</v>
      </c>
      <c r="G2400" t="s">
        <v>156</v>
      </c>
      <c r="H2400" t="s">
        <v>27</v>
      </c>
      <c r="I2400" t="s">
        <v>28</v>
      </c>
      <c r="J2400">
        <v>276.39499999999998</v>
      </c>
      <c r="K2400">
        <v>0.04</v>
      </c>
      <c r="L2400">
        <v>0.55000000000000004</v>
      </c>
      <c r="M2400">
        <v>15.75</v>
      </c>
      <c r="N2400">
        <v>47.396999999999998</v>
      </c>
      <c r="O2400" s="1" t="s">
        <v>53</v>
      </c>
      <c r="P2400" s="1" t="s">
        <v>5135</v>
      </c>
      <c r="Q2400" s="1" t="s">
        <v>5136</v>
      </c>
      <c r="R2400" s="1" t="s">
        <v>100</v>
      </c>
      <c r="S2400" s="1" t="s">
        <v>5137</v>
      </c>
      <c r="T2400" s="1" t="s">
        <v>5138</v>
      </c>
      <c r="U2400" s="2" t="s">
        <v>755</v>
      </c>
      <c r="V2400" s="2" t="s">
        <v>47</v>
      </c>
      <c r="W2400" s="2" t="s">
        <v>71</v>
      </c>
      <c r="X2400" s="2">
        <v>80.430000000000007</v>
      </c>
    </row>
    <row r="2401" spans="1:24" x14ac:dyDescent="0.3">
      <c r="A2401">
        <v>20275</v>
      </c>
      <c r="B2401" t="s">
        <v>6713</v>
      </c>
      <c r="C2401" s="3">
        <v>41773</v>
      </c>
      <c r="D2401" t="s">
        <v>62</v>
      </c>
      <c r="E2401">
        <v>13</v>
      </c>
      <c r="F2401" s="3">
        <f ca="1">41774+(RANDBETWEEN(1,10))</f>
        <v>41784</v>
      </c>
      <c r="G2401" t="s">
        <v>26</v>
      </c>
      <c r="H2401" t="s">
        <v>27</v>
      </c>
      <c r="I2401" t="s">
        <v>52</v>
      </c>
      <c r="J2401">
        <v>1567.5450000000001</v>
      </c>
      <c r="K2401">
        <v>0.06</v>
      </c>
      <c r="L2401">
        <v>0.4</v>
      </c>
      <c r="M2401">
        <v>51.52</v>
      </c>
      <c r="N2401">
        <v>482.51</v>
      </c>
      <c r="O2401" s="1" t="s">
        <v>29</v>
      </c>
      <c r="P2401" s="1" t="s">
        <v>1771</v>
      </c>
      <c r="Q2401" s="1" t="s">
        <v>1772</v>
      </c>
      <c r="R2401" s="1" t="s">
        <v>460</v>
      </c>
      <c r="S2401" s="1" t="s">
        <v>1773</v>
      </c>
      <c r="T2401" s="1" t="s">
        <v>1774</v>
      </c>
      <c r="U2401" s="2" t="s">
        <v>5698</v>
      </c>
      <c r="V2401" s="2" t="s">
        <v>47</v>
      </c>
      <c r="W2401" s="2" t="s">
        <v>48</v>
      </c>
      <c r="X2401" s="2">
        <v>125.61499999999999</v>
      </c>
    </row>
    <row r="2402" spans="1:24" x14ac:dyDescent="0.3">
      <c r="A2402">
        <v>20276</v>
      </c>
      <c r="B2402" t="s">
        <v>6713</v>
      </c>
      <c r="C2402" s="3">
        <v>41773</v>
      </c>
      <c r="D2402" t="s">
        <v>62</v>
      </c>
      <c r="E2402">
        <v>3</v>
      </c>
      <c r="F2402" s="3">
        <f ca="1">41773+(RANDBETWEEN(1,10))</f>
        <v>41774</v>
      </c>
      <c r="G2402" t="s">
        <v>26</v>
      </c>
      <c r="H2402" t="s">
        <v>96</v>
      </c>
      <c r="I2402" t="s">
        <v>52</v>
      </c>
      <c r="J2402">
        <v>46.305</v>
      </c>
      <c r="K2402">
        <v>0</v>
      </c>
      <c r="L2402">
        <v>0.54</v>
      </c>
      <c r="M2402">
        <v>26.215</v>
      </c>
      <c r="N2402">
        <v>-136.745</v>
      </c>
      <c r="O2402" s="1" t="s">
        <v>29</v>
      </c>
      <c r="P2402" s="1" t="s">
        <v>1771</v>
      </c>
      <c r="Q2402" s="1" t="s">
        <v>1772</v>
      </c>
      <c r="R2402" s="1" t="s">
        <v>460</v>
      </c>
      <c r="S2402" s="1" t="s">
        <v>1773</v>
      </c>
      <c r="T2402" s="1" t="s">
        <v>1774</v>
      </c>
      <c r="U2402" s="2" t="s">
        <v>6714</v>
      </c>
      <c r="V2402" s="2" t="s">
        <v>47</v>
      </c>
      <c r="W2402" s="2" t="s">
        <v>104</v>
      </c>
      <c r="X2402" s="2">
        <v>11.69</v>
      </c>
    </row>
    <row r="2403" spans="1:24" x14ac:dyDescent="0.3">
      <c r="A2403">
        <v>20277</v>
      </c>
      <c r="B2403" t="s">
        <v>6715</v>
      </c>
      <c r="C2403" s="3">
        <v>41722</v>
      </c>
      <c r="D2403" t="s">
        <v>148</v>
      </c>
      <c r="E2403">
        <v>2</v>
      </c>
      <c r="F2403" s="3">
        <f ca="1">41724+(RANDBETWEEN(1,10))</f>
        <v>41730</v>
      </c>
      <c r="G2403" t="s">
        <v>26</v>
      </c>
      <c r="H2403" t="s">
        <v>51</v>
      </c>
      <c r="I2403" t="s">
        <v>52</v>
      </c>
      <c r="J2403">
        <v>75.599999999999994</v>
      </c>
      <c r="K2403">
        <v>0.1</v>
      </c>
      <c r="L2403">
        <v>0.56999999999999995</v>
      </c>
      <c r="M2403">
        <v>11.795</v>
      </c>
      <c r="N2403">
        <v>-44.134999999999998</v>
      </c>
      <c r="O2403" s="1" t="s">
        <v>40</v>
      </c>
      <c r="P2403" s="1" t="s">
        <v>1294</v>
      </c>
      <c r="Q2403" s="1" t="s">
        <v>1295</v>
      </c>
      <c r="R2403" s="1" t="s">
        <v>43</v>
      </c>
      <c r="S2403" s="1" t="s">
        <v>1296</v>
      </c>
      <c r="T2403" s="1" t="s">
        <v>1297</v>
      </c>
      <c r="U2403" s="2" t="s">
        <v>5857</v>
      </c>
      <c r="V2403" s="2" t="s">
        <v>47</v>
      </c>
      <c r="W2403" s="2" t="s">
        <v>94</v>
      </c>
      <c r="X2403" s="2">
        <v>38.43</v>
      </c>
    </row>
    <row r="2404" spans="1:24" x14ac:dyDescent="0.3">
      <c r="A2404">
        <v>20278</v>
      </c>
      <c r="B2404" t="s">
        <v>6716</v>
      </c>
      <c r="C2404" s="3">
        <v>40759</v>
      </c>
      <c r="D2404" t="s">
        <v>50</v>
      </c>
      <c r="E2404">
        <v>19</v>
      </c>
      <c r="F2404" s="3">
        <f ca="1">40760+(RANDBETWEEN(1,10))</f>
        <v>40764</v>
      </c>
      <c r="G2404" t="s">
        <v>26</v>
      </c>
      <c r="H2404" t="s">
        <v>27</v>
      </c>
      <c r="I2404" t="s">
        <v>52</v>
      </c>
      <c r="J2404">
        <v>372.995</v>
      </c>
      <c r="K2404">
        <v>0.08</v>
      </c>
      <c r="L2404">
        <v>0.36</v>
      </c>
      <c r="M2404">
        <v>19.844999999999999</v>
      </c>
      <c r="N2404">
        <v>-188.643</v>
      </c>
      <c r="O2404" s="1" t="s">
        <v>40</v>
      </c>
      <c r="P2404" s="1" t="s">
        <v>6471</v>
      </c>
      <c r="Q2404" s="1" t="s">
        <v>6472</v>
      </c>
      <c r="R2404" s="1" t="s">
        <v>43</v>
      </c>
      <c r="S2404" s="1" t="s">
        <v>6473</v>
      </c>
      <c r="T2404" s="1" t="s">
        <v>1444</v>
      </c>
      <c r="U2404" s="2" t="s">
        <v>1621</v>
      </c>
      <c r="V2404" s="2" t="s">
        <v>47</v>
      </c>
      <c r="W2404" s="2" t="s">
        <v>74</v>
      </c>
      <c r="X2404" s="2">
        <v>20.23</v>
      </c>
    </row>
    <row r="2405" spans="1:24" x14ac:dyDescent="0.3">
      <c r="A2405">
        <v>20279</v>
      </c>
      <c r="B2405" t="s">
        <v>6717</v>
      </c>
      <c r="C2405" s="3">
        <v>41556</v>
      </c>
      <c r="D2405" t="s">
        <v>62</v>
      </c>
      <c r="E2405">
        <v>20</v>
      </c>
      <c r="F2405" s="3">
        <f ca="1">41557+(RANDBETWEEN(1,10))</f>
        <v>41558</v>
      </c>
      <c r="G2405" t="s">
        <v>26</v>
      </c>
      <c r="H2405" t="s">
        <v>27</v>
      </c>
      <c r="I2405" t="s">
        <v>86</v>
      </c>
      <c r="J2405">
        <v>476.03500000000003</v>
      </c>
      <c r="K2405">
        <v>0.01</v>
      </c>
      <c r="L2405">
        <v>0.37</v>
      </c>
      <c r="M2405">
        <v>17.989999999999998</v>
      </c>
      <c r="N2405">
        <v>-418.06799999999998</v>
      </c>
      <c r="O2405" s="1" t="s">
        <v>64</v>
      </c>
      <c r="P2405" s="1" t="s">
        <v>6718</v>
      </c>
      <c r="Q2405" s="1" t="s">
        <v>6719</v>
      </c>
      <c r="R2405" s="1" t="s">
        <v>67</v>
      </c>
      <c r="S2405" s="1" t="s">
        <v>3597</v>
      </c>
      <c r="T2405" s="1" t="s">
        <v>6720</v>
      </c>
      <c r="U2405" s="2" t="s">
        <v>146</v>
      </c>
      <c r="V2405" s="2" t="s">
        <v>47</v>
      </c>
      <c r="W2405" s="2" t="s">
        <v>74</v>
      </c>
      <c r="X2405" s="2">
        <v>22.68</v>
      </c>
    </row>
    <row r="2406" spans="1:24" x14ac:dyDescent="0.3">
      <c r="A2406">
        <v>20280</v>
      </c>
      <c r="B2406" t="s">
        <v>6717</v>
      </c>
      <c r="C2406" s="3">
        <v>41556</v>
      </c>
      <c r="D2406" t="s">
        <v>62</v>
      </c>
      <c r="E2406">
        <v>8</v>
      </c>
      <c r="F2406" s="3">
        <f ca="1">41558+(RANDBETWEEN(1,10))</f>
        <v>41564</v>
      </c>
      <c r="G2406" t="s">
        <v>26</v>
      </c>
      <c r="H2406" t="s">
        <v>51</v>
      </c>
      <c r="I2406" t="s">
        <v>86</v>
      </c>
      <c r="J2406">
        <v>300.125</v>
      </c>
      <c r="K2406">
        <v>0.02</v>
      </c>
      <c r="L2406">
        <v>0.59</v>
      </c>
      <c r="M2406">
        <v>16.38</v>
      </c>
      <c r="N2406">
        <v>234.654</v>
      </c>
      <c r="O2406" s="1" t="s">
        <v>64</v>
      </c>
      <c r="P2406" s="1" t="s">
        <v>6718</v>
      </c>
      <c r="Q2406" s="1" t="s">
        <v>6719</v>
      </c>
      <c r="R2406" s="1" t="s">
        <v>67</v>
      </c>
      <c r="S2406" s="1" t="s">
        <v>3597</v>
      </c>
      <c r="T2406" s="1" t="s">
        <v>6720</v>
      </c>
      <c r="U2406" s="2" t="s">
        <v>3567</v>
      </c>
      <c r="V2406" s="2" t="s">
        <v>47</v>
      </c>
      <c r="W2406" s="2" t="s">
        <v>94</v>
      </c>
      <c r="X2406" s="2">
        <v>35.805</v>
      </c>
    </row>
    <row r="2407" spans="1:24" x14ac:dyDescent="0.3">
      <c r="A2407">
        <v>20281</v>
      </c>
      <c r="B2407" t="s">
        <v>6721</v>
      </c>
      <c r="C2407" s="3">
        <v>41856</v>
      </c>
      <c r="D2407" t="s">
        <v>148</v>
      </c>
      <c r="E2407">
        <v>10</v>
      </c>
      <c r="F2407" s="3">
        <f ca="1">41858+(RANDBETWEEN(1,10))</f>
        <v>41864</v>
      </c>
      <c r="G2407" t="s">
        <v>26</v>
      </c>
      <c r="H2407" t="s">
        <v>27</v>
      </c>
      <c r="I2407" t="s">
        <v>28</v>
      </c>
      <c r="J2407">
        <v>236.18</v>
      </c>
      <c r="K2407">
        <v>0.05</v>
      </c>
      <c r="L2407">
        <v>0.37</v>
      </c>
      <c r="M2407">
        <v>22.995000000000001</v>
      </c>
      <c r="N2407">
        <v>-81.812920000000005</v>
      </c>
      <c r="O2407" s="1" t="s">
        <v>53</v>
      </c>
      <c r="P2407" s="1" t="s">
        <v>4534</v>
      </c>
      <c r="Q2407" s="1" t="s">
        <v>4535</v>
      </c>
      <c r="R2407" s="1" t="s">
        <v>56</v>
      </c>
      <c r="S2407" s="1" t="s">
        <v>4536</v>
      </c>
      <c r="T2407" s="1" t="s">
        <v>897</v>
      </c>
      <c r="U2407" s="2" t="s">
        <v>6722</v>
      </c>
      <c r="V2407" s="2" t="s">
        <v>47</v>
      </c>
      <c r="W2407" s="2" t="s">
        <v>74</v>
      </c>
      <c r="X2407" s="2">
        <v>22.68</v>
      </c>
    </row>
    <row r="2408" spans="1:24" x14ac:dyDescent="0.3">
      <c r="A2408">
        <v>20282</v>
      </c>
      <c r="B2408" t="s">
        <v>6723</v>
      </c>
      <c r="C2408" s="3">
        <v>41409</v>
      </c>
      <c r="D2408" t="s">
        <v>148</v>
      </c>
      <c r="E2408">
        <v>5</v>
      </c>
      <c r="F2408" s="3">
        <f ca="1">41409+(RANDBETWEEN(1,10))</f>
        <v>41417</v>
      </c>
      <c r="G2408" t="s">
        <v>26</v>
      </c>
      <c r="H2408" t="s">
        <v>27</v>
      </c>
      <c r="I2408" t="s">
        <v>86</v>
      </c>
      <c r="J2408">
        <v>107.205</v>
      </c>
      <c r="K2408">
        <v>0.03</v>
      </c>
      <c r="L2408">
        <v>0.36</v>
      </c>
      <c r="M2408">
        <v>8.75</v>
      </c>
      <c r="N2408">
        <v>19.984999999999999</v>
      </c>
      <c r="O2408" s="1" t="s">
        <v>29</v>
      </c>
      <c r="P2408" s="1" t="s">
        <v>3643</v>
      </c>
      <c r="Q2408" s="1" t="s">
        <v>3644</v>
      </c>
      <c r="R2408" s="1" t="s">
        <v>460</v>
      </c>
      <c r="S2408" s="1" t="s">
        <v>3645</v>
      </c>
      <c r="T2408" s="1" t="s">
        <v>3646</v>
      </c>
      <c r="U2408" s="2" t="s">
        <v>1486</v>
      </c>
      <c r="V2408" s="2" t="s">
        <v>47</v>
      </c>
      <c r="W2408" s="2" t="s">
        <v>48</v>
      </c>
      <c r="X2408" s="2">
        <v>20.93</v>
      </c>
    </row>
    <row r="2409" spans="1:24" x14ac:dyDescent="0.3">
      <c r="A2409">
        <v>20283</v>
      </c>
      <c r="B2409" t="s">
        <v>6724</v>
      </c>
      <c r="C2409" s="3">
        <v>41842</v>
      </c>
      <c r="D2409" t="s">
        <v>50</v>
      </c>
      <c r="E2409">
        <v>3</v>
      </c>
      <c r="F2409" s="3">
        <f ca="1">41843+(RANDBETWEEN(1,10))</f>
        <v>41845</v>
      </c>
      <c r="G2409" t="s">
        <v>26</v>
      </c>
      <c r="H2409" t="s">
        <v>27</v>
      </c>
      <c r="I2409" t="s">
        <v>28</v>
      </c>
      <c r="J2409">
        <v>294.91000000000003</v>
      </c>
      <c r="K2409">
        <v>0.09</v>
      </c>
      <c r="L2409">
        <v>0.35</v>
      </c>
      <c r="M2409">
        <v>10.465</v>
      </c>
      <c r="N2409">
        <v>203.4879</v>
      </c>
      <c r="O2409" s="1" t="s">
        <v>64</v>
      </c>
      <c r="P2409" s="1" t="s">
        <v>3160</v>
      </c>
      <c r="Q2409" s="1" t="s">
        <v>3161</v>
      </c>
      <c r="R2409" s="1" t="s">
        <v>128</v>
      </c>
      <c r="S2409" s="1" t="s">
        <v>3162</v>
      </c>
      <c r="T2409" s="1" t="s">
        <v>3163</v>
      </c>
      <c r="U2409" s="2" t="s">
        <v>4393</v>
      </c>
      <c r="V2409" s="2" t="s">
        <v>47</v>
      </c>
      <c r="W2409" s="2" t="s">
        <v>111</v>
      </c>
      <c r="X2409" s="2">
        <v>106.96</v>
      </c>
    </row>
    <row r="2410" spans="1:24" x14ac:dyDescent="0.3">
      <c r="A2410">
        <v>20284</v>
      </c>
      <c r="B2410" t="s">
        <v>6725</v>
      </c>
      <c r="C2410" s="3">
        <v>41874</v>
      </c>
      <c r="D2410" t="s">
        <v>148</v>
      </c>
      <c r="E2410">
        <v>23</v>
      </c>
      <c r="F2410" s="3">
        <f ca="1">41875+(RANDBETWEEN(1,10))</f>
        <v>41882</v>
      </c>
      <c r="G2410" t="s">
        <v>26</v>
      </c>
      <c r="H2410" t="s">
        <v>96</v>
      </c>
      <c r="I2410" t="s">
        <v>97</v>
      </c>
      <c r="J2410">
        <v>235.23500000000001</v>
      </c>
      <c r="K2410">
        <v>0.05</v>
      </c>
      <c r="L2410">
        <v>0.55000000000000004</v>
      </c>
      <c r="M2410">
        <v>3.5350000000000001</v>
      </c>
      <c r="N2410">
        <v>51.519440000000003</v>
      </c>
      <c r="O2410" s="1" t="s">
        <v>53</v>
      </c>
      <c r="P2410" s="1" t="s">
        <v>6726</v>
      </c>
      <c r="Q2410" s="1" t="s">
        <v>6727</v>
      </c>
      <c r="R2410" s="1" t="s">
        <v>56</v>
      </c>
      <c r="S2410" s="1" t="s">
        <v>5842</v>
      </c>
      <c r="T2410" s="1" t="s">
        <v>5843</v>
      </c>
      <c r="U2410" s="2" t="s">
        <v>4714</v>
      </c>
      <c r="V2410" s="2" t="s">
        <v>47</v>
      </c>
      <c r="W2410" s="2" t="s">
        <v>104</v>
      </c>
      <c r="X2410" s="2">
        <v>10.08</v>
      </c>
    </row>
    <row r="2411" spans="1:24" x14ac:dyDescent="0.3">
      <c r="A2411">
        <v>20285</v>
      </c>
      <c r="B2411" t="s">
        <v>6728</v>
      </c>
      <c r="C2411" s="3">
        <v>41770</v>
      </c>
      <c r="D2411" t="s">
        <v>148</v>
      </c>
      <c r="E2411">
        <v>4</v>
      </c>
      <c r="F2411" s="3">
        <f ca="1">41770+(RANDBETWEEN(1,10))</f>
        <v>41778</v>
      </c>
      <c r="G2411" t="s">
        <v>26</v>
      </c>
      <c r="H2411" t="s">
        <v>27</v>
      </c>
      <c r="I2411" t="s">
        <v>97</v>
      </c>
      <c r="J2411">
        <v>110.11</v>
      </c>
      <c r="K2411">
        <v>0.04</v>
      </c>
      <c r="L2411">
        <v>0.39</v>
      </c>
      <c r="M2411">
        <v>21.175000000000001</v>
      </c>
      <c r="N2411">
        <v>-103.20099999999999</v>
      </c>
      <c r="O2411" s="1" t="s">
        <v>40</v>
      </c>
      <c r="P2411" s="1" t="s">
        <v>6729</v>
      </c>
      <c r="Q2411" s="1" t="s">
        <v>6730</v>
      </c>
      <c r="R2411" s="1" t="s">
        <v>43</v>
      </c>
      <c r="S2411" s="1" t="s">
        <v>6731</v>
      </c>
      <c r="T2411" s="1" t="s">
        <v>6732</v>
      </c>
      <c r="U2411" s="2" t="s">
        <v>2669</v>
      </c>
      <c r="V2411" s="2" t="s">
        <v>47</v>
      </c>
      <c r="W2411" s="2" t="s">
        <v>111</v>
      </c>
      <c r="X2411" s="2">
        <v>24.85</v>
      </c>
    </row>
    <row r="2412" spans="1:24" x14ac:dyDescent="0.3">
      <c r="A2412">
        <v>20286</v>
      </c>
      <c r="B2412" t="s">
        <v>6733</v>
      </c>
      <c r="C2412" s="3">
        <v>40883</v>
      </c>
      <c r="D2412" t="s">
        <v>50</v>
      </c>
      <c r="E2412">
        <v>6</v>
      </c>
      <c r="F2412" s="3">
        <f ca="1">40885+(RANDBETWEEN(1,10))</f>
        <v>40892</v>
      </c>
      <c r="G2412" t="s">
        <v>156</v>
      </c>
      <c r="H2412" t="s">
        <v>27</v>
      </c>
      <c r="I2412" t="s">
        <v>52</v>
      </c>
      <c r="J2412">
        <v>130.83000000000001</v>
      </c>
      <c r="K2412">
        <v>0.09</v>
      </c>
      <c r="L2412">
        <v>0.37</v>
      </c>
      <c r="M2412">
        <v>27.23</v>
      </c>
      <c r="N2412">
        <v>-121.67574999999999</v>
      </c>
      <c r="O2412" s="1" t="s">
        <v>225</v>
      </c>
      <c r="P2412" s="1" t="s">
        <v>3374</v>
      </c>
      <c r="Q2412" s="1" t="s">
        <v>3375</v>
      </c>
      <c r="R2412" s="1" t="s">
        <v>391</v>
      </c>
      <c r="S2412" s="1" t="s">
        <v>3376</v>
      </c>
      <c r="T2412" s="1" t="s">
        <v>3377</v>
      </c>
      <c r="U2412" s="2" t="s">
        <v>599</v>
      </c>
      <c r="V2412" s="2" t="s">
        <v>47</v>
      </c>
      <c r="W2412" s="2" t="s">
        <v>111</v>
      </c>
      <c r="X2412" s="2">
        <v>18.899999999999999</v>
      </c>
    </row>
    <row r="2413" spans="1:24" x14ac:dyDescent="0.3">
      <c r="A2413">
        <v>20287</v>
      </c>
      <c r="B2413" t="s">
        <v>6734</v>
      </c>
      <c r="C2413" s="3">
        <v>41323</v>
      </c>
      <c r="D2413" t="s">
        <v>25</v>
      </c>
      <c r="E2413">
        <v>14</v>
      </c>
      <c r="F2413" s="3">
        <f ca="1">41328+(RANDBETWEEN(1,10))</f>
        <v>41337</v>
      </c>
      <c r="G2413" t="s">
        <v>26</v>
      </c>
      <c r="H2413" t="s">
        <v>27</v>
      </c>
      <c r="I2413" t="s">
        <v>28</v>
      </c>
      <c r="J2413">
        <v>3027.29</v>
      </c>
      <c r="K2413">
        <v>0</v>
      </c>
      <c r="L2413">
        <v>0.56000000000000005</v>
      </c>
      <c r="M2413">
        <v>46.27</v>
      </c>
      <c r="N2413">
        <v>2088.8301000000001</v>
      </c>
      <c r="O2413" s="1" t="s">
        <v>87</v>
      </c>
      <c r="P2413" s="1" t="s">
        <v>6735</v>
      </c>
      <c r="Q2413" s="1" t="s">
        <v>6736</v>
      </c>
      <c r="R2413" s="1" t="s">
        <v>398</v>
      </c>
      <c r="S2413" s="1" t="s">
        <v>3402</v>
      </c>
      <c r="T2413" s="1" t="s">
        <v>3403</v>
      </c>
      <c r="U2413" s="2" t="s">
        <v>2644</v>
      </c>
      <c r="V2413" s="2" t="s">
        <v>47</v>
      </c>
      <c r="W2413" s="2" t="s">
        <v>71</v>
      </c>
      <c r="X2413" s="2">
        <v>199.36</v>
      </c>
    </row>
    <row r="2414" spans="1:24" x14ac:dyDescent="0.3">
      <c r="A2414">
        <v>20288</v>
      </c>
      <c r="B2414" t="s">
        <v>6734</v>
      </c>
      <c r="C2414" s="3">
        <v>41323</v>
      </c>
      <c r="D2414" t="s">
        <v>25</v>
      </c>
      <c r="E2414">
        <v>13</v>
      </c>
      <c r="F2414" s="3">
        <f ca="1">41328+(RANDBETWEEN(1,10))</f>
        <v>41333</v>
      </c>
      <c r="G2414" t="s">
        <v>76</v>
      </c>
      <c r="H2414" t="s">
        <v>77</v>
      </c>
      <c r="I2414" t="s">
        <v>28</v>
      </c>
      <c r="J2414">
        <v>19618.445</v>
      </c>
      <c r="K2414">
        <v>0.08</v>
      </c>
      <c r="L2414">
        <v>0.56000000000000005</v>
      </c>
      <c r="M2414">
        <v>51.45</v>
      </c>
      <c r="N2414">
        <v>13536.72705</v>
      </c>
      <c r="O2414" s="1" t="s">
        <v>87</v>
      </c>
      <c r="P2414" s="1" t="s">
        <v>6735</v>
      </c>
      <c r="Q2414" s="1" t="s">
        <v>6736</v>
      </c>
      <c r="R2414" s="1" t="s">
        <v>398</v>
      </c>
      <c r="S2414" s="1" t="s">
        <v>3402</v>
      </c>
      <c r="T2414" s="1" t="s">
        <v>3403</v>
      </c>
      <c r="U2414" s="2" t="s">
        <v>3549</v>
      </c>
      <c r="V2414" s="2" t="s">
        <v>36</v>
      </c>
      <c r="W2414" s="2" t="s">
        <v>142</v>
      </c>
      <c r="X2414" s="2">
        <v>1547.49</v>
      </c>
    </row>
    <row r="2415" spans="1:24" x14ac:dyDescent="0.3">
      <c r="A2415">
        <v>20289</v>
      </c>
      <c r="B2415" t="s">
        <v>6737</v>
      </c>
      <c r="C2415" s="3">
        <v>41155</v>
      </c>
      <c r="D2415" t="s">
        <v>62</v>
      </c>
      <c r="E2415">
        <v>5</v>
      </c>
      <c r="F2415" s="3">
        <f ca="1">41156+(RANDBETWEEN(1,10))</f>
        <v>41159</v>
      </c>
      <c r="G2415" t="s">
        <v>76</v>
      </c>
      <c r="H2415" t="s">
        <v>77</v>
      </c>
      <c r="I2415" t="s">
        <v>86</v>
      </c>
      <c r="J2415">
        <v>2874.27</v>
      </c>
      <c r="K2415">
        <v>0.02</v>
      </c>
      <c r="L2415">
        <v>0.77</v>
      </c>
      <c r="M2415">
        <v>210.7</v>
      </c>
      <c r="N2415">
        <v>-1481.2</v>
      </c>
      <c r="O2415" s="1" t="s">
        <v>53</v>
      </c>
      <c r="P2415" s="1" t="s">
        <v>3269</v>
      </c>
      <c r="Q2415" s="1" t="s">
        <v>3270</v>
      </c>
      <c r="R2415" s="1" t="s">
        <v>56</v>
      </c>
      <c r="S2415" s="1" t="s">
        <v>3271</v>
      </c>
      <c r="T2415" s="1" t="s">
        <v>3272</v>
      </c>
      <c r="U2415" s="2" t="s">
        <v>779</v>
      </c>
      <c r="V2415" s="2" t="s">
        <v>83</v>
      </c>
      <c r="W2415" s="2" t="s">
        <v>84</v>
      </c>
      <c r="X2415" s="2">
        <v>528.11500000000001</v>
      </c>
    </row>
    <row r="2416" spans="1:24" x14ac:dyDescent="0.3">
      <c r="A2416">
        <v>20290</v>
      </c>
      <c r="B2416" t="s">
        <v>6738</v>
      </c>
      <c r="C2416" s="3">
        <v>41911</v>
      </c>
      <c r="D2416" t="s">
        <v>62</v>
      </c>
      <c r="E2416">
        <v>2</v>
      </c>
      <c r="F2416" s="3">
        <f ca="1">41912+(RANDBETWEEN(1,10))</f>
        <v>41922</v>
      </c>
      <c r="G2416" t="s">
        <v>26</v>
      </c>
      <c r="H2416" t="s">
        <v>27</v>
      </c>
      <c r="I2416" t="s">
        <v>28</v>
      </c>
      <c r="J2416">
        <v>140.52500000000001</v>
      </c>
      <c r="K2416">
        <v>0.03</v>
      </c>
      <c r="L2416">
        <v>0.37</v>
      </c>
      <c r="M2416">
        <v>18.234999999999999</v>
      </c>
      <c r="N2416">
        <v>-21.1554</v>
      </c>
      <c r="O2416" s="1" t="s">
        <v>29</v>
      </c>
      <c r="P2416" s="1" t="s">
        <v>6739</v>
      </c>
      <c r="Q2416" s="1" t="s">
        <v>6740</v>
      </c>
      <c r="R2416" s="1" t="s">
        <v>32</v>
      </c>
      <c r="S2416" s="1" t="s">
        <v>3689</v>
      </c>
      <c r="T2416" s="1" t="s">
        <v>3690</v>
      </c>
      <c r="U2416" s="2" t="s">
        <v>4606</v>
      </c>
      <c r="V2416" s="2" t="s">
        <v>47</v>
      </c>
      <c r="W2416" s="2" t="s">
        <v>74</v>
      </c>
      <c r="X2416" s="2">
        <v>66.394999999999996</v>
      </c>
    </row>
    <row r="2417" spans="1:24" x14ac:dyDescent="0.3">
      <c r="A2417">
        <v>20291</v>
      </c>
      <c r="B2417" t="s">
        <v>6738</v>
      </c>
      <c r="C2417" s="3">
        <v>41911</v>
      </c>
      <c r="D2417" t="s">
        <v>62</v>
      </c>
      <c r="E2417">
        <v>19</v>
      </c>
      <c r="F2417" s="3">
        <f ca="1">41914+(RANDBETWEEN(1,10))</f>
        <v>41915</v>
      </c>
      <c r="G2417" t="s">
        <v>26</v>
      </c>
      <c r="H2417" t="s">
        <v>96</v>
      </c>
      <c r="I2417" t="s">
        <v>28</v>
      </c>
      <c r="J2417">
        <v>4856.2150000000001</v>
      </c>
      <c r="K2417">
        <v>0.03</v>
      </c>
      <c r="L2417">
        <v>0.55000000000000004</v>
      </c>
      <c r="M2417">
        <v>3.4649999999999999</v>
      </c>
      <c r="N2417">
        <v>3145.6933199999999</v>
      </c>
      <c r="O2417" s="1" t="s">
        <v>29</v>
      </c>
      <c r="P2417" s="1" t="s">
        <v>6739</v>
      </c>
      <c r="Q2417" s="1" t="s">
        <v>6740</v>
      </c>
      <c r="R2417" s="1" t="s">
        <v>32</v>
      </c>
      <c r="S2417" s="1" t="s">
        <v>3689</v>
      </c>
      <c r="T2417" s="1" t="s">
        <v>3690</v>
      </c>
      <c r="U2417" s="2" t="s">
        <v>5311</v>
      </c>
      <c r="V2417" s="2" t="s">
        <v>36</v>
      </c>
      <c r="W2417" s="2" t="s">
        <v>37</v>
      </c>
      <c r="X2417" s="2">
        <v>300.96499999999997</v>
      </c>
    </row>
    <row r="2418" spans="1:24" x14ac:dyDescent="0.3">
      <c r="A2418">
        <v>20292</v>
      </c>
      <c r="B2418" t="s">
        <v>6741</v>
      </c>
      <c r="C2418" s="3">
        <v>41435</v>
      </c>
      <c r="D2418" t="s">
        <v>148</v>
      </c>
      <c r="E2418">
        <v>16</v>
      </c>
      <c r="F2418" s="3">
        <f ca="1">41437+(RANDBETWEEN(1,10))</f>
        <v>41444</v>
      </c>
      <c r="G2418" t="s">
        <v>26</v>
      </c>
      <c r="H2418" t="s">
        <v>27</v>
      </c>
      <c r="I2418" t="s">
        <v>86</v>
      </c>
      <c r="J2418">
        <v>228.27</v>
      </c>
      <c r="K2418">
        <v>0.08</v>
      </c>
      <c r="L2418">
        <v>0.37</v>
      </c>
      <c r="M2418">
        <v>10.465</v>
      </c>
      <c r="N2418">
        <v>-84.750399999999999</v>
      </c>
      <c r="O2418" s="1" t="s">
        <v>64</v>
      </c>
      <c r="P2418" s="1" t="s">
        <v>6742</v>
      </c>
      <c r="Q2418" s="1" t="s">
        <v>6743</v>
      </c>
      <c r="R2418" s="1" t="s">
        <v>128</v>
      </c>
      <c r="S2418" s="1" t="s">
        <v>6744</v>
      </c>
      <c r="T2418" s="1" t="s">
        <v>6745</v>
      </c>
      <c r="U2418" s="2" t="s">
        <v>4677</v>
      </c>
      <c r="V2418" s="2" t="s">
        <v>47</v>
      </c>
      <c r="W2418" s="2" t="s">
        <v>111</v>
      </c>
      <c r="X2418" s="2">
        <v>14.63</v>
      </c>
    </row>
    <row r="2419" spans="1:24" x14ac:dyDescent="0.3">
      <c r="A2419">
        <v>20293</v>
      </c>
      <c r="B2419" t="s">
        <v>6741</v>
      </c>
      <c r="C2419" s="3">
        <v>41435</v>
      </c>
      <c r="D2419" t="s">
        <v>148</v>
      </c>
      <c r="E2419">
        <v>20</v>
      </c>
      <c r="F2419" s="3">
        <f ca="1">41437+(RANDBETWEEN(1,10))</f>
        <v>41446</v>
      </c>
      <c r="G2419" t="s">
        <v>26</v>
      </c>
      <c r="H2419" t="s">
        <v>96</v>
      </c>
      <c r="I2419" t="s">
        <v>86</v>
      </c>
      <c r="J2419">
        <v>198.52</v>
      </c>
      <c r="K2419">
        <v>0.03</v>
      </c>
      <c r="L2419">
        <v>0.56000000000000005</v>
      </c>
      <c r="M2419">
        <v>2.4500000000000002</v>
      </c>
      <c r="N2419">
        <v>83.453999999999994</v>
      </c>
      <c r="O2419" s="1" t="s">
        <v>64</v>
      </c>
      <c r="P2419" s="1" t="s">
        <v>6742</v>
      </c>
      <c r="Q2419" s="1" t="s">
        <v>6743</v>
      </c>
      <c r="R2419" s="1" t="s">
        <v>128</v>
      </c>
      <c r="S2419" s="1" t="s">
        <v>6744</v>
      </c>
      <c r="T2419" s="1" t="s">
        <v>6745</v>
      </c>
      <c r="U2419" s="2" t="s">
        <v>443</v>
      </c>
      <c r="V2419" s="2" t="s">
        <v>47</v>
      </c>
      <c r="W2419" s="2" t="s">
        <v>104</v>
      </c>
      <c r="X2419" s="2">
        <v>10.08</v>
      </c>
    </row>
    <row r="2420" spans="1:24" x14ac:dyDescent="0.3">
      <c r="A2420">
        <v>20294</v>
      </c>
      <c r="B2420" t="s">
        <v>6746</v>
      </c>
      <c r="C2420" s="3">
        <v>41038</v>
      </c>
      <c r="D2420" t="s">
        <v>50</v>
      </c>
      <c r="E2420">
        <v>4</v>
      </c>
      <c r="F2420" s="3">
        <f ca="1">41040+(RANDBETWEEN(1,10))</f>
        <v>41042</v>
      </c>
      <c r="G2420" t="s">
        <v>26</v>
      </c>
      <c r="H2420" t="s">
        <v>96</v>
      </c>
      <c r="I2420" t="s">
        <v>86</v>
      </c>
      <c r="J2420">
        <v>71.364999999999995</v>
      </c>
      <c r="K2420">
        <v>0.09</v>
      </c>
      <c r="L2420">
        <v>0.56000000000000005</v>
      </c>
      <c r="M2420">
        <v>2.5550000000000002</v>
      </c>
      <c r="N2420">
        <v>15.574999999999999</v>
      </c>
      <c r="O2420" s="1" t="s">
        <v>87</v>
      </c>
      <c r="P2420" s="1" t="s">
        <v>5676</v>
      </c>
      <c r="Q2420" s="1" t="s">
        <v>5677</v>
      </c>
      <c r="R2420" s="1" t="s">
        <v>398</v>
      </c>
      <c r="S2420" s="1" t="s">
        <v>5678</v>
      </c>
      <c r="T2420" s="1" t="s">
        <v>5679</v>
      </c>
      <c r="U2420" s="2" t="s">
        <v>6747</v>
      </c>
      <c r="V2420" s="2" t="s">
        <v>47</v>
      </c>
      <c r="W2420" s="2" t="s">
        <v>104</v>
      </c>
      <c r="X2420" s="2">
        <v>18.059999999999999</v>
      </c>
    </row>
    <row r="2421" spans="1:24" x14ac:dyDescent="0.3">
      <c r="A2421">
        <v>20295</v>
      </c>
      <c r="B2421" t="s">
        <v>6746</v>
      </c>
      <c r="C2421" s="3">
        <v>41038</v>
      </c>
      <c r="D2421" t="s">
        <v>50</v>
      </c>
      <c r="E2421">
        <v>1</v>
      </c>
      <c r="F2421" s="3">
        <f ca="1">41040+(RANDBETWEEN(1,10))</f>
        <v>41047</v>
      </c>
      <c r="G2421" t="s">
        <v>26</v>
      </c>
      <c r="H2421" t="s">
        <v>96</v>
      </c>
      <c r="I2421" t="s">
        <v>86</v>
      </c>
      <c r="J2421">
        <v>17.465</v>
      </c>
      <c r="K2421">
        <v>0.04</v>
      </c>
      <c r="L2421">
        <v>0.83</v>
      </c>
      <c r="M2421">
        <v>4.62</v>
      </c>
      <c r="N2421">
        <v>-10.71</v>
      </c>
      <c r="O2421" s="1" t="s">
        <v>87</v>
      </c>
      <c r="P2421" s="1" t="s">
        <v>5676</v>
      </c>
      <c r="Q2421" s="1" t="s">
        <v>5677</v>
      </c>
      <c r="R2421" s="1" t="s">
        <v>398</v>
      </c>
      <c r="S2421" s="1" t="s">
        <v>5678</v>
      </c>
      <c r="T2421" s="1" t="s">
        <v>5679</v>
      </c>
      <c r="U2421" s="2" t="s">
        <v>3023</v>
      </c>
      <c r="V2421" s="2" t="s">
        <v>47</v>
      </c>
      <c r="W2421" s="2" t="s">
        <v>94</v>
      </c>
      <c r="X2421" s="2">
        <v>12.88</v>
      </c>
    </row>
    <row r="2422" spans="1:24" x14ac:dyDescent="0.3">
      <c r="A2422">
        <v>20296</v>
      </c>
      <c r="B2422" t="s">
        <v>6748</v>
      </c>
      <c r="C2422" s="3">
        <v>40592</v>
      </c>
      <c r="D2422" t="s">
        <v>50</v>
      </c>
      <c r="E2422">
        <v>8</v>
      </c>
      <c r="F2422" s="3">
        <f ca="1">40594+(RANDBETWEEN(1,10))</f>
        <v>40602</v>
      </c>
      <c r="G2422" t="s">
        <v>76</v>
      </c>
      <c r="H2422" t="s">
        <v>77</v>
      </c>
      <c r="I2422" t="s">
        <v>28</v>
      </c>
      <c r="J2422">
        <v>9850.9950000000008</v>
      </c>
      <c r="K2422">
        <v>0.09</v>
      </c>
      <c r="L2422">
        <v>0.64</v>
      </c>
      <c r="M2422">
        <v>206.22</v>
      </c>
      <c r="N2422">
        <v>4340.875</v>
      </c>
      <c r="O2422" s="1" t="s">
        <v>87</v>
      </c>
      <c r="P2422" s="1" t="s">
        <v>2403</v>
      </c>
      <c r="Q2422" s="1" t="s">
        <v>2404</v>
      </c>
      <c r="R2422" s="1" t="s">
        <v>90</v>
      </c>
      <c r="S2422" s="1" t="s">
        <v>2405</v>
      </c>
      <c r="T2422" s="1" t="s">
        <v>2406</v>
      </c>
      <c r="U2422" s="2" t="s">
        <v>207</v>
      </c>
      <c r="V2422" s="2" t="s">
        <v>83</v>
      </c>
      <c r="W2422" s="2" t="s">
        <v>84</v>
      </c>
      <c r="X2422" s="2">
        <v>1245.93</v>
      </c>
    </row>
    <row r="2423" spans="1:24" x14ac:dyDescent="0.3">
      <c r="A2423">
        <v>20297</v>
      </c>
      <c r="B2423" t="s">
        <v>6749</v>
      </c>
      <c r="C2423" s="3">
        <v>41688</v>
      </c>
      <c r="D2423" t="s">
        <v>50</v>
      </c>
      <c r="E2423">
        <v>2</v>
      </c>
      <c r="F2423" s="3">
        <f ca="1">41688+(RANDBETWEEN(1,10))</f>
        <v>41693</v>
      </c>
      <c r="G2423" t="s">
        <v>76</v>
      </c>
      <c r="H2423" t="s">
        <v>258</v>
      </c>
      <c r="I2423" t="s">
        <v>28</v>
      </c>
      <c r="J2423">
        <v>1530.9349999999999</v>
      </c>
      <c r="K2423">
        <v>0.04</v>
      </c>
      <c r="L2423">
        <v>0.77</v>
      </c>
      <c r="M2423">
        <v>243.74</v>
      </c>
      <c r="N2423">
        <v>-1866.3119999999999</v>
      </c>
      <c r="O2423" s="1" t="s">
        <v>87</v>
      </c>
      <c r="P2423" s="1" t="s">
        <v>2403</v>
      </c>
      <c r="Q2423" s="1" t="s">
        <v>2404</v>
      </c>
      <c r="R2423" s="1" t="s">
        <v>90</v>
      </c>
      <c r="S2423" s="1" t="s">
        <v>2405</v>
      </c>
      <c r="T2423" s="1" t="s">
        <v>2406</v>
      </c>
      <c r="U2423" s="2" t="s">
        <v>1233</v>
      </c>
      <c r="V2423" s="2" t="s">
        <v>83</v>
      </c>
      <c r="W2423" s="2" t="s">
        <v>263</v>
      </c>
      <c r="X2423" s="2">
        <v>765.625</v>
      </c>
    </row>
    <row r="2424" spans="1:24" x14ac:dyDescent="0.3">
      <c r="A2424">
        <v>20298</v>
      </c>
      <c r="B2424" t="s">
        <v>6750</v>
      </c>
      <c r="C2424" s="3">
        <v>41675</v>
      </c>
      <c r="D2424" t="s">
        <v>50</v>
      </c>
      <c r="E2424">
        <v>6</v>
      </c>
      <c r="F2424" s="3">
        <f ca="1">41677+(RANDBETWEEN(1,10))</f>
        <v>41684</v>
      </c>
      <c r="G2424" t="s">
        <v>26</v>
      </c>
      <c r="H2424" t="s">
        <v>63</v>
      </c>
      <c r="I2424" t="s">
        <v>52</v>
      </c>
      <c r="J2424">
        <v>71.784999999999997</v>
      </c>
      <c r="K2424">
        <v>0.06</v>
      </c>
      <c r="L2424">
        <v>0.57999999999999996</v>
      </c>
      <c r="M2424">
        <v>13.895</v>
      </c>
      <c r="N2424">
        <v>-206.92</v>
      </c>
      <c r="O2424" s="1" t="s">
        <v>53</v>
      </c>
      <c r="P2424" s="1" t="s">
        <v>5290</v>
      </c>
      <c r="Q2424" s="1" t="s">
        <v>5291</v>
      </c>
      <c r="R2424" s="1" t="s">
        <v>56</v>
      </c>
      <c r="S2424" s="1" t="s">
        <v>5292</v>
      </c>
      <c r="T2424" s="1" t="s">
        <v>5293</v>
      </c>
      <c r="U2424" s="2" t="s">
        <v>6638</v>
      </c>
      <c r="V2424" s="2" t="s">
        <v>83</v>
      </c>
      <c r="W2424" s="2" t="s">
        <v>178</v>
      </c>
      <c r="X2424" s="2">
        <v>11.48</v>
      </c>
    </row>
    <row r="2425" spans="1:24" x14ac:dyDescent="0.3">
      <c r="A2425">
        <v>20299</v>
      </c>
      <c r="B2425" t="s">
        <v>6751</v>
      </c>
      <c r="C2425" s="3">
        <v>41675</v>
      </c>
      <c r="D2425" t="s">
        <v>50</v>
      </c>
      <c r="E2425">
        <v>10</v>
      </c>
      <c r="F2425" s="3">
        <f ca="1">41677+(RANDBETWEEN(1,10))</f>
        <v>41687</v>
      </c>
      <c r="G2425" t="s">
        <v>26</v>
      </c>
      <c r="H2425" t="s">
        <v>63</v>
      </c>
      <c r="I2425" t="s">
        <v>52</v>
      </c>
      <c r="J2425">
        <v>2650.27</v>
      </c>
      <c r="K2425">
        <v>0.04</v>
      </c>
      <c r="L2425">
        <v>0.68</v>
      </c>
      <c r="M2425">
        <v>241.5</v>
      </c>
      <c r="N2425">
        <v>-9084.7757000000001</v>
      </c>
      <c r="O2425" s="1" t="s">
        <v>53</v>
      </c>
      <c r="P2425" s="1" t="s">
        <v>6726</v>
      </c>
      <c r="Q2425" s="1" t="s">
        <v>6727</v>
      </c>
      <c r="R2425" s="1" t="s">
        <v>56</v>
      </c>
      <c r="S2425" s="1" t="s">
        <v>5842</v>
      </c>
      <c r="T2425" s="1" t="s">
        <v>5843</v>
      </c>
      <c r="U2425" s="2" t="s">
        <v>1152</v>
      </c>
      <c r="V2425" s="2" t="s">
        <v>83</v>
      </c>
      <c r="W2425" s="2" t="s">
        <v>263</v>
      </c>
      <c r="X2425" s="2">
        <v>249.79499999999999</v>
      </c>
    </row>
    <row r="2426" spans="1:24" x14ac:dyDescent="0.3">
      <c r="A2426">
        <v>20300</v>
      </c>
      <c r="B2426" t="s">
        <v>6752</v>
      </c>
      <c r="C2426" s="3">
        <v>41255</v>
      </c>
      <c r="D2426" t="s">
        <v>50</v>
      </c>
      <c r="E2426">
        <v>15</v>
      </c>
      <c r="F2426" s="3">
        <f ca="1">41256+(RANDBETWEEN(1,10))</f>
        <v>41258</v>
      </c>
      <c r="G2426" t="s">
        <v>26</v>
      </c>
      <c r="H2426" t="s">
        <v>27</v>
      </c>
      <c r="I2426" t="s">
        <v>52</v>
      </c>
      <c r="J2426">
        <v>101.745</v>
      </c>
      <c r="K2426">
        <v>0.05</v>
      </c>
      <c r="L2426">
        <v>0.37</v>
      </c>
      <c r="M2426">
        <v>5.2149999999999999</v>
      </c>
      <c r="N2426">
        <v>409.584</v>
      </c>
      <c r="O2426" s="1" t="s">
        <v>53</v>
      </c>
      <c r="P2426" s="1" t="s">
        <v>5045</v>
      </c>
      <c r="Q2426" s="1" t="s">
        <v>5046</v>
      </c>
      <c r="R2426" s="1" t="s">
        <v>100</v>
      </c>
      <c r="S2426" s="1" t="s">
        <v>5047</v>
      </c>
      <c r="T2426" s="1" t="s">
        <v>5048</v>
      </c>
      <c r="U2426" s="2" t="s">
        <v>4275</v>
      </c>
      <c r="V2426" s="2" t="s">
        <v>47</v>
      </c>
      <c r="W2426" s="2" t="s">
        <v>111</v>
      </c>
      <c r="X2426" s="2">
        <v>6.58</v>
      </c>
    </row>
    <row r="2427" spans="1:24" x14ac:dyDescent="0.3">
      <c r="A2427">
        <v>20301</v>
      </c>
      <c r="B2427" t="s">
        <v>6752</v>
      </c>
      <c r="C2427" s="3">
        <v>41255</v>
      </c>
      <c r="D2427" t="s">
        <v>50</v>
      </c>
      <c r="E2427">
        <v>11</v>
      </c>
      <c r="F2427" s="3">
        <f ca="1">41256+(RANDBETWEEN(1,10))</f>
        <v>41266</v>
      </c>
      <c r="G2427" t="s">
        <v>26</v>
      </c>
      <c r="H2427" t="s">
        <v>96</v>
      </c>
      <c r="I2427" t="s">
        <v>52</v>
      </c>
      <c r="J2427">
        <v>296.66000000000003</v>
      </c>
      <c r="K2427">
        <v>7.0000000000000007E-2</v>
      </c>
      <c r="L2427">
        <v>0.45</v>
      </c>
      <c r="M2427">
        <v>10.92</v>
      </c>
      <c r="N2427">
        <v>18.186</v>
      </c>
      <c r="O2427" s="1" t="s">
        <v>53</v>
      </c>
      <c r="P2427" s="1" t="s">
        <v>5045</v>
      </c>
      <c r="Q2427" s="1" t="s">
        <v>5046</v>
      </c>
      <c r="R2427" s="1" t="s">
        <v>100</v>
      </c>
      <c r="S2427" s="1" t="s">
        <v>5047</v>
      </c>
      <c r="T2427" s="1" t="s">
        <v>5048</v>
      </c>
      <c r="U2427" s="2" t="s">
        <v>6753</v>
      </c>
      <c r="V2427" s="2" t="s">
        <v>47</v>
      </c>
      <c r="W2427" s="2" t="s">
        <v>104</v>
      </c>
      <c r="X2427" s="2">
        <v>28.49</v>
      </c>
    </row>
    <row r="2428" spans="1:24" x14ac:dyDescent="0.3">
      <c r="A2428">
        <v>20302</v>
      </c>
      <c r="B2428" t="s">
        <v>6754</v>
      </c>
      <c r="C2428" s="3">
        <v>41548</v>
      </c>
      <c r="D2428" t="s">
        <v>62</v>
      </c>
      <c r="E2428">
        <v>13</v>
      </c>
      <c r="F2428" s="3">
        <f ca="1">41550+(RANDBETWEEN(1,10))</f>
        <v>41551</v>
      </c>
      <c r="G2428" t="s">
        <v>76</v>
      </c>
      <c r="H2428" t="s">
        <v>258</v>
      </c>
      <c r="I2428" t="s">
        <v>97</v>
      </c>
      <c r="J2428">
        <v>11842.004999999999</v>
      </c>
      <c r="K2428">
        <v>0.02</v>
      </c>
      <c r="L2428">
        <v>0.63</v>
      </c>
      <c r="M2428">
        <v>152.495</v>
      </c>
      <c r="N2428">
        <v>-2929.0868005000002</v>
      </c>
      <c r="O2428" s="1" t="s">
        <v>29</v>
      </c>
      <c r="P2428" s="1" t="s">
        <v>6755</v>
      </c>
      <c r="Q2428" s="1" t="s">
        <v>6756</v>
      </c>
      <c r="R2428" s="1" t="s">
        <v>675</v>
      </c>
      <c r="S2428" s="1" t="s">
        <v>6757</v>
      </c>
      <c r="T2428" s="1" t="s">
        <v>6758</v>
      </c>
      <c r="U2428" s="2" t="s">
        <v>3999</v>
      </c>
      <c r="V2428" s="2" t="s">
        <v>83</v>
      </c>
      <c r="W2428" s="2" t="s">
        <v>263</v>
      </c>
      <c r="X2428" s="2">
        <v>1122.24</v>
      </c>
    </row>
    <row r="2429" spans="1:24" x14ac:dyDescent="0.3">
      <c r="A2429">
        <v>20303</v>
      </c>
      <c r="B2429" t="s">
        <v>6759</v>
      </c>
      <c r="C2429" s="3">
        <v>40826</v>
      </c>
      <c r="D2429" t="s">
        <v>39</v>
      </c>
      <c r="E2429">
        <v>9</v>
      </c>
      <c r="F2429" s="3">
        <f ca="1">40828+(RANDBETWEEN(1,10))</f>
        <v>40834</v>
      </c>
      <c r="G2429" t="s">
        <v>26</v>
      </c>
      <c r="H2429" t="s">
        <v>27</v>
      </c>
      <c r="I2429" t="s">
        <v>28</v>
      </c>
      <c r="J2429">
        <v>1092.77</v>
      </c>
      <c r="K2429">
        <v>0.09</v>
      </c>
      <c r="L2429">
        <v>0.4</v>
      </c>
      <c r="M2429">
        <v>23.31</v>
      </c>
      <c r="N2429">
        <v>603.97540000000004</v>
      </c>
      <c r="O2429" s="1" t="s">
        <v>225</v>
      </c>
      <c r="P2429" s="1" t="s">
        <v>6380</v>
      </c>
      <c r="Q2429" s="1" t="s">
        <v>6381</v>
      </c>
      <c r="R2429" s="1" t="s">
        <v>391</v>
      </c>
      <c r="S2429" s="1" t="s">
        <v>6382</v>
      </c>
      <c r="T2429" s="1" t="s">
        <v>6383</v>
      </c>
      <c r="U2429" s="2" t="s">
        <v>6760</v>
      </c>
      <c r="V2429" s="2" t="s">
        <v>47</v>
      </c>
      <c r="W2429" s="2" t="s">
        <v>48</v>
      </c>
      <c r="X2429" s="2">
        <v>125.79</v>
      </c>
    </row>
    <row r="2430" spans="1:24" x14ac:dyDescent="0.3">
      <c r="A2430">
        <v>20304</v>
      </c>
      <c r="B2430" t="s">
        <v>6761</v>
      </c>
      <c r="C2430" s="3">
        <v>40587</v>
      </c>
      <c r="D2430" t="s">
        <v>39</v>
      </c>
      <c r="E2430">
        <v>11</v>
      </c>
      <c r="F2430" s="3">
        <f ca="1">40588+(RANDBETWEEN(1,10))</f>
        <v>40592</v>
      </c>
      <c r="G2430" t="s">
        <v>76</v>
      </c>
      <c r="H2430" t="s">
        <v>258</v>
      </c>
      <c r="I2430" t="s">
        <v>97</v>
      </c>
      <c r="J2430">
        <v>3164.875</v>
      </c>
      <c r="K2430">
        <v>0.05</v>
      </c>
      <c r="L2430">
        <v>0.4</v>
      </c>
      <c r="M2430">
        <v>105.21</v>
      </c>
      <c r="N2430">
        <v>1978.13</v>
      </c>
      <c r="O2430" s="1" t="s">
        <v>225</v>
      </c>
      <c r="P2430" s="1" t="s">
        <v>6762</v>
      </c>
      <c r="Q2430" s="1" t="s">
        <v>6763</v>
      </c>
      <c r="R2430" s="1" t="s">
        <v>228</v>
      </c>
      <c r="S2430" s="1" t="s">
        <v>6764</v>
      </c>
      <c r="T2430" s="1" t="s">
        <v>6765</v>
      </c>
      <c r="U2430" s="2" t="s">
        <v>286</v>
      </c>
      <c r="V2430" s="2" t="s">
        <v>36</v>
      </c>
      <c r="W2430" s="2" t="s">
        <v>142</v>
      </c>
      <c r="X2430" s="2">
        <v>283.39499999999998</v>
      </c>
    </row>
    <row r="2431" spans="1:24" x14ac:dyDescent="0.3">
      <c r="A2431">
        <v>20305</v>
      </c>
      <c r="B2431" t="s">
        <v>6761</v>
      </c>
      <c r="C2431" s="3">
        <v>40587</v>
      </c>
      <c r="D2431" t="s">
        <v>39</v>
      </c>
      <c r="E2431">
        <v>2</v>
      </c>
      <c r="F2431" s="3">
        <f ca="1">40589+(RANDBETWEEN(1,10))</f>
        <v>40590</v>
      </c>
      <c r="G2431" t="s">
        <v>26</v>
      </c>
      <c r="H2431" t="s">
        <v>27</v>
      </c>
      <c r="I2431" t="s">
        <v>97</v>
      </c>
      <c r="J2431">
        <v>57.085000000000001</v>
      </c>
      <c r="K2431">
        <v>0</v>
      </c>
      <c r="L2431">
        <v>0.37</v>
      </c>
      <c r="M2431">
        <v>35.174999999999997</v>
      </c>
      <c r="N2431">
        <v>-135.52000000000001</v>
      </c>
      <c r="O2431" s="1" t="s">
        <v>225</v>
      </c>
      <c r="P2431" s="1" t="s">
        <v>6762</v>
      </c>
      <c r="Q2431" s="1" t="s">
        <v>6763</v>
      </c>
      <c r="R2431" s="1" t="s">
        <v>228</v>
      </c>
      <c r="S2431" s="1" t="s">
        <v>6764</v>
      </c>
      <c r="T2431" s="1" t="s">
        <v>6765</v>
      </c>
      <c r="U2431" s="2" t="s">
        <v>635</v>
      </c>
      <c r="V2431" s="2" t="s">
        <v>47</v>
      </c>
      <c r="W2431" s="2" t="s">
        <v>74</v>
      </c>
      <c r="X2431" s="2">
        <v>22.68</v>
      </c>
    </row>
    <row r="2432" spans="1:24" x14ac:dyDescent="0.3">
      <c r="A2432">
        <v>20306</v>
      </c>
      <c r="B2432" t="s">
        <v>6766</v>
      </c>
      <c r="C2432" s="3">
        <v>41267</v>
      </c>
      <c r="D2432" t="s">
        <v>39</v>
      </c>
      <c r="E2432">
        <v>13</v>
      </c>
      <c r="F2432" s="3">
        <f ca="1">41269+(RANDBETWEEN(1,10))</f>
        <v>41270</v>
      </c>
      <c r="G2432" t="s">
        <v>26</v>
      </c>
      <c r="H2432" t="s">
        <v>51</v>
      </c>
      <c r="I2432" t="s">
        <v>97</v>
      </c>
      <c r="J2432">
        <v>83.09</v>
      </c>
      <c r="K2432">
        <v>0.08</v>
      </c>
      <c r="L2432">
        <v>0.53</v>
      </c>
      <c r="M2432">
        <v>14.28</v>
      </c>
      <c r="N2432">
        <v>-143.43</v>
      </c>
      <c r="O2432" s="1" t="s">
        <v>29</v>
      </c>
      <c r="P2432" s="1" t="s">
        <v>6767</v>
      </c>
      <c r="Q2432" s="1" t="s">
        <v>6768</v>
      </c>
      <c r="R2432" s="1" t="s">
        <v>32</v>
      </c>
      <c r="S2432" s="1" t="s">
        <v>6569</v>
      </c>
      <c r="T2432" s="1" t="s">
        <v>6570</v>
      </c>
      <c r="U2432" s="2" t="s">
        <v>2747</v>
      </c>
      <c r="V2432" s="2" t="s">
        <v>83</v>
      </c>
      <c r="W2432" s="2" t="s">
        <v>178</v>
      </c>
      <c r="X2432" s="2">
        <v>6.09</v>
      </c>
    </row>
    <row r="2433" spans="1:24" x14ac:dyDescent="0.3">
      <c r="A2433">
        <v>20307</v>
      </c>
      <c r="B2433" t="s">
        <v>6769</v>
      </c>
      <c r="C2433" s="3">
        <v>41117</v>
      </c>
      <c r="D2433" t="s">
        <v>25</v>
      </c>
      <c r="E2433">
        <v>2</v>
      </c>
      <c r="F2433" s="3">
        <f ca="1">41119+(RANDBETWEEN(1,10))</f>
        <v>41125</v>
      </c>
      <c r="G2433" t="s">
        <v>76</v>
      </c>
      <c r="H2433" t="s">
        <v>77</v>
      </c>
      <c r="I2433" t="s">
        <v>28</v>
      </c>
      <c r="J2433">
        <v>761.04</v>
      </c>
      <c r="K2433">
        <v>0.09</v>
      </c>
      <c r="L2433">
        <v>0.69</v>
      </c>
      <c r="M2433">
        <v>105</v>
      </c>
      <c r="N2433">
        <v>-796.28499999999997</v>
      </c>
      <c r="O2433" s="1" t="s">
        <v>225</v>
      </c>
      <c r="P2433" s="1" t="s">
        <v>6770</v>
      </c>
      <c r="Q2433" s="1" t="s">
        <v>6771</v>
      </c>
      <c r="R2433" s="1" t="s">
        <v>228</v>
      </c>
      <c r="S2433" s="1" t="s">
        <v>6772</v>
      </c>
      <c r="T2433" s="1" t="s">
        <v>6773</v>
      </c>
      <c r="U2433" s="2" t="s">
        <v>1513</v>
      </c>
      <c r="V2433" s="2" t="s">
        <v>83</v>
      </c>
      <c r="W2433" s="2" t="s">
        <v>84</v>
      </c>
      <c r="X2433" s="2">
        <v>398.93</v>
      </c>
    </row>
    <row r="2434" spans="1:24" x14ac:dyDescent="0.3">
      <c r="A2434">
        <v>20308</v>
      </c>
      <c r="B2434" t="s">
        <v>6774</v>
      </c>
      <c r="C2434" s="3">
        <v>41039</v>
      </c>
      <c r="D2434" t="s">
        <v>39</v>
      </c>
      <c r="E2434">
        <v>12</v>
      </c>
      <c r="F2434" s="3">
        <f ca="1">41040+(RANDBETWEEN(1,10))</f>
        <v>41050</v>
      </c>
      <c r="G2434" t="s">
        <v>76</v>
      </c>
      <c r="H2434" t="s">
        <v>258</v>
      </c>
      <c r="I2434" t="s">
        <v>97</v>
      </c>
      <c r="J2434">
        <v>1538.95</v>
      </c>
      <c r="K2434">
        <v>0.03</v>
      </c>
      <c r="L2434">
        <v>0.67</v>
      </c>
      <c r="M2434">
        <v>163.065</v>
      </c>
      <c r="N2434">
        <v>-3684.7649999999999</v>
      </c>
      <c r="O2434" s="1" t="s">
        <v>29</v>
      </c>
      <c r="P2434" s="1" t="s">
        <v>2271</v>
      </c>
      <c r="Q2434" s="1" t="s">
        <v>2272</v>
      </c>
      <c r="R2434" s="1" t="s">
        <v>32</v>
      </c>
      <c r="S2434" s="1" t="s">
        <v>2273</v>
      </c>
      <c r="T2434" s="1" t="s">
        <v>2274</v>
      </c>
      <c r="U2434" s="2" t="s">
        <v>4100</v>
      </c>
      <c r="V2434" s="2" t="s">
        <v>83</v>
      </c>
      <c r="W2434" s="2" t="s">
        <v>263</v>
      </c>
      <c r="X2434" s="2">
        <v>155.505</v>
      </c>
    </row>
    <row r="2435" spans="1:24" x14ac:dyDescent="0.3">
      <c r="A2435">
        <v>20309</v>
      </c>
      <c r="B2435" t="s">
        <v>6775</v>
      </c>
      <c r="C2435" s="3">
        <v>41335</v>
      </c>
      <c r="D2435" t="s">
        <v>50</v>
      </c>
      <c r="E2435">
        <v>13</v>
      </c>
      <c r="F2435" s="3">
        <f ca="1">41337+(RANDBETWEEN(1,10))</f>
        <v>41344</v>
      </c>
      <c r="G2435" t="s">
        <v>26</v>
      </c>
      <c r="H2435" t="s">
        <v>27</v>
      </c>
      <c r="I2435" t="s">
        <v>28</v>
      </c>
      <c r="J2435">
        <v>7557.165</v>
      </c>
      <c r="K2435">
        <v>7.0000000000000007E-2</v>
      </c>
      <c r="L2435">
        <v>0.59</v>
      </c>
      <c r="M2435">
        <v>8.75</v>
      </c>
      <c r="N2435">
        <v>5214.4438499999997</v>
      </c>
      <c r="O2435" s="1" t="s">
        <v>64</v>
      </c>
      <c r="P2435" s="1" t="s">
        <v>6776</v>
      </c>
      <c r="Q2435" s="1" t="s">
        <v>6777</v>
      </c>
      <c r="R2435" s="1" t="s">
        <v>67</v>
      </c>
      <c r="S2435" s="1" t="s">
        <v>6778</v>
      </c>
      <c r="T2435" s="1" t="s">
        <v>6779</v>
      </c>
      <c r="U2435" s="2" t="s">
        <v>5038</v>
      </c>
      <c r="V2435" s="2" t="s">
        <v>36</v>
      </c>
      <c r="W2435" s="2" t="s">
        <v>37</v>
      </c>
      <c r="X2435" s="2">
        <v>720.96500000000003</v>
      </c>
    </row>
    <row r="2436" spans="1:24" x14ac:dyDescent="0.3">
      <c r="A2436">
        <v>20310</v>
      </c>
      <c r="B2436" t="s">
        <v>6780</v>
      </c>
      <c r="C2436" s="3">
        <v>41010</v>
      </c>
      <c r="D2436" t="s">
        <v>25</v>
      </c>
      <c r="E2436">
        <v>10</v>
      </c>
      <c r="F2436" s="3">
        <f ca="1">41014+(RANDBETWEEN(1,10))</f>
        <v>41020</v>
      </c>
      <c r="G2436" t="s">
        <v>26</v>
      </c>
      <c r="H2436" t="s">
        <v>27</v>
      </c>
      <c r="I2436" t="s">
        <v>97</v>
      </c>
      <c r="J2436">
        <v>273.56</v>
      </c>
      <c r="K2436">
        <v>0.01</v>
      </c>
      <c r="L2436">
        <v>0.38</v>
      </c>
      <c r="M2436">
        <v>1.7150000000000001</v>
      </c>
      <c r="N2436">
        <v>188.75640000000001</v>
      </c>
      <c r="O2436" s="1" t="s">
        <v>40</v>
      </c>
      <c r="P2436" s="1" t="s">
        <v>6781</v>
      </c>
      <c r="Q2436" s="1" t="s">
        <v>6782</v>
      </c>
      <c r="R2436" s="1" t="s">
        <v>43</v>
      </c>
      <c r="S2436" s="1" t="s">
        <v>6783</v>
      </c>
      <c r="T2436" s="1" t="s">
        <v>6784</v>
      </c>
      <c r="U2436" s="2" t="s">
        <v>1897</v>
      </c>
      <c r="V2436" s="2" t="s">
        <v>47</v>
      </c>
      <c r="W2436" s="2" t="s">
        <v>203</v>
      </c>
      <c r="X2436" s="2">
        <v>25.585000000000001</v>
      </c>
    </row>
    <row r="2437" spans="1:24" x14ac:dyDescent="0.3">
      <c r="A2437">
        <v>20311</v>
      </c>
      <c r="B2437" t="s">
        <v>6780</v>
      </c>
      <c r="C2437" s="3">
        <v>41010</v>
      </c>
      <c r="D2437" t="s">
        <v>25</v>
      </c>
      <c r="E2437">
        <v>12</v>
      </c>
      <c r="F2437" s="3">
        <f ca="1">41014+(RANDBETWEEN(1,10))</f>
        <v>41024</v>
      </c>
      <c r="G2437" t="s">
        <v>26</v>
      </c>
      <c r="H2437" t="s">
        <v>96</v>
      </c>
      <c r="I2437" t="s">
        <v>97</v>
      </c>
      <c r="J2437">
        <v>403.02499999999998</v>
      </c>
      <c r="K2437">
        <v>0.06</v>
      </c>
      <c r="L2437">
        <v>0.39</v>
      </c>
      <c r="M2437">
        <v>7.21</v>
      </c>
      <c r="N2437">
        <v>278.08724999999998</v>
      </c>
      <c r="O2437" s="1" t="s">
        <v>40</v>
      </c>
      <c r="P2437" s="1" t="s">
        <v>6781</v>
      </c>
      <c r="Q2437" s="1" t="s">
        <v>6782</v>
      </c>
      <c r="R2437" s="1" t="s">
        <v>43</v>
      </c>
      <c r="S2437" s="1" t="s">
        <v>6783</v>
      </c>
      <c r="T2437" s="1" t="s">
        <v>6784</v>
      </c>
      <c r="U2437" s="2" t="s">
        <v>2438</v>
      </c>
      <c r="V2437" s="2" t="s">
        <v>47</v>
      </c>
      <c r="W2437" s="2" t="s">
        <v>74</v>
      </c>
      <c r="X2437" s="2">
        <v>35.21</v>
      </c>
    </row>
    <row r="2438" spans="1:24" x14ac:dyDescent="0.3">
      <c r="A2438">
        <v>20312</v>
      </c>
      <c r="B2438" t="s">
        <v>6785</v>
      </c>
      <c r="C2438" s="3">
        <v>41393</v>
      </c>
      <c r="D2438" t="s">
        <v>25</v>
      </c>
      <c r="E2438">
        <v>14</v>
      </c>
      <c r="F2438" s="3">
        <f ca="1">41400+(RANDBETWEEN(1,10))</f>
        <v>41405</v>
      </c>
      <c r="G2438" t="s">
        <v>26</v>
      </c>
      <c r="H2438" t="s">
        <v>27</v>
      </c>
      <c r="I2438" t="s">
        <v>86</v>
      </c>
      <c r="J2438">
        <v>1959.44</v>
      </c>
      <c r="K2438">
        <v>0.09</v>
      </c>
      <c r="L2438">
        <v>0.56000000000000005</v>
      </c>
      <c r="M2438">
        <v>16.170000000000002</v>
      </c>
      <c r="N2438">
        <v>1352.0136</v>
      </c>
      <c r="O2438" s="1" t="s">
        <v>87</v>
      </c>
      <c r="P2438" s="1" t="s">
        <v>6786</v>
      </c>
      <c r="Q2438" s="1" t="s">
        <v>6787</v>
      </c>
      <c r="R2438" s="1" t="s">
        <v>90</v>
      </c>
      <c r="S2438" s="1" t="s">
        <v>2953</v>
      </c>
      <c r="T2438" s="1" t="s">
        <v>2954</v>
      </c>
      <c r="U2438" s="2" t="s">
        <v>5674</v>
      </c>
      <c r="V2438" s="2" t="s">
        <v>47</v>
      </c>
      <c r="W2438" s="2" t="s">
        <v>71</v>
      </c>
      <c r="X2438" s="2">
        <v>150.43</v>
      </c>
    </row>
    <row r="2439" spans="1:24" x14ac:dyDescent="0.3">
      <c r="A2439">
        <v>20313</v>
      </c>
      <c r="B2439" t="s">
        <v>6785</v>
      </c>
      <c r="C2439" s="3">
        <v>41393</v>
      </c>
      <c r="D2439" t="s">
        <v>25</v>
      </c>
      <c r="E2439">
        <v>11</v>
      </c>
      <c r="F2439" s="3">
        <f ca="1">41402+(RANDBETWEEN(1,10))</f>
        <v>41405</v>
      </c>
      <c r="G2439" t="s">
        <v>76</v>
      </c>
      <c r="H2439" t="s">
        <v>77</v>
      </c>
      <c r="I2439" t="s">
        <v>86</v>
      </c>
      <c r="J2439">
        <v>13892.235000000001</v>
      </c>
      <c r="K2439">
        <v>0.02</v>
      </c>
      <c r="L2439">
        <v>0.64</v>
      </c>
      <c r="M2439">
        <v>206.22</v>
      </c>
      <c r="N2439">
        <v>7621.39</v>
      </c>
      <c r="O2439" s="1" t="s">
        <v>64</v>
      </c>
      <c r="P2439" s="1" t="s">
        <v>6788</v>
      </c>
      <c r="Q2439" s="1" t="s">
        <v>6789</v>
      </c>
      <c r="R2439" s="1" t="s">
        <v>128</v>
      </c>
      <c r="S2439" s="1" t="s">
        <v>1686</v>
      </c>
      <c r="T2439" s="1" t="s">
        <v>1687</v>
      </c>
      <c r="U2439" s="2" t="s">
        <v>207</v>
      </c>
      <c r="V2439" s="2" t="s">
        <v>83</v>
      </c>
      <c r="W2439" s="2" t="s">
        <v>84</v>
      </c>
      <c r="X2439" s="2">
        <v>1245.93</v>
      </c>
    </row>
    <row r="2440" spans="1:24" x14ac:dyDescent="0.3">
      <c r="A2440">
        <v>20314</v>
      </c>
      <c r="B2440" t="s">
        <v>6790</v>
      </c>
      <c r="C2440" s="3">
        <v>40621</v>
      </c>
      <c r="D2440" t="s">
        <v>39</v>
      </c>
      <c r="E2440">
        <v>10</v>
      </c>
      <c r="F2440" s="3">
        <f ca="1">40621+(RANDBETWEEN(1,10))</f>
        <v>40622</v>
      </c>
      <c r="G2440" t="s">
        <v>26</v>
      </c>
      <c r="H2440" t="s">
        <v>281</v>
      </c>
      <c r="I2440" t="s">
        <v>52</v>
      </c>
      <c r="J2440">
        <v>840.73500000000001</v>
      </c>
      <c r="K2440">
        <v>7.0000000000000007E-2</v>
      </c>
      <c r="L2440">
        <v>0.56000000000000005</v>
      </c>
      <c r="M2440">
        <v>30.065000000000001</v>
      </c>
      <c r="N2440">
        <v>-42.273000000000003</v>
      </c>
      <c r="O2440" s="1" t="s">
        <v>53</v>
      </c>
      <c r="P2440" s="1" t="s">
        <v>4915</v>
      </c>
      <c r="Q2440" s="1" t="s">
        <v>4916</v>
      </c>
      <c r="R2440" s="1" t="s">
        <v>100</v>
      </c>
      <c r="S2440" s="1" t="s">
        <v>4917</v>
      </c>
      <c r="T2440" s="1" t="s">
        <v>4918</v>
      </c>
      <c r="U2440" s="2" t="s">
        <v>5362</v>
      </c>
      <c r="V2440" s="2" t="s">
        <v>36</v>
      </c>
      <c r="W2440" s="2" t="s">
        <v>37</v>
      </c>
      <c r="X2440" s="2">
        <v>101.465</v>
      </c>
    </row>
    <row r="2441" spans="1:24" x14ac:dyDescent="0.3">
      <c r="A2441">
        <v>20315</v>
      </c>
      <c r="B2441" t="s">
        <v>6791</v>
      </c>
      <c r="C2441" s="3">
        <v>40855</v>
      </c>
      <c r="D2441" t="s">
        <v>25</v>
      </c>
      <c r="E2441">
        <v>25</v>
      </c>
      <c r="F2441" s="3">
        <f ca="1">40860+(RANDBETWEEN(1,10))</f>
        <v>40869</v>
      </c>
      <c r="G2441" t="s">
        <v>76</v>
      </c>
      <c r="H2441" t="s">
        <v>77</v>
      </c>
      <c r="I2441" t="s">
        <v>86</v>
      </c>
      <c r="J2441">
        <v>19557.615000000002</v>
      </c>
      <c r="K2441">
        <v>0.09</v>
      </c>
      <c r="L2441">
        <v>0.55000000000000004</v>
      </c>
      <c r="M2441">
        <v>151.62</v>
      </c>
      <c r="N2441">
        <v>3707.5079999999998</v>
      </c>
      <c r="O2441" s="1" t="s">
        <v>53</v>
      </c>
      <c r="P2441" s="1" t="s">
        <v>2813</v>
      </c>
      <c r="Q2441" s="1" t="s">
        <v>2814</v>
      </c>
      <c r="R2441" s="1" t="s">
        <v>56</v>
      </c>
      <c r="S2441" s="1" t="s">
        <v>2815</v>
      </c>
      <c r="T2441" s="1" t="s">
        <v>2816</v>
      </c>
      <c r="U2441" s="2" t="s">
        <v>1924</v>
      </c>
      <c r="V2441" s="2" t="s">
        <v>83</v>
      </c>
      <c r="W2441" s="2" t="s">
        <v>84</v>
      </c>
      <c r="X2441" s="2">
        <v>853.93</v>
      </c>
    </row>
    <row r="2442" spans="1:24" x14ac:dyDescent="0.3">
      <c r="A2442">
        <v>20316</v>
      </c>
      <c r="B2442" t="s">
        <v>6792</v>
      </c>
      <c r="C2442" s="3">
        <v>41817</v>
      </c>
      <c r="D2442" t="s">
        <v>39</v>
      </c>
      <c r="E2442">
        <v>18</v>
      </c>
      <c r="F2442" s="3">
        <f ca="1">41818+(RANDBETWEEN(1,10))</f>
        <v>41826</v>
      </c>
      <c r="G2442" t="s">
        <v>26</v>
      </c>
      <c r="H2442" t="s">
        <v>96</v>
      </c>
      <c r="I2442" t="s">
        <v>28</v>
      </c>
      <c r="J2442">
        <v>2605.4</v>
      </c>
      <c r="K2442">
        <v>0.03</v>
      </c>
      <c r="L2442">
        <v>0.73</v>
      </c>
      <c r="M2442">
        <v>119.7</v>
      </c>
      <c r="N2442">
        <v>-2810.0239999999999</v>
      </c>
      <c r="O2442" s="1" t="s">
        <v>53</v>
      </c>
      <c r="P2442" s="1" t="s">
        <v>3204</v>
      </c>
      <c r="Q2442" s="1" t="s">
        <v>3205</v>
      </c>
      <c r="R2442" s="1" t="s">
        <v>100</v>
      </c>
      <c r="S2442" s="1" t="s">
        <v>3206</v>
      </c>
      <c r="T2442" s="1" t="s">
        <v>3207</v>
      </c>
      <c r="U2442" s="2" t="s">
        <v>5026</v>
      </c>
      <c r="V2442" s="2" t="s">
        <v>83</v>
      </c>
      <c r="W2442" s="2" t="s">
        <v>178</v>
      </c>
      <c r="X2442" s="2">
        <v>145.14500000000001</v>
      </c>
    </row>
    <row r="2443" spans="1:24" x14ac:dyDescent="0.3">
      <c r="A2443">
        <v>20317</v>
      </c>
      <c r="B2443" t="s">
        <v>6792</v>
      </c>
      <c r="C2443" s="3">
        <v>41817</v>
      </c>
      <c r="D2443" t="s">
        <v>39</v>
      </c>
      <c r="E2443">
        <v>2</v>
      </c>
      <c r="F2443" s="3">
        <f ca="1">41818+(RANDBETWEEN(1,10))</f>
        <v>41824</v>
      </c>
      <c r="G2443" t="s">
        <v>26</v>
      </c>
      <c r="H2443" t="s">
        <v>96</v>
      </c>
      <c r="I2443" t="s">
        <v>28</v>
      </c>
      <c r="J2443">
        <v>21.42</v>
      </c>
      <c r="K2443">
        <v>0.01</v>
      </c>
      <c r="L2443">
        <v>0.57999999999999996</v>
      </c>
      <c r="M2443">
        <v>4.2</v>
      </c>
      <c r="N2443">
        <v>-11.368</v>
      </c>
      <c r="O2443" s="1" t="s">
        <v>53</v>
      </c>
      <c r="P2443" s="1" t="s">
        <v>3204</v>
      </c>
      <c r="Q2443" s="1" t="s">
        <v>3205</v>
      </c>
      <c r="R2443" s="1" t="s">
        <v>100</v>
      </c>
      <c r="S2443" s="1" t="s">
        <v>3206</v>
      </c>
      <c r="T2443" s="1" t="s">
        <v>3207</v>
      </c>
      <c r="U2443" s="2" t="s">
        <v>1227</v>
      </c>
      <c r="V2443" s="2" t="s">
        <v>47</v>
      </c>
      <c r="W2443" s="2" t="s">
        <v>104</v>
      </c>
      <c r="X2443" s="2">
        <v>9.73</v>
      </c>
    </row>
    <row r="2444" spans="1:24" x14ac:dyDescent="0.3">
      <c r="A2444">
        <v>20318</v>
      </c>
      <c r="B2444" t="s">
        <v>6792</v>
      </c>
      <c r="C2444" s="3">
        <v>41817</v>
      </c>
      <c r="D2444" t="s">
        <v>39</v>
      </c>
      <c r="E2444">
        <v>18</v>
      </c>
      <c r="F2444" s="3">
        <f ca="1">41819+(RANDBETWEEN(1,10))</f>
        <v>41828</v>
      </c>
      <c r="G2444" t="s">
        <v>156</v>
      </c>
      <c r="H2444" t="s">
        <v>27</v>
      </c>
      <c r="I2444" t="s">
        <v>28</v>
      </c>
      <c r="J2444">
        <v>7940.2749999999996</v>
      </c>
      <c r="K2444">
        <v>7.0000000000000007E-2</v>
      </c>
      <c r="L2444">
        <v>0.55000000000000004</v>
      </c>
      <c r="M2444">
        <v>13.65</v>
      </c>
      <c r="N2444">
        <v>5478.7897499999999</v>
      </c>
      <c r="O2444" s="1" t="s">
        <v>53</v>
      </c>
      <c r="P2444" s="1" t="s">
        <v>3204</v>
      </c>
      <c r="Q2444" s="1" t="s">
        <v>3205</v>
      </c>
      <c r="R2444" s="1" t="s">
        <v>100</v>
      </c>
      <c r="S2444" s="1" t="s">
        <v>3206</v>
      </c>
      <c r="T2444" s="1" t="s">
        <v>3207</v>
      </c>
      <c r="U2444" s="2" t="s">
        <v>1983</v>
      </c>
      <c r="V2444" s="2" t="s">
        <v>36</v>
      </c>
      <c r="W2444" s="2" t="s">
        <v>37</v>
      </c>
      <c r="X2444" s="2">
        <v>545.96500000000003</v>
      </c>
    </row>
    <row r="2445" spans="1:24" x14ac:dyDescent="0.3">
      <c r="A2445">
        <v>20319</v>
      </c>
      <c r="B2445" t="s">
        <v>6793</v>
      </c>
      <c r="C2445" s="3">
        <v>41918</v>
      </c>
      <c r="D2445" t="s">
        <v>39</v>
      </c>
      <c r="E2445">
        <v>2</v>
      </c>
      <c r="F2445" s="3">
        <f ca="1">41920+(RANDBETWEEN(1,10))</f>
        <v>41921</v>
      </c>
      <c r="G2445" t="s">
        <v>26</v>
      </c>
      <c r="H2445" t="s">
        <v>27</v>
      </c>
      <c r="I2445" t="s">
        <v>86</v>
      </c>
      <c r="J2445">
        <v>56.84</v>
      </c>
      <c r="K2445">
        <v>7.0000000000000007E-2</v>
      </c>
      <c r="L2445">
        <v>0.37</v>
      </c>
      <c r="M2445">
        <v>20.09</v>
      </c>
      <c r="N2445">
        <v>-45.534999999999997</v>
      </c>
      <c r="O2445" s="1" t="s">
        <v>40</v>
      </c>
      <c r="P2445" s="1" t="s">
        <v>6323</v>
      </c>
      <c r="Q2445" s="1" t="s">
        <v>6324</v>
      </c>
      <c r="R2445" s="1" t="s">
        <v>43</v>
      </c>
      <c r="S2445" s="1" t="s">
        <v>6325</v>
      </c>
      <c r="T2445" s="1" t="s">
        <v>6326</v>
      </c>
      <c r="U2445" s="2" t="s">
        <v>5165</v>
      </c>
      <c r="V2445" s="2" t="s">
        <v>47</v>
      </c>
      <c r="W2445" s="2" t="s">
        <v>74</v>
      </c>
      <c r="X2445" s="2">
        <v>22.68</v>
      </c>
    </row>
    <row r="2446" spans="1:24" x14ac:dyDescent="0.3">
      <c r="A2446">
        <v>20320</v>
      </c>
      <c r="B2446" t="s">
        <v>6794</v>
      </c>
      <c r="C2446" s="3">
        <v>41388</v>
      </c>
      <c r="D2446" t="s">
        <v>39</v>
      </c>
      <c r="E2446">
        <v>13</v>
      </c>
      <c r="F2446" s="3">
        <f ca="1">41390+(RANDBETWEEN(1,10))</f>
        <v>41400</v>
      </c>
      <c r="G2446" t="s">
        <v>76</v>
      </c>
      <c r="H2446" t="s">
        <v>77</v>
      </c>
      <c r="I2446" t="s">
        <v>52</v>
      </c>
      <c r="J2446">
        <v>5372.6750000000002</v>
      </c>
      <c r="K2446">
        <v>0.09</v>
      </c>
      <c r="L2446">
        <v>0.56000000000000005</v>
      </c>
      <c r="M2446">
        <v>62.475000000000001</v>
      </c>
      <c r="N2446">
        <v>3707.1457500000001</v>
      </c>
      <c r="O2446" s="1" t="s">
        <v>64</v>
      </c>
      <c r="P2446" s="1" t="s">
        <v>2330</v>
      </c>
      <c r="Q2446" s="1" t="s">
        <v>2331</v>
      </c>
      <c r="R2446" s="1" t="s">
        <v>128</v>
      </c>
      <c r="S2446" s="1" t="s">
        <v>2332</v>
      </c>
      <c r="T2446" s="1" t="s">
        <v>2333</v>
      </c>
      <c r="U2446" s="2" t="s">
        <v>881</v>
      </c>
      <c r="V2446" s="2" t="s">
        <v>36</v>
      </c>
      <c r="W2446" s="2" t="s">
        <v>142</v>
      </c>
      <c r="X2446" s="2">
        <v>509.07499999999999</v>
      </c>
    </row>
    <row r="2447" spans="1:24" x14ac:dyDescent="0.3">
      <c r="A2447">
        <v>20321</v>
      </c>
      <c r="B2447" t="s">
        <v>6795</v>
      </c>
      <c r="C2447" s="3">
        <v>41754</v>
      </c>
      <c r="D2447" t="s">
        <v>50</v>
      </c>
      <c r="E2447">
        <v>1</v>
      </c>
      <c r="F2447" s="3">
        <f ca="1">41756+(RANDBETWEEN(1,10))</f>
        <v>41758</v>
      </c>
      <c r="G2447" t="s">
        <v>26</v>
      </c>
      <c r="H2447" t="s">
        <v>96</v>
      </c>
      <c r="I2447" t="s">
        <v>86</v>
      </c>
      <c r="J2447">
        <v>4.62</v>
      </c>
      <c r="K2447">
        <v>0.1</v>
      </c>
      <c r="L2447">
        <v>0.38</v>
      </c>
      <c r="M2447">
        <v>2.4500000000000002</v>
      </c>
      <c r="N2447">
        <v>-6.02</v>
      </c>
      <c r="O2447" s="1" t="s">
        <v>225</v>
      </c>
      <c r="P2447" s="1" t="s">
        <v>6796</v>
      </c>
      <c r="Q2447" s="1" t="s">
        <v>6797</v>
      </c>
      <c r="R2447" s="1" t="s">
        <v>391</v>
      </c>
      <c r="S2447" s="1" t="s">
        <v>515</v>
      </c>
      <c r="T2447" s="1" t="s">
        <v>516</v>
      </c>
      <c r="U2447" s="2" t="s">
        <v>293</v>
      </c>
      <c r="V2447" s="2" t="s">
        <v>47</v>
      </c>
      <c r="W2447" s="2" t="s">
        <v>176</v>
      </c>
      <c r="X2447" s="2">
        <v>3.99</v>
      </c>
    </row>
    <row r="2448" spans="1:24" x14ac:dyDescent="0.3">
      <c r="A2448">
        <v>20322</v>
      </c>
      <c r="B2448" t="s">
        <v>6798</v>
      </c>
      <c r="C2448" s="3">
        <v>41445</v>
      </c>
      <c r="D2448" t="s">
        <v>50</v>
      </c>
      <c r="E2448">
        <v>6</v>
      </c>
      <c r="F2448" s="3">
        <f ca="1">41446+(RANDBETWEEN(1,10))</f>
        <v>41451</v>
      </c>
      <c r="G2448" t="s">
        <v>26</v>
      </c>
      <c r="H2448" t="s">
        <v>27</v>
      </c>
      <c r="I2448" t="s">
        <v>97</v>
      </c>
      <c r="J2448">
        <v>1946.7</v>
      </c>
      <c r="K2448">
        <v>0.01</v>
      </c>
      <c r="L2448">
        <v>0.4</v>
      </c>
      <c r="M2448">
        <v>69.965000000000003</v>
      </c>
      <c r="N2448">
        <v>-14.994</v>
      </c>
      <c r="O2448" s="1" t="s">
        <v>40</v>
      </c>
      <c r="P2448" s="1" t="s">
        <v>3435</v>
      </c>
      <c r="Q2448" s="1" t="s">
        <v>3436</v>
      </c>
      <c r="R2448" s="1" t="s">
        <v>43</v>
      </c>
      <c r="S2448" s="1" t="s">
        <v>3113</v>
      </c>
      <c r="T2448" s="1" t="s">
        <v>3114</v>
      </c>
      <c r="U2448" s="2" t="s">
        <v>2845</v>
      </c>
      <c r="V2448" s="2" t="s">
        <v>47</v>
      </c>
      <c r="W2448" s="2" t="s">
        <v>48</v>
      </c>
      <c r="X2448" s="2">
        <v>316.68</v>
      </c>
    </row>
    <row r="2449" spans="1:24" x14ac:dyDescent="0.3">
      <c r="A2449">
        <v>20323</v>
      </c>
      <c r="B2449" t="s">
        <v>6799</v>
      </c>
      <c r="C2449" s="3">
        <v>41182</v>
      </c>
      <c r="D2449" t="s">
        <v>148</v>
      </c>
      <c r="E2449">
        <v>3</v>
      </c>
      <c r="F2449" s="3">
        <f ca="1">41183+(RANDBETWEEN(1,10))</f>
        <v>41189</v>
      </c>
      <c r="G2449" t="s">
        <v>26</v>
      </c>
      <c r="H2449" t="s">
        <v>27</v>
      </c>
      <c r="I2449" t="s">
        <v>86</v>
      </c>
      <c r="J2449">
        <v>276.46499999999997</v>
      </c>
      <c r="K2449">
        <v>0.01</v>
      </c>
      <c r="L2449">
        <v>0.39</v>
      </c>
      <c r="M2449">
        <v>59.045000000000002</v>
      </c>
      <c r="N2449">
        <v>-148.33000000000001</v>
      </c>
      <c r="O2449" s="1" t="s">
        <v>87</v>
      </c>
      <c r="P2449" s="1" t="s">
        <v>2403</v>
      </c>
      <c r="Q2449" s="1" t="s">
        <v>2404</v>
      </c>
      <c r="R2449" s="1" t="s">
        <v>90</v>
      </c>
      <c r="S2449" s="1" t="s">
        <v>2405</v>
      </c>
      <c r="T2449" s="1" t="s">
        <v>2406</v>
      </c>
      <c r="U2449" s="2" t="s">
        <v>6800</v>
      </c>
      <c r="V2449" s="2" t="s">
        <v>47</v>
      </c>
      <c r="W2449" s="2" t="s">
        <v>74</v>
      </c>
      <c r="X2449" s="2">
        <v>79.94</v>
      </c>
    </row>
    <row r="2450" spans="1:24" x14ac:dyDescent="0.3">
      <c r="A2450">
        <v>20324</v>
      </c>
      <c r="B2450" t="s">
        <v>6801</v>
      </c>
      <c r="C2450" s="3">
        <v>40749</v>
      </c>
      <c r="D2450" t="s">
        <v>39</v>
      </c>
      <c r="E2450">
        <v>3</v>
      </c>
      <c r="F2450" s="3">
        <f ca="1">40750+(RANDBETWEEN(1,10))</f>
        <v>40751</v>
      </c>
      <c r="G2450" t="s">
        <v>26</v>
      </c>
      <c r="H2450" t="s">
        <v>27</v>
      </c>
      <c r="I2450" t="s">
        <v>28</v>
      </c>
      <c r="J2450">
        <v>118.37</v>
      </c>
      <c r="K2450">
        <v>0.03</v>
      </c>
      <c r="L2450">
        <v>0.59</v>
      </c>
      <c r="M2450">
        <v>15.75</v>
      </c>
      <c r="N2450">
        <v>-65.239999999999995</v>
      </c>
      <c r="O2450" s="1" t="s">
        <v>64</v>
      </c>
      <c r="P2450" s="1" t="s">
        <v>1863</v>
      </c>
      <c r="Q2450" s="1" t="s">
        <v>1864</v>
      </c>
      <c r="R2450" s="1" t="s">
        <v>67</v>
      </c>
      <c r="S2450" s="1" t="s">
        <v>1865</v>
      </c>
      <c r="T2450" s="1" t="s">
        <v>1866</v>
      </c>
      <c r="U2450" s="2" t="s">
        <v>767</v>
      </c>
      <c r="V2450" s="2" t="s">
        <v>47</v>
      </c>
      <c r="W2450" s="2" t="s">
        <v>71</v>
      </c>
      <c r="X2450" s="2">
        <v>38.115000000000002</v>
      </c>
    </row>
    <row r="2451" spans="1:24" x14ac:dyDescent="0.3">
      <c r="A2451">
        <v>20325</v>
      </c>
      <c r="B2451" t="s">
        <v>6802</v>
      </c>
      <c r="C2451" s="3">
        <v>40549</v>
      </c>
      <c r="D2451" t="s">
        <v>62</v>
      </c>
      <c r="E2451">
        <v>4</v>
      </c>
      <c r="F2451" s="3">
        <f ca="1">40550+(RANDBETWEEN(1,10))</f>
        <v>40553</v>
      </c>
      <c r="G2451" t="s">
        <v>26</v>
      </c>
      <c r="H2451" t="s">
        <v>96</v>
      </c>
      <c r="I2451" t="s">
        <v>52</v>
      </c>
      <c r="J2451">
        <v>30.52</v>
      </c>
      <c r="K2451">
        <v>0.03</v>
      </c>
      <c r="L2451">
        <v>0.56999999999999995</v>
      </c>
      <c r="M2451">
        <v>2.4500000000000002</v>
      </c>
      <c r="N2451">
        <v>-5158.6710000000003</v>
      </c>
      <c r="O2451" s="1" t="s">
        <v>87</v>
      </c>
      <c r="P2451" s="1" t="s">
        <v>5501</v>
      </c>
      <c r="Q2451" s="1" t="s">
        <v>5502</v>
      </c>
      <c r="R2451" s="1" t="s">
        <v>497</v>
      </c>
      <c r="S2451" s="1" t="s">
        <v>5503</v>
      </c>
      <c r="T2451" s="1" t="s">
        <v>5504</v>
      </c>
      <c r="U2451" s="2" t="s">
        <v>6803</v>
      </c>
      <c r="V2451" s="2" t="s">
        <v>47</v>
      </c>
      <c r="W2451" s="2" t="s">
        <v>104</v>
      </c>
      <c r="X2451" s="2">
        <v>7.35</v>
      </c>
    </row>
    <row r="2452" spans="1:24" x14ac:dyDescent="0.3">
      <c r="A2452">
        <v>20326</v>
      </c>
      <c r="B2452" t="s">
        <v>6804</v>
      </c>
      <c r="C2452" s="3">
        <v>41910</v>
      </c>
      <c r="D2452" t="s">
        <v>39</v>
      </c>
      <c r="E2452">
        <v>22</v>
      </c>
      <c r="F2452" s="3">
        <f ca="1">41912+(RANDBETWEEN(1,10))</f>
        <v>41914</v>
      </c>
      <c r="G2452" t="s">
        <v>26</v>
      </c>
      <c r="H2452" t="s">
        <v>96</v>
      </c>
      <c r="I2452" t="s">
        <v>28</v>
      </c>
      <c r="J2452">
        <v>3184.6149999999998</v>
      </c>
      <c r="K2452">
        <v>0.02</v>
      </c>
      <c r="L2452">
        <v>0.65</v>
      </c>
      <c r="M2452">
        <v>32.200000000000003</v>
      </c>
      <c r="N2452">
        <v>1282.0626</v>
      </c>
      <c r="O2452" s="1" t="s">
        <v>87</v>
      </c>
      <c r="P2452" s="1" t="s">
        <v>5512</v>
      </c>
      <c r="Q2452" s="1" t="s">
        <v>5513</v>
      </c>
      <c r="R2452" s="1" t="s">
        <v>90</v>
      </c>
      <c r="S2452" s="1" t="s">
        <v>5514</v>
      </c>
      <c r="T2452" s="1" t="s">
        <v>5515</v>
      </c>
      <c r="U2452" s="2" t="s">
        <v>5818</v>
      </c>
      <c r="V2452" s="2" t="s">
        <v>83</v>
      </c>
      <c r="W2452" s="2" t="s">
        <v>178</v>
      </c>
      <c r="X2452" s="2">
        <v>139.93</v>
      </c>
    </row>
    <row r="2453" spans="1:24" x14ac:dyDescent="0.3">
      <c r="A2453">
        <v>20327</v>
      </c>
      <c r="B2453" t="s">
        <v>6805</v>
      </c>
      <c r="C2453" s="3">
        <v>41999</v>
      </c>
      <c r="D2453" t="s">
        <v>39</v>
      </c>
      <c r="E2453">
        <v>19</v>
      </c>
      <c r="F2453" s="3">
        <f ca="1">42001+(RANDBETWEEN(1,10))</f>
        <v>42011</v>
      </c>
      <c r="G2453" t="s">
        <v>26</v>
      </c>
      <c r="H2453" t="s">
        <v>27</v>
      </c>
      <c r="I2453" t="s">
        <v>97</v>
      </c>
      <c r="J2453">
        <v>167.51</v>
      </c>
      <c r="K2453">
        <v>0.04</v>
      </c>
      <c r="L2453">
        <v>0.39</v>
      </c>
      <c r="M2453">
        <v>1.75</v>
      </c>
      <c r="N2453">
        <v>115.5819</v>
      </c>
      <c r="O2453" s="1" t="s">
        <v>53</v>
      </c>
      <c r="P2453" s="1" t="s">
        <v>4038</v>
      </c>
      <c r="Q2453" s="1" t="s">
        <v>4039</v>
      </c>
      <c r="R2453" s="1" t="s">
        <v>100</v>
      </c>
      <c r="S2453" s="1" t="s">
        <v>4040</v>
      </c>
      <c r="T2453" s="1" t="s">
        <v>4041</v>
      </c>
      <c r="U2453" s="2" t="s">
        <v>1706</v>
      </c>
      <c r="V2453" s="2" t="s">
        <v>47</v>
      </c>
      <c r="W2453" s="2" t="s">
        <v>203</v>
      </c>
      <c r="X2453" s="2">
        <v>9.1349999999999998</v>
      </c>
    </row>
    <row r="2454" spans="1:24" x14ac:dyDescent="0.3">
      <c r="A2454">
        <v>20328</v>
      </c>
      <c r="B2454" t="s">
        <v>6806</v>
      </c>
      <c r="C2454" s="3">
        <v>41965</v>
      </c>
      <c r="D2454" t="s">
        <v>25</v>
      </c>
      <c r="E2454">
        <v>44</v>
      </c>
      <c r="F2454" s="3">
        <f ca="1">41969+(RANDBETWEEN(1,10))</f>
        <v>41977</v>
      </c>
      <c r="G2454" t="s">
        <v>26</v>
      </c>
      <c r="H2454" t="s">
        <v>27</v>
      </c>
      <c r="I2454" t="s">
        <v>28</v>
      </c>
      <c r="J2454">
        <v>7760.2</v>
      </c>
      <c r="K2454">
        <v>0.04</v>
      </c>
      <c r="L2454">
        <v>0.35</v>
      </c>
      <c r="M2454">
        <v>20.51</v>
      </c>
      <c r="N2454">
        <v>1477.98</v>
      </c>
      <c r="O2454" s="1" t="s">
        <v>225</v>
      </c>
      <c r="P2454" s="1" t="s">
        <v>6358</v>
      </c>
      <c r="Q2454" s="1" t="s">
        <v>6359</v>
      </c>
      <c r="R2454" s="1" t="s">
        <v>228</v>
      </c>
      <c r="S2454" s="1" t="s">
        <v>6360</v>
      </c>
      <c r="T2454" s="1" t="s">
        <v>886</v>
      </c>
      <c r="U2454" s="2" t="s">
        <v>3499</v>
      </c>
      <c r="V2454" s="2" t="s">
        <v>47</v>
      </c>
      <c r="W2454" s="2" t="s">
        <v>74</v>
      </c>
      <c r="X2454" s="2">
        <v>171.29</v>
      </c>
    </row>
    <row r="2455" spans="1:24" x14ac:dyDescent="0.3">
      <c r="A2455">
        <v>20329</v>
      </c>
      <c r="B2455" t="s">
        <v>6807</v>
      </c>
      <c r="C2455" s="3">
        <v>41384</v>
      </c>
      <c r="D2455" t="s">
        <v>148</v>
      </c>
      <c r="E2455">
        <v>12</v>
      </c>
      <c r="F2455" s="3">
        <f ca="1">41385+(RANDBETWEEN(1,10))</f>
        <v>41394</v>
      </c>
      <c r="G2455" t="s">
        <v>156</v>
      </c>
      <c r="H2455" t="s">
        <v>27</v>
      </c>
      <c r="I2455" t="s">
        <v>97</v>
      </c>
      <c r="J2455">
        <v>288.82</v>
      </c>
      <c r="K2455">
        <v>0.05</v>
      </c>
      <c r="L2455">
        <v>0.37</v>
      </c>
      <c r="M2455">
        <v>24.254999999999999</v>
      </c>
      <c r="N2455">
        <v>-85.700999999999993</v>
      </c>
      <c r="O2455" s="1" t="s">
        <v>87</v>
      </c>
      <c r="P2455" s="1" t="s">
        <v>5275</v>
      </c>
      <c r="Q2455" s="1" t="s">
        <v>5276</v>
      </c>
      <c r="R2455" s="1" t="s">
        <v>646</v>
      </c>
      <c r="S2455" s="1" t="s">
        <v>5277</v>
      </c>
      <c r="T2455" s="1" t="s">
        <v>5278</v>
      </c>
      <c r="U2455" s="2" t="s">
        <v>2817</v>
      </c>
      <c r="V2455" s="2" t="s">
        <v>47</v>
      </c>
      <c r="W2455" s="2" t="s">
        <v>74</v>
      </c>
      <c r="X2455" s="2">
        <v>23.38</v>
      </c>
    </row>
    <row r="2456" spans="1:24" x14ac:dyDescent="0.3">
      <c r="A2456">
        <v>20330</v>
      </c>
      <c r="B2456" t="s">
        <v>6807</v>
      </c>
      <c r="C2456" s="3">
        <v>41384</v>
      </c>
      <c r="D2456" t="s">
        <v>148</v>
      </c>
      <c r="E2456">
        <v>7</v>
      </c>
      <c r="F2456" s="3">
        <f ca="1">41386+(RANDBETWEEN(1,10))</f>
        <v>41389</v>
      </c>
      <c r="G2456" t="s">
        <v>26</v>
      </c>
      <c r="H2456" t="s">
        <v>63</v>
      </c>
      <c r="I2456" t="s">
        <v>97</v>
      </c>
      <c r="J2456">
        <v>2547.4749999999999</v>
      </c>
      <c r="K2456">
        <v>0.01</v>
      </c>
      <c r="L2456" t="s">
        <v>182</v>
      </c>
      <c r="M2456">
        <v>122.5</v>
      </c>
      <c r="N2456">
        <v>-458.68900000000002</v>
      </c>
      <c r="O2456" s="1" t="s">
        <v>87</v>
      </c>
      <c r="P2456" s="1" t="s">
        <v>5275</v>
      </c>
      <c r="Q2456" s="1" t="s">
        <v>5276</v>
      </c>
      <c r="R2456" s="1" t="s">
        <v>646</v>
      </c>
      <c r="S2456" s="1" t="s">
        <v>5277</v>
      </c>
      <c r="T2456" s="1" t="s">
        <v>5278</v>
      </c>
      <c r="U2456" s="2" t="s">
        <v>186</v>
      </c>
      <c r="V2456" s="2" t="s">
        <v>47</v>
      </c>
      <c r="W2456" s="2" t="s">
        <v>119</v>
      </c>
      <c r="X2456" s="2">
        <v>335.96499999999997</v>
      </c>
    </row>
    <row r="2457" spans="1:24" x14ac:dyDescent="0.3">
      <c r="A2457">
        <v>20331</v>
      </c>
      <c r="B2457" t="s">
        <v>6808</v>
      </c>
      <c r="C2457" s="3">
        <v>41708</v>
      </c>
      <c r="D2457" t="s">
        <v>39</v>
      </c>
      <c r="E2457">
        <v>12</v>
      </c>
      <c r="F2457" s="3">
        <f ca="1">41710+(RANDBETWEEN(1,10))</f>
        <v>41715</v>
      </c>
      <c r="G2457" t="s">
        <v>26</v>
      </c>
      <c r="H2457" t="s">
        <v>27</v>
      </c>
      <c r="I2457" t="s">
        <v>52</v>
      </c>
      <c r="J2457">
        <v>2219</v>
      </c>
      <c r="K2457">
        <v>0.08</v>
      </c>
      <c r="L2457">
        <v>0.36</v>
      </c>
      <c r="M2457">
        <v>48.58</v>
      </c>
      <c r="N2457">
        <v>1531.11</v>
      </c>
      <c r="O2457" s="1" t="s">
        <v>64</v>
      </c>
      <c r="P2457" s="1" t="s">
        <v>1465</v>
      </c>
      <c r="Q2457" s="1" t="s">
        <v>1466</v>
      </c>
      <c r="R2457" s="1" t="s">
        <v>67</v>
      </c>
      <c r="S2457" s="1" t="s">
        <v>1467</v>
      </c>
      <c r="T2457" s="1" t="s">
        <v>1468</v>
      </c>
      <c r="U2457" s="2" t="s">
        <v>3437</v>
      </c>
      <c r="V2457" s="2" t="s">
        <v>47</v>
      </c>
      <c r="W2457" s="2" t="s">
        <v>74</v>
      </c>
      <c r="X2457" s="2">
        <v>195.93</v>
      </c>
    </row>
    <row r="2458" spans="1:24" x14ac:dyDescent="0.3">
      <c r="A2458">
        <v>20332</v>
      </c>
      <c r="B2458" t="s">
        <v>6808</v>
      </c>
      <c r="C2458" s="3">
        <v>41708</v>
      </c>
      <c r="D2458" t="s">
        <v>39</v>
      </c>
      <c r="E2458">
        <v>9</v>
      </c>
      <c r="F2458" s="3">
        <f ca="1">41709+(RANDBETWEEN(1,10))</f>
        <v>41716</v>
      </c>
      <c r="G2458" t="s">
        <v>156</v>
      </c>
      <c r="H2458" t="s">
        <v>27</v>
      </c>
      <c r="I2458" t="s">
        <v>52</v>
      </c>
      <c r="J2458">
        <v>191.27500000000001</v>
      </c>
      <c r="K2458">
        <v>0.05</v>
      </c>
      <c r="L2458">
        <v>0.36</v>
      </c>
      <c r="M2458">
        <v>17.36</v>
      </c>
      <c r="N2458">
        <v>-162.505</v>
      </c>
      <c r="O2458" s="1" t="s">
        <v>64</v>
      </c>
      <c r="P2458" s="1" t="s">
        <v>1465</v>
      </c>
      <c r="Q2458" s="1" t="s">
        <v>1466</v>
      </c>
      <c r="R2458" s="1" t="s">
        <v>67</v>
      </c>
      <c r="S2458" s="1" t="s">
        <v>1467</v>
      </c>
      <c r="T2458" s="1" t="s">
        <v>1468</v>
      </c>
      <c r="U2458" s="2" t="s">
        <v>1834</v>
      </c>
      <c r="V2458" s="2" t="s">
        <v>47</v>
      </c>
      <c r="W2458" s="2" t="s">
        <v>74</v>
      </c>
      <c r="X2458" s="2">
        <v>20.23</v>
      </c>
    </row>
    <row r="2459" spans="1:24" x14ac:dyDescent="0.3">
      <c r="A2459">
        <v>20333</v>
      </c>
      <c r="B2459" t="s">
        <v>6809</v>
      </c>
      <c r="C2459" s="3">
        <v>41638</v>
      </c>
      <c r="D2459" t="s">
        <v>25</v>
      </c>
      <c r="E2459">
        <v>15</v>
      </c>
      <c r="F2459" s="3">
        <f ca="1">41640+(RANDBETWEEN(1,10))</f>
        <v>41644</v>
      </c>
      <c r="G2459" t="s">
        <v>26</v>
      </c>
      <c r="H2459" t="s">
        <v>27</v>
      </c>
      <c r="I2459" t="s">
        <v>28</v>
      </c>
      <c r="J2459">
        <v>1543.78</v>
      </c>
      <c r="K2459">
        <v>0.08</v>
      </c>
      <c r="L2459">
        <v>0.37</v>
      </c>
      <c r="M2459">
        <v>5.2149999999999999</v>
      </c>
      <c r="N2459">
        <v>1065.2082</v>
      </c>
      <c r="O2459" s="1" t="s">
        <v>40</v>
      </c>
      <c r="P2459" s="1" t="s">
        <v>957</v>
      </c>
      <c r="Q2459" s="1" t="s">
        <v>958</v>
      </c>
      <c r="R2459" s="1" t="s">
        <v>220</v>
      </c>
      <c r="S2459" s="1" t="s">
        <v>959</v>
      </c>
      <c r="T2459" s="1" t="s">
        <v>960</v>
      </c>
      <c r="U2459" s="2" t="s">
        <v>6810</v>
      </c>
      <c r="V2459" s="2" t="s">
        <v>47</v>
      </c>
      <c r="W2459" s="2" t="s">
        <v>111</v>
      </c>
      <c r="X2459" s="2">
        <v>106.54</v>
      </c>
    </row>
    <row r="2460" spans="1:24" x14ac:dyDescent="0.3">
      <c r="A2460">
        <v>20334</v>
      </c>
      <c r="B2460" t="s">
        <v>6809</v>
      </c>
      <c r="C2460" s="3">
        <v>41638</v>
      </c>
      <c r="D2460" t="s">
        <v>25</v>
      </c>
      <c r="E2460">
        <v>13</v>
      </c>
      <c r="F2460" s="3">
        <f ca="1">41640+(RANDBETWEEN(1,10))</f>
        <v>41645</v>
      </c>
      <c r="G2460" t="s">
        <v>26</v>
      </c>
      <c r="H2460" t="s">
        <v>27</v>
      </c>
      <c r="I2460" t="s">
        <v>28</v>
      </c>
      <c r="J2460">
        <v>301.59500000000003</v>
      </c>
      <c r="K2460">
        <v>0.04</v>
      </c>
      <c r="L2460">
        <v>0.37</v>
      </c>
      <c r="M2460">
        <v>20.09</v>
      </c>
      <c r="N2460">
        <v>-91.367500000000007</v>
      </c>
      <c r="O2460" s="1" t="s">
        <v>40</v>
      </c>
      <c r="P2460" s="1" t="s">
        <v>957</v>
      </c>
      <c r="Q2460" s="1" t="s">
        <v>958</v>
      </c>
      <c r="R2460" s="1" t="s">
        <v>220</v>
      </c>
      <c r="S2460" s="1" t="s">
        <v>959</v>
      </c>
      <c r="T2460" s="1" t="s">
        <v>960</v>
      </c>
      <c r="U2460" s="2" t="s">
        <v>5165</v>
      </c>
      <c r="V2460" s="2" t="s">
        <v>47</v>
      </c>
      <c r="W2460" s="2" t="s">
        <v>74</v>
      </c>
      <c r="X2460" s="2">
        <v>22.68</v>
      </c>
    </row>
    <row r="2461" spans="1:24" x14ac:dyDescent="0.3">
      <c r="A2461">
        <v>20335</v>
      </c>
      <c r="B2461" t="s">
        <v>6811</v>
      </c>
      <c r="C2461" s="3">
        <v>41077</v>
      </c>
      <c r="D2461" t="s">
        <v>39</v>
      </c>
      <c r="E2461">
        <v>2</v>
      </c>
      <c r="F2461" s="3">
        <f ca="1">41078+(RANDBETWEEN(1,10))</f>
        <v>41079</v>
      </c>
      <c r="G2461" t="s">
        <v>26</v>
      </c>
      <c r="H2461" t="s">
        <v>27</v>
      </c>
      <c r="I2461" t="s">
        <v>97</v>
      </c>
      <c r="J2461">
        <v>292.91500000000002</v>
      </c>
      <c r="K2461">
        <v>0.1</v>
      </c>
      <c r="L2461">
        <v>0.64</v>
      </c>
      <c r="M2461">
        <v>14</v>
      </c>
      <c r="N2461">
        <v>-370.02</v>
      </c>
      <c r="O2461" s="1" t="s">
        <v>53</v>
      </c>
      <c r="P2461" s="1" t="s">
        <v>6812</v>
      </c>
      <c r="Q2461" s="1" t="s">
        <v>6813</v>
      </c>
      <c r="R2461" s="1" t="s">
        <v>56</v>
      </c>
      <c r="S2461" s="1" t="s">
        <v>6814</v>
      </c>
      <c r="T2461" s="1" t="s">
        <v>6815</v>
      </c>
      <c r="U2461" s="2" t="s">
        <v>4657</v>
      </c>
      <c r="V2461" s="2" t="s">
        <v>36</v>
      </c>
      <c r="W2461" s="2" t="s">
        <v>60</v>
      </c>
      <c r="X2461" s="2">
        <v>151.27000000000001</v>
      </c>
    </row>
    <row r="2462" spans="1:24" x14ac:dyDescent="0.3">
      <c r="A2462">
        <v>20336</v>
      </c>
      <c r="B2462" t="s">
        <v>6811</v>
      </c>
      <c r="C2462" s="3">
        <v>41077</v>
      </c>
      <c r="D2462" t="s">
        <v>39</v>
      </c>
      <c r="E2462">
        <v>7</v>
      </c>
      <c r="F2462" s="3">
        <f ca="1">41079+(RANDBETWEEN(1,10))</f>
        <v>41088</v>
      </c>
      <c r="G2462" t="s">
        <v>26</v>
      </c>
      <c r="H2462" t="s">
        <v>27</v>
      </c>
      <c r="I2462" t="s">
        <v>97</v>
      </c>
      <c r="J2462">
        <v>1397.375</v>
      </c>
      <c r="K2462">
        <v>0</v>
      </c>
      <c r="L2462">
        <v>0.59</v>
      </c>
      <c r="M2462">
        <v>69.965000000000003</v>
      </c>
      <c r="N2462">
        <v>-562.9316</v>
      </c>
      <c r="O2462" s="1" t="s">
        <v>53</v>
      </c>
      <c r="P2462" s="1" t="s">
        <v>6812</v>
      </c>
      <c r="Q2462" s="1" t="s">
        <v>6813</v>
      </c>
      <c r="R2462" s="1" t="s">
        <v>56</v>
      </c>
      <c r="S2462" s="1" t="s">
        <v>6814</v>
      </c>
      <c r="T2462" s="1" t="s">
        <v>6815</v>
      </c>
      <c r="U2462" s="2" t="s">
        <v>730</v>
      </c>
      <c r="V2462" s="2" t="s">
        <v>36</v>
      </c>
      <c r="W2462" s="2" t="s">
        <v>37</v>
      </c>
      <c r="X2462" s="2">
        <v>230.965</v>
      </c>
    </row>
    <row r="2463" spans="1:24" x14ac:dyDescent="0.3">
      <c r="A2463">
        <v>20337</v>
      </c>
      <c r="B2463" t="s">
        <v>6816</v>
      </c>
      <c r="C2463" s="3">
        <v>41654</v>
      </c>
      <c r="D2463" t="s">
        <v>148</v>
      </c>
      <c r="E2463">
        <v>13</v>
      </c>
      <c r="F2463" s="3">
        <f ca="1">41655+(RANDBETWEEN(1,10))</f>
        <v>41664</v>
      </c>
      <c r="G2463" t="s">
        <v>26</v>
      </c>
      <c r="H2463" t="s">
        <v>27</v>
      </c>
      <c r="I2463" t="s">
        <v>86</v>
      </c>
      <c r="J2463">
        <v>1503.0050000000001</v>
      </c>
      <c r="K2463">
        <v>0.08</v>
      </c>
      <c r="L2463">
        <v>0.38</v>
      </c>
      <c r="M2463">
        <v>17.22</v>
      </c>
      <c r="N2463">
        <v>1037.0734500000001</v>
      </c>
      <c r="O2463" s="1" t="s">
        <v>40</v>
      </c>
      <c r="P2463" s="1" t="s">
        <v>6781</v>
      </c>
      <c r="Q2463" s="1" t="s">
        <v>6782</v>
      </c>
      <c r="R2463" s="1" t="s">
        <v>43</v>
      </c>
      <c r="S2463" s="1" t="s">
        <v>6783</v>
      </c>
      <c r="T2463" s="1" t="s">
        <v>6784</v>
      </c>
      <c r="U2463" s="2" t="s">
        <v>6817</v>
      </c>
      <c r="V2463" s="2" t="s">
        <v>47</v>
      </c>
      <c r="W2463" s="2" t="s">
        <v>74</v>
      </c>
      <c r="X2463" s="2">
        <v>124.04</v>
      </c>
    </row>
    <row r="2464" spans="1:24" x14ac:dyDescent="0.3">
      <c r="A2464">
        <v>20338</v>
      </c>
      <c r="B2464" t="s">
        <v>6816</v>
      </c>
      <c r="C2464" s="3">
        <v>41654</v>
      </c>
      <c r="D2464" t="s">
        <v>148</v>
      </c>
      <c r="E2464">
        <v>8</v>
      </c>
      <c r="F2464" s="3">
        <f ca="1">41656+(RANDBETWEEN(1,10))</f>
        <v>41660</v>
      </c>
      <c r="G2464" t="s">
        <v>26</v>
      </c>
      <c r="H2464" t="s">
        <v>96</v>
      </c>
      <c r="I2464" t="s">
        <v>86</v>
      </c>
      <c r="J2464">
        <v>201.46</v>
      </c>
      <c r="K2464">
        <v>0.09</v>
      </c>
      <c r="L2464">
        <v>0.4</v>
      </c>
      <c r="M2464">
        <v>5.9850000000000003</v>
      </c>
      <c r="N2464">
        <v>139.00739999999999</v>
      </c>
      <c r="O2464" s="1" t="s">
        <v>53</v>
      </c>
      <c r="P2464" s="1" t="s">
        <v>6818</v>
      </c>
      <c r="Q2464" s="1" t="s">
        <v>6819</v>
      </c>
      <c r="R2464" s="1" t="s">
        <v>100</v>
      </c>
      <c r="S2464" s="1" t="s">
        <v>6820</v>
      </c>
      <c r="T2464" s="1" t="s">
        <v>6821</v>
      </c>
      <c r="U2464" s="2" t="s">
        <v>5167</v>
      </c>
      <c r="V2464" s="2" t="s">
        <v>47</v>
      </c>
      <c r="W2464" s="2" t="s">
        <v>74</v>
      </c>
      <c r="X2464" s="2">
        <v>25.9</v>
      </c>
    </row>
    <row r="2465" spans="1:24" x14ac:dyDescent="0.3">
      <c r="A2465">
        <v>20339</v>
      </c>
      <c r="B2465" t="s">
        <v>6822</v>
      </c>
      <c r="C2465" s="3">
        <v>41205</v>
      </c>
      <c r="D2465" t="s">
        <v>25</v>
      </c>
      <c r="E2465">
        <v>10</v>
      </c>
      <c r="F2465" s="3">
        <f ca="1">41212+(RANDBETWEEN(1,10))</f>
        <v>41219</v>
      </c>
      <c r="G2465" t="s">
        <v>26</v>
      </c>
      <c r="H2465" t="s">
        <v>96</v>
      </c>
      <c r="I2465" t="s">
        <v>52</v>
      </c>
      <c r="J2465">
        <v>241.60499999999999</v>
      </c>
      <c r="K2465">
        <v>7.0000000000000007E-2</v>
      </c>
      <c r="L2465">
        <v>0.38</v>
      </c>
      <c r="M2465">
        <v>7.5949999999999998</v>
      </c>
      <c r="N2465">
        <v>107.0972</v>
      </c>
      <c r="O2465" s="1" t="s">
        <v>29</v>
      </c>
      <c r="P2465" s="1" t="s">
        <v>6823</v>
      </c>
      <c r="Q2465" s="1" t="s">
        <v>6824</v>
      </c>
      <c r="R2465" s="1" t="s">
        <v>32</v>
      </c>
      <c r="S2465" s="1" t="s">
        <v>6109</v>
      </c>
      <c r="T2465" s="1" t="s">
        <v>6825</v>
      </c>
      <c r="U2465" s="2" t="s">
        <v>6554</v>
      </c>
      <c r="V2465" s="2" t="s">
        <v>47</v>
      </c>
      <c r="W2465" s="2" t="s">
        <v>74</v>
      </c>
      <c r="X2465" s="2">
        <v>24.64</v>
      </c>
    </row>
    <row r="2466" spans="1:24" x14ac:dyDescent="0.3">
      <c r="A2466">
        <v>20340</v>
      </c>
      <c r="B2466" t="s">
        <v>6822</v>
      </c>
      <c r="C2466" s="3">
        <v>41205</v>
      </c>
      <c r="D2466" t="s">
        <v>25</v>
      </c>
      <c r="E2466">
        <v>15</v>
      </c>
      <c r="F2466" s="3">
        <f ca="1">41207+(RANDBETWEEN(1,10))</f>
        <v>41210</v>
      </c>
      <c r="G2466" t="s">
        <v>26</v>
      </c>
      <c r="H2466" t="s">
        <v>27</v>
      </c>
      <c r="I2466" t="s">
        <v>52</v>
      </c>
      <c r="J2466">
        <v>737.27499999999998</v>
      </c>
      <c r="K2466">
        <v>0.08</v>
      </c>
      <c r="L2466">
        <v>0.38</v>
      </c>
      <c r="M2466">
        <v>25.094999999999999</v>
      </c>
      <c r="N2466">
        <v>-294.83300000000003</v>
      </c>
      <c r="O2466" s="1" t="s">
        <v>64</v>
      </c>
      <c r="P2466" s="1" t="s">
        <v>4683</v>
      </c>
      <c r="Q2466" s="1" t="s">
        <v>4684</v>
      </c>
      <c r="R2466" s="1" t="s">
        <v>128</v>
      </c>
      <c r="S2466" s="1" t="s">
        <v>4685</v>
      </c>
      <c r="T2466" s="1" t="s">
        <v>4686</v>
      </c>
      <c r="U2466" s="2" t="s">
        <v>3914</v>
      </c>
      <c r="V2466" s="2" t="s">
        <v>47</v>
      </c>
      <c r="W2466" s="2" t="s">
        <v>111</v>
      </c>
      <c r="X2466" s="2">
        <v>50.575000000000003</v>
      </c>
    </row>
    <row r="2467" spans="1:24" x14ac:dyDescent="0.3">
      <c r="A2467">
        <v>20341</v>
      </c>
      <c r="B2467" t="s">
        <v>6826</v>
      </c>
      <c r="C2467" s="3">
        <v>41295</v>
      </c>
      <c r="D2467" t="s">
        <v>50</v>
      </c>
      <c r="E2467">
        <v>1</v>
      </c>
      <c r="F2467" s="3">
        <f ca="1">41296+(RANDBETWEEN(1,10))</f>
        <v>41302</v>
      </c>
      <c r="G2467" t="s">
        <v>76</v>
      </c>
      <c r="H2467" t="s">
        <v>77</v>
      </c>
      <c r="I2467" t="s">
        <v>52</v>
      </c>
      <c r="J2467">
        <v>872.375</v>
      </c>
      <c r="K2467">
        <v>0.09</v>
      </c>
      <c r="L2467">
        <v>0.55000000000000004</v>
      </c>
      <c r="M2467">
        <v>190.08500000000001</v>
      </c>
      <c r="N2467">
        <v>153.69900000000001</v>
      </c>
      <c r="O2467" s="1" t="s">
        <v>225</v>
      </c>
      <c r="P2467" s="1" t="s">
        <v>3956</v>
      </c>
      <c r="Q2467" s="1" t="s">
        <v>3957</v>
      </c>
      <c r="R2467" s="1" t="s">
        <v>391</v>
      </c>
      <c r="S2467" s="1" t="s">
        <v>3958</v>
      </c>
      <c r="T2467" s="1" t="s">
        <v>3959</v>
      </c>
      <c r="U2467" s="2" t="s">
        <v>5999</v>
      </c>
      <c r="V2467" s="2" t="s">
        <v>83</v>
      </c>
      <c r="W2467" s="2" t="s">
        <v>84</v>
      </c>
      <c r="X2467" s="2">
        <v>906.43</v>
      </c>
    </row>
    <row r="2468" spans="1:24" x14ac:dyDescent="0.3">
      <c r="A2468">
        <v>20342</v>
      </c>
      <c r="B2468" t="s">
        <v>6827</v>
      </c>
      <c r="C2468" s="3">
        <v>41941</v>
      </c>
      <c r="D2468" t="s">
        <v>50</v>
      </c>
      <c r="E2468">
        <v>22</v>
      </c>
      <c r="F2468" s="3">
        <f ca="1">41941+(RANDBETWEEN(1,10))</f>
        <v>41943</v>
      </c>
      <c r="G2468" t="s">
        <v>76</v>
      </c>
      <c r="H2468" t="s">
        <v>258</v>
      </c>
      <c r="I2468" t="s">
        <v>52</v>
      </c>
      <c r="J2468">
        <v>23534.7</v>
      </c>
      <c r="K2468">
        <v>0.05</v>
      </c>
      <c r="L2468">
        <v>0.63</v>
      </c>
      <c r="M2468">
        <v>152.495</v>
      </c>
      <c r="N2468">
        <v>6586.16</v>
      </c>
      <c r="O2468" s="1" t="s">
        <v>87</v>
      </c>
      <c r="P2468" s="1" t="s">
        <v>5403</v>
      </c>
      <c r="Q2468" s="1" t="s">
        <v>5404</v>
      </c>
      <c r="R2468" s="1" t="s">
        <v>90</v>
      </c>
      <c r="S2468" s="1" t="s">
        <v>5405</v>
      </c>
      <c r="T2468" s="1" t="s">
        <v>5406</v>
      </c>
      <c r="U2468" s="2" t="s">
        <v>3999</v>
      </c>
      <c r="V2468" s="2" t="s">
        <v>83</v>
      </c>
      <c r="W2468" s="2" t="s">
        <v>263</v>
      </c>
      <c r="X2468" s="2">
        <v>1122.24</v>
      </c>
    </row>
    <row r="2469" spans="1:24" x14ac:dyDescent="0.3">
      <c r="A2469">
        <v>20343</v>
      </c>
      <c r="B2469" t="s">
        <v>6828</v>
      </c>
      <c r="C2469" s="3">
        <v>41676</v>
      </c>
      <c r="D2469" t="s">
        <v>50</v>
      </c>
      <c r="E2469">
        <v>11</v>
      </c>
      <c r="F2469" s="3">
        <f ca="1">41677+(RANDBETWEEN(1,10))</f>
        <v>41687</v>
      </c>
      <c r="G2469" t="s">
        <v>26</v>
      </c>
      <c r="H2469" t="s">
        <v>27</v>
      </c>
      <c r="I2469" t="s">
        <v>97</v>
      </c>
      <c r="J2469">
        <v>2111.165</v>
      </c>
      <c r="K2469">
        <v>0.06</v>
      </c>
      <c r="L2469">
        <v>0.59</v>
      </c>
      <c r="M2469">
        <v>13.965</v>
      </c>
      <c r="N2469">
        <v>-204.673</v>
      </c>
      <c r="O2469" s="1" t="s">
        <v>87</v>
      </c>
      <c r="P2469" s="1" t="s">
        <v>532</v>
      </c>
      <c r="Q2469" s="1" t="s">
        <v>533</v>
      </c>
      <c r="R2469" s="1" t="s">
        <v>90</v>
      </c>
      <c r="S2469" s="1" t="s">
        <v>534</v>
      </c>
      <c r="T2469" s="1" t="s">
        <v>535</v>
      </c>
      <c r="U2469" s="2" t="s">
        <v>1991</v>
      </c>
      <c r="V2469" s="2" t="s">
        <v>36</v>
      </c>
      <c r="W2469" s="2" t="s">
        <v>37</v>
      </c>
      <c r="X2469" s="2">
        <v>230.965</v>
      </c>
    </row>
    <row r="2470" spans="1:24" x14ac:dyDescent="0.3">
      <c r="A2470">
        <v>20344</v>
      </c>
      <c r="B2470" t="s">
        <v>6829</v>
      </c>
      <c r="C2470" s="3">
        <v>41805</v>
      </c>
      <c r="D2470" t="s">
        <v>50</v>
      </c>
      <c r="E2470">
        <v>1</v>
      </c>
      <c r="F2470" s="3">
        <f ca="1">41807+(RANDBETWEEN(1,10))</f>
        <v>41812</v>
      </c>
      <c r="G2470" t="s">
        <v>76</v>
      </c>
      <c r="H2470" t="s">
        <v>77</v>
      </c>
      <c r="I2470" t="s">
        <v>52</v>
      </c>
      <c r="J2470">
        <v>1329.3</v>
      </c>
      <c r="K2470">
        <v>0.02</v>
      </c>
      <c r="L2470">
        <v>0.56999999999999995</v>
      </c>
      <c r="M2470">
        <v>206.32499999999999</v>
      </c>
      <c r="N2470">
        <v>-512.65200000000004</v>
      </c>
      <c r="O2470" s="1" t="s">
        <v>53</v>
      </c>
      <c r="P2470" s="1" t="s">
        <v>4915</v>
      </c>
      <c r="Q2470" s="1" t="s">
        <v>4916</v>
      </c>
      <c r="R2470" s="1" t="s">
        <v>100</v>
      </c>
      <c r="S2470" s="1" t="s">
        <v>4917</v>
      </c>
      <c r="T2470" s="1" t="s">
        <v>4918</v>
      </c>
      <c r="U2470" s="2" t="s">
        <v>850</v>
      </c>
      <c r="V2470" s="2" t="s">
        <v>83</v>
      </c>
      <c r="W2470" s="2" t="s">
        <v>84</v>
      </c>
      <c r="X2470" s="2">
        <v>1123.43</v>
      </c>
    </row>
    <row r="2471" spans="1:24" x14ac:dyDescent="0.3">
      <c r="A2471">
        <v>20345</v>
      </c>
      <c r="B2471" t="s">
        <v>6829</v>
      </c>
      <c r="C2471" s="3">
        <v>41805</v>
      </c>
      <c r="D2471" t="s">
        <v>50</v>
      </c>
      <c r="E2471">
        <v>18</v>
      </c>
      <c r="F2471" s="3">
        <f ca="1">41807+(RANDBETWEEN(1,10))</f>
        <v>41809</v>
      </c>
      <c r="G2471" t="s">
        <v>26</v>
      </c>
      <c r="H2471" t="s">
        <v>96</v>
      </c>
      <c r="I2471" t="s">
        <v>52</v>
      </c>
      <c r="J2471">
        <v>141.36500000000001</v>
      </c>
      <c r="K2471">
        <v>0.06</v>
      </c>
      <c r="L2471">
        <v>0.38</v>
      </c>
      <c r="M2471">
        <v>3.5</v>
      </c>
      <c r="N2471">
        <v>62.874000000000002</v>
      </c>
      <c r="O2471" s="1" t="s">
        <v>53</v>
      </c>
      <c r="P2471" s="1" t="s">
        <v>4915</v>
      </c>
      <c r="Q2471" s="1" t="s">
        <v>4916</v>
      </c>
      <c r="R2471" s="1" t="s">
        <v>100</v>
      </c>
      <c r="S2471" s="1" t="s">
        <v>4917</v>
      </c>
      <c r="T2471" s="1" t="s">
        <v>4918</v>
      </c>
      <c r="U2471" s="2" t="s">
        <v>671</v>
      </c>
      <c r="V2471" s="2" t="s">
        <v>47</v>
      </c>
      <c r="W2471" s="2" t="s">
        <v>104</v>
      </c>
      <c r="X2471" s="2">
        <v>7.7350000000000003</v>
      </c>
    </row>
    <row r="2472" spans="1:24" x14ac:dyDescent="0.3">
      <c r="A2472">
        <v>20346</v>
      </c>
      <c r="B2472" t="s">
        <v>6830</v>
      </c>
      <c r="C2472" s="3">
        <v>41014</v>
      </c>
      <c r="D2472" t="s">
        <v>62</v>
      </c>
      <c r="E2472">
        <v>6</v>
      </c>
      <c r="F2472" s="3">
        <f ca="1">41015+(RANDBETWEEN(1,10))</f>
        <v>41024</v>
      </c>
      <c r="G2472" t="s">
        <v>26</v>
      </c>
      <c r="H2472" t="s">
        <v>27</v>
      </c>
      <c r="I2472" t="s">
        <v>52</v>
      </c>
      <c r="J2472">
        <v>121.66</v>
      </c>
      <c r="K2472">
        <v>0.09</v>
      </c>
      <c r="L2472">
        <v>0.36</v>
      </c>
      <c r="M2472">
        <v>28.315000000000001</v>
      </c>
      <c r="N2472">
        <v>-423.46499999999997</v>
      </c>
      <c r="O2472" s="1" t="s">
        <v>87</v>
      </c>
      <c r="P2472" s="1" t="s">
        <v>5676</v>
      </c>
      <c r="Q2472" s="1" t="s">
        <v>5677</v>
      </c>
      <c r="R2472" s="1" t="s">
        <v>398</v>
      </c>
      <c r="S2472" s="1" t="s">
        <v>5678</v>
      </c>
      <c r="T2472" s="1" t="s">
        <v>5679</v>
      </c>
      <c r="U2472" s="2" t="s">
        <v>1749</v>
      </c>
      <c r="V2472" s="2" t="s">
        <v>47</v>
      </c>
      <c r="W2472" s="2" t="s">
        <v>74</v>
      </c>
      <c r="X2472" s="2">
        <v>20.23</v>
      </c>
    </row>
    <row r="2473" spans="1:24" x14ac:dyDescent="0.3">
      <c r="A2473">
        <v>20347</v>
      </c>
      <c r="B2473" t="s">
        <v>6830</v>
      </c>
      <c r="C2473" s="3">
        <v>41014</v>
      </c>
      <c r="D2473" t="s">
        <v>62</v>
      </c>
      <c r="E2473">
        <v>5</v>
      </c>
      <c r="F2473" s="3">
        <f ca="1">41014+(RANDBETWEEN(1,10))</f>
        <v>41024</v>
      </c>
      <c r="G2473" t="s">
        <v>26</v>
      </c>
      <c r="H2473" t="s">
        <v>96</v>
      </c>
      <c r="I2473" t="s">
        <v>52</v>
      </c>
      <c r="J2473">
        <v>111.265</v>
      </c>
      <c r="K2473">
        <v>0.09</v>
      </c>
      <c r="L2473">
        <v>0.52</v>
      </c>
      <c r="M2473">
        <v>5.46</v>
      </c>
      <c r="N2473">
        <v>45.08</v>
      </c>
      <c r="O2473" s="1" t="s">
        <v>87</v>
      </c>
      <c r="P2473" s="1" t="s">
        <v>5676</v>
      </c>
      <c r="Q2473" s="1" t="s">
        <v>5677</v>
      </c>
      <c r="R2473" s="1" t="s">
        <v>398</v>
      </c>
      <c r="S2473" s="1" t="s">
        <v>5678</v>
      </c>
      <c r="T2473" s="1" t="s">
        <v>5679</v>
      </c>
      <c r="U2473" s="2" t="s">
        <v>6290</v>
      </c>
      <c r="V2473" s="2" t="s">
        <v>47</v>
      </c>
      <c r="W2473" s="2" t="s">
        <v>104</v>
      </c>
      <c r="X2473" s="2">
        <v>23.45</v>
      </c>
    </row>
    <row r="2474" spans="1:24" x14ac:dyDescent="0.3">
      <c r="A2474">
        <v>20348</v>
      </c>
      <c r="B2474" t="s">
        <v>6831</v>
      </c>
      <c r="C2474" s="3">
        <v>41988</v>
      </c>
      <c r="D2474" t="s">
        <v>50</v>
      </c>
      <c r="E2474">
        <v>2</v>
      </c>
      <c r="F2474" s="3">
        <f ca="1">41989+(RANDBETWEEN(1,10))</f>
        <v>41991</v>
      </c>
      <c r="G2474" t="s">
        <v>26</v>
      </c>
      <c r="H2474" t="s">
        <v>96</v>
      </c>
      <c r="I2474" t="s">
        <v>28</v>
      </c>
      <c r="J2474">
        <v>34.405000000000001</v>
      </c>
      <c r="K2474">
        <v>0.06</v>
      </c>
      <c r="L2474">
        <v>0.36</v>
      </c>
      <c r="M2474">
        <v>4.2699999999999996</v>
      </c>
      <c r="N2474">
        <v>-708.93934999999999</v>
      </c>
      <c r="O2474" s="1" t="s">
        <v>29</v>
      </c>
      <c r="P2474" s="1" t="s">
        <v>6832</v>
      </c>
      <c r="Q2474" s="1" t="s">
        <v>6833</v>
      </c>
      <c r="R2474" s="1" t="s">
        <v>460</v>
      </c>
      <c r="S2474" s="1" t="s">
        <v>6834</v>
      </c>
      <c r="T2474" s="1" t="s">
        <v>6835</v>
      </c>
      <c r="U2474" s="2" t="s">
        <v>385</v>
      </c>
      <c r="V2474" s="2" t="s">
        <v>47</v>
      </c>
      <c r="W2474" s="2" t="s">
        <v>74</v>
      </c>
      <c r="X2474" s="2">
        <v>15.68</v>
      </c>
    </row>
    <row r="2475" spans="1:24" x14ac:dyDescent="0.3">
      <c r="A2475">
        <v>20349</v>
      </c>
      <c r="B2475" t="s">
        <v>6831</v>
      </c>
      <c r="C2475" s="3">
        <v>41988</v>
      </c>
      <c r="D2475" t="s">
        <v>50</v>
      </c>
      <c r="E2475">
        <v>22</v>
      </c>
      <c r="F2475" s="3">
        <f ca="1">41990+(RANDBETWEEN(1,10))</f>
        <v>41999</v>
      </c>
      <c r="G2475" t="s">
        <v>156</v>
      </c>
      <c r="H2475" t="s">
        <v>96</v>
      </c>
      <c r="I2475" t="s">
        <v>28</v>
      </c>
      <c r="J2475">
        <v>210.73500000000001</v>
      </c>
      <c r="K2475">
        <v>0.09</v>
      </c>
      <c r="L2475">
        <v>0.56000000000000005</v>
      </c>
      <c r="M2475">
        <v>2.4500000000000002</v>
      </c>
      <c r="N2475">
        <v>482.53590000000003</v>
      </c>
      <c r="O2475" s="1" t="s">
        <v>29</v>
      </c>
      <c r="P2475" s="1" t="s">
        <v>6832</v>
      </c>
      <c r="Q2475" s="1" t="s">
        <v>6833</v>
      </c>
      <c r="R2475" s="1" t="s">
        <v>460</v>
      </c>
      <c r="S2475" s="1" t="s">
        <v>6834</v>
      </c>
      <c r="T2475" s="1" t="s">
        <v>6835</v>
      </c>
      <c r="U2475" s="2" t="s">
        <v>443</v>
      </c>
      <c r="V2475" s="2" t="s">
        <v>47</v>
      </c>
      <c r="W2475" s="2" t="s">
        <v>104</v>
      </c>
      <c r="X2475" s="2">
        <v>10.08</v>
      </c>
    </row>
    <row r="2476" spans="1:24" x14ac:dyDescent="0.3">
      <c r="A2476">
        <v>20350</v>
      </c>
      <c r="B2476" t="s">
        <v>6836</v>
      </c>
      <c r="C2476" s="3">
        <v>40549</v>
      </c>
      <c r="D2476" t="s">
        <v>50</v>
      </c>
      <c r="E2476">
        <v>7</v>
      </c>
      <c r="F2476" s="3">
        <f ca="1">40550+(RANDBETWEEN(1,10))</f>
        <v>40559</v>
      </c>
      <c r="G2476" t="s">
        <v>26</v>
      </c>
      <c r="H2476" t="s">
        <v>51</v>
      </c>
      <c r="I2476" t="s">
        <v>52</v>
      </c>
      <c r="J2476">
        <v>42.524999999999999</v>
      </c>
      <c r="K2476">
        <v>0.06</v>
      </c>
      <c r="L2476">
        <v>0.51</v>
      </c>
      <c r="M2476">
        <v>6.9649999999999999</v>
      </c>
      <c r="N2476">
        <v>280.24919999999997</v>
      </c>
      <c r="O2476" s="1" t="s">
        <v>40</v>
      </c>
      <c r="P2476" s="1" t="s">
        <v>6837</v>
      </c>
      <c r="Q2476" s="1" t="s">
        <v>6838</v>
      </c>
      <c r="R2476" s="1" t="s">
        <v>43</v>
      </c>
      <c r="S2476" s="1" t="s">
        <v>6839</v>
      </c>
      <c r="T2476" s="1" t="s">
        <v>6840</v>
      </c>
      <c r="U2476" s="2" t="s">
        <v>6841</v>
      </c>
      <c r="V2476" s="2" t="s">
        <v>36</v>
      </c>
      <c r="W2476" s="2" t="s">
        <v>60</v>
      </c>
      <c r="X2476" s="2">
        <v>5.95</v>
      </c>
    </row>
    <row r="2477" spans="1:24" x14ac:dyDescent="0.3">
      <c r="A2477">
        <v>20351</v>
      </c>
      <c r="B2477" t="s">
        <v>6836</v>
      </c>
      <c r="C2477" s="3">
        <v>40549</v>
      </c>
      <c r="D2477" t="s">
        <v>50</v>
      </c>
      <c r="E2477">
        <v>9</v>
      </c>
      <c r="F2477" s="3">
        <f ca="1">40551+(RANDBETWEEN(1,10))</f>
        <v>40561</v>
      </c>
      <c r="G2477" t="s">
        <v>26</v>
      </c>
      <c r="H2477" t="s">
        <v>27</v>
      </c>
      <c r="I2477" t="s">
        <v>52</v>
      </c>
      <c r="J2477">
        <v>1009.47</v>
      </c>
      <c r="K2477">
        <v>0.01</v>
      </c>
      <c r="L2477">
        <v>0.4</v>
      </c>
      <c r="M2477">
        <v>17.815000000000001</v>
      </c>
      <c r="N2477">
        <v>3137.4209999999998</v>
      </c>
      <c r="O2477" s="1" t="s">
        <v>40</v>
      </c>
      <c r="P2477" s="1" t="s">
        <v>6837</v>
      </c>
      <c r="Q2477" s="1" t="s">
        <v>6838</v>
      </c>
      <c r="R2477" s="1" t="s">
        <v>43</v>
      </c>
      <c r="S2477" s="1" t="s">
        <v>6839</v>
      </c>
      <c r="T2477" s="1" t="s">
        <v>6840</v>
      </c>
      <c r="U2477" s="2" t="s">
        <v>4417</v>
      </c>
      <c r="V2477" s="2" t="s">
        <v>47</v>
      </c>
      <c r="W2477" s="2" t="s">
        <v>74</v>
      </c>
      <c r="X2477" s="2">
        <v>108.43</v>
      </c>
    </row>
    <row r="2478" spans="1:24" x14ac:dyDescent="0.3">
      <c r="A2478">
        <v>20352</v>
      </c>
      <c r="B2478" t="s">
        <v>6842</v>
      </c>
      <c r="C2478" s="3">
        <v>41505</v>
      </c>
      <c r="D2478" t="s">
        <v>25</v>
      </c>
      <c r="E2478">
        <v>2</v>
      </c>
      <c r="F2478" s="3">
        <f ca="1">41507+(RANDBETWEEN(1,10))</f>
        <v>41511</v>
      </c>
      <c r="G2478" t="s">
        <v>26</v>
      </c>
      <c r="H2478" t="s">
        <v>27</v>
      </c>
      <c r="I2478" t="s">
        <v>28</v>
      </c>
      <c r="J2478">
        <v>556.57000000000005</v>
      </c>
      <c r="K2478">
        <v>0.08</v>
      </c>
      <c r="L2478">
        <v>0.45</v>
      </c>
      <c r="M2478">
        <v>21.454999999999998</v>
      </c>
      <c r="N2478">
        <v>-277.49540000000002</v>
      </c>
      <c r="O2478" s="1" t="s">
        <v>87</v>
      </c>
      <c r="P2478" s="1" t="s">
        <v>6843</v>
      </c>
      <c r="Q2478" s="1" t="s">
        <v>6844</v>
      </c>
      <c r="R2478" s="1" t="s">
        <v>398</v>
      </c>
      <c r="S2478" s="1" t="s">
        <v>6845</v>
      </c>
      <c r="T2478" s="1" t="s">
        <v>6846</v>
      </c>
      <c r="U2478" s="2" t="s">
        <v>3335</v>
      </c>
      <c r="V2478" s="2" t="s">
        <v>36</v>
      </c>
      <c r="W2478" s="2" t="s">
        <v>60</v>
      </c>
      <c r="X2478" s="2">
        <v>290.85000000000002</v>
      </c>
    </row>
    <row r="2479" spans="1:24" x14ac:dyDescent="0.3">
      <c r="A2479">
        <v>20353</v>
      </c>
      <c r="B2479" t="s">
        <v>6842</v>
      </c>
      <c r="C2479" s="3">
        <v>41505</v>
      </c>
      <c r="D2479" t="s">
        <v>25</v>
      </c>
      <c r="E2479">
        <v>17</v>
      </c>
      <c r="F2479" s="3">
        <f ca="1">41505+(RANDBETWEEN(1,10))</f>
        <v>41514</v>
      </c>
      <c r="G2479" t="s">
        <v>26</v>
      </c>
      <c r="H2479" t="s">
        <v>27</v>
      </c>
      <c r="I2479" t="s">
        <v>28</v>
      </c>
      <c r="J2479">
        <v>1183.4549999999999</v>
      </c>
      <c r="K2479">
        <v>0.06</v>
      </c>
      <c r="L2479">
        <v>0.38</v>
      </c>
      <c r="M2479">
        <v>20.195</v>
      </c>
      <c r="N2479">
        <v>816.58394999999996</v>
      </c>
      <c r="O2479" s="1" t="s">
        <v>87</v>
      </c>
      <c r="P2479" s="1" t="s">
        <v>6843</v>
      </c>
      <c r="Q2479" s="1" t="s">
        <v>6844</v>
      </c>
      <c r="R2479" s="1" t="s">
        <v>398</v>
      </c>
      <c r="S2479" s="1" t="s">
        <v>6845</v>
      </c>
      <c r="T2479" s="1" t="s">
        <v>6846</v>
      </c>
      <c r="U2479" s="2" t="s">
        <v>5065</v>
      </c>
      <c r="V2479" s="2" t="s">
        <v>47</v>
      </c>
      <c r="W2479" s="2" t="s">
        <v>74</v>
      </c>
      <c r="X2479" s="2">
        <v>69.930000000000007</v>
      </c>
    </row>
    <row r="2480" spans="1:24" x14ac:dyDescent="0.3">
      <c r="A2480">
        <v>20354</v>
      </c>
      <c r="B2480" t="s">
        <v>6847</v>
      </c>
      <c r="C2480" s="3">
        <v>41255</v>
      </c>
      <c r="D2480" t="s">
        <v>39</v>
      </c>
      <c r="E2480">
        <v>7</v>
      </c>
      <c r="F2480" s="3">
        <f ca="1">41256+(RANDBETWEEN(1,10))</f>
        <v>41264</v>
      </c>
      <c r="G2480" t="s">
        <v>26</v>
      </c>
      <c r="H2480" t="s">
        <v>27</v>
      </c>
      <c r="I2480" t="s">
        <v>86</v>
      </c>
      <c r="J2480">
        <v>207.02500000000001</v>
      </c>
      <c r="K2480">
        <v>0.08</v>
      </c>
      <c r="L2480">
        <v>0.57999999999999996</v>
      </c>
      <c r="M2480">
        <v>12.25</v>
      </c>
      <c r="N2480">
        <v>-32.427500000000002</v>
      </c>
      <c r="O2480" s="1" t="s">
        <v>87</v>
      </c>
      <c r="P2480" s="1" t="s">
        <v>1302</v>
      </c>
      <c r="Q2480" s="1" t="s">
        <v>1303</v>
      </c>
      <c r="R2480" s="1" t="s">
        <v>497</v>
      </c>
      <c r="S2480" s="1" t="s">
        <v>1304</v>
      </c>
      <c r="T2480" s="1" t="s">
        <v>1305</v>
      </c>
      <c r="U2480" s="2" t="s">
        <v>2447</v>
      </c>
      <c r="V2480" s="2" t="s">
        <v>47</v>
      </c>
      <c r="W2480" s="2" t="s">
        <v>71</v>
      </c>
      <c r="X2480" s="2">
        <v>30.344999999999999</v>
      </c>
    </row>
    <row r="2481" spans="1:24" x14ac:dyDescent="0.3">
      <c r="A2481">
        <v>20355</v>
      </c>
      <c r="B2481" t="s">
        <v>6848</v>
      </c>
      <c r="C2481" s="3">
        <v>41594</v>
      </c>
      <c r="D2481" t="s">
        <v>148</v>
      </c>
      <c r="E2481">
        <v>7</v>
      </c>
      <c r="F2481" s="3">
        <f ca="1">41594+(RANDBETWEEN(1,10))</f>
        <v>41604</v>
      </c>
      <c r="G2481" t="s">
        <v>26</v>
      </c>
      <c r="H2481" t="s">
        <v>27</v>
      </c>
      <c r="I2481" t="s">
        <v>86</v>
      </c>
      <c r="J2481">
        <v>4238.2550000000001</v>
      </c>
      <c r="K2481">
        <v>0.05</v>
      </c>
      <c r="L2481">
        <v>0.59</v>
      </c>
      <c r="M2481">
        <v>8.75</v>
      </c>
      <c r="N2481">
        <v>3199.2660000000001</v>
      </c>
      <c r="O2481" s="1" t="s">
        <v>64</v>
      </c>
      <c r="P2481" s="1" t="s">
        <v>6629</v>
      </c>
      <c r="Q2481" s="1" t="s">
        <v>6630</v>
      </c>
      <c r="R2481" s="1" t="s">
        <v>128</v>
      </c>
      <c r="S2481" s="1" t="s">
        <v>6631</v>
      </c>
      <c r="T2481" s="1" t="s">
        <v>6632</v>
      </c>
      <c r="U2481" s="2" t="s">
        <v>5038</v>
      </c>
      <c r="V2481" s="2" t="s">
        <v>36</v>
      </c>
      <c r="W2481" s="2" t="s">
        <v>37</v>
      </c>
      <c r="X2481" s="2">
        <v>720.96500000000003</v>
      </c>
    </row>
    <row r="2482" spans="1:24" x14ac:dyDescent="0.3">
      <c r="A2482">
        <v>20356</v>
      </c>
      <c r="B2482" t="s">
        <v>6849</v>
      </c>
      <c r="C2482" s="3">
        <v>41261</v>
      </c>
      <c r="D2482" t="s">
        <v>50</v>
      </c>
      <c r="E2482">
        <v>19</v>
      </c>
      <c r="F2482" s="3">
        <f ca="1">41263+(RANDBETWEEN(1,10))</f>
        <v>41265</v>
      </c>
      <c r="G2482" t="s">
        <v>26</v>
      </c>
      <c r="H2482" t="s">
        <v>96</v>
      </c>
      <c r="I2482" t="s">
        <v>52</v>
      </c>
      <c r="J2482">
        <v>76.650000000000006</v>
      </c>
      <c r="K2482">
        <v>0.06</v>
      </c>
      <c r="L2482">
        <v>0.38</v>
      </c>
      <c r="M2482">
        <v>2.4500000000000002</v>
      </c>
      <c r="N2482">
        <v>-2.5550000000000002</v>
      </c>
      <c r="O2482" s="1" t="s">
        <v>40</v>
      </c>
      <c r="P2482" s="1" t="s">
        <v>6385</v>
      </c>
      <c r="Q2482" s="1" t="s">
        <v>6386</v>
      </c>
      <c r="R2482" s="1" t="s">
        <v>220</v>
      </c>
      <c r="S2482" s="1" t="s">
        <v>6387</v>
      </c>
      <c r="T2482" s="1" t="s">
        <v>6388</v>
      </c>
      <c r="U2482" s="2" t="s">
        <v>293</v>
      </c>
      <c r="V2482" s="2" t="s">
        <v>47</v>
      </c>
      <c r="W2482" s="2" t="s">
        <v>176</v>
      </c>
      <c r="X2482" s="2">
        <v>3.99</v>
      </c>
    </row>
    <row r="2483" spans="1:24" x14ac:dyDescent="0.3">
      <c r="A2483">
        <v>20357</v>
      </c>
      <c r="B2483" t="s">
        <v>6850</v>
      </c>
      <c r="C2483" s="3">
        <v>40562</v>
      </c>
      <c r="D2483" t="s">
        <v>62</v>
      </c>
      <c r="E2483">
        <v>5</v>
      </c>
      <c r="F2483" s="3">
        <f ca="1">40564+(RANDBETWEEN(1,10))</f>
        <v>40572</v>
      </c>
      <c r="G2483" t="s">
        <v>26</v>
      </c>
      <c r="H2483" t="s">
        <v>27</v>
      </c>
      <c r="I2483" t="s">
        <v>52</v>
      </c>
      <c r="J2483">
        <v>3469.34</v>
      </c>
      <c r="K2483">
        <v>0.09</v>
      </c>
      <c r="L2483">
        <v>0.55000000000000004</v>
      </c>
      <c r="M2483">
        <v>3.4649999999999999</v>
      </c>
      <c r="N2483">
        <v>2393.8445999999999</v>
      </c>
      <c r="O2483" s="1" t="s">
        <v>40</v>
      </c>
      <c r="P2483" s="1" t="s">
        <v>4075</v>
      </c>
      <c r="Q2483" s="1" t="s">
        <v>4076</v>
      </c>
      <c r="R2483" s="1" t="s">
        <v>220</v>
      </c>
      <c r="S2483" s="1" t="s">
        <v>4077</v>
      </c>
      <c r="T2483" s="1" t="s">
        <v>4078</v>
      </c>
      <c r="U2483" s="2" t="s">
        <v>1018</v>
      </c>
      <c r="V2483" s="2" t="s">
        <v>47</v>
      </c>
      <c r="W2483" s="2" t="s">
        <v>71</v>
      </c>
      <c r="X2483" s="2">
        <v>726.18</v>
      </c>
    </row>
    <row r="2484" spans="1:24" x14ac:dyDescent="0.3">
      <c r="A2484">
        <v>20358</v>
      </c>
      <c r="B2484" t="s">
        <v>6851</v>
      </c>
      <c r="C2484" s="3">
        <v>41925</v>
      </c>
      <c r="D2484" t="s">
        <v>148</v>
      </c>
      <c r="E2484">
        <v>16</v>
      </c>
      <c r="F2484" s="3">
        <f ca="1">41927+(RANDBETWEEN(1,10))</f>
        <v>41935</v>
      </c>
      <c r="G2484" t="s">
        <v>26</v>
      </c>
      <c r="H2484" t="s">
        <v>27</v>
      </c>
      <c r="I2484" t="s">
        <v>28</v>
      </c>
      <c r="J2484">
        <v>2532.1799999999998</v>
      </c>
      <c r="K2484">
        <v>0.02</v>
      </c>
      <c r="L2484">
        <v>0.56000000000000005</v>
      </c>
      <c r="M2484">
        <v>16.170000000000002</v>
      </c>
      <c r="N2484">
        <v>1492.54</v>
      </c>
      <c r="O2484" s="1" t="s">
        <v>87</v>
      </c>
      <c r="P2484" s="1" t="s">
        <v>4371</v>
      </c>
      <c r="Q2484" s="1" t="s">
        <v>4372</v>
      </c>
      <c r="R2484" s="1" t="s">
        <v>398</v>
      </c>
      <c r="S2484" s="1" t="s">
        <v>1380</v>
      </c>
      <c r="T2484" s="1" t="s">
        <v>1381</v>
      </c>
      <c r="U2484" s="2" t="s">
        <v>5674</v>
      </c>
      <c r="V2484" s="2" t="s">
        <v>47</v>
      </c>
      <c r="W2484" s="2" t="s">
        <v>71</v>
      </c>
      <c r="X2484" s="2">
        <v>150.43</v>
      </c>
    </row>
    <row r="2485" spans="1:24" x14ac:dyDescent="0.3">
      <c r="A2485">
        <v>20359</v>
      </c>
      <c r="B2485" t="s">
        <v>6852</v>
      </c>
      <c r="C2485" s="3">
        <v>40831</v>
      </c>
      <c r="D2485" t="s">
        <v>39</v>
      </c>
      <c r="E2485">
        <v>9</v>
      </c>
      <c r="F2485" s="3">
        <f ca="1">40833+(RANDBETWEEN(1,10))</f>
        <v>40840</v>
      </c>
      <c r="G2485" t="s">
        <v>26</v>
      </c>
      <c r="H2485" t="s">
        <v>27</v>
      </c>
      <c r="I2485" t="s">
        <v>97</v>
      </c>
      <c r="J2485">
        <v>851.34</v>
      </c>
      <c r="K2485">
        <v>0.02</v>
      </c>
      <c r="L2485">
        <v>0.56000000000000005</v>
      </c>
      <c r="M2485">
        <v>18.795000000000002</v>
      </c>
      <c r="N2485">
        <v>-308.553</v>
      </c>
      <c r="O2485" s="1" t="s">
        <v>29</v>
      </c>
      <c r="P2485" s="1" t="s">
        <v>5651</v>
      </c>
      <c r="Q2485" s="1" t="s">
        <v>5652</v>
      </c>
      <c r="R2485" s="1" t="s">
        <v>460</v>
      </c>
      <c r="S2485" s="1" t="s">
        <v>5653</v>
      </c>
      <c r="T2485" s="1" t="s">
        <v>5654</v>
      </c>
      <c r="U2485" s="2" t="s">
        <v>6853</v>
      </c>
      <c r="V2485" s="2" t="s">
        <v>47</v>
      </c>
      <c r="W2485" s="2" t="s">
        <v>104</v>
      </c>
      <c r="X2485" s="2">
        <v>90.965000000000003</v>
      </c>
    </row>
    <row r="2486" spans="1:24" x14ac:dyDescent="0.3">
      <c r="A2486">
        <v>20360</v>
      </c>
      <c r="B2486" t="s">
        <v>6854</v>
      </c>
      <c r="C2486" s="3">
        <v>41275</v>
      </c>
      <c r="D2486" t="s">
        <v>39</v>
      </c>
      <c r="E2486">
        <v>4</v>
      </c>
      <c r="F2486" s="3">
        <f ca="1">41276+(RANDBETWEEN(1,10))</f>
        <v>41285</v>
      </c>
      <c r="G2486" t="s">
        <v>26</v>
      </c>
      <c r="H2486" t="s">
        <v>27</v>
      </c>
      <c r="I2486" t="s">
        <v>97</v>
      </c>
      <c r="J2486">
        <v>67.83</v>
      </c>
      <c r="K2486">
        <v>0.04</v>
      </c>
      <c r="L2486">
        <v>0.4</v>
      </c>
      <c r="M2486">
        <v>23.52</v>
      </c>
      <c r="N2486">
        <v>-1044.5820000000001</v>
      </c>
      <c r="O2486" s="1" t="s">
        <v>29</v>
      </c>
      <c r="P2486" s="1" t="s">
        <v>4213</v>
      </c>
      <c r="Q2486" s="1" t="s">
        <v>4214</v>
      </c>
      <c r="R2486" s="1" t="s">
        <v>675</v>
      </c>
      <c r="S2486" s="1" t="s">
        <v>4215</v>
      </c>
      <c r="T2486" s="1" t="s">
        <v>4216</v>
      </c>
      <c r="U2486" s="2" t="s">
        <v>2298</v>
      </c>
      <c r="V2486" s="2" t="s">
        <v>47</v>
      </c>
      <c r="W2486" s="2" t="s">
        <v>74</v>
      </c>
      <c r="X2486" s="2">
        <v>14.98</v>
      </c>
    </row>
    <row r="2487" spans="1:24" x14ac:dyDescent="0.3">
      <c r="A2487">
        <v>20361</v>
      </c>
      <c r="B2487" t="s">
        <v>6855</v>
      </c>
      <c r="C2487" s="3">
        <v>41942</v>
      </c>
      <c r="D2487" t="s">
        <v>62</v>
      </c>
      <c r="E2487">
        <v>15</v>
      </c>
      <c r="F2487" s="3">
        <f ca="1">41944+(RANDBETWEEN(1,10))</f>
        <v>41945</v>
      </c>
      <c r="G2487" t="s">
        <v>26</v>
      </c>
      <c r="H2487" t="s">
        <v>96</v>
      </c>
      <c r="I2487" t="s">
        <v>52</v>
      </c>
      <c r="J2487">
        <v>150.99</v>
      </c>
      <c r="K2487">
        <v>0.01</v>
      </c>
      <c r="L2487">
        <v>0.56000000000000005</v>
      </c>
      <c r="M2487">
        <v>2.4500000000000002</v>
      </c>
      <c r="N2487">
        <v>35.034999999999997</v>
      </c>
      <c r="O2487" s="1" t="s">
        <v>87</v>
      </c>
      <c r="P2487" s="1" t="s">
        <v>6160</v>
      </c>
      <c r="Q2487" s="1" t="s">
        <v>6161</v>
      </c>
      <c r="R2487" s="1" t="s">
        <v>646</v>
      </c>
      <c r="S2487" s="1" t="s">
        <v>6162</v>
      </c>
      <c r="T2487" s="1" t="s">
        <v>6163</v>
      </c>
      <c r="U2487" s="2" t="s">
        <v>443</v>
      </c>
      <c r="V2487" s="2" t="s">
        <v>47</v>
      </c>
      <c r="W2487" s="2" t="s">
        <v>104</v>
      </c>
      <c r="X2487" s="2">
        <v>10.08</v>
      </c>
    </row>
    <row r="2488" spans="1:24" x14ac:dyDescent="0.3">
      <c r="A2488">
        <v>20362</v>
      </c>
      <c r="B2488" t="s">
        <v>6856</v>
      </c>
      <c r="C2488" s="3">
        <v>41027</v>
      </c>
      <c r="D2488" t="s">
        <v>25</v>
      </c>
      <c r="E2488">
        <v>8</v>
      </c>
      <c r="F2488" s="3">
        <f ca="1">41029+(RANDBETWEEN(1,10))</f>
        <v>41039</v>
      </c>
      <c r="G2488" t="s">
        <v>76</v>
      </c>
      <c r="H2488" t="s">
        <v>258</v>
      </c>
      <c r="I2488" t="s">
        <v>28</v>
      </c>
      <c r="J2488">
        <v>3899.0349999999999</v>
      </c>
      <c r="K2488">
        <v>0.04</v>
      </c>
      <c r="L2488">
        <v>0.77</v>
      </c>
      <c r="M2488">
        <v>126.315</v>
      </c>
      <c r="N2488">
        <v>-1553.23</v>
      </c>
      <c r="O2488" s="1" t="s">
        <v>29</v>
      </c>
      <c r="P2488" s="1" t="s">
        <v>5686</v>
      </c>
      <c r="Q2488" s="1" t="s">
        <v>5687</v>
      </c>
      <c r="R2488" s="1" t="s">
        <v>460</v>
      </c>
      <c r="S2488" s="1" t="s">
        <v>5688</v>
      </c>
      <c r="T2488" s="1" t="s">
        <v>5689</v>
      </c>
      <c r="U2488" s="2" t="s">
        <v>3136</v>
      </c>
      <c r="V2488" s="2" t="s">
        <v>83</v>
      </c>
      <c r="W2488" s="2" t="s">
        <v>298</v>
      </c>
      <c r="X2488" s="2">
        <v>493.43</v>
      </c>
    </row>
    <row r="2489" spans="1:24" x14ac:dyDescent="0.3">
      <c r="A2489">
        <v>20363</v>
      </c>
      <c r="B2489" t="s">
        <v>6856</v>
      </c>
      <c r="C2489" s="3">
        <v>41027</v>
      </c>
      <c r="D2489" t="s">
        <v>25</v>
      </c>
      <c r="E2489">
        <v>7</v>
      </c>
      <c r="F2489" s="3">
        <f ca="1">41032+(RANDBETWEEN(1,10))</f>
        <v>41038</v>
      </c>
      <c r="G2489" t="s">
        <v>76</v>
      </c>
      <c r="H2489" t="s">
        <v>77</v>
      </c>
      <c r="I2489" t="s">
        <v>28</v>
      </c>
      <c r="J2489">
        <v>3157.7350000000001</v>
      </c>
      <c r="K2489">
        <v>0.05</v>
      </c>
      <c r="L2489">
        <v>0.74</v>
      </c>
      <c r="M2489">
        <v>245.7</v>
      </c>
      <c r="N2489">
        <v>-3802.5050000000001</v>
      </c>
      <c r="O2489" s="1" t="s">
        <v>29</v>
      </c>
      <c r="P2489" s="1" t="s">
        <v>5686</v>
      </c>
      <c r="Q2489" s="1" t="s">
        <v>5687</v>
      </c>
      <c r="R2489" s="1" t="s">
        <v>460</v>
      </c>
      <c r="S2489" s="1" t="s">
        <v>5688</v>
      </c>
      <c r="T2489" s="1" t="s">
        <v>5689</v>
      </c>
      <c r="U2489" s="2" t="s">
        <v>358</v>
      </c>
      <c r="V2489" s="2" t="s">
        <v>83</v>
      </c>
      <c r="W2489" s="2" t="s">
        <v>84</v>
      </c>
      <c r="X2489" s="2">
        <v>430.46499999999997</v>
      </c>
    </row>
    <row r="2490" spans="1:24" x14ac:dyDescent="0.3">
      <c r="A2490">
        <v>20364</v>
      </c>
      <c r="B2490" t="s">
        <v>6857</v>
      </c>
      <c r="C2490" s="3">
        <v>41841</v>
      </c>
      <c r="D2490" t="s">
        <v>148</v>
      </c>
      <c r="E2490">
        <v>16</v>
      </c>
      <c r="F2490" s="3">
        <f ca="1">41842+(RANDBETWEEN(1,10))</f>
        <v>41843</v>
      </c>
      <c r="G2490" t="s">
        <v>26</v>
      </c>
      <c r="H2490" t="s">
        <v>27</v>
      </c>
      <c r="I2490" t="s">
        <v>86</v>
      </c>
      <c r="J2490">
        <v>3240.93</v>
      </c>
      <c r="K2490">
        <v>0</v>
      </c>
      <c r="L2490">
        <v>0.56000000000000005</v>
      </c>
      <c r="M2490">
        <v>18.41</v>
      </c>
      <c r="N2490">
        <v>2236.2417</v>
      </c>
      <c r="O2490" s="1" t="s">
        <v>225</v>
      </c>
      <c r="P2490" s="1" t="s">
        <v>3971</v>
      </c>
      <c r="Q2490" s="1" t="s">
        <v>3972</v>
      </c>
      <c r="R2490" s="1" t="s">
        <v>228</v>
      </c>
      <c r="S2490" s="1" t="s">
        <v>3973</v>
      </c>
      <c r="T2490" s="1" t="s">
        <v>3974</v>
      </c>
      <c r="U2490" s="2">
        <v>8860</v>
      </c>
      <c r="V2490" s="2" t="s">
        <v>36</v>
      </c>
      <c r="W2490" s="2" t="s">
        <v>37</v>
      </c>
      <c r="X2490" s="2">
        <v>230.965</v>
      </c>
    </row>
    <row r="2491" spans="1:24" x14ac:dyDescent="0.3">
      <c r="A2491">
        <v>20365</v>
      </c>
      <c r="B2491" t="s">
        <v>6858</v>
      </c>
      <c r="C2491" s="3">
        <v>41681</v>
      </c>
      <c r="D2491" t="s">
        <v>50</v>
      </c>
      <c r="E2491">
        <v>13</v>
      </c>
      <c r="F2491" s="3">
        <f ca="1">41683+(RANDBETWEEN(1,10))</f>
        <v>41688</v>
      </c>
      <c r="G2491" t="s">
        <v>76</v>
      </c>
      <c r="H2491" t="s">
        <v>77</v>
      </c>
      <c r="I2491" t="s">
        <v>28</v>
      </c>
      <c r="J2491">
        <v>4140.57</v>
      </c>
      <c r="K2491">
        <v>0.1</v>
      </c>
      <c r="L2491">
        <v>0.57999999999999996</v>
      </c>
      <c r="M2491">
        <v>203.7</v>
      </c>
      <c r="N2491">
        <v>-4673.62</v>
      </c>
      <c r="O2491" s="1" t="s">
        <v>225</v>
      </c>
      <c r="P2491" s="1" t="s">
        <v>6859</v>
      </c>
      <c r="Q2491" s="1" t="s">
        <v>6860</v>
      </c>
      <c r="R2491" s="1" t="s">
        <v>228</v>
      </c>
      <c r="S2491" s="1" t="s">
        <v>6861</v>
      </c>
      <c r="T2491" s="1" t="s">
        <v>6862</v>
      </c>
      <c r="U2491" s="2" t="s">
        <v>82</v>
      </c>
      <c r="V2491" s="2" t="s">
        <v>83</v>
      </c>
      <c r="W2491" s="2" t="s">
        <v>84</v>
      </c>
      <c r="X2491" s="2">
        <v>335.93</v>
      </c>
    </row>
    <row r="2492" spans="1:24" x14ac:dyDescent="0.3">
      <c r="A2492">
        <v>20366</v>
      </c>
      <c r="B2492" t="s">
        <v>6863</v>
      </c>
      <c r="C2492" s="3">
        <v>40841</v>
      </c>
      <c r="D2492" t="s">
        <v>62</v>
      </c>
      <c r="E2492">
        <v>18</v>
      </c>
      <c r="F2492" s="3">
        <f ca="1">40842+(RANDBETWEEN(1,10))</f>
        <v>40849</v>
      </c>
      <c r="G2492" t="s">
        <v>156</v>
      </c>
      <c r="H2492" t="s">
        <v>96</v>
      </c>
      <c r="I2492" t="s">
        <v>97</v>
      </c>
      <c r="J2492">
        <v>207.27</v>
      </c>
      <c r="K2492">
        <v>0.05</v>
      </c>
      <c r="L2492">
        <v>0.84</v>
      </c>
      <c r="M2492">
        <v>6.72</v>
      </c>
      <c r="N2492">
        <v>5699.2950000000001</v>
      </c>
      <c r="O2492" s="1" t="s">
        <v>40</v>
      </c>
      <c r="P2492" s="1" t="s">
        <v>4389</v>
      </c>
      <c r="Q2492" s="1" t="s">
        <v>4390</v>
      </c>
      <c r="R2492" s="1" t="s">
        <v>43</v>
      </c>
      <c r="S2492" s="1" t="s">
        <v>4391</v>
      </c>
      <c r="T2492" s="1" t="s">
        <v>4392</v>
      </c>
      <c r="U2492" s="2" t="s">
        <v>524</v>
      </c>
      <c r="V2492" s="2" t="s">
        <v>47</v>
      </c>
      <c r="W2492" s="2" t="s">
        <v>94</v>
      </c>
      <c r="X2492" s="2">
        <v>10.99</v>
      </c>
    </row>
    <row r="2493" spans="1:24" x14ac:dyDescent="0.3">
      <c r="A2493">
        <v>20367</v>
      </c>
      <c r="B2493" t="s">
        <v>6864</v>
      </c>
      <c r="C2493" s="3">
        <v>41710</v>
      </c>
      <c r="D2493" t="s">
        <v>39</v>
      </c>
      <c r="E2493">
        <v>8</v>
      </c>
      <c r="F2493" s="3">
        <f ca="1">41711+(RANDBETWEEN(1,10))</f>
        <v>41713</v>
      </c>
      <c r="G2493" t="s">
        <v>26</v>
      </c>
      <c r="H2493" t="s">
        <v>27</v>
      </c>
      <c r="I2493" t="s">
        <v>97</v>
      </c>
      <c r="J2493">
        <v>206.88499999999999</v>
      </c>
      <c r="K2493">
        <v>0.06</v>
      </c>
      <c r="L2493">
        <v>0.83</v>
      </c>
      <c r="M2493">
        <v>33.914999999999999</v>
      </c>
      <c r="N2493">
        <v>-906.57</v>
      </c>
      <c r="O2493" s="1" t="s">
        <v>87</v>
      </c>
      <c r="P2493" s="1" t="s">
        <v>5700</v>
      </c>
      <c r="Q2493" s="1" t="s">
        <v>5701</v>
      </c>
      <c r="R2493" s="1" t="s">
        <v>398</v>
      </c>
      <c r="S2493" s="1" t="s">
        <v>5702</v>
      </c>
      <c r="T2493" s="1" t="s">
        <v>5703</v>
      </c>
      <c r="U2493" s="2" t="s">
        <v>6865</v>
      </c>
      <c r="V2493" s="2" t="s">
        <v>47</v>
      </c>
      <c r="W2493" s="2" t="s">
        <v>119</v>
      </c>
      <c r="X2493" s="2">
        <v>24.43</v>
      </c>
    </row>
    <row r="2494" spans="1:24" x14ac:dyDescent="0.3">
      <c r="A2494">
        <v>20368</v>
      </c>
      <c r="B2494" t="s">
        <v>6866</v>
      </c>
      <c r="C2494" s="3">
        <v>40571</v>
      </c>
      <c r="D2494" t="s">
        <v>148</v>
      </c>
      <c r="E2494">
        <v>9</v>
      </c>
      <c r="F2494" s="3">
        <f ca="1">40572+(RANDBETWEEN(1,10))</f>
        <v>40582</v>
      </c>
      <c r="G2494" t="s">
        <v>156</v>
      </c>
      <c r="H2494" t="s">
        <v>96</v>
      </c>
      <c r="I2494" t="s">
        <v>97</v>
      </c>
      <c r="J2494">
        <v>234.08</v>
      </c>
      <c r="K2494">
        <v>0</v>
      </c>
      <c r="L2494">
        <v>0.39</v>
      </c>
      <c r="M2494">
        <v>7</v>
      </c>
      <c r="N2494">
        <v>161.51519999999999</v>
      </c>
      <c r="O2494" s="1" t="s">
        <v>53</v>
      </c>
      <c r="P2494" s="1" t="s">
        <v>6423</v>
      </c>
      <c r="Q2494" s="1" t="s">
        <v>6424</v>
      </c>
      <c r="R2494" s="1" t="s">
        <v>100</v>
      </c>
      <c r="S2494" s="1" t="s">
        <v>6425</v>
      </c>
      <c r="T2494" s="1" t="s">
        <v>6426</v>
      </c>
      <c r="U2494" s="2" t="s">
        <v>336</v>
      </c>
      <c r="V2494" s="2" t="s">
        <v>47</v>
      </c>
      <c r="W2494" s="2" t="s">
        <v>74</v>
      </c>
      <c r="X2494" s="2">
        <v>24.08</v>
      </c>
    </row>
    <row r="2495" spans="1:24" x14ac:dyDescent="0.3">
      <c r="A2495">
        <v>20369</v>
      </c>
      <c r="B2495" t="s">
        <v>6866</v>
      </c>
      <c r="C2495" s="3">
        <v>40571</v>
      </c>
      <c r="D2495" t="s">
        <v>148</v>
      </c>
      <c r="E2495">
        <v>8</v>
      </c>
      <c r="F2495" s="3">
        <f ca="1">40571+(RANDBETWEEN(1,10))</f>
        <v>40579</v>
      </c>
      <c r="G2495" t="s">
        <v>156</v>
      </c>
      <c r="H2495" t="s">
        <v>63</v>
      </c>
      <c r="I2495" t="s">
        <v>97</v>
      </c>
      <c r="J2495">
        <v>962.18499999999995</v>
      </c>
      <c r="K2495">
        <v>0.03</v>
      </c>
      <c r="L2495">
        <v>0.81</v>
      </c>
      <c r="M2495">
        <v>122.5</v>
      </c>
      <c r="N2495">
        <v>-3907.1718000000001</v>
      </c>
      <c r="O2495" s="1" t="s">
        <v>53</v>
      </c>
      <c r="P2495" s="1" t="s">
        <v>6423</v>
      </c>
      <c r="Q2495" s="1" t="s">
        <v>6424</v>
      </c>
      <c r="R2495" s="1" t="s">
        <v>100</v>
      </c>
      <c r="S2495" s="1" t="s">
        <v>6425</v>
      </c>
      <c r="T2495" s="1" t="s">
        <v>6426</v>
      </c>
      <c r="U2495" s="2" t="s">
        <v>6867</v>
      </c>
      <c r="V2495" s="2" t="s">
        <v>47</v>
      </c>
      <c r="W2495" s="2" t="s">
        <v>119</v>
      </c>
      <c r="X2495" s="2">
        <v>113.68</v>
      </c>
    </row>
    <row r="2496" spans="1:24" x14ac:dyDescent="0.3">
      <c r="A2496">
        <v>20370</v>
      </c>
      <c r="B2496" t="s">
        <v>6868</v>
      </c>
      <c r="C2496" s="3">
        <v>41901</v>
      </c>
      <c r="D2496" t="s">
        <v>25</v>
      </c>
      <c r="E2496">
        <v>16</v>
      </c>
      <c r="F2496" s="3">
        <f ca="1">41905+(RANDBETWEEN(1,10))</f>
        <v>41912</v>
      </c>
      <c r="G2496" t="s">
        <v>26</v>
      </c>
      <c r="H2496" t="s">
        <v>27</v>
      </c>
      <c r="I2496" t="s">
        <v>28</v>
      </c>
      <c r="J2496">
        <v>5566.54</v>
      </c>
      <c r="K2496">
        <v>0.09</v>
      </c>
      <c r="L2496">
        <v>0.56999999999999995</v>
      </c>
      <c r="M2496">
        <v>14.7</v>
      </c>
      <c r="N2496">
        <v>2173.4357399999999</v>
      </c>
      <c r="O2496" s="1" t="s">
        <v>225</v>
      </c>
      <c r="P2496" s="1" t="s">
        <v>6869</v>
      </c>
      <c r="Q2496" s="1" t="s">
        <v>6870</v>
      </c>
      <c r="R2496" s="1" t="s">
        <v>228</v>
      </c>
      <c r="S2496" s="1" t="s">
        <v>6264</v>
      </c>
      <c r="T2496" s="1" t="s">
        <v>6265</v>
      </c>
      <c r="U2496" s="2" t="s">
        <v>4401</v>
      </c>
      <c r="V2496" s="2" t="s">
        <v>36</v>
      </c>
      <c r="W2496" s="2" t="s">
        <v>37</v>
      </c>
      <c r="X2496" s="2">
        <v>440.96499999999997</v>
      </c>
    </row>
    <row r="2497" spans="1:24" x14ac:dyDescent="0.3">
      <c r="A2497">
        <v>20371</v>
      </c>
      <c r="B2497" t="s">
        <v>6871</v>
      </c>
      <c r="C2497" s="3">
        <v>40569</v>
      </c>
      <c r="D2497" t="s">
        <v>148</v>
      </c>
      <c r="E2497">
        <v>12</v>
      </c>
      <c r="F2497" s="3">
        <f ca="1">40571+(RANDBETWEEN(1,10))</f>
        <v>40576</v>
      </c>
      <c r="G2497" t="s">
        <v>26</v>
      </c>
      <c r="H2497" t="s">
        <v>281</v>
      </c>
      <c r="I2497" t="s">
        <v>52</v>
      </c>
      <c r="J2497">
        <v>3704.26</v>
      </c>
      <c r="K2497">
        <v>0.08</v>
      </c>
      <c r="L2497">
        <v>0.74</v>
      </c>
      <c r="M2497">
        <v>196.7</v>
      </c>
      <c r="N2497">
        <v>-6723.2676000000001</v>
      </c>
      <c r="O2497" s="1" t="s">
        <v>40</v>
      </c>
      <c r="P2497" s="1" t="s">
        <v>1536</v>
      </c>
      <c r="Q2497" s="1" t="s">
        <v>1537</v>
      </c>
      <c r="R2497" s="1" t="s">
        <v>43</v>
      </c>
      <c r="S2497" s="1" t="s">
        <v>1538</v>
      </c>
      <c r="T2497" s="1" t="s">
        <v>1539</v>
      </c>
      <c r="U2497" s="2" t="s">
        <v>3131</v>
      </c>
      <c r="V2497" s="2" t="s">
        <v>83</v>
      </c>
      <c r="W2497" s="2" t="s">
        <v>178</v>
      </c>
      <c r="X2497" s="2">
        <v>318.43</v>
      </c>
    </row>
    <row r="2498" spans="1:24" x14ac:dyDescent="0.3">
      <c r="A2498">
        <v>20372</v>
      </c>
      <c r="B2498" t="s">
        <v>6871</v>
      </c>
      <c r="C2498" s="3">
        <v>40569</v>
      </c>
      <c r="D2498" t="s">
        <v>148</v>
      </c>
      <c r="E2498">
        <v>3</v>
      </c>
      <c r="F2498" s="3">
        <f ca="1">40571+(RANDBETWEEN(1,10))</f>
        <v>40573</v>
      </c>
      <c r="G2498" t="s">
        <v>26</v>
      </c>
      <c r="H2498" t="s">
        <v>27</v>
      </c>
      <c r="I2498" t="s">
        <v>52</v>
      </c>
      <c r="J2498">
        <v>64.084999999999994</v>
      </c>
      <c r="K2498">
        <v>7.0000000000000007E-2</v>
      </c>
      <c r="L2498">
        <v>0.4</v>
      </c>
      <c r="M2498">
        <v>18.725000000000001</v>
      </c>
      <c r="N2498">
        <v>-130.11320000000001</v>
      </c>
      <c r="O2498" s="1" t="s">
        <v>40</v>
      </c>
      <c r="P2498" s="1" t="s">
        <v>1536</v>
      </c>
      <c r="Q2498" s="1" t="s">
        <v>1537</v>
      </c>
      <c r="R2498" s="1" t="s">
        <v>43</v>
      </c>
      <c r="S2498" s="1" t="s">
        <v>1538</v>
      </c>
      <c r="T2498" s="1" t="s">
        <v>1539</v>
      </c>
      <c r="U2498" s="2" t="s">
        <v>2740</v>
      </c>
      <c r="V2498" s="2" t="s">
        <v>47</v>
      </c>
      <c r="W2498" s="2" t="s">
        <v>74</v>
      </c>
      <c r="X2498" s="2">
        <v>20.93</v>
      </c>
    </row>
    <row r="2499" spans="1:24" x14ac:dyDescent="0.3">
      <c r="A2499">
        <v>20373</v>
      </c>
      <c r="B2499" t="s">
        <v>6872</v>
      </c>
      <c r="C2499" s="3">
        <v>41905</v>
      </c>
      <c r="D2499" t="s">
        <v>39</v>
      </c>
      <c r="E2499">
        <v>2</v>
      </c>
      <c r="F2499" s="3">
        <f ca="1">41907+(RANDBETWEEN(1,10))</f>
        <v>41912</v>
      </c>
      <c r="G2499" t="s">
        <v>76</v>
      </c>
      <c r="H2499" t="s">
        <v>77</v>
      </c>
      <c r="I2499" t="s">
        <v>28</v>
      </c>
      <c r="J2499">
        <v>5165.9650000000001</v>
      </c>
      <c r="K2499">
        <v>0.09</v>
      </c>
      <c r="L2499">
        <v>0.56000000000000005</v>
      </c>
      <c r="M2499">
        <v>56.21</v>
      </c>
      <c r="N2499">
        <v>-6086.8539060000003</v>
      </c>
      <c r="O2499" s="1" t="s">
        <v>53</v>
      </c>
      <c r="P2499" s="1" t="s">
        <v>4130</v>
      </c>
      <c r="Q2499" s="1" t="s">
        <v>4131</v>
      </c>
      <c r="R2499" s="1" t="s">
        <v>100</v>
      </c>
      <c r="S2499" s="1" t="s">
        <v>4132</v>
      </c>
      <c r="T2499" s="1" t="s">
        <v>4133</v>
      </c>
      <c r="U2499" s="2" t="s">
        <v>6873</v>
      </c>
      <c r="V2499" s="2" t="s">
        <v>36</v>
      </c>
      <c r="W2499" s="2" t="s">
        <v>142</v>
      </c>
      <c r="X2499" s="2">
        <v>2838.43</v>
      </c>
    </row>
    <row r="2500" spans="1:24" x14ac:dyDescent="0.3">
      <c r="A2500">
        <v>20374</v>
      </c>
      <c r="B2500" t="s">
        <v>6874</v>
      </c>
      <c r="C2500" s="3">
        <v>41786</v>
      </c>
      <c r="D2500" t="s">
        <v>148</v>
      </c>
      <c r="E2500">
        <v>2</v>
      </c>
      <c r="F2500" s="3">
        <f ca="1">41787+(RANDBETWEEN(1,10))</f>
        <v>41795</v>
      </c>
      <c r="G2500" t="s">
        <v>76</v>
      </c>
      <c r="H2500" t="s">
        <v>77</v>
      </c>
      <c r="I2500" t="s">
        <v>86</v>
      </c>
      <c r="J2500">
        <v>2236.15</v>
      </c>
      <c r="K2500">
        <v>0.05</v>
      </c>
      <c r="L2500">
        <v>0.56999999999999995</v>
      </c>
      <c r="M2500">
        <v>206.32499999999999</v>
      </c>
      <c r="N2500">
        <v>-347.06</v>
      </c>
      <c r="O2500" s="1" t="s">
        <v>87</v>
      </c>
      <c r="P2500" s="1" t="s">
        <v>6875</v>
      </c>
      <c r="Q2500" s="1" t="s">
        <v>6876</v>
      </c>
      <c r="R2500" s="1" t="s">
        <v>90</v>
      </c>
      <c r="S2500" s="1" t="s">
        <v>5602</v>
      </c>
      <c r="T2500" s="1" t="s">
        <v>5603</v>
      </c>
      <c r="U2500" s="2" t="s">
        <v>850</v>
      </c>
      <c r="V2500" s="2" t="s">
        <v>83</v>
      </c>
      <c r="W2500" s="2" t="s">
        <v>84</v>
      </c>
      <c r="X2500" s="2">
        <v>1123.43</v>
      </c>
    </row>
    <row r="2501" spans="1:24" x14ac:dyDescent="0.3">
      <c r="A2501">
        <v>20375</v>
      </c>
      <c r="B2501" t="s">
        <v>6877</v>
      </c>
      <c r="C2501" s="3">
        <v>41843</v>
      </c>
      <c r="D2501" t="s">
        <v>62</v>
      </c>
      <c r="E2501">
        <v>11</v>
      </c>
      <c r="F2501" s="3">
        <f ca="1">41845+(RANDBETWEEN(1,10))</f>
        <v>41855</v>
      </c>
      <c r="G2501" t="s">
        <v>26</v>
      </c>
      <c r="H2501" t="s">
        <v>96</v>
      </c>
      <c r="I2501" t="s">
        <v>52</v>
      </c>
      <c r="J2501">
        <v>189.91</v>
      </c>
      <c r="K2501">
        <v>0.06</v>
      </c>
      <c r="L2501">
        <v>0.36</v>
      </c>
      <c r="M2501">
        <v>7.14</v>
      </c>
      <c r="N2501">
        <v>85.832319999999996</v>
      </c>
      <c r="O2501" s="1" t="s">
        <v>87</v>
      </c>
      <c r="P2501" s="1" t="s">
        <v>6878</v>
      </c>
      <c r="Q2501" s="1" t="s">
        <v>6879</v>
      </c>
      <c r="R2501" s="1" t="s">
        <v>90</v>
      </c>
      <c r="S2501" s="1" t="s">
        <v>6880</v>
      </c>
      <c r="T2501" s="1" t="s">
        <v>6231</v>
      </c>
      <c r="U2501" s="2" t="s">
        <v>204</v>
      </c>
      <c r="V2501" s="2" t="s">
        <v>47</v>
      </c>
      <c r="W2501" s="2" t="s">
        <v>74</v>
      </c>
      <c r="X2501" s="2">
        <v>18.13</v>
      </c>
    </row>
    <row r="2502" spans="1:24" x14ac:dyDescent="0.3">
      <c r="A2502">
        <v>20376</v>
      </c>
      <c r="B2502" t="s">
        <v>6881</v>
      </c>
      <c r="C2502" s="3">
        <v>41177</v>
      </c>
      <c r="D2502" t="s">
        <v>25</v>
      </c>
      <c r="E2502">
        <v>17</v>
      </c>
      <c r="F2502" s="3">
        <f ca="1">41179+(RANDBETWEEN(1,10))</f>
        <v>41189</v>
      </c>
      <c r="G2502" t="s">
        <v>26</v>
      </c>
      <c r="H2502" t="s">
        <v>27</v>
      </c>
      <c r="I2502" t="s">
        <v>28</v>
      </c>
      <c r="J2502">
        <v>4682.2299999999996</v>
      </c>
      <c r="K2502">
        <v>0.02</v>
      </c>
      <c r="L2502">
        <v>0.65</v>
      </c>
      <c r="M2502">
        <v>50.82</v>
      </c>
      <c r="N2502">
        <v>788.48</v>
      </c>
      <c r="O2502" s="1" t="s">
        <v>87</v>
      </c>
      <c r="P2502" s="1" t="s">
        <v>5255</v>
      </c>
      <c r="Q2502" s="1" t="s">
        <v>5256</v>
      </c>
      <c r="R2502" s="1" t="s">
        <v>90</v>
      </c>
      <c r="S2502" s="1" t="s">
        <v>5257</v>
      </c>
      <c r="T2502" s="1" t="s">
        <v>5258</v>
      </c>
      <c r="U2502" s="2" t="s">
        <v>2448</v>
      </c>
      <c r="V2502" s="2" t="s">
        <v>36</v>
      </c>
      <c r="W2502" s="2" t="s">
        <v>60</v>
      </c>
      <c r="X2502" s="2">
        <v>258.93</v>
      </c>
    </row>
    <row r="2503" spans="1:24" x14ac:dyDescent="0.3">
      <c r="A2503">
        <v>20377</v>
      </c>
      <c r="B2503" t="s">
        <v>6882</v>
      </c>
      <c r="C2503" s="3">
        <v>40843</v>
      </c>
      <c r="D2503" t="s">
        <v>50</v>
      </c>
      <c r="E2503">
        <v>12</v>
      </c>
      <c r="F2503" s="3">
        <f ca="1">40845+(RANDBETWEEN(1,10))</f>
        <v>40854</v>
      </c>
      <c r="G2503" t="s">
        <v>26</v>
      </c>
      <c r="H2503" t="s">
        <v>27</v>
      </c>
      <c r="I2503" t="s">
        <v>86</v>
      </c>
      <c r="J2503">
        <v>4767.7</v>
      </c>
      <c r="K2503">
        <v>0</v>
      </c>
      <c r="L2503">
        <v>0.56999999999999995</v>
      </c>
      <c r="M2503">
        <v>31.465</v>
      </c>
      <c r="N2503">
        <v>2148.6351599999998</v>
      </c>
      <c r="O2503" s="1" t="s">
        <v>64</v>
      </c>
      <c r="P2503" s="1" t="s">
        <v>1765</v>
      </c>
      <c r="Q2503" s="1" t="s">
        <v>1766</v>
      </c>
      <c r="R2503" s="1" t="s">
        <v>128</v>
      </c>
      <c r="S2503" s="1" t="s">
        <v>1767</v>
      </c>
      <c r="T2503" s="1" t="s">
        <v>1768</v>
      </c>
      <c r="U2503" s="2" t="s">
        <v>5713</v>
      </c>
      <c r="V2503" s="2" t="s">
        <v>36</v>
      </c>
      <c r="W2503" s="2" t="s">
        <v>37</v>
      </c>
      <c r="X2503" s="2">
        <v>440.96499999999997</v>
      </c>
    </row>
    <row r="2504" spans="1:24" x14ac:dyDescent="0.3">
      <c r="A2504">
        <v>20378</v>
      </c>
      <c r="B2504" t="s">
        <v>6883</v>
      </c>
      <c r="C2504" s="3">
        <v>41393</v>
      </c>
      <c r="D2504" t="s">
        <v>50</v>
      </c>
      <c r="E2504">
        <v>13</v>
      </c>
      <c r="F2504" s="3">
        <f ca="1">41394+(RANDBETWEEN(1,10))</f>
        <v>41398</v>
      </c>
      <c r="G2504" t="s">
        <v>26</v>
      </c>
      <c r="H2504" t="s">
        <v>27</v>
      </c>
      <c r="I2504" t="s">
        <v>52</v>
      </c>
      <c r="J2504">
        <v>2164.2950000000001</v>
      </c>
      <c r="K2504">
        <v>0.03</v>
      </c>
      <c r="L2504">
        <v>0.38</v>
      </c>
      <c r="M2504">
        <v>20.895</v>
      </c>
      <c r="N2504">
        <v>1493.36355</v>
      </c>
      <c r="O2504" s="1" t="s">
        <v>87</v>
      </c>
      <c r="P2504" s="1" t="s">
        <v>6160</v>
      </c>
      <c r="Q2504" s="1" t="s">
        <v>6161</v>
      </c>
      <c r="R2504" s="1" t="s">
        <v>646</v>
      </c>
      <c r="S2504" s="1" t="s">
        <v>6162</v>
      </c>
      <c r="T2504" s="1" t="s">
        <v>6163</v>
      </c>
      <c r="U2504" s="2" t="s">
        <v>6363</v>
      </c>
      <c r="V2504" s="2" t="s">
        <v>47</v>
      </c>
      <c r="W2504" s="2" t="s">
        <v>74</v>
      </c>
      <c r="X2504" s="2">
        <v>171.185</v>
      </c>
    </row>
    <row r="2505" spans="1:24" x14ac:dyDescent="0.3">
      <c r="A2505">
        <v>20379</v>
      </c>
      <c r="B2505" t="s">
        <v>6883</v>
      </c>
      <c r="C2505" s="3">
        <v>41393</v>
      </c>
      <c r="D2505" t="s">
        <v>50</v>
      </c>
      <c r="E2505">
        <v>14</v>
      </c>
      <c r="F2505" s="3">
        <f ca="1">41395+(RANDBETWEEN(1,10))</f>
        <v>41398</v>
      </c>
      <c r="G2505" t="s">
        <v>76</v>
      </c>
      <c r="H2505" t="s">
        <v>258</v>
      </c>
      <c r="I2505" t="s">
        <v>52</v>
      </c>
      <c r="J2505">
        <v>11365.62</v>
      </c>
      <c r="K2505">
        <v>0.08</v>
      </c>
      <c r="L2505">
        <v>0.76</v>
      </c>
      <c r="M2505">
        <v>189.42</v>
      </c>
      <c r="N2505">
        <v>802.27</v>
      </c>
      <c r="O2505" s="1" t="s">
        <v>87</v>
      </c>
      <c r="P2505" s="1" t="s">
        <v>6160</v>
      </c>
      <c r="Q2505" s="1" t="s">
        <v>6161</v>
      </c>
      <c r="R2505" s="1" t="s">
        <v>646</v>
      </c>
      <c r="S2505" s="1" t="s">
        <v>6162</v>
      </c>
      <c r="T2505" s="1" t="s">
        <v>6163</v>
      </c>
      <c r="U2505" s="2" t="s">
        <v>1007</v>
      </c>
      <c r="V2505" s="2" t="s">
        <v>83</v>
      </c>
      <c r="W2505" s="2" t="s">
        <v>263</v>
      </c>
      <c r="X2505" s="2">
        <v>1036.6300000000001</v>
      </c>
    </row>
    <row r="2506" spans="1:24" x14ac:dyDescent="0.3">
      <c r="A2506">
        <v>20380</v>
      </c>
      <c r="B2506" t="s">
        <v>6884</v>
      </c>
      <c r="C2506" s="3">
        <v>41503</v>
      </c>
      <c r="D2506" t="s">
        <v>62</v>
      </c>
      <c r="E2506">
        <v>6</v>
      </c>
      <c r="F2506" s="3">
        <f ca="1">41505+(RANDBETWEEN(1,10))</f>
        <v>41511</v>
      </c>
      <c r="G2506" t="s">
        <v>26</v>
      </c>
      <c r="H2506" t="s">
        <v>27</v>
      </c>
      <c r="I2506" t="s">
        <v>28</v>
      </c>
      <c r="J2506">
        <v>81.06</v>
      </c>
      <c r="K2506">
        <v>0.08</v>
      </c>
      <c r="L2506">
        <v>0.38</v>
      </c>
      <c r="M2506">
        <v>23.905000000000001</v>
      </c>
      <c r="N2506">
        <v>-117.18707000000001</v>
      </c>
      <c r="O2506" s="1" t="s">
        <v>225</v>
      </c>
      <c r="P2506" s="1" t="s">
        <v>5834</v>
      </c>
      <c r="Q2506" s="1" t="s">
        <v>5835</v>
      </c>
      <c r="R2506" s="1" t="s">
        <v>228</v>
      </c>
      <c r="S2506" s="1" t="s">
        <v>5836</v>
      </c>
      <c r="T2506" s="1" t="s">
        <v>5837</v>
      </c>
      <c r="U2506" s="2" t="s">
        <v>6885</v>
      </c>
      <c r="V2506" s="2" t="s">
        <v>47</v>
      </c>
      <c r="W2506" s="2" t="s">
        <v>111</v>
      </c>
      <c r="X2506" s="2">
        <v>12.32</v>
      </c>
    </row>
    <row r="2507" spans="1:24" x14ac:dyDescent="0.3">
      <c r="A2507">
        <v>20381</v>
      </c>
      <c r="B2507" t="s">
        <v>6886</v>
      </c>
      <c r="C2507" s="3">
        <v>41104</v>
      </c>
      <c r="D2507" t="s">
        <v>50</v>
      </c>
      <c r="E2507">
        <v>5</v>
      </c>
      <c r="F2507" s="3">
        <f ca="1">41105+(RANDBETWEEN(1,10))</f>
        <v>41114</v>
      </c>
      <c r="G2507" t="s">
        <v>26</v>
      </c>
      <c r="H2507" t="s">
        <v>27</v>
      </c>
      <c r="I2507" t="s">
        <v>97</v>
      </c>
      <c r="J2507">
        <v>162.85499999999999</v>
      </c>
      <c r="K2507">
        <v>0.09</v>
      </c>
      <c r="L2507">
        <v>0.56999999999999995</v>
      </c>
      <c r="M2507">
        <v>25.48</v>
      </c>
      <c r="N2507">
        <v>-263.27</v>
      </c>
      <c r="O2507" s="1" t="s">
        <v>87</v>
      </c>
      <c r="P2507" s="1" t="s">
        <v>601</v>
      </c>
      <c r="Q2507" s="1" t="s">
        <v>602</v>
      </c>
      <c r="R2507" s="1" t="s">
        <v>497</v>
      </c>
      <c r="S2507" s="1" t="s">
        <v>603</v>
      </c>
      <c r="T2507" s="1" t="s">
        <v>604</v>
      </c>
      <c r="U2507" s="2" t="s">
        <v>6887</v>
      </c>
      <c r="V2507" s="2" t="s">
        <v>47</v>
      </c>
      <c r="W2507" s="2" t="s">
        <v>119</v>
      </c>
      <c r="X2507" s="2">
        <v>32.83</v>
      </c>
    </row>
    <row r="2508" spans="1:24" x14ac:dyDescent="0.3">
      <c r="A2508">
        <v>20382</v>
      </c>
      <c r="B2508" t="s">
        <v>6888</v>
      </c>
      <c r="C2508" s="3">
        <v>41961</v>
      </c>
      <c r="D2508" t="s">
        <v>25</v>
      </c>
      <c r="E2508">
        <v>33</v>
      </c>
      <c r="F2508" s="3">
        <f ca="1">41963+(RANDBETWEEN(1,10))</f>
        <v>41968</v>
      </c>
      <c r="G2508" t="s">
        <v>26</v>
      </c>
      <c r="H2508" t="s">
        <v>27</v>
      </c>
      <c r="I2508" t="s">
        <v>97</v>
      </c>
      <c r="J2508">
        <v>3085.46</v>
      </c>
      <c r="K2508">
        <v>0.09</v>
      </c>
      <c r="L2508">
        <v>0.37</v>
      </c>
      <c r="M2508">
        <v>21.945</v>
      </c>
      <c r="N2508">
        <v>53.570999999999998</v>
      </c>
      <c r="O2508" s="1" t="s">
        <v>64</v>
      </c>
      <c r="P2508" s="1" t="s">
        <v>2484</v>
      </c>
      <c r="Q2508" s="1" t="s">
        <v>2485</v>
      </c>
      <c r="R2508" s="1" t="s">
        <v>128</v>
      </c>
      <c r="S2508" s="1" t="s">
        <v>2486</v>
      </c>
      <c r="T2508" s="1" t="s">
        <v>2487</v>
      </c>
      <c r="U2508" s="2" t="s">
        <v>3223</v>
      </c>
      <c r="V2508" s="2" t="s">
        <v>47</v>
      </c>
      <c r="W2508" s="2" t="s">
        <v>111</v>
      </c>
      <c r="X2508" s="2">
        <v>102.095</v>
      </c>
    </row>
    <row r="2509" spans="1:24" x14ac:dyDescent="0.3">
      <c r="A2509">
        <v>20383</v>
      </c>
      <c r="B2509" t="s">
        <v>6889</v>
      </c>
      <c r="C2509" s="3">
        <v>41531</v>
      </c>
      <c r="D2509" t="s">
        <v>50</v>
      </c>
      <c r="E2509">
        <v>2</v>
      </c>
      <c r="F2509" s="3">
        <f ca="1">41532+(RANDBETWEEN(1,10))</f>
        <v>41536</v>
      </c>
      <c r="G2509" t="s">
        <v>76</v>
      </c>
      <c r="H2509" t="s">
        <v>77</v>
      </c>
      <c r="I2509" t="s">
        <v>97</v>
      </c>
      <c r="J2509">
        <v>9576.2099999999991</v>
      </c>
      <c r="K2509">
        <v>0.06</v>
      </c>
      <c r="L2509">
        <v>0.59</v>
      </c>
      <c r="M2509">
        <v>51.45</v>
      </c>
      <c r="N2509">
        <v>-9857.1826500000006</v>
      </c>
      <c r="O2509" s="1" t="s">
        <v>225</v>
      </c>
      <c r="P2509" s="1" t="s">
        <v>863</v>
      </c>
      <c r="Q2509" s="1" t="s">
        <v>864</v>
      </c>
      <c r="R2509" s="1" t="s">
        <v>228</v>
      </c>
      <c r="S2509" s="1" t="s">
        <v>865</v>
      </c>
      <c r="T2509" s="1" t="s">
        <v>866</v>
      </c>
      <c r="U2509" s="2" t="s">
        <v>1332</v>
      </c>
      <c r="V2509" s="2" t="s">
        <v>36</v>
      </c>
      <c r="W2509" s="2" t="s">
        <v>142</v>
      </c>
      <c r="X2509" s="2">
        <v>4760.49</v>
      </c>
    </row>
    <row r="2510" spans="1:24" x14ac:dyDescent="0.3">
      <c r="A2510">
        <v>20384</v>
      </c>
      <c r="B2510" t="s">
        <v>6890</v>
      </c>
      <c r="C2510" s="3">
        <v>41173</v>
      </c>
      <c r="D2510" t="s">
        <v>39</v>
      </c>
      <c r="E2510">
        <v>3</v>
      </c>
      <c r="F2510" s="3">
        <f ca="1">41174+(RANDBETWEEN(1,10))</f>
        <v>41182</v>
      </c>
      <c r="G2510" t="s">
        <v>76</v>
      </c>
      <c r="H2510" t="s">
        <v>77</v>
      </c>
      <c r="I2510" t="s">
        <v>86</v>
      </c>
      <c r="J2510">
        <v>2716</v>
      </c>
      <c r="K2510">
        <v>0.09</v>
      </c>
      <c r="L2510">
        <v>0.77</v>
      </c>
      <c r="M2510">
        <v>175</v>
      </c>
      <c r="N2510">
        <v>-1896.5450000000001</v>
      </c>
      <c r="O2510" s="1" t="s">
        <v>225</v>
      </c>
      <c r="P2510" s="1" t="s">
        <v>389</v>
      </c>
      <c r="Q2510" s="1" t="s">
        <v>390</v>
      </c>
      <c r="R2510" s="1" t="s">
        <v>391</v>
      </c>
      <c r="S2510" s="1" t="s">
        <v>392</v>
      </c>
      <c r="T2510" s="1" t="s">
        <v>393</v>
      </c>
      <c r="U2510" s="2" t="s">
        <v>5741</v>
      </c>
      <c r="V2510" s="2" t="s">
        <v>83</v>
      </c>
      <c r="W2510" s="2" t="s">
        <v>84</v>
      </c>
      <c r="X2510" s="2">
        <v>948.43</v>
      </c>
    </row>
    <row r="2511" spans="1:24" x14ac:dyDescent="0.3">
      <c r="A2511">
        <v>20385</v>
      </c>
      <c r="B2511" t="s">
        <v>6891</v>
      </c>
      <c r="C2511" s="3">
        <v>41369</v>
      </c>
      <c r="D2511" t="s">
        <v>39</v>
      </c>
      <c r="E2511">
        <v>11</v>
      </c>
      <c r="F2511" s="3">
        <f ca="1">41370+(RANDBETWEEN(1,10))</f>
        <v>41371</v>
      </c>
      <c r="G2511" t="s">
        <v>26</v>
      </c>
      <c r="H2511" t="s">
        <v>281</v>
      </c>
      <c r="I2511" t="s">
        <v>97</v>
      </c>
      <c r="J2511">
        <v>5869.6750000000002</v>
      </c>
      <c r="K2511">
        <v>0.01</v>
      </c>
      <c r="L2511">
        <v>0.38</v>
      </c>
      <c r="M2511">
        <v>48.965000000000003</v>
      </c>
      <c r="N2511">
        <v>4050.07575</v>
      </c>
      <c r="O2511" s="1" t="s">
        <v>40</v>
      </c>
      <c r="P2511" s="1" t="s">
        <v>6892</v>
      </c>
      <c r="Q2511" s="1" t="s">
        <v>6893</v>
      </c>
      <c r="R2511" s="1" t="s">
        <v>43</v>
      </c>
      <c r="S2511" s="1" t="s">
        <v>6894</v>
      </c>
      <c r="T2511" s="1" t="s">
        <v>6895</v>
      </c>
      <c r="U2511" s="2" t="s">
        <v>480</v>
      </c>
      <c r="V2511" s="2" t="s">
        <v>36</v>
      </c>
      <c r="W2511" s="2" t="s">
        <v>142</v>
      </c>
      <c r="X2511" s="2">
        <v>528.42999999999995</v>
      </c>
    </row>
    <row r="2512" spans="1:24" x14ac:dyDescent="0.3">
      <c r="A2512">
        <v>20386</v>
      </c>
      <c r="B2512" t="s">
        <v>6891</v>
      </c>
      <c r="C2512" s="3">
        <v>41369</v>
      </c>
      <c r="D2512" t="s">
        <v>39</v>
      </c>
      <c r="E2512">
        <v>3</v>
      </c>
      <c r="F2512" s="3">
        <f ca="1">41371+(RANDBETWEEN(1,10))</f>
        <v>41374</v>
      </c>
      <c r="G2512" t="s">
        <v>26</v>
      </c>
      <c r="H2512" t="s">
        <v>27</v>
      </c>
      <c r="I2512" t="s">
        <v>97</v>
      </c>
      <c r="J2512">
        <v>4351.0249999999996</v>
      </c>
      <c r="K2512">
        <v>0.06</v>
      </c>
      <c r="L2512">
        <v>0.56999999999999995</v>
      </c>
      <c r="M2512">
        <v>39.795000000000002</v>
      </c>
      <c r="N2512">
        <v>3002.2072499999999</v>
      </c>
      <c r="O2512" s="1" t="s">
        <v>40</v>
      </c>
      <c r="P2512" s="1" t="s">
        <v>6892</v>
      </c>
      <c r="Q2512" s="1" t="s">
        <v>6893</v>
      </c>
      <c r="R2512" s="1" t="s">
        <v>43</v>
      </c>
      <c r="S2512" s="1" t="s">
        <v>6894</v>
      </c>
      <c r="T2512" s="1" t="s">
        <v>6895</v>
      </c>
      <c r="U2512" s="2" t="s">
        <v>1298</v>
      </c>
      <c r="V2512" s="2" t="s">
        <v>47</v>
      </c>
      <c r="W2512" s="2" t="s">
        <v>119</v>
      </c>
      <c r="X2512" s="2">
        <v>1455.58</v>
      </c>
    </row>
    <row r="2513" spans="1:24" x14ac:dyDescent="0.3">
      <c r="A2513">
        <v>20387</v>
      </c>
      <c r="B2513" t="s">
        <v>6891</v>
      </c>
      <c r="C2513" s="3">
        <v>41369</v>
      </c>
      <c r="D2513" t="s">
        <v>39</v>
      </c>
      <c r="E2513">
        <v>7</v>
      </c>
      <c r="F2513" s="3">
        <f ca="1">41371+(RANDBETWEEN(1,10))</f>
        <v>41378</v>
      </c>
      <c r="G2513" t="s">
        <v>26</v>
      </c>
      <c r="H2513" t="s">
        <v>27</v>
      </c>
      <c r="I2513" t="s">
        <v>97</v>
      </c>
      <c r="J2513">
        <v>4110.05</v>
      </c>
      <c r="K2513">
        <v>0.05</v>
      </c>
      <c r="L2513">
        <v>0.56000000000000005</v>
      </c>
      <c r="M2513">
        <v>14.7</v>
      </c>
      <c r="N2513">
        <v>2835.9344999999998</v>
      </c>
      <c r="O2513" s="1" t="s">
        <v>225</v>
      </c>
      <c r="P2513" s="1" t="s">
        <v>6896</v>
      </c>
      <c r="Q2513" s="1" t="s">
        <v>6897</v>
      </c>
      <c r="R2513" s="1" t="s">
        <v>228</v>
      </c>
      <c r="S2513" s="1" t="s">
        <v>6898</v>
      </c>
      <c r="T2513" s="1" t="s">
        <v>6899</v>
      </c>
      <c r="U2513" s="2" t="s">
        <v>3784</v>
      </c>
      <c r="V2513" s="2" t="s">
        <v>36</v>
      </c>
      <c r="W2513" s="2" t="s">
        <v>37</v>
      </c>
      <c r="X2513" s="2">
        <v>685.96500000000003</v>
      </c>
    </row>
    <row r="2514" spans="1:24" x14ac:dyDescent="0.3">
      <c r="A2514">
        <v>20388</v>
      </c>
      <c r="B2514" t="s">
        <v>6900</v>
      </c>
      <c r="C2514" s="3">
        <v>41414</v>
      </c>
      <c r="D2514" t="s">
        <v>50</v>
      </c>
      <c r="E2514">
        <v>15</v>
      </c>
      <c r="F2514" s="3">
        <f ca="1">41415+(RANDBETWEEN(1,10))</f>
        <v>41424</v>
      </c>
      <c r="G2514" t="s">
        <v>26</v>
      </c>
      <c r="H2514" t="s">
        <v>27</v>
      </c>
      <c r="I2514" t="s">
        <v>97</v>
      </c>
      <c r="J2514">
        <v>366.83499999999998</v>
      </c>
      <c r="K2514">
        <v>0.05</v>
      </c>
      <c r="L2514">
        <v>0.37</v>
      </c>
      <c r="M2514">
        <v>25.55</v>
      </c>
      <c r="N2514">
        <v>-407.29500000000002</v>
      </c>
      <c r="O2514" s="1" t="s">
        <v>29</v>
      </c>
      <c r="P2514" s="1" t="s">
        <v>6767</v>
      </c>
      <c r="Q2514" s="1" t="s">
        <v>6768</v>
      </c>
      <c r="R2514" s="1" t="s">
        <v>32</v>
      </c>
      <c r="S2514" s="1" t="s">
        <v>6569</v>
      </c>
      <c r="T2514" s="1" t="s">
        <v>6570</v>
      </c>
      <c r="U2514" s="2" t="s">
        <v>6901</v>
      </c>
      <c r="V2514" s="2" t="s">
        <v>47</v>
      </c>
      <c r="W2514" s="2" t="s">
        <v>74</v>
      </c>
      <c r="X2514" s="2">
        <v>23.38</v>
      </c>
    </row>
    <row r="2515" spans="1:24" x14ac:dyDescent="0.3">
      <c r="A2515">
        <v>20389</v>
      </c>
      <c r="B2515" t="s">
        <v>6900</v>
      </c>
      <c r="C2515" s="3">
        <v>41414</v>
      </c>
      <c r="D2515" t="s">
        <v>50</v>
      </c>
      <c r="E2515">
        <v>16</v>
      </c>
      <c r="F2515" s="3">
        <f ca="1">41415+(RANDBETWEEN(1,10))</f>
        <v>41417</v>
      </c>
      <c r="G2515" t="s">
        <v>26</v>
      </c>
      <c r="H2515" t="s">
        <v>27</v>
      </c>
      <c r="I2515" t="s">
        <v>97</v>
      </c>
      <c r="J2515">
        <v>6296.99</v>
      </c>
      <c r="K2515">
        <v>0</v>
      </c>
      <c r="L2515">
        <v>0.6</v>
      </c>
      <c r="M2515">
        <v>8.75</v>
      </c>
      <c r="N2515">
        <v>4344.9231</v>
      </c>
      <c r="O2515" s="1" t="s">
        <v>29</v>
      </c>
      <c r="P2515" s="1" t="s">
        <v>6767</v>
      </c>
      <c r="Q2515" s="1" t="s">
        <v>6768</v>
      </c>
      <c r="R2515" s="1" t="s">
        <v>32</v>
      </c>
      <c r="S2515" s="1" t="s">
        <v>6569</v>
      </c>
      <c r="T2515" s="1" t="s">
        <v>6570</v>
      </c>
      <c r="U2515" s="2" t="s">
        <v>4222</v>
      </c>
      <c r="V2515" s="2" t="s">
        <v>36</v>
      </c>
      <c r="W2515" s="2" t="s">
        <v>37</v>
      </c>
      <c r="X2515" s="2">
        <v>440.96499999999997</v>
      </c>
    </row>
    <row r="2516" spans="1:24" x14ac:dyDescent="0.3">
      <c r="A2516">
        <v>20390</v>
      </c>
      <c r="B2516" t="s">
        <v>6902</v>
      </c>
      <c r="C2516" s="3">
        <v>40670</v>
      </c>
      <c r="D2516" t="s">
        <v>39</v>
      </c>
      <c r="E2516">
        <v>10</v>
      </c>
      <c r="F2516" s="3">
        <f ca="1">40672+(RANDBETWEEN(1,10))</f>
        <v>40676</v>
      </c>
      <c r="G2516" t="s">
        <v>156</v>
      </c>
      <c r="H2516" t="s">
        <v>96</v>
      </c>
      <c r="I2516" t="s">
        <v>52</v>
      </c>
      <c r="J2516">
        <v>169.155</v>
      </c>
      <c r="K2516">
        <v>7.0000000000000007E-2</v>
      </c>
      <c r="L2516">
        <v>0.39</v>
      </c>
      <c r="M2516">
        <v>3.08</v>
      </c>
      <c r="N2516">
        <v>116.71695</v>
      </c>
      <c r="O2516" s="1" t="s">
        <v>53</v>
      </c>
      <c r="P2516" s="1" t="s">
        <v>2784</v>
      </c>
      <c r="Q2516" s="1" t="s">
        <v>2785</v>
      </c>
      <c r="R2516" s="1" t="s">
        <v>56</v>
      </c>
      <c r="S2516" s="1" t="s">
        <v>2786</v>
      </c>
      <c r="T2516" s="1" t="s">
        <v>2787</v>
      </c>
      <c r="U2516" s="2" t="s">
        <v>1743</v>
      </c>
      <c r="V2516" s="2" t="s">
        <v>47</v>
      </c>
      <c r="W2516" s="2" t="s">
        <v>74</v>
      </c>
      <c r="X2516" s="2">
        <v>16.66</v>
      </c>
    </row>
    <row r="2517" spans="1:24" x14ac:dyDescent="0.3">
      <c r="A2517">
        <v>20391</v>
      </c>
      <c r="B2517" t="s">
        <v>6903</v>
      </c>
      <c r="C2517" s="3">
        <v>40655</v>
      </c>
      <c r="D2517" t="s">
        <v>25</v>
      </c>
      <c r="E2517">
        <v>7</v>
      </c>
      <c r="F2517" s="3">
        <f ca="1">40659+(RANDBETWEEN(1,10))</f>
        <v>40662</v>
      </c>
      <c r="G2517" t="s">
        <v>26</v>
      </c>
      <c r="H2517" t="s">
        <v>96</v>
      </c>
      <c r="I2517" t="s">
        <v>52</v>
      </c>
      <c r="J2517">
        <v>134.435</v>
      </c>
      <c r="K2517">
        <v>7.0000000000000007E-2</v>
      </c>
      <c r="L2517">
        <v>0.36</v>
      </c>
      <c r="M2517">
        <v>3.3250000000000002</v>
      </c>
      <c r="N2517">
        <v>92.760149999999996</v>
      </c>
      <c r="O2517" s="1" t="s">
        <v>64</v>
      </c>
      <c r="P2517" s="1" t="s">
        <v>6904</v>
      </c>
      <c r="Q2517" s="1" t="s">
        <v>6905</v>
      </c>
      <c r="R2517" s="1" t="s">
        <v>67</v>
      </c>
      <c r="S2517" s="1" t="s">
        <v>6906</v>
      </c>
      <c r="T2517" s="1" t="s">
        <v>6907</v>
      </c>
      <c r="U2517" s="2" t="s">
        <v>3882</v>
      </c>
      <c r="V2517" s="2" t="s">
        <v>47</v>
      </c>
      <c r="W2517" s="2" t="s">
        <v>74</v>
      </c>
      <c r="X2517" s="2">
        <v>19.004999999999999</v>
      </c>
    </row>
    <row r="2518" spans="1:24" x14ac:dyDescent="0.3">
      <c r="A2518">
        <v>20392</v>
      </c>
      <c r="B2518" t="s">
        <v>6908</v>
      </c>
      <c r="C2518" s="3">
        <v>40880</v>
      </c>
      <c r="D2518" t="s">
        <v>50</v>
      </c>
      <c r="E2518">
        <v>3</v>
      </c>
      <c r="F2518" s="3">
        <f ca="1">40882+(RANDBETWEEN(1,10))</f>
        <v>40890</v>
      </c>
      <c r="G2518" t="s">
        <v>26</v>
      </c>
      <c r="H2518" t="s">
        <v>27</v>
      </c>
      <c r="I2518" t="s">
        <v>28</v>
      </c>
      <c r="J2518">
        <v>51.975000000000001</v>
      </c>
      <c r="K2518">
        <v>0.06</v>
      </c>
      <c r="L2518">
        <v>0.38</v>
      </c>
      <c r="M2518">
        <v>17.465</v>
      </c>
      <c r="N2518">
        <v>-36.522500000000001</v>
      </c>
      <c r="O2518" s="1" t="s">
        <v>40</v>
      </c>
      <c r="P2518" s="1" t="s">
        <v>6909</v>
      </c>
      <c r="Q2518" s="1" t="s">
        <v>6910</v>
      </c>
      <c r="R2518" s="1" t="s">
        <v>220</v>
      </c>
      <c r="S2518" s="1" t="s">
        <v>6911</v>
      </c>
      <c r="T2518" s="1" t="s">
        <v>6912</v>
      </c>
      <c r="U2518" s="2" t="s">
        <v>1179</v>
      </c>
      <c r="V2518" s="2" t="s">
        <v>47</v>
      </c>
      <c r="W2518" s="2" t="s">
        <v>48</v>
      </c>
      <c r="X2518" s="2">
        <v>15.47</v>
      </c>
    </row>
    <row r="2519" spans="1:24" x14ac:dyDescent="0.3">
      <c r="A2519">
        <v>20393</v>
      </c>
      <c r="B2519" t="s">
        <v>6913</v>
      </c>
      <c r="C2519" s="3">
        <v>41109</v>
      </c>
      <c r="D2519" t="s">
        <v>62</v>
      </c>
      <c r="E2519">
        <v>12</v>
      </c>
      <c r="F2519" s="3">
        <f ca="1">41111+(RANDBETWEEN(1,10))</f>
        <v>41117</v>
      </c>
      <c r="G2519" t="s">
        <v>26</v>
      </c>
      <c r="H2519" t="s">
        <v>27</v>
      </c>
      <c r="I2519" t="s">
        <v>28</v>
      </c>
      <c r="J2519">
        <v>2525.7399999999998</v>
      </c>
      <c r="K2519">
        <v>0.01</v>
      </c>
      <c r="L2519">
        <v>0.59</v>
      </c>
      <c r="M2519">
        <v>26.914999999999999</v>
      </c>
      <c r="N2519">
        <v>1742.7606000000001</v>
      </c>
      <c r="O2519" s="1" t="s">
        <v>87</v>
      </c>
      <c r="P2519" s="1" t="s">
        <v>5873</v>
      </c>
      <c r="Q2519" s="1" t="s">
        <v>5874</v>
      </c>
      <c r="R2519" s="1" t="s">
        <v>90</v>
      </c>
      <c r="S2519" s="1" t="s">
        <v>5875</v>
      </c>
      <c r="T2519" s="1" t="s">
        <v>5876</v>
      </c>
      <c r="U2519" s="2">
        <v>5190</v>
      </c>
      <c r="V2519" s="2" t="s">
        <v>36</v>
      </c>
      <c r="W2519" s="2" t="s">
        <v>37</v>
      </c>
      <c r="X2519" s="2">
        <v>230.965</v>
      </c>
    </row>
    <row r="2520" spans="1:24" x14ac:dyDescent="0.3">
      <c r="A2520">
        <v>20394</v>
      </c>
      <c r="B2520" t="s">
        <v>6914</v>
      </c>
      <c r="C2520" s="3">
        <v>41488</v>
      </c>
      <c r="D2520" t="s">
        <v>62</v>
      </c>
      <c r="E2520">
        <v>11</v>
      </c>
      <c r="F2520" s="3">
        <f ca="1">41490+(RANDBETWEEN(1,10))</f>
        <v>41497</v>
      </c>
      <c r="G2520" t="s">
        <v>26</v>
      </c>
      <c r="H2520" t="s">
        <v>96</v>
      </c>
      <c r="I2520" t="s">
        <v>86</v>
      </c>
      <c r="J2520">
        <v>327.42500000000001</v>
      </c>
      <c r="K2520">
        <v>0</v>
      </c>
      <c r="L2520">
        <v>0.36</v>
      </c>
      <c r="M2520">
        <v>20.405000000000001</v>
      </c>
      <c r="N2520">
        <v>-259.30799999999999</v>
      </c>
      <c r="O2520" s="1" t="s">
        <v>40</v>
      </c>
      <c r="P2520" s="1" t="s">
        <v>5161</v>
      </c>
      <c r="Q2520" s="1" t="s">
        <v>5162</v>
      </c>
      <c r="R2520" s="1" t="s">
        <v>43</v>
      </c>
      <c r="S2520" s="1" t="s">
        <v>5163</v>
      </c>
      <c r="T2520" s="1" t="s">
        <v>5164</v>
      </c>
      <c r="U2520" s="2" t="s">
        <v>605</v>
      </c>
      <c r="V2520" s="2" t="s">
        <v>47</v>
      </c>
      <c r="W2520" s="2" t="s">
        <v>74</v>
      </c>
      <c r="X2520" s="2">
        <v>26.74</v>
      </c>
    </row>
    <row r="2521" spans="1:24" x14ac:dyDescent="0.3">
      <c r="A2521">
        <v>20395</v>
      </c>
      <c r="B2521" t="s">
        <v>6915</v>
      </c>
      <c r="C2521" s="3">
        <v>41612</v>
      </c>
      <c r="D2521" t="s">
        <v>39</v>
      </c>
      <c r="E2521">
        <v>22</v>
      </c>
      <c r="F2521" s="3">
        <f ca="1">41614+(RANDBETWEEN(1,10))</f>
        <v>41624</v>
      </c>
      <c r="G2521" t="s">
        <v>26</v>
      </c>
      <c r="H2521" t="s">
        <v>51</v>
      </c>
      <c r="I2521" t="s">
        <v>28</v>
      </c>
      <c r="J2521">
        <v>1973.6849999999999</v>
      </c>
      <c r="K2521">
        <v>0.1</v>
      </c>
      <c r="L2521">
        <v>0.4</v>
      </c>
      <c r="M2521">
        <v>6.9649999999999999</v>
      </c>
      <c r="N2521">
        <v>1361.84265</v>
      </c>
      <c r="O2521" s="1" t="s">
        <v>64</v>
      </c>
      <c r="P2521" s="1" t="s">
        <v>6904</v>
      </c>
      <c r="Q2521" s="1" t="s">
        <v>6905</v>
      </c>
      <c r="R2521" s="1" t="s">
        <v>67</v>
      </c>
      <c r="S2521" s="1" t="s">
        <v>6906</v>
      </c>
      <c r="T2521" s="1" t="s">
        <v>6907</v>
      </c>
      <c r="U2521" s="2" t="s">
        <v>1109</v>
      </c>
      <c r="V2521" s="2" t="s">
        <v>36</v>
      </c>
      <c r="W2521" s="2" t="s">
        <v>60</v>
      </c>
      <c r="X2521" s="2">
        <v>99.68</v>
      </c>
    </row>
    <row r="2522" spans="1:24" x14ac:dyDescent="0.3">
      <c r="A2522">
        <v>20396</v>
      </c>
      <c r="B2522" t="s">
        <v>6916</v>
      </c>
      <c r="C2522" s="3">
        <v>41575</v>
      </c>
      <c r="D2522" t="s">
        <v>25</v>
      </c>
      <c r="E2522">
        <v>19</v>
      </c>
      <c r="F2522" s="3">
        <f ca="1">41577+(RANDBETWEEN(1,10))</f>
        <v>41585</v>
      </c>
      <c r="G2522" t="s">
        <v>26</v>
      </c>
      <c r="H2522" t="s">
        <v>96</v>
      </c>
      <c r="I2522" t="s">
        <v>28</v>
      </c>
      <c r="J2522">
        <v>188.19499999999999</v>
      </c>
      <c r="K2522">
        <v>0.05</v>
      </c>
      <c r="L2522">
        <v>0.57999999999999996</v>
      </c>
      <c r="M2522">
        <v>4.2</v>
      </c>
      <c r="N2522">
        <v>-18.370799999999999</v>
      </c>
      <c r="O2522" s="1" t="s">
        <v>53</v>
      </c>
      <c r="P2522" s="1" t="s">
        <v>2757</v>
      </c>
      <c r="Q2522" s="1" t="s">
        <v>2758</v>
      </c>
      <c r="R2522" s="1" t="s">
        <v>100</v>
      </c>
      <c r="S2522" s="1" t="s">
        <v>2759</v>
      </c>
      <c r="T2522" s="1" t="s">
        <v>2760</v>
      </c>
      <c r="U2522" s="2" t="s">
        <v>1227</v>
      </c>
      <c r="V2522" s="2" t="s">
        <v>47</v>
      </c>
      <c r="W2522" s="2" t="s">
        <v>104</v>
      </c>
      <c r="X2522" s="2">
        <v>9.73</v>
      </c>
    </row>
    <row r="2523" spans="1:24" x14ac:dyDescent="0.3">
      <c r="A2523">
        <v>20397</v>
      </c>
      <c r="B2523" t="s">
        <v>6917</v>
      </c>
      <c r="C2523" s="3">
        <v>41500</v>
      </c>
      <c r="D2523" t="s">
        <v>62</v>
      </c>
      <c r="E2523">
        <v>14</v>
      </c>
      <c r="F2523" s="3">
        <f ca="1">41502+(RANDBETWEEN(1,10))</f>
        <v>41509</v>
      </c>
      <c r="G2523" t="s">
        <v>76</v>
      </c>
      <c r="H2523" t="s">
        <v>258</v>
      </c>
      <c r="I2523" t="s">
        <v>52</v>
      </c>
      <c r="J2523">
        <v>5438.02</v>
      </c>
      <c r="K2523">
        <v>0.08</v>
      </c>
      <c r="L2523">
        <v>0.76</v>
      </c>
      <c r="M2523">
        <v>205.52</v>
      </c>
      <c r="N2523">
        <v>-2272.4155999999998</v>
      </c>
      <c r="O2523" s="1" t="s">
        <v>40</v>
      </c>
      <c r="P2523" s="1" t="s">
        <v>6204</v>
      </c>
      <c r="Q2523" s="1" t="s">
        <v>6205</v>
      </c>
      <c r="R2523" s="1" t="s">
        <v>220</v>
      </c>
      <c r="S2523" s="1" t="s">
        <v>6206</v>
      </c>
      <c r="T2523" s="1" t="s">
        <v>6207</v>
      </c>
      <c r="U2523" s="2" t="s">
        <v>4900</v>
      </c>
      <c r="V2523" s="2" t="s">
        <v>83</v>
      </c>
      <c r="W2523" s="2" t="s">
        <v>298</v>
      </c>
      <c r="X2523" s="2">
        <v>402.43</v>
      </c>
    </row>
    <row r="2524" spans="1:24" x14ac:dyDescent="0.3">
      <c r="A2524">
        <v>20398</v>
      </c>
      <c r="B2524" t="s">
        <v>6918</v>
      </c>
      <c r="C2524" s="3">
        <v>41135</v>
      </c>
      <c r="D2524" t="s">
        <v>39</v>
      </c>
      <c r="E2524">
        <v>13</v>
      </c>
      <c r="F2524" s="3">
        <f ca="1">41136+(RANDBETWEEN(1,10))</f>
        <v>41137</v>
      </c>
      <c r="G2524" t="s">
        <v>26</v>
      </c>
      <c r="H2524" t="s">
        <v>27</v>
      </c>
      <c r="I2524" t="s">
        <v>28</v>
      </c>
      <c r="J2524">
        <v>164.535</v>
      </c>
      <c r="K2524">
        <v>0.05</v>
      </c>
      <c r="L2524">
        <v>0.37</v>
      </c>
      <c r="M2524">
        <v>1.75</v>
      </c>
      <c r="N2524">
        <v>-70.216999999999999</v>
      </c>
      <c r="O2524" s="1" t="s">
        <v>87</v>
      </c>
      <c r="P2524" s="1" t="s">
        <v>6919</v>
      </c>
      <c r="Q2524" s="1" t="s">
        <v>6920</v>
      </c>
      <c r="R2524" s="1" t="s">
        <v>646</v>
      </c>
      <c r="S2524" s="1" t="s">
        <v>6921</v>
      </c>
      <c r="T2524" s="1" t="s">
        <v>6922</v>
      </c>
      <c r="U2524" s="2" t="s">
        <v>5635</v>
      </c>
      <c r="V2524" s="2" t="s">
        <v>47</v>
      </c>
      <c r="W2524" s="2" t="s">
        <v>203</v>
      </c>
      <c r="X2524" s="2">
        <v>13.125</v>
      </c>
    </row>
    <row r="2525" spans="1:24" x14ac:dyDescent="0.3">
      <c r="A2525">
        <v>20399</v>
      </c>
      <c r="B2525" t="s">
        <v>6923</v>
      </c>
      <c r="C2525" s="3">
        <v>41459</v>
      </c>
      <c r="D2525" t="s">
        <v>50</v>
      </c>
      <c r="E2525">
        <v>7</v>
      </c>
      <c r="F2525" s="3">
        <f ca="1">41460+(RANDBETWEEN(1,10))</f>
        <v>41461</v>
      </c>
      <c r="G2525" t="s">
        <v>26</v>
      </c>
      <c r="H2525" t="s">
        <v>27</v>
      </c>
      <c r="I2525" t="s">
        <v>97</v>
      </c>
      <c r="J2525">
        <v>2649.4650000000001</v>
      </c>
      <c r="K2525">
        <v>0.01</v>
      </c>
      <c r="L2525">
        <v>0.59</v>
      </c>
      <c r="M2525">
        <v>31.465</v>
      </c>
      <c r="N2525">
        <v>781.38900000000001</v>
      </c>
      <c r="O2525" s="1" t="s">
        <v>87</v>
      </c>
      <c r="P2525" s="1" t="s">
        <v>6220</v>
      </c>
      <c r="Q2525" s="1" t="s">
        <v>6221</v>
      </c>
      <c r="R2525" s="1" t="s">
        <v>646</v>
      </c>
      <c r="S2525" s="1" t="s">
        <v>2737</v>
      </c>
      <c r="T2525" s="1" t="s">
        <v>2738</v>
      </c>
      <c r="U2525" s="2" t="s">
        <v>295</v>
      </c>
      <c r="V2525" s="2" t="s">
        <v>36</v>
      </c>
      <c r="W2525" s="2" t="s">
        <v>37</v>
      </c>
      <c r="X2525" s="2">
        <v>440.96499999999997</v>
      </c>
    </row>
    <row r="2526" spans="1:24" x14ac:dyDescent="0.3">
      <c r="A2526">
        <v>20400</v>
      </c>
      <c r="B2526" t="s">
        <v>6924</v>
      </c>
      <c r="C2526" s="3">
        <v>40690</v>
      </c>
      <c r="D2526" t="s">
        <v>50</v>
      </c>
      <c r="E2526">
        <v>9</v>
      </c>
      <c r="F2526" s="3">
        <f ca="1">40692+(RANDBETWEEN(1,10))</f>
        <v>40695</v>
      </c>
      <c r="G2526" t="s">
        <v>156</v>
      </c>
      <c r="H2526" t="s">
        <v>27</v>
      </c>
      <c r="I2526" t="s">
        <v>28</v>
      </c>
      <c r="J2526">
        <v>181.37</v>
      </c>
      <c r="K2526">
        <v>0.05</v>
      </c>
      <c r="L2526">
        <v>0.37</v>
      </c>
      <c r="M2526">
        <v>27.23</v>
      </c>
      <c r="N2526">
        <v>-464.20325000000003</v>
      </c>
      <c r="O2526" s="1" t="s">
        <v>64</v>
      </c>
      <c r="P2526" s="1" t="s">
        <v>6925</v>
      </c>
      <c r="Q2526" s="1" t="s">
        <v>6926</v>
      </c>
      <c r="R2526" s="1" t="s">
        <v>67</v>
      </c>
      <c r="S2526" s="1" t="s">
        <v>6927</v>
      </c>
      <c r="T2526" s="1" t="s">
        <v>6928</v>
      </c>
      <c r="U2526" s="2" t="s">
        <v>599</v>
      </c>
      <c r="V2526" s="2" t="s">
        <v>47</v>
      </c>
      <c r="W2526" s="2" t="s">
        <v>111</v>
      </c>
      <c r="X2526" s="2">
        <v>18.899999999999999</v>
      </c>
    </row>
    <row r="2527" spans="1:24" x14ac:dyDescent="0.3">
      <c r="A2527">
        <v>20401</v>
      </c>
      <c r="B2527" t="s">
        <v>6924</v>
      </c>
      <c r="C2527" s="3">
        <v>40690</v>
      </c>
      <c r="D2527" t="s">
        <v>50</v>
      </c>
      <c r="E2527">
        <v>15</v>
      </c>
      <c r="F2527" s="3">
        <f ca="1">40692+(RANDBETWEEN(1,10))</f>
        <v>40702</v>
      </c>
      <c r="G2527" t="s">
        <v>26</v>
      </c>
      <c r="H2527" t="s">
        <v>281</v>
      </c>
      <c r="I2527" t="s">
        <v>28</v>
      </c>
      <c r="J2527">
        <v>932.36500000000001</v>
      </c>
      <c r="K2527">
        <v>0.02</v>
      </c>
      <c r="L2527">
        <v>0.57999999999999996</v>
      </c>
      <c r="M2527">
        <v>16.835000000000001</v>
      </c>
      <c r="N2527">
        <v>174.25800000000001</v>
      </c>
      <c r="O2527" s="1" t="s">
        <v>53</v>
      </c>
      <c r="P2527" s="1" t="s">
        <v>6929</v>
      </c>
      <c r="Q2527" s="1" t="s">
        <v>6930</v>
      </c>
      <c r="R2527" s="1" t="s">
        <v>100</v>
      </c>
      <c r="S2527" s="1" t="s">
        <v>491</v>
      </c>
      <c r="T2527" s="1" t="s">
        <v>492</v>
      </c>
      <c r="U2527" s="2" t="s">
        <v>1890</v>
      </c>
      <c r="V2527" s="2" t="s">
        <v>36</v>
      </c>
      <c r="W2527" s="2" t="s">
        <v>37</v>
      </c>
      <c r="X2527" s="2">
        <v>73.465000000000003</v>
      </c>
    </row>
    <row r="2528" spans="1:24" x14ac:dyDescent="0.3">
      <c r="A2528">
        <v>20402</v>
      </c>
      <c r="B2528" t="s">
        <v>6931</v>
      </c>
      <c r="C2528" s="3">
        <v>41138</v>
      </c>
      <c r="D2528" t="s">
        <v>50</v>
      </c>
      <c r="E2528">
        <v>14</v>
      </c>
      <c r="F2528" s="3">
        <f ca="1">41140+(RANDBETWEEN(1,10))</f>
        <v>41149</v>
      </c>
      <c r="G2528" t="s">
        <v>26</v>
      </c>
      <c r="H2528" t="s">
        <v>27</v>
      </c>
      <c r="I2528" t="s">
        <v>86</v>
      </c>
      <c r="J2528">
        <v>1001.42</v>
      </c>
      <c r="K2528">
        <v>0.09</v>
      </c>
      <c r="L2528">
        <v>0.78</v>
      </c>
      <c r="M2528">
        <v>22.75</v>
      </c>
      <c r="N2528">
        <v>-289.14339999999999</v>
      </c>
      <c r="O2528" s="1" t="s">
        <v>225</v>
      </c>
      <c r="P2528" s="1" t="s">
        <v>389</v>
      </c>
      <c r="Q2528" s="1" t="s">
        <v>390</v>
      </c>
      <c r="R2528" s="1" t="s">
        <v>391</v>
      </c>
      <c r="S2528" s="1" t="s">
        <v>392</v>
      </c>
      <c r="T2528" s="1" t="s">
        <v>393</v>
      </c>
      <c r="U2528" s="2" t="s">
        <v>1138</v>
      </c>
      <c r="V2528" s="2" t="s">
        <v>36</v>
      </c>
      <c r="W2528" s="2" t="s">
        <v>60</v>
      </c>
      <c r="X2528" s="2">
        <v>73.394999999999996</v>
      </c>
    </row>
    <row r="2529" spans="1:24" x14ac:dyDescent="0.3">
      <c r="A2529">
        <v>20403</v>
      </c>
      <c r="B2529" t="s">
        <v>6932</v>
      </c>
      <c r="C2529" s="3">
        <v>41153</v>
      </c>
      <c r="D2529" t="s">
        <v>25</v>
      </c>
      <c r="E2529">
        <v>2</v>
      </c>
      <c r="F2529" s="3">
        <f ca="1">41158+(RANDBETWEEN(1,10))</f>
        <v>41159</v>
      </c>
      <c r="G2529" t="s">
        <v>156</v>
      </c>
      <c r="H2529" t="s">
        <v>27</v>
      </c>
      <c r="I2529" t="s">
        <v>97</v>
      </c>
      <c r="J2529">
        <v>398.54500000000002</v>
      </c>
      <c r="K2529">
        <v>0.04</v>
      </c>
      <c r="L2529">
        <v>0.56000000000000005</v>
      </c>
      <c r="M2529">
        <v>31.465</v>
      </c>
      <c r="N2529">
        <v>-865.32600000000002</v>
      </c>
      <c r="O2529" s="1" t="s">
        <v>64</v>
      </c>
      <c r="P2529" s="1" t="s">
        <v>6933</v>
      </c>
      <c r="Q2529" s="1" t="s">
        <v>6934</v>
      </c>
      <c r="R2529" s="1" t="s">
        <v>67</v>
      </c>
      <c r="S2529" s="1" t="s">
        <v>68</v>
      </c>
      <c r="T2529" s="1" t="s">
        <v>6935</v>
      </c>
      <c r="U2529" s="2">
        <v>5180</v>
      </c>
      <c r="V2529" s="2" t="s">
        <v>36</v>
      </c>
      <c r="W2529" s="2" t="s">
        <v>37</v>
      </c>
      <c r="X2529" s="2">
        <v>230.965</v>
      </c>
    </row>
    <row r="2530" spans="1:24" x14ac:dyDescent="0.3">
      <c r="A2530">
        <v>20404</v>
      </c>
      <c r="B2530" t="s">
        <v>6932</v>
      </c>
      <c r="C2530" s="3">
        <v>41153</v>
      </c>
      <c r="D2530" t="s">
        <v>25</v>
      </c>
      <c r="E2530">
        <v>20</v>
      </c>
      <c r="F2530" s="3">
        <f ca="1">41158+(RANDBETWEEN(1,10))</f>
        <v>41167</v>
      </c>
      <c r="G2530" t="s">
        <v>26</v>
      </c>
      <c r="H2530" t="s">
        <v>51</v>
      </c>
      <c r="I2530" t="s">
        <v>97</v>
      </c>
      <c r="J2530">
        <v>578.69000000000005</v>
      </c>
      <c r="K2530">
        <v>7.0000000000000007E-2</v>
      </c>
      <c r="L2530">
        <v>0.55000000000000004</v>
      </c>
      <c r="M2530">
        <v>27.195</v>
      </c>
      <c r="N2530">
        <v>-712.88</v>
      </c>
      <c r="O2530" s="1" t="s">
        <v>40</v>
      </c>
      <c r="P2530" s="1" t="s">
        <v>6936</v>
      </c>
      <c r="Q2530" s="1" t="s">
        <v>6937</v>
      </c>
      <c r="R2530" s="1" t="s">
        <v>43</v>
      </c>
      <c r="S2530" s="1" t="s">
        <v>4289</v>
      </c>
      <c r="T2530" s="1" t="s">
        <v>4290</v>
      </c>
      <c r="U2530" s="2" t="s">
        <v>6938</v>
      </c>
      <c r="V2530" s="2" t="s">
        <v>47</v>
      </c>
      <c r="W2530" s="2" t="s">
        <v>94</v>
      </c>
      <c r="X2530" s="2">
        <v>29.574999999999999</v>
      </c>
    </row>
    <row r="2531" spans="1:24" x14ac:dyDescent="0.3">
      <c r="A2531">
        <v>20405</v>
      </c>
      <c r="B2531" t="s">
        <v>6939</v>
      </c>
      <c r="C2531" s="3">
        <v>41819</v>
      </c>
      <c r="D2531" t="s">
        <v>39</v>
      </c>
      <c r="E2531">
        <v>15</v>
      </c>
      <c r="F2531" s="3">
        <f ca="1">41821+(RANDBETWEEN(1,10))</f>
        <v>41828</v>
      </c>
      <c r="G2531" t="s">
        <v>26</v>
      </c>
      <c r="H2531" t="s">
        <v>27</v>
      </c>
      <c r="I2531" t="s">
        <v>28</v>
      </c>
      <c r="J2531">
        <v>5055.3999999999996</v>
      </c>
      <c r="K2531">
        <v>7.0000000000000007E-2</v>
      </c>
      <c r="L2531">
        <v>0.52</v>
      </c>
      <c r="M2531">
        <v>69.965000000000003</v>
      </c>
      <c r="N2531">
        <v>1881.894</v>
      </c>
      <c r="O2531" s="1" t="s">
        <v>29</v>
      </c>
      <c r="P2531" s="1" t="s">
        <v>6755</v>
      </c>
      <c r="Q2531" s="1" t="s">
        <v>6756</v>
      </c>
      <c r="R2531" s="1" t="s">
        <v>675</v>
      </c>
      <c r="S2531" s="1" t="s">
        <v>6757</v>
      </c>
      <c r="T2531" s="1" t="s">
        <v>6758</v>
      </c>
      <c r="U2531" s="2" t="s">
        <v>1438</v>
      </c>
      <c r="V2531" s="2" t="s">
        <v>36</v>
      </c>
      <c r="W2531" s="2" t="s">
        <v>60</v>
      </c>
      <c r="X2531" s="2">
        <v>349.96499999999997</v>
      </c>
    </row>
    <row r="2532" spans="1:24" x14ac:dyDescent="0.3">
      <c r="A2532">
        <v>20406</v>
      </c>
      <c r="B2532" t="s">
        <v>6939</v>
      </c>
      <c r="C2532" s="3">
        <v>41819</v>
      </c>
      <c r="D2532" t="s">
        <v>39</v>
      </c>
      <c r="E2532">
        <v>12</v>
      </c>
      <c r="F2532" s="3">
        <f ca="1">41821+(RANDBETWEEN(1,10))</f>
        <v>41823</v>
      </c>
      <c r="G2532" t="s">
        <v>26</v>
      </c>
      <c r="H2532" t="s">
        <v>27</v>
      </c>
      <c r="I2532" t="s">
        <v>28</v>
      </c>
      <c r="J2532">
        <v>456.64499999999998</v>
      </c>
      <c r="K2532">
        <v>0.1</v>
      </c>
      <c r="L2532">
        <v>0.36</v>
      </c>
      <c r="M2532">
        <v>17.535</v>
      </c>
      <c r="N2532">
        <v>144.018</v>
      </c>
      <c r="O2532" s="1" t="s">
        <v>29</v>
      </c>
      <c r="P2532" s="1" t="s">
        <v>6755</v>
      </c>
      <c r="Q2532" s="1" t="s">
        <v>6756</v>
      </c>
      <c r="R2532" s="1" t="s">
        <v>675</v>
      </c>
      <c r="S2532" s="1" t="s">
        <v>6757</v>
      </c>
      <c r="T2532" s="1" t="s">
        <v>6758</v>
      </c>
      <c r="U2532" s="2" t="s">
        <v>4556</v>
      </c>
      <c r="V2532" s="2" t="s">
        <v>47</v>
      </c>
      <c r="W2532" s="2" t="s">
        <v>74</v>
      </c>
      <c r="X2532" s="2">
        <v>39.69</v>
      </c>
    </row>
    <row r="2533" spans="1:24" x14ac:dyDescent="0.3">
      <c r="A2533">
        <v>20407</v>
      </c>
      <c r="B2533" t="s">
        <v>6940</v>
      </c>
      <c r="C2533" s="3">
        <v>41507</v>
      </c>
      <c r="D2533" t="s">
        <v>50</v>
      </c>
      <c r="E2533">
        <v>16</v>
      </c>
      <c r="F2533" s="3">
        <f ca="1">41510+(RANDBETWEEN(1,10))</f>
        <v>41518</v>
      </c>
      <c r="G2533" t="s">
        <v>26</v>
      </c>
      <c r="H2533" t="s">
        <v>51</v>
      </c>
      <c r="I2533" t="s">
        <v>86</v>
      </c>
      <c r="J2533">
        <v>423.36</v>
      </c>
      <c r="K2533">
        <v>0.1</v>
      </c>
      <c r="L2533">
        <v>0.74</v>
      </c>
      <c r="M2533">
        <v>8.33</v>
      </c>
      <c r="N2533">
        <v>-134.3706</v>
      </c>
      <c r="O2533" s="1" t="s">
        <v>29</v>
      </c>
      <c r="P2533" s="1" t="s">
        <v>6107</v>
      </c>
      <c r="Q2533" s="1" t="s">
        <v>6108</v>
      </c>
      <c r="R2533" s="1" t="s">
        <v>32</v>
      </c>
      <c r="S2533" s="1" t="s">
        <v>6109</v>
      </c>
      <c r="T2533" s="1" t="s">
        <v>6110</v>
      </c>
      <c r="U2533" s="2" t="s">
        <v>152</v>
      </c>
      <c r="V2533" s="2" t="s">
        <v>36</v>
      </c>
      <c r="W2533" s="2" t="s">
        <v>60</v>
      </c>
      <c r="X2533" s="2">
        <v>29.12</v>
      </c>
    </row>
    <row r="2534" spans="1:24" x14ac:dyDescent="0.3">
      <c r="A2534">
        <v>20408</v>
      </c>
      <c r="B2534" t="s">
        <v>6941</v>
      </c>
      <c r="C2534" s="3">
        <v>40703</v>
      </c>
      <c r="D2534" t="s">
        <v>62</v>
      </c>
      <c r="E2534">
        <v>6</v>
      </c>
      <c r="F2534" s="3">
        <f ca="1">40705+(RANDBETWEEN(1,10))</f>
        <v>40708</v>
      </c>
      <c r="G2534" t="s">
        <v>156</v>
      </c>
      <c r="H2534" t="s">
        <v>51</v>
      </c>
      <c r="I2534" t="s">
        <v>97</v>
      </c>
      <c r="J2534">
        <v>194.39</v>
      </c>
      <c r="K2534">
        <v>0</v>
      </c>
      <c r="L2534">
        <v>0.59</v>
      </c>
      <c r="M2534">
        <v>9.24</v>
      </c>
      <c r="N2534">
        <v>36.75</v>
      </c>
      <c r="O2534" s="1" t="s">
        <v>40</v>
      </c>
      <c r="P2534" s="1" t="s">
        <v>5303</v>
      </c>
      <c r="Q2534" s="1" t="s">
        <v>5304</v>
      </c>
      <c r="R2534" s="1" t="s">
        <v>43</v>
      </c>
      <c r="S2534" s="1" t="s">
        <v>5305</v>
      </c>
      <c r="T2534" s="1" t="s">
        <v>4392</v>
      </c>
      <c r="U2534" s="2" t="s">
        <v>6942</v>
      </c>
      <c r="V2534" s="2" t="s">
        <v>47</v>
      </c>
      <c r="W2534" s="2" t="s">
        <v>94</v>
      </c>
      <c r="X2534" s="2">
        <v>29.19</v>
      </c>
    </row>
    <row r="2535" spans="1:24" x14ac:dyDescent="0.3">
      <c r="A2535">
        <v>20409</v>
      </c>
      <c r="B2535" t="s">
        <v>6943</v>
      </c>
      <c r="C2535" s="3">
        <v>41777</v>
      </c>
      <c r="D2535" t="s">
        <v>25</v>
      </c>
      <c r="E2535">
        <v>14</v>
      </c>
      <c r="F2535" s="3">
        <f ca="1">41779+(RANDBETWEEN(1,10))</f>
        <v>41783</v>
      </c>
      <c r="G2535" t="s">
        <v>26</v>
      </c>
      <c r="H2535" t="s">
        <v>27</v>
      </c>
      <c r="I2535" t="s">
        <v>97</v>
      </c>
      <c r="J2535">
        <v>1004.99</v>
      </c>
      <c r="K2535">
        <v>0.01</v>
      </c>
      <c r="L2535">
        <v>0.37</v>
      </c>
      <c r="M2535">
        <v>33.39</v>
      </c>
      <c r="N2535">
        <v>448</v>
      </c>
      <c r="O2535" s="1" t="s">
        <v>64</v>
      </c>
      <c r="P2535" s="1" t="s">
        <v>1310</v>
      </c>
      <c r="Q2535" s="1" t="s">
        <v>1311</v>
      </c>
      <c r="R2535" s="1" t="s">
        <v>128</v>
      </c>
      <c r="S2535" s="1" t="s">
        <v>1312</v>
      </c>
      <c r="T2535" s="1" t="s">
        <v>1313</v>
      </c>
      <c r="U2535" s="2" t="s">
        <v>838</v>
      </c>
      <c r="V2535" s="2" t="s">
        <v>47</v>
      </c>
      <c r="W2535" s="2" t="s">
        <v>74</v>
      </c>
      <c r="X2535" s="2">
        <v>66.394999999999996</v>
      </c>
    </row>
    <row r="2536" spans="1:24" x14ac:dyDescent="0.3">
      <c r="A2536">
        <v>20410</v>
      </c>
      <c r="B2536" t="s">
        <v>6944</v>
      </c>
      <c r="C2536" s="3">
        <v>40967</v>
      </c>
      <c r="D2536" t="s">
        <v>25</v>
      </c>
      <c r="E2536">
        <v>8</v>
      </c>
      <c r="F2536" s="3">
        <f ca="1">40972+(RANDBETWEEN(1,10))</f>
        <v>40973</v>
      </c>
      <c r="G2536" t="s">
        <v>76</v>
      </c>
      <c r="H2536" t="s">
        <v>77</v>
      </c>
      <c r="I2536" t="s">
        <v>97</v>
      </c>
      <c r="J2536">
        <v>8037.96</v>
      </c>
      <c r="K2536">
        <v>0.03</v>
      </c>
      <c r="L2536">
        <v>0.56999999999999995</v>
      </c>
      <c r="M2536">
        <v>148.82</v>
      </c>
      <c r="N2536">
        <v>5546.1923999999999</v>
      </c>
      <c r="O2536" s="1" t="s">
        <v>87</v>
      </c>
      <c r="P2536" s="1" t="s">
        <v>1524</v>
      </c>
      <c r="Q2536" s="1" t="s">
        <v>1525</v>
      </c>
      <c r="R2536" s="1" t="s">
        <v>646</v>
      </c>
      <c r="S2536" s="1" t="s">
        <v>1526</v>
      </c>
      <c r="T2536" s="1" t="s">
        <v>1527</v>
      </c>
      <c r="U2536" s="2" t="s">
        <v>1653</v>
      </c>
      <c r="V2536" s="2" t="s">
        <v>47</v>
      </c>
      <c r="W2536" s="2" t="s">
        <v>71</v>
      </c>
      <c r="X2536" s="2">
        <v>1031.17</v>
      </c>
    </row>
    <row r="2537" spans="1:24" x14ac:dyDescent="0.3">
      <c r="A2537">
        <v>20411</v>
      </c>
      <c r="B2537" t="s">
        <v>6945</v>
      </c>
      <c r="C2537" s="3">
        <v>41802</v>
      </c>
      <c r="D2537" t="s">
        <v>148</v>
      </c>
      <c r="E2537">
        <v>10</v>
      </c>
      <c r="F2537" s="3">
        <f ca="1">41802+(RANDBETWEEN(1,10))</f>
        <v>41807</v>
      </c>
      <c r="G2537" t="s">
        <v>26</v>
      </c>
      <c r="H2537" t="s">
        <v>27</v>
      </c>
      <c r="I2537" t="s">
        <v>28</v>
      </c>
      <c r="J2537">
        <v>518.21</v>
      </c>
      <c r="K2537">
        <v>0.04</v>
      </c>
      <c r="L2537">
        <v>0.57999999999999996</v>
      </c>
      <c r="M2537">
        <v>12.25</v>
      </c>
      <c r="N2537">
        <v>202.14599999999999</v>
      </c>
      <c r="O2537" s="1" t="s">
        <v>40</v>
      </c>
      <c r="P2537" s="1" t="s">
        <v>2743</v>
      </c>
      <c r="Q2537" s="1" t="s">
        <v>2744</v>
      </c>
      <c r="R2537" s="1" t="s">
        <v>43</v>
      </c>
      <c r="S2537" s="1" t="s">
        <v>1989</v>
      </c>
      <c r="T2537" s="1" t="s">
        <v>2745</v>
      </c>
      <c r="U2537" s="2" t="s">
        <v>2871</v>
      </c>
      <c r="V2537" s="2" t="s">
        <v>47</v>
      </c>
      <c r="W2537" s="2" t="s">
        <v>71</v>
      </c>
      <c r="X2537" s="2">
        <v>50.96</v>
      </c>
    </row>
    <row r="2538" spans="1:24" x14ac:dyDescent="0.3">
      <c r="A2538">
        <v>20412</v>
      </c>
      <c r="B2538" t="s">
        <v>6945</v>
      </c>
      <c r="C2538" s="3">
        <v>41802</v>
      </c>
      <c r="D2538" t="s">
        <v>148</v>
      </c>
      <c r="E2538">
        <v>8</v>
      </c>
      <c r="F2538" s="3">
        <f ca="1">41804+(RANDBETWEEN(1,10))</f>
        <v>41809</v>
      </c>
      <c r="G2538" t="s">
        <v>76</v>
      </c>
      <c r="H2538" t="s">
        <v>77</v>
      </c>
      <c r="I2538" t="s">
        <v>28</v>
      </c>
      <c r="J2538">
        <v>6864.165</v>
      </c>
      <c r="K2538">
        <v>0.1</v>
      </c>
      <c r="L2538">
        <v>0.56000000000000005</v>
      </c>
      <c r="M2538">
        <v>98.21</v>
      </c>
      <c r="N2538">
        <v>1485.624</v>
      </c>
      <c r="O2538" s="1" t="s">
        <v>64</v>
      </c>
      <c r="P2538" s="1" t="s">
        <v>6946</v>
      </c>
      <c r="Q2538" s="1" t="s">
        <v>6947</v>
      </c>
      <c r="R2538" s="1" t="s">
        <v>128</v>
      </c>
      <c r="S2538" s="1" t="s">
        <v>2527</v>
      </c>
      <c r="T2538" s="1" t="s">
        <v>2528</v>
      </c>
      <c r="U2538" s="2" t="s">
        <v>6948</v>
      </c>
      <c r="V2538" s="2" t="s">
        <v>36</v>
      </c>
      <c r="W2538" s="2" t="s">
        <v>142</v>
      </c>
      <c r="X2538" s="2">
        <v>948.39499999999998</v>
      </c>
    </row>
    <row r="2539" spans="1:24" x14ac:dyDescent="0.3">
      <c r="A2539">
        <v>20413</v>
      </c>
      <c r="B2539" t="s">
        <v>6949</v>
      </c>
      <c r="C2539" s="3">
        <v>41817</v>
      </c>
      <c r="D2539" t="s">
        <v>25</v>
      </c>
      <c r="E2539">
        <v>19</v>
      </c>
      <c r="F2539" s="3">
        <f ca="1">41819+(RANDBETWEEN(1,10))</f>
        <v>41821</v>
      </c>
      <c r="G2539" t="s">
        <v>156</v>
      </c>
      <c r="H2539" t="s">
        <v>96</v>
      </c>
      <c r="I2539" t="s">
        <v>28</v>
      </c>
      <c r="J2539">
        <v>131.77500000000001</v>
      </c>
      <c r="K2539">
        <v>0.01</v>
      </c>
      <c r="L2539">
        <v>0.56000000000000005</v>
      </c>
      <c r="M2539">
        <v>2.4500000000000002</v>
      </c>
      <c r="N2539">
        <v>502.4187</v>
      </c>
      <c r="O2539" s="1" t="s">
        <v>53</v>
      </c>
      <c r="P2539" s="1" t="s">
        <v>2827</v>
      </c>
      <c r="Q2539" s="1" t="s">
        <v>2828</v>
      </c>
      <c r="R2539" s="1" t="s">
        <v>100</v>
      </c>
      <c r="S2539" s="1" t="s">
        <v>2829</v>
      </c>
      <c r="T2539" s="1" t="s">
        <v>2830</v>
      </c>
      <c r="U2539" s="2" t="s">
        <v>384</v>
      </c>
      <c r="V2539" s="2" t="s">
        <v>47</v>
      </c>
      <c r="W2539" s="2" t="s">
        <v>104</v>
      </c>
      <c r="X2539" s="2">
        <v>6.16</v>
      </c>
    </row>
    <row r="2540" spans="1:24" x14ac:dyDescent="0.3">
      <c r="A2540">
        <v>20414</v>
      </c>
      <c r="B2540" t="s">
        <v>6950</v>
      </c>
      <c r="C2540" s="3">
        <v>41942</v>
      </c>
      <c r="D2540" t="s">
        <v>62</v>
      </c>
      <c r="E2540">
        <v>15</v>
      </c>
      <c r="F2540" s="3">
        <f ca="1">41943+(RANDBETWEEN(1,10))</f>
        <v>41944</v>
      </c>
      <c r="G2540" t="s">
        <v>26</v>
      </c>
      <c r="H2540" t="s">
        <v>27</v>
      </c>
      <c r="I2540" t="s">
        <v>86</v>
      </c>
      <c r="J2540">
        <v>866.46</v>
      </c>
      <c r="K2540">
        <v>0</v>
      </c>
      <c r="L2540">
        <v>0.38</v>
      </c>
      <c r="M2540">
        <v>4.8650000000000002</v>
      </c>
      <c r="N2540">
        <v>597.85739999999998</v>
      </c>
      <c r="O2540" s="1" t="s">
        <v>225</v>
      </c>
      <c r="P2540" s="1" t="s">
        <v>2016</v>
      </c>
      <c r="Q2540" s="1" t="s">
        <v>2017</v>
      </c>
      <c r="R2540" s="1" t="s">
        <v>391</v>
      </c>
      <c r="S2540" s="1" t="s">
        <v>2018</v>
      </c>
      <c r="T2540" s="1" t="s">
        <v>2019</v>
      </c>
      <c r="U2540" s="2" t="s">
        <v>2327</v>
      </c>
      <c r="V2540" s="2" t="s">
        <v>47</v>
      </c>
      <c r="W2540" s="2" t="s">
        <v>48</v>
      </c>
      <c r="X2540" s="2">
        <v>54.494999999999997</v>
      </c>
    </row>
    <row r="2541" spans="1:24" x14ac:dyDescent="0.3">
      <c r="A2541">
        <v>20415</v>
      </c>
      <c r="B2541" t="s">
        <v>6951</v>
      </c>
      <c r="C2541" s="3">
        <v>41532</v>
      </c>
      <c r="D2541" t="s">
        <v>50</v>
      </c>
      <c r="E2541">
        <v>14</v>
      </c>
      <c r="F2541" s="3">
        <f ca="1">41533+(RANDBETWEEN(1,10))</f>
        <v>41534</v>
      </c>
      <c r="G2541" t="s">
        <v>26</v>
      </c>
      <c r="H2541" t="s">
        <v>51</v>
      </c>
      <c r="I2541" t="s">
        <v>52</v>
      </c>
      <c r="J2541">
        <v>668.15</v>
      </c>
      <c r="K2541">
        <v>0.08</v>
      </c>
      <c r="L2541">
        <v>0.49</v>
      </c>
      <c r="M2541">
        <v>17.5</v>
      </c>
      <c r="N2541">
        <v>258.05500000000001</v>
      </c>
      <c r="O2541" s="1" t="s">
        <v>87</v>
      </c>
      <c r="P2541" s="1" t="s">
        <v>6952</v>
      </c>
      <c r="Q2541" s="1" t="s">
        <v>6953</v>
      </c>
      <c r="R2541" s="1" t="s">
        <v>497</v>
      </c>
      <c r="S2541" s="1" t="s">
        <v>5554</v>
      </c>
      <c r="T2541" s="1" t="s">
        <v>5555</v>
      </c>
      <c r="U2541" s="2" t="s">
        <v>830</v>
      </c>
      <c r="V2541" s="2" t="s">
        <v>83</v>
      </c>
      <c r="W2541" s="2" t="s">
        <v>178</v>
      </c>
      <c r="X2541" s="2">
        <v>50.19</v>
      </c>
    </row>
    <row r="2542" spans="1:24" x14ac:dyDescent="0.3">
      <c r="A2542">
        <v>20416</v>
      </c>
      <c r="B2542" t="s">
        <v>6951</v>
      </c>
      <c r="C2542" s="3">
        <v>41532</v>
      </c>
      <c r="D2542" t="s">
        <v>50</v>
      </c>
      <c r="E2542">
        <v>5</v>
      </c>
      <c r="F2542" s="3">
        <f ca="1">41533+(RANDBETWEEN(1,10))</f>
        <v>41539</v>
      </c>
      <c r="G2542" t="s">
        <v>26</v>
      </c>
      <c r="H2542" t="s">
        <v>27</v>
      </c>
      <c r="I2542" t="s">
        <v>52</v>
      </c>
      <c r="J2542">
        <v>2676.31</v>
      </c>
      <c r="K2542">
        <v>0.1</v>
      </c>
      <c r="L2542">
        <v>0.6</v>
      </c>
      <c r="M2542">
        <v>31.465</v>
      </c>
      <c r="N2542">
        <v>-1719.41</v>
      </c>
      <c r="O2542" s="1" t="s">
        <v>87</v>
      </c>
      <c r="P2542" s="1" t="s">
        <v>6952</v>
      </c>
      <c r="Q2542" s="1" t="s">
        <v>6953</v>
      </c>
      <c r="R2542" s="1" t="s">
        <v>497</v>
      </c>
      <c r="S2542" s="1" t="s">
        <v>5554</v>
      </c>
      <c r="T2542" s="1" t="s">
        <v>5555</v>
      </c>
      <c r="U2542" s="2" t="s">
        <v>1123</v>
      </c>
      <c r="V2542" s="2" t="s">
        <v>36</v>
      </c>
      <c r="W2542" s="2" t="s">
        <v>37</v>
      </c>
      <c r="X2542" s="2">
        <v>685.96500000000003</v>
      </c>
    </row>
    <row r="2543" spans="1:24" x14ac:dyDescent="0.3">
      <c r="A2543">
        <v>20417</v>
      </c>
      <c r="B2543" t="s">
        <v>6954</v>
      </c>
      <c r="C2543" s="3">
        <v>41152</v>
      </c>
      <c r="D2543" t="s">
        <v>25</v>
      </c>
      <c r="E2543">
        <v>17</v>
      </c>
      <c r="F2543" s="3">
        <f ca="1">41154+(RANDBETWEEN(1,10))</f>
        <v>41164</v>
      </c>
      <c r="G2543" t="s">
        <v>26</v>
      </c>
      <c r="H2543" t="s">
        <v>27</v>
      </c>
      <c r="I2543" t="s">
        <v>52</v>
      </c>
      <c r="J2543">
        <v>170.45</v>
      </c>
      <c r="K2543">
        <v>0.01</v>
      </c>
      <c r="L2543">
        <v>0.36</v>
      </c>
      <c r="M2543">
        <v>1.75</v>
      </c>
      <c r="N2543">
        <v>117.6105</v>
      </c>
      <c r="O2543" s="1" t="s">
        <v>29</v>
      </c>
      <c r="P2543" s="1" t="s">
        <v>2135</v>
      </c>
      <c r="Q2543" s="1" t="s">
        <v>2136</v>
      </c>
      <c r="R2543" s="1" t="s">
        <v>32</v>
      </c>
      <c r="S2543" s="1" t="s">
        <v>2137</v>
      </c>
      <c r="T2543" s="1" t="s">
        <v>2138</v>
      </c>
      <c r="U2543" s="2" t="s">
        <v>363</v>
      </c>
      <c r="V2543" s="2" t="s">
        <v>47</v>
      </c>
      <c r="W2543" s="2" t="s">
        <v>203</v>
      </c>
      <c r="X2543" s="2">
        <v>10.08</v>
      </c>
    </row>
    <row r="2544" spans="1:24" x14ac:dyDescent="0.3">
      <c r="A2544">
        <v>20418</v>
      </c>
      <c r="B2544" t="s">
        <v>6955</v>
      </c>
      <c r="C2544" s="3">
        <v>41784</v>
      </c>
      <c r="D2544" t="s">
        <v>62</v>
      </c>
      <c r="E2544">
        <v>1</v>
      </c>
      <c r="F2544" s="3">
        <f ca="1">41784+(RANDBETWEEN(1,10))</f>
        <v>41786</v>
      </c>
      <c r="G2544" t="s">
        <v>26</v>
      </c>
      <c r="H2544" t="s">
        <v>27</v>
      </c>
      <c r="I2544" t="s">
        <v>52</v>
      </c>
      <c r="J2544">
        <v>55.055</v>
      </c>
      <c r="K2544">
        <v>0.09</v>
      </c>
      <c r="L2544">
        <v>0.37</v>
      </c>
      <c r="M2544">
        <v>33.39</v>
      </c>
      <c r="N2544">
        <v>-156.55500000000001</v>
      </c>
      <c r="O2544" s="1" t="s">
        <v>40</v>
      </c>
      <c r="P2544" s="1" t="s">
        <v>6837</v>
      </c>
      <c r="Q2544" s="1" t="s">
        <v>6838</v>
      </c>
      <c r="R2544" s="1" t="s">
        <v>43</v>
      </c>
      <c r="S2544" s="1" t="s">
        <v>6839</v>
      </c>
      <c r="T2544" s="1" t="s">
        <v>6840</v>
      </c>
      <c r="U2544" s="2" t="s">
        <v>272</v>
      </c>
      <c r="V2544" s="2" t="s">
        <v>47</v>
      </c>
      <c r="W2544" s="2" t="s">
        <v>74</v>
      </c>
      <c r="X2544" s="2">
        <v>22.68</v>
      </c>
    </row>
    <row r="2545" spans="1:24" x14ac:dyDescent="0.3">
      <c r="A2545">
        <v>20419</v>
      </c>
      <c r="B2545" t="s">
        <v>6955</v>
      </c>
      <c r="C2545" s="3">
        <v>41784</v>
      </c>
      <c r="D2545" t="s">
        <v>62</v>
      </c>
      <c r="E2545">
        <v>11</v>
      </c>
      <c r="F2545" s="3">
        <f ca="1">41786+(RANDBETWEEN(1,10))</f>
        <v>41792</v>
      </c>
      <c r="G2545" t="s">
        <v>26</v>
      </c>
      <c r="H2545" t="s">
        <v>27</v>
      </c>
      <c r="I2545" t="s">
        <v>52</v>
      </c>
      <c r="J2545">
        <v>1145.9000000000001</v>
      </c>
      <c r="K2545">
        <v>0.1</v>
      </c>
      <c r="L2545">
        <v>0.4</v>
      </c>
      <c r="M2545">
        <v>59.78</v>
      </c>
      <c r="N2545">
        <v>5988.0659999999998</v>
      </c>
      <c r="O2545" s="1" t="s">
        <v>40</v>
      </c>
      <c r="P2545" s="1" t="s">
        <v>6837</v>
      </c>
      <c r="Q2545" s="1" t="s">
        <v>6838</v>
      </c>
      <c r="R2545" s="1" t="s">
        <v>43</v>
      </c>
      <c r="S2545" s="1" t="s">
        <v>6839</v>
      </c>
      <c r="T2545" s="1" t="s">
        <v>6840</v>
      </c>
      <c r="U2545" s="2" t="s">
        <v>6956</v>
      </c>
      <c r="V2545" s="2" t="s">
        <v>47</v>
      </c>
      <c r="W2545" s="2" t="s">
        <v>74</v>
      </c>
      <c r="X2545" s="2">
        <v>108.43</v>
      </c>
    </row>
    <row r="2546" spans="1:24" x14ac:dyDescent="0.3">
      <c r="A2546">
        <v>20420</v>
      </c>
      <c r="B2546" t="s">
        <v>6955</v>
      </c>
      <c r="C2546" s="3">
        <v>41784</v>
      </c>
      <c r="D2546" t="s">
        <v>62</v>
      </c>
      <c r="E2546">
        <v>8</v>
      </c>
      <c r="F2546" s="3">
        <f ca="1">41786+(RANDBETWEEN(1,10))</f>
        <v>41788</v>
      </c>
      <c r="G2546" t="s">
        <v>26</v>
      </c>
      <c r="H2546" t="s">
        <v>27</v>
      </c>
      <c r="I2546" t="s">
        <v>52</v>
      </c>
      <c r="J2546">
        <v>4631.4449999999997</v>
      </c>
      <c r="K2546">
        <v>0.06</v>
      </c>
      <c r="L2546">
        <v>0.59</v>
      </c>
      <c r="M2546">
        <v>28.28</v>
      </c>
      <c r="N2546">
        <v>-684.77499999999998</v>
      </c>
      <c r="O2546" s="1" t="s">
        <v>40</v>
      </c>
      <c r="P2546" s="1" t="s">
        <v>6837</v>
      </c>
      <c r="Q2546" s="1" t="s">
        <v>6838</v>
      </c>
      <c r="R2546" s="1" t="s">
        <v>43</v>
      </c>
      <c r="S2546" s="1" t="s">
        <v>6839</v>
      </c>
      <c r="T2546" s="1" t="s">
        <v>6840</v>
      </c>
      <c r="U2546" s="2">
        <v>5125</v>
      </c>
      <c r="V2546" s="2" t="s">
        <v>36</v>
      </c>
      <c r="W2546" s="2" t="s">
        <v>37</v>
      </c>
      <c r="X2546" s="2">
        <v>703.46500000000003</v>
      </c>
    </row>
    <row r="2547" spans="1:24" x14ac:dyDescent="0.3">
      <c r="A2547">
        <v>20421</v>
      </c>
      <c r="B2547" t="s">
        <v>6957</v>
      </c>
      <c r="C2547" s="3">
        <v>41190</v>
      </c>
      <c r="D2547" t="s">
        <v>50</v>
      </c>
      <c r="E2547">
        <v>14</v>
      </c>
      <c r="F2547" s="3">
        <f ca="1">41191+(RANDBETWEEN(1,10))</f>
        <v>41196</v>
      </c>
      <c r="G2547" t="s">
        <v>26</v>
      </c>
      <c r="H2547" t="s">
        <v>51</v>
      </c>
      <c r="I2547" t="s">
        <v>97</v>
      </c>
      <c r="J2547">
        <v>810.67</v>
      </c>
      <c r="K2547">
        <v>0</v>
      </c>
      <c r="L2547">
        <v>0.42</v>
      </c>
      <c r="M2547">
        <v>6.9649999999999999</v>
      </c>
      <c r="N2547">
        <v>549.62180000000001</v>
      </c>
      <c r="O2547" s="1" t="s">
        <v>29</v>
      </c>
      <c r="P2547" s="1" t="s">
        <v>2477</v>
      </c>
      <c r="Q2547" s="1" t="s">
        <v>2478</v>
      </c>
      <c r="R2547" s="1" t="s">
        <v>32</v>
      </c>
      <c r="S2547" s="1" t="s">
        <v>2479</v>
      </c>
      <c r="T2547" s="1" t="s">
        <v>2480</v>
      </c>
      <c r="U2547" s="2" t="s">
        <v>5273</v>
      </c>
      <c r="V2547" s="2" t="s">
        <v>36</v>
      </c>
      <c r="W2547" s="2" t="s">
        <v>60</v>
      </c>
      <c r="X2547" s="2">
        <v>57.68</v>
      </c>
    </row>
    <row r="2548" spans="1:24" x14ac:dyDescent="0.3">
      <c r="A2548">
        <v>20422</v>
      </c>
      <c r="B2548" t="s">
        <v>6958</v>
      </c>
      <c r="C2548" s="3">
        <v>41713</v>
      </c>
      <c r="D2548" t="s">
        <v>50</v>
      </c>
      <c r="E2548">
        <v>8</v>
      </c>
      <c r="F2548" s="3">
        <f ca="1">41714+(RANDBETWEEN(1,10))</f>
        <v>41715</v>
      </c>
      <c r="G2548" t="s">
        <v>26</v>
      </c>
      <c r="H2548" t="s">
        <v>96</v>
      </c>
      <c r="I2548" t="s">
        <v>52</v>
      </c>
      <c r="J2548">
        <v>89.775000000000006</v>
      </c>
      <c r="K2548">
        <v>0.01</v>
      </c>
      <c r="L2548">
        <v>0.39</v>
      </c>
      <c r="M2548">
        <v>5.53</v>
      </c>
      <c r="N2548">
        <v>31.08</v>
      </c>
      <c r="O2548" s="1" t="s">
        <v>225</v>
      </c>
      <c r="P2548" s="1" t="s">
        <v>2569</v>
      </c>
      <c r="Q2548" s="1" t="s">
        <v>2570</v>
      </c>
      <c r="R2548" s="1" t="s">
        <v>228</v>
      </c>
      <c r="S2548" s="1" t="s">
        <v>2571</v>
      </c>
      <c r="T2548" s="1" t="s">
        <v>2572</v>
      </c>
      <c r="U2548" s="2" t="s">
        <v>6571</v>
      </c>
      <c r="V2548" s="2" t="s">
        <v>47</v>
      </c>
      <c r="W2548" s="2" t="s">
        <v>176</v>
      </c>
      <c r="X2548" s="2">
        <v>10.43</v>
      </c>
    </row>
    <row r="2549" spans="1:24" x14ac:dyDescent="0.3">
      <c r="A2549">
        <v>20423</v>
      </c>
      <c r="B2549" t="s">
        <v>6958</v>
      </c>
      <c r="C2549" s="3">
        <v>41713</v>
      </c>
      <c r="D2549" t="s">
        <v>50</v>
      </c>
      <c r="E2549">
        <v>13</v>
      </c>
      <c r="F2549" s="3">
        <f ca="1">41715+(RANDBETWEEN(1,10))</f>
        <v>41717</v>
      </c>
      <c r="G2549" t="s">
        <v>156</v>
      </c>
      <c r="H2549" t="s">
        <v>27</v>
      </c>
      <c r="I2549" t="s">
        <v>52</v>
      </c>
      <c r="J2549">
        <v>1543.0450000000001</v>
      </c>
      <c r="K2549">
        <v>0.02</v>
      </c>
      <c r="L2549">
        <v>0.75</v>
      </c>
      <c r="M2549">
        <v>19.25</v>
      </c>
      <c r="N2549">
        <v>181.93</v>
      </c>
      <c r="O2549" s="1" t="s">
        <v>53</v>
      </c>
      <c r="P2549" s="1" t="s">
        <v>6959</v>
      </c>
      <c r="Q2549" s="1" t="s">
        <v>6960</v>
      </c>
      <c r="R2549" s="1" t="s">
        <v>100</v>
      </c>
      <c r="S2549" s="1" t="s">
        <v>4428</v>
      </c>
      <c r="T2549" s="1" t="s">
        <v>4429</v>
      </c>
      <c r="U2549" s="2" t="s">
        <v>2960</v>
      </c>
      <c r="V2549" s="2" t="s">
        <v>36</v>
      </c>
      <c r="W2549" s="2" t="s">
        <v>60</v>
      </c>
      <c r="X2549" s="2">
        <v>115.43</v>
      </c>
    </row>
    <row r="2550" spans="1:24" x14ac:dyDescent="0.3">
      <c r="A2550">
        <v>20424</v>
      </c>
      <c r="B2550" t="s">
        <v>6961</v>
      </c>
      <c r="C2550" s="3">
        <v>41521</v>
      </c>
      <c r="D2550" t="s">
        <v>25</v>
      </c>
      <c r="E2550">
        <v>11</v>
      </c>
      <c r="F2550" s="3">
        <f ca="1">41525+(RANDBETWEEN(1,10))</f>
        <v>41529</v>
      </c>
      <c r="G2550" t="s">
        <v>26</v>
      </c>
      <c r="H2550" t="s">
        <v>51</v>
      </c>
      <c r="I2550" t="s">
        <v>86</v>
      </c>
      <c r="J2550">
        <v>369.88</v>
      </c>
      <c r="K2550">
        <v>0.02</v>
      </c>
      <c r="L2550">
        <v>0.45</v>
      </c>
      <c r="M2550">
        <v>25.515000000000001</v>
      </c>
      <c r="N2550">
        <v>-90.51</v>
      </c>
      <c r="O2550" s="1" t="s">
        <v>40</v>
      </c>
      <c r="P2550" s="1" t="s">
        <v>6962</v>
      </c>
      <c r="Q2550" s="1" t="s">
        <v>6963</v>
      </c>
      <c r="R2550" s="1" t="s">
        <v>43</v>
      </c>
      <c r="S2550" s="1" t="s">
        <v>6964</v>
      </c>
      <c r="T2550" s="1" t="s">
        <v>6965</v>
      </c>
      <c r="U2550" s="2" t="s">
        <v>2315</v>
      </c>
      <c r="V2550" s="2" t="s">
        <v>83</v>
      </c>
      <c r="W2550" s="2" t="s">
        <v>178</v>
      </c>
      <c r="X2550" s="2">
        <v>33.18</v>
      </c>
    </row>
    <row r="2551" spans="1:24" x14ac:dyDescent="0.3">
      <c r="A2551">
        <v>20425</v>
      </c>
      <c r="B2551" t="s">
        <v>6961</v>
      </c>
      <c r="C2551" s="3">
        <v>41521</v>
      </c>
      <c r="D2551" t="s">
        <v>25</v>
      </c>
      <c r="E2551">
        <v>23</v>
      </c>
      <c r="F2551" s="3">
        <f ca="1">41523+(RANDBETWEEN(1,10))</f>
        <v>41525</v>
      </c>
      <c r="G2551" t="s">
        <v>76</v>
      </c>
      <c r="H2551" t="s">
        <v>77</v>
      </c>
      <c r="I2551" t="s">
        <v>86</v>
      </c>
      <c r="J2551">
        <v>36919.714999999997</v>
      </c>
      <c r="K2551">
        <v>0.02</v>
      </c>
      <c r="L2551">
        <v>0.38</v>
      </c>
      <c r="M2551">
        <v>171.5</v>
      </c>
      <c r="N2551">
        <v>25474.603350000001</v>
      </c>
      <c r="O2551" s="1" t="s">
        <v>64</v>
      </c>
      <c r="P2551" s="1" t="s">
        <v>2869</v>
      </c>
      <c r="Q2551" s="1" t="s">
        <v>2870</v>
      </c>
      <c r="R2551" s="1" t="s">
        <v>128</v>
      </c>
      <c r="S2551" s="1" t="s">
        <v>521</v>
      </c>
      <c r="T2551" s="1" t="s">
        <v>522</v>
      </c>
      <c r="U2551" s="2" t="s">
        <v>1480</v>
      </c>
      <c r="V2551" s="2" t="s">
        <v>36</v>
      </c>
      <c r="W2551" s="2" t="s">
        <v>1327</v>
      </c>
      <c r="X2551" s="2">
        <v>1574.9649999999999</v>
      </c>
    </row>
    <row r="2552" spans="1:24" x14ac:dyDescent="0.3">
      <c r="A2552">
        <v>20426</v>
      </c>
      <c r="B2552" t="s">
        <v>6966</v>
      </c>
      <c r="C2552" s="3">
        <v>40960</v>
      </c>
      <c r="D2552" t="s">
        <v>148</v>
      </c>
      <c r="E2552">
        <v>10</v>
      </c>
      <c r="F2552" s="3">
        <f ca="1">40961+(RANDBETWEEN(1,10))</f>
        <v>40971</v>
      </c>
      <c r="G2552" t="s">
        <v>26</v>
      </c>
      <c r="H2552" t="s">
        <v>96</v>
      </c>
      <c r="I2552" t="s">
        <v>28</v>
      </c>
      <c r="J2552">
        <v>65.52</v>
      </c>
      <c r="K2552">
        <v>0.1</v>
      </c>
      <c r="L2552">
        <v>0.83</v>
      </c>
      <c r="M2552">
        <v>2.4500000000000002</v>
      </c>
      <c r="N2552">
        <v>-76.614999999999995</v>
      </c>
      <c r="O2552" s="1" t="s">
        <v>29</v>
      </c>
      <c r="P2552" s="1" t="s">
        <v>1803</v>
      </c>
      <c r="Q2552" s="1" t="s">
        <v>1804</v>
      </c>
      <c r="R2552" s="1" t="s">
        <v>675</v>
      </c>
      <c r="S2552" s="1" t="s">
        <v>1805</v>
      </c>
      <c r="T2552" s="1" t="s">
        <v>1806</v>
      </c>
      <c r="U2552" s="2" t="s">
        <v>3928</v>
      </c>
      <c r="V2552" s="2" t="s">
        <v>47</v>
      </c>
      <c r="W2552" s="2" t="s">
        <v>176</v>
      </c>
      <c r="X2552" s="2">
        <v>6.93</v>
      </c>
    </row>
    <row r="2553" spans="1:24" x14ac:dyDescent="0.3">
      <c r="A2553">
        <v>20427</v>
      </c>
      <c r="B2553" t="s">
        <v>6967</v>
      </c>
      <c r="C2553" s="3">
        <v>41841</v>
      </c>
      <c r="D2553" t="s">
        <v>39</v>
      </c>
      <c r="E2553">
        <v>2</v>
      </c>
      <c r="F2553" s="3">
        <f ca="1">41841+(RANDBETWEEN(1,10))</f>
        <v>41844</v>
      </c>
      <c r="G2553" t="s">
        <v>76</v>
      </c>
      <c r="H2553" t="s">
        <v>77</v>
      </c>
      <c r="I2553" t="s">
        <v>28</v>
      </c>
      <c r="J2553">
        <v>684.70500000000004</v>
      </c>
      <c r="K2553">
        <v>0.08</v>
      </c>
      <c r="L2553">
        <v>0.66</v>
      </c>
      <c r="M2553">
        <v>147</v>
      </c>
      <c r="N2553">
        <v>-631.63296000000003</v>
      </c>
      <c r="O2553" s="1" t="s">
        <v>64</v>
      </c>
      <c r="P2553" s="1" t="s">
        <v>6742</v>
      </c>
      <c r="Q2553" s="1" t="s">
        <v>6743</v>
      </c>
      <c r="R2553" s="1" t="s">
        <v>128</v>
      </c>
      <c r="S2553" s="1" t="s">
        <v>6744</v>
      </c>
      <c r="T2553" s="1" t="s">
        <v>6745</v>
      </c>
      <c r="U2553" s="2" t="s">
        <v>2462</v>
      </c>
      <c r="V2553" s="2" t="s">
        <v>83</v>
      </c>
      <c r="W2553" s="2" t="s">
        <v>84</v>
      </c>
      <c r="X2553" s="2">
        <v>314.96499999999997</v>
      </c>
    </row>
    <row r="2554" spans="1:24" x14ac:dyDescent="0.3">
      <c r="A2554">
        <v>20428</v>
      </c>
      <c r="B2554" t="s">
        <v>6968</v>
      </c>
      <c r="C2554" s="3">
        <v>40578</v>
      </c>
      <c r="D2554" t="s">
        <v>25</v>
      </c>
      <c r="E2554">
        <v>1</v>
      </c>
      <c r="F2554" s="3">
        <f ca="1">40582+(RANDBETWEEN(1,10))</f>
        <v>40590</v>
      </c>
      <c r="G2554" t="s">
        <v>26</v>
      </c>
      <c r="H2554" t="s">
        <v>96</v>
      </c>
      <c r="I2554" t="s">
        <v>97</v>
      </c>
      <c r="J2554">
        <v>12.285</v>
      </c>
      <c r="K2554">
        <v>0.03</v>
      </c>
      <c r="L2554">
        <v>0.57999999999999996</v>
      </c>
      <c r="M2554">
        <v>3.36</v>
      </c>
      <c r="N2554">
        <v>-14.7</v>
      </c>
      <c r="O2554" s="1" t="s">
        <v>29</v>
      </c>
      <c r="P2554" s="1" t="s">
        <v>3786</v>
      </c>
      <c r="Q2554" s="1" t="s">
        <v>3787</v>
      </c>
      <c r="R2554" s="1" t="s">
        <v>32</v>
      </c>
      <c r="S2554" s="1" t="s">
        <v>3788</v>
      </c>
      <c r="T2554" s="1" t="s">
        <v>3789</v>
      </c>
      <c r="U2554" s="2" t="s">
        <v>154</v>
      </c>
      <c r="V2554" s="2" t="s">
        <v>47</v>
      </c>
      <c r="W2554" s="2" t="s">
        <v>104</v>
      </c>
      <c r="X2554" s="2">
        <v>10.29</v>
      </c>
    </row>
    <row r="2555" spans="1:24" x14ac:dyDescent="0.3">
      <c r="A2555">
        <v>20429</v>
      </c>
      <c r="B2555" t="s">
        <v>6969</v>
      </c>
      <c r="C2555" s="3">
        <v>41160</v>
      </c>
      <c r="D2555" t="s">
        <v>148</v>
      </c>
      <c r="E2555">
        <v>9</v>
      </c>
      <c r="F2555" s="3">
        <f ca="1">41162+(RANDBETWEEN(1,10))</f>
        <v>41172</v>
      </c>
      <c r="G2555" t="s">
        <v>26</v>
      </c>
      <c r="H2555" t="s">
        <v>96</v>
      </c>
      <c r="I2555" t="s">
        <v>97</v>
      </c>
      <c r="J2555">
        <v>136.88499999999999</v>
      </c>
      <c r="K2555">
        <v>0.01</v>
      </c>
      <c r="L2555">
        <v>0.37</v>
      </c>
      <c r="M2555">
        <v>4.55</v>
      </c>
      <c r="N2555">
        <v>-1109.4090000000001</v>
      </c>
      <c r="O2555" s="1" t="s">
        <v>53</v>
      </c>
      <c r="P2555" s="1" t="s">
        <v>1647</v>
      </c>
      <c r="Q2555" s="1" t="s">
        <v>1648</v>
      </c>
      <c r="R2555" s="1" t="s">
        <v>56</v>
      </c>
      <c r="S2555" s="1" t="s">
        <v>1649</v>
      </c>
      <c r="T2555" s="1" t="s">
        <v>1650</v>
      </c>
      <c r="U2555" s="2" t="s">
        <v>2823</v>
      </c>
      <c r="V2555" s="2" t="s">
        <v>47</v>
      </c>
      <c r="W2555" s="2" t="s">
        <v>74</v>
      </c>
      <c r="X2555" s="2">
        <v>14</v>
      </c>
    </row>
    <row r="2556" spans="1:24" x14ac:dyDescent="0.3">
      <c r="A2556">
        <v>20430</v>
      </c>
      <c r="B2556" t="s">
        <v>6969</v>
      </c>
      <c r="C2556" s="3">
        <v>41160</v>
      </c>
      <c r="D2556" t="s">
        <v>148</v>
      </c>
      <c r="E2556">
        <v>5</v>
      </c>
      <c r="F2556" s="3">
        <f ca="1">41160+(RANDBETWEEN(1,10))</f>
        <v>41162</v>
      </c>
      <c r="G2556" t="s">
        <v>26</v>
      </c>
      <c r="H2556" t="s">
        <v>51</v>
      </c>
      <c r="I2556" t="s">
        <v>97</v>
      </c>
      <c r="J2556">
        <v>224.42</v>
      </c>
      <c r="K2556">
        <v>0.08</v>
      </c>
      <c r="L2556">
        <v>0.6</v>
      </c>
      <c r="M2556">
        <v>10.99</v>
      </c>
      <c r="N2556">
        <v>-492.98899999999998</v>
      </c>
      <c r="O2556" s="1" t="s">
        <v>53</v>
      </c>
      <c r="P2556" s="1" t="s">
        <v>1647</v>
      </c>
      <c r="Q2556" s="1" t="s">
        <v>1648</v>
      </c>
      <c r="R2556" s="1" t="s">
        <v>56</v>
      </c>
      <c r="S2556" s="1" t="s">
        <v>1649</v>
      </c>
      <c r="T2556" s="1" t="s">
        <v>1650</v>
      </c>
      <c r="U2556" s="2" t="s">
        <v>536</v>
      </c>
      <c r="V2556" s="2" t="s">
        <v>47</v>
      </c>
      <c r="W2556" s="2" t="s">
        <v>94</v>
      </c>
      <c r="X2556" s="2">
        <v>45.43</v>
      </c>
    </row>
    <row r="2557" spans="1:24" x14ac:dyDescent="0.3">
      <c r="A2557">
        <v>20431</v>
      </c>
      <c r="B2557" t="s">
        <v>6970</v>
      </c>
      <c r="C2557" s="3">
        <v>41968</v>
      </c>
      <c r="D2557" t="s">
        <v>148</v>
      </c>
      <c r="E2557">
        <v>44</v>
      </c>
      <c r="F2557" s="3">
        <f ca="1">41970+(RANDBETWEEN(1,10))</f>
        <v>41979</v>
      </c>
      <c r="G2557" t="s">
        <v>26</v>
      </c>
      <c r="H2557" t="s">
        <v>51</v>
      </c>
      <c r="I2557" t="s">
        <v>28</v>
      </c>
      <c r="J2557">
        <v>2668.05</v>
      </c>
      <c r="K2557">
        <v>0.04</v>
      </c>
      <c r="L2557">
        <v>0.45</v>
      </c>
      <c r="M2557">
        <v>6.9649999999999999</v>
      </c>
      <c r="N2557">
        <v>1840.9545000000001</v>
      </c>
      <c r="O2557" s="1" t="s">
        <v>53</v>
      </c>
      <c r="P2557" s="1" t="s">
        <v>2757</v>
      </c>
      <c r="Q2557" s="1" t="s">
        <v>2758</v>
      </c>
      <c r="R2557" s="1" t="s">
        <v>100</v>
      </c>
      <c r="S2557" s="1" t="s">
        <v>2759</v>
      </c>
      <c r="T2557" s="1" t="s">
        <v>2760</v>
      </c>
      <c r="U2557" s="2" t="s">
        <v>59</v>
      </c>
      <c r="V2557" s="2" t="s">
        <v>36</v>
      </c>
      <c r="W2557" s="2" t="s">
        <v>60</v>
      </c>
      <c r="X2557" s="2">
        <v>61.18</v>
      </c>
    </row>
    <row r="2558" spans="1:24" x14ac:dyDescent="0.3">
      <c r="A2558">
        <v>20432</v>
      </c>
      <c r="B2558" t="s">
        <v>6971</v>
      </c>
      <c r="C2558" s="3">
        <v>40872</v>
      </c>
      <c r="D2558" t="s">
        <v>148</v>
      </c>
      <c r="E2558">
        <v>20</v>
      </c>
      <c r="F2558" s="3">
        <f ca="1">40873+(RANDBETWEEN(1,10))</f>
        <v>40878</v>
      </c>
      <c r="G2558" t="s">
        <v>26</v>
      </c>
      <c r="H2558" t="s">
        <v>281</v>
      </c>
      <c r="I2558" t="s">
        <v>28</v>
      </c>
      <c r="J2558">
        <v>20215.334999999999</v>
      </c>
      <c r="K2558">
        <v>0.05</v>
      </c>
      <c r="L2558">
        <v>0.39</v>
      </c>
      <c r="M2558">
        <v>48.965000000000003</v>
      </c>
      <c r="N2558">
        <v>13948.58115</v>
      </c>
      <c r="O2558" s="1" t="s">
        <v>53</v>
      </c>
      <c r="P2558" s="1" t="s">
        <v>2757</v>
      </c>
      <c r="Q2558" s="1" t="s">
        <v>2758</v>
      </c>
      <c r="R2558" s="1" t="s">
        <v>100</v>
      </c>
      <c r="S2558" s="1" t="s">
        <v>2759</v>
      </c>
      <c r="T2558" s="1" t="s">
        <v>2760</v>
      </c>
      <c r="U2558" s="2" t="s">
        <v>6972</v>
      </c>
      <c r="V2558" s="2" t="s">
        <v>36</v>
      </c>
      <c r="W2558" s="2" t="s">
        <v>142</v>
      </c>
      <c r="X2558" s="2">
        <v>1053.43</v>
      </c>
    </row>
    <row r="2559" spans="1:24" x14ac:dyDescent="0.3">
      <c r="A2559">
        <v>20433</v>
      </c>
      <c r="B2559" t="s">
        <v>6971</v>
      </c>
      <c r="C2559" s="3">
        <v>40872</v>
      </c>
      <c r="D2559" t="s">
        <v>148</v>
      </c>
      <c r="E2559">
        <v>11</v>
      </c>
      <c r="F2559" s="3">
        <f ca="1">40873+(RANDBETWEEN(1,10))</f>
        <v>40882</v>
      </c>
      <c r="G2559" t="s">
        <v>156</v>
      </c>
      <c r="H2559" t="s">
        <v>27</v>
      </c>
      <c r="I2559" t="s">
        <v>28</v>
      </c>
      <c r="J2559">
        <v>6573.84</v>
      </c>
      <c r="K2559">
        <v>0.04</v>
      </c>
      <c r="L2559">
        <v>0.59</v>
      </c>
      <c r="M2559">
        <v>17.5</v>
      </c>
      <c r="N2559">
        <v>48.848799999999997</v>
      </c>
      <c r="O2559" s="1" t="s">
        <v>53</v>
      </c>
      <c r="P2559" s="1" t="s">
        <v>2757</v>
      </c>
      <c r="Q2559" s="1" t="s">
        <v>2758</v>
      </c>
      <c r="R2559" s="1" t="s">
        <v>100</v>
      </c>
      <c r="S2559" s="1" t="s">
        <v>2759</v>
      </c>
      <c r="T2559" s="1" t="s">
        <v>2760</v>
      </c>
      <c r="U2559" s="2" t="s">
        <v>6973</v>
      </c>
      <c r="V2559" s="2" t="s">
        <v>36</v>
      </c>
      <c r="W2559" s="2" t="s">
        <v>37</v>
      </c>
      <c r="X2559" s="2">
        <v>720.96500000000003</v>
      </c>
    </row>
    <row r="2560" spans="1:24" x14ac:dyDescent="0.3">
      <c r="A2560">
        <v>20434</v>
      </c>
      <c r="B2560" t="s">
        <v>6974</v>
      </c>
      <c r="C2560" s="3">
        <v>40662</v>
      </c>
      <c r="D2560" t="s">
        <v>39</v>
      </c>
      <c r="E2560">
        <v>8</v>
      </c>
      <c r="F2560" s="3">
        <f ca="1">40663+(RANDBETWEEN(1,10))</f>
        <v>40664</v>
      </c>
      <c r="G2560" t="s">
        <v>26</v>
      </c>
      <c r="H2560" t="s">
        <v>27</v>
      </c>
      <c r="I2560" t="s">
        <v>86</v>
      </c>
      <c r="J2560">
        <v>976.53499999999997</v>
      </c>
      <c r="K2560">
        <v>0.04</v>
      </c>
      <c r="L2560">
        <v>0.6</v>
      </c>
      <c r="M2560">
        <v>19.215</v>
      </c>
      <c r="N2560">
        <v>673.80915000000005</v>
      </c>
      <c r="O2560" s="1" t="s">
        <v>40</v>
      </c>
      <c r="P2560" s="1" t="s">
        <v>6975</v>
      </c>
      <c r="Q2560" s="1" t="s">
        <v>6976</v>
      </c>
      <c r="R2560" s="1" t="s">
        <v>220</v>
      </c>
      <c r="S2560" s="1" t="s">
        <v>6977</v>
      </c>
      <c r="T2560" s="1" t="s">
        <v>6978</v>
      </c>
      <c r="U2560" s="2" t="s">
        <v>2651</v>
      </c>
      <c r="V2560" s="2" t="s">
        <v>47</v>
      </c>
      <c r="W2560" s="2" t="s">
        <v>119</v>
      </c>
      <c r="X2560" s="2">
        <v>121.66</v>
      </c>
    </row>
    <row r="2561" spans="1:24" x14ac:dyDescent="0.3">
      <c r="A2561">
        <v>20435</v>
      </c>
      <c r="B2561" t="s">
        <v>6979</v>
      </c>
      <c r="C2561" s="3">
        <v>40780</v>
      </c>
      <c r="D2561" t="s">
        <v>148</v>
      </c>
      <c r="E2561">
        <v>6</v>
      </c>
      <c r="F2561" s="3">
        <f ca="1">40782+(RANDBETWEEN(1,10))</f>
        <v>40789</v>
      </c>
      <c r="G2561" t="s">
        <v>26</v>
      </c>
      <c r="H2561" t="s">
        <v>27</v>
      </c>
      <c r="I2561" t="s">
        <v>28</v>
      </c>
      <c r="J2561">
        <v>54.774999999999999</v>
      </c>
      <c r="K2561">
        <v>7.0000000000000007E-2</v>
      </c>
      <c r="L2561">
        <v>0.39</v>
      </c>
      <c r="M2561">
        <v>1.75</v>
      </c>
      <c r="N2561">
        <v>37.794750000000001</v>
      </c>
      <c r="O2561" s="1" t="s">
        <v>53</v>
      </c>
      <c r="P2561" s="1" t="s">
        <v>6508</v>
      </c>
      <c r="Q2561" s="1" t="s">
        <v>6509</v>
      </c>
      <c r="R2561" s="1" t="s">
        <v>440</v>
      </c>
      <c r="S2561" s="1" t="s">
        <v>6510</v>
      </c>
      <c r="T2561" s="1" t="s">
        <v>6511</v>
      </c>
      <c r="U2561" s="2" t="s">
        <v>1726</v>
      </c>
      <c r="V2561" s="2" t="s">
        <v>47</v>
      </c>
      <c r="W2561" s="2" t="s">
        <v>203</v>
      </c>
      <c r="X2561" s="2">
        <v>9.1349999999999998</v>
      </c>
    </row>
    <row r="2562" spans="1:24" x14ac:dyDescent="0.3">
      <c r="A2562">
        <v>20436</v>
      </c>
      <c r="B2562" t="s">
        <v>6980</v>
      </c>
      <c r="C2562" s="3">
        <v>41772</v>
      </c>
      <c r="D2562" t="s">
        <v>39</v>
      </c>
      <c r="E2562">
        <v>14</v>
      </c>
      <c r="F2562" s="3">
        <f ca="1">41774+(RANDBETWEEN(1,10))</f>
        <v>41779</v>
      </c>
      <c r="G2562" t="s">
        <v>26</v>
      </c>
      <c r="H2562" t="s">
        <v>27</v>
      </c>
      <c r="I2562" t="s">
        <v>28</v>
      </c>
      <c r="J2562">
        <v>2146.69</v>
      </c>
      <c r="K2562">
        <v>0.08</v>
      </c>
      <c r="L2562">
        <v>0.59</v>
      </c>
      <c r="M2562">
        <v>12.25</v>
      </c>
      <c r="N2562">
        <v>1481.2161000000001</v>
      </c>
      <c r="O2562" s="1" t="s">
        <v>87</v>
      </c>
      <c r="P2562" s="1" t="s">
        <v>6981</v>
      </c>
      <c r="Q2562" s="1" t="s">
        <v>6982</v>
      </c>
      <c r="R2562" s="1" t="s">
        <v>90</v>
      </c>
      <c r="S2562" s="1" t="s">
        <v>2799</v>
      </c>
      <c r="T2562" s="1" t="s">
        <v>2800</v>
      </c>
      <c r="U2562" s="2" t="s">
        <v>4947</v>
      </c>
      <c r="V2562" s="2" t="s">
        <v>47</v>
      </c>
      <c r="W2562" s="2" t="s">
        <v>71</v>
      </c>
      <c r="X2562" s="2">
        <v>154.035</v>
      </c>
    </row>
    <row r="2563" spans="1:24" x14ac:dyDescent="0.3">
      <c r="A2563">
        <v>20437</v>
      </c>
      <c r="B2563" t="s">
        <v>6980</v>
      </c>
      <c r="C2563" s="3">
        <v>41772</v>
      </c>
      <c r="D2563" t="s">
        <v>39</v>
      </c>
      <c r="E2563">
        <v>7</v>
      </c>
      <c r="F2563" s="3">
        <f ca="1">41774+(RANDBETWEEN(1,10))</f>
        <v>41775</v>
      </c>
      <c r="G2563" t="s">
        <v>26</v>
      </c>
      <c r="H2563" t="s">
        <v>27</v>
      </c>
      <c r="I2563" t="s">
        <v>28</v>
      </c>
      <c r="J2563">
        <v>1245.335</v>
      </c>
      <c r="K2563">
        <v>0.1</v>
      </c>
      <c r="L2563">
        <v>0.57999999999999996</v>
      </c>
      <c r="M2563">
        <v>31.465</v>
      </c>
      <c r="N2563">
        <v>-208.55449999999999</v>
      </c>
      <c r="O2563" s="1" t="s">
        <v>225</v>
      </c>
      <c r="P2563" s="1" t="s">
        <v>6983</v>
      </c>
      <c r="Q2563" s="1" t="s">
        <v>6984</v>
      </c>
      <c r="R2563" s="1" t="s">
        <v>391</v>
      </c>
      <c r="S2563" s="1" t="s">
        <v>2285</v>
      </c>
      <c r="T2563" s="1" t="s">
        <v>2286</v>
      </c>
      <c r="U2563" s="2">
        <v>8260</v>
      </c>
      <c r="V2563" s="2" t="s">
        <v>36</v>
      </c>
      <c r="W2563" s="2" t="s">
        <v>37</v>
      </c>
      <c r="X2563" s="2">
        <v>230.965</v>
      </c>
    </row>
    <row r="2564" spans="1:24" x14ac:dyDescent="0.3">
      <c r="A2564">
        <v>20438</v>
      </c>
      <c r="B2564" t="s">
        <v>6980</v>
      </c>
      <c r="C2564" s="3">
        <v>41772</v>
      </c>
      <c r="D2564" t="s">
        <v>39</v>
      </c>
      <c r="E2564">
        <v>13</v>
      </c>
      <c r="F2564" s="3">
        <f ca="1">41773+(RANDBETWEEN(1,10))</f>
        <v>41777</v>
      </c>
      <c r="G2564" t="s">
        <v>26</v>
      </c>
      <c r="H2564" t="s">
        <v>27</v>
      </c>
      <c r="I2564" t="s">
        <v>28</v>
      </c>
      <c r="J2564">
        <v>693.21</v>
      </c>
      <c r="K2564">
        <v>0.04</v>
      </c>
      <c r="L2564">
        <v>0.36</v>
      </c>
      <c r="M2564">
        <v>38.185000000000002</v>
      </c>
      <c r="N2564">
        <v>-312.29975000000002</v>
      </c>
      <c r="O2564" s="1" t="s">
        <v>64</v>
      </c>
      <c r="P2564" s="1" t="s">
        <v>6985</v>
      </c>
      <c r="Q2564" s="1" t="s">
        <v>6986</v>
      </c>
      <c r="R2564" s="1" t="s">
        <v>128</v>
      </c>
      <c r="S2564" s="1" t="s">
        <v>6481</v>
      </c>
      <c r="T2564" s="1" t="s">
        <v>6482</v>
      </c>
      <c r="U2564" s="2" t="s">
        <v>5084</v>
      </c>
      <c r="V2564" s="2" t="s">
        <v>47</v>
      </c>
      <c r="W2564" s="2" t="s">
        <v>111</v>
      </c>
      <c r="X2564" s="2">
        <v>53.48</v>
      </c>
    </row>
    <row r="2565" spans="1:24" x14ac:dyDescent="0.3">
      <c r="A2565">
        <v>20439</v>
      </c>
      <c r="B2565" t="s">
        <v>6987</v>
      </c>
      <c r="C2565" s="3">
        <v>41939</v>
      </c>
      <c r="D2565" t="s">
        <v>62</v>
      </c>
      <c r="E2565">
        <v>11</v>
      </c>
      <c r="F2565" s="3">
        <f ca="1">41940+(RANDBETWEEN(1,10))</f>
        <v>41945</v>
      </c>
      <c r="G2565" t="s">
        <v>26</v>
      </c>
      <c r="H2565" t="s">
        <v>27</v>
      </c>
      <c r="I2565" t="s">
        <v>97</v>
      </c>
      <c r="J2565">
        <v>4438.5600000000004</v>
      </c>
      <c r="K2565">
        <v>0.03</v>
      </c>
      <c r="L2565">
        <v>0.6</v>
      </c>
      <c r="M2565">
        <v>122.5</v>
      </c>
      <c r="N2565">
        <v>-1857.38</v>
      </c>
      <c r="O2565" s="1" t="s">
        <v>225</v>
      </c>
      <c r="P2565" s="1" t="s">
        <v>6988</v>
      </c>
      <c r="Q2565" s="1" t="s">
        <v>6989</v>
      </c>
      <c r="R2565" s="1" t="s">
        <v>228</v>
      </c>
      <c r="S2565" s="1" t="s">
        <v>6990</v>
      </c>
      <c r="T2565" s="1" t="s">
        <v>6991</v>
      </c>
      <c r="U2565" s="2" t="s">
        <v>995</v>
      </c>
      <c r="V2565" s="2" t="s">
        <v>83</v>
      </c>
      <c r="W2565" s="2" t="s">
        <v>178</v>
      </c>
      <c r="X2565" s="2">
        <v>397.74</v>
      </c>
    </row>
    <row r="2566" spans="1:24" x14ac:dyDescent="0.3">
      <c r="A2566">
        <v>20440</v>
      </c>
      <c r="B2566" t="s">
        <v>6992</v>
      </c>
      <c r="C2566" s="3">
        <v>41780</v>
      </c>
      <c r="D2566" t="s">
        <v>62</v>
      </c>
      <c r="E2566">
        <v>7</v>
      </c>
      <c r="F2566" s="3">
        <f ca="1">41781+(RANDBETWEEN(1,10))</f>
        <v>41787</v>
      </c>
      <c r="G2566" t="s">
        <v>26</v>
      </c>
      <c r="H2566" t="s">
        <v>27</v>
      </c>
      <c r="I2566" t="s">
        <v>97</v>
      </c>
      <c r="J2566">
        <v>93.87</v>
      </c>
      <c r="K2566">
        <v>0.09</v>
      </c>
      <c r="L2566">
        <v>0.35</v>
      </c>
      <c r="M2566">
        <v>16.414999999999999</v>
      </c>
      <c r="N2566">
        <v>-213.36525</v>
      </c>
      <c r="O2566" s="1" t="s">
        <v>29</v>
      </c>
      <c r="P2566" s="1" t="s">
        <v>2477</v>
      </c>
      <c r="Q2566" s="1" t="s">
        <v>2478</v>
      </c>
      <c r="R2566" s="1" t="s">
        <v>32</v>
      </c>
      <c r="S2566" s="1" t="s">
        <v>2479</v>
      </c>
      <c r="T2566" s="1" t="s">
        <v>2480</v>
      </c>
      <c r="U2566" s="2" t="s">
        <v>6993</v>
      </c>
      <c r="V2566" s="2" t="s">
        <v>47</v>
      </c>
      <c r="W2566" s="2" t="s">
        <v>111</v>
      </c>
      <c r="X2566" s="2">
        <v>13.09</v>
      </c>
    </row>
    <row r="2567" spans="1:24" x14ac:dyDescent="0.3">
      <c r="A2567">
        <v>20441</v>
      </c>
      <c r="B2567" t="s">
        <v>6994</v>
      </c>
      <c r="C2567" s="3">
        <v>41742</v>
      </c>
      <c r="D2567" t="s">
        <v>39</v>
      </c>
      <c r="E2567">
        <v>12</v>
      </c>
      <c r="F2567" s="3">
        <f ca="1">41743+(RANDBETWEEN(1,10))</f>
        <v>41752</v>
      </c>
      <c r="G2567" t="s">
        <v>26</v>
      </c>
      <c r="H2567" t="s">
        <v>27</v>
      </c>
      <c r="I2567" t="s">
        <v>97</v>
      </c>
      <c r="J2567">
        <v>322.875</v>
      </c>
      <c r="K2567">
        <v>0.09</v>
      </c>
      <c r="L2567">
        <v>0.57999999999999996</v>
      </c>
      <c r="M2567">
        <v>32.305</v>
      </c>
      <c r="N2567">
        <v>-1070.6849999999999</v>
      </c>
      <c r="O2567" s="1" t="s">
        <v>29</v>
      </c>
      <c r="P2567" s="1" t="s">
        <v>6995</v>
      </c>
      <c r="Q2567" s="1" t="s">
        <v>6996</v>
      </c>
      <c r="R2567" s="1" t="s">
        <v>32</v>
      </c>
      <c r="S2567" s="1" t="s">
        <v>6997</v>
      </c>
      <c r="T2567" s="1" t="s">
        <v>6998</v>
      </c>
      <c r="U2567" s="2" t="s">
        <v>4333</v>
      </c>
      <c r="V2567" s="2" t="s">
        <v>47</v>
      </c>
      <c r="W2567" s="2" t="s">
        <v>71</v>
      </c>
      <c r="X2567" s="2">
        <v>27.195</v>
      </c>
    </row>
    <row r="2568" spans="1:24" x14ac:dyDescent="0.3">
      <c r="A2568">
        <v>20442</v>
      </c>
      <c r="B2568" t="s">
        <v>6994</v>
      </c>
      <c r="C2568" s="3">
        <v>41742</v>
      </c>
      <c r="D2568" t="s">
        <v>39</v>
      </c>
      <c r="E2568">
        <v>2</v>
      </c>
      <c r="F2568" s="3">
        <f ca="1">41742+(RANDBETWEEN(1,10))</f>
        <v>41751</v>
      </c>
      <c r="G2568" t="s">
        <v>156</v>
      </c>
      <c r="H2568" t="s">
        <v>27</v>
      </c>
      <c r="I2568" t="s">
        <v>97</v>
      </c>
      <c r="J2568">
        <v>205.83500000000001</v>
      </c>
      <c r="K2568">
        <v>0.02</v>
      </c>
      <c r="L2568">
        <v>0.75</v>
      </c>
      <c r="M2568">
        <v>14</v>
      </c>
      <c r="N2568">
        <v>-233.73</v>
      </c>
      <c r="O2568" s="1" t="s">
        <v>53</v>
      </c>
      <c r="P2568" s="1" t="s">
        <v>5669</v>
      </c>
      <c r="Q2568" s="1" t="s">
        <v>5670</v>
      </c>
      <c r="R2568" s="1" t="s">
        <v>56</v>
      </c>
      <c r="S2568" s="1" t="s">
        <v>5671</v>
      </c>
      <c r="T2568" s="1" t="s">
        <v>5672</v>
      </c>
      <c r="U2568" s="2" t="s">
        <v>4155</v>
      </c>
      <c r="V2568" s="2" t="s">
        <v>36</v>
      </c>
      <c r="W2568" s="2" t="s">
        <v>60</v>
      </c>
      <c r="X2568" s="2">
        <v>96.18</v>
      </c>
    </row>
    <row r="2569" spans="1:24" x14ac:dyDescent="0.3">
      <c r="A2569">
        <v>20443</v>
      </c>
      <c r="B2569" t="s">
        <v>6999</v>
      </c>
      <c r="C2569" s="3">
        <v>41832</v>
      </c>
      <c r="D2569" t="s">
        <v>25</v>
      </c>
      <c r="E2569">
        <v>16</v>
      </c>
      <c r="F2569" s="3">
        <f ca="1">41837+(RANDBETWEEN(1,10))</f>
        <v>41839</v>
      </c>
      <c r="G2569" t="s">
        <v>26</v>
      </c>
      <c r="H2569" t="s">
        <v>27</v>
      </c>
      <c r="I2569" t="s">
        <v>52</v>
      </c>
      <c r="J2569">
        <v>387.83499999999998</v>
      </c>
      <c r="K2569">
        <v>0.03</v>
      </c>
      <c r="L2569">
        <v>0.37</v>
      </c>
      <c r="M2569">
        <v>19.18</v>
      </c>
      <c r="N2569">
        <v>-227.442768</v>
      </c>
      <c r="O2569" s="1" t="s">
        <v>64</v>
      </c>
      <c r="P2569" s="1" t="s">
        <v>1465</v>
      </c>
      <c r="Q2569" s="1" t="s">
        <v>1466</v>
      </c>
      <c r="R2569" s="1" t="s">
        <v>67</v>
      </c>
      <c r="S2569" s="1" t="s">
        <v>1467</v>
      </c>
      <c r="T2569" s="1" t="s">
        <v>1468</v>
      </c>
      <c r="U2569" s="2" t="s">
        <v>5054</v>
      </c>
      <c r="V2569" s="2" t="s">
        <v>47</v>
      </c>
      <c r="W2569" s="2" t="s">
        <v>111</v>
      </c>
      <c r="X2569" s="2">
        <v>23.835000000000001</v>
      </c>
    </row>
    <row r="2570" spans="1:24" x14ac:dyDescent="0.3">
      <c r="A2570">
        <v>20444</v>
      </c>
      <c r="B2570" t="s">
        <v>6999</v>
      </c>
      <c r="C2570" s="3">
        <v>41832</v>
      </c>
      <c r="D2570" t="s">
        <v>25</v>
      </c>
      <c r="E2570">
        <v>10</v>
      </c>
      <c r="F2570" s="3">
        <f ca="1">41837+(RANDBETWEEN(1,10))</f>
        <v>41840</v>
      </c>
      <c r="G2570" t="s">
        <v>26</v>
      </c>
      <c r="H2570" t="s">
        <v>96</v>
      </c>
      <c r="I2570" t="s">
        <v>52</v>
      </c>
      <c r="J2570">
        <v>126.49</v>
      </c>
      <c r="K2570">
        <v>0.06</v>
      </c>
      <c r="L2570">
        <v>0.39</v>
      </c>
      <c r="M2570">
        <v>2.4849999999999999</v>
      </c>
      <c r="N2570">
        <v>87.278099999999995</v>
      </c>
      <c r="O2570" s="1" t="s">
        <v>64</v>
      </c>
      <c r="P2570" s="1" t="s">
        <v>1465</v>
      </c>
      <c r="Q2570" s="1" t="s">
        <v>1466</v>
      </c>
      <c r="R2570" s="1" t="s">
        <v>67</v>
      </c>
      <c r="S2570" s="1" t="s">
        <v>1467</v>
      </c>
      <c r="T2570" s="1" t="s">
        <v>1468</v>
      </c>
      <c r="U2570" s="2" t="s">
        <v>2000</v>
      </c>
      <c r="V2570" s="2" t="s">
        <v>47</v>
      </c>
      <c r="W2570" s="2" t="s">
        <v>176</v>
      </c>
      <c r="X2570" s="2">
        <v>13.23</v>
      </c>
    </row>
    <row r="2571" spans="1:24" x14ac:dyDescent="0.3">
      <c r="A2571">
        <v>20445</v>
      </c>
      <c r="B2571" t="s">
        <v>7000</v>
      </c>
      <c r="C2571" s="3">
        <v>40802</v>
      </c>
      <c r="D2571" t="s">
        <v>25</v>
      </c>
      <c r="E2571">
        <v>12</v>
      </c>
      <c r="F2571" s="3">
        <f ca="1">40802+(RANDBETWEEN(1,10))</f>
        <v>40805</v>
      </c>
      <c r="G2571" t="s">
        <v>26</v>
      </c>
      <c r="H2571" t="s">
        <v>27</v>
      </c>
      <c r="I2571" t="s">
        <v>97</v>
      </c>
      <c r="J2571">
        <v>1002.4</v>
      </c>
      <c r="K2571">
        <v>0.04</v>
      </c>
      <c r="L2571">
        <v>0.39</v>
      </c>
      <c r="M2571">
        <v>59.045000000000002</v>
      </c>
      <c r="N2571">
        <v>-340.48</v>
      </c>
      <c r="O2571" s="1" t="s">
        <v>87</v>
      </c>
      <c r="P2571" s="1" t="s">
        <v>1389</v>
      </c>
      <c r="Q2571" s="1" t="s">
        <v>1390</v>
      </c>
      <c r="R2571" s="1" t="s">
        <v>497</v>
      </c>
      <c r="S2571" s="1" t="s">
        <v>1391</v>
      </c>
      <c r="T2571" s="1" t="s">
        <v>1392</v>
      </c>
      <c r="U2571" s="2" t="s">
        <v>6800</v>
      </c>
      <c r="V2571" s="2" t="s">
        <v>47</v>
      </c>
      <c r="W2571" s="2" t="s">
        <v>74</v>
      </c>
      <c r="X2571" s="2">
        <v>79.94</v>
      </c>
    </row>
    <row r="2572" spans="1:24" x14ac:dyDescent="0.3">
      <c r="A2572">
        <v>20446</v>
      </c>
      <c r="B2572" t="s">
        <v>7001</v>
      </c>
      <c r="C2572" s="3">
        <v>41532</v>
      </c>
      <c r="D2572" t="s">
        <v>50</v>
      </c>
      <c r="E2572">
        <v>18</v>
      </c>
      <c r="F2572" s="3">
        <f ca="1">41532+(RANDBETWEEN(1,10))</f>
        <v>41540</v>
      </c>
      <c r="G2572" t="s">
        <v>26</v>
      </c>
      <c r="H2572" t="s">
        <v>27</v>
      </c>
      <c r="I2572" t="s">
        <v>86</v>
      </c>
      <c r="J2572">
        <v>138.285</v>
      </c>
      <c r="K2572">
        <v>0.08</v>
      </c>
      <c r="L2572">
        <v>0.37</v>
      </c>
      <c r="M2572">
        <v>21.175000000000001</v>
      </c>
      <c r="N2572">
        <v>-674.38874999999996</v>
      </c>
      <c r="O2572" s="1" t="s">
        <v>87</v>
      </c>
      <c r="P2572" s="1" t="s">
        <v>7002</v>
      </c>
      <c r="Q2572" s="1" t="s">
        <v>7003</v>
      </c>
      <c r="R2572" s="1" t="s">
        <v>398</v>
      </c>
      <c r="S2572" s="1" t="s">
        <v>7004</v>
      </c>
      <c r="T2572" s="1" t="s">
        <v>7005</v>
      </c>
      <c r="U2572" s="2" t="s">
        <v>1376</v>
      </c>
      <c r="V2572" s="2" t="s">
        <v>47</v>
      </c>
      <c r="W2572" s="2" t="s">
        <v>111</v>
      </c>
      <c r="X2572" s="2">
        <v>7.56</v>
      </c>
    </row>
    <row r="2573" spans="1:24" x14ac:dyDescent="0.3">
      <c r="A2573">
        <v>20447</v>
      </c>
      <c r="B2573" t="s">
        <v>7006</v>
      </c>
      <c r="C2573" s="3">
        <v>40634</v>
      </c>
      <c r="D2573" t="s">
        <v>148</v>
      </c>
      <c r="E2573">
        <v>1</v>
      </c>
      <c r="F2573" s="3">
        <f ca="1">40636+(RANDBETWEEN(1,10))</f>
        <v>40641</v>
      </c>
      <c r="G2573" t="s">
        <v>26</v>
      </c>
      <c r="H2573" t="s">
        <v>281</v>
      </c>
      <c r="I2573" t="s">
        <v>86</v>
      </c>
      <c r="J2573">
        <v>61.67</v>
      </c>
      <c r="K2573">
        <v>0.06</v>
      </c>
      <c r="L2573">
        <v>0.42</v>
      </c>
      <c r="M2573">
        <v>21.42</v>
      </c>
      <c r="N2573">
        <v>-55.72</v>
      </c>
      <c r="O2573" s="1" t="s">
        <v>87</v>
      </c>
      <c r="P2573" s="1" t="s">
        <v>7007</v>
      </c>
      <c r="Q2573" s="1" t="s">
        <v>7008</v>
      </c>
      <c r="R2573" s="1" t="s">
        <v>90</v>
      </c>
      <c r="S2573" s="1" t="s">
        <v>7009</v>
      </c>
      <c r="T2573" s="1" t="s">
        <v>7010</v>
      </c>
      <c r="U2573" s="2" t="s">
        <v>3147</v>
      </c>
      <c r="V2573" s="2" t="s">
        <v>47</v>
      </c>
      <c r="W2573" s="2" t="s">
        <v>71</v>
      </c>
      <c r="X2573" s="2">
        <v>39.655000000000001</v>
      </c>
    </row>
    <row r="2574" spans="1:24" x14ac:dyDescent="0.3">
      <c r="A2574">
        <v>20448</v>
      </c>
      <c r="B2574" t="s">
        <v>7011</v>
      </c>
      <c r="C2574" s="3">
        <v>41830</v>
      </c>
      <c r="D2574" t="s">
        <v>25</v>
      </c>
      <c r="E2574">
        <v>4</v>
      </c>
      <c r="F2574" s="3">
        <f ca="1">41832+(RANDBETWEEN(1,10))</f>
        <v>41842</v>
      </c>
      <c r="G2574" t="s">
        <v>76</v>
      </c>
      <c r="H2574" t="s">
        <v>258</v>
      </c>
      <c r="I2574" t="s">
        <v>97</v>
      </c>
      <c r="J2574">
        <v>1508.1849999999999</v>
      </c>
      <c r="K2574">
        <v>0</v>
      </c>
      <c r="L2574">
        <v>0.78</v>
      </c>
      <c r="M2574">
        <v>200.83</v>
      </c>
      <c r="N2574">
        <v>-1551.6950400000001</v>
      </c>
      <c r="O2574" s="1" t="s">
        <v>64</v>
      </c>
      <c r="P2574" s="1" t="s">
        <v>5605</v>
      </c>
      <c r="Q2574" s="1" t="s">
        <v>5606</v>
      </c>
      <c r="R2574" s="1" t="s">
        <v>128</v>
      </c>
      <c r="S2574" s="1" t="s">
        <v>5607</v>
      </c>
      <c r="T2574" s="1" t="s">
        <v>5608</v>
      </c>
      <c r="U2574" s="2" t="s">
        <v>1795</v>
      </c>
      <c r="V2574" s="2" t="s">
        <v>83</v>
      </c>
      <c r="W2574" s="2" t="s">
        <v>298</v>
      </c>
      <c r="X2574" s="2">
        <v>353.43</v>
      </c>
    </row>
    <row r="2575" spans="1:24" x14ac:dyDescent="0.3">
      <c r="A2575">
        <v>20449</v>
      </c>
      <c r="B2575" t="s">
        <v>7011</v>
      </c>
      <c r="C2575" s="3">
        <v>41830</v>
      </c>
      <c r="D2575" t="s">
        <v>25</v>
      </c>
      <c r="E2575">
        <v>6</v>
      </c>
      <c r="F2575" s="3">
        <f ca="1">41834+(RANDBETWEEN(1,10))</f>
        <v>41844</v>
      </c>
      <c r="G2575" t="s">
        <v>26</v>
      </c>
      <c r="H2575" t="s">
        <v>27</v>
      </c>
      <c r="I2575" t="s">
        <v>97</v>
      </c>
      <c r="J2575">
        <v>80.745000000000005</v>
      </c>
      <c r="K2575">
        <v>0.02</v>
      </c>
      <c r="L2575">
        <v>0.39</v>
      </c>
      <c r="M2575">
        <v>8.75</v>
      </c>
      <c r="N2575">
        <v>-28.37688</v>
      </c>
      <c r="O2575" s="1" t="s">
        <v>64</v>
      </c>
      <c r="P2575" s="1" t="s">
        <v>5605</v>
      </c>
      <c r="Q2575" s="1" t="s">
        <v>5606</v>
      </c>
      <c r="R2575" s="1" t="s">
        <v>128</v>
      </c>
      <c r="S2575" s="1" t="s">
        <v>5607</v>
      </c>
      <c r="T2575" s="1" t="s">
        <v>5608</v>
      </c>
      <c r="U2575" s="2" t="s">
        <v>7012</v>
      </c>
      <c r="V2575" s="2" t="s">
        <v>47</v>
      </c>
      <c r="W2575" s="2" t="s">
        <v>48</v>
      </c>
      <c r="X2575" s="2">
        <v>12.914999999999999</v>
      </c>
    </row>
    <row r="2576" spans="1:24" x14ac:dyDescent="0.3">
      <c r="A2576">
        <v>2045</v>
      </c>
      <c r="B2576" t="s">
        <v>7013</v>
      </c>
      <c r="C2576" s="3">
        <v>40553</v>
      </c>
      <c r="D2576" t="s">
        <v>62</v>
      </c>
      <c r="E2576">
        <v>24</v>
      </c>
      <c r="F2576" s="3">
        <f ca="1">40555+(RANDBETWEEN(1,10))</f>
        <v>40556</v>
      </c>
      <c r="G2576" t="s">
        <v>26</v>
      </c>
      <c r="H2576" t="s">
        <v>96</v>
      </c>
      <c r="I2576" t="s">
        <v>28</v>
      </c>
      <c r="J2576">
        <v>696.92</v>
      </c>
      <c r="K2576">
        <v>0.01</v>
      </c>
      <c r="L2576">
        <v>0.43</v>
      </c>
      <c r="M2576">
        <v>3.36</v>
      </c>
      <c r="N2576">
        <v>102.66200000000001</v>
      </c>
      <c r="O2576" s="1" t="s">
        <v>64</v>
      </c>
      <c r="P2576" s="1" t="s">
        <v>265</v>
      </c>
      <c r="Q2576" s="1" t="s">
        <v>266</v>
      </c>
      <c r="R2576" s="1" t="s">
        <v>67</v>
      </c>
      <c r="S2576" s="1" t="s">
        <v>108</v>
      </c>
      <c r="T2576" s="1" t="s">
        <v>196</v>
      </c>
      <c r="U2576" s="2" t="s">
        <v>2587</v>
      </c>
      <c r="V2576" s="2" t="s">
        <v>83</v>
      </c>
      <c r="W2576" s="2" t="s">
        <v>178</v>
      </c>
      <c r="X2576" s="2">
        <v>29.19</v>
      </c>
    </row>
    <row r="2577" spans="1:24" x14ac:dyDescent="0.3">
      <c r="A2577">
        <v>20450</v>
      </c>
      <c r="B2577" t="s">
        <v>7014</v>
      </c>
      <c r="C2577" s="3">
        <v>41902</v>
      </c>
      <c r="D2577" t="s">
        <v>148</v>
      </c>
      <c r="E2577">
        <v>4</v>
      </c>
      <c r="F2577" s="3">
        <f ca="1">41904+(RANDBETWEEN(1,10))</f>
        <v>41914</v>
      </c>
      <c r="G2577" t="s">
        <v>26</v>
      </c>
      <c r="H2577" t="s">
        <v>63</v>
      </c>
      <c r="I2577" t="s">
        <v>52</v>
      </c>
      <c r="J2577">
        <v>261.66000000000003</v>
      </c>
      <c r="K2577">
        <v>0.02</v>
      </c>
      <c r="L2577">
        <v>0.61</v>
      </c>
      <c r="M2577">
        <v>43.365000000000002</v>
      </c>
      <c r="N2577">
        <v>-100.1742</v>
      </c>
      <c r="O2577" s="1" t="s">
        <v>225</v>
      </c>
      <c r="P2577" s="1" t="s">
        <v>6988</v>
      </c>
      <c r="Q2577" s="1" t="s">
        <v>6989</v>
      </c>
      <c r="R2577" s="1" t="s">
        <v>228</v>
      </c>
      <c r="S2577" s="1" t="s">
        <v>6990</v>
      </c>
      <c r="T2577" s="1" t="s">
        <v>6991</v>
      </c>
      <c r="U2577" s="2" t="s">
        <v>4335</v>
      </c>
      <c r="V2577" s="2" t="s">
        <v>83</v>
      </c>
      <c r="W2577" s="2" t="s">
        <v>178</v>
      </c>
      <c r="X2577" s="2">
        <v>59.43</v>
      </c>
    </row>
    <row r="2578" spans="1:24" x14ac:dyDescent="0.3">
      <c r="A2578">
        <v>20451</v>
      </c>
      <c r="B2578" t="s">
        <v>7015</v>
      </c>
      <c r="C2578" s="3">
        <v>40921</v>
      </c>
      <c r="D2578" t="s">
        <v>50</v>
      </c>
      <c r="E2578">
        <v>7</v>
      </c>
      <c r="F2578" s="3">
        <f ca="1">40924+(RANDBETWEEN(1,10))</f>
        <v>40933</v>
      </c>
      <c r="G2578" t="s">
        <v>26</v>
      </c>
      <c r="H2578" t="s">
        <v>27</v>
      </c>
      <c r="I2578" t="s">
        <v>97</v>
      </c>
      <c r="J2578">
        <v>925.26</v>
      </c>
      <c r="K2578">
        <v>0.06</v>
      </c>
      <c r="L2578">
        <v>0.56999999999999995</v>
      </c>
      <c r="M2578">
        <v>45.15</v>
      </c>
      <c r="N2578">
        <v>30.270800000000001</v>
      </c>
      <c r="O2578" s="1" t="s">
        <v>53</v>
      </c>
      <c r="P2578" s="1" t="s">
        <v>6641</v>
      </c>
      <c r="Q2578" s="1" t="s">
        <v>6642</v>
      </c>
      <c r="R2578" s="1" t="s">
        <v>440</v>
      </c>
      <c r="S2578" s="1" t="s">
        <v>6643</v>
      </c>
      <c r="T2578" s="1" t="s">
        <v>6644</v>
      </c>
      <c r="U2578" s="2" t="s">
        <v>4567</v>
      </c>
      <c r="V2578" s="2" t="s">
        <v>47</v>
      </c>
      <c r="W2578" s="2" t="s">
        <v>119</v>
      </c>
      <c r="X2578" s="2">
        <v>132.16</v>
      </c>
    </row>
    <row r="2579" spans="1:24" x14ac:dyDescent="0.3">
      <c r="A2579">
        <v>20452</v>
      </c>
      <c r="B2579" t="s">
        <v>7016</v>
      </c>
      <c r="C2579" s="3">
        <v>41820</v>
      </c>
      <c r="D2579" t="s">
        <v>39</v>
      </c>
      <c r="E2579">
        <v>7</v>
      </c>
      <c r="F2579" s="3">
        <f ca="1">41821+(RANDBETWEEN(1,10))</f>
        <v>41831</v>
      </c>
      <c r="G2579" t="s">
        <v>26</v>
      </c>
      <c r="H2579" t="s">
        <v>27</v>
      </c>
      <c r="I2579" t="s">
        <v>97</v>
      </c>
      <c r="J2579">
        <v>107.45</v>
      </c>
      <c r="K2579">
        <v>0.04</v>
      </c>
      <c r="L2579">
        <v>0.37</v>
      </c>
      <c r="M2579">
        <v>24.535</v>
      </c>
      <c r="N2579">
        <v>-248.101</v>
      </c>
      <c r="O2579" s="1" t="s">
        <v>29</v>
      </c>
      <c r="P2579" s="1" t="s">
        <v>7017</v>
      </c>
      <c r="Q2579" s="1" t="s">
        <v>7018</v>
      </c>
      <c r="R2579" s="1" t="s">
        <v>460</v>
      </c>
      <c r="S2579" s="1" t="s">
        <v>4527</v>
      </c>
      <c r="T2579" s="1" t="s">
        <v>4528</v>
      </c>
      <c r="U2579" s="2" t="s">
        <v>2043</v>
      </c>
      <c r="V2579" s="2" t="s">
        <v>47</v>
      </c>
      <c r="W2579" s="2" t="s">
        <v>111</v>
      </c>
      <c r="X2579" s="2">
        <v>13.615</v>
      </c>
    </row>
    <row r="2580" spans="1:24" x14ac:dyDescent="0.3">
      <c r="A2580">
        <v>20453</v>
      </c>
      <c r="B2580" t="s">
        <v>7019</v>
      </c>
      <c r="C2580" s="3">
        <v>41937</v>
      </c>
      <c r="D2580" t="s">
        <v>62</v>
      </c>
      <c r="E2580">
        <v>18</v>
      </c>
      <c r="F2580" s="3">
        <f ca="1">41938+(RANDBETWEEN(1,10))</f>
        <v>41941</v>
      </c>
      <c r="G2580" t="s">
        <v>26</v>
      </c>
      <c r="H2580" t="s">
        <v>51</v>
      </c>
      <c r="I2580" t="s">
        <v>28</v>
      </c>
      <c r="J2580">
        <v>443.41500000000002</v>
      </c>
      <c r="K2580">
        <v>0.06</v>
      </c>
      <c r="L2580">
        <v>0.37</v>
      </c>
      <c r="M2580">
        <v>9.9049999999999994</v>
      </c>
      <c r="N2580">
        <v>144.58500000000001</v>
      </c>
      <c r="O2580" s="1" t="s">
        <v>29</v>
      </c>
      <c r="P2580" s="1" t="s">
        <v>3556</v>
      </c>
      <c r="Q2580" s="1" t="s">
        <v>3557</v>
      </c>
      <c r="R2580" s="1" t="s">
        <v>675</v>
      </c>
      <c r="S2580" s="1" t="s">
        <v>3558</v>
      </c>
      <c r="T2580" s="1" t="s">
        <v>3559</v>
      </c>
      <c r="U2580" s="2" t="s">
        <v>7020</v>
      </c>
      <c r="V2580" s="2" t="s">
        <v>83</v>
      </c>
      <c r="W2580" s="2" t="s">
        <v>178</v>
      </c>
      <c r="X2580" s="2">
        <v>24.43</v>
      </c>
    </row>
    <row r="2581" spans="1:24" x14ac:dyDescent="0.3">
      <c r="A2581">
        <v>20454</v>
      </c>
      <c r="B2581" t="s">
        <v>7019</v>
      </c>
      <c r="C2581" s="3">
        <v>41937</v>
      </c>
      <c r="D2581" t="s">
        <v>62</v>
      </c>
      <c r="E2581">
        <v>20</v>
      </c>
      <c r="F2581" s="3">
        <f ca="1">41940+(RANDBETWEEN(1,10))</f>
        <v>41949</v>
      </c>
      <c r="G2581" t="s">
        <v>156</v>
      </c>
      <c r="H2581" t="s">
        <v>27</v>
      </c>
      <c r="I2581" t="s">
        <v>28</v>
      </c>
      <c r="J2581">
        <v>479.71</v>
      </c>
      <c r="K2581">
        <v>0</v>
      </c>
      <c r="L2581">
        <v>0.4</v>
      </c>
      <c r="M2581">
        <v>18.725000000000001</v>
      </c>
      <c r="N2581">
        <v>-160.125</v>
      </c>
      <c r="O2581" s="1" t="s">
        <v>29</v>
      </c>
      <c r="P2581" s="1" t="s">
        <v>3556</v>
      </c>
      <c r="Q2581" s="1" t="s">
        <v>3557</v>
      </c>
      <c r="R2581" s="1" t="s">
        <v>675</v>
      </c>
      <c r="S2581" s="1" t="s">
        <v>3558</v>
      </c>
      <c r="T2581" s="1" t="s">
        <v>3559</v>
      </c>
      <c r="U2581" s="2" t="s">
        <v>2740</v>
      </c>
      <c r="V2581" s="2" t="s">
        <v>47</v>
      </c>
      <c r="W2581" s="2" t="s">
        <v>74</v>
      </c>
      <c r="X2581" s="2">
        <v>20.93</v>
      </c>
    </row>
    <row r="2582" spans="1:24" x14ac:dyDescent="0.3">
      <c r="A2582">
        <v>20455</v>
      </c>
      <c r="B2582" t="s">
        <v>7021</v>
      </c>
      <c r="C2582" s="3">
        <v>41177</v>
      </c>
      <c r="D2582" t="s">
        <v>148</v>
      </c>
      <c r="E2582">
        <v>10</v>
      </c>
      <c r="F2582" s="3">
        <f ca="1">41179+(RANDBETWEEN(1,10))</f>
        <v>41189</v>
      </c>
      <c r="G2582" t="s">
        <v>26</v>
      </c>
      <c r="H2582" t="s">
        <v>51</v>
      </c>
      <c r="I2582" t="s">
        <v>52</v>
      </c>
      <c r="J2582">
        <v>311.88499999999999</v>
      </c>
      <c r="K2582">
        <v>0.02</v>
      </c>
      <c r="L2582">
        <v>0.52</v>
      </c>
      <c r="M2582">
        <v>6.9649999999999999</v>
      </c>
      <c r="N2582">
        <v>73.745000000000005</v>
      </c>
      <c r="O2582" s="1" t="s">
        <v>40</v>
      </c>
      <c r="P2582" s="1" t="s">
        <v>7022</v>
      </c>
      <c r="Q2582" s="1" t="s">
        <v>7023</v>
      </c>
      <c r="R2582" s="1" t="s">
        <v>220</v>
      </c>
      <c r="S2582" s="1" t="s">
        <v>707</v>
      </c>
      <c r="T2582" s="1" t="s">
        <v>708</v>
      </c>
      <c r="U2582" s="2" t="s">
        <v>2853</v>
      </c>
      <c r="V2582" s="2" t="s">
        <v>36</v>
      </c>
      <c r="W2582" s="2" t="s">
        <v>60</v>
      </c>
      <c r="X2582" s="2">
        <v>29.155000000000001</v>
      </c>
    </row>
    <row r="2583" spans="1:24" x14ac:dyDescent="0.3">
      <c r="A2583">
        <v>20456</v>
      </c>
      <c r="B2583" t="s">
        <v>7021</v>
      </c>
      <c r="C2583" s="3">
        <v>41177</v>
      </c>
      <c r="D2583" t="s">
        <v>148</v>
      </c>
      <c r="E2583">
        <v>5</v>
      </c>
      <c r="F2583" s="3">
        <f ca="1">41178+(RANDBETWEEN(1,10))</f>
        <v>41184</v>
      </c>
      <c r="G2583" t="s">
        <v>26</v>
      </c>
      <c r="H2583" t="s">
        <v>27</v>
      </c>
      <c r="I2583" t="s">
        <v>52</v>
      </c>
      <c r="J2583">
        <v>562.48500000000001</v>
      </c>
      <c r="K2583">
        <v>0</v>
      </c>
      <c r="L2583">
        <v>0.79</v>
      </c>
      <c r="M2583">
        <v>22.75</v>
      </c>
      <c r="N2583">
        <v>-384.685</v>
      </c>
      <c r="O2583" s="1" t="s">
        <v>40</v>
      </c>
      <c r="P2583" s="1" t="s">
        <v>7022</v>
      </c>
      <c r="Q2583" s="1" t="s">
        <v>7023</v>
      </c>
      <c r="R2583" s="1" t="s">
        <v>220</v>
      </c>
      <c r="S2583" s="1" t="s">
        <v>707</v>
      </c>
      <c r="T2583" s="1" t="s">
        <v>708</v>
      </c>
      <c r="U2583" s="2" t="s">
        <v>4252</v>
      </c>
      <c r="V2583" s="2" t="s">
        <v>36</v>
      </c>
      <c r="W2583" s="2" t="s">
        <v>60</v>
      </c>
      <c r="X2583" s="2">
        <v>108.43</v>
      </c>
    </row>
    <row r="2584" spans="1:24" x14ac:dyDescent="0.3">
      <c r="A2584">
        <v>20457</v>
      </c>
      <c r="B2584" t="s">
        <v>7021</v>
      </c>
      <c r="C2584" s="3">
        <v>41177</v>
      </c>
      <c r="D2584" t="s">
        <v>148</v>
      </c>
      <c r="E2584">
        <v>21</v>
      </c>
      <c r="F2584" s="3">
        <f ca="1">41178+(RANDBETWEEN(1,10))</f>
        <v>41185</v>
      </c>
      <c r="G2584" t="s">
        <v>156</v>
      </c>
      <c r="H2584" t="s">
        <v>27</v>
      </c>
      <c r="I2584" t="s">
        <v>52</v>
      </c>
      <c r="J2584">
        <v>1675.135</v>
      </c>
      <c r="K2584">
        <v>0.06</v>
      </c>
      <c r="L2584">
        <v>0.51</v>
      </c>
      <c r="M2584">
        <v>26.53</v>
      </c>
      <c r="N2584">
        <v>722.96</v>
      </c>
      <c r="O2584" s="1" t="s">
        <v>40</v>
      </c>
      <c r="P2584" s="1" t="s">
        <v>7022</v>
      </c>
      <c r="Q2584" s="1" t="s">
        <v>7023</v>
      </c>
      <c r="R2584" s="1" t="s">
        <v>220</v>
      </c>
      <c r="S2584" s="1" t="s">
        <v>707</v>
      </c>
      <c r="T2584" s="1" t="s">
        <v>708</v>
      </c>
      <c r="U2584" s="2" t="s">
        <v>1676</v>
      </c>
      <c r="V2584" s="2" t="s">
        <v>83</v>
      </c>
      <c r="W2584" s="2" t="s">
        <v>178</v>
      </c>
      <c r="X2584" s="2">
        <v>80.430000000000007</v>
      </c>
    </row>
    <row r="2585" spans="1:24" x14ac:dyDescent="0.3">
      <c r="A2585">
        <v>20458</v>
      </c>
      <c r="B2585" t="s">
        <v>7024</v>
      </c>
      <c r="C2585" s="3">
        <v>41055</v>
      </c>
      <c r="D2585" t="s">
        <v>62</v>
      </c>
      <c r="E2585">
        <v>3</v>
      </c>
      <c r="F2585" s="3">
        <f ca="1">41057+(RANDBETWEEN(1,10))</f>
        <v>41061</v>
      </c>
      <c r="G2585" t="s">
        <v>26</v>
      </c>
      <c r="H2585" t="s">
        <v>27</v>
      </c>
      <c r="I2585" t="s">
        <v>52</v>
      </c>
      <c r="J2585">
        <v>274.33</v>
      </c>
      <c r="K2585">
        <v>7.0000000000000007E-2</v>
      </c>
      <c r="L2585">
        <v>0.75</v>
      </c>
      <c r="M2585">
        <v>14</v>
      </c>
      <c r="N2585">
        <v>622.98180000000002</v>
      </c>
      <c r="O2585" s="1" t="s">
        <v>29</v>
      </c>
      <c r="P2585" s="1" t="s">
        <v>4755</v>
      </c>
      <c r="Q2585" s="1" t="s">
        <v>4756</v>
      </c>
      <c r="R2585" s="1" t="s">
        <v>675</v>
      </c>
      <c r="S2585" s="1" t="s">
        <v>4757</v>
      </c>
      <c r="T2585" s="1" t="s">
        <v>4758</v>
      </c>
      <c r="U2585" s="2" t="s">
        <v>4155</v>
      </c>
      <c r="V2585" s="2" t="s">
        <v>36</v>
      </c>
      <c r="W2585" s="2" t="s">
        <v>60</v>
      </c>
      <c r="X2585" s="2">
        <v>96.18</v>
      </c>
    </row>
    <row r="2586" spans="1:24" x14ac:dyDescent="0.3">
      <c r="A2586">
        <v>20459</v>
      </c>
      <c r="B2586" t="s">
        <v>7025</v>
      </c>
      <c r="C2586" s="3">
        <v>41370</v>
      </c>
      <c r="D2586" t="s">
        <v>62</v>
      </c>
      <c r="E2586">
        <v>4</v>
      </c>
      <c r="F2586" s="3">
        <f ca="1">41372+(RANDBETWEEN(1,10))</f>
        <v>41381</v>
      </c>
      <c r="G2586" t="s">
        <v>156</v>
      </c>
      <c r="H2586" t="s">
        <v>27</v>
      </c>
      <c r="I2586" t="s">
        <v>86</v>
      </c>
      <c r="J2586">
        <v>121.625</v>
      </c>
      <c r="K2586">
        <v>0.05</v>
      </c>
      <c r="L2586">
        <v>0.57999999999999996</v>
      </c>
      <c r="M2586">
        <v>32.305</v>
      </c>
      <c r="N2586">
        <v>-337.15499999999997</v>
      </c>
      <c r="O2586" s="1" t="s">
        <v>225</v>
      </c>
      <c r="P2586" s="1" t="s">
        <v>4749</v>
      </c>
      <c r="Q2586" s="1" t="s">
        <v>4750</v>
      </c>
      <c r="R2586" s="1" t="s">
        <v>228</v>
      </c>
      <c r="S2586" s="1" t="s">
        <v>4751</v>
      </c>
      <c r="T2586" s="1" t="s">
        <v>4752</v>
      </c>
      <c r="U2586" s="2" t="s">
        <v>4333</v>
      </c>
      <c r="V2586" s="2" t="s">
        <v>47</v>
      </c>
      <c r="W2586" s="2" t="s">
        <v>71</v>
      </c>
      <c r="X2586" s="2">
        <v>27.195</v>
      </c>
    </row>
    <row r="2587" spans="1:24" x14ac:dyDescent="0.3">
      <c r="A2587">
        <v>2046</v>
      </c>
      <c r="B2587" t="s">
        <v>7013</v>
      </c>
      <c r="C2587" s="3">
        <v>40553</v>
      </c>
      <c r="D2587" t="s">
        <v>62</v>
      </c>
      <c r="E2587">
        <v>19</v>
      </c>
      <c r="F2587" s="3">
        <f ca="1">40554+(RANDBETWEEN(1,10))</f>
        <v>40555</v>
      </c>
      <c r="G2587" t="s">
        <v>26</v>
      </c>
      <c r="H2587" t="s">
        <v>96</v>
      </c>
      <c r="I2587" t="s">
        <v>28</v>
      </c>
      <c r="J2587">
        <v>220.99</v>
      </c>
      <c r="K2587">
        <v>0.06</v>
      </c>
      <c r="L2587">
        <v>0.56000000000000005</v>
      </c>
      <c r="M2587">
        <v>13.895</v>
      </c>
      <c r="N2587">
        <v>-301</v>
      </c>
      <c r="O2587" s="1" t="s">
        <v>64</v>
      </c>
      <c r="P2587" s="1" t="s">
        <v>265</v>
      </c>
      <c r="Q2587" s="1" t="s">
        <v>266</v>
      </c>
      <c r="R2587" s="1" t="s">
        <v>67</v>
      </c>
      <c r="S2587" s="1" t="s">
        <v>108</v>
      </c>
      <c r="T2587" s="1" t="s">
        <v>196</v>
      </c>
      <c r="U2587" s="2" t="s">
        <v>4166</v>
      </c>
      <c r="V2587" s="2" t="s">
        <v>47</v>
      </c>
      <c r="W2587" s="2" t="s">
        <v>104</v>
      </c>
      <c r="X2587" s="2">
        <v>11.48</v>
      </c>
    </row>
    <row r="2588" spans="1:24" x14ac:dyDescent="0.3">
      <c r="A2588">
        <v>20460</v>
      </c>
      <c r="B2588" t="s">
        <v>7026</v>
      </c>
      <c r="C2588" s="3">
        <v>41766</v>
      </c>
      <c r="D2588" t="s">
        <v>50</v>
      </c>
      <c r="E2588">
        <v>1</v>
      </c>
      <c r="F2588" s="3">
        <f ca="1">41767+(RANDBETWEEN(1,10))</f>
        <v>41772</v>
      </c>
      <c r="G2588" t="s">
        <v>26</v>
      </c>
      <c r="H2588" t="s">
        <v>27</v>
      </c>
      <c r="I2588" t="s">
        <v>28</v>
      </c>
      <c r="J2588">
        <v>100.55500000000001</v>
      </c>
      <c r="K2588">
        <v>0</v>
      </c>
      <c r="L2588">
        <v>0.78</v>
      </c>
      <c r="M2588">
        <v>22.75</v>
      </c>
      <c r="N2588">
        <v>8.7149999999999999</v>
      </c>
      <c r="O2588" s="1" t="s">
        <v>64</v>
      </c>
      <c r="P2588" s="1" t="s">
        <v>2942</v>
      </c>
      <c r="Q2588" s="1" t="s">
        <v>2943</v>
      </c>
      <c r="R2588" s="1" t="s">
        <v>67</v>
      </c>
      <c r="S2588" s="1" t="s">
        <v>2944</v>
      </c>
      <c r="T2588" s="1" t="s">
        <v>2945</v>
      </c>
      <c r="U2588" s="2" t="s">
        <v>1138</v>
      </c>
      <c r="V2588" s="2" t="s">
        <v>36</v>
      </c>
      <c r="W2588" s="2" t="s">
        <v>60</v>
      </c>
      <c r="X2588" s="2">
        <v>73.394999999999996</v>
      </c>
    </row>
    <row r="2589" spans="1:24" x14ac:dyDescent="0.3">
      <c r="A2589">
        <v>20461</v>
      </c>
      <c r="B2589" t="s">
        <v>7026</v>
      </c>
      <c r="C2589" s="3">
        <v>41766</v>
      </c>
      <c r="D2589" t="s">
        <v>50</v>
      </c>
      <c r="E2589">
        <v>10</v>
      </c>
      <c r="F2589" s="3">
        <f ca="1">41768+(RANDBETWEEN(1,10))</f>
        <v>41770</v>
      </c>
      <c r="G2589" t="s">
        <v>156</v>
      </c>
      <c r="H2589" t="s">
        <v>96</v>
      </c>
      <c r="I2589" t="s">
        <v>28</v>
      </c>
      <c r="J2589">
        <v>76.650000000000006</v>
      </c>
      <c r="K2589">
        <v>0.08</v>
      </c>
      <c r="L2589">
        <v>0.56999999999999995</v>
      </c>
      <c r="M2589">
        <v>2.4500000000000002</v>
      </c>
      <c r="N2589">
        <v>8668.3590000000004</v>
      </c>
      <c r="O2589" s="1" t="s">
        <v>64</v>
      </c>
      <c r="P2589" s="1" t="s">
        <v>2942</v>
      </c>
      <c r="Q2589" s="1" t="s">
        <v>2943</v>
      </c>
      <c r="R2589" s="1" t="s">
        <v>67</v>
      </c>
      <c r="S2589" s="1" t="s">
        <v>2944</v>
      </c>
      <c r="T2589" s="1" t="s">
        <v>2945</v>
      </c>
      <c r="U2589" s="2" t="s">
        <v>6803</v>
      </c>
      <c r="V2589" s="2" t="s">
        <v>47</v>
      </c>
      <c r="W2589" s="2" t="s">
        <v>104</v>
      </c>
      <c r="X2589" s="2">
        <v>7.35</v>
      </c>
    </row>
    <row r="2590" spans="1:24" x14ac:dyDescent="0.3">
      <c r="A2590">
        <v>20462</v>
      </c>
      <c r="B2590" t="s">
        <v>7027</v>
      </c>
      <c r="C2590" s="3">
        <v>41512</v>
      </c>
      <c r="D2590" t="s">
        <v>62</v>
      </c>
      <c r="E2590">
        <v>21</v>
      </c>
      <c r="F2590" s="3">
        <f ca="1">41512+(RANDBETWEEN(1,10))</f>
        <v>41517</v>
      </c>
      <c r="G2590" t="s">
        <v>26</v>
      </c>
      <c r="H2590" t="s">
        <v>27</v>
      </c>
      <c r="I2590" t="s">
        <v>52</v>
      </c>
      <c r="J2590">
        <v>4388.09</v>
      </c>
      <c r="K2590">
        <v>0.04</v>
      </c>
      <c r="L2590">
        <v>0.56000000000000005</v>
      </c>
      <c r="M2590">
        <v>15.75</v>
      </c>
      <c r="N2590">
        <v>-38.71</v>
      </c>
      <c r="O2590" s="1" t="s">
        <v>40</v>
      </c>
      <c r="P2590" s="1" t="s">
        <v>2232</v>
      </c>
      <c r="Q2590" s="1" t="s">
        <v>2233</v>
      </c>
      <c r="R2590" s="1" t="s">
        <v>43</v>
      </c>
      <c r="S2590" s="1" t="s">
        <v>2234</v>
      </c>
      <c r="T2590" s="1" t="s">
        <v>2235</v>
      </c>
      <c r="U2590" s="2" t="s">
        <v>1654</v>
      </c>
      <c r="V2590" s="2" t="s">
        <v>47</v>
      </c>
      <c r="W2590" s="2" t="s">
        <v>71</v>
      </c>
      <c r="X2590" s="2">
        <v>213.39500000000001</v>
      </c>
    </row>
    <row r="2591" spans="1:24" x14ac:dyDescent="0.3">
      <c r="A2591">
        <v>20463</v>
      </c>
      <c r="B2591" t="s">
        <v>7028</v>
      </c>
      <c r="C2591" s="3">
        <v>41588</v>
      </c>
      <c r="D2591" t="s">
        <v>62</v>
      </c>
      <c r="E2591">
        <v>31</v>
      </c>
      <c r="F2591" s="3">
        <f ca="1">41590+(RANDBETWEEN(1,10))</f>
        <v>41591</v>
      </c>
      <c r="G2591" t="s">
        <v>26</v>
      </c>
      <c r="H2591" t="s">
        <v>27</v>
      </c>
      <c r="I2591" t="s">
        <v>52</v>
      </c>
      <c r="J2591">
        <v>1783.88</v>
      </c>
      <c r="K2591">
        <v>0.02</v>
      </c>
      <c r="L2591">
        <v>0.56999999999999995</v>
      </c>
      <c r="M2591">
        <v>30.73</v>
      </c>
      <c r="N2591">
        <v>49.027999999999999</v>
      </c>
      <c r="O2591" s="1" t="s">
        <v>87</v>
      </c>
      <c r="P2591" s="1" t="s">
        <v>7029</v>
      </c>
      <c r="Q2591" s="1" t="s">
        <v>7030</v>
      </c>
      <c r="R2591" s="1" t="s">
        <v>497</v>
      </c>
      <c r="S2591" s="1" t="s">
        <v>5030</v>
      </c>
      <c r="T2591" s="1" t="s">
        <v>5031</v>
      </c>
      <c r="U2591" s="2" t="s">
        <v>3278</v>
      </c>
      <c r="V2591" s="2" t="s">
        <v>47</v>
      </c>
      <c r="W2591" s="2" t="s">
        <v>119</v>
      </c>
      <c r="X2591" s="2">
        <v>53.585000000000001</v>
      </c>
    </row>
    <row r="2592" spans="1:24" x14ac:dyDescent="0.3">
      <c r="A2592">
        <v>20464</v>
      </c>
      <c r="B2592" t="s">
        <v>7031</v>
      </c>
      <c r="C2592" s="3">
        <v>40764</v>
      </c>
      <c r="D2592" t="s">
        <v>148</v>
      </c>
      <c r="E2592">
        <v>19</v>
      </c>
      <c r="F2592" s="3">
        <f ca="1">40765+(RANDBETWEEN(1,10))</f>
        <v>40769</v>
      </c>
      <c r="G2592" t="s">
        <v>26</v>
      </c>
      <c r="H2592" t="s">
        <v>27</v>
      </c>
      <c r="I2592" t="s">
        <v>52</v>
      </c>
      <c r="J2592">
        <v>1369.9</v>
      </c>
      <c r="K2592">
        <v>7.0000000000000007E-2</v>
      </c>
      <c r="L2592">
        <v>0.65</v>
      </c>
      <c r="M2592">
        <v>20.965</v>
      </c>
      <c r="N2592">
        <v>95.319000000000003</v>
      </c>
      <c r="O2592" s="1" t="s">
        <v>87</v>
      </c>
      <c r="P2592" s="1" t="s">
        <v>1256</v>
      </c>
      <c r="Q2592" s="1" t="s">
        <v>1257</v>
      </c>
      <c r="R2592" s="1" t="s">
        <v>398</v>
      </c>
      <c r="S2592" s="1" t="s">
        <v>1258</v>
      </c>
      <c r="T2592" s="1" t="s">
        <v>1259</v>
      </c>
      <c r="U2592" s="2" t="s">
        <v>3946</v>
      </c>
      <c r="V2592" s="2" t="s">
        <v>36</v>
      </c>
      <c r="W2592" s="2" t="s">
        <v>60</v>
      </c>
      <c r="X2592" s="2">
        <v>73.325000000000003</v>
      </c>
    </row>
    <row r="2593" spans="1:24" x14ac:dyDescent="0.3">
      <c r="A2593">
        <v>20465</v>
      </c>
      <c r="B2593" t="s">
        <v>7032</v>
      </c>
      <c r="C2593" s="3">
        <v>41193</v>
      </c>
      <c r="D2593" t="s">
        <v>148</v>
      </c>
      <c r="E2593">
        <v>13</v>
      </c>
      <c r="F2593" s="3">
        <f ca="1">41194+(RANDBETWEEN(1,10))</f>
        <v>41198</v>
      </c>
      <c r="G2593" t="s">
        <v>26</v>
      </c>
      <c r="H2593" t="s">
        <v>281</v>
      </c>
      <c r="I2593" t="s">
        <v>86</v>
      </c>
      <c r="J2593">
        <v>698.95</v>
      </c>
      <c r="K2593">
        <v>0.02</v>
      </c>
      <c r="L2593">
        <v>0.52</v>
      </c>
      <c r="M2593">
        <v>23.625</v>
      </c>
      <c r="N2593">
        <v>7.5026000000000002</v>
      </c>
      <c r="O2593" s="1" t="s">
        <v>29</v>
      </c>
      <c r="P2593" s="1" t="s">
        <v>6739</v>
      </c>
      <c r="Q2593" s="1" t="s">
        <v>6740</v>
      </c>
      <c r="R2593" s="1" t="s">
        <v>32</v>
      </c>
      <c r="S2593" s="1" t="s">
        <v>3689</v>
      </c>
      <c r="T2593" s="1" t="s">
        <v>3690</v>
      </c>
      <c r="U2593" s="2" t="s">
        <v>1196</v>
      </c>
      <c r="V2593" s="2" t="s">
        <v>47</v>
      </c>
      <c r="W2593" s="2" t="s">
        <v>71</v>
      </c>
      <c r="X2593" s="2">
        <v>50.47</v>
      </c>
    </row>
    <row r="2594" spans="1:24" x14ac:dyDescent="0.3">
      <c r="A2594">
        <v>20466</v>
      </c>
      <c r="B2594" t="s">
        <v>7033</v>
      </c>
      <c r="C2594" s="3">
        <v>41871</v>
      </c>
      <c r="D2594" t="s">
        <v>39</v>
      </c>
      <c r="E2594">
        <v>15</v>
      </c>
      <c r="F2594" s="3">
        <f ca="1">41873+(RANDBETWEEN(1,10))</f>
        <v>41875</v>
      </c>
      <c r="G2594" t="s">
        <v>26</v>
      </c>
      <c r="H2594" t="s">
        <v>27</v>
      </c>
      <c r="I2594" t="s">
        <v>86</v>
      </c>
      <c r="J2594">
        <v>1706.46</v>
      </c>
      <c r="K2594">
        <v>0.03</v>
      </c>
      <c r="L2594">
        <v>0.36</v>
      </c>
      <c r="M2594">
        <v>68.284999999999997</v>
      </c>
      <c r="N2594">
        <v>-9.9724799999999991</v>
      </c>
      <c r="O2594" s="1" t="s">
        <v>40</v>
      </c>
      <c r="P2594" s="1" t="s">
        <v>7034</v>
      </c>
      <c r="Q2594" s="1" t="s">
        <v>7035</v>
      </c>
      <c r="R2594" s="1" t="s">
        <v>43</v>
      </c>
      <c r="S2594" s="1" t="s">
        <v>4289</v>
      </c>
      <c r="T2594" s="1" t="s">
        <v>4290</v>
      </c>
      <c r="U2594" s="2" t="s">
        <v>4107</v>
      </c>
      <c r="V2594" s="2" t="s">
        <v>47</v>
      </c>
      <c r="W2594" s="2" t="s">
        <v>48</v>
      </c>
      <c r="X2594" s="2">
        <v>108.43</v>
      </c>
    </row>
    <row r="2595" spans="1:24" x14ac:dyDescent="0.3">
      <c r="A2595">
        <v>20467</v>
      </c>
      <c r="B2595" t="s">
        <v>7033</v>
      </c>
      <c r="C2595" s="3">
        <v>41871</v>
      </c>
      <c r="D2595" t="s">
        <v>39</v>
      </c>
      <c r="E2595">
        <v>11</v>
      </c>
      <c r="F2595" s="3">
        <f ca="1">41873+(RANDBETWEEN(1,10))</f>
        <v>41883</v>
      </c>
      <c r="G2595" t="s">
        <v>76</v>
      </c>
      <c r="H2595" t="s">
        <v>77</v>
      </c>
      <c r="I2595" t="s">
        <v>86</v>
      </c>
      <c r="J2595">
        <v>2732.6950000000002</v>
      </c>
      <c r="K2595">
        <v>0.01</v>
      </c>
      <c r="L2595">
        <v>0.41</v>
      </c>
      <c r="M2595">
        <v>210</v>
      </c>
      <c r="N2595">
        <v>-741.27283999999997</v>
      </c>
      <c r="O2595" s="1" t="s">
        <v>87</v>
      </c>
      <c r="P2595" s="1" t="s">
        <v>7036</v>
      </c>
      <c r="Q2595" s="1" t="s">
        <v>7037</v>
      </c>
      <c r="R2595" s="1" t="s">
        <v>497</v>
      </c>
      <c r="S2595" s="1" t="s">
        <v>1339</v>
      </c>
      <c r="T2595" s="1" t="s">
        <v>1340</v>
      </c>
      <c r="U2595" s="2" t="s">
        <v>287</v>
      </c>
      <c r="V2595" s="2" t="s">
        <v>47</v>
      </c>
      <c r="W2595" s="2" t="s">
        <v>71</v>
      </c>
      <c r="X2595" s="2">
        <v>240.83500000000001</v>
      </c>
    </row>
    <row r="2596" spans="1:24" x14ac:dyDescent="0.3">
      <c r="A2596">
        <v>20468</v>
      </c>
      <c r="B2596" t="s">
        <v>7033</v>
      </c>
      <c r="C2596" s="3">
        <v>41871</v>
      </c>
      <c r="D2596" t="s">
        <v>39</v>
      </c>
      <c r="E2596">
        <v>9</v>
      </c>
      <c r="F2596" s="3">
        <f ca="1">41873+(RANDBETWEEN(1,10))</f>
        <v>41879</v>
      </c>
      <c r="G2596" t="s">
        <v>26</v>
      </c>
      <c r="H2596" t="s">
        <v>96</v>
      </c>
      <c r="I2596" t="s">
        <v>86</v>
      </c>
      <c r="J2596">
        <v>195.37</v>
      </c>
      <c r="K2596">
        <v>0</v>
      </c>
      <c r="L2596">
        <v>0.55000000000000004</v>
      </c>
      <c r="M2596">
        <v>4.2</v>
      </c>
      <c r="N2596">
        <v>103.48016</v>
      </c>
      <c r="O2596" s="1" t="s">
        <v>29</v>
      </c>
      <c r="P2596" s="1" t="s">
        <v>7038</v>
      </c>
      <c r="Q2596" s="1" t="s">
        <v>7039</v>
      </c>
      <c r="R2596" s="1" t="s">
        <v>32</v>
      </c>
      <c r="S2596" s="1" t="s">
        <v>7040</v>
      </c>
      <c r="T2596" s="1" t="s">
        <v>7041</v>
      </c>
      <c r="U2596" s="2" t="s">
        <v>4460</v>
      </c>
      <c r="V2596" s="2" t="s">
        <v>47</v>
      </c>
      <c r="W2596" s="2" t="s">
        <v>104</v>
      </c>
      <c r="X2596" s="2">
        <v>20.440000000000001</v>
      </c>
    </row>
    <row r="2597" spans="1:24" x14ac:dyDescent="0.3">
      <c r="A2597">
        <v>20469</v>
      </c>
      <c r="B2597" t="s">
        <v>7042</v>
      </c>
      <c r="C2597" s="3">
        <v>41126</v>
      </c>
      <c r="D2597" t="s">
        <v>62</v>
      </c>
      <c r="E2597">
        <v>18</v>
      </c>
      <c r="F2597" s="3">
        <f ca="1">41129+(RANDBETWEEN(1,10))</f>
        <v>41134</v>
      </c>
      <c r="G2597" t="s">
        <v>156</v>
      </c>
      <c r="H2597" t="s">
        <v>96</v>
      </c>
      <c r="I2597" t="s">
        <v>28</v>
      </c>
      <c r="J2597">
        <v>2468.83</v>
      </c>
      <c r="K2597">
        <v>0.01</v>
      </c>
      <c r="L2597">
        <v>0.38</v>
      </c>
      <c r="M2597">
        <v>17.78</v>
      </c>
      <c r="N2597">
        <v>1703.4927</v>
      </c>
      <c r="O2597" s="1" t="s">
        <v>225</v>
      </c>
      <c r="P2597" s="1" t="s">
        <v>5496</v>
      </c>
      <c r="Q2597" s="1" t="s">
        <v>5497</v>
      </c>
      <c r="R2597" s="1" t="s">
        <v>228</v>
      </c>
      <c r="S2597" s="1" t="s">
        <v>5498</v>
      </c>
      <c r="T2597" s="1" t="s">
        <v>5499</v>
      </c>
      <c r="U2597" s="2" t="s">
        <v>2638</v>
      </c>
      <c r="V2597" s="2" t="s">
        <v>47</v>
      </c>
      <c r="W2597" s="2" t="s">
        <v>74</v>
      </c>
      <c r="X2597" s="2">
        <v>132.79</v>
      </c>
    </row>
    <row r="2598" spans="1:24" x14ac:dyDescent="0.3">
      <c r="A2598">
        <v>20470</v>
      </c>
      <c r="B2598" t="s">
        <v>7042</v>
      </c>
      <c r="C2598" s="3">
        <v>41126</v>
      </c>
      <c r="D2598" t="s">
        <v>62</v>
      </c>
      <c r="E2598">
        <v>8</v>
      </c>
      <c r="F2598" s="3">
        <f ca="1">41127+(RANDBETWEEN(1,10))</f>
        <v>41131</v>
      </c>
      <c r="G2598" t="s">
        <v>26</v>
      </c>
      <c r="H2598" t="s">
        <v>27</v>
      </c>
      <c r="I2598" t="s">
        <v>28</v>
      </c>
      <c r="J2598">
        <v>3153.5349999999999</v>
      </c>
      <c r="K2598">
        <v>0.01</v>
      </c>
      <c r="L2598">
        <v>0.78</v>
      </c>
      <c r="M2598">
        <v>30.24</v>
      </c>
      <c r="N2598">
        <v>380.471</v>
      </c>
      <c r="O2598" s="1" t="s">
        <v>225</v>
      </c>
      <c r="P2598" s="1" t="s">
        <v>5496</v>
      </c>
      <c r="Q2598" s="1" t="s">
        <v>5497</v>
      </c>
      <c r="R2598" s="1" t="s">
        <v>228</v>
      </c>
      <c r="S2598" s="1" t="s">
        <v>5498</v>
      </c>
      <c r="T2598" s="1" t="s">
        <v>5499</v>
      </c>
      <c r="U2598" s="2" t="s">
        <v>5174</v>
      </c>
      <c r="V2598" s="2" t="s">
        <v>47</v>
      </c>
      <c r="W2598" s="2" t="s">
        <v>119</v>
      </c>
      <c r="X2598" s="2">
        <v>388.60500000000002</v>
      </c>
    </row>
    <row r="2599" spans="1:24" x14ac:dyDescent="0.3">
      <c r="A2599">
        <v>20471</v>
      </c>
      <c r="B2599" t="s">
        <v>7043</v>
      </c>
      <c r="C2599" s="3">
        <v>41497</v>
      </c>
      <c r="D2599" t="s">
        <v>25</v>
      </c>
      <c r="E2599">
        <v>16</v>
      </c>
      <c r="F2599" s="3">
        <f ca="1">41501+(RANDBETWEEN(1,10))</f>
        <v>41508</v>
      </c>
      <c r="G2599" t="s">
        <v>26</v>
      </c>
      <c r="H2599" t="s">
        <v>27</v>
      </c>
      <c r="I2599" t="s">
        <v>97</v>
      </c>
      <c r="J2599">
        <v>1788.15</v>
      </c>
      <c r="K2599">
        <v>7.0000000000000007E-2</v>
      </c>
      <c r="L2599">
        <v>0.49</v>
      </c>
      <c r="M2599">
        <v>24.815000000000001</v>
      </c>
      <c r="N2599">
        <v>1233.8235</v>
      </c>
      <c r="O2599" s="1" t="s">
        <v>87</v>
      </c>
      <c r="P2599" s="1" t="s">
        <v>2162</v>
      </c>
      <c r="Q2599" s="1" t="s">
        <v>2163</v>
      </c>
      <c r="R2599" s="1" t="s">
        <v>398</v>
      </c>
      <c r="S2599" s="1" t="s">
        <v>2164</v>
      </c>
      <c r="T2599" s="1" t="s">
        <v>2165</v>
      </c>
      <c r="U2599" s="2" t="s">
        <v>7044</v>
      </c>
      <c r="V2599" s="2" t="s">
        <v>83</v>
      </c>
      <c r="W2599" s="2" t="s">
        <v>178</v>
      </c>
      <c r="X2599" s="2">
        <v>113.68</v>
      </c>
    </row>
    <row r="2600" spans="1:24" x14ac:dyDescent="0.3">
      <c r="A2600">
        <v>20472</v>
      </c>
      <c r="B2600" t="s">
        <v>7045</v>
      </c>
      <c r="C2600" s="3">
        <v>41891</v>
      </c>
      <c r="D2600" t="s">
        <v>148</v>
      </c>
      <c r="E2600">
        <v>15</v>
      </c>
      <c r="F2600" s="3">
        <f ca="1">41894+(RANDBETWEEN(1,10))</f>
        <v>41897</v>
      </c>
      <c r="G2600" t="s">
        <v>26</v>
      </c>
      <c r="H2600" t="s">
        <v>27</v>
      </c>
      <c r="I2600" t="s">
        <v>97</v>
      </c>
      <c r="J2600">
        <v>2253.16</v>
      </c>
      <c r="K2600">
        <v>0.01</v>
      </c>
      <c r="L2600">
        <v>0.36</v>
      </c>
      <c r="M2600">
        <v>69.965000000000003</v>
      </c>
      <c r="N2600">
        <v>554.904</v>
      </c>
      <c r="O2600" s="1" t="s">
        <v>40</v>
      </c>
      <c r="P2600" s="1" t="s">
        <v>7046</v>
      </c>
      <c r="Q2600" s="1" t="s">
        <v>7047</v>
      </c>
      <c r="R2600" s="1" t="s">
        <v>220</v>
      </c>
      <c r="S2600" s="1" t="s">
        <v>7048</v>
      </c>
      <c r="T2600" s="1" t="s">
        <v>7049</v>
      </c>
      <c r="U2600" s="2" t="s">
        <v>1784</v>
      </c>
      <c r="V2600" s="2" t="s">
        <v>47</v>
      </c>
      <c r="W2600" s="2" t="s">
        <v>74</v>
      </c>
      <c r="X2600" s="2">
        <v>143.465</v>
      </c>
    </row>
    <row r="2601" spans="1:24" x14ac:dyDescent="0.3">
      <c r="A2601">
        <v>20473</v>
      </c>
      <c r="B2601" t="s">
        <v>7045</v>
      </c>
      <c r="C2601" s="3">
        <v>41891</v>
      </c>
      <c r="D2601" t="s">
        <v>148</v>
      </c>
      <c r="E2601">
        <v>11</v>
      </c>
      <c r="F2601" s="3">
        <f ca="1">41894+(RANDBETWEEN(1,10))</f>
        <v>41901</v>
      </c>
      <c r="G2601" t="s">
        <v>26</v>
      </c>
      <c r="H2601" t="s">
        <v>63</v>
      </c>
      <c r="I2601" t="s">
        <v>97</v>
      </c>
      <c r="J2601">
        <v>5105.03</v>
      </c>
      <c r="K2601">
        <v>0.05</v>
      </c>
      <c r="L2601">
        <v>0.59</v>
      </c>
      <c r="M2601">
        <v>85.715000000000003</v>
      </c>
      <c r="N2601">
        <v>3201.8868000000002</v>
      </c>
      <c r="O2601" s="1" t="s">
        <v>53</v>
      </c>
      <c r="P2601" s="1" t="s">
        <v>7050</v>
      </c>
      <c r="Q2601" s="1" t="s">
        <v>7051</v>
      </c>
      <c r="R2601" s="1" t="s">
        <v>56</v>
      </c>
      <c r="S2601" s="1" t="s">
        <v>7052</v>
      </c>
      <c r="T2601" s="1" t="s">
        <v>7053</v>
      </c>
      <c r="U2601" s="2" t="s">
        <v>1632</v>
      </c>
      <c r="V2601" s="2" t="s">
        <v>83</v>
      </c>
      <c r="W2601" s="2" t="s">
        <v>178</v>
      </c>
      <c r="X2601" s="2">
        <v>479.43</v>
      </c>
    </row>
    <row r="2602" spans="1:24" x14ac:dyDescent="0.3">
      <c r="A2602">
        <v>20474</v>
      </c>
      <c r="B2602" t="s">
        <v>7054</v>
      </c>
      <c r="C2602" s="3">
        <v>41376</v>
      </c>
      <c r="D2602" t="s">
        <v>148</v>
      </c>
      <c r="E2602">
        <v>1</v>
      </c>
      <c r="F2602" s="3">
        <f ca="1">41377+(RANDBETWEEN(1,10))</f>
        <v>41379</v>
      </c>
      <c r="G2602" t="s">
        <v>76</v>
      </c>
      <c r="H2602" t="s">
        <v>77</v>
      </c>
      <c r="I2602" t="s">
        <v>97</v>
      </c>
      <c r="J2602">
        <v>414.64499999999998</v>
      </c>
      <c r="K2602">
        <v>0.01</v>
      </c>
      <c r="L2602">
        <v>0.71</v>
      </c>
      <c r="M2602">
        <v>105</v>
      </c>
      <c r="N2602">
        <v>-641.41</v>
      </c>
      <c r="O2602" s="1" t="s">
        <v>53</v>
      </c>
      <c r="P2602" s="1" t="s">
        <v>7055</v>
      </c>
      <c r="Q2602" s="1" t="s">
        <v>7056</v>
      </c>
      <c r="R2602" s="1" t="s">
        <v>440</v>
      </c>
      <c r="S2602" s="1" t="s">
        <v>3015</v>
      </c>
      <c r="T2602" s="1" t="s">
        <v>3016</v>
      </c>
      <c r="U2602" s="2" t="s">
        <v>7057</v>
      </c>
      <c r="V2602" s="2" t="s">
        <v>83</v>
      </c>
      <c r="W2602" s="2" t="s">
        <v>84</v>
      </c>
      <c r="X2602" s="2">
        <v>388.43</v>
      </c>
    </row>
    <row r="2603" spans="1:24" x14ac:dyDescent="0.3">
      <c r="A2603">
        <v>20475</v>
      </c>
      <c r="B2603" t="s">
        <v>7054</v>
      </c>
      <c r="C2603" s="3">
        <v>41376</v>
      </c>
      <c r="D2603" t="s">
        <v>148</v>
      </c>
      <c r="E2603">
        <v>14</v>
      </c>
      <c r="F2603" s="3">
        <f ca="1">41378+(RANDBETWEEN(1,10))</f>
        <v>41385</v>
      </c>
      <c r="G2603" t="s">
        <v>26</v>
      </c>
      <c r="H2603" t="s">
        <v>51</v>
      </c>
      <c r="I2603" t="s">
        <v>97</v>
      </c>
      <c r="J2603">
        <v>832.05499999999995</v>
      </c>
      <c r="K2603">
        <v>7.0000000000000007E-2</v>
      </c>
      <c r="L2603">
        <v>0.81</v>
      </c>
      <c r="M2603">
        <v>11.55</v>
      </c>
      <c r="N2603">
        <v>-466.58150000000001</v>
      </c>
      <c r="O2603" s="1" t="s">
        <v>53</v>
      </c>
      <c r="P2603" s="1" t="s">
        <v>7055</v>
      </c>
      <c r="Q2603" s="1" t="s">
        <v>7056</v>
      </c>
      <c r="R2603" s="1" t="s">
        <v>440</v>
      </c>
      <c r="S2603" s="1" t="s">
        <v>3015</v>
      </c>
      <c r="T2603" s="1" t="s">
        <v>3016</v>
      </c>
      <c r="U2603" s="2" t="s">
        <v>2224</v>
      </c>
      <c r="V2603" s="2" t="s">
        <v>36</v>
      </c>
      <c r="W2603" s="2" t="s">
        <v>37</v>
      </c>
      <c r="X2603" s="2">
        <v>73.465000000000003</v>
      </c>
    </row>
    <row r="2604" spans="1:24" x14ac:dyDescent="0.3">
      <c r="A2604">
        <v>20476</v>
      </c>
      <c r="B2604" t="s">
        <v>7058</v>
      </c>
      <c r="C2604" s="3">
        <v>41734</v>
      </c>
      <c r="D2604" t="s">
        <v>50</v>
      </c>
      <c r="E2604">
        <v>11</v>
      </c>
      <c r="F2604" s="3">
        <f ca="1">41736+(RANDBETWEEN(1,10))</f>
        <v>41746</v>
      </c>
      <c r="G2604" t="s">
        <v>26</v>
      </c>
      <c r="H2604" t="s">
        <v>27</v>
      </c>
      <c r="I2604" t="s">
        <v>86</v>
      </c>
      <c r="J2604">
        <v>78.19</v>
      </c>
      <c r="K2604">
        <v>0.05</v>
      </c>
      <c r="L2604">
        <v>0.36</v>
      </c>
      <c r="M2604">
        <v>5.2149999999999999</v>
      </c>
      <c r="N2604">
        <v>-52.808</v>
      </c>
      <c r="O2604" s="1" t="s">
        <v>64</v>
      </c>
      <c r="P2604" s="1" t="s">
        <v>5612</v>
      </c>
      <c r="Q2604" s="1" t="s">
        <v>5613</v>
      </c>
      <c r="R2604" s="1" t="s">
        <v>67</v>
      </c>
      <c r="S2604" s="1" t="s">
        <v>5614</v>
      </c>
      <c r="T2604" s="1" t="s">
        <v>5615</v>
      </c>
      <c r="U2604" s="2" t="s">
        <v>4015</v>
      </c>
      <c r="V2604" s="2" t="s">
        <v>47</v>
      </c>
      <c r="W2604" s="2" t="s">
        <v>111</v>
      </c>
      <c r="X2604" s="2">
        <v>7.28</v>
      </c>
    </row>
    <row r="2605" spans="1:24" x14ac:dyDescent="0.3">
      <c r="A2605">
        <v>20477</v>
      </c>
      <c r="B2605" t="s">
        <v>7059</v>
      </c>
      <c r="C2605" s="3">
        <v>41174</v>
      </c>
      <c r="D2605" t="s">
        <v>25</v>
      </c>
      <c r="E2605">
        <v>21</v>
      </c>
      <c r="F2605" s="3">
        <f ca="1">41176+(RANDBETWEEN(1,10))</f>
        <v>41183</v>
      </c>
      <c r="G2605" t="s">
        <v>26</v>
      </c>
      <c r="H2605" t="s">
        <v>27</v>
      </c>
      <c r="I2605" t="s">
        <v>86</v>
      </c>
      <c r="J2605">
        <v>4251.2049999999999</v>
      </c>
      <c r="K2605">
        <v>0.03</v>
      </c>
      <c r="L2605">
        <v>0.56000000000000005</v>
      </c>
      <c r="M2605">
        <v>31.465</v>
      </c>
      <c r="N2605">
        <v>537.93600000000004</v>
      </c>
      <c r="O2605" s="1" t="s">
        <v>87</v>
      </c>
      <c r="P2605" s="1" t="s">
        <v>7060</v>
      </c>
      <c r="Q2605" s="1" t="s">
        <v>7061</v>
      </c>
      <c r="R2605" s="1" t="s">
        <v>646</v>
      </c>
      <c r="S2605" s="1" t="s">
        <v>7062</v>
      </c>
      <c r="T2605" s="1" t="s">
        <v>7063</v>
      </c>
      <c r="U2605" s="2">
        <v>5180</v>
      </c>
      <c r="V2605" s="2" t="s">
        <v>36</v>
      </c>
      <c r="W2605" s="2" t="s">
        <v>37</v>
      </c>
      <c r="X2605" s="2">
        <v>230.965</v>
      </c>
    </row>
    <row r="2606" spans="1:24" x14ac:dyDescent="0.3">
      <c r="A2606">
        <v>20478</v>
      </c>
      <c r="B2606" t="s">
        <v>7064</v>
      </c>
      <c r="C2606" s="3">
        <v>40993</v>
      </c>
      <c r="D2606" t="s">
        <v>62</v>
      </c>
      <c r="E2606">
        <v>6</v>
      </c>
      <c r="F2606" s="3">
        <f ca="1">40995+(RANDBETWEEN(1,10))</f>
        <v>41003</v>
      </c>
      <c r="G2606" t="s">
        <v>76</v>
      </c>
      <c r="H2606" t="s">
        <v>258</v>
      </c>
      <c r="I2606" t="s">
        <v>86</v>
      </c>
      <c r="J2606">
        <v>4966.3950000000004</v>
      </c>
      <c r="K2606">
        <v>0.02</v>
      </c>
      <c r="L2606">
        <v>0.76</v>
      </c>
      <c r="M2606">
        <v>189.42</v>
      </c>
      <c r="N2606">
        <v>-2505.2237209999998</v>
      </c>
      <c r="O2606" s="1" t="s">
        <v>40</v>
      </c>
      <c r="P2606" s="1" t="s">
        <v>7065</v>
      </c>
      <c r="Q2606" s="1" t="s">
        <v>7066</v>
      </c>
      <c r="R2606" s="1" t="s">
        <v>43</v>
      </c>
      <c r="S2606" s="1" t="s">
        <v>5329</v>
      </c>
      <c r="T2606" s="1" t="s">
        <v>5330</v>
      </c>
      <c r="U2606" s="2" t="s">
        <v>1007</v>
      </c>
      <c r="V2606" s="2" t="s">
        <v>83</v>
      </c>
      <c r="W2606" s="2" t="s">
        <v>263</v>
      </c>
      <c r="X2606" s="2">
        <v>1036.6300000000001</v>
      </c>
    </row>
    <row r="2607" spans="1:24" x14ac:dyDescent="0.3">
      <c r="A2607">
        <v>20479</v>
      </c>
      <c r="B2607" t="s">
        <v>7067</v>
      </c>
      <c r="C2607" s="3">
        <v>41329</v>
      </c>
      <c r="D2607" t="s">
        <v>148</v>
      </c>
      <c r="E2607">
        <v>11</v>
      </c>
      <c r="F2607" s="3">
        <f ca="1">41330+(RANDBETWEEN(1,10))</f>
        <v>41331</v>
      </c>
      <c r="G2607" t="s">
        <v>76</v>
      </c>
      <c r="H2607" t="s">
        <v>77</v>
      </c>
      <c r="I2607" t="s">
        <v>97</v>
      </c>
      <c r="J2607">
        <v>4561.5150000000003</v>
      </c>
      <c r="K2607">
        <v>0.09</v>
      </c>
      <c r="L2607">
        <v>0.38</v>
      </c>
      <c r="M2607">
        <v>92.05</v>
      </c>
      <c r="N2607">
        <v>3147.44535</v>
      </c>
      <c r="O2607" s="1" t="s">
        <v>64</v>
      </c>
      <c r="P2607" s="1" t="s">
        <v>5331</v>
      </c>
      <c r="Q2607" s="1" t="s">
        <v>5332</v>
      </c>
      <c r="R2607" s="1" t="s">
        <v>128</v>
      </c>
      <c r="S2607" s="1" t="s">
        <v>4805</v>
      </c>
      <c r="T2607" s="1" t="s">
        <v>4806</v>
      </c>
      <c r="U2607" s="2" t="s">
        <v>7068</v>
      </c>
      <c r="V2607" s="2" t="s">
        <v>36</v>
      </c>
      <c r="W2607" s="2" t="s">
        <v>142</v>
      </c>
      <c r="X2607" s="2">
        <v>423.39499999999998</v>
      </c>
    </row>
    <row r="2608" spans="1:24" x14ac:dyDescent="0.3">
      <c r="A2608">
        <v>20480</v>
      </c>
      <c r="B2608" t="s">
        <v>7067</v>
      </c>
      <c r="C2608" s="3">
        <v>41329</v>
      </c>
      <c r="D2608" t="s">
        <v>148</v>
      </c>
      <c r="E2608">
        <v>10</v>
      </c>
      <c r="F2608" s="3">
        <f ca="1">41330+(RANDBETWEEN(1,10))</f>
        <v>41335</v>
      </c>
      <c r="G2608" t="s">
        <v>26</v>
      </c>
      <c r="H2608" t="s">
        <v>27</v>
      </c>
      <c r="I2608" t="s">
        <v>97</v>
      </c>
      <c r="J2608">
        <v>197.89</v>
      </c>
      <c r="K2608">
        <v>7.0000000000000007E-2</v>
      </c>
      <c r="L2608">
        <v>0.36</v>
      </c>
      <c r="M2608">
        <v>26.74</v>
      </c>
      <c r="N2608">
        <v>-524.44000000000005</v>
      </c>
      <c r="O2608" s="1" t="s">
        <v>64</v>
      </c>
      <c r="P2608" s="1" t="s">
        <v>5331</v>
      </c>
      <c r="Q2608" s="1" t="s">
        <v>5332</v>
      </c>
      <c r="R2608" s="1" t="s">
        <v>128</v>
      </c>
      <c r="S2608" s="1" t="s">
        <v>4805</v>
      </c>
      <c r="T2608" s="1" t="s">
        <v>4806</v>
      </c>
      <c r="U2608" s="2" t="s">
        <v>3201</v>
      </c>
      <c r="V2608" s="2" t="s">
        <v>47</v>
      </c>
      <c r="W2608" s="2" t="s">
        <v>74</v>
      </c>
      <c r="X2608" s="2">
        <v>20.23</v>
      </c>
    </row>
    <row r="2609" spans="1:24" x14ac:dyDescent="0.3">
      <c r="A2609">
        <v>20481</v>
      </c>
      <c r="B2609" t="s">
        <v>7069</v>
      </c>
      <c r="C2609" s="3">
        <v>40768</v>
      </c>
      <c r="D2609" t="s">
        <v>148</v>
      </c>
      <c r="E2609">
        <v>5</v>
      </c>
      <c r="F2609" s="3">
        <f ca="1">40770+(RANDBETWEEN(1,10))</f>
        <v>40773</v>
      </c>
      <c r="G2609" t="s">
        <v>26</v>
      </c>
      <c r="H2609" t="s">
        <v>27</v>
      </c>
      <c r="I2609" t="s">
        <v>28</v>
      </c>
      <c r="J2609">
        <v>114.66</v>
      </c>
      <c r="K2609">
        <v>7.0000000000000007E-2</v>
      </c>
      <c r="L2609">
        <v>0.36</v>
      </c>
      <c r="M2609">
        <v>19.11</v>
      </c>
      <c r="N2609">
        <v>163.27500000000001</v>
      </c>
      <c r="O2609" s="1" t="s">
        <v>40</v>
      </c>
      <c r="P2609" s="1" t="s">
        <v>2215</v>
      </c>
      <c r="Q2609" s="1" t="s">
        <v>2216</v>
      </c>
      <c r="R2609" s="1" t="s">
        <v>43</v>
      </c>
      <c r="S2609" s="1" t="s">
        <v>2217</v>
      </c>
      <c r="T2609" s="1" t="s">
        <v>2218</v>
      </c>
      <c r="U2609" s="2" t="s">
        <v>7070</v>
      </c>
      <c r="V2609" s="2" t="s">
        <v>47</v>
      </c>
      <c r="W2609" s="2" t="s">
        <v>74</v>
      </c>
      <c r="X2609" s="2">
        <v>20.93</v>
      </c>
    </row>
    <row r="2610" spans="1:24" x14ac:dyDescent="0.3">
      <c r="A2610">
        <v>20482</v>
      </c>
      <c r="B2610" t="s">
        <v>7071</v>
      </c>
      <c r="C2610" s="3">
        <v>40943</v>
      </c>
      <c r="D2610" t="s">
        <v>62</v>
      </c>
      <c r="E2610">
        <v>1</v>
      </c>
      <c r="F2610" s="3">
        <f ca="1">40945+(RANDBETWEEN(1,10))</f>
        <v>40947</v>
      </c>
      <c r="G2610" t="s">
        <v>26</v>
      </c>
      <c r="H2610" t="s">
        <v>27</v>
      </c>
      <c r="I2610" t="s">
        <v>28</v>
      </c>
      <c r="J2610">
        <v>23.31</v>
      </c>
      <c r="K2610">
        <v>0.02</v>
      </c>
      <c r="L2610">
        <v>0.36</v>
      </c>
      <c r="M2610">
        <v>16.625</v>
      </c>
      <c r="N2610">
        <v>343.18200000000002</v>
      </c>
      <c r="O2610" s="1" t="s">
        <v>53</v>
      </c>
      <c r="P2610" s="1" t="s">
        <v>1361</v>
      </c>
      <c r="Q2610" s="1" t="s">
        <v>1362</v>
      </c>
      <c r="R2610" s="1" t="s">
        <v>440</v>
      </c>
      <c r="S2610" s="1" t="s">
        <v>1363</v>
      </c>
      <c r="T2610" s="1" t="s">
        <v>1364</v>
      </c>
      <c r="U2610" s="2" t="s">
        <v>1528</v>
      </c>
      <c r="V2610" s="2" t="s">
        <v>47</v>
      </c>
      <c r="W2610" s="2" t="s">
        <v>74</v>
      </c>
      <c r="X2610" s="2">
        <v>17.43</v>
      </c>
    </row>
    <row r="2611" spans="1:24" x14ac:dyDescent="0.3">
      <c r="A2611">
        <v>20483</v>
      </c>
      <c r="B2611" t="s">
        <v>7072</v>
      </c>
      <c r="C2611" s="3">
        <v>40716</v>
      </c>
      <c r="D2611" t="s">
        <v>39</v>
      </c>
      <c r="E2611">
        <v>3</v>
      </c>
      <c r="F2611" s="3">
        <f ca="1">40717+(RANDBETWEEN(1,10))</f>
        <v>40720</v>
      </c>
      <c r="G2611" t="s">
        <v>76</v>
      </c>
      <c r="H2611" t="s">
        <v>77</v>
      </c>
      <c r="I2611" t="s">
        <v>28</v>
      </c>
      <c r="J2611">
        <v>1817.97</v>
      </c>
      <c r="K2611">
        <v>0.1</v>
      </c>
      <c r="L2611">
        <v>0.59</v>
      </c>
      <c r="M2611">
        <v>91.7</v>
      </c>
      <c r="N2611">
        <v>-226.32400000000001</v>
      </c>
      <c r="O2611" s="1" t="s">
        <v>40</v>
      </c>
      <c r="P2611" s="1" t="s">
        <v>4254</v>
      </c>
      <c r="Q2611" s="1" t="s">
        <v>4255</v>
      </c>
      <c r="R2611" s="1" t="s">
        <v>220</v>
      </c>
      <c r="S2611" s="1" t="s">
        <v>4256</v>
      </c>
      <c r="T2611" s="1" t="s">
        <v>4257</v>
      </c>
      <c r="U2611" s="2" t="s">
        <v>4925</v>
      </c>
      <c r="V2611" s="2" t="s">
        <v>83</v>
      </c>
      <c r="W2611" s="2" t="s">
        <v>84</v>
      </c>
      <c r="X2611" s="2">
        <v>633.42999999999995</v>
      </c>
    </row>
    <row r="2612" spans="1:24" x14ac:dyDescent="0.3">
      <c r="A2612">
        <v>20484</v>
      </c>
      <c r="B2612" t="s">
        <v>7073</v>
      </c>
      <c r="C2612" s="3">
        <v>41542</v>
      </c>
      <c r="D2612" t="s">
        <v>39</v>
      </c>
      <c r="E2612">
        <v>11</v>
      </c>
      <c r="F2612" s="3">
        <f ca="1">41544+(RANDBETWEEN(1,10))</f>
        <v>41545</v>
      </c>
      <c r="G2612" t="s">
        <v>76</v>
      </c>
      <c r="H2612" t="s">
        <v>258</v>
      </c>
      <c r="I2612" t="s">
        <v>28</v>
      </c>
      <c r="J2612">
        <v>13604.745000000001</v>
      </c>
      <c r="K2612">
        <v>0.01</v>
      </c>
      <c r="L2612">
        <v>0.62</v>
      </c>
      <c r="M2612">
        <v>140.66499999999999</v>
      </c>
      <c r="N2612">
        <v>5394.375</v>
      </c>
      <c r="O2612" s="1" t="s">
        <v>225</v>
      </c>
      <c r="P2612" s="1" t="s">
        <v>5525</v>
      </c>
      <c r="Q2612" s="1" t="s">
        <v>5526</v>
      </c>
      <c r="R2612" s="1" t="s">
        <v>228</v>
      </c>
      <c r="S2612" s="1" t="s">
        <v>5527</v>
      </c>
      <c r="T2612" s="1" t="s">
        <v>2680</v>
      </c>
      <c r="U2612" s="2" t="s">
        <v>3482</v>
      </c>
      <c r="V2612" s="2" t="s">
        <v>83</v>
      </c>
      <c r="W2612" s="2" t="s">
        <v>263</v>
      </c>
      <c r="X2612" s="2">
        <v>1218.7349999999999</v>
      </c>
    </row>
    <row r="2613" spans="1:24" x14ac:dyDescent="0.3">
      <c r="A2613">
        <v>20485</v>
      </c>
      <c r="B2613" t="s">
        <v>7073</v>
      </c>
      <c r="C2613" s="3">
        <v>41542</v>
      </c>
      <c r="D2613" t="s">
        <v>39</v>
      </c>
      <c r="E2613">
        <v>16</v>
      </c>
      <c r="F2613" s="3">
        <f ca="1">41543+(RANDBETWEEN(1,10))</f>
        <v>41553</v>
      </c>
      <c r="G2613" t="s">
        <v>26</v>
      </c>
      <c r="H2613" t="s">
        <v>27</v>
      </c>
      <c r="I2613" t="s">
        <v>28</v>
      </c>
      <c r="J2613">
        <v>9083.76</v>
      </c>
      <c r="K2613">
        <v>0.09</v>
      </c>
      <c r="L2613">
        <v>0.56999999999999995</v>
      </c>
      <c r="M2613">
        <v>14.7</v>
      </c>
      <c r="N2613">
        <v>4701.2174999999997</v>
      </c>
      <c r="O2613" s="1" t="s">
        <v>225</v>
      </c>
      <c r="P2613" s="1" t="s">
        <v>5525</v>
      </c>
      <c r="Q2613" s="1" t="s">
        <v>5526</v>
      </c>
      <c r="R2613" s="1" t="s">
        <v>228</v>
      </c>
      <c r="S2613" s="1" t="s">
        <v>5527</v>
      </c>
      <c r="T2613" s="1" t="s">
        <v>2680</v>
      </c>
      <c r="U2613" s="2" t="s">
        <v>2475</v>
      </c>
      <c r="V2613" s="2" t="s">
        <v>36</v>
      </c>
      <c r="W2613" s="2" t="s">
        <v>37</v>
      </c>
      <c r="X2613" s="2">
        <v>685.96500000000003</v>
      </c>
    </row>
    <row r="2614" spans="1:24" x14ac:dyDescent="0.3">
      <c r="A2614">
        <v>20486</v>
      </c>
      <c r="B2614" t="s">
        <v>7074</v>
      </c>
      <c r="C2614" s="3">
        <v>41714</v>
      </c>
      <c r="D2614" t="s">
        <v>50</v>
      </c>
      <c r="E2614">
        <v>3</v>
      </c>
      <c r="F2614" s="3">
        <f ca="1">41715+(RANDBETWEEN(1,10))</f>
        <v>41716</v>
      </c>
      <c r="G2614" t="s">
        <v>26</v>
      </c>
      <c r="H2614" t="s">
        <v>96</v>
      </c>
      <c r="I2614" t="s">
        <v>86</v>
      </c>
      <c r="J2614">
        <v>67.305000000000007</v>
      </c>
      <c r="K2614">
        <v>0.06</v>
      </c>
      <c r="L2614">
        <v>0.36</v>
      </c>
      <c r="M2614">
        <v>4.6900000000000004</v>
      </c>
      <c r="N2614">
        <v>46.440449999999998</v>
      </c>
      <c r="O2614" s="1" t="s">
        <v>29</v>
      </c>
      <c r="P2614" s="1" t="s">
        <v>673</v>
      </c>
      <c r="Q2614" s="1" t="s">
        <v>674</v>
      </c>
      <c r="R2614" s="1" t="s">
        <v>675</v>
      </c>
      <c r="S2614" s="1" t="s">
        <v>676</v>
      </c>
      <c r="T2614" s="1" t="s">
        <v>677</v>
      </c>
      <c r="U2614" s="2" t="s">
        <v>7075</v>
      </c>
      <c r="V2614" s="2" t="s">
        <v>47</v>
      </c>
      <c r="W2614" s="2" t="s">
        <v>74</v>
      </c>
      <c r="X2614" s="2">
        <v>22.574999999999999</v>
      </c>
    </row>
    <row r="2615" spans="1:24" x14ac:dyDescent="0.3">
      <c r="A2615">
        <v>20487</v>
      </c>
      <c r="B2615" t="s">
        <v>7076</v>
      </c>
      <c r="C2615" s="3">
        <v>41879</v>
      </c>
      <c r="D2615" t="s">
        <v>50</v>
      </c>
      <c r="E2615">
        <v>14</v>
      </c>
      <c r="F2615" s="3">
        <f ca="1">41881+(RANDBETWEEN(1,10))</f>
        <v>41889</v>
      </c>
      <c r="G2615" t="s">
        <v>76</v>
      </c>
      <c r="H2615" t="s">
        <v>77</v>
      </c>
      <c r="I2615" t="s">
        <v>52</v>
      </c>
      <c r="J2615">
        <v>6018.0749999999998</v>
      </c>
      <c r="K2615">
        <v>0.08</v>
      </c>
      <c r="L2615">
        <v>0.78</v>
      </c>
      <c r="M2615">
        <v>105</v>
      </c>
      <c r="N2615">
        <v>-763.25088000000005</v>
      </c>
      <c r="O2615" s="1" t="s">
        <v>53</v>
      </c>
      <c r="P2615" s="1" t="s">
        <v>7077</v>
      </c>
      <c r="Q2615" s="1" t="s">
        <v>7078</v>
      </c>
      <c r="R2615" s="1" t="s">
        <v>100</v>
      </c>
      <c r="S2615" s="1" t="s">
        <v>4035</v>
      </c>
      <c r="T2615" s="1" t="s">
        <v>4036</v>
      </c>
      <c r="U2615" s="2" t="s">
        <v>2894</v>
      </c>
      <c r="V2615" s="2" t="s">
        <v>83</v>
      </c>
      <c r="W2615" s="2" t="s">
        <v>84</v>
      </c>
      <c r="X2615" s="2">
        <v>458.43</v>
      </c>
    </row>
    <row r="2616" spans="1:24" x14ac:dyDescent="0.3">
      <c r="A2616">
        <v>20488</v>
      </c>
      <c r="B2616" t="s">
        <v>7079</v>
      </c>
      <c r="C2616" s="3">
        <v>40718</v>
      </c>
      <c r="D2616" t="s">
        <v>25</v>
      </c>
      <c r="E2616">
        <v>14</v>
      </c>
      <c r="F2616" s="3">
        <f ca="1">40720+(RANDBETWEEN(1,10))</f>
        <v>40729</v>
      </c>
      <c r="G2616" t="s">
        <v>26</v>
      </c>
      <c r="H2616" t="s">
        <v>27</v>
      </c>
      <c r="I2616" t="s">
        <v>52</v>
      </c>
      <c r="J2616">
        <v>460.67</v>
      </c>
      <c r="K2616">
        <v>0</v>
      </c>
      <c r="L2616">
        <v>0.38</v>
      </c>
      <c r="M2616">
        <v>29.015000000000001</v>
      </c>
      <c r="N2616">
        <v>-277.89999999999998</v>
      </c>
      <c r="O2616" s="1" t="s">
        <v>87</v>
      </c>
      <c r="P2616" s="1" t="s">
        <v>7080</v>
      </c>
      <c r="Q2616" s="1" t="s">
        <v>7081</v>
      </c>
      <c r="R2616" s="1" t="s">
        <v>497</v>
      </c>
      <c r="S2616" s="1" t="s">
        <v>1105</v>
      </c>
      <c r="T2616" s="1" t="s">
        <v>1106</v>
      </c>
      <c r="U2616" s="2" t="s">
        <v>1682</v>
      </c>
      <c r="V2616" s="2" t="s">
        <v>47</v>
      </c>
      <c r="W2616" s="2" t="s">
        <v>48</v>
      </c>
      <c r="X2616" s="2">
        <v>30.59</v>
      </c>
    </row>
    <row r="2617" spans="1:24" x14ac:dyDescent="0.3">
      <c r="A2617">
        <v>20489</v>
      </c>
      <c r="B2617" t="s">
        <v>7082</v>
      </c>
      <c r="C2617" s="3">
        <v>41432</v>
      </c>
      <c r="D2617" t="s">
        <v>62</v>
      </c>
      <c r="E2617">
        <v>20</v>
      </c>
      <c r="F2617" s="3">
        <f ca="1">41434+(RANDBETWEEN(1,10))</f>
        <v>41436</v>
      </c>
      <c r="G2617" t="s">
        <v>26</v>
      </c>
      <c r="H2617" t="s">
        <v>27</v>
      </c>
      <c r="I2617" t="s">
        <v>28</v>
      </c>
      <c r="J2617">
        <v>301.98</v>
      </c>
      <c r="K2617">
        <v>0.09</v>
      </c>
      <c r="L2617">
        <v>0.4</v>
      </c>
      <c r="M2617">
        <v>18.094999999999999</v>
      </c>
      <c r="N2617">
        <v>-369.096</v>
      </c>
      <c r="O2617" s="1" t="s">
        <v>29</v>
      </c>
      <c r="P2617" s="1" t="s">
        <v>3779</v>
      </c>
      <c r="Q2617" s="1" t="s">
        <v>3780</v>
      </c>
      <c r="R2617" s="1" t="s">
        <v>460</v>
      </c>
      <c r="S2617" s="1" t="s">
        <v>3781</v>
      </c>
      <c r="T2617" s="1" t="s">
        <v>3782</v>
      </c>
      <c r="U2617" s="2" t="s">
        <v>7083</v>
      </c>
      <c r="V2617" s="2" t="s">
        <v>47</v>
      </c>
      <c r="W2617" s="2" t="s">
        <v>74</v>
      </c>
      <c r="X2617" s="2">
        <v>14.98</v>
      </c>
    </row>
    <row r="2618" spans="1:24" x14ac:dyDescent="0.3">
      <c r="A2618">
        <v>20490</v>
      </c>
      <c r="B2618" t="s">
        <v>7082</v>
      </c>
      <c r="C2618" s="3">
        <v>41432</v>
      </c>
      <c r="D2618" t="s">
        <v>62</v>
      </c>
      <c r="E2618">
        <v>3</v>
      </c>
      <c r="F2618" s="3">
        <f ca="1">41434+(RANDBETWEEN(1,10))</f>
        <v>41438</v>
      </c>
      <c r="G2618" t="s">
        <v>26</v>
      </c>
      <c r="H2618" t="s">
        <v>281</v>
      </c>
      <c r="I2618" t="s">
        <v>28</v>
      </c>
      <c r="J2618">
        <v>307.51</v>
      </c>
      <c r="K2618">
        <v>0.09</v>
      </c>
      <c r="L2618">
        <v>0.57999999999999996</v>
      </c>
      <c r="M2618">
        <v>48.965000000000003</v>
      </c>
      <c r="N2618">
        <v>-183.17599999999999</v>
      </c>
      <c r="O2618" s="1" t="s">
        <v>29</v>
      </c>
      <c r="P2618" s="1" t="s">
        <v>3779</v>
      </c>
      <c r="Q2618" s="1" t="s">
        <v>3780</v>
      </c>
      <c r="R2618" s="1" t="s">
        <v>460</v>
      </c>
      <c r="S2618" s="1" t="s">
        <v>3781</v>
      </c>
      <c r="T2618" s="1" t="s">
        <v>3782</v>
      </c>
      <c r="U2618" s="2" t="s">
        <v>2573</v>
      </c>
      <c r="V2618" s="2" t="s">
        <v>47</v>
      </c>
      <c r="W2618" s="2" t="s">
        <v>119</v>
      </c>
      <c r="X2618" s="2">
        <v>98.98</v>
      </c>
    </row>
    <row r="2619" spans="1:24" x14ac:dyDescent="0.3">
      <c r="A2619">
        <v>20491</v>
      </c>
      <c r="B2619" t="s">
        <v>7082</v>
      </c>
      <c r="C2619" s="3">
        <v>41432</v>
      </c>
      <c r="D2619" t="s">
        <v>62</v>
      </c>
      <c r="E2619">
        <v>17</v>
      </c>
      <c r="F2619" s="3">
        <f ca="1">41434+(RANDBETWEEN(1,10))</f>
        <v>41439</v>
      </c>
      <c r="G2619" t="s">
        <v>26</v>
      </c>
      <c r="H2619" t="s">
        <v>51</v>
      </c>
      <c r="I2619" t="s">
        <v>28</v>
      </c>
      <c r="J2619">
        <v>2583</v>
      </c>
      <c r="K2619">
        <v>0.09</v>
      </c>
      <c r="L2619">
        <v>0.8</v>
      </c>
      <c r="M2619">
        <v>17.5</v>
      </c>
      <c r="N2619">
        <v>-700.48440000000005</v>
      </c>
      <c r="O2619" s="1" t="s">
        <v>29</v>
      </c>
      <c r="P2619" s="1" t="s">
        <v>3779</v>
      </c>
      <c r="Q2619" s="1" t="s">
        <v>3780</v>
      </c>
      <c r="R2619" s="1" t="s">
        <v>460</v>
      </c>
      <c r="S2619" s="1" t="s">
        <v>3781</v>
      </c>
      <c r="T2619" s="1" t="s">
        <v>3782</v>
      </c>
      <c r="U2619" s="2" t="s">
        <v>2876</v>
      </c>
      <c r="V2619" s="2" t="s">
        <v>36</v>
      </c>
      <c r="W2619" s="2" t="s">
        <v>37</v>
      </c>
      <c r="X2619" s="2">
        <v>195.965</v>
      </c>
    </row>
    <row r="2620" spans="1:24" x14ac:dyDescent="0.3">
      <c r="A2620">
        <v>20492</v>
      </c>
      <c r="B2620" t="s">
        <v>7084</v>
      </c>
      <c r="C2620" s="3">
        <v>41156</v>
      </c>
      <c r="D2620" t="s">
        <v>148</v>
      </c>
      <c r="E2620">
        <v>21</v>
      </c>
      <c r="F2620" s="3">
        <f ca="1">41157+(RANDBETWEEN(1,10))</f>
        <v>41164</v>
      </c>
      <c r="G2620" t="s">
        <v>26</v>
      </c>
      <c r="H2620" t="s">
        <v>96</v>
      </c>
      <c r="I2620" t="s">
        <v>28</v>
      </c>
      <c r="J2620">
        <v>422.73</v>
      </c>
      <c r="K2620">
        <v>0.06</v>
      </c>
      <c r="L2620">
        <v>0.54</v>
      </c>
      <c r="M2620">
        <v>11.795</v>
      </c>
      <c r="N2620">
        <v>-165.02500000000001</v>
      </c>
      <c r="O2620" s="1" t="s">
        <v>225</v>
      </c>
      <c r="P2620" s="1" t="s">
        <v>6236</v>
      </c>
      <c r="Q2620" s="1" t="s">
        <v>6237</v>
      </c>
      <c r="R2620" s="1" t="s">
        <v>391</v>
      </c>
      <c r="S2620" s="1" t="s">
        <v>1484</v>
      </c>
      <c r="T2620" s="1" t="s">
        <v>6238</v>
      </c>
      <c r="U2620" s="2" t="s">
        <v>665</v>
      </c>
      <c r="V2620" s="2" t="s">
        <v>47</v>
      </c>
      <c r="W2620" s="2" t="s">
        <v>176</v>
      </c>
      <c r="X2620" s="2">
        <v>20.335000000000001</v>
      </c>
    </row>
    <row r="2621" spans="1:24" x14ac:dyDescent="0.3">
      <c r="A2621">
        <v>20493</v>
      </c>
      <c r="B2621" t="s">
        <v>7084</v>
      </c>
      <c r="C2621" s="3">
        <v>41156</v>
      </c>
      <c r="D2621" t="s">
        <v>148</v>
      </c>
      <c r="E2621">
        <v>10</v>
      </c>
      <c r="F2621" s="3">
        <f ca="1">41157+(RANDBETWEEN(1,10))</f>
        <v>41161</v>
      </c>
      <c r="G2621" t="s">
        <v>26</v>
      </c>
      <c r="H2621" t="s">
        <v>27</v>
      </c>
      <c r="I2621" t="s">
        <v>28</v>
      </c>
      <c r="J2621">
        <v>603.29499999999996</v>
      </c>
      <c r="K2621">
        <v>0</v>
      </c>
      <c r="L2621">
        <v>0.49</v>
      </c>
      <c r="M2621">
        <v>32.9</v>
      </c>
      <c r="N2621">
        <v>-194.63640000000001</v>
      </c>
      <c r="O2621" s="1" t="s">
        <v>225</v>
      </c>
      <c r="P2621" s="1" t="s">
        <v>3072</v>
      </c>
      <c r="Q2621" s="1" t="s">
        <v>3073</v>
      </c>
      <c r="R2621" s="1" t="s">
        <v>228</v>
      </c>
      <c r="S2621" s="1" t="s">
        <v>1794</v>
      </c>
      <c r="T2621" s="1" t="s">
        <v>548</v>
      </c>
      <c r="U2621" s="2" t="s">
        <v>942</v>
      </c>
      <c r="V2621" s="2" t="s">
        <v>36</v>
      </c>
      <c r="W2621" s="2" t="s">
        <v>142</v>
      </c>
      <c r="X2621" s="2">
        <v>55.965000000000003</v>
      </c>
    </row>
    <row r="2622" spans="1:24" x14ac:dyDescent="0.3">
      <c r="A2622">
        <v>20494</v>
      </c>
      <c r="B2622" t="s">
        <v>7085</v>
      </c>
      <c r="C2622" s="3">
        <v>40741</v>
      </c>
      <c r="D2622" t="s">
        <v>50</v>
      </c>
      <c r="E2622">
        <v>13</v>
      </c>
      <c r="F2622" s="3">
        <f ca="1">40742+(RANDBETWEEN(1,10))</f>
        <v>40749</v>
      </c>
      <c r="G2622" t="s">
        <v>26</v>
      </c>
      <c r="H2622" t="s">
        <v>27</v>
      </c>
      <c r="I2622" t="s">
        <v>97</v>
      </c>
      <c r="J2622">
        <v>88.864999999999995</v>
      </c>
      <c r="K2622">
        <v>0</v>
      </c>
      <c r="L2622">
        <v>0.37</v>
      </c>
      <c r="M2622">
        <v>5.2149999999999999</v>
      </c>
      <c r="N2622">
        <v>-54.45825</v>
      </c>
      <c r="O2622" s="1" t="s">
        <v>29</v>
      </c>
      <c r="P2622" s="1" t="s">
        <v>4723</v>
      </c>
      <c r="Q2622" s="1" t="s">
        <v>4724</v>
      </c>
      <c r="R2622" s="1" t="s">
        <v>460</v>
      </c>
      <c r="S2622" s="1" t="s">
        <v>4725</v>
      </c>
      <c r="T2622" s="1" t="s">
        <v>4726</v>
      </c>
      <c r="U2622" s="2" t="s">
        <v>4275</v>
      </c>
      <c r="V2622" s="2" t="s">
        <v>47</v>
      </c>
      <c r="W2622" s="2" t="s">
        <v>111</v>
      </c>
      <c r="X2622" s="2">
        <v>6.58</v>
      </c>
    </row>
    <row r="2623" spans="1:24" x14ac:dyDescent="0.3">
      <c r="A2623">
        <v>20495</v>
      </c>
      <c r="B2623" t="s">
        <v>7085</v>
      </c>
      <c r="C2623" s="3">
        <v>40741</v>
      </c>
      <c r="D2623" t="s">
        <v>50</v>
      </c>
      <c r="E2623">
        <v>15</v>
      </c>
      <c r="F2623" s="3">
        <f ca="1">40742+(RANDBETWEEN(1,10))</f>
        <v>40744</v>
      </c>
      <c r="G2623" t="s">
        <v>26</v>
      </c>
      <c r="H2623" t="s">
        <v>27</v>
      </c>
      <c r="I2623" t="s">
        <v>97</v>
      </c>
      <c r="J2623">
        <v>305.44499999999999</v>
      </c>
      <c r="K2623">
        <v>0.06</v>
      </c>
      <c r="L2623">
        <v>0.36</v>
      </c>
      <c r="M2623">
        <v>19.844999999999999</v>
      </c>
      <c r="N2623">
        <v>-378.66500000000002</v>
      </c>
      <c r="O2623" s="1" t="s">
        <v>29</v>
      </c>
      <c r="P2623" s="1" t="s">
        <v>4723</v>
      </c>
      <c r="Q2623" s="1" t="s">
        <v>4724</v>
      </c>
      <c r="R2623" s="1" t="s">
        <v>460</v>
      </c>
      <c r="S2623" s="1" t="s">
        <v>4725</v>
      </c>
      <c r="T2623" s="1" t="s">
        <v>4726</v>
      </c>
      <c r="U2623" s="2" t="s">
        <v>1621</v>
      </c>
      <c r="V2623" s="2" t="s">
        <v>47</v>
      </c>
      <c r="W2623" s="2" t="s">
        <v>74</v>
      </c>
      <c r="X2623" s="2">
        <v>20.23</v>
      </c>
    </row>
    <row r="2624" spans="1:24" x14ac:dyDescent="0.3">
      <c r="A2624">
        <v>20496</v>
      </c>
      <c r="B2624" t="s">
        <v>7086</v>
      </c>
      <c r="C2624" s="3">
        <v>40849</v>
      </c>
      <c r="D2624" t="s">
        <v>25</v>
      </c>
      <c r="E2624">
        <v>37</v>
      </c>
      <c r="F2624" s="3">
        <f ca="1">40849+(RANDBETWEEN(1,10))</f>
        <v>40850</v>
      </c>
      <c r="G2624" t="s">
        <v>26</v>
      </c>
      <c r="H2624" t="s">
        <v>63</v>
      </c>
      <c r="I2624" t="s">
        <v>86</v>
      </c>
      <c r="J2624">
        <v>708.01499999999999</v>
      </c>
      <c r="K2624">
        <v>0.08</v>
      </c>
      <c r="L2624">
        <v>0.6</v>
      </c>
      <c r="M2624">
        <v>171.5</v>
      </c>
      <c r="N2624">
        <v>488.53035</v>
      </c>
      <c r="O2624" s="1" t="s">
        <v>87</v>
      </c>
      <c r="P2624" s="1" t="s">
        <v>6572</v>
      </c>
      <c r="Q2624" s="1" t="s">
        <v>6573</v>
      </c>
      <c r="R2624" s="1" t="s">
        <v>497</v>
      </c>
      <c r="S2624" s="1" t="s">
        <v>6574</v>
      </c>
      <c r="T2624" s="1" t="s">
        <v>6575</v>
      </c>
      <c r="U2624" s="2" t="s">
        <v>919</v>
      </c>
      <c r="V2624" s="2" t="s">
        <v>47</v>
      </c>
      <c r="W2624" s="2" t="s">
        <v>71</v>
      </c>
      <c r="X2624" s="2">
        <v>15.68</v>
      </c>
    </row>
    <row r="2625" spans="1:24" x14ac:dyDescent="0.3">
      <c r="A2625">
        <v>20497</v>
      </c>
      <c r="B2625" t="s">
        <v>7086</v>
      </c>
      <c r="C2625" s="3">
        <v>40849</v>
      </c>
      <c r="D2625" t="s">
        <v>25</v>
      </c>
      <c r="E2625">
        <v>9</v>
      </c>
      <c r="F2625" s="3">
        <f ca="1">40856+(RANDBETWEEN(1,10))</f>
        <v>40866</v>
      </c>
      <c r="G2625" t="s">
        <v>26</v>
      </c>
      <c r="H2625" t="s">
        <v>51</v>
      </c>
      <c r="I2625" t="s">
        <v>86</v>
      </c>
      <c r="J2625">
        <v>590.48500000000001</v>
      </c>
      <c r="K2625">
        <v>0</v>
      </c>
      <c r="L2625">
        <v>0.47</v>
      </c>
      <c r="M2625">
        <v>31.465</v>
      </c>
      <c r="N2625">
        <v>383.84500000000003</v>
      </c>
      <c r="O2625" s="1" t="s">
        <v>87</v>
      </c>
      <c r="P2625" s="1" t="s">
        <v>6572</v>
      </c>
      <c r="Q2625" s="1" t="s">
        <v>6573</v>
      </c>
      <c r="R2625" s="1" t="s">
        <v>497</v>
      </c>
      <c r="S2625" s="1" t="s">
        <v>6574</v>
      </c>
      <c r="T2625" s="1" t="s">
        <v>6575</v>
      </c>
      <c r="U2625" s="2" t="s">
        <v>1320</v>
      </c>
      <c r="V2625" s="2" t="s">
        <v>83</v>
      </c>
      <c r="W2625" s="2" t="s">
        <v>178</v>
      </c>
      <c r="X2625" s="2">
        <v>61.844999999999999</v>
      </c>
    </row>
    <row r="2626" spans="1:24" x14ac:dyDescent="0.3">
      <c r="A2626">
        <v>20498</v>
      </c>
      <c r="B2626" t="s">
        <v>7087</v>
      </c>
      <c r="C2626" s="3">
        <v>40756</v>
      </c>
      <c r="D2626" t="s">
        <v>50</v>
      </c>
      <c r="E2626">
        <v>23</v>
      </c>
      <c r="F2626" s="3">
        <f ca="1">40756+(RANDBETWEEN(1,10))</f>
        <v>40766</v>
      </c>
      <c r="G2626" t="s">
        <v>26</v>
      </c>
      <c r="H2626" t="s">
        <v>51</v>
      </c>
      <c r="I2626" t="s">
        <v>28</v>
      </c>
      <c r="J2626">
        <v>4952.08</v>
      </c>
      <c r="K2626">
        <v>0.03</v>
      </c>
      <c r="L2626">
        <v>0.5</v>
      </c>
      <c r="M2626">
        <v>6.9649999999999999</v>
      </c>
      <c r="N2626">
        <v>3416.9351999999999</v>
      </c>
      <c r="O2626" s="1" t="s">
        <v>29</v>
      </c>
      <c r="P2626" s="1" t="s">
        <v>5235</v>
      </c>
      <c r="Q2626" s="1" t="s">
        <v>5236</v>
      </c>
      <c r="R2626" s="1" t="s">
        <v>460</v>
      </c>
      <c r="S2626" s="1" t="s">
        <v>5237</v>
      </c>
      <c r="T2626" s="1" t="s">
        <v>5238</v>
      </c>
      <c r="U2626" s="2" t="s">
        <v>7088</v>
      </c>
      <c r="V2626" s="2" t="s">
        <v>36</v>
      </c>
      <c r="W2626" s="2" t="s">
        <v>60</v>
      </c>
      <c r="X2626" s="2">
        <v>213.43</v>
      </c>
    </row>
    <row r="2627" spans="1:24" x14ac:dyDescent="0.3">
      <c r="A2627">
        <v>20499</v>
      </c>
      <c r="B2627" t="s">
        <v>7087</v>
      </c>
      <c r="C2627" s="3">
        <v>40756</v>
      </c>
      <c r="D2627" t="s">
        <v>50</v>
      </c>
      <c r="E2627">
        <v>11</v>
      </c>
      <c r="F2627" s="3">
        <f ca="1">40757+(RANDBETWEEN(1,10))</f>
        <v>40766</v>
      </c>
      <c r="G2627" t="s">
        <v>26</v>
      </c>
      <c r="H2627" t="s">
        <v>27</v>
      </c>
      <c r="I2627" t="s">
        <v>28</v>
      </c>
      <c r="J2627">
        <v>117.705</v>
      </c>
      <c r="K2627">
        <v>0.04</v>
      </c>
      <c r="L2627">
        <v>0.37</v>
      </c>
      <c r="M2627">
        <v>3.4649999999999999</v>
      </c>
      <c r="N2627">
        <v>81.216449999999995</v>
      </c>
      <c r="O2627" s="1" t="s">
        <v>29</v>
      </c>
      <c r="P2627" s="1" t="s">
        <v>5235</v>
      </c>
      <c r="Q2627" s="1" t="s">
        <v>5236</v>
      </c>
      <c r="R2627" s="1" t="s">
        <v>460</v>
      </c>
      <c r="S2627" s="1" t="s">
        <v>5237</v>
      </c>
      <c r="T2627" s="1" t="s">
        <v>5238</v>
      </c>
      <c r="U2627" s="2" t="s">
        <v>796</v>
      </c>
      <c r="V2627" s="2" t="s">
        <v>47</v>
      </c>
      <c r="W2627" s="2" t="s">
        <v>203</v>
      </c>
      <c r="X2627" s="2">
        <v>10.78</v>
      </c>
    </row>
    <row r="2628" spans="1:24" x14ac:dyDescent="0.3">
      <c r="A2628">
        <v>2050</v>
      </c>
      <c r="B2628" t="s">
        <v>7089</v>
      </c>
      <c r="C2628" s="3">
        <v>41928</v>
      </c>
      <c r="D2628" t="s">
        <v>25</v>
      </c>
      <c r="E2628">
        <v>36</v>
      </c>
      <c r="F2628" s="3">
        <f ca="1">41928+(RANDBETWEEN(1,10))</f>
        <v>41935</v>
      </c>
      <c r="G2628" t="s">
        <v>26</v>
      </c>
      <c r="H2628" t="s">
        <v>51</v>
      </c>
      <c r="I2628" t="s">
        <v>28</v>
      </c>
      <c r="J2628">
        <v>2694.4749999999999</v>
      </c>
      <c r="K2628">
        <v>0.08</v>
      </c>
      <c r="L2628">
        <v>0.59</v>
      </c>
      <c r="M2628">
        <v>19.355</v>
      </c>
      <c r="N2628">
        <v>16.625</v>
      </c>
      <c r="O2628" s="1" t="s">
        <v>40</v>
      </c>
      <c r="P2628" s="1" t="s">
        <v>381</v>
      </c>
      <c r="Q2628" s="1" t="s">
        <v>382</v>
      </c>
      <c r="R2628" s="1" t="s">
        <v>220</v>
      </c>
      <c r="S2628" s="1" t="s">
        <v>221</v>
      </c>
      <c r="T2628" s="1" t="s">
        <v>383</v>
      </c>
      <c r="U2628" s="2" t="s">
        <v>2037</v>
      </c>
      <c r="V2628" s="2" t="s">
        <v>47</v>
      </c>
      <c r="W2628" s="2" t="s">
        <v>104</v>
      </c>
      <c r="X2628" s="2">
        <v>77.034999999999997</v>
      </c>
    </row>
    <row r="2629" spans="1:24" x14ac:dyDescent="0.3">
      <c r="A2629">
        <v>20500</v>
      </c>
      <c r="B2629" t="s">
        <v>7087</v>
      </c>
      <c r="C2629" s="3">
        <v>40756</v>
      </c>
      <c r="D2629" t="s">
        <v>50</v>
      </c>
      <c r="E2629">
        <v>23</v>
      </c>
      <c r="F2629" s="3">
        <f ca="1">40758+(RANDBETWEEN(1,10))</f>
        <v>40765</v>
      </c>
      <c r="G2629" t="s">
        <v>26</v>
      </c>
      <c r="H2629" t="s">
        <v>96</v>
      </c>
      <c r="I2629" t="s">
        <v>28</v>
      </c>
      <c r="J2629">
        <v>849.45</v>
      </c>
      <c r="K2629">
        <v>0</v>
      </c>
      <c r="L2629">
        <v>0.38</v>
      </c>
      <c r="M2629">
        <v>6.2649999999999997</v>
      </c>
      <c r="N2629">
        <v>586.12049999999999</v>
      </c>
      <c r="O2629" s="1" t="s">
        <v>40</v>
      </c>
      <c r="P2629" s="1" t="s">
        <v>7090</v>
      </c>
      <c r="Q2629" s="1" t="s">
        <v>7091</v>
      </c>
      <c r="R2629" s="1" t="s">
        <v>220</v>
      </c>
      <c r="S2629" s="1" t="s">
        <v>7092</v>
      </c>
      <c r="T2629" s="1" t="s">
        <v>7093</v>
      </c>
      <c r="U2629" s="2" t="s">
        <v>3017</v>
      </c>
      <c r="V2629" s="2" t="s">
        <v>47</v>
      </c>
      <c r="W2629" s="2" t="s">
        <v>74</v>
      </c>
      <c r="X2629" s="2">
        <v>36.085000000000001</v>
      </c>
    </row>
    <row r="2630" spans="1:24" x14ac:dyDescent="0.3">
      <c r="A2630">
        <v>20501</v>
      </c>
      <c r="B2630" t="s">
        <v>7094</v>
      </c>
      <c r="C2630" s="3">
        <v>41374</v>
      </c>
      <c r="D2630" t="s">
        <v>148</v>
      </c>
      <c r="E2630">
        <v>13</v>
      </c>
      <c r="F2630" s="3">
        <f ca="1">41376+(RANDBETWEEN(1,10))</f>
        <v>41380</v>
      </c>
      <c r="G2630" t="s">
        <v>26</v>
      </c>
      <c r="H2630" t="s">
        <v>27</v>
      </c>
      <c r="I2630" t="s">
        <v>28</v>
      </c>
      <c r="J2630">
        <v>4649.82</v>
      </c>
      <c r="K2630">
        <v>0.04</v>
      </c>
      <c r="L2630">
        <v>0.5</v>
      </c>
      <c r="M2630">
        <v>69.965000000000003</v>
      </c>
      <c r="N2630">
        <v>3208.3757999999998</v>
      </c>
      <c r="O2630" s="1" t="s">
        <v>87</v>
      </c>
      <c r="P2630" s="1" t="s">
        <v>3575</v>
      </c>
      <c r="Q2630" s="1" t="s">
        <v>3576</v>
      </c>
      <c r="R2630" s="1" t="s">
        <v>90</v>
      </c>
      <c r="S2630" s="1" t="s">
        <v>91</v>
      </c>
      <c r="T2630" s="1" t="s">
        <v>3577</v>
      </c>
      <c r="U2630" s="2" t="s">
        <v>6456</v>
      </c>
      <c r="V2630" s="2" t="s">
        <v>36</v>
      </c>
      <c r="W2630" s="2" t="s">
        <v>60</v>
      </c>
      <c r="X2630" s="2">
        <v>349.96499999999997</v>
      </c>
    </row>
    <row r="2631" spans="1:24" x14ac:dyDescent="0.3">
      <c r="A2631">
        <v>20502</v>
      </c>
      <c r="B2631" t="s">
        <v>7094</v>
      </c>
      <c r="C2631" s="3">
        <v>41374</v>
      </c>
      <c r="D2631" t="s">
        <v>148</v>
      </c>
      <c r="E2631">
        <v>13</v>
      </c>
      <c r="F2631" s="3">
        <f ca="1">41375+(RANDBETWEEN(1,10))</f>
        <v>41377</v>
      </c>
      <c r="G2631" t="s">
        <v>26</v>
      </c>
      <c r="H2631" t="s">
        <v>281</v>
      </c>
      <c r="I2631" t="s">
        <v>28</v>
      </c>
      <c r="J2631">
        <v>2702.77</v>
      </c>
      <c r="K2631">
        <v>0.01</v>
      </c>
      <c r="L2631">
        <v>0.72</v>
      </c>
      <c r="M2631">
        <v>182.7</v>
      </c>
      <c r="N2631">
        <v>-4770.92</v>
      </c>
      <c r="O2631" s="1" t="s">
        <v>87</v>
      </c>
      <c r="P2631" s="1" t="s">
        <v>3575</v>
      </c>
      <c r="Q2631" s="1" t="s">
        <v>3576</v>
      </c>
      <c r="R2631" s="1" t="s">
        <v>90</v>
      </c>
      <c r="S2631" s="1" t="s">
        <v>91</v>
      </c>
      <c r="T2631" s="1" t="s">
        <v>3577</v>
      </c>
      <c r="U2631" s="2" t="s">
        <v>7095</v>
      </c>
      <c r="V2631" s="2" t="s">
        <v>83</v>
      </c>
      <c r="W2631" s="2" t="s">
        <v>178</v>
      </c>
      <c r="X2631" s="2">
        <v>194.25</v>
      </c>
    </row>
    <row r="2632" spans="1:24" x14ac:dyDescent="0.3">
      <c r="A2632">
        <v>20503</v>
      </c>
      <c r="B2632" t="s">
        <v>7094</v>
      </c>
      <c r="C2632" s="3">
        <v>41374</v>
      </c>
      <c r="D2632" t="s">
        <v>148</v>
      </c>
      <c r="E2632">
        <v>3</v>
      </c>
      <c r="F2632" s="3">
        <f ca="1">41376+(RANDBETWEEN(1,10))</f>
        <v>41384</v>
      </c>
      <c r="G2632" t="s">
        <v>156</v>
      </c>
      <c r="H2632" t="s">
        <v>27</v>
      </c>
      <c r="I2632" t="s">
        <v>28</v>
      </c>
      <c r="J2632">
        <v>347.09500000000003</v>
      </c>
      <c r="K2632">
        <v>0.09</v>
      </c>
      <c r="L2632">
        <v>0.61</v>
      </c>
      <c r="M2632">
        <v>30.59</v>
      </c>
      <c r="N2632">
        <v>-64.575000000000003</v>
      </c>
      <c r="O2632" s="1" t="s">
        <v>87</v>
      </c>
      <c r="P2632" s="1" t="s">
        <v>3575</v>
      </c>
      <c r="Q2632" s="1" t="s">
        <v>3576</v>
      </c>
      <c r="R2632" s="1" t="s">
        <v>90</v>
      </c>
      <c r="S2632" s="1" t="s">
        <v>91</v>
      </c>
      <c r="T2632" s="1" t="s">
        <v>3577</v>
      </c>
      <c r="U2632" s="2" t="s">
        <v>7096</v>
      </c>
      <c r="V2632" s="2" t="s">
        <v>47</v>
      </c>
      <c r="W2632" s="2" t="s">
        <v>119</v>
      </c>
      <c r="X2632" s="2">
        <v>116.515</v>
      </c>
    </row>
    <row r="2633" spans="1:24" x14ac:dyDescent="0.3">
      <c r="A2633">
        <v>20504</v>
      </c>
      <c r="B2633" t="s">
        <v>7097</v>
      </c>
      <c r="C2633" s="3">
        <v>41730</v>
      </c>
      <c r="D2633" t="s">
        <v>50</v>
      </c>
      <c r="E2633">
        <v>9</v>
      </c>
      <c r="F2633" s="3">
        <f ca="1">41732+(RANDBETWEEN(1,10))</f>
        <v>41735</v>
      </c>
      <c r="G2633" t="s">
        <v>26</v>
      </c>
      <c r="H2633" t="s">
        <v>27</v>
      </c>
      <c r="I2633" t="s">
        <v>28</v>
      </c>
      <c r="J2633">
        <v>182.94499999999999</v>
      </c>
      <c r="K2633">
        <v>0.06</v>
      </c>
      <c r="L2633">
        <v>0.38</v>
      </c>
      <c r="M2633">
        <v>4.8650000000000002</v>
      </c>
      <c r="N2633">
        <v>-422.36040000000003</v>
      </c>
      <c r="O2633" s="1" t="s">
        <v>40</v>
      </c>
      <c r="P2633" s="1" t="s">
        <v>7098</v>
      </c>
      <c r="Q2633" s="1" t="s">
        <v>7099</v>
      </c>
      <c r="R2633" s="1" t="s">
        <v>43</v>
      </c>
      <c r="S2633" s="1" t="s">
        <v>7100</v>
      </c>
      <c r="T2633" s="1" t="s">
        <v>7101</v>
      </c>
      <c r="U2633" s="2" t="s">
        <v>641</v>
      </c>
      <c r="V2633" s="2" t="s">
        <v>47</v>
      </c>
      <c r="W2633" s="2" t="s">
        <v>48</v>
      </c>
      <c r="X2633" s="2">
        <v>19.88</v>
      </c>
    </row>
    <row r="2634" spans="1:24" x14ac:dyDescent="0.3">
      <c r="A2634">
        <v>20505</v>
      </c>
      <c r="B2634" t="s">
        <v>7097</v>
      </c>
      <c r="C2634" s="3">
        <v>41730</v>
      </c>
      <c r="D2634" t="s">
        <v>50</v>
      </c>
      <c r="E2634">
        <v>9</v>
      </c>
      <c r="F2634" s="3">
        <f ca="1">41732+(RANDBETWEEN(1,10))</f>
        <v>41739</v>
      </c>
      <c r="G2634" t="s">
        <v>26</v>
      </c>
      <c r="H2634" t="s">
        <v>96</v>
      </c>
      <c r="I2634" t="s">
        <v>28</v>
      </c>
      <c r="J2634">
        <v>72.625</v>
      </c>
      <c r="K2634">
        <v>0.08</v>
      </c>
      <c r="L2634">
        <v>0.41</v>
      </c>
      <c r="M2634">
        <v>18.2</v>
      </c>
      <c r="N2634">
        <v>-2958.62</v>
      </c>
      <c r="O2634" s="1" t="s">
        <v>40</v>
      </c>
      <c r="P2634" s="1" t="s">
        <v>7098</v>
      </c>
      <c r="Q2634" s="1" t="s">
        <v>7099</v>
      </c>
      <c r="R2634" s="1" t="s">
        <v>43</v>
      </c>
      <c r="S2634" s="1" t="s">
        <v>7100</v>
      </c>
      <c r="T2634" s="1" t="s">
        <v>7101</v>
      </c>
      <c r="U2634" s="2" t="s">
        <v>4780</v>
      </c>
      <c r="V2634" s="2" t="s">
        <v>47</v>
      </c>
      <c r="W2634" s="2" t="s">
        <v>104</v>
      </c>
      <c r="X2634" s="2">
        <v>7.98</v>
      </c>
    </row>
    <row r="2635" spans="1:24" x14ac:dyDescent="0.3">
      <c r="A2635">
        <v>20506</v>
      </c>
      <c r="B2635" t="s">
        <v>7102</v>
      </c>
      <c r="C2635" s="3">
        <v>41127</v>
      </c>
      <c r="D2635" t="s">
        <v>50</v>
      </c>
      <c r="E2635">
        <v>12</v>
      </c>
      <c r="F2635" s="3">
        <f ca="1">41128+(RANDBETWEEN(1,10))</f>
        <v>41137</v>
      </c>
      <c r="G2635" t="s">
        <v>26</v>
      </c>
      <c r="H2635" t="s">
        <v>27</v>
      </c>
      <c r="I2635" t="s">
        <v>86</v>
      </c>
      <c r="J2635">
        <v>14457.065000000001</v>
      </c>
      <c r="K2635">
        <v>0.08</v>
      </c>
      <c r="L2635">
        <v>0.56999999999999995</v>
      </c>
      <c r="M2635">
        <v>69.965000000000003</v>
      </c>
      <c r="N2635">
        <v>9975.3748500000002</v>
      </c>
      <c r="O2635" s="1" t="s">
        <v>29</v>
      </c>
      <c r="P2635" s="1" t="s">
        <v>5686</v>
      </c>
      <c r="Q2635" s="1" t="s">
        <v>5687</v>
      </c>
      <c r="R2635" s="1" t="s">
        <v>460</v>
      </c>
      <c r="S2635" s="1" t="s">
        <v>5688</v>
      </c>
      <c r="T2635" s="1" t="s">
        <v>5689</v>
      </c>
      <c r="U2635" s="2" t="s">
        <v>572</v>
      </c>
      <c r="V2635" s="2" t="s">
        <v>47</v>
      </c>
      <c r="W2635" s="2" t="s">
        <v>71</v>
      </c>
      <c r="X2635" s="2">
        <v>1271.375</v>
      </c>
    </row>
    <row r="2636" spans="1:24" x14ac:dyDescent="0.3">
      <c r="A2636">
        <v>20507</v>
      </c>
      <c r="B2636" t="s">
        <v>7102</v>
      </c>
      <c r="C2636" s="3">
        <v>41127</v>
      </c>
      <c r="D2636" t="s">
        <v>50</v>
      </c>
      <c r="E2636">
        <v>12</v>
      </c>
      <c r="F2636" s="3">
        <f ca="1">41128+(RANDBETWEEN(1,10))</f>
        <v>41138</v>
      </c>
      <c r="G2636" t="s">
        <v>26</v>
      </c>
      <c r="H2636" t="s">
        <v>96</v>
      </c>
      <c r="I2636" t="s">
        <v>86</v>
      </c>
      <c r="J2636">
        <v>125.685</v>
      </c>
      <c r="K2636">
        <v>0</v>
      </c>
      <c r="L2636">
        <v>0.56000000000000005</v>
      </c>
      <c r="M2636">
        <v>2.4500000000000002</v>
      </c>
      <c r="N2636">
        <v>65.164400000000001</v>
      </c>
      <c r="O2636" s="1" t="s">
        <v>64</v>
      </c>
      <c r="P2636" s="1" t="s">
        <v>7103</v>
      </c>
      <c r="Q2636" s="1" t="s">
        <v>7104</v>
      </c>
      <c r="R2636" s="1" t="s">
        <v>128</v>
      </c>
      <c r="S2636" s="1" t="s">
        <v>7105</v>
      </c>
      <c r="T2636" s="1" t="s">
        <v>7106</v>
      </c>
      <c r="U2636" s="2" t="s">
        <v>1393</v>
      </c>
      <c r="V2636" s="2" t="s">
        <v>47</v>
      </c>
      <c r="W2636" s="2" t="s">
        <v>104</v>
      </c>
      <c r="X2636" s="2">
        <v>10.08</v>
      </c>
    </row>
    <row r="2637" spans="1:24" x14ac:dyDescent="0.3">
      <c r="A2637">
        <v>20508</v>
      </c>
      <c r="B2637" t="s">
        <v>7107</v>
      </c>
      <c r="C2637" s="3">
        <v>41162</v>
      </c>
      <c r="D2637" t="s">
        <v>148</v>
      </c>
      <c r="E2637">
        <v>13</v>
      </c>
      <c r="F2637" s="3">
        <f ca="1">41164+(RANDBETWEEN(1,10))</f>
        <v>41167</v>
      </c>
      <c r="G2637" t="s">
        <v>26</v>
      </c>
      <c r="H2637" t="s">
        <v>27</v>
      </c>
      <c r="I2637" t="s">
        <v>28</v>
      </c>
      <c r="J2637">
        <v>1743.49</v>
      </c>
      <c r="K2637">
        <v>0.1</v>
      </c>
      <c r="L2637">
        <v>0.36</v>
      </c>
      <c r="M2637">
        <v>69.965000000000003</v>
      </c>
      <c r="N2637">
        <v>75.599999999999994</v>
      </c>
      <c r="O2637" s="1" t="s">
        <v>87</v>
      </c>
      <c r="P2637" s="1" t="s">
        <v>5169</v>
      </c>
      <c r="Q2637" s="1" t="s">
        <v>5170</v>
      </c>
      <c r="R2637" s="1" t="s">
        <v>398</v>
      </c>
      <c r="S2637" s="1" t="s">
        <v>5171</v>
      </c>
      <c r="T2637" s="1" t="s">
        <v>5172</v>
      </c>
      <c r="U2637" s="2" t="s">
        <v>1784</v>
      </c>
      <c r="V2637" s="2" t="s">
        <v>47</v>
      </c>
      <c r="W2637" s="2" t="s">
        <v>74</v>
      </c>
      <c r="X2637" s="2">
        <v>143.465</v>
      </c>
    </row>
    <row r="2638" spans="1:24" x14ac:dyDescent="0.3">
      <c r="A2638">
        <v>20509</v>
      </c>
      <c r="B2638" t="s">
        <v>7108</v>
      </c>
      <c r="C2638" s="3">
        <v>41171</v>
      </c>
      <c r="D2638" t="s">
        <v>148</v>
      </c>
      <c r="E2638">
        <v>13</v>
      </c>
      <c r="F2638" s="3">
        <f ca="1">41172+(RANDBETWEEN(1,10))</f>
        <v>41176</v>
      </c>
      <c r="G2638" t="s">
        <v>26</v>
      </c>
      <c r="H2638" t="s">
        <v>27</v>
      </c>
      <c r="I2638" t="s">
        <v>97</v>
      </c>
      <c r="J2638">
        <v>1515.325</v>
      </c>
      <c r="K2638">
        <v>0.09</v>
      </c>
      <c r="L2638">
        <v>0.49</v>
      </c>
      <c r="M2638">
        <v>19.25</v>
      </c>
      <c r="N2638">
        <v>592.02499999999998</v>
      </c>
      <c r="O2638" s="1" t="s">
        <v>29</v>
      </c>
      <c r="P2638" s="1" t="s">
        <v>968</v>
      </c>
      <c r="Q2638" s="1" t="s">
        <v>969</v>
      </c>
      <c r="R2638" s="1" t="s">
        <v>32</v>
      </c>
      <c r="S2638" s="1" t="s">
        <v>970</v>
      </c>
      <c r="T2638" s="1" t="s">
        <v>971</v>
      </c>
      <c r="U2638" s="2" t="s">
        <v>7109</v>
      </c>
      <c r="V2638" s="2" t="s">
        <v>36</v>
      </c>
      <c r="W2638" s="2" t="s">
        <v>60</v>
      </c>
      <c r="X2638" s="2">
        <v>122.465</v>
      </c>
    </row>
    <row r="2639" spans="1:24" x14ac:dyDescent="0.3">
      <c r="A2639">
        <v>20510</v>
      </c>
      <c r="B2639" t="s">
        <v>7110</v>
      </c>
      <c r="C2639" s="3">
        <v>41117</v>
      </c>
      <c r="D2639" t="s">
        <v>25</v>
      </c>
      <c r="E2639">
        <v>1</v>
      </c>
      <c r="F2639" s="3">
        <f ca="1">41119+(RANDBETWEEN(1,10))</f>
        <v>41126</v>
      </c>
      <c r="G2639" t="s">
        <v>26</v>
      </c>
      <c r="H2639" t="s">
        <v>51</v>
      </c>
      <c r="I2639" t="s">
        <v>97</v>
      </c>
      <c r="J2639">
        <v>75.25</v>
      </c>
      <c r="K2639">
        <v>0.05</v>
      </c>
      <c r="L2639">
        <v>0.48</v>
      </c>
      <c r="M2639">
        <v>6.9649999999999999</v>
      </c>
      <c r="N2639">
        <v>-192.88499999999999</v>
      </c>
      <c r="O2639" s="1" t="s">
        <v>53</v>
      </c>
      <c r="P2639" s="1" t="s">
        <v>6140</v>
      </c>
      <c r="Q2639" s="1" t="s">
        <v>6141</v>
      </c>
      <c r="R2639" s="1" t="s">
        <v>100</v>
      </c>
      <c r="S2639" s="1" t="s">
        <v>6142</v>
      </c>
      <c r="T2639" s="1" t="s">
        <v>6143</v>
      </c>
      <c r="U2639" s="2" t="s">
        <v>5583</v>
      </c>
      <c r="V2639" s="2" t="s">
        <v>36</v>
      </c>
      <c r="W2639" s="2" t="s">
        <v>60</v>
      </c>
      <c r="X2639" s="2">
        <v>73.114999999999995</v>
      </c>
    </row>
    <row r="2640" spans="1:24" x14ac:dyDescent="0.3">
      <c r="A2640">
        <v>20511</v>
      </c>
      <c r="B2640" t="s">
        <v>7110</v>
      </c>
      <c r="C2640" s="3">
        <v>41117</v>
      </c>
      <c r="D2640" t="s">
        <v>25</v>
      </c>
      <c r="E2640">
        <v>8</v>
      </c>
      <c r="F2640" s="3">
        <f ca="1">41119+(RANDBETWEEN(1,10))</f>
        <v>41121</v>
      </c>
      <c r="G2640" t="s">
        <v>76</v>
      </c>
      <c r="H2640" t="s">
        <v>258</v>
      </c>
      <c r="I2640" t="s">
        <v>97</v>
      </c>
      <c r="J2640">
        <v>11137.84</v>
      </c>
      <c r="K2640">
        <v>0.08</v>
      </c>
      <c r="L2640">
        <v>0.6</v>
      </c>
      <c r="M2640">
        <v>267.29500000000002</v>
      </c>
      <c r="N2640">
        <v>-3391.669281</v>
      </c>
      <c r="O2640" s="1" t="s">
        <v>53</v>
      </c>
      <c r="P2640" s="1" t="s">
        <v>6140</v>
      </c>
      <c r="Q2640" s="1" t="s">
        <v>6141</v>
      </c>
      <c r="R2640" s="1" t="s">
        <v>100</v>
      </c>
      <c r="S2640" s="1" t="s">
        <v>6142</v>
      </c>
      <c r="T2640" s="1" t="s">
        <v>6143</v>
      </c>
      <c r="U2640" s="2" t="s">
        <v>2984</v>
      </c>
      <c r="V2640" s="2" t="s">
        <v>83</v>
      </c>
      <c r="W2640" s="2" t="s">
        <v>263</v>
      </c>
      <c r="X2640" s="2">
        <v>1403.43</v>
      </c>
    </row>
    <row r="2641" spans="1:24" x14ac:dyDescent="0.3">
      <c r="A2641">
        <v>20512</v>
      </c>
      <c r="B2641" t="s">
        <v>7111</v>
      </c>
      <c r="C2641" s="3">
        <v>41316</v>
      </c>
      <c r="D2641" t="s">
        <v>62</v>
      </c>
      <c r="E2641">
        <v>1</v>
      </c>
      <c r="F2641" s="3">
        <f ca="1">41318+(RANDBETWEEN(1,10))</f>
        <v>41323</v>
      </c>
      <c r="G2641" t="s">
        <v>26</v>
      </c>
      <c r="H2641" t="s">
        <v>63</v>
      </c>
      <c r="I2641" t="s">
        <v>97</v>
      </c>
      <c r="J2641">
        <v>603.19000000000005</v>
      </c>
      <c r="K2641">
        <v>0</v>
      </c>
      <c r="L2641">
        <v>0.56999999999999995</v>
      </c>
      <c r="M2641">
        <v>85.715000000000003</v>
      </c>
      <c r="N2641">
        <v>-256.27</v>
      </c>
      <c r="O2641" s="1" t="s">
        <v>40</v>
      </c>
      <c r="P2641" s="1" t="s">
        <v>6729</v>
      </c>
      <c r="Q2641" s="1" t="s">
        <v>6730</v>
      </c>
      <c r="R2641" s="1" t="s">
        <v>43</v>
      </c>
      <c r="S2641" s="1" t="s">
        <v>6731</v>
      </c>
      <c r="T2641" s="1" t="s">
        <v>6732</v>
      </c>
      <c r="U2641" s="2" t="s">
        <v>4440</v>
      </c>
      <c r="V2641" s="2" t="s">
        <v>83</v>
      </c>
      <c r="W2641" s="2" t="s">
        <v>84</v>
      </c>
      <c r="X2641" s="2">
        <v>492.83499999999998</v>
      </c>
    </row>
    <row r="2642" spans="1:24" x14ac:dyDescent="0.3">
      <c r="A2642">
        <v>20513</v>
      </c>
      <c r="B2642" t="s">
        <v>7112</v>
      </c>
      <c r="C2642" s="3">
        <v>41948</v>
      </c>
      <c r="D2642" t="s">
        <v>50</v>
      </c>
      <c r="E2642">
        <v>18</v>
      </c>
      <c r="F2642" s="3">
        <f ca="1">41949+(RANDBETWEEN(1,10))</f>
        <v>41959</v>
      </c>
      <c r="G2642" t="s">
        <v>26</v>
      </c>
      <c r="H2642" t="s">
        <v>96</v>
      </c>
      <c r="I2642" t="s">
        <v>28</v>
      </c>
      <c r="J2642">
        <v>490.77</v>
      </c>
      <c r="K2642">
        <v>0</v>
      </c>
      <c r="L2642">
        <v>0.42</v>
      </c>
      <c r="M2642">
        <v>14</v>
      </c>
      <c r="N2642">
        <v>234.74528000000001</v>
      </c>
      <c r="O2642" s="1" t="s">
        <v>87</v>
      </c>
      <c r="P2642" s="1" t="s">
        <v>5028</v>
      </c>
      <c r="Q2642" s="1" t="s">
        <v>5029</v>
      </c>
      <c r="R2642" s="1" t="s">
        <v>497</v>
      </c>
      <c r="S2642" s="1" t="s">
        <v>5030</v>
      </c>
      <c r="T2642" s="1" t="s">
        <v>5031</v>
      </c>
      <c r="U2642" s="2" t="s">
        <v>2801</v>
      </c>
      <c r="V2642" s="2" t="s">
        <v>83</v>
      </c>
      <c r="W2642" s="2" t="s">
        <v>178</v>
      </c>
      <c r="X2642" s="2">
        <v>26.565000000000001</v>
      </c>
    </row>
    <row r="2643" spans="1:24" x14ac:dyDescent="0.3">
      <c r="A2643">
        <v>20514</v>
      </c>
      <c r="B2643" t="s">
        <v>7113</v>
      </c>
      <c r="C2643" s="3">
        <v>41532</v>
      </c>
      <c r="D2643" t="s">
        <v>25</v>
      </c>
      <c r="E2643">
        <v>9</v>
      </c>
      <c r="F2643" s="3">
        <f ca="1">41534+(RANDBETWEEN(1,10))</f>
        <v>41540</v>
      </c>
      <c r="G2643" t="s">
        <v>26</v>
      </c>
      <c r="H2643" t="s">
        <v>27</v>
      </c>
      <c r="I2643" t="s">
        <v>28</v>
      </c>
      <c r="J2643">
        <v>1618.82</v>
      </c>
      <c r="K2643">
        <v>0.06</v>
      </c>
      <c r="L2643">
        <v>0.41</v>
      </c>
      <c r="M2643">
        <v>69.965000000000003</v>
      </c>
      <c r="N2643">
        <v>-12.88</v>
      </c>
      <c r="O2643" s="1" t="s">
        <v>87</v>
      </c>
      <c r="P2643" s="1" t="s">
        <v>2640</v>
      </c>
      <c r="Q2643" s="1" t="s">
        <v>2641</v>
      </c>
      <c r="R2643" s="1" t="s">
        <v>90</v>
      </c>
      <c r="S2643" s="1" t="s">
        <v>2642</v>
      </c>
      <c r="T2643" s="1" t="s">
        <v>2643</v>
      </c>
      <c r="U2643" s="2" t="s">
        <v>300</v>
      </c>
      <c r="V2643" s="2" t="s">
        <v>36</v>
      </c>
      <c r="W2643" s="2" t="s">
        <v>60</v>
      </c>
      <c r="X2643" s="2">
        <v>174.965</v>
      </c>
    </row>
    <row r="2644" spans="1:24" x14ac:dyDescent="0.3">
      <c r="A2644">
        <v>20515</v>
      </c>
      <c r="B2644" t="s">
        <v>7114</v>
      </c>
      <c r="C2644" s="3">
        <v>41649</v>
      </c>
      <c r="D2644" t="s">
        <v>25</v>
      </c>
      <c r="E2644">
        <v>7</v>
      </c>
      <c r="F2644" s="3">
        <f ca="1">41653+(RANDBETWEEN(1,10))</f>
        <v>41662</v>
      </c>
      <c r="G2644" t="s">
        <v>26</v>
      </c>
      <c r="H2644" t="s">
        <v>51</v>
      </c>
      <c r="I2644" t="s">
        <v>28</v>
      </c>
      <c r="J2644">
        <v>316.26</v>
      </c>
      <c r="K2644">
        <v>7.0000000000000007E-2</v>
      </c>
      <c r="L2644">
        <v>0.37</v>
      </c>
      <c r="M2644">
        <v>17.324999999999999</v>
      </c>
      <c r="N2644">
        <v>218.21940000000001</v>
      </c>
      <c r="O2644" s="1" t="s">
        <v>29</v>
      </c>
      <c r="P2644" s="1" t="s">
        <v>7115</v>
      </c>
      <c r="Q2644" s="1" t="s">
        <v>7116</v>
      </c>
      <c r="R2644" s="1" t="s">
        <v>460</v>
      </c>
      <c r="S2644" s="1" t="s">
        <v>7117</v>
      </c>
      <c r="T2644" s="1" t="s">
        <v>7118</v>
      </c>
      <c r="U2644" s="2" t="s">
        <v>7119</v>
      </c>
      <c r="V2644" s="2" t="s">
        <v>83</v>
      </c>
      <c r="W2644" s="2" t="s">
        <v>178</v>
      </c>
      <c r="X2644" s="2">
        <v>46.9</v>
      </c>
    </row>
    <row r="2645" spans="1:24" x14ac:dyDescent="0.3">
      <c r="A2645">
        <v>20516</v>
      </c>
      <c r="B2645" t="s">
        <v>7120</v>
      </c>
      <c r="C2645" s="3">
        <v>40600</v>
      </c>
      <c r="D2645" t="s">
        <v>148</v>
      </c>
      <c r="E2645">
        <v>6</v>
      </c>
      <c r="F2645" s="3">
        <f ca="1">40602+(RANDBETWEEN(1,10))</f>
        <v>40605</v>
      </c>
      <c r="G2645" t="s">
        <v>26</v>
      </c>
      <c r="H2645" t="s">
        <v>51</v>
      </c>
      <c r="I2645" t="s">
        <v>52</v>
      </c>
      <c r="J2645">
        <v>175.98</v>
      </c>
      <c r="K2645">
        <v>7.0000000000000007E-2</v>
      </c>
      <c r="L2645">
        <v>0.52</v>
      </c>
      <c r="M2645">
        <v>6.9649999999999999</v>
      </c>
      <c r="N2645">
        <v>41.825000000000003</v>
      </c>
      <c r="O2645" s="1" t="s">
        <v>53</v>
      </c>
      <c r="P2645" s="1" t="s">
        <v>5422</v>
      </c>
      <c r="Q2645" s="1" t="s">
        <v>5423</v>
      </c>
      <c r="R2645" s="1" t="s">
        <v>100</v>
      </c>
      <c r="S2645" s="1" t="s">
        <v>5424</v>
      </c>
      <c r="T2645" s="1" t="s">
        <v>5425</v>
      </c>
      <c r="U2645" s="2" t="s">
        <v>2853</v>
      </c>
      <c r="V2645" s="2" t="s">
        <v>36</v>
      </c>
      <c r="W2645" s="2" t="s">
        <v>60</v>
      </c>
      <c r="X2645" s="2">
        <v>29.155000000000001</v>
      </c>
    </row>
    <row r="2646" spans="1:24" x14ac:dyDescent="0.3">
      <c r="A2646">
        <v>20517</v>
      </c>
      <c r="B2646" t="s">
        <v>7120</v>
      </c>
      <c r="C2646" s="3">
        <v>40600</v>
      </c>
      <c r="D2646" t="s">
        <v>148</v>
      </c>
      <c r="E2646">
        <v>5</v>
      </c>
      <c r="F2646" s="3">
        <f ca="1">40601+(RANDBETWEEN(1,10))</f>
        <v>40604</v>
      </c>
      <c r="G2646" t="s">
        <v>26</v>
      </c>
      <c r="H2646" t="s">
        <v>63</v>
      </c>
      <c r="I2646" t="s">
        <v>52</v>
      </c>
      <c r="J2646">
        <v>8996.5750000000007</v>
      </c>
      <c r="K2646">
        <v>0.03</v>
      </c>
      <c r="L2646">
        <v>0.36</v>
      </c>
      <c r="M2646">
        <v>85.715000000000003</v>
      </c>
      <c r="N2646">
        <v>6207.6367499999997</v>
      </c>
      <c r="O2646" s="1" t="s">
        <v>53</v>
      </c>
      <c r="P2646" s="1" t="s">
        <v>5422</v>
      </c>
      <c r="Q2646" s="1" t="s">
        <v>5423</v>
      </c>
      <c r="R2646" s="1" t="s">
        <v>100</v>
      </c>
      <c r="S2646" s="1" t="s">
        <v>5424</v>
      </c>
      <c r="T2646" s="1" t="s">
        <v>5425</v>
      </c>
      <c r="U2646" s="2" t="s">
        <v>3414</v>
      </c>
      <c r="V2646" s="2" t="s">
        <v>36</v>
      </c>
      <c r="W2646" s="2" t="s">
        <v>1327</v>
      </c>
      <c r="X2646" s="2">
        <v>1749.9649999999999</v>
      </c>
    </row>
    <row r="2647" spans="1:24" x14ac:dyDescent="0.3">
      <c r="A2647">
        <v>20518</v>
      </c>
      <c r="B2647" t="s">
        <v>7121</v>
      </c>
      <c r="C2647" s="3">
        <v>40941</v>
      </c>
      <c r="D2647" t="s">
        <v>25</v>
      </c>
      <c r="E2647">
        <v>6</v>
      </c>
      <c r="F2647" s="3">
        <f ca="1">40945+(RANDBETWEEN(1,10))</f>
        <v>40954</v>
      </c>
      <c r="G2647" t="s">
        <v>156</v>
      </c>
      <c r="H2647" t="s">
        <v>27</v>
      </c>
      <c r="I2647" t="s">
        <v>28</v>
      </c>
      <c r="J2647">
        <v>403.55</v>
      </c>
      <c r="K2647">
        <v>0.08</v>
      </c>
      <c r="L2647">
        <v>0.37</v>
      </c>
      <c r="M2647">
        <v>30.38</v>
      </c>
      <c r="N2647">
        <v>-848.43499999999995</v>
      </c>
      <c r="O2647" s="1" t="s">
        <v>53</v>
      </c>
      <c r="P2647" s="1" t="s">
        <v>6131</v>
      </c>
      <c r="Q2647" s="1" t="s">
        <v>6132</v>
      </c>
      <c r="R2647" s="1" t="s">
        <v>56</v>
      </c>
      <c r="S2647" s="1" t="s">
        <v>57</v>
      </c>
      <c r="T2647" s="1" t="s">
        <v>6133</v>
      </c>
      <c r="U2647" s="2" t="s">
        <v>3983</v>
      </c>
      <c r="V2647" s="2" t="s">
        <v>47</v>
      </c>
      <c r="W2647" s="2" t="s">
        <v>74</v>
      </c>
      <c r="X2647" s="2">
        <v>69.930000000000007</v>
      </c>
    </row>
    <row r="2648" spans="1:24" x14ac:dyDescent="0.3">
      <c r="A2648">
        <v>20519</v>
      </c>
      <c r="B2648" t="s">
        <v>7121</v>
      </c>
      <c r="C2648" s="3">
        <v>40941</v>
      </c>
      <c r="D2648" t="s">
        <v>25</v>
      </c>
      <c r="E2648">
        <v>9</v>
      </c>
      <c r="F2648" s="3">
        <f ca="1">40941+(RANDBETWEEN(1,10))</f>
        <v>40951</v>
      </c>
      <c r="G2648" t="s">
        <v>26</v>
      </c>
      <c r="H2648" t="s">
        <v>96</v>
      </c>
      <c r="I2648" t="s">
        <v>28</v>
      </c>
      <c r="J2648">
        <v>227.15</v>
      </c>
      <c r="K2648">
        <v>0.03</v>
      </c>
      <c r="L2648">
        <v>0.47</v>
      </c>
      <c r="M2648">
        <v>8.2249999999999996</v>
      </c>
      <c r="N2648">
        <v>-583.19799999999998</v>
      </c>
      <c r="O2648" s="1" t="s">
        <v>53</v>
      </c>
      <c r="P2648" s="1" t="s">
        <v>6131</v>
      </c>
      <c r="Q2648" s="1" t="s">
        <v>6132</v>
      </c>
      <c r="R2648" s="1" t="s">
        <v>56</v>
      </c>
      <c r="S2648" s="1" t="s">
        <v>57</v>
      </c>
      <c r="T2648" s="1" t="s">
        <v>6133</v>
      </c>
      <c r="U2648" s="2" t="s">
        <v>6690</v>
      </c>
      <c r="V2648" s="2" t="s">
        <v>47</v>
      </c>
      <c r="W2648" s="2" t="s">
        <v>104</v>
      </c>
      <c r="X2648" s="2">
        <v>24.78</v>
      </c>
    </row>
    <row r="2649" spans="1:24" x14ac:dyDescent="0.3">
      <c r="A2649">
        <v>20520</v>
      </c>
      <c r="B2649" t="s">
        <v>7122</v>
      </c>
      <c r="C2649" s="3">
        <v>40825</v>
      </c>
      <c r="D2649" t="s">
        <v>50</v>
      </c>
      <c r="E2649">
        <v>14</v>
      </c>
      <c r="F2649" s="3">
        <f ca="1">40827+(RANDBETWEEN(1,10))</f>
        <v>40831</v>
      </c>
      <c r="G2649" t="s">
        <v>26</v>
      </c>
      <c r="H2649" t="s">
        <v>27</v>
      </c>
      <c r="I2649" t="s">
        <v>28</v>
      </c>
      <c r="J2649">
        <v>186.41</v>
      </c>
      <c r="K2649">
        <v>0.05</v>
      </c>
      <c r="L2649">
        <v>0.38</v>
      </c>
      <c r="M2649">
        <v>5.2149999999999999</v>
      </c>
      <c r="N2649">
        <v>50.634500000000003</v>
      </c>
      <c r="O2649" s="1" t="s">
        <v>40</v>
      </c>
      <c r="P2649" s="1" t="s">
        <v>3368</v>
      </c>
      <c r="Q2649" s="1" t="s">
        <v>3369</v>
      </c>
      <c r="R2649" s="1" t="s">
        <v>43</v>
      </c>
      <c r="S2649" s="1" t="s">
        <v>3370</v>
      </c>
      <c r="T2649" s="1" t="s">
        <v>3371</v>
      </c>
      <c r="U2649" s="2" t="s">
        <v>1763</v>
      </c>
      <c r="V2649" s="2" t="s">
        <v>47</v>
      </c>
      <c r="W2649" s="2" t="s">
        <v>111</v>
      </c>
      <c r="X2649" s="2">
        <v>13.3</v>
      </c>
    </row>
    <row r="2650" spans="1:24" x14ac:dyDescent="0.3">
      <c r="A2650">
        <v>20521</v>
      </c>
      <c r="B2650" t="s">
        <v>7122</v>
      </c>
      <c r="C2650" s="3">
        <v>40825</v>
      </c>
      <c r="D2650" t="s">
        <v>50</v>
      </c>
      <c r="E2650">
        <v>7</v>
      </c>
      <c r="F2650" s="3">
        <f ca="1">40825+(RANDBETWEEN(1,10))</f>
        <v>40831</v>
      </c>
      <c r="G2650" t="s">
        <v>26</v>
      </c>
      <c r="H2650" t="s">
        <v>27</v>
      </c>
      <c r="I2650" t="s">
        <v>28</v>
      </c>
      <c r="J2650">
        <v>712.21500000000003</v>
      </c>
      <c r="K2650">
        <v>0.09</v>
      </c>
      <c r="L2650">
        <v>0.75</v>
      </c>
      <c r="M2650">
        <v>14</v>
      </c>
      <c r="N2650">
        <v>-349.95240000000001</v>
      </c>
      <c r="O2650" s="1" t="s">
        <v>40</v>
      </c>
      <c r="P2650" s="1" t="s">
        <v>3368</v>
      </c>
      <c r="Q2650" s="1" t="s">
        <v>3369</v>
      </c>
      <c r="R2650" s="1" t="s">
        <v>43</v>
      </c>
      <c r="S2650" s="1" t="s">
        <v>3370</v>
      </c>
      <c r="T2650" s="1" t="s">
        <v>3371</v>
      </c>
      <c r="U2650" s="2" t="s">
        <v>216</v>
      </c>
      <c r="V2650" s="2" t="s">
        <v>36</v>
      </c>
      <c r="W2650" s="2" t="s">
        <v>60</v>
      </c>
      <c r="X2650" s="2">
        <v>107.55500000000001</v>
      </c>
    </row>
    <row r="2651" spans="1:24" x14ac:dyDescent="0.3">
      <c r="A2651">
        <v>20522</v>
      </c>
      <c r="B2651" t="s">
        <v>7122</v>
      </c>
      <c r="C2651" s="3">
        <v>40825</v>
      </c>
      <c r="D2651" t="s">
        <v>50</v>
      </c>
      <c r="E2651">
        <v>22</v>
      </c>
      <c r="F2651" s="3">
        <f ca="1">40826+(RANDBETWEEN(1,10))</f>
        <v>40827</v>
      </c>
      <c r="G2651" t="s">
        <v>26</v>
      </c>
      <c r="H2651" t="s">
        <v>27</v>
      </c>
      <c r="I2651" t="s">
        <v>28</v>
      </c>
      <c r="J2651">
        <v>8246.0349999999999</v>
      </c>
      <c r="K2651">
        <v>0</v>
      </c>
      <c r="L2651">
        <v>0.56999999999999995</v>
      </c>
      <c r="M2651">
        <v>28.28</v>
      </c>
      <c r="N2651">
        <v>4720.0885200000002</v>
      </c>
      <c r="O2651" s="1" t="s">
        <v>40</v>
      </c>
      <c r="P2651" s="1" t="s">
        <v>3368</v>
      </c>
      <c r="Q2651" s="1" t="s">
        <v>3369</v>
      </c>
      <c r="R2651" s="1" t="s">
        <v>43</v>
      </c>
      <c r="S2651" s="1" t="s">
        <v>3370</v>
      </c>
      <c r="T2651" s="1" t="s">
        <v>3371</v>
      </c>
      <c r="U2651" s="2" t="s">
        <v>566</v>
      </c>
      <c r="V2651" s="2" t="s">
        <v>36</v>
      </c>
      <c r="W2651" s="2" t="s">
        <v>37</v>
      </c>
      <c r="X2651" s="2">
        <v>440.96499999999997</v>
      </c>
    </row>
    <row r="2652" spans="1:24" x14ac:dyDescent="0.3">
      <c r="A2652">
        <v>20523</v>
      </c>
      <c r="B2652" t="s">
        <v>7123</v>
      </c>
      <c r="C2652" s="3">
        <v>40657</v>
      </c>
      <c r="D2652" t="s">
        <v>50</v>
      </c>
      <c r="E2652">
        <v>1</v>
      </c>
      <c r="F2652" s="3">
        <f ca="1">40657+(RANDBETWEEN(1,10))</f>
        <v>40666</v>
      </c>
      <c r="G2652" t="s">
        <v>156</v>
      </c>
      <c r="H2652" t="s">
        <v>96</v>
      </c>
      <c r="I2652" t="s">
        <v>52</v>
      </c>
      <c r="J2652">
        <v>27.86</v>
      </c>
      <c r="K2652">
        <v>0</v>
      </c>
      <c r="L2652">
        <v>0.56000000000000005</v>
      </c>
      <c r="M2652">
        <v>2.4500000000000002</v>
      </c>
      <c r="N2652">
        <v>-0.38500000000000001</v>
      </c>
      <c r="O2652" s="1" t="s">
        <v>40</v>
      </c>
      <c r="P2652" s="1" t="s">
        <v>6323</v>
      </c>
      <c r="Q2652" s="1" t="s">
        <v>6324</v>
      </c>
      <c r="R2652" s="1" t="s">
        <v>43</v>
      </c>
      <c r="S2652" s="1" t="s">
        <v>6325</v>
      </c>
      <c r="T2652" s="1" t="s">
        <v>6326</v>
      </c>
      <c r="U2652" s="2" t="s">
        <v>443</v>
      </c>
      <c r="V2652" s="2" t="s">
        <v>47</v>
      </c>
      <c r="W2652" s="2" t="s">
        <v>104</v>
      </c>
      <c r="X2652" s="2">
        <v>10.08</v>
      </c>
    </row>
    <row r="2653" spans="1:24" x14ac:dyDescent="0.3">
      <c r="A2653">
        <v>20524</v>
      </c>
      <c r="B2653" t="s">
        <v>7124</v>
      </c>
      <c r="C2653" s="3">
        <v>41442</v>
      </c>
      <c r="D2653" t="s">
        <v>148</v>
      </c>
      <c r="E2653">
        <v>8</v>
      </c>
      <c r="F2653" s="3">
        <f ca="1">41443+(RANDBETWEEN(1,10))</f>
        <v>41450</v>
      </c>
      <c r="G2653" t="s">
        <v>156</v>
      </c>
      <c r="H2653" t="s">
        <v>27</v>
      </c>
      <c r="I2653" t="s">
        <v>52</v>
      </c>
      <c r="J2653">
        <v>208.11</v>
      </c>
      <c r="K2653">
        <v>0.1</v>
      </c>
      <c r="L2653">
        <v>0.37</v>
      </c>
      <c r="M2653">
        <v>39.024999999999999</v>
      </c>
      <c r="N2653">
        <v>-166.25700000000001</v>
      </c>
      <c r="O2653" s="1" t="s">
        <v>29</v>
      </c>
      <c r="P2653" s="1" t="s">
        <v>4755</v>
      </c>
      <c r="Q2653" s="1" t="s">
        <v>4756</v>
      </c>
      <c r="R2653" s="1" t="s">
        <v>675</v>
      </c>
      <c r="S2653" s="1" t="s">
        <v>4757</v>
      </c>
      <c r="T2653" s="1" t="s">
        <v>4758</v>
      </c>
      <c r="U2653" s="2" t="s">
        <v>4160</v>
      </c>
      <c r="V2653" s="2" t="s">
        <v>47</v>
      </c>
      <c r="W2653" s="2" t="s">
        <v>74</v>
      </c>
      <c r="X2653" s="2">
        <v>25.48</v>
      </c>
    </row>
    <row r="2654" spans="1:24" x14ac:dyDescent="0.3">
      <c r="A2654">
        <v>20525</v>
      </c>
      <c r="B2654" t="s">
        <v>7124</v>
      </c>
      <c r="C2654" s="3">
        <v>41442</v>
      </c>
      <c r="D2654" t="s">
        <v>148</v>
      </c>
      <c r="E2654">
        <v>12</v>
      </c>
      <c r="F2654" s="3">
        <f ca="1">41443+(RANDBETWEEN(1,10))</f>
        <v>41450</v>
      </c>
      <c r="G2654" t="s">
        <v>156</v>
      </c>
      <c r="H2654" t="s">
        <v>27</v>
      </c>
      <c r="I2654" t="s">
        <v>52</v>
      </c>
      <c r="J2654">
        <v>297.32499999999999</v>
      </c>
      <c r="K2654">
        <v>0.01</v>
      </c>
      <c r="L2654">
        <v>0.37</v>
      </c>
      <c r="M2654">
        <v>35.174999999999997</v>
      </c>
      <c r="N2654">
        <v>-40.797400000000003</v>
      </c>
      <c r="O2654" s="1" t="s">
        <v>87</v>
      </c>
      <c r="P2654" s="1" t="s">
        <v>7125</v>
      </c>
      <c r="Q2654" s="1" t="s">
        <v>7126</v>
      </c>
      <c r="R2654" s="1" t="s">
        <v>646</v>
      </c>
      <c r="S2654" s="1" t="s">
        <v>7127</v>
      </c>
      <c r="T2654" s="1" t="s">
        <v>7128</v>
      </c>
      <c r="U2654" s="2" t="s">
        <v>635</v>
      </c>
      <c r="V2654" s="2" t="s">
        <v>47</v>
      </c>
      <c r="W2654" s="2" t="s">
        <v>74</v>
      </c>
      <c r="X2654" s="2">
        <v>22.68</v>
      </c>
    </row>
    <row r="2655" spans="1:24" x14ac:dyDescent="0.3">
      <c r="A2655">
        <v>20526</v>
      </c>
      <c r="B2655" t="s">
        <v>7129</v>
      </c>
      <c r="C2655" s="3">
        <v>41108</v>
      </c>
      <c r="D2655" t="s">
        <v>62</v>
      </c>
      <c r="E2655">
        <v>12</v>
      </c>
      <c r="F2655" s="3">
        <f ca="1">41108+(RANDBETWEEN(1,10))</f>
        <v>41112</v>
      </c>
      <c r="G2655" t="s">
        <v>26</v>
      </c>
      <c r="H2655" t="s">
        <v>27</v>
      </c>
      <c r="I2655" t="s">
        <v>52</v>
      </c>
      <c r="J2655">
        <v>256.2</v>
      </c>
      <c r="K2655">
        <v>0</v>
      </c>
      <c r="L2655">
        <v>0.36</v>
      </c>
      <c r="M2655">
        <v>27.86</v>
      </c>
      <c r="N2655">
        <v>-578.41</v>
      </c>
      <c r="O2655" s="1" t="s">
        <v>87</v>
      </c>
      <c r="P2655" s="1" t="s">
        <v>2203</v>
      </c>
      <c r="Q2655" s="1" t="s">
        <v>2204</v>
      </c>
      <c r="R2655" s="1" t="s">
        <v>90</v>
      </c>
      <c r="S2655" s="1" t="s">
        <v>1811</v>
      </c>
      <c r="T2655" s="1" t="s">
        <v>1812</v>
      </c>
      <c r="U2655" s="2" t="s">
        <v>3042</v>
      </c>
      <c r="V2655" s="2" t="s">
        <v>47</v>
      </c>
      <c r="W2655" s="2" t="s">
        <v>74</v>
      </c>
      <c r="X2655" s="2">
        <v>20.23</v>
      </c>
    </row>
    <row r="2656" spans="1:24" x14ac:dyDescent="0.3">
      <c r="A2656">
        <v>20527</v>
      </c>
      <c r="B2656" t="s">
        <v>7130</v>
      </c>
      <c r="C2656" s="3">
        <v>41973</v>
      </c>
      <c r="D2656" t="s">
        <v>50</v>
      </c>
      <c r="E2656">
        <v>3</v>
      </c>
      <c r="F2656" s="3">
        <f ca="1">41975+(RANDBETWEEN(1,10))</f>
        <v>41977</v>
      </c>
      <c r="G2656" t="s">
        <v>26</v>
      </c>
      <c r="H2656" t="s">
        <v>27</v>
      </c>
      <c r="I2656" t="s">
        <v>28</v>
      </c>
      <c r="J2656">
        <v>745.18499999999995</v>
      </c>
      <c r="K2656">
        <v>0</v>
      </c>
      <c r="L2656">
        <v>0.59</v>
      </c>
      <c r="M2656">
        <v>12.25</v>
      </c>
      <c r="N2656">
        <v>105.8036</v>
      </c>
      <c r="O2656" s="1" t="s">
        <v>53</v>
      </c>
      <c r="P2656" s="1" t="s">
        <v>7131</v>
      </c>
      <c r="Q2656" s="1" t="s">
        <v>7132</v>
      </c>
      <c r="R2656" s="1" t="s">
        <v>100</v>
      </c>
      <c r="S2656" s="1" t="s">
        <v>4040</v>
      </c>
      <c r="T2656" s="1" t="s">
        <v>4041</v>
      </c>
      <c r="U2656" s="2" t="s">
        <v>989</v>
      </c>
      <c r="V2656" s="2" t="s">
        <v>47</v>
      </c>
      <c r="W2656" s="2" t="s">
        <v>71</v>
      </c>
      <c r="X2656" s="2">
        <v>248.39500000000001</v>
      </c>
    </row>
    <row r="2657" spans="1:24" x14ac:dyDescent="0.3">
      <c r="A2657">
        <v>20528</v>
      </c>
      <c r="B2657" t="s">
        <v>7130</v>
      </c>
      <c r="C2657" s="3">
        <v>41973</v>
      </c>
      <c r="D2657" t="s">
        <v>50</v>
      </c>
      <c r="E2657">
        <v>32</v>
      </c>
      <c r="F2657" s="3">
        <f ca="1">41974+(RANDBETWEEN(1,10))</f>
        <v>41975</v>
      </c>
      <c r="G2657" t="s">
        <v>26</v>
      </c>
      <c r="H2657" t="s">
        <v>96</v>
      </c>
      <c r="I2657" t="s">
        <v>28</v>
      </c>
      <c r="J2657">
        <v>4081.9450000000002</v>
      </c>
      <c r="K2657">
        <v>0.08</v>
      </c>
      <c r="L2657">
        <v>0.38</v>
      </c>
      <c r="M2657">
        <v>17.78</v>
      </c>
      <c r="N2657">
        <v>2816.54205</v>
      </c>
      <c r="O2657" s="1" t="s">
        <v>53</v>
      </c>
      <c r="P2657" s="1" t="s">
        <v>7131</v>
      </c>
      <c r="Q2657" s="1" t="s">
        <v>7132</v>
      </c>
      <c r="R2657" s="1" t="s">
        <v>100</v>
      </c>
      <c r="S2657" s="1" t="s">
        <v>4040</v>
      </c>
      <c r="T2657" s="1" t="s">
        <v>4041</v>
      </c>
      <c r="U2657" s="2" t="s">
        <v>2638</v>
      </c>
      <c r="V2657" s="2" t="s">
        <v>47</v>
      </c>
      <c r="W2657" s="2" t="s">
        <v>74</v>
      </c>
      <c r="X2657" s="2">
        <v>132.79</v>
      </c>
    </row>
    <row r="2658" spans="1:24" x14ac:dyDescent="0.3">
      <c r="A2658">
        <v>20529</v>
      </c>
      <c r="B2658" t="s">
        <v>7130</v>
      </c>
      <c r="C2658" s="3">
        <v>41973</v>
      </c>
      <c r="D2658" t="s">
        <v>50</v>
      </c>
      <c r="E2658">
        <v>3</v>
      </c>
      <c r="F2658" s="3">
        <f ca="1">41975+(RANDBETWEEN(1,10))</f>
        <v>41976</v>
      </c>
      <c r="G2658" t="s">
        <v>76</v>
      </c>
      <c r="H2658" t="s">
        <v>77</v>
      </c>
      <c r="I2658" t="s">
        <v>28</v>
      </c>
      <c r="J2658">
        <v>20904.064999999999</v>
      </c>
      <c r="K2658">
        <v>0.06</v>
      </c>
      <c r="L2658">
        <v>0.55000000000000004</v>
      </c>
      <c r="M2658">
        <v>51.45</v>
      </c>
      <c r="N2658">
        <v>7880.5077469999997</v>
      </c>
      <c r="O2658" s="1" t="s">
        <v>40</v>
      </c>
      <c r="P2658" s="1" t="s">
        <v>7133</v>
      </c>
      <c r="Q2658" s="1" t="s">
        <v>7134</v>
      </c>
      <c r="R2658" s="1" t="s">
        <v>43</v>
      </c>
      <c r="S2658" s="1" t="s">
        <v>1518</v>
      </c>
      <c r="T2658" s="1" t="s">
        <v>1519</v>
      </c>
      <c r="U2658" s="2" t="s">
        <v>1855</v>
      </c>
      <c r="V2658" s="2" t="s">
        <v>36</v>
      </c>
      <c r="W2658" s="2" t="s">
        <v>142</v>
      </c>
      <c r="X2658" s="2">
        <v>7127.68</v>
      </c>
    </row>
    <row r="2659" spans="1:24" x14ac:dyDescent="0.3">
      <c r="A2659">
        <v>20530</v>
      </c>
      <c r="B2659" t="s">
        <v>7135</v>
      </c>
      <c r="C2659" s="3">
        <v>41287</v>
      </c>
      <c r="D2659" t="s">
        <v>25</v>
      </c>
      <c r="E2659">
        <v>11</v>
      </c>
      <c r="F2659" s="3">
        <f ca="1">41291+(RANDBETWEEN(1,10))</f>
        <v>41297</v>
      </c>
      <c r="G2659" t="s">
        <v>26</v>
      </c>
      <c r="H2659" t="s">
        <v>27</v>
      </c>
      <c r="I2659" t="s">
        <v>52</v>
      </c>
      <c r="J2659">
        <v>1193.5350000000001</v>
      </c>
      <c r="K2659">
        <v>0</v>
      </c>
      <c r="L2659">
        <v>0.85</v>
      </c>
      <c r="M2659">
        <v>17.5</v>
      </c>
      <c r="N2659">
        <v>109.956</v>
      </c>
      <c r="O2659" s="1" t="s">
        <v>87</v>
      </c>
      <c r="P2659" s="1" t="s">
        <v>6919</v>
      </c>
      <c r="Q2659" s="1" t="s">
        <v>6920</v>
      </c>
      <c r="R2659" s="1" t="s">
        <v>646</v>
      </c>
      <c r="S2659" s="1" t="s">
        <v>6921</v>
      </c>
      <c r="T2659" s="1" t="s">
        <v>6922</v>
      </c>
      <c r="U2659" s="2" t="s">
        <v>6099</v>
      </c>
      <c r="V2659" s="2" t="s">
        <v>36</v>
      </c>
      <c r="W2659" s="2" t="s">
        <v>37</v>
      </c>
      <c r="X2659" s="2">
        <v>125.965</v>
      </c>
    </row>
    <row r="2660" spans="1:24" x14ac:dyDescent="0.3">
      <c r="A2660">
        <v>20531</v>
      </c>
      <c r="B2660" t="s">
        <v>7136</v>
      </c>
      <c r="C2660" s="3">
        <v>40804</v>
      </c>
      <c r="D2660" t="s">
        <v>148</v>
      </c>
      <c r="E2660">
        <v>14</v>
      </c>
      <c r="F2660" s="3">
        <f ca="1">40804+(RANDBETWEEN(1,10))</f>
        <v>40813</v>
      </c>
      <c r="G2660" t="s">
        <v>26</v>
      </c>
      <c r="H2660" t="s">
        <v>51</v>
      </c>
      <c r="I2660" t="s">
        <v>97</v>
      </c>
      <c r="J2660">
        <v>2277.4499999999998</v>
      </c>
      <c r="K2660">
        <v>0</v>
      </c>
      <c r="L2660">
        <v>0.57999999999999996</v>
      </c>
      <c r="M2660">
        <v>31.465</v>
      </c>
      <c r="N2660">
        <v>2903.1345000000001</v>
      </c>
      <c r="O2660" s="1" t="s">
        <v>64</v>
      </c>
      <c r="P2660" s="1" t="s">
        <v>2484</v>
      </c>
      <c r="Q2660" s="1" t="s">
        <v>2485</v>
      </c>
      <c r="R2660" s="1" t="s">
        <v>128</v>
      </c>
      <c r="S2660" s="1" t="s">
        <v>2486</v>
      </c>
      <c r="T2660" s="1" t="s">
        <v>2487</v>
      </c>
      <c r="U2660" s="2" t="s">
        <v>565</v>
      </c>
      <c r="V2660" s="2" t="s">
        <v>47</v>
      </c>
      <c r="W2660" s="2" t="s">
        <v>104</v>
      </c>
      <c r="X2660" s="2">
        <v>153.93</v>
      </c>
    </row>
    <row r="2661" spans="1:24" x14ac:dyDescent="0.3">
      <c r="A2661">
        <v>20532</v>
      </c>
      <c r="B2661" t="s">
        <v>7137</v>
      </c>
      <c r="C2661" s="3">
        <v>41741</v>
      </c>
      <c r="D2661" t="s">
        <v>62</v>
      </c>
      <c r="E2661">
        <v>9</v>
      </c>
      <c r="F2661" s="3">
        <f ca="1">41741+(RANDBETWEEN(1,10))</f>
        <v>41742</v>
      </c>
      <c r="G2661" t="s">
        <v>26</v>
      </c>
      <c r="H2661" t="s">
        <v>27</v>
      </c>
      <c r="I2661" t="s">
        <v>28</v>
      </c>
      <c r="J2661">
        <v>5947.41</v>
      </c>
      <c r="K2661">
        <v>0.09</v>
      </c>
      <c r="L2661">
        <v>0.55000000000000004</v>
      </c>
      <c r="M2661">
        <v>3.4649999999999999</v>
      </c>
      <c r="N2661">
        <v>4103.7129000000004</v>
      </c>
      <c r="O2661" s="1" t="s">
        <v>64</v>
      </c>
      <c r="P2661" s="1" t="s">
        <v>7138</v>
      </c>
      <c r="Q2661" s="1" t="s">
        <v>7139</v>
      </c>
      <c r="R2661" s="1" t="s">
        <v>67</v>
      </c>
      <c r="S2661" s="1" t="s">
        <v>7140</v>
      </c>
      <c r="T2661" s="1" t="s">
        <v>7141</v>
      </c>
      <c r="U2661" s="2" t="s">
        <v>1018</v>
      </c>
      <c r="V2661" s="2" t="s">
        <v>47</v>
      </c>
      <c r="W2661" s="2" t="s">
        <v>71</v>
      </c>
      <c r="X2661" s="2">
        <v>726.18</v>
      </c>
    </row>
    <row r="2662" spans="1:24" x14ac:dyDescent="0.3">
      <c r="A2662">
        <v>20533</v>
      </c>
      <c r="B2662" t="s">
        <v>7142</v>
      </c>
      <c r="C2662" s="3">
        <v>41912</v>
      </c>
      <c r="D2662" t="s">
        <v>25</v>
      </c>
      <c r="E2662">
        <v>11</v>
      </c>
      <c r="F2662" s="3">
        <f ca="1">41914+(RANDBETWEEN(1,10))</f>
        <v>41921</v>
      </c>
      <c r="G2662" t="s">
        <v>26</v>
      </c>
      <c r="H2662" t="s">
        <v>27</v>
      </c>
      <c r="I2662" t="s">
        <v>28</v>
      </c>
      <c r="J2662">
        <v>275.31</v>
      </c>
      <c r="K2662">
        <v>0.09</v>
      </c>
      <c r="L2662">
        <v>0.35</v>
      </c>
      <c r="M2662">
        <v>19.145</v>
      </c>
      <c r="N2662">
        <v>-1787.8794934</v>
      </c>
      <c r="O2662" s="1" t="s">
        <v>53</v>
      </c>
      <c r="P2662" s="1" t="s">
        <v>7143</v>
      </c>
      <c r="Q2662" s="1" t="s">
        <v>7144</v>
      </c>
      <c r="R2662" s="1" t="s">
        <v>56</v>
      </c>
      <c r="S2662" s="1" t="s">
        <v>7145</v>
      </c>
      <c r="T2662" s="1" t="s">
        <v>7146</v>
      </c>
      <c r="U2662" s="2" t="s">
        <v>5381</v>
      </c>
      <c r="V2662" s="2" t="s">
        <v>47</v>
      </c>
      <c r="W2662" s="2" t="s">
        <v>74</v>
      </c>
      <c r="X2662" s="2">
        <v>25.48</v>
      </c>
    </row>
    <row r="2663" spans="1:24" x14ac:dyDescent="0.3">
      <c r="A2663">
        <v>20534</v>
      </c>
      <c r="B2663" t="s">
        <v>7147</v>
      </c>
      <c r="C2663" s="3">
        <v>41539</v>
      </c>
      <c r="D2663" t="s">
        <v>25</v>
      </c>
      <c r="E2663">
        <v>10</v>
      </c>
      <c r="F2663" s="3">
        <f ca="1">41543+(RANDBETWEEN(1,10))</f>
        <v>41550</v>
      </c>
      <c r="G2663" t="s">
        <v>26</v>
      </c>
      <c r="H2663" t="s">
        <v>27</v>
      </c>
      <c r="I2663" t="s">
        <v>86</v>
      </c>
      <c r="J2663">
        <v>134.57499999999999</v>
      </c>
      <c r="K2663">
        <v>0.03</v>
      </c>
      <c r="L2663">
        <v>0.37</v>
      </c>
      <c r="M2663">
        <v>1.75</v>
      </c>
      <c r="N2663">
        <v>92.856750000000005</v>
      </c>
      <c r="O2663" s="1" t="s">
        <v>87</v>
      </c>
      <c r="P2663" s="1" t="s">
        <v>5916</v>
      </c>
      <c r="Q2663" s="1" t="s">
        <v>5917</v>
      </c>
      <c r="R2663" s="1" t="s">
        <v>90</v>
      </c>
      <c r="S2663" s="1" t="s">
        <v>5918</v>
      </c>
      <c r="T2663" s="1" t="s">
        <v>5919</v>
      </c>
      <c r="U2663" s="2" t="s">
        <v>2907</v>
      </c>
      <c r="V2663" s="2" t="s">
        <v>47</v>
      </c>
      <c r="W2663" s="2" t="s">
        <v>203</v>
      </c>
      <c r="X2663" s="2">
        <v>13.125</v>
      </c>
    </row>
    <row r="2664" spans="1:24" x14ac:dyDescent="0.3">
      <c r="A2664">
        <v>20535</v>
      </c>
      <c r="B2664" t="s">
        <v>7148</v>
      </c>
      <c r="C2664" s="3">
        <v>41614</v>
      </c>
      <c r="D2664" t="s">
        <v>50</v>
      </c>
      <c r="E2664">
        <v>15</v>
      </c>
      <c r="F2664" s="3">
        <f ca="1">41615+(RANDBETWEEN(1,10))</f>
        <v>41617</v>
      </c>
      <c r="G2664" t="s">
        <v>26</v>
      </c>
      <c r="H2664" t="s">
        <v>27</v>
      </c>
      <c r="I2664" t="s">
        <v>52</v>
      </c>
      <c r="J2664">
        <v>1083.46</v>
      </c>
      <c r="K2664">
        <v>0.05</v>
      </c>
      <c r="L2664">
        <v>0.6</v>
      </c>
      <c r="M2664">
        <v>14</v>
      </c>
      <c r="N2664">
        <v>179.34</v>
      </c>
      <c r="O2664" s="1" t="s">
        <v>64</v>
      </c>
      <c r="P2664" s="1" t="s">
        <v>4161</v>
      </c>
      <c r="Q2664" s="1" t="s">
        <v>4162</v>
      </c>
      <c r="R2664" s="1" t="s">
        <v>67</v>
      </c>
      <c r="S2664" s="1" t="s">
        <v>4163</v>
      </c>
      <c r="T2664" s="1" t="s">
        <v>4164</v>
      </c>
      <c r="U2664" s="2" t="s">
        <v>3946</v>
      </c>
      <c r="V2664" s="2" t="s">
        <v>36</v>
      </c>
      <c r="W2664" s="2" t="s">
        <v>60</v>
      </c>
      <c r="X2664" s="2">
        <v>73.325000000000003</v>
      </c>
    </row>
    <row r="2665" spans="1:24" x14ac:dyDescent="0.3">
      <c r="A2665">
        <v>20536</v>
      </c>
      <c r="B2665" t="s">
        <v>7149</v>
      </c>
      <c r="C2665" s="3">
        <v>40784</v>
      </c>
      <c r="D2665" t="s">
        <v>25</v>
      </c>
      <c r="E2665">
        <v>2</v>
      </c>
      <c r="F2665" s="3">
        <f ca="1">40791+(RANDBETWEEN(1,10))</f>
        <v>40794</v>
      </c>
      <c r="G2665" t="s">
        <v>76</v>
      </c>
      <c r="H2665" t="s">
        <v>77</v>
      </c>
      <c r="I2665" t="s">
        <v>28</v>
      </c>
      <c r="J2665">
        <v>2167.83</v>
      </c>
      <c r="K2665">
        <v>0.03</v>
      </c>
      <c r="L2665">
        <v>0.6</v>
      </c>
      <c r="M2665">
        <v>243.42500000000001</v>
      </c>
      <c r="N2665">
        <v>-408.04399999999998</v>
      </c>
      <c r="O2665" s="1" t="s">
        <v>29</v>
      </c>
      <c r="P2665" s="1" t="s">
        <v>5820</v>
      </c>
      <c r="Q2665" s="1" t="s">
        <v>5821</v>
      </c>
      <c r="R2665" s="1" t="s">
        <v>460</v>
      </c>
      <c r="S2665" s="1" t="s">
        <v>5822</v>
      </c>
      <c r="T2665" s="1" t="s">
        <v>5823</v>
      </c>
      <c r="U2665" s="2" t="s">
        <v>5566</v>
      </c>
      <c r="V2665" s="2" t="s">
        <v>83</v>
      </c>
      <c r="W2665" s="2" t="s">
        <v>84</v>
      </c>
      <c r="X2665" s="2">
        <v>997.43</v>
      </c>
    </row>
    <row r="2666" spans="1:24" x14ac:dyDescent="0.3">
      <c r="A2666">
        <v>20537</v>
      </c>
      <c r="B2666" t="s">
        <v>7149</v>
      </c>
      <c r="C2666" s="3">
        <v>40784</v>
      </c>
      <c r="D2666" t="s">
        <v>25</v>
      </c>
      <c r="E2666">
        <v>1</v>
      </c>
      <c r="F2666" s="3">
        <f ca="1">40784+(RANDBETWEEN(1,10))</f>
        <v>40789</v>
      </c>
      <c r="G2666" t="s">
        <v>26</v>
      </c>
      <c r="H2666" t="s">
        <v>63</v>
      </c>
      <c r="I2666" t="s">
        <v>28</v>
      </c>
      <c r="J2666">
        <v>65.415000000000006</v>
      </c>
      <c r="K2666">
        <v>0</v>
      </c>
      <c r="L2666">
        <v>0.73</v>
      </c>
      <c r="M2666">
        <v>50.295000000000002</v>
      </c>
      <c r="N2666">
        <v>45.13635</v>
      </c>
      <c r="O2666" s="1" t="s">
        <v>29</v>
      </c>
      <c r="P2666" s="1" t="s">
        <v>5820</v>
      </c>
      <c r="Q2666" s="1" t="s">
        <v>5821</v>
      </c>
      <c r="R2666" s="1" t="s">
        <v>460</v>
      </c>
      <c r="S2666" s="1" t="s">
        <v>5822</v>
      </c>
      <c r="T2666" s="1" t="s">
        <v>5823</v>
      </c>
      <c r="U2666" s="2" t="s">
        <v>5853</v>
      </c>
      <c r="V2666" s="2" t="s">
        <v>83</v>
      </c>
      <c r="W2666" s="2" t="s">
        <v>178</v>
      </c>
      <c r="X2666" s="2">
        <v>45.465000000000003</v>
      </c>
    </row>
    <row r="2667" spans="1:24" x14ac:dyDescent="0.3">
      <c r="A2667">
        <v>20538</v>
      </c>
      <c r="B2667" t="s">
        <v>7150</v>
      </c>
      <c r="C2667" s="3">
        <v>41646</v>
      </c>
      <c r="D2667" t="s">
        <v>148</v>
      </c>
      <c r="E2667">
        <v>8</v>
      </c>
      <c r="F2667" s="3">
        <f ca="1">41648+(RANDBETWEEN(1,10))</f>
        <v>41650</v>
      </c>
      <c r="G2667" t="s">
        <v>156</v>
      </c>
      <c r="H2667" t="s">
        <v>27</v>
      </c>
      <c r="I2667" t="s">
        <v>52</v>
      </c>
      <c r="J2667">
        <v>569.94000000000005</v>
      </c>
      <c r="K2667">
        <v>0.09</v>
      </c>
      <c r="L2667">
        <v>0.37</v>
      </c>
      <c r="M2667">
        <v>30.905000000000001</v>
      </c>
      <c r="N2667">
        <v>160.32750999999999</v>
      </c>
      <c r="O2667" s="1" t="s">
        <v>64</v>
      </c>
      <c r="P2667" s="1" t="s">
        <v>5612</v>
      </c>
      <c r="Q2667" s="1" t="s">
        <v>5613</v>
      </c>
      <c r="R2667" s="1" t="s">
        <v>67</v>
      </c>
      <c r="S2667" s="1" t="s">
        <v>5614</v>
      </c>
      <c r="T2667" s="1" t="s">
        <v>5615</v>
      </c>
      <c r="U2667" s="2" t="s">
        <v>7151</v>
      </c>
      <c r="V2667" s="2" t="s">
        <v>47</v>
      </c>
      <c r="W2667" s="2" t="s">
        <v>111</v>
      </c>
      <c r="X2667" s="2">
        <v>73.430000000000007</v>
      </c>
    </row>
    <row r="2668" spans="1:24" x14ac:dyDescent="0.3">
      <c r="A2668">
        <v>20539</v>
      </c>
      <c r="B2668" t="s">
        <v>7152</v>
      </c>
      <c r="C2668" s="3">
        <v>40550</v>
      </c>
      <c r="D2668" t="s">
        <v>148</v>
      </c>
      <c r="E2668">
        <v>1</v>
      </c>
      <c r="F2668" s="3">
        <f ca="1">40553+(RANDBETWEEN(1,10))</f>
        <v>40557</v>
      </c>
      <c r="G2668" t="s">
        <v>26</v>
      </c>
      <c r="H2668" t="s">
        <v>27</v>
      </c>
      <c r="I2668" t="s">
        <v>52</v>
      </c>
      <c r="J2668">
        <v>276.57</v>
      </c>
      <c r="K2668">
        <v>0.03</v>
      </c>
      <c r="L2668">
        <v>0.65</v>
      </c>
      <c r="M2668">
        <v>50.82</v>
      </c>
      <c r="N2668">
        <v>-1141.8106</v>
      </c>
      <c r="O2668" s="1" t="s">
        <v>64</v>
      </c>
      <c r="P2668" s="1" t="s">
        <v>5612</v>
      </c>
      <c r="Q2668" s="1" t="s">
        <v>5613</v>
      </c>
      <c r="R2668" s="1" t="s">
        <v>67</v>
      </c>
      <c r="S2668" s="1" t="s">
        <v>5614</v>
      </c>
      <c r="T2668" s="1" t="s">
        <v>5615</v>
      </c>
      <c r="U2668" s="2" t="s">
        <v>2448</v>
      </c>
      <c r="V2668" s="2" t="s">
        <v>36</v>
      </c>
      <c r="W2668" s="2" t="s">
        <v>60</v>
      </c>
      <c r="X2668" s="2">
        <v>258.93</v>
      </c>
    </row>
    <row r="2669" spans="1:24" x14ac:dyDescent="0.3">
      <c r="A2669">
        <v>20540</v>
      </c>
      <c r="B2669" t="s">
        <v>7153</v>
      </c>
      <c r="C2669" s="3">
        <v>41345</v>
      </c>
      <c r="D2669" t="s">
        <v>39</v>
      </c>
      <c r="E2669">
        <v>12</v>
      </c>
      <c r="F2669" s="3">
        <f ca="1">41345+(RANDBETWEEN(1,10))</f>
        <v>41349</v>
      </c>
      <c r="G2669" t="s">
        <v>26</v>
      </c>
      <c r="H2669" t="s">
        <v>27</v>
      </c>
      <c r="I2669" t="s">
        <v>28</v>
      </c>
      <c r="J2669">
        <v>451.32499999999999</v>
      </c>
      <c r="K2669">
        <v>0.04</v>
      </c>
      <c r="L2669">
        <v>0.56999999999999995</v>
      </c>
      <c r="M2669">
        <v>18.059999999999999</v>
      </c>
      <c r="N2669">
        <v>4.0599999999999996</v>
      </c>
      <c r="O2669" s="1" t="s">
        <v>64</v>
      </c>
      <c r="P2669" s="1" t="s">
        <v>1459</v>
      </c>
      <c r="Q2669" s="1" t="s">
        <v>1460</v>
      </c>
      <c r="R2669" s="1" t="s">
        <v>128</v>
      </c>
      <c r="S2669" s="1" t="s">
        <v>1461</v>
      </c>
      <c r="T2669" s="1" t="s">
        <v>1462</v>
      </c>
      <c r="U2669" s="2" t="s">
        <v>1754</v>
      </c>
      <c r="V2669" s="2" t="s">
        <v>83</v>
      </c>
      <c r="W2669" s="2" t="s">
        <v>178</v>
      </c>
      <c r="X2669" s="2">
        <v>37.24</v>
      </c>
    </row>
    <row r="2670" spans="1:24" x14ac:dyDescent="0.3">
      <c r="A2670">
        <v>20541</v>
      </c>
      <c r="B2670" t="s">
        <v>7153</v>
      </c>
      <c r="C2670" s="3">
        <v>41345</v>
      </c>
      <c r="D2670" t="s">
        <v>39</v>
      </c>
      <c r="E2670">
        <v>4</v>
      </c>
      <c r="F2670" s="3">
        <f ca="1">41345+(RANDBETWEEN(1,10))</f>
        <v>41348</v>
      </c>
      <c r="G2670" t="s">
        <v>156</v>
      </c>
      <c r="H2670" t="s">
        <v>281</v>
      </c>
      <c r="I2670" t="s">
        <v>28</v>
      </c>
      <c r="J2670">
        <v>203.14</v>
      </c>
      <c r="K2670">
        <v>0.1</v>
      </c>
      <c r="L2670">
        <v>0.52</v>
      </c>
      <c r="M2670">
        <v>23.625</v>
      </c>
      <c r="N2670">
        <v>-87.185000000000002</v>
      </c>
      <c r="O2670" s="1" t="s">
        <v>29</v>
      </c>
      <c r="P2670" s="1" t="s">
        <v>7154</v>
      </c>
      <c r="Q2670" s="1" t="s">
        <v>7155</v>
      </c>
      <c r="R2670" s="1" t="s">
        <v>32</v>
      </c>
      <c r="S2670" s="1" t="s">
        <v>7156</v>
      </c>
      <c r="T2670" s="1" t="s">
        <v>7157</v>
      </c>
      <c r="U2670" s="2" t="s">
        <v>1196</v>
      </c>
      <c r="V2670" s="2" t="s">
        <v>47</v>
      </c>
      <c r="W2670" s="2" t="s">
        <v>71</v>
      </c>
      <c r="X2670" s="2">
        <v>50.47</v>
      </c>
    </row>
    <row r="2671" spans="1:24" x14ac:dyDescent="0.3">
      <c r="A2671">
        <v>20542</v>
      </c>
      <c r="B2671" t="s">
        <v>7153</v>
      </c>
      <c r="C2671" s="3">
        <v>41345</v>
      </c>
      <c r="D2671" t="s">
        <v>39</v>
      </c>
      <c r="E2671">
        <v>1</v>
      </c>
      <c r="F2671" s="3">
        <f ca="1">41347+(RANDBETWEEN(1,10))</f>
        <v>41354</v>
      </c>
      <c r="G2671" t="s">
        <v>76</v>
      </c>
      <c r="H2671" t="s">
        <v>77</v>
      </c>
      <c r="I2671" t="s">
        <v>28</v>
      </c>
      <c r="J2671">
        <v>962.255</v>
      </c>
      <c r="K2671">
        <v>0.08</v>
      </c>
      <c r="L2671">
        <v>0.59</v>
      </c>
      <c r="M2671">
        <v>81.165000000000006</v>
      </c>
      <c r="N2671">
        <v>-442.19</v>
      </c>
      <c r="O2671" s="1" t="s">
        <v>29</v>
      </c>
      <c r="P2671" s="1" t="s">
        <v>7154</v>
      </c>
      <c r="Q2671" s="1" t="s">
        <v>7155</v>
      </c>
      <c r="R2671" s="1" t="s">
        <v>32</v>
      </c>
      <c r="S2671" s="1" t="s">
        <v>7156</v>
      </c>
      <c r="T2671" s="1" t="s">
        <v>7157</v>
      </c>
      <c r="U2671" s="2" t="s">
        <v>1970</v>
      </c>
      <c r="V2671" s="2" t="s">
        <v>47</v>
      </c>
      <c r="W2671" s="2" t="s">
        <v>71</v>
      </c>
      <c r="X2671" s="2">
        <v>979.33500000000004</v>
      </c>
    </row>
    <row r="2672" spans="1:24" x14ac:dyDescent="0.3">
      <c r="A2672">
        <v>20543</v>
      </c>
      <c r="B2672" t="s">
        <v>7153</v>
      </c>
      <c r="C2672" s="3">
        <v>41345</v>
      </c>
      <c r="D2672" t="s">
        <v>39</v>
      </c>
      <c r="E2672">
        <v>3</v>
      </c>
      <c r="F2672" s="3">
        <f ca="1">41347+(RANDBETWEEN(1,10))</f>
        <v>41352</v>
      </c>
      <c r="G2672" t="s">
        <v>156</v>
      </c>
      <c r="H2672" t="s">
        <v>96</v>
      </c>
      <c r="I2672" t="s">
        <v>28</v>
      </c>
      <c r="J2672">
        <v>66.885000000000005</v>
      </c>
      <c r="K2672">
        <v>0.02</v>
      </c>
      <c r="L2672">
        <v>0.49</v>
      </c>
      <c r="M2672">
        <v>2.9049999999999998</v>
      </c>
      <c r="N2672">
        <v>46.150649999999999</v>
      </c>
      <c r="O2672" s="1" t="s">
        <v>29</v>
      </c>
      <c r="P2672" s="1" t="s">
        <v>7154</v>
      </c>
      <c r="Q2672" s="1" t="s">
        <v>7155</v>
      </c>
      <c r="R2672" s="1" t="s">
        <v>32</v>
      </c>
      <c r="S2672" s="1" t="s">
        <v>7156</v>
      </c>
      <c r="T2672" s="1" t="s">
        <v>7157</v>
      </c>
      <c r="U2672" s="2" t="s">
        <v>982</v>
      </c>
      <c r="V2672" s="2" t="s">
        <v>47</v>
      </c>
      <c r="W2672" s="2" t="s">
        <v>104</v>
      </c>
      <c r="X2672" s="2">
        <v>20.440000000000001</v>
      </c>
    </row>
    <row r="2673" spans="1:24" x14ac:dyDescent="0.3">
      <c r="A2673">
        <v>20544</v>
      </c>
      <c r="B2673" t="s">
        <v>7158</v>
      </c>
      <c r="C2673" s="3">
        <v>41726</v>
      </c>
      <c r="D2673" t="s">
        <v>39</v>
      </c>
      <c r="E2673">
        <v>7</v>
      </c>
      <c r="F2673" s="3">
        <f ca="1">41728+(RANDBETWEEN(1,10))</f>
        <v>41733</v>
      </c>
      <c r="G2673" t="s">
        <v>76</v>
      </c>
      <c r="H2673" t="s">
        <v>77</v>
      </c>
      <c r="I2673" t="s">
        <v>86</v>
      </c>
      <c r="J2673">
        <v>4438.91</v>
      </c>
      <c r="K2673">
        <v>0.02</v>
      </c>
      <c r="L2673">
        <v>0.56999999999999995</v>
      </c>
      <c r="M2673">
        <v>193.34</v>
      </c>
      <c r="N2673">
        <v>885.99</v>
      </c>
      <c r="O2673" s="1" t="s">
        <v>225</v>
      </c>
      <c r="P2673" s="1" t="s">
        <v>7159</v>
      </c>
      <c r="Q2673" s="1" t="s">
        <v>7160</v>
      </c>
      <c r="R2673" s="1" t="s">
        <v>228</v>
      </c>
      <c r="S2673" s="1" t="s">
        <v>7161</v>
      </c>
      <c r="T2673" s="1" t="s">
        <v>1880</v>
      </c>
      <c r="U2673" s="2" t="s">
        <v>4544</v>
      </c>
      <c r="V2673" s="2" t="s">
        <v>47</v>
      </c>
      <c r="W2673" s="2" t="s">
        <v>71</v>
      </c>
      <c r="X2673" s="2">
        <v>633.42999999999995</v>
      </c>
    </row>
    <row r="2674" spans="1:24" x14ac:dyDescent="0.3">
      <c r="A2674">
        <v>20545</v>
      </c>
      <c r="B2674" t="s">
        <v>7158</v>
      </c>
      <c r="C2674" s="3">
        <v>41726</v>
      </c>
      <c r="D2674" t="s">
        <v>39</v>
      </c>
      <c r="E2674">
        <v>9</v>
      </c>
      <c r="F2674" s="3">
        <f ca="1">41726+(RANDBETWEEN(1,10))</f>
        <v>41728</v>
      </c>
      <c r="G2674" t="s">
        <v>76</v>
      </c>
      <c r="H2674" t="s">
        <v>258</v>
      </c>
      <c r="I2674" t="s">
        <v>86</v>
      </c>
      <c r="J2674">
        <v>5141.3950000000004</v>
      </c>
      <c r="K2674">
        <v>0.01</v>
      </c>
      <c r="L2674">
        <v>0.65</v>
      </c>
      <c r="M2674">
        <v>231.94499999999999</v>
      </c>
      <c r="N2674">
        <v>-1210.72</v>
      </c>
      <c r="O2674" s="1" t="s">
        <v>225</v>
      </c>
      <c r="P2674" s="1" t="s">
        <v>7159</v>
      </c>
      <c r="Q2674" s="1" t="s">
        <v>7160</v>
      </c>
      <c r="R2674" s="1" t="s">
        <v>228</v>
      </c>
      <c r="S2674" s="1" t="s">
        <v>7161</v>
      </c>
      <c r="T2674" s="1" t="s">
        <v>1880</v>
      </c>
      <c r="U2674" s="2" t="s">
        <v>3398</v>
      </c>
      <c r="V2674" s="2" t="s">
        <v>83</v>
      </c>
      <c r="W2674" s="2" t="s">
        <v>298</v>
      </c>
      <c r="X2674" s="2">
        <v>528.42999999999995</v>
      </c>
    </row>
    <row r="2675" spans="1:24" x14ac:dyDescent="0.3">
      <c r="A2675">
        <v>20546</v>
      </c>
      <c r="B2675" t="s">
        <v>7158</v>
      </c>
      <c r="C2675" s="3">
        <v>41726</v>
      </c>
      <c r="D2675" t="s">
        <v>39</v>
      </c>
      <c r="E2675">
        <v>8</v>
      </c>
      <c r="F2675" s="3">
        <f ca="1">41728+(RANDBETWEEN(1,10))</f>
        <v>41730</v>
      </c>
      <c r="G2675" t="s">
        <v>26</v>
      </c>
      <c r="H2675" t="s">
        <v>96</v>
      </c>
      <c r="I2675" t="s">
        <v>86</v>
      </c>
      <c r="J2675">
        <v>186.51499999999999</v>
      </c>
      <c r="K2675">
        <v>0.05</v>
      </c>
      <c r="L2675">
        <v>0.36</v>
      </c>
      <c r="M2675">
        <v>4.6900000000000004</v>
      </c>
      <c r="N2675">
        <v>128.69534999999999</v>
      </c>
      <c r="O2675" s="1" t="s">
        <v>225</v>
      </c>
      <c r="P2675" s="1" t="s">
        <v>7159</v>
      </c>
      <c r="Q2675" s="1" t="s">
        <v>7160</v>
      </c>
      <c r="R2675" s="1" t="s">
        <v>228</v>
      </c>
      <c r="S2675" s="1" t="s">
        <v>7161</v>
      </c>
      <c r="T2675" s="1" t="s">
        <v>1880</v>
      </c>
      <c r="U2675" s="2" t="s">
        <v>7075</v>
      </c>
      <c r="V2675" s="2" t="s">
        <v>47</v>
      </c>
      <c r="W2675" s="2" t="s">
        <v>74</v>
      </c>
      <c r="X2675" s="2">
        <v>22.574999999999999</v>
      </c>
    </row>
    <row r="2676" spans="1:24" x14ac:dyDescent="0.3">
      <c r="A2676">
        <v>20547</v>
      </c>
      <c r="B2676" t="s">
        <v>7158</v>
      </c>
      <c r="C2676" s="3">
        <v>41726</v>
      </c>
      <c r="D2676" t="s">
        <v>39</v>
      </c>
      <c r="E2676">
        <v>10</v>
      </c>
      <c r="F2676" s="3">
        <f ca="1">41728+(RANDBETWEEN(1,10))</f>
        <v>41738</v>
      </c>
      <c r="G2676" t="s">
        <v>26</v>
      </c>
      <c r="H2676" t="s">
        <v>96</v>
      </c>
      <c r="I2676" t="s">
        <v>86</v>
      </c>
      <c r="J2676">
        <v>68.739999999999995</v>
      </c>
      <c r="K2676">
        <v>0.01</v>
      </c>
      <c r="L2676">
        <v>0.83</v>
      </c>
      <c r="M2676">
        <v>2.66</v>
      </c>
      <c r="N2676">
        <v>-65.52</v>
      </c>
      <c r="O2676" s="1" t="s">
        <v>225</v>
      </c>
      <c r="P2676" s="1" t="s">
        <v>7159</v>
      </c>
      <c r="Q2676" s="1" t="s">
        <v>7160</v>
      </c>
      <c r="R2676" s="1" t="s">
        <v>228</v>
      </c>
      <c r="S2676" s="1" t="s">
        <v>7161</v>
      </c>
      <c r="T2676" s="1" t="s">
        <v>1880</v>
      </c>
      <c r="U2676" s="2" t="s">
        <v>4457</v>
      </c>
      <c r="V2676" s="2" t="s">
        <v>47</v>
      </c>
      <c r="W2676" s="2" t="s">
        <v>176</v>
      </c>
      <c r="X2676" s="2">
        <v>6.6150000000000002</v>
      </c>
    </row>
    <row r="2677" spans="1:24" x14ac:dyDescent="0.3">
      <c r="A2677">
        <v>20548</v>
      </c>
      <c r="B2677" t="s">
        <v>7162</v>
      </c>
      <c r="C2677" s="3">
        <v>41014</v>
      </c>
      <c r="D2677" t="s">
        <v>39</v>
      </c>
      <c r="E2677">
        <v>3</v>
      </c>
      <c r="F2677" s="3">
        <f ca="1">41016+(RANDBETWEEN(1,10))</f>
        <v>41026</v>
      </c>
      <c r="G2677" t="s">
        <v>26</v>
      </c>
      <c r="H2677" t="s">
        <v>63</v>
      </c>
      <c r="I2677" t="s">
        <v>86</v>
      </c>
      <c r="J2677">
        <v>714.21</v>
      </c>
      <c r="K2677">
        <v>0.05</v>
      </c>
      <c r="L2677">
        <v>0.8</v>
      </c>
      <c r="M2677">
        <v>122.5</v>
      </c>
      <c r="N2677">
        <v>-1237.9849999999999</v>
      </c>
      <c r="O2677" s="1" t="s">
        <v>40</v>
      </c>
      <c r="P2677" s="1" t="s">
        <v>7163</v>
      </c>
      <c r="Q2677" s="1" t="s">
        <v>7164</v>
      </c>
      <c r="R2677" s="1" t="s">
        <v>43</v>
      </c>
      <c r="S2677" s="1" t="s">
        <v>7165</v>
      </c>
      <c r="T2677" s="1" t="s">
        <v>7166</v>
      </c>
      <c r="U2677" s="2" t="s">
        <v>3893</v>
      </c>
      <c r="V2677" s="2" t="s">
        <v>47</v>
      </c>
      <c r="W2677" s="2" t="s">
        <v>119</v>
      </c>
      <c r="X2677" s="2">
        <v>226.27500000000001</v>
      </c>
    </row>
    <row r="2678" spans="1:24" x14ac:dyDescent="0.3">
      <c r="A2678">
        <v>20549</v>
      </c>
      <c r="B2678" t="s">
        <v>7167</v>
      </c>
      <c r="C2678" s="3">
        <v>41780</v>
      </c>
      <c r="D2678" t="s">
        <v>25</v>
      </c>
      <c r="E2678">
        <v>8</v>
      </c>
      <c r="F2678" s="3">
        <f ca="1">41789+(RANDBETWEEN(1,10))</f>
        <v>41796</v>
      </c>
      <c r="G2678" t="s">
        <v>26</v>
      </c>
      <c r="H2678" t="s">
        <v>27</v>
      </c>
      <c r="I2678" t="s">
        <v>28</v>
      </c>
      <c r="J2678">
        <v>302.57499999999999</v>
      </c>
      <c r="K2678">
        <v>0.09</v>
      </c>
      <c r="L2678">
        <v>0.36</v>
      </c>
      <c r="M2678">
        <v>18.375</v>
      </c>
      <c r="N2678">
        <v>59.22</v>
      </c>
      <c r="O2678" s="1" t="s">
        <v>29</v>
      </c>
      <c r="P2678" s="1" t="s">
        <v>5820</v>
      </c>
      <c r="Q2678" s="1" t="s">
        <v>5821</v>
      </c>
      <c r="R2678" s="1" t="s">
        <v>460</v>
      </c>
      <c r="S2678" s="1" t="s">
        <v>5822</v>
      </c>
      <c r="T2678" s="1" t="s">
        <v>5823</v>
      </c>
      <c r="U2678" s="2" t="s">
        <v>1463</v>
      </c>
      <c r="V2678" s="2" t="s">
        <v>47</v>
      </c>
      <c r="W2678" s="2" t="s">
        <v>48</v>
      </c>
      <c r="X2678" s="2">
        <v>38.814999999999998</v>
      </c>
    </row>
    <row r="2679" spans="1:24" x14ac:dyDescent="0.3">
      <c r="A2679">
        <v>2055</v>
      </c>
      <c r="B2679" t="s">
        <v>7168</v>
      </c>
      <c r="C2679" s="3">
        <v>41283</v>
      </c>
      <c r="D2679" t="s">
        <v>62</v>
      </c>
      <c r="E2679">
        <v>44</v>
      </c>
      <c r="F2679" s="3">
        <f ca="1">41285+(RANDBETWEEN(1,10))</f>
        <v>41286</v>
      </c>
      <c r="G2679" t="s">
        <v>26</v>
      </c>
      <c r="H2679" t="s">
        <v>27</v>
      </c>
      <c r="I2679" t="s">
        <v>28</v>
      </c>
      <c r="J2679">
        <v>1061.97</v>
      </c>
      <c r="K2679">
        <v>0.02</v>
      </c>
      <c r="L2679">
        <v>0.37</v>
      </c>
      <c r="M2679">
        <v>22.434999999999999</v>
      </c>
      <c r="N2679">
        <v>-490.11200000000002</v>
      </c>
      <c r="O2679" s="1" t="s">
        <v>64</v>
      </c>
      <c r="P2679" s="1" t="s">
        <v>265</v>
      </c>
      <c r="Q2679" s="1" t="s">
        <v>266</v>
      </c>
      <c r="R2679" s="1" t="s">
        <v>67</v>
      </c>
      <c r="S2679" s="1" t="s">
        <v>108</v>
      </c>
      <c r="T2679" s="1" t="s">
        <v>196</v>
      </c>
      <c r="U2679" s="2" t="s">
        <v>6258</v>
      </c>
      <c r="V2679" s="2" t="s">
        <v>47</v>
      </c>
      <c r="W2679" s="2" t="s">
        <v>74</v>
      </c>
      <c r="X2679" s="2">
        <v>22.68</v>
      </c>
    </row>
    <row r="2680" spans="1:24" x14ac:dyDescent="0.3">
      <c r="A2680">
        <v>20550</v>
      </c>
      <c r="B2680" t="s">
        <v>7167</v>
      </c>
      <c r="C2680" s="3">
        <v>41780</v>
      </c>
      <c r="D2680" t="s">
        <v>25</v>
      </c>
      <c r="E2680">
        <v>8</v>
      </c>
      <c r="F2680" s="3">
        <f ca="1">41780+(RANDBETWEEN(1,10))</f>
        <v>41786</v>
      </c>
      <c r="G2680" t="s">
        <v>156</v>
      </c>
      <c r="H2680" t="s">
        <v>281</v>
      </c>
      <c r="I2680" t="s">
        <v>28</v>
      </c>
      <c r="J2680">
        <v>3143</v>
      </c>
      <c r="K2680">
        <v>0.08</v>
      </c>
      <c r="L2680">
        <v>0.36</v>
      </c>
      <c r="M2680">
        <v>24.885000000000002</v>
      </c>
      <c r="N2680">
        <v>2168.67</v>
      </c>
      <c r="O2680" s="1" t="s">
        <v>29</v>
      </c>
      <c r="P2680" s="1" t="s">
        <v>5820</v>
      </c>
      <c r="Q2680" s="1" t="s">
        <v>5821</v>
      </c>
      <c r="R2680" s="1" t="s">
        <v>460</v>
      </c>
      <c r="S2680" s="1" t="s">
        <v>5822</v>
      </c>
      <c r="T2680" s="1" t="s">
        <v>5823</v>
      </c>
      <c r="U2680" s="2" t="s">
        <v>2811</v>
      </c>
      <c r="V2680" s="2" t="s">
        <v>36</v>
      </c>
      <c r="W2680" s="2" t="s">
        <v>142</v>
      </c>
      <c r="X2680" s="2">
        <v>423.39499999999998</v>
      </c>
    </row>
    <row r="2681" spans="1:24" x14ac:dyDescent="0.3">
      <c r="A2681">
        <v>20551</v>
      </c>
      <c r="B2681" t="s">
        <v>7169</v>
      </c>
      <c r="C2681" s="3">
        <v>40593</v>
      </c>
      <c r="D2681" t="s">
        <v>50</v>
      </c>
      <c r="E2681">
        <v>9</v>
      </c>
      <c r="F2681" s="3">
        <f ca="1">40594+(RANDBETWEEN(1,10))</f>
        <v>40603</v>
      </c>
      <c r="G2681" t="s">
        <v>26</v>
      </c>
      <c r="H2681" t="s">
        <v>96</v>
      </c>
      <c r="I2681" t="s">
        <v>28</v>
      </c>
      <c r="J2681">
        <v>192.95500000000001</v>
      </c>
      <c r="K2681">
        <v>0</v>
      </c>
      <c r="L2681">
        <v>0.6</v>
      </c>
      <c r="M2681">
        <v>3.36</v>
      </c>
      <c r="N2681">
        <v>133.13894999999999</v>
      </c>
      <c r="O2681" s="1" t="s">
        <v>87</v>
      </c>
      <c r="P2681" s="1" t="s">
        <v>5308</v>
      </c>
      <c r="Q2681" s="1" t="s">
        <v>5309</v>
      </c>
      <c r="R2681" s="1" t="s">
        <v>646</v>
      </c>
      <c r="S2681" s="1" t="s">
        <v>5310</v>
      </c>
      <c r="T2681" s="1" t="s">
        <v>3151</v>
      </c>
      <c r="U2681" s="2" t="s">
        <v>1918</v>
      </c>
      <c r="V2681" s="2" t="s">
        <v>47</v>
      </c>
      <c r="W2681" s="2" t="s">
        <v>104</v>
      </c>
      <c r="X2681" s="2">
        <v>20.93</v>
      </c>
    </row>
    <row r="2682" spans="1:24" x14ac:dyDescent="0.3">
      <c r="A2682">
        <v>20552</v>
      </c>
      <c r="B2682" t="s">
        <v>7170</v>
      </c>
      <c r="C2682" s="3">
        <v>41689</v>
      </c>
      <c r="D2682" t="s">
        <v>50</v>
      </c>
      <c r="E2682">
        <v>1</v>
      </c>
      <c r="F2682" s="3">
        <f ca="1">41690+(RANDBETWEEN(1,10))</f>
        <v>41693</v>
      </c>
      <c r="G2682" t="s">
        <v>26</v>
      </c>
      <c r="H2682" t="s">
        <v>51</v>
      </c>
      <c r="I2682" t="s">
        <v>28</v>
      </c>
      <c r="J2682">
        <v>9.59</v>
      </c>
      <c r="K2682">
        <v>0.02</v>
      </c>
      <c r="L2682">
        <v>0.55000000000000004</v>
      </c>
      <c r="M2682">
        <v>8.9600000000000009</v>
      </c>
      <c r="N2682">
        <v>-28.07</v>
      </c>
      <c r="O2682" s="1" t="s">
        <v>87</v>
      </c>
      <c r="P2682" s="1" t="s">
        <v>5308</v>
      </c>
      <c r="Q2682" s="1" t="s">
        <v>5309</v>
      </c>
      <c r="R2682" s="1" t="s">
        <v>646</v>
      </c>
      <c r="S2682" s="1" t="s">
        <v>5310</v>
      </c>
      <c r="T2682" s="1" t="s">
        <v>3151</v>
      </c>
      <c r="U2682" s="2" t="s">
        <v>401</v>
      </c>
      <c r="V2682" s="2" t="s">
        <v>47</v>
      </c>
      <c r="W2682" s="2" t="s">
        <v>94</v>
      </c>
      <c r="X2682" s="2">
        <v>7.28</v>
      </c>
    </row>
    <row r="2683" spans="1:24" x14ac:dyDescent="0.3">
      <c r="A2683">
        <v>20553</v>
      </c>
      <c r="B2683" t="s">
        <v>7169</v>
      </c>
      <c r="C2683" s="3">
        <v>40593</v>
      </c>
      <c r="D2683" t="s">
        <v>50</v>
      </c>
      <c r="E2683">
        <v>7</v>
      </c>
      <c r="F2683" s="3">
        <f ca="1">40594+(RANDBETWEEN(1,10))</f>
        <v>40599</v>
      </c>
      <c r="G2683" t="s">
        <v>26</v>
      </c>
      <c r="H2683" t="s">
        <v>27</v>
      </c>
      <c r="I2683" t="s">
        <v>28</v>
      </c>
      <c r="J2683">
        <v>156.80000000000001</v>
      </c>
      <c r="K2683">
        <v>0.02</v>
      </c>
      <c r="L2683">
        <v>0.36</v>
      </c>
      <c r="M2683">
        <v>19.11</v>
      </c>
      <c r="N2683">
        <v>-164.92</v>
      </c>
      <c r="O2683" s="1" t="s">
        <v>87</v>
      </c>
      <c r="P2683" s="1" t="s">
        <v>7171</v>
      </c>
      <c r="Q2683" s="1" t="s">
        <v>7172</v>
      </c>
      <c r="R2683" s="1" t="s">
        <v>497</v>
      </c>
      <c r="S2683" s="1" t="s">
        <v>7173</v>
      </c>
      <c r="T2683" s="1" t="s">
        <v>7174</v>
      </c>
      <c r="U2683" s="2" t="s">
        <v>7070</v>
      </c>
      <c r="V2683" s="2" t="s">
        <v>47</v>
      </c>
      <c r="W2683" s="2" t="s">
        <v>74</v>
      </c>
      <c r="X2683" s="2">
        <v>20.93</v>
      </c>
    </row>
    <row r="2684" spans="1:24" x14ac:dyDescent="0.3">
      <c r="A2684">
        <v>20554</v>
      </c>
      <c r="B2684" t="s">
        <v>7175</v>
      </c>
      <c r="C2684" s="3">
        <v>40678</v>
      </c>
      <c r="D2684" t="s">
        <v>39</v>
      </c>
      <c r="E2684">
        <v>11</v>
      </c>
      <c r="F2684" s="3">
        <f ca="1">40679+(RANDBETWEEN(1,10))</f>
        <v>40687</v>
      </c>
      <c r="G2684" t="s">
        <v>26</v>
      </c>
      <c r="H2684" t="s">
        <v>27</v>
      </c>
      <c r="I2684" t="s">
        <v>28</v>
      </c>
      <c r="J2684">
        <v>1271.7950000000001</v>
      </c>
      <c r="K2684">
        <v>0.01</v>
      </c>
      <c r="L2684">
        <v>0.64</v>
      </c>
      <c r="M2684">
        <v>22.75</v>
      </c>
      <c r="N2684">
        <v>162.01499999999999</v>
      </c>
      <c r="O2684" s="1" t="s">
        <v>87</v>
      </c>
      <c r="P2684" s="1" t="s">
        <v>7176</v>
      </c>
      <c r="Q2684" s="1" t="s">
        <v>7177</v>
      </c>
      <c r="R2684" s="1" t="s">
        <v>646</v>
      </c>
      <c r="S2684" s="1" t="s">
        <v>7178</v>
      </c>
      <c r="T2684" s="1" t="s">
        <v>7179</v>
      </c>
      <c r="U2684" s="2" t="s">
        <v>2033</v>
      </c>
      <c r="V2684" s="2" t="s">
        <v>36</v>
      </c>
      <c r="W2684" s="2" t="s">
        <v>60</v>
      </c>
      <c r="X2684" s="2">
        <v>108.43</v>
      </c>
    </row>
    <row r="2685" spans="1:24" x14ac:dyDescent="0.3">
      <c r="A2685">
        <v>20555</v>
      </c>
      <c r="B2685" t="s">
        <v>7175</v>
      </c>
      <c r="C2685" s="3">
        <v>40678</v>
      </c>
      <c r="D2685" t="s">
        <v>39</v>
      </c>
      <c r="E2685">
        <v>11</v>
      </c>
      <c r="F2685" s="3">
        <f ca="1">40681+(RANDBETWEEN(1,10))</f>
        <v>40689</v>
      </c>
      <c r="G2685" t="s">
        <v>26</v>
      </c>
      <c r="H2685" t="s">
        <v>27</v>
      </c>
      <c r="I2685" t="s">
        <v>28</v>
      </c>
      <c r="J2685">
        <v>1682.625</v>
      </c>
      <c r="K2685">
        <v>0.01</v>
      </c>
      <c r="L2685">
        <v>0.36</v>
      </c>
      <c r="M2685">
        <v>69.965000000000003</v>
      </c>
      <c r="N2685">
        <v>622.26499999999999</v>
      </c>
      <c r="O2685" s="1" t="s">
        <v>87</v>
      </c>
      <c r="P2685" s="1" t="s">
        <v>7176</v>
      </c>
      <c r="Q2685" s="1" t="s">
        <v>7177</v>
      </c>
      <c r="R2685" s="1" t="s">
        <v>646</v>
      </c>
      <c r="S2685" s="1" t="s">
        <v>7178</v>
      </c>
      <c r="T2685" s="1" t="s">
        <v>7179</v>
      </c>
      <c r="U2685" s="2" t="s">
        <v>1784</v>
      </c>
      <c r="V2685" s="2" t="s">
        <v>47</v>
      </c>
      <c r="W2685" s="2" t="s">
        <v>74</v>
      </c>
      <c r="X2685" s="2">
        <v>143.465</v>
      </c>
    </row>
    <row r="2686" spans="1:24" x14ac:dyDescent="0.3">
      <c r="A2686">
        <v>20556</v>
      </c>
      <c r="B2686" t="s">
        <v>7180</v>
      </c>
      <c r="C2686" s="3">
        <v>41681</v>
      </c>
      <c r="D2686" t="s">
        <v>148</v>
      </c>
      <c r="E2686">
        <v>11</v>
      </c>
      <c r="F2686" s="3">
        <f ca="1">41682+(RANDBETWEEN(1,10))</f>
        <v>41686</v>
      </c>
      <c r="G2686" t="s">
        <v>76</v>
      </c>
      <c r="H2686" t="s">
        <v>258</v>
      </c>
      <c r="I2686" t="s">
        <v>86</v>
      </c>
      <c r="J2686">
        <v>2194.3249999999998</v>
      </c>
      <c r="K2686">
        <v>0.08</v>
      </c>
      <c r="L2686">
        <v>0.61</v>
      </c>
      <c r="M2686">
        <v>128.13499999999999</v>
      </c>
      <c r="N2686">
        <v>15.54</v>
      </c>
      <c r="O2686" s="1" t="s">
        <v>40</v>
      </c>
      <c r="P2686" s="1" t="s">
        <v>7181</v>
      </c>
      <c r="Q2686" s="1" t="s">
        <v>7182</v>
      </c>
      <c r="R2686" s="1" t="s">
        <v>43</v>
      </c>
      <c r="S2686" s="1" t="s">
        <v>7183</v>
      </c>
      <c r="T2686" s="1" t="s">
        <v>7184</v>
      </c>
      <c r="U2686" s="2" t="s">
        <v>4050</v>
      </c>
      <c r="V2686" s="2" t="s">
        <v>83</v>
      </c>
      <c r="W2686" s="2" t="s">
        <v>298</v>
      </c>
      <c r="X2686" s="2">
        <v>203.49</v>
      </c>
    </row>
    <row r="2687" spans="1:24" x14ac:dyDescent="0.3">
      <c r="A2687">
        <v>20557</v>
      </c>
      <c r="B2687" t="s">
        <v>7180</v>
      </c>
      <c r="C2687" s="3">
        <v>41681</v>
      </c>
      <c r="D2687" t="s">
        <v>148</v>
      </c>
      <c r="E2687">
        <v>8</v>
      </c>
      <c r="F2687" s="3">
        <f ca="1">41682+(RANDBETWEEN(1,10))</f>
        <v>41689</v>
      </c>
      <c r="G2687" t="s">
        <v>26</v>
      </c>
      <c r="H2687" t="s">
        <v>27</v>
      </c>
      <c r="I2687" t="s">
        <v>86</v>
      </c>
      <c r="J2687">
        <v>982.48500000000001</v>
      </c>
      <c r="K2687">
        <v>0.02</v>
      </c>
      <c r="L2687">
        <v>0.75</v>
      </c>
      <c r="M2687">
        <v>19.25</v>
      </c>
      <c r="N2687">
        <v>-743.82</v>
      </c>
      <c r="O2687" s="1" t="s">
        <v>40</v>
      </c>
      <c r="P2687" s="1" t="s">
        <v>7181</v>
      </c>
      <c r="Q2687" s="1" t="s">
        <v>7182</v>
      </c>
      <c r="R2687" s="1" t="s">
        <v>43</v>
      </c>
      <c r="S2687" s="1" t="s">
        <v>7183</v>
      </c>
      <c r="T2687" s="1" t="s">
        <v>7184</v>
      </c>
      <c r="U2687" s="2" t="s">
        <v>2960</v>
      </c>
      <c r="V2687" s="2" t="s">
        <v>36</v>
      </c>
      <c r="W2687" s="2" t="s">
        <v>60</v>
      </c>
      <c r="X2687" s="2">
        <v>115.43</v>
      </c>
    </row>
    <row r="2688" spans="1:24" x14ac:dyDescent="0.3">
      <c r="A2688">
        <v>20558</v>
      </c>
      <c r="B2688" t="s">
        <v>7180</v>
      </c>
      <c r="C2688" s="3">
        <v>41681</v>
      </c>
      <c r="D2688" t="s">
        <v>148</v>
      </c>
      <c r="E2688">
        <v>8</v>
      </c>
      <c r="F2688" s="3">
        <f ca="1">41683+(RANDBETWEEN(1,10))</f>
        <v>41685</v>
      </c>
      <c r="G2688" t="s">
        <v>26</v>
      </c>
      <c r="H2688" t="s">
        <v>63</v>
      </c>
      <c r="I2688" t="s">
        <v>86</v>
      </c>
      <c r="J2688">
        <v>2367.2249999999999</v>
      </c>
      <c r="K2688">
        <v>0.01</v>
      </c>
      <c r="L2688">
        <v>0.81</v>
      </c>
      <c r="M2688">
        <v>122.5</v>
      </c>
      <c r="N2688">
        <v>1705.8720000000001</v>
      </c>
      <c r="O2688" s="1" t="s">
        <v>40</v>
      </c>
      <c r="P2688" s="1" t="s">
        <v>7181</v>
      </c>
      <c r="Q2688" s="1" t="s">
        <v>7182</v>
      </c>
      <c r="R2688" s="1" t="s">
        <v>43</v>
      </c>
      <c r="S2688" s="1" t="s">
        <v>7183</v>
      </c>
      <c r="T2688" s="1" t="s">
        <v>7184</v>
      </c>
      <c r="U2688" s="2" t="s">
        <v>166</v>
      </c>
      <c r="V2688" s="2" t="s">
        <v>47</v>
      </c>
      <c r="W2688" s="2" t="s">
        <v>119</v>
      </c>
      <c r="X2688" s="2">
        <v>283.43</v>
      </c>
    </row>
    <row r="2689" spans="1:24" x14ac:dyDescent="0.3">
      <c r="A2689">
        <v>20559</v>
      </c>
      <c r="B2689" t="s">
        <v>7185</v>
      </c>
      <c r="C2689" s="3">
        <v>41399</v>
      </c>
      <c r="D2689" t="s">
        <v>50</v>
      </c>
      <c r="E2689">
        <v>18</v>
      </c>
      <c r="F2689" s="3">
        <f ca="1">41401+(RANDBETWEEN(1,10))</f>
        <v>41410</v>
      </c>
      <c r="G2689" t="s">
        <v>76</v>
      </c>
      <c r="H2689" t="s">
        <v>77</v>
      </c>
      <c r="I2689" t="s">
        <v>52</v>
      </c>
      <c r="J2689">
        <v>9090.6550000000007</v>
      </c>
      <c r="K2689">
        <v>0.03</v>
      </c>
      <c r="L2689">
        <v>0.56000000000000005</v>
      </c>
      <c r="M2689">
        <v>62.475000000000001</v>
      </c>
      <c r="N2689">
        <v>5207.79</v>
      </c>
      <c r="O2689" s="1" t="s">
        <v>29</v>
      </c>
      <c r="P2689" s="1" t="s">
        <v>5767</v>
      </c>
      <c r="Q2689" s="1" t="s">
        <v>5768</v>
      </c>
      <c r="R2689" s="1" t="s">
        <v>675</v>
      </c>
      <c r="S2689" s="1" t="s">
        <v>5769</v>
      </c>
      <c r="T2689" s="1" t="s">
        <v>5770</v>
      </c>
      <c r="U2689" s="2" t="s">
        <v>881</v>
      </c>
      <c r="V2689" s="2" t="s">
        <v>36</v>
      </c>
      <c r="W2689" s="2" t="s">
        <v>142</v>
      </c>
      <c r="X2689" s="2">
        <v>509.07499999999999</v>
      </c>
    </row>
    <row r="2690" spans="1:24" x14ac:dyDescent="0.3">
      <c r="A2690">
        <v>2056</v>
      </c>
      <c r="B2690" t="s">
        <v>7168</v>
      </c>
      <c r="C2690" s="3">
        <v>41283</v>
      </c>
      <c r="D2690" t="s">
        <v>62</v>
      </c>
      <c r="E2690">
        <v>43</v>
      </c>
      <c r="F2690" s="3">
        <f ca="1">41285+(RANDBETWEEN(1,10))</f>
        <v>41295</v>
      </c>
      <c r="G2690" t="s">
        <v>76</v>
      </c>
      <c r="H2690" t="s">
        <v>77</v>
      </c>
      <c r="I2690" t="s">
        <v>28</v>
      </c>
      <c r="J2690">
        <v>3357.83</v>
      </c>
      <c r="K2690">
        <v>0.05</v>
      </c>
      <c r="L2690">
        <v>0.61</v>
      </c>
      <c r="M2690">
        <v>157.5</v>
      </c>
      <c r="N2690">
        <v>-7551.6</v>
      </c>
      <c r="O2690" s="1" t="s">
        <v>64</v>
      </c>
      <c r="P2690" s="1" t="s">
        <v>265</v>
      </c>
      <c r="Q2690" s="1" t="s">
        <v>266</v>
      </c>
      <c r="R2690" s="1" t="s">
        <v>67</v>
      </c>
      <c r="S2690" s="1" t="s">
        <v>108</v>
      </c>
      <c r="T2690" s="1" t="s">
        <v>196</v>
      </c>
      <c r="U2690" s="2" t="s">
        <v>2625</v>
      </c>
      <c r="V2690" s="2" t="s">
        <v>47</v>
      </c>
      <c r="W2690" s="2" t="s">
        <v>119</v>
      </c>
      <c r="X2690" s="2">
        <v>73.430000000000007</v>
      </c>
    </row>
    <row r="2691" spans="1:24" x14ac:dyDescent="0.3">
      <c r="A2691">
        <v>20560</v>
      </c>
      <c r="B2691" t="s">
        <v>7185</v>
      </c>
      <c r="C2691" s="3">
        <v>41399</v>
      </c>
      <c r="D2691" t="s">
        <v>50</v>
      </c>
      <c r="E2691">
        <v>5</v>
      </c>
      <c r="F2691" s="3">
        <f ca="1">41401+(RANDBETWEEN(1,10))</f>
        <v>41409</v>
      </c>
      <c r="G2691" t="s">
        <v>26</v>
      </c>
      <c r="H2691" t="s">
        <v>27</v>
      </c>
      <c r="I2691" t="s">
        <v>52</v>
      </c>
      <c r="J2691">
        <v>1250.4449999999999</v>
      </c>
      <c r="K2691">
        <v>0.06</v>
      </c>
      <c r="L2691">
        <v>0.57999999999999996</v>
      </c>
      <c r="M2691">
        <v>9.7650000000000006</v>
      </c>
      <c r="N2691">
        <v>-83.737499999999997</v>
      </c>
      <c r="O2691" s="1" t="s">
        <v>29</v>
      </c>
      <c r="P2691" s="1" t="s">
        <v>5767</v>
      </c>
      <c r="Q2691" s="1" t="s">
        <v>5768</v>
      </c>
      <c r="R2691" s="1" t="s">
        <v>675</v>
      </c>
      <c r="S2691" s="1" t="s">
        <v>5769</v>
      </c>
      <c r="T2691" s="1" t="s">
        <v>5770</v>
      </c>
      <c r="U2691" s="2">
        <v>6340</v>
      </c>
      <c r="V2691" s="2" t="s">
        <v>36</v>
      </c>
      <c r="W2691" s="2" t="s">
        <v>37</v>
      </c>
      <c r="X2691" s="2">
        <v>300.96499999999997</v>
      </c>
    </row>
    <row r="2692" spans="1:24" x14ac:dyDescent="0.3">
      <c r="A2692">
        <v>20561</v>
      </c>
      <c r="B2692" t="s">
        <v>7186</v>
      </c>
      <c r="C2692" s="3">
        <v>41394</v>
      </c>
      <c r="D2692" t="s">
        <v>62</v>
      </c>
      <c r="E2692">
        <v>9</v>
      </c>
      <c r="F2692" s="3">
        <f ca="1">41395+(RANDBETWEEN(1,10))</f>
        <v>41403</v>
      </c>
      <c r="G2692" t="s">
        <v>26</v>
      </c>
      <c r="H2692" t="s">
        <v>27</v>
      </c>
      <c r="I2692" t="s">
        <v>28</v>
      </c>
      <c r="J2692">
        <v>325.46499999999997</v>
      </c>
      <c r="K2692">
        <v>7.0000000000000007E-2</v>
      </c>
      <c r="L2692">
        <v>0.57999999999999996</v>
      </c>
      <c r="M2692">
        <v>13.965</v>
      </c>
      <c r="N2692">
        <v>-79.87</v>
      </c>
      <c r="O2692" s="1" t="s">
        <v>40</v>
      </c>
      <c r="P2692" s="1" t="s">
        <v>4227</v>
      </c>
      <c r="Q2692" s="1" t="s">
        <v>4228</v>
      </c>
      <c r="R2692" s="1" t="s">
        <v>43</v>
      </c>
      <c r="S2692" s="1" t="s">
        <v>4229</v>
      </c>
      <c r="T2692" s="1" t="s">
        <v>4230</v>
      </c>
      <c r="U2692" s="2" t="s">
        <v>4098</v>
      </c>
      <c r="V2692" s="2" t="s">
        <v>47</v>
      </c>
      <c r="W2692" s="2" t="s">
        <v>71</v>
      </c>
      <c r="X2692" s="2">
        <v>38.43</v>
      </c>
    </row>
    <row r="2693" spans="1:24" x14ac:dyDescent="0.3">
      <c r="A2693">
        <v>20562</v>
      </c>
      <c r="B2693" t="s">
        <v>7186</v>
      </c>
      <c r="C2693" s="3">
        <v>41394</v>
      </c>
      <c r="D2693" t="s">
        <v>62</v>
      </c>
      <c r="E2693">
        <v>6</v>
      </c>
      <c r="F2693" s="3">
        <f ca="1">41396+(RANDBETWEEN(1,10))</f>
        <v>41400</v>
      </c>
      <c r="G2693" t="s">
        <v>26</v>
      </c>
      <c r="H2693" t="s">
        <v>27</v>
      </c>
      <c r="I2693" t="s">
        <v>28</v>
      </c>
      <c r="J2693">
        <v>130.06</v>
      </c>
      <c r="K2693">
        <v>0.03</v>
      </c>
      <c r="L2693">
        <v>0.36</v>
      </c>
      <c r="M2693">
        <v>27.86</v>
      </c>
      <c r="N2693">
        <v>-336.77</v>
      </c>
      <c r="O2693" s="1" t="s">
        <v>40</v>
      </c>
      <c r="P2693" s="1" t="s">
        <v>4227</v>
      </c>
      <c r="Q2693" s="1" t="s">
        <v>4228</v>
      </c>
      <c r="R2693" s="1" t="s">
        <v>43</v>
      </c>
      <c r="S2693" s="1" t="s">
        <v>4229</v>
      </c>
      <c r="T2693" s="1" t="s">
        <v>4230</v>
      </c>
      <c r="U2693" s="2" t="s">
        <v>3042</v>
      </c>
      <c r="V2693" s="2" t="s">
        <v>47</v>
      </c>
      <c r="W2693" s="2" t="s">
        <v>74</v>
      </c>
      <c r="X2693" s="2">
        <v>20.23</v>
      </c>
    </row>
    <row r="2694" spans="1:24" x14ac:dyDescent="0.3">
      <c r="A2694">
        <v>20563</v>
      </c>
      <c r="B2694" t="s">
        <v>7187</v>
      </c>
      <c r="C2694" s="3">
        <v>41274</v>
      </c>
      <c r="D2694" t="s">
        <v>50</v>
      </c>
      <c r="E2694">
        <v>1</v>
      </c>
      <c r="F2694" s="3">
        <f ca="1">41274+(RANDBETWEEN(1,10))</f>
        <v>41278</v>
      </c>
      <c r="G2694" t="s">
        <v>26</v>
      </c>
      <c r="H2694" t="s">
        <v>27</v>
      </c>
      <c r="I2694" t="s">
        <v>28</v>
      </c>
      <c r="J2694">
        <v>98.245000000000005</v>
      </c>
      <c r="K2694">
        <v>0.02</v>
      </c>
      <c r="L2694">
        <v>0.47</v>
      </c>
      <c r="M2694">
        <v>50.365000000000002</v>
      </c>
      <c r="N2694">
        <v>67.789050000000003</v>
      </c>
      <c r="O2694" s="1" t="s">
        <v>225</v>
      </c>
      <c r="P2694" s="1" t="s">
        <v>3306</v>
      </c>
      <c r="Q2694" s="1" t="s">
        <v>3307</v>
      </c>
      <c r="R2694" s="1" t="s">
        <v>391</v>
      </c>
      <c r="S2694" s="1" t="s">
        <v>3308</v>
      </c>
      <c r="T2694" s="1" t="s">
        <v>3309</v>
      </c>
      <c r="U2694" s="2" t="s">
        <v>3841</v>
      </c>
      <c r="V2694" s="2" t="s">
        <v>83</v>
      </c>
      <c r="W2694" s="2" t="s">
        <v>178</v>
      </c>
      <c r="X2694" s="2">
        <v>70.98</v>
      </c>
    </row>
    <row r="2695" spans="1:24" x14ac:dyDescent="0.3">
      <c r="A2695">
        <v>20564</v>
      </c>
      <c r="B2695" t="s">
        <v>7187</v>
      </c>
      <c r="C2695" s="3">
        <v>41274</v>
      </c>
      <c r="D2695" t="s">
        <v>50</v>
      </c>
      <c r="E2695">
        <v>12</v>
      </c>
      <c r="F2695" s="3">
        <f ca="1">41276+(RANDBETWEEN(1,10))</f>
        <v>41285</v>
      </c>
      <c r="G2695" t="s">
        <v>26</v>
      </c>
      <c r="H2695" t="s">
        <v>27</v>
      </c>
      <c r="I2695" t="s">
        <v>28</v>
      </c>
      <c r="J2695">
        <v>2505.7550000000001</v>
      </c>
      <c r="K2695">
        <v>0</v>
      </c>
      <c r="L2695">
        <v>0.57999999999999996</v>
      </c>
      <c r="M2695">
        <v>20.965</v>
      </c>
      <c r="N2695">
        <v>1503.4005</v>
      </c>
      <c r="O2695" s="1" t="s">
        <v>29</v>
      </c>
      <c r="P2695" s="1" t="s">
        <v>7188</v>
      </c>
      <c r="Q2695" s="1" t="s">
        <v>7189</v>
      </c>
      <c r="R2695" s="1" t="s">
        <v>32</v>
      </c>
      <c r="S2695" s="1" t="s">
        <v>7190</v>
      </c>
      <c r="T2695" s="1" t="s">
        <v>7191</v>
      </c>
      <c r="U2695" s="2" t="s">
        <v>326</v>
      </c>
      <c r="V2695" s="2" t="s">
        <v>36</v>
      </c>
      <c r="W2695" s="2" t="s">
        <v>37</v>
      </c>
      <c r="X2695" s="2">
        <v>230.965</v>
      </c>
    </row>
    <row r="2696" spans="1:24" x14ac:dyDescent="0.3">
      <c r="A2696">
        <v>20565</v>
      </c>
      <c r="B2696" t="s">
        <v>7192</v>
      </c>
      <c r="C2696" s="3">
        <v>41941</v>
      </c>
      <c r="D2696" t="s">
        <v>62</v>
      </c>
      <c r="E2696">
        <v>26</v>
      </c>
      <c r="F2696" s="3">
        <f ca="1">41943+(RANDBETWEEN(1,10))</f>
        <v>41951</v>
      </c>
      <c r="G2696" t="s">
        <v>76</v>
      </c>
      <c r="H2696" t="s">
        <v>77</v>
      </c>
      <c r="I2696" t="s">
        <v>86</v>
      </c>
      <c r="J2696">
        <v>2363.83</v>
      </c>
      <c r="K2696">
        <v>0.04</v>
      </c>
      <c r="L2696">
        <v>0.6</v>
      </c>
      <c r="M2696">
        <v>50.26</v>
      </c>
      <c r="N2696">
        <v>-876.92499999999995</v>
      </c>
      <c r="O2696" s="1" t="s">
        <v>53</v>
      </c>
      <c r="P2696" s="1" t="s">
        <v>1573</v>
      </c>
      <c r="Q2696" s="1" t="s">
        <v>1574</v>
      </c>
      <c r="R2696" s="1" t="s">
        <v>100</v>
      </c>
      <c r="S2696" s="1" t="s">
        <v>1575</v>
      </c>
      <c r="T2696" s="1" t="s">
        <v>1576</v>
      </c>
      <c r="U2696" s="2" t="s">
        <v>4583</v>
      </c>
      <c r="V2696" s="2" t="s">
        <v>83</v>
      </c>
      <c r="W2696" s="2" t="s">
        <v>84</v>
      </c>
      <c r="X2696" s="2">
        <v>90.93</v>
      </c>
    </row>
    <row r="2697" spans="1:24" x14ac:dyDescent="0.3">
      <c r="A2697">
        <v>20566</v>
      </c>
      <c r="B2697" t="s">
        <v>7193</v>
      </c>
      <c r="C2697" s="3">
        <v>41567</v>
      </c>
      <c r="D2697" t="s">
        <v>50</v>
      </c>
      <c r="E2697">
        <v>14</v>
      </c>
      <c r="F2697" s="3">
        <f ca="1">41568+(RANDBETWEEN(1,10))</f>
        <v>41572</v>
      </c>
      <c r="G2697" t="s">
        <v>26</v>
      </c>
      <c r="H2697" t="s">
        <v>51</v>
      </c>
      <c r="I2697" t="s">
        <v>97</v>
      </c>
      <c r="J2697">
        <v>389.935</v>
      </c>
      <c r="K2697">
        <v>0.09</v>
      </c>
      <c r="L2697">
        <v>0.55000000000000004</v>
      </c>
      <c r="M2697">
        <v>27.195</v>
      </c>
      <c r="N2697">
        <v>-552.78719999999998</v>
      </c>
      <c r="O2697" s="1" t="s">
        <v>87</v>
      </c>
      <c r="P2697" s="1" t="s">
        <v>2162</v>
      </c>
      <c r="Q2697" s="1" t="s">
        <v>2163</v>
      </c>
      <c r="R2697" s="1" t="s">
        <v>398</v>
      </c>
      <c r="S2697" s="1" t="s">
        <v>2164</v>
      </c>
      <c r="T2697" s="1" t="s">
        <v>2165</v>
      </c>
      <c r="U2697" s="2" t="s">
        <v>6938</v>
      </c>
      <c r="V2697" s="2" t="s">
        <v>47</v>
      </c>
      <c r="W2697" s="2" t="s">
        <v>94</v>
      </c>
      <c r="X2697" s="2">
        <v>29.574999999999999</v>
      </c>
    </row>
    <row r="2698" spans="1:24" x14ac:dyDescent="0.3">
      <c r="A2698">
        <v>20567</v>
      </c>
      <c r="B2698" t="s">
        <v>7193</v>
      </c>
      <c r="C2698" s="3">
        <v>41567</v>
      </c>
      <c r="D2698" t="s">
        <v>50</v>
      </c>
      <c r="E2698">
        <v>15</v>
      </c>
      <c r="F2698" s="3">
        <f ca="1">41569+(RANDBETWEEN(1,10))</f>
        <v>41579</v>
      </c>
      <c r="G2698" t="s">
        <v>26</v>
      </c>
      <c r="H2698" t="s">
        <v>27</v>
      </c>
      <c r="I2698" t="s">
        <v>97</v>
      </c>
      <c r="J2698">
        <v>859.6</v>
      </c>
      <c r="K2698">
        <v>0.01</v>
      </c>
      <c r="L2698">
        <v>0.57999999999999996</v>
      </c>
      <c r="M2698">
        <v>37.380000000000003</v>
      </c>
      <c r="N2698">
        <v>-497.41019999999997</v>
      </c>
      <c r="O2698" s="1" t="s">
        <v>87</v>
      </c>
      <c r="P2698" s="1" t="s">
        <v>2162</v>
      </c>
      <c r="Q2698" s="1" t="s">
        <v>2163</v>
      </c>
      <c r="R2698" s="1" t="s">
        <v>398</v>
      </c>
      <c r="S2698" s="1" t="s">
        <v>2164</v>
      </c>
      <c r="T2698" s="1" t="s">
        <v>2165</v>
      </c>
      <c r="U2698" s="2" t="s">
        <v>543</v>
      </c>
      <c r="V2698" s="2" t="s">
        <v>47</v>
      </c>
      <c r="W2698" s="2" t="s">
        <v>119</v>
      </c>
      <c r="X2698" s="2">
        <v>53.97</v>
      </c>
    </row>
    <row r="2699" spans="1:24" x14ac:dyDescent="0.3">
      <c r="A2699">
        <v>20568</v>
      </c>
      <c r="B2699" t="s">
        <v>7194</v>
      </c>
      <c r="C2699" s="3">
        <v>40853</v>
      </c>
      <c r="D2699" t="s">
        <v>50</v>
      </c>
      <c r="E2699">
        <v>23</v>
      </c>
      <c r="F2699" s="3">
        <f ca="1">40854+(RANDBETWEEN(1,10))</f>
        <v>40861</v>
      </c>
      <c r="G2699" t="s">
        <v>26</v>
      </c>
      <c r="H2699" t="s">
        <v>27</v>
      </c>
      <c r="I2699" t="s">
        <v>97</v>
      </c>
      <c r="J2699">
        <v>1319.5</v>
      </c>
      <c r="K2699">
        <v>0.01</v>
      </c>
      <c r="L2699">
        <v>0.56999999999999995</v>
      </c>
      <c r="M2699">
        <v>30.73</v>
      </c>
      <c r="N2699">
        <v>42.511000000000003</v>
      </c>
      <c r="O2699" s="1" t="s">
        <v>53</v>
      </c>
      <c r="P2699" s="1" t="s">
        <v>6641</v>
      </c>
      <c r="Q2699" s="1" t="s">
        <v>6642</v>
      </c>
      <c r="R2699" s="1" t="s">
        <v>440</v>
      </c>
      <c r="S2699" s="1" t="s">
        <v>6643</v>
      </c>
      <c r="T2699" s="1" t="s">
        <v>6644</v>
      </c>
      <c r="U2699" s="2" t="s">
        <v>3278</v>
      </c>
      <c r="V2699" s="2" t="s">
        <v>47</v>
      </c>
      <c r="W2699" s="2" t="s">
        <v>119</v>
      </c>
      <c r="X2699" s="2">
        <v>53.585000000000001</v>
      </c>
    </row>
    <row r="2700" spans="1:24" x14ac:dyDescent="0.3">
      <c r="A2700">
        <v>20569</v>
      </c>
      <c r="B2700" t="s">
        <v>7194</v>
      </c>
      <c r="C2700" s="3">
        <v>40853</v>
      </c>
      <c r="D2700" t="s">
        <v>50</v>
      </c>
      <c r="E2700">
        <v>4</v>
      </c>
      <c r="F2700" s="3">
        <f ca="1">40855+(RANDBETWEEN(1,10))</f>
        <v>40860</v>
      </c>
      <c r="G2700" t="s">
        <v>156</v>
      </c>
      <c r="H2700" t="s">
        <v>281</v>
      </c>
      <c r="I2700" t="s">
        <v>97</v>
      </c>
      <c r="J2700">
        <v>150.465</v>
      </c>
      <c r="K2700">
        <v>0.05</v>
      </c>
      <c r="L2700">
        <v>0.6</v>
      </c>
      <c r="M2700">
        <v>17.605</v>
      </c>
      <c r="N2700">
        <v>19.904499999999999</v>
      </c>
      <c r="O2700" s="1" t="s">
        <v>53</v>
      </c>
      <c r="P2700" s="1" t="s">
        <v>6641</v>
      </c>
      <c r="Q2700" s="1" t="s">
        <v>6642</v>
      </c>
      <c r="R2700" s="1" t="s">
        <v>440</v>
      </c>
      <c r="S2700" s="1" t="s">
        <v>6643</v>
      </c>
      <c r="T2700" s="1" t="s">
        <v>6644</v>
      </c>
      <c r="U2700" s="2" t="s">
        <v>408</v>
      </c>
      <c r="V2700" s="2" t="s">
        <v>36</v>
      </c>
      <c r="W2700" s="2" t="s">
        <v>37</v>
      </c>
      <c r="X2700" s="2">
        <v>27.965</v>
      </c>
    </row>
    <row r="2701" spans="1:24" x14ac:dyDescent="0.3">
      <c r="A2701">
        <v>20570</v>
      </c>
      <c r="B2701" t="s">
        <v>7195</v>
      </c>
      <c r="C2701" s="3">
        <v>41638</v>
      </c>
      <c r="D2701" t="s">
        <v>25</v>
      </c>
      <c r="E2701">
        <v>18</v>
      </c>
      <c r="F2701" s="3">
        <f ca="1">41638+(RANDBETWEEN(1,10))</f>
        <v>41643</v>
      </c>
      <c r="G2701" t="s">
        <v>156</v>
      </c>
      <c r="H2701" t="s">
        <v>51</v>
      </c>
      <c r="I2701" t="s">
        <v>28</v>
      </c>
      <c r="J2701">
        <v>494.51499999999999</v>
      </c>
      <c r="K2701">
        <v>0.1</v>
      </c>
      <c r="L2701">
        <v>0.52</v>
      </c>
      <c r="M2701">
        <v>6.9649999999999999</v>
      </c>
      <c r="N2701">
        <v>113.82</v>
      </c>
      <c r="O2701" s="1" t="s">
        <v>40</v>
      </c>
      <c r="P2701" s="1" t="s">
        <v>7196</v>
      </c>
      <c r="Q2701" s="1" t="s">
        <v>7197</v>
      </c>
      <c r="R2701" s="1" t="s">
        <v>43</v>
      </c>
      <c r="S2701" s="1" t="s">
        <v>2453</v>
      </c>
      <c r="T2701" s="1" t="s">
        <v>2454</v>
      </c>
      <c r="U2701" s="2" t="s">
        <v>2853</v>
      </c>
      <c r="V2701" s="2" t="s">
        <v>36</v>
      </c>
      <c r="W2701" s="2" t="s">
        <v>60</v>
      </c>
      <c r="X2701" s="2">
        <v>29.155000000000001</v>
      </c>
    </row>
    <row r="2702" spans="1:24" x14ac:dyDescent="0.3">
      <c r="A2702">
        <v>20571</v>
      </c>
      <c r="B2702" t="s">
        <v>7198</v>
      </c>
      <c r="C2702" s="3">
        <v>40552</v>
      </c>
      <c r="D2702" t="s">
        <v>50</v>
      </c>
      <c r="E2702">
        <v>2</v>
      </c>
      <c r="F2702" s="3">
        <f ca="1">40553+(RANDBETWEEN(1,10))</f>
        <v>40560</v>
      </c>
      <c r="G2702" t="s">
        <v>26</v>
      </c>
      <c r="H2702" t="s">
        <v>27</v>
      </c>
      <c r="I2702" t="s">
        <v>97</v>
      </c>
      <c r="J2702">
        <v>35.664999999999999</v>
      </c>
      <c r="K2702">
        <v>0.02</v>
      </c>
      <c r="L2702">
        <v>0.39</v>
      </c>
      <c r="M2702">
        <v>24.114999999999998</v>
      </c>
      <c r="N2702">
        <v>-168.82599999999999</v>
      </c>
      <c r="O2702" s="1" t="s">
        <v>40</v>
      </c>
      <c r="P2702" s="1" t="s">
        <v>5880</v>
      </c>
      <c r="Q2702" s="1" t="s">
        <v>5881</v>
      </c>
      <c r="R2702" s="1" t="s">
        <v>43</v>
      </c>
      <c r="S2702" s="1" t="s">
        <v>5882</v>
      </c>
      <c r="T2702" s="1" t="s">
        <v>5883</v>
      </c>
      <c r="U2702" s="2" t="s">
        <v>3963</v>
      </c>
      <c r="V2702" s="2" t="s">
        <v>47</v>
      </c>
      <c r="W2702" s="2" t="s">
        <v>203</v>
      </c>
      <c r="X2702" s="2">
        <v>14.455</v>
      </c>
    </row>
    <row r="2703" spans="1:24" x14ac:dyDescent="0.3">
      <c r="A2703">
        <v>20572</v>
      </c>
      <c r="B2703" t="s">
        <v>7199</v>
      </c>
      <c r="C2703" s="3">
        <v>41628</v>
      </c>
      <c r="D2703" t="s">
        <v>62</v>
      </c>
      <c r="E2703">
        <v>21</v>
      </c>
      <c r="F2703" s="3">
        <f ca="1">41630+(RANDBETWEEN(1,10))</f>
        <v>41633</v>
      </c>
      <c r="G2703" t="s">
        <v>26</v>
      </c>
      <c r="H2703" t="s">
        <v>96</v>
      </c>
      <c r="I2703" t="s">
        <v>97</v>
      </c>
      <c r="J2703">
        <v>287.03500000000003</v>
      </c>
      <c r="K2703">
        <v>0.1</v>
      </c>
      <c r="L2703">
        <v>0.35</v>
      </c>
      <c r="M2703">
        <v>10.395</v>
      </c>
      <c r="N2703">
        <v>-46.777500000000003</v>
      </c>
      <c r="O2703" s="1" t="s">
        <v>87</v>
      </c>
      <c r="P2703" s="1" t="s">
        <v>7200</v>
      </c>
      <c r="Q2703" s="1" t="s">
        <v>7201</v>
      </c>
      <c r="R2703" s="1" t="s">
        <v>90</v>
      </c>
      <c r="S2703" s="1" t="s">
        <v>7202</v>
      </c>
      <c r="T2703" s="1" t="s">
        <v>7203</v>
      </c>
      <c r="U2703" s="2" t="s">
        <v>3164</v>
      </c>
      <c r="V2703" s="2" t="s">
        <v>47</v>
      </c>
      <c r="W2703" s="2" t="s">
        <v>74</v>
      </c>
      <c r="X2703" s="2">
        <v>13.93</v>
      </c>
    </row>
    <row r="2704" spans="1:24" x14ac:dyDescent="0.3">
      <c r="A2704">
        <v>20573</v>
      </c>
      <c r="B2704" t="s">
        <v>7204</v>
      </c>
      <c r="C2704" s="3">
        <v>41912</v>
      </c>
      <c r="D2704" t="s">
        <v>62</v>
      </c>
      <c r="E2704">
        <v>1</v>
      </c>
      <c r="F2704" s="3">
        <f ca="1">41913+(RANDBETWEEN(1,10))</f>
        <v>41920</v>
      </c>
      <c r="G2704" t="s">
        <v>26</v>
      </c>
      <c r="H2704" t="s">
        <v>51</v>
      </c>
      <c r="I2704" t="s">
        <v>28</v>
      </c>
      <c r="J2704">
        <v>45.01</v>
      </c>
      <c r="K2704">
        <v>0.04</v>
      </c>
      <c r="L2704">
        <v>0.56999999999999995</v>
      </c>
      <c r="M2704">
        <v>11.795</v>
      </c>
      <c r="N2704">
        <v>234.19200000000001</v>
      </c>
      <c r="O2704" s="1" t="s">
        <v>87</v>
      </c>
      <c r="P2704" s="1" t="s">
        <v>7205</v>
      </c>
      <c r="Q2704" s="1" t="s">
        <v>7206</v>
      </c>
      <c r="R2704" s="1" t="s">
        <v>90</v>
      </c>
      <c r="S2704" s="1" t="s">
        <v>6419</v>
      </c>
      <c r="T2704" s="1" t="s">
        <v>6420</v>
      </c>
      <c r="U2704" s="2" t="s">
        <v>5857</v>
      </c>
      <c r="V2704" s="2" t="s">
        <v>47</v>
      </c>
      <c r="W2704" s="2" t="s">
        <v>94</v>
      </c>
      <c r="X2704" s="2">
        <v>38.43</v>
      </c>
    </row>
    <row r="2705" spans="1:24" x14ac:dyDescent="0.3">
      <c r="A2705">
        <v>20574</v>
      </c>
      <c r="B2705" t="s">
        <v>7207</v>
      </c>
      <c r="C2705" s="3">
        <v>41539</v>
      </c>
      <c r="D2705" t="s">
        <v>39</v>
      </c>
      <c r="E2705">
        <v>11</v>
      </c>
      <c r="F2705" s="3">
        <f ca="1">41540+(RANDBETWEEN(1,10))</f>
        <v>41543</v>
      </c>
      <c r="G2705" t="s">
        <v>26</v>
      </c>
      <c r="H2705" t="s">
        <v>27</v>
      </c>
      <c r="I2705" t="s">
        <v>28</v>
      </c>
      <c r="J2705">
        <v>11001.025</v>
      </c>
      <c r="K2705">
        <v>0.06</v>
      </c>
      <c r="L2705">
        <v>0.48</v>
      </c>
      <c r="M2705">
        <v>25.13</v>
      </c>
      <c r="N2705">
        <v>5527.69</v>
      </c>
      <c r="O2705" s="1" t="s">
        <v>87</v>
      </c>
      <c r="P2705" s="1" t="s">
        <v>4239</v>
      </c>
      <c r="Q2705" s="1" t="s">
        <v>4240</v>
      </c>
      <c r="R2705" s="1" t="s">
        <v>90</v>
      </c>
      <c r="S2705" s="1" t="s">
        <v>4241</v>
      </c>
      <c r="T2705" s="1" t="s">
        <v>4242</v>
      </c>
      <c r="U2705" s="2" t="s">
        <v>2057</v>
      </c>
      <c r="V2705" s="2" t="s">
        <v>36</v>
      </c>
      <c r="W2705" s="2" t="s">
        <v>60</v>
      </c>
      <c r="X2705" s="2">
        <v>1053.395</v>
      </c>
    </row>
    <row r="2706" spans="1:24" x14ac:dyDescent="0.3">
      <c r="A2706">
        <v>20575</v>
      </c>
      <c r="B2706" t="s">
        <v>7207</v>
      </c>
      <c r="C2706" s="3">
        <v>41539</v>
      </c>
      <c r="D2706" t="s">
        <v>39</v>
      </c>
      <c r="E2706">
        <v>9</v>
      </c>
      <c r="F2706" s="3">
        <f ca="1">41541+(RANDBETWEEN(1,10))</f>
        <v>41547</v>
      </c>
      <c r="G2706" t="s">
        <v>76</v>
      </c>
      <c r="H2706" t="s">
        <v>258</v>
      </c>
      <c r="I2706" t="s">
        <v>28</v>
      </c>
      <c r="J2706">
        <v>1744.085</v>
      </c>
      <c r="K2706">
        <v>0.09</v>
      </c>
      <c r="L2706">
        <v>0.72</v>
      </c>
      <c r="M2706">
        <v>312.55</v>
      </c>
      <c r="N2706">
        <v>-4482.1000000000004</v>
      </c>
      <c r="O2706" s="1" t="s">
        <v>87</v>
      </c>
      <c r="P2706" s="1" t="s">
        <v>4239</v>
      </c>
      <c r="Q2706" s="1" t="s">
        <v>4240</v>
      </c>
      <c r="R2706" s="1" t="s">
        <v>90</v>
      </c>
      <c r="S2706" s="1" t="s">
        <v>4241</v>
      </c>
      <c r="T2706" s="1" t="s">
        <v>4242</v>
      </c>
      <c r="U2706" s="2" t="s">
        <v>407</v>
      </c>
      <c r="V2706" s="2" t="s">
        <v>83</v>
      </c>
      <c r="W2706" s="2" t="s">
        <v>263</v>
      </c>
      <c r="X2706" s="2">
        <v>248.11500000000001</v>
      </c>
    </row>
    <row r="2707" spans="1:24" x14ac:dyDescent="0.3">
      <c r="A2707">
        <v>20576</v>
      </c>
      <c r="B2707" t="s">
        <v>7208</v>
      </c>
      <c r="C2707" s="3">
        <v>41670</v>
      </c>
      <c r="D2707" t="s">
        <v>62</v>
      </c>
      <c r="E2707">
        <v>2</v>
      </c>
      <c r="F2707" s="3">
        <f ca="1">41672+(RANDBETWEEN(1,10))</f>
        <v>41675</v>
      </c>
      <c r="G2707" t="s">
        <v>26</v>
      </c>
      <c r="H2707" t="s">
        <v>281</v>
      </c>
      <c r="I2707" t="s">
        <v>97</v>
      </c>
      <c r="J2707">
        <v>526.67999999999995</v>
      </c>
      <c r="K2707">
        <v>0.1</v>
      </c>
      <c r="L2707">
        <v>0.52</v>
      </c>
      <c r="M2707">
        <v>48.965000000000003</v>
      </c>
      <c r="N2707">
        <v>-152.72460000000001</v>
      </c>
      <c r="O2707" s="1" t="s">
        <v>40</v>
      </c>
      <c r="P2707" s="1" t="s">
        <v>3896</v>
      </c>
      <c r="Q2707" s="1" t="s">
        <v>3897</v>
      </c>
      <c r="R2707" s="1" t="s">
        <v>43</v>
      </c>
      <c r="S2707" s="1" t="s">
        <v>3898</v>
      </c>
      <c r="T2707" s="1" t="s">
        <v>3899</v>
      </c>
      <c r="U2707" s="2" t="s">
        <v>5634</v>
      </c>
      <c r="V2707" s="2" t="s">
        <v>47</v>
      </c>
      <c r="W2707" s="2" t="s">
        <v>71</v>
      </c>
      <c r="X2707" s="2">
        <v>275.27499999999998</v>
      </c>
    </row>
    <row r="2708" spans="1:24" x14ac:dyDescent="0.3">
      <c r="A2708">
        <v>20577</v>
      </c>
      <c r="B2708" t="s">
        <v>7209</v>
      </c>
      <c r="C2708" s="3">
        <v>40574</v>
      </c>
      <c r="D2708" t="s">
        <v>62</v>
      </c>
      <c r="E2708">
        <v>4</v>
      </c>
      <c r="F2708" s="3">
        <f ca="1">40576+(RANDBETWEEN(1,10))</f>
        <v>40578</v>
      </c>
      <c r="G2708" t="s">
        <v>26</v>
      </c>
      <c r="H2708" t="s">
        <v>51</v>
      </c>
      <c r="I2708" t="s">
        <v>97</v>
      </c>
      <c r="J2708">
        <v>121.24</v>
      </c>
      <c r="K2708">
        <v>0.03</v>
      </c>
      <c r="L2708">
        <v>0.59</v>
      </c>
      <c r="M2708">
        <v>9.24</v>
      </c>
      <c r="N2708">
        <v>2.3940000000000001</v>
      </c>
      <c r="O2708" s="1" t="s">
        <v>40</v>
      </c>
      <c r="P2708" s="1" t="s">
        <v>3896</v>
      </c>
      <c r="Q2708" s="1" t="s">
        <v>3897</v>
      </c>
      <c r="R2708" s="1" t="s">
        <v>43</v>
      </c>
      <c r="S2708" s="1" t="s">
        <v>3898</v>
      </c>
      <c r="T2708" s="1" t="s">
        <v>3899</v>
      </c>
      <c r="U2708" s="2" t="s">
        <v>6942</v>
      </c>
      <c r="V2708" s="2" t="s">
        <v>47</v>
      </c>
      <c r="W2708" s="2" t="s">
        <v>94</v>
      </c>
      <c r="X2708" s="2">
        <v>29.19</v>
      </c>
    </row>
    <row r="2709" spans="1:24" x14ac:dyDescent="0.3">
      <c r="A2709">
        <v>20578</v>
      </c>
      <c r="B2709" t="s">
        <v>7210</v>
      </c>
      <c r="C2709" s="3">
        <v>41914</v>
      </c>
      <c r="D2709" t="s">
        <v>25</v>
      </c>
      <c r="E2709">
        <v>22</v>
      </c>
      <c r="F2709" s="3">
        <f ca="1">41916+(RANDBETWEEN(1,10))</f>
        <v>41919</v>
      </c>
      <c r="G2709" t="s">
        <v>76</v>
      </c>
      <c r="H2709" t="s">
        <v>77</v>
      </c>
      <c r="I2709" t="s">
        <v>86</v>
      </c>
      <c r="J2709">
        <v>9015.7549999999992</v>
      </c>
      <c r="K2709">
        <v>0.02</v>
      </c>
      <c r="L2709">
        <v>0.71</v>
      </c>
      <c r="M2709">
        <v>105</v>
      </c>
      <c r="N2709">
        <v>442.08499999999998</v>
      </c>
      <c r="O2709" s="1" t="s">
        <v>40</v>
      </c>
      <c r="P2709" s="1" t="s">
        <v>7211</v>
      </c>
      <c r="Q2709" s="1" t="s">
        <v>7212</v>
      </c>
      <c r="R2709" s="1" t="s">
        <v>43</v>
      </c>
      <c r="S2709" s="1" t="s">
        <v>7213</v>
      </c>
      <c r="T2709" s="1" t="s">
        <v>7214</v>
      </c>
      <c r="U2709" s="2" t="s">
        <v>7057</v>
      </c>
      <c r="V2709" s="2" t="s">
        <v>83</v>
      </c>
      <c r="W2709" s="2" t="s">
        <v>84</v>
      </c>
      <c r="X2709" s="2">
        <v>388.43</v>
      </c>
    </row>
    <row r="2710" spans="1:24" x14ac:dyDescent="0.3">
      <c r="A2710">
        <v>20579</v>
      </c>
      <c r="B2710" t="s">
        <v>7210</v>
      </c>
      <c r="C2710" s="3">
        <v>41914</v>
      </c>
      <c r="D2710" t="s">
        <v>25</v>
      </c>
      <c r="E2710">
        <v>17</v>
      </c>
      <c r="F2710" s="3">
        <f ca="1">41916+(RANDBETWEEN(1,10))</f>
        <v>41922</v>
      </c>
      <c r="G2710" t="s">
        <v>26</v>
      </c>
      <c r="H2710" t="s">
        <v>27</v>
      </c>
      <c r="I2710" t="s">
        <v>86</v>
      </c>
      <c r="J2710">
        <v>775.005</v>
      </c>
      <c r="K2710">
        <v>0.01</v>
      </c>
      <c r="L2710">
        <v>0.38</v>
      </c>
      <c r="M2710">
        <v>1.75</v>
      </c>
      <c r="N2710">
        <v>534.75345000000004</v>
      </c>
      <c r="O2710" s="1" t="s">
        <v>40</v>
      </c>
      <c r="P2710" s="1" t="s">
        <v>7211</v>
      </c>
      <c r="Q2710" s="1" t="s">
        <v>7212</v>
      </c>
      <c r="R2710" s="1" t="s">
        <v>43</v>
      </c>
      <c r="S2710" s="1" t="s">
        <v>7213</v>
      </c>
      <c r="T2710" s="1" t="s">
        <v>7214</v>
      </c>
      <c r="U2710" s="2" t="s">
        <v>7215</v>
      </c>
      <c r="V2710" s="2" t="s">
        <v>47</v>
      </c>
      <c r="W2710" s="2" t="s">
        <v>203</v>
      </c>
      <c r="X2710" s="2">
        <v>43.854999999999997</v>
      </c>
    </row>
    <row r="2711" spans="1:24" x14ac:dyDescent="0.3">
      <c r="A2711">
        <v>20580</v>
      </c>
      <c r="B2711" t="s">
        <v>7216</v>
      </c>
      <c r="C2711" s="3">
        <v>41178</v>
      </c>
      <c r="D2711" t="s">
        <v>148</v>
      </c>
      <c r="E2711">
        <v>17</v>
      </c>
      <c r="F2711" s="3">
        <f ca="1">41179+(RANDBETWEEN(1,10))</f>
        <v>41185</v>
      </c>
      <c r="G2711" t="s">
        <v>26</v>
      </c>
      <c r="H2711" t="s">
        <v>27</v>
      </c>
      <c r="I2711" t="s">
        <v>52</v>
      </c>
      <c r="J2711">
        <v>162.75</v>
      </c>
      <c r="K2711">
        <v>0.1</v>
      </c>
      <c r="L2711">
        <v>0.36</v>
      </c>
      <c r="M2711">
        <v>1.75</v>
      </c>
      <c r="N2711">
        <v>1312.4538</v>
      </c>
      <c r="O2711" s="1" t="s">
        <v>29</v>
      </c>
      <c r="P2711" s="1" t="s">
        <v>3844</v>
      </c>
      <c r="Q2711" s="1" t="s">
        <v>3845</v>
      </c>
      <c r="R2711" s="1" t="s">
        <v>675</v>
      </c>
      <c r="S2711" s="1" t="s">
        <v>3846</v>
      </c>
      <c r="T2711" s="1" t="s">
        <v>3847</v>
      </c>
      <c r="U2711" s="2" t="s">
        <v>1939</v>
      </c>
      <c r="V2711" s="2" t="s">
        <v>47</v>
      </c>
      <c r="W2711" s="2" t="s">
        <v>203</v>
      </c>
      <c r="X2711" s="2">
        <v>10.08</v>
      </c>
    </row>
    <row r="2712" spans="1:24" x14ac:dyDescent="0.3">
      <c r="A2712">
        <v>20581</v>
      </c>
      <c r="B2712" t="s">
        <v>7217</v>
      </c>
      <c r="C2712" s="3">
        <v>41127</v>
      </c>
      <c r="D2712" t="s">
        <v>62</v>
      </c>
      <c r="E2712">
        <v>11</v>
      </c>
      <c r="F2712" s="3">
        <f ca="1">41130+(RANDBETWEEN(1,10))</f>
        <v>41135</v>
      </c>
      <c r="G2712" t="s">
        <v>156</v>
      </c>
      <c r="H2712" t="s">
        <v>27</v>
      </c>
      <c r="I2712" t="s">
        <v>97</v>
      </c>
      <c r="J2712">
        <v>560.91</v>
      </c>
      <c r="K2712">
        <v>0.1</v>
      </c>
      <c r="L2712">
        <v>0.38</v>
      </c>
      <c r="M2712">
        <v>22.61</v>
      </c>
      <c r="N2712">
        <v>147.89677</v>
      </c>
      <c r="O2712" s="1" t="s">
        <v>53</v>
      </c>
      <c r="P2712" s="1" t="s">
        <v>1819</v>
      </c>
      <c r="Q2712" s="1" t="s">
        <v>1820</v>
      </c>
      <c r="R2712" s="1" t="s">
        <v>56</v>
      </c>
      <c r="S2712" s="1" t="s">
        <v>1821</v>
      </c>
      <c r="T2712" s="1" t="s">
        <v>1822</v>
      </c>
      <c r="U2712" s="2" t="s">
        <v>1867</v>
      </c>
      <c r="V2712" s="2" t="s">
        <v>47</v>
      </c>
      <c r="W2712" s="2" t="s">
        <v>111</v>
      </c>
      <c r="X2712" s="2">
        <v>50.68</v>
      </c>
    </row>
    <row r="2713" spans="1:24" x14ac:dyDescent="0.3">
      <c r="A2713">
        <v>20582</v>
      </c>
      <c r="B2713" t="s">
        <v>7217</v>
      </c>
      <c r="C2713" s="3">
        <v>41127</v>
      </c>
      <c r="D2713" t="s">
        <v>62</v>
      </c>
      <c r="E2713">
        <v>21</v>
      </c>
      <c r="F2713" s="3">
        <f ca="1">41129+(RANDBETWEEN(1,10))</f>
        <v>41131</v>
      </c>
      <c r="G2713" t="s">
        <v>26</v>
      </c>
      <c r="H2713" t="s">
        <v>63</v>
      </c>
      <c r="I2713" t="s">
        <v>97</v>
      </c>
      <c r="J2713">
        <v>7692.125</v>
      </c>
      <c r="K2713">
        <v>0.03</v>
      </c>
      <c r="L2713">
        <v>0.59</v>
      </c>
      <c r="M2713">
        <v>74.41</v>
      </c>
      <c r="N2713">
        <v>4429.6252000000004</v>
      </c>
      <c r="O2713" s="1" t="s">
        <v>53</v>
      </c>
      <c r="P2713" s="1" t="s">
        <v>1819</v>
      </c>
      <c r="Q2713" s="1" t="s">
        <v>1820</v>
      </c>
      <c r="R2713" s="1" t="s">
        <v>56</v>
      </c>
      <c r="S2713" s="1" t="s">
        <v>1821</v>
      </c>
      <c r="T2713" s="1" t="s">
        <v>1822</v>
      </c>
      <c r="U2713" s="2" t="s">
        <v>4456</v>
      </c>
      <c r="V2713" s="2" t="s">
        <v>83</v>
      </c>
      <c r="W2713" s="2" t="s">
        <v>178</v>
      </c>
      <c r="X2713" s="2">
        <v>358.05</v>
      </c>
    </row>
    <row r="2714" spans="1:24" x14ac:dyDescent="0.3">
      <c r="A2714">
        <v>20583</v>
      </c>
      <c r="B2714" t="s">
        <v>7218</v>
      </c>
      <c r="C2714" s="3">
        <v>41263</v>
      </c>
      <c r="D2714" t="s">
        <v>148</v>
      </c>
      <c r="E2714">
        <v>2</v>
      </c>
      <c r="F2714" s="3">
        <f ca="1">41264+(RANDBETWEEN(1,10))</f>
        <v>41268</v>
      </c>
      <c r="G2714" t="s">
        <v>26</v>
      </c>
      <c r="H2714" t="s">
        <v>27</v>
      </c>
      <c r="I2714" t="s">
        <v>86</v>
      </c>
      <c r="J2714">
        <v>27.475000000000001</v>
      </c>
      <c r="K2714">
        <v>0.01</v>
      </c>
      <c r="L2714">
        <v>0.38</v>
      </c>
      <c r="M2714">
        <v>1.75</v>
      </c>
      <c r="N2714">
        <v>3.7275</v>
      </c>
      <c r="O2714" s="1" t="s">
        <v>87</v>
      </c>
      <c r="P2714" s="1" t="s">
        <v>3444</v>
      </c>
      <c r="Q2714" s="1" t="s">
        <v>3445</v>
      </c>
      <c r="R2714" s="1" t="s">
        <v>646</v>
      </c>
      <c r="S2714" s="1" t="s">
        <v>3446</v>
      </c>
      <c r="T2714" s="1" t="s">
        <v>3447</v>
      </c>
      <c r="U2714" s="2" t="s">
        <v>312</v>
      </c>
      <c r="V2714" s="2" t="s">
        <v>47</v>
      </c>
      <c r="W2714" s="2" t="s">
        <v>203</v>
      </c>
      <c r="X2714" s="2">
        <v>12.914999999999999</v>
      </c>
    </row>
    <row r="2715" spans="1:24" x14ac:dyDescent="0.3">
      <c r="A2715">
        <v>20584</v>
      </c>
      <c r="B2715" t="s">
        <v>7219</v>
      </c>
      <c r="C2715" s="3">
        <v>41890</v>
      </c>
      <c r="D2715" t="s">
        <v>25</v>
      </c>
      <c r="E2715">
        <v>6</v>
      </c>
      <c r="F2715" s="3">
        <f ca="1">41894+(RANDBETWEEN(1,10))</f>
        <v>41895</v>
      </c>
      <c r="G2715" t="s">
        <v>76</v>
      </c>
      <c r="H2715" t="s">
        <v>77</v>
      </c>
      <c r="I2715" t="s">
        <v>28</v>
      </c>
      <c r="J2715">
        <v>2112.39</v>
      </c>
      <c r="K2715">
        <v>0.05</v>
      </c>
      <c r="L2715">
        <v>0.57999999999999996</v>
      </c>
      <c r="M2715">
        <v>203.7</v>
      </c>
      <c r="N2715">
        <v>-1131.1859999999999</v>
      </c>
      <c r="O2715" s="1" t="s">
        <v>29</v>
      </c>
      <c r="P2715" s="1" t="s">
        <v>7220</v>
      </c>
      <c r="Q2715" s="1" t="s">
        <v>7221</v>
      </c>
      <c r="R2715" s="1" t="s">
        <v>32</v>
      </c>
      <c r="S2715" s="1" t="s">
        <v>7222</v>
      </c>
      <c r="T2715" s="1" t="s">
        <v>7223</v>
      </c>
      <c r="U2715" s="2" t="s">
        <v>82</v>
      </c>
      <c r="V2715" s="2" t="s">
        <v>83</v>
      </c>
      <c r="W2715" s="2" t="s">
        <v>84</v>
      </c>
      <c r="X2715" s="2">
        <v>335.93</v>
      </c>
    </row>
    <row r="2716" spans="1:24" x14ac:dyDescent="0.3">
      <c r="A2716">
        <v>20585</v>
      </c>
      <c r="B2716" t="s">
        <v>7219</v>
      </c>
      <c r="C2716" s="3">
        <v>41890</v>
      </c>
      <c r="D2716" t="s">
        <v>25</v>
      </c>
      <c r="E2716">
        <v>6</v>
      </c>
      <c r="F2716" s="3">
        <f ca="1">41892+(RANDBETWEEN(1,10))</f>
        <v>41893</v>
      </c>
      <c r="G2716" t="s">
        <v>76</v>
      </c>
      <c r="H2716" t="s">
        <v>258</v>
      </c>
      <c r="I2716" t="s">
        <v>28</v>
      </c>
      <c r="J2716">
        <v>4998.21</v>
      </c>
      <c r="K2716">
        <v>0.04</v>
      </c>
      <c r="L2716">
        <v>0.78</v>
      </c>
      <c r="M2716">
        <v>216.16</v>
      </c>
      <c r="N2716">
        <v>-448.43651999999997</v>
      </c>
      <c r="O2716" s="1" t="s">
        <v>29</v>
      </c>
      <c r="P2716" s="1" t="s">
        <v>7220</v>
      </c>
      <c r="Q2716" s="1" t="s">
        <v>7221</v>
      </c>
      <c r="R2716" s="1" t="s">
        <v>32</v>
      </c>
      <c r="S2716" s="1" t="s">
        <v>7222</v>
      </c>
      <c r="T2716" s="1" t="s">
        <v>7223</v>
      </c>
      <c r="U2716" s="2" t="s">
        <v>3683</v>
      </c>
      <c r="V2716" s="2" t="s">
        <v>83</v>
      </c>
      <c r="W2716" s="2" t="s">
        <v>263</v>
      </c>
      <c r="X2716" s="2">
        <v>1003.975</v>
      </c>
    </row>
    <row r="2717" spans="1:24" x14ac:dyDescent="0.3">
      <c r="A2717">
        <v>20586</v>
      </c>
      <c r="B2717" t="s">
        <v>7224</v>
      </c>
      <c r="C2717" s="3">
        <v>41338</v>
      </c>
      <c r="D2717" t="s">
        <v>50</v>
      </c>
      <c r="E2717">
        <v>14</v>
      </c>
      <c r="F2717" s="3">
        <f ca="1">41340+(RANDBETWEEN(1,10))</f>
        <v>41348</v>
      </c>
      <c r="G2717" t="s">
        <v>26</v>
      </c>
      <c r="H2717" t="s">
        <v>27</v>
      </c>
      <c r="I2717" t="s">
        <v>97</v>
      </c>
      <c r="J2717">
        <v>14346.745000000001</v>
      </c>
      <c r="K2717">
        <v>0.04</v>
      </c>
      <c r="L2717">
        <v>0.4</v>
      </c>
      <c r="M2717">
        <v>69.965000000000003</v>
      </c>
      <c r="N2717">
        <v>9899.2540499999996</v>
      </c>
      <c r="O2717" s="1" t="s">
        <v>87</v>
      </c>
      <c r="P2717" s="1" t="s">
        <v>4618</v>
      </c>
      <c r="Q2717" s="1" t="s">
        <v>4619</v>
      </c>
      <c r="R2717" s="1" t="s">
        <v>90</v>
      </c>
      <c r="S2717" s="1" t="s">
        <v>4620</v>
      </c>
      <c r="T2717" s="1" t="s">
        <v>4621</v>
      </c>
      <c r="U2717" s="2" t="s">
        <v>2149</v>
      </c>
      <c r="V2717" s="2" t="s">
        <v>47</v>
      </c>
      <c r="W2717" s="2" t="s">
        <v>111</v>
      </c>
      <c r="X2717" s="2">
        <v>1067.4649999999999</v>
      </c>
    </row>
    <row r="2718" spans="1:24" x14ac:dyDescent="0.3">
      <c r="A2718">
        <v>20587</v>
      </c>
      <c r="B2718" t="s">
        <v>7224</v>
      </c>
      <c r="C2718" s="3">
        <v>41338</v>
      </c>
      <c r="D2718" t="s">
        <v>50</v>
      </c>
      <c r="E2718">
        <v>4</v>
      </c>
      <c r="F2718" s="3">
        <f ca="1">41340+(RANDBETWEEN(1,10))</f>
        <v>41341</v>
      </c>
      <c r="G2718" t="s">
        <v>26</v>
      </c>
      <c r="H2718" t="s">
        <v>27</v>
      </c>
      <c r="I2718" t="s">
        <v>97</v>
      </c>
      <c r="J2718">
        <v>37.659999999999997</v>
      </c>
      <c r="K2718">
        <v>0.09</v>
      </c>
      <c r="L2718">
        <v>0.38</v>
      </c>
      <c r="M2718">
        <v>1.75</v>
      </c>
      <c r="N2718">
        <v>25.985399999999998</v>
      </c>
      <c r="O2718" s="1" t="s">
        <v>87</v>
      </c>
      <c r="P2718" s="1" t="s">
        <v>4618</v>
      </c>
      <c r="Q2718" s="1" t="s">
        <v>4619</v>
      </c>
      <c r="R2718" s="1" t="s">
        <v>90</v>
      </c>
      <c r="S2718" s="1" t="s">
        <v>4620</v>
      </c>
      <c r="T2718" s="1" t="s">
        <v>4621</v>
      </c>
      <c r="U2718" s="2" t="s">
        <v>468</v>
      </c>
      <c r="V2718" s="2" t="s">
        <v>47</v>
      </c>
      <c r="W2718" s="2" t="s">
        <v>203</v>
      </c>
      <c r="X2718" s="2">
        <v>10.115</v>
      </c>
    </row>
    <row r="2719" spans="1:24" x14ac:dyDescent="0.3">
      <c r="A2719">
        <v>20588</v>
      </c>
      <c r="B2719" t="s">
        <v>7224</v>
      </c>
      <c r="C2719" s="3">
        <v>41338</v>
      </c>
      <c r="D2719" t="s">
        <v>50</v>
      </c>
      <c r="E2719">
        <v>11</v>
      </c>
      <c r="F2719" s="3">
        <f ca="1">41339+(RANDBETWEEN(1,10))</f>
        <v>41341</v>
      </c>
      <c r="G2719" t="s">
        <v>26</v>
      </c>
      <c r="H2719" t="s">
        <v>27</v>
      </c>
      <c r="I2719" t="s">
        <v>97</v>
      </c>
      <c r="J2719">
        <v>3710.7350000000001</v>
      </c>
      <c r="K2719">
        <v>0.1</v>
      </c>
      <c r="L2719">
        <v>0.56999999999999995</v>
      </c>
      <c r="M2719">
        <v>14.7</v>
      </c>
      <c r="N2719">
        <v>2560.40715</v>
      </c>
      <c r="O2719" s="1" t="s">
        <v>87</v>
      </c>
      <c r="P2719" s="1" t="s">
        <v>4618</v>
      </c>
      <c r="Q2719" s="1" t="s">
        <v>4619</v>
      </c>
      <c r="R2719" s="1" t="s">
        <v>90</v>
      </c>
      <c r="S2719" s="1" t="s">
        <v>4620</v>
      </c>
      <c r="T2719" s="1" t="s">
        <v>4621</v>
      </c>
      <c r="U2719" s="2" t="s">
        <v>4401</v>
      </c>
      <c r="V2719" s="2" t="s">
        <v>36</v>
      </c>
      <c r="W2719" s="2" t="s">
        <v>37</v>
      </c>
      <c r="X2719" s="2">
        <v>440.96499999999997</v>
      </c>
    </row>
    <row r="2720" spans="1:24" x14ac:dyDescent="0.3">
      <c r="A2720">
        <v>20589</v>
      </c>
      <c r="B2720" t="s">
        <v>7225</v>
      </c>
      <c r="C2720" s="3">
        <v>40901</v>
      </c>
      <c r="D2720" t="s">
        <v>50</v>
      </c>
      <c r="E2720">
        <v>18</v>
      </c>
      <c r="F2720" s="3">
        <f ca="1">40902+(RANDBETWEEN(1,10))</f>
        <v>40907</v>
      </c>
      <c r="G2720" t="s">
        <v>26</v>
      </c>
      <c r="H2720" t="s">
        <v>27</v>
      </c>
      <c r="I2720" t="s">
        <v>86</v>
      </c>
      <c r="J2720">
        <v>466.16500000000002</v>
      </c>
      <c r="K2720">
        <v>0.01</v>
      </c>
      <c r="L2720">
        <v>0.39</v>
      </c>
      <c r="M2720">
        <v>21.175000000000001</v>
      </c>
      <c r="N2720">
        <v>-137.15187499999999</v>
      </c>
      <c r="O2720" s="1" t="s">
        <v>53</v>
      </c>
      <c r="P2720" s="1" t="s">
        <v>4503</v>
      </c>
      <c r="Q2720" s="1" t="s">
        <v>4504</v>
      </c>
      <c r="R2720" s="1" t="s">
        <v>440</v>
      </c>
      <c r="S2720" s="1" t="s">
        <v>4505</v>
      </c>
      <c r="T2720" s="1" t="s">
        <v>4506</v>
      </c>
      <c r="U2720" s="2" t="s">
        <v>2669</v>
      </c>
      <c r="V2720" s="2" t="s">
        <v>47</v>
      </c>
      <c r="W2720" s="2" t="s">
        <v>111</v>
      </c>
      <c r="X2720" s="2">
        <v>24.85</v>
      </c>
    </row>
    <row r="2721" spans="1:24" x14ac:dyDescent="0.3">
      <c r="A2721">
        <v>20590</v>
      </c>
      <c r="B2721" t="s">
        <v>7225</v>
      </c>
      <c r="C2721" s="3">
        <v>40901</v>
      </c>
      <c r="D2721" t="s">
        <v>50</v>
      </c>
      <c r="E2721">
        <v>5</v>
      </c>
      <c r="F2721" s="3">
        <f ca="1">40902+(RANDBETWEEN(1,10))</f>
        <v>40912</v>
      </c>
      <c r="G2721" t="s">
        <v>26</v>
      </c>
      <c r="H2721" t="s">
        <v>27</v>
      </c>
      <c r="I2721" t="s">
        <v>86</v>
      </c>
      <c r="J2721">
        <v>340.65499999999997</v>
      </c>
      <c r="K2721">
        <v>0.05</v>
      </c>
      <c r="L2721">
        <v>0.37</v>
      </c>
      <c r="M2721">
        <v>31.605</v>
      </c>
      <c r="N2721">
        <v>-6.6150000000000002</v>
      </c>
      <c r="O2721" s="1" t="s">
        <v>53</v>
      </c>
      <c r="P2721" s="1" t="s">
        <v>4503</v>
      </c>
      <c r="Q2721" s="1" t="s">
        <v>4504</v>
      </c>
      <c r="R2721" s="1" t="s">
        <v>440</v>
      </c>
      <c r="S2721" s="1" t="s">
        <v>4505</v>
      </c>
      <c r="T2721" s="1" t="s">
        <v>4506</v>
      </c>
      <c r="U2721" s="2" t="s">
        <v>482</v>
      </c>
      <c r="V2721" s="2" t="s">
        <v>47</v>
      </c>
      <c r="W2721" s="2" t="s">
        <v>74</v>
      </c>
      <c r="X2721" s="2">
        <v>66.394999999999996</v>
      </c>
    </row>
    <row r="2722" spans="1:24" x14ac:dyDescent="0.3">
      <c r="A2722">
        <v>20591</v>
      </c>
      <c r="B2722" t="s">
        <v>7226</v>
      </c>
      <c r="C2722" s="3">
        <v>40767</v>
      </c>
      <c r="D2722" t="s">
        <v>148</v>
      </c>
      <c r="E2722">
        <v>1</v>
      </c>
      <c r="F2722" s="3">
        <f ca="1">40769+(RANDBETWEEN(1,10))</f>
        <v>40774</v>
      </c>
      <c r="G2722" t="s">
        <v>26</v>
      </c>
      <c r="H2722" t="s">
        <v>51</v>
      </c>
      <c r="I2722" t="s">
        <v>52</v>
      </c>
      <c r="J2722">
        <v>182.35</v>
      </c>
      <c r="K2722">
        <v>0</v>
      </c>
      <c r="L2722">
        <v>0.83</v>
      </c>
      <c r="M2722">
        <v>8.75</v>
      </c>
      <c r="N2722">
        <v>-423.70328000000001</v>
      </c>
      <c r="O2722" s="1" t="s">
        <v>53</v>
      </c>
      <c r="P2722" s="1" t="s">
        <v>7227</v>
      </c>
      <c r="Q2722" s="1" t="s">
        <v>7228</v>
      </c>
      <c r="R2722" s="1" t="s">
        <v>100</v>
      </c>
      <c r="S2722" s="1" t="s">
        <v>1575</v>
      </c>
      <c r="T2722" s="1" t="s">
        <v>1576</v>
      </c>
      <c r="U2722" s="2" t="s">
        <v>3513</v>
      </c>
      <c r="V2722" s="2" t="s">
        <v>36</v>
      </c>
      <c r="W2722" s="2" t="s">
        <v>37</v>
      </c>
      <c r="X2722" s="2">
        <v>195.965</v>
      </c>
    </row>
    <row r="2723" spans="1:24" x14ac:dyDescent="0.3">
      <c r="A2723">
        <v>20592</v>
      </c>
      <c r="B2723" t="s">
        <v>7229</v>
      </c>
      <c r="C2723" s="3">
        <v>40755</v>
      </c>
      <c r="D2723" t="s">
        <v>148</v>
      </c>
      <c r="E2723">
        <v>9</v>
      </c>
      <c r="F2723" s="3">
        <f ca="1">40757+(RANDBETWEEN(1,10))</f>
        <v>40766</v>
      </c>
      <c r="G2723" t="s">
        <v>26</v>
      </c>
      <c r="H2723" t="s">
        <v>281</v>
      </c>
      <c r="I2723" t="s">
        <v>28</v>
      </c>
      <c r="J2723">
        <v>4009.6</v>
      </c>
      <c r="K2723">
        <v>0.03</v>
      </c>
      <c r="L2723" t="s">
        <v>182</v>
      </c>
      <c r="M2723">
        <v>44.274999999999999</v>
      </c>
      <c r="N2723">
        <v>2766.6239999999998</v>
      </c>
      <c r="O2723" s="1" t="s">
        <v>53</v>
      </c>
      <c r="P2723" s="1" t="s">
        <v>2757</v>
      </c>
      <c r="Q2723" s="1" t="s">
        <v>2758</v>
      </c>
      <c r="R2723" s="1" t="s">
        <v>100</v>
      </c>
      <c r="S2723" s="1" t="s">
        <v>2759</v>
      </c>
      <c r="T2723" s="1" t="s">
        <v>2760</v>
      </c>
      <c r="U2723" s="2" t="s">
        <v>1695</v>
      </c>
      <c r="V2723" s="2" t="s">
        <v>83</v>
      </c>
      <c r="W2723" s="2" t="s">
        <v>84</v>
      </c>
      <c r="X2723" s="2">
        <v>448.84</v>
      </c>
    </row>
    <row r="2724" spans="1:24" x14ac:dyDescent="0.3">
      <c r="A2724">
        <v>20593</v>
      </c>
      <c r="B2724" t="s">
        <v>7229</v>
      </c>
      <c r="C2724" s="3">
        <v>40755</v>
      </c>
      <c r="D2724" t="s">
        <v>148</v>
      </c>
      <c r="E2724">
        <v>10</v>
      </c>
      <c r="F2724" s="3">
        <f ca="1">40757+(RANDBETWEEN(1,10))</f>
        <v>40760</v>
      </c>
      <c r="G2724" t="s">
        <v>76</v>
      </c>
      <c r="H2724" t="s">
        <v>77</v>
      </c>
      <c r="I2724" t="s">
        <v>28</v>
      </c>
      <c r="J2724">
        <v>5721.3450000000003</v>
      </c>
      <c r="K2724">
        <v>0.01</v>
      </c>
      <c r="L2724">
        <v>0.62</v>
      </c>
      <c r="M2724">
        <v>105</v>
      </c>
      <c r="N2724">
        <v>2760.7649999999999</v>
      </c>
      <c r="O2724" s="1" t="s">
        <v>29</v>
      </c>
      <c r="P2724" s="1" t="s">
        <v>7220</v>
      </c>
      <c r="Q2724" s="1" t="s">
        <v>7221</v>
      </c>
      <c r="R2724" s="1" t="s">
        <v>32</v>
      </c>
      <c r="S2724" s="1" t="s">
        <v>7222</v>
      </c>
      <c r="T2724" s="1" t="s">
        <v>7223</v>
      </c>
      <c r="U2724" s="2" t="s">
        <v>2089</v>
      </c>
      <c r="V2724" s="2" t="s">
        <v>83</v>
      </c>
      <c r="W2724" s="2" t="s">
        <v>84</v>
      </c>
      <c r="X2724" s="2">
        <v>563.42999999999995</v>
      </c>
    </row>
    <row r="2725" spans="1:24" x14ac:dyDescent="0.3">
      <c r="A2725">
        <v>20594</v>
      </c>
      <c r="B2725" t="s">
        <v>7230</v>
      </c>
      <c r="C2725" s="3">
        <v>40811</v>
      </c>
      <c r="D2725" t="s">
        <v>50</v>
      </c>
      <c r="E2725">
        <v>4</v>
      </c>
      <c r="F2725" s="3">
        <f ca="1">40813+(RANDBETWEEN(1,10))</f>
        <v>40818</v>
      </c>
      <c r="G2725" t="s">
        <v>76</v>
      </c>
      <c r="H2725" t="s">
        <v>258</v>
      </c>
      <c r="I2725" t="s">
        <v>86</v>
      </c>
      <c r="J2725">
        <v>2130.835</v>
      </c>
      <c r="K2725">
        <v>0.03</v>
      </c>
      <c r="L2725">
        <v>0.77</v>
      </c>
      <c r="M2725">
        <v>126.315</v>
      </c>
      <c r="N2725">
        <v>-775.25</v>
      </c>
      <c r="O2725" s="1" t="s">
        <v>87</v>
      </c>
      <c r="P2725" s="1" t="s">
        <v>7231</v>
      </c>
      <c r="Q2725" s="1" t="s">
        <v>7232</v>
      </c>
      <c r="R2725" s="1" t="s">
        <v>398</v>
      </c>
      <c r="S2725" s="1" t="s">
        <v>7233</v>
      </c>
      <c r="T2725" s="1" t="s">
        <v>7234</v>
      </c>
      <c r="U2725" s="2" t="s">
        <v>3136</v>
      </c>
      <c r="V2725" s="2" t="s">
        <v>83</v>
      </c>
      <c r="W2725" s="2" t="s">
        <v>298</v>
      </c>
      <c r="X2725" s="2">
        <v>493.43</v>
      </c>
    </row>
    <row r="2726" spans="1:24" x14ac:dyDescent="0.3">
      <c r="A2726">
        <v>20595</v>
      </c>
      <c r="B2726" t="s">
        <v>7230</v>
      </c>
      <c r="C2726" s="3">
        <v>40811</v>
      </c>
      <c r="D2726" t="s">
        <v>50</v>
      </c>
      <c r="E2726">
        <v>15</v>
      </c>
      <c r="F2726" s="3">
        <f ca="1">40812+(RANDBETWEEN(1,10))</f>
        <v>40816</v>
      </c>
      <c r="G2726" t="s">
        <v>26</v>
      </c>
      <c r="H2726" t="s">
        <v>27</v>
      </c>
      <c r="I2726" t="s">
        <v>86</v>
      </c>
      <c r="J2726">
        <v>2830.1350000000002</v>
      </c>
      <c r="K2726">
        <v>0.08</v>
      </c>
      <c r="L2726">
        <v>0.56000000000000005</v>
      </c>
      <c r="M2726">
        <v>31.465</v>
      </c>
      <c r="N2726">
        <v>722.23199999999997</v>
      </c>
      <c r="O2726" s="1" t="s">
        <v>87</v>
      </c>
      <c r="P2726" s="1" t="s">
        <v>7231</v>
      </c>
      <c r="Q2726" s="1" t="s">
        <v>7232</v>
      </c>
      <c r="R2726" s="1" t="s">
        <v>398</v>
      </c>
      <c r="S2726" s="1" t="s">
        <v>7233</v>
      </c>
      <c r="T2726" s="1" t="s">
        <v>7234</v>
      </c>
      <c r="U2726" s="2" t="s">
        <v>164</v>
      </c>
      <c r="V2726" s="2" t="s">
        <v>36</v>
      </c>
      <c r="W2726" s="2" t="s">
        <v>37</v>
      </c>
      <c r="X2726" s="2">
        <v>230.965</v>
      </c>
    </row>
    <row r="2727" spans="1:24" x14ac:dyDescent="0.3">
      <c r="A2727">
        <v>20596</v>
      </c>
      <c r="B2727" t="s">
        <v>7235</v>
      </c>
      <c r="C2727" s="3">
        <v>41781</v>
      </c>
      <c r="D2727" t="s">
        <v>25</v>
      </c>
      <c r="E2727">
        <v>3</v>
      </c>
      <c r="F2727" s="3">
        <f ca="1">41783+(RANDBETWEEN(1,10))</f>
        <v>41788</v>
      </c>
      <c r="G2727" t="s">
        <v>26</v>
      </c>
      <c r="H2727" t="s">
        <v>27</v>
      </c>
      <c r="I2727" t="s">
        <v>52</v>
      </c>
      <c r="J2727">
        <v>259.245</v>
      </c>
      <c r="K2727">
        <v>0.03</v>
      </c>
      <c r="L2727">
        <v>0.38</v>
      </c>
      <c r="M2727">
        <v>52.85</v>
      </c>
      <c r="N2727">
        <v>-140.875</v>
      </c>
      <c r="O2727" s="1" t="s">
        <v>40</v>
      </c>
      <c r="P2727" s="1" t="s">
        <v>7236</v>
      </c>
      <c r="Q2727" s="1" t="s">
        <v>7237</v>
      </c>
      <c r="R2727" s="1" t="s">
        <v>43</v>
      </c>
      <c r="S2727" s="1" t="s">
        <v>6624</v>
      </c>
      <c r="T2727" s="1" t="s">
        <v>6625</v>
      </c>
      <c r="U2727" s="2" t="s">
        <v>2602</v>
      </c>
      <c r="V2727" s="2" t="s">
        <v>47</v>
      </c>
      <c r="W2727" s="2" t="s">
        <v>111</v>
      </c>
      <c r="X2727" s="2">
        <v>78.33</v>
      </c>
    </row>
    <row r="2728" spans="1:24" x14ac:dyDescent="0.3">
      <c r="A2728">
        <v>20597</v>
      </c>
      <c r="B2728" t="s">
        <v>7235</v>
      </c>
      <c r="C2728" s="3">
        <v>41781</v>
      </c>
      <c r="D2728" t="s">
        <v>25</v>
      </c>
      <c r="E2728">
        <v>2</v>
      </c>
      <c r="F2728" s="3">
        <f ca="1">41786+(RANDBETWEEN(1,10))</f>
        <v>41789</v>
      </c>
      <c r="G2728" t="s">
        <v>26</v>
      </c>
      <c r="H2728" t="s">
        <v>27</v>
      </c>
      <c r="I2728" t="s">
        <v>52</v>
      </c>
      <c r="J2728">
        <v>55.86</v>
      </c>
      <c r="K2728">
        <v>0.02</v>
      </c>
      <c r="L2728">
        <v>0.38</v>
      </c>
      <c r="M2728">
        <v>34.72</v>
      </c>
      <c r="N2728">
        <v>-132.30175</v>
      </c>
      <c r="O2728" s="1" t="s">
        <v>40</v>
      </c>
      <c r="P2728" s="1" t="s">
        <v>7236</v>
      </c>
      <c r="Q2728" s="1" t="s">
        <v>7237</v>
      </c>
      <c r="R2728" s="1" t="s">
        <v>43</v>
      </c>
      <c r="S2728" s="1" t="s">
        <v>6624</v>
      </c>
      <c r="T2728" s="1" t="s">
        <v>6625</v>
      </c>
      <c r="U2728" s="2" t="s">
        <v>7238</v>
      </c>
      <c r="V2728" s="2" t="s">
        <v>47</v>
      </c>
      <c r="W2728" s="2" t="s">
        <v>111</v>
      </c>
      <c r="X2728" s="2">
        <v>20.79</v>
      </c>
    </row>
    <row r="2729" spans="1:24" x14ac:dyDescent="0.3">
      <c r="A2729">
        <v>20598</v>
      </c>
      <c r="B2729" t="s">
        <v>7235</v>
      </c>
      <c r="C2729" s="3">
        <v>41781</v>
      </c>
      <c r="D2729" t="s">
        <v>25</v>
      </c>
      <c r="E2729">
        <v>14</v>
      </c>
      <c r="F2729" s="3">
        <f ca="1">41788+(RANDBETWEEN(1,10))</f>
        <v>41797</v>
      </c>
      <c r="G2729" t="s">
        <v>156</v>
      </c>
      <c r="H2729" t="s">
        <v>96</v>
      </c>
      <c r="I2729" t="s">
        <v>52</v>
      </c>
      <c r="J2729">
        <v>364.59500000000003</v>
      </c>
      <c r="K2729">
        <v>0.01</v>
      </c>
      <c r="L2729">
        <v>0.38</v>
      </c>
      <c r="M2729">
        <v>5.6</v>
      </c>
      <c r="N2729">
        <v>-7085.7920000000004</v>
      </c>
      <c r="O2729" s="1" t="s">
        <v>87</v>
      </c>
      <c r="P2729" s="1" t="s">
        <v>7239</v>
      </c>
      <c r="Q2729" s="1" t="s">
        <v>7240</v>
      </c>
      <c r="R2729" s="1" t="s">
        <v>398</v>
      </c>
      <c r="S2729" s="1" t="s">
        <v>3265</v>
      </c>
      <c r="T2729" s="1" t="s">
        <v>3266</v>
      </c>
      <c r="U2729" s="2" t="s">
        <v>4250</v>
      </c>
      <c r="V2729" s="2" t="s">
        <v>47</v>
      </c>
      <c r="W2729" s="2" t="s">
        <v>74</v>
      </c>
      <c r="X2729" s="2">
        <v>24.43</v>
      </c>
    </row>
    <row r="2730" spans="1:24" x14ac:dyDescent="0.3">
      <c r="A2730">
        <v>20599</v>
      </c>
      <c r="B2730" t="s">
        <v>7241</v>
      </c>
      <c r="C2730" s="3">
        <v>41019</v>
      </c>
      <c r="D2730" t="s">
        <v>50</v>
      </c>
      <c r="E2730">
        <v>5</v>
      </c>
      <c r="F2730" s="3">
        <f ca="1">41021+(RANDBETWEEN(1,10))</f>
        <v>41029</v>
      </c>
      <c r="G2730" t="s">
        <v>156</v>
      </c>
      <c r="H2730" t="s">
        <v>63</v>
      </c>
      <c r="I2730" t="s">
        <v>28</v>
      </c>
      <c r="J2730">
        <v>1769.425</v>
      </c>
      <c r="K2730">
        <v>0.09</v>
      </c>
      <c r="L2730">
        <v>0.59</v>
      </c>
      <c r="M2730">
        <v>74.41</v>
      </c>
      <c r="N2730">
        <v>1220.9032500000001</v>
      </c>
      <c r="O2730" s="1" t="s">
        <v>29</v>
      </c>
      <c r="P2730" s="1" t="s">
        <v>403</v>
      </c>
      <c r="Q2730" s="1" t="s">
        <v>404</v>
      </c>
      <c r="R2730" s="1" t="s">
        <v>32</v>
      </c>
      <c r="S2730" s="1" t="s">
        <v>405</v>
      </c>
      <c r="T2730" s="1" t="s">
        <v>406</v>
      </c>
      <c r="U2730" s="2" t="s">
        <v>4456</v>
      </c>
      <c r="V2730" s="2" t="s">
        <v>83</v>
      </c>
      <c r="W2730" s="2" t="s">
        <v>178</v>
      </c>
      <c r="X2730" s="2">
        <v>358.05</v>
      </c>
    </row>
    <row r="2731" spans="1:24" x14ac:dyDescent="0.3">
      <c r="A2731">
        <v>20600</v>
      </c>
      <c r="B2731" t="s">
        <v>7242</v>
      </c>
      <c r="C2731" s="3">
        <v>40818</v>
      </c>
      <c r="D2731" t="s">
        <v>50</v>
      </c>
      <c r="E2731">
        <v>12</v>
      </c>
      <c r="F2731" s="3">
        <f ca="1">40819+(RANDBETWEEN(1,10))</f>
        <v>40820</v>
      </c>
      <c r="G2731" t="s">
        <v>26</v>
      </c>
      <c r="H2731" t="s">
        <v>63</v>
      </c>
      <c r="I2731" t="s">
        <v>28</v>
      </c>
      <c r="J2731">
        <v>880.63499999999999</v>
      </c>
      <c r="K2731">
        <v>0.03</v>
      </c>
      <c r="L2731">
        <v>0.6</v>
      </c>
      <c r="M2731">
        <v>39.094999999999999</v>
      </c>
      <c r="N2731">
        <v>-73.067400000000006</v>
      </c>
      <c r="O2731" s="1" t="s">
        <v>64</v>
      </c>
      <c r="P2731" s="1" t="s">
        <v>6904</v>
      </c>
      <c r="Q2731" s="1" t="s">
        <v>6905</v>
      </c>
      <c r="R2731" s="1" t="s">
        <v>67</v>
      </c>
      <c r="S2731" s="1" t="s">
        <v>6906</v>
      </c>
      <c r="T2731" s="1" t="s">
        <v>6907</v>
      </c>
      <c r="U2731" s="2" t="s">
        <v>7243</v>
      </c>
      <c r="V2731" s="2" t="s">
        <v>83</v>
      </c>
      <c r="W2731" s="2" t="s">
        <v>178</v>
      </c>
      <c r="X2731" s="2">
        <v>69.965000000000003</v>
      </c>
    </row>
    <row r="2732" spans="1:24" x14ac:dyDescent="0.3">
      <c r="A2732">
        <v>20601</v>
      </c>
      <c r="B2732" t="s">
        <v>7244</v>
      </c>
      <c r="C2732" s="3">
        <v>41349</v>
      </c>
      <c r="D2732" t="s">
        <v>39</v>
      </c>
      <c r="E2732">
        <v>14</v>
      </c>
      <c r="F2732" s="3">
        <f ca="1">41351+(RANDBETWEEN(1,10))</f>
        <v>41355</v>
      </c>
      <c r="G2732" t="s">
        <v>26</v>
      </c>
      <c r="H2732" t="s">
        <v>27</v>
      </c>
      <c r="I2732" t="s">
        <v>86</v>
      </c>
      <c r="J2732">
        <v>1527.0150000000001</v>
      </c>
      <c r="K2732">
        <v>0</v>
      </c>
      <c r="L2732">
        <v>0.4</v>
      </c>
      <c r="M2732">
        <v>32.130000000000003</v>
      </c>
      <c r="N2732">
        <v>29.798999999999999</v>
      </c>
      <c r="O2732" s="1" t="s">
        <v>87</v>
      </c>
      <c r="P2732" s="1" t="s">
        <v>7245</v>
      </c>
      <c r="Q2732" s="1" t="s">
        <v>7246</v>
      </c>
      <c r="R2732" s="1" t="s">
        <v>497</v>
      </c>
      <c r="S2732" s="1" t="s">
        <v>7247</v>
      </c>
      <c r="T2732" s="1" t="s">
        <v>7248</v>
      </c>
      <c r="U2732" s="2" t="s">
        <v>7249</v>
      </c>
      <c r="V2732" s="2" t="s">
        <v>47</v>
      </c>
      <c r="W2732" s="2" t="s">
        <v>74</v>
      </c>
      <c r="X2732" s="2">
        <v>108.43</v>
      </c>
    </row>
    <row r="2733" spans="1:24" x14ac:dyDescent="0.3">
      <c r="A2733">
        <v>20602</v>
      </c>
      <c r="B2733" t="s">
        <v>7250</v>
      </c>
      <c r="C2733" s="3">
        <v>40585</v>
      </c>
      <c r="D2733" t="s">
        <v>39</v>
      </c>
      <c r="E2733">
        <v>2</v>
      </c>
      <c r="F2733" s="3">
        <f ca="1">40587+(RANDBETWEEN(1,10))</f>
        <v>40595</v>
      </c>
      <c r="G2733" t="s">
        <v>76</v>
      </c>
      <c r="H2733" t="s">
        <v>77</v>
      </c>
      <c r="I2733" t="s">
        <v>52</v>
      </c>
      <c r="J2733">
        <v>13253.94</v>
      </c>
      <c r="K2733">
        <v>0.01</v>
      </c>
      <c r="L2733">
        <v>0.55000000000000004</v>
      </c>
      <c r="M2733">
        <v>51.45</v>
      </c>
      <c r="N2733">
        <v>-5588.6103000000003</v>
      </c>
      <c r="O2733" s="1" t="s">
        <v>64</v>
      </c>
      <c r="P2733" s="1" t="s">
        <v>7251</v>
      </c>
      <c r="Q2733" s="1" t="s">
        <v>7252</v>
      </c>
      <c r="R2733" s="1" t="s">
        <v>128</v>
      </c>
      <c r="S2733" s="1" t="s">
        <v>7253</v>
      </c>
      <c r="T2733" s="1" t="s">
        <v>7254</v>
      </c>
      <c r="U2733" s="2" t="s">
        <v>1855</v>
      </c>
      <c r="V2733" s="2" t="s">
        <v>36</v>
      </c>
      <c r="W2733" s="2" t="s">
        <v>142</v>
      </c>
      <c r="X2733" s="2">
        <v>7127.68</v>
      </c>
    </row>
    <row r="2734" spans="1:24" x14ac:dyDescent="0.3">
      <c r="A2734">
        <v>20603</v>
      </c>
      <c r="B2734" t="s">
        <v>7255</v>
      </c>
      <c r="C2734" s="3">
        <v>40598</v>
      </c>
      <c r="D2734" t="s">
        <v>62</v>
      </c>
      <c r="E2734">
        <v>3</v>
      </c>
      <c r="F2734" s="3">
        <f ca="1">40600+(RANDBETWEEN(1,10))</f>
        <v>40607</v>
      </c>
      <c r="G2734" t="s">
        <v>156</v>
      </c>
      <c r="H2734" t="s">
        <v>27</v>
      </c>
      <c r="I2734" t="s">
        <v>28</v>
      </c>
      <c r="J2734">
        <v>507.92</v>
      </c>
      <c r="K2734">
        <v>0.03</v>
      </c>
      <c r="L2734">
        <v>0.56000000000000005</v>
      </c>
      <c r="M2734">
        <v>13.965</v>
      </c>
      <c r="N2734">
        <v>350.46480000000003</v>
      </c>
      <c r="O2734" s="1" t="s">
        <v>29</v>
      </c>
      <c r="P2734" s="1" t="s">
        <v>7256</v>
      </c>
      <c r="Q2734" s="1" t="s">
        <v>7257</v>
      </c>
      <c r="R2734" s="1" t="s">
        <v>32</v>
      </c>
      <c r="S2734" s="1" t="s">
        <v>7258</v>
      </c>
      <c r="T2734" s="1" t="s">
        <v>7259</v>
      </c>
      <c r="U2734" s="2" t="s">
        <v>1399</v>
      </c>
      <c r="V2734" s="2" t="s">
        <v>47</v>
      </c>
      <c r="W2734" s="2" t="s">
        <v>71</v>
      </c>
      <c r="X2734" s="2">
        <v>170.03</v>
      </c>
    </row>
    <row r="2735" spans="1:24" x14ac:dyDescent="0.3">
      <c r="A2735">
        <v>20604</v>
      </c>
      <c r="B2735" t="s">
        <v>7260</v>
      </c>
      <c r="C2735" s="3">
        <v>40599</v>
      </c>
      <c r="D2735" t="s">
        <v>25</v>
      </c>
      <c r="E2735">
        <v>6</v>
      </c>
      <c r="F2735" s="3">
        <f ca="1">40601+(RANDBETWEEN(1,10))</f>
        <v>40611</v>
      </c>
      <c r="G2735" t="s">
        <v>26</v>
      </c>
      <c r="H2735" t="s">
        <v>63</v>
      </c>
      <c r="I2735" t="s">
        <v>28</v>
      </c>
      <c r="J2735">
        <v>1052.2049999999999</v>
      </c>
      <c r="K2735">
        <v>0.1</v>
      </c>
      <c r="L2735">
        <v>0.55000000000000004</v>
      </c>
      <c r="M2735">
        <v>77.84</v>
      </c>
      <c r="N2735">
        <v>343.42</v>
      </c>
      <c r="O2735" s="1" t="s">
        <v>40</v>
      </c>
      <c r="P2735" s="1" t="s">
        <v>4794</v>
      </c>
      <c r="Q2735" s="1" t="s">
        <v>4795</v>
      </c>
      <c r="R2735" s="1" t="s">
        <v>220</v>
      </c>
      <c r="S2735" s="1" t="s">
        <v>4517</v>
      </c>
      <c r="T2735" s="1" t="s">
        <v>4518</v>
      </c>
      <c r="U2735" s="2" t="s">
        <v>5109</v>
      </c>
      <c r="V2735" s="2" t="s">
        <v>83</v>
      </c>
      <c r="W2735" s="2" t="s">
        <v>178</v>
      </c>
      <c r="X2735" s="2">
        <v>178.43</v>
      </c>
    </row>
    <row r="2736" spans="1:24" x14ac:dyDescent="0.3">
      <c r="A2736">
        <v>20605</v>
      </c>
      <c r="B2736" t="s">
        <v>7261</v>
      </c>
      <c r="C2736" s="3">
        <v>41264</v>
      </c>
      <c r="D2736" t="s">
        <v>25</v>
      </c>
      <c r="E2736">
        <v>16</v>
      </c>
      <c r="F2736" s="3">
        <f ca="1">41273+(RANDBETWEEN(1,10))</f>
        <v>41282</v>
      </c>
      <c r="G2736" t="s">
        <v>26</v>
      </c>
      <c r="H2736" t="s">
        <v>27</v>
      </c>
      <c r="I2736" t="s">
        <v>86</v>
      </c>
      <c r="J2736">
        <v>3211.81</v>
      </c>
      <c r="K2736">
        <v>0.03</v>
      </c>
      <c r="L2736">
        <v>0.56000000000000005</v>
      </c>
      <c r="M2736">
        <v>31.465</v>
      </c>
      <c r="N2736">
        <v>294.73500000000001</v>
      </c>
      <c r="O2736" s="1" t="s">
        <v>40</v>
      </c>
      <c r="P2736" s="1" t="s">
        <v>5161</v>
      </c>
      <c r="Q2736" s="1" t="s">
        <v>5162</v>
      </c>
      <c r="R2736" s="1" t="s">
        <v>43</v>
      </c>
      <c r="S2736" s="1" t="s">
        <v>5163</v>
      </c>
      <c r="T2736" s="1" t="s">
        <v>5164</v>
      </c>
      <c r="U2736" s="2" t="s">
        <v>164</v>
      </c>
      <c r="V2736" s="2" t="s">
        <v>36</v>
      </c>
      <c r="W2736" s="2" t="s">
        <v>37</v>
      </c>
      <c r="X2736" s="2">
        <v>230.965</v>
      </c>
    </row>
    <row r="2737" spans="1:24" x14ac:dyDescent="0.3">
      <c r="A2737">
        <v>20606</v>
      </c>
      <c r="B2737" t="s">
        <v>7262</v>
      </c>
      <c r="C2737" s="3">
        <v>41856</v>
      </c>
      <c r="D2737" t="s">
        <v>39</v>
      </c>
      <c r="E2737">
        <v>3</v>
      </c>
      <c r="F2737" s="3">
        <f ca="1">41856+(RANDBETWEEN(1,10))</f>
        <v>41866</v>
      </c>
      <c r="G2737" t="s">
        <v>26</v>
      </c>
      <c r="H2737" t="s">
        <v>27</v>
      </c>
      <c r="I2737" t="s">
        <v>28</v>
      </c>
      <c r="J2737">
        <v>1315.51</v>
      </c>
      <c r="K2737">
        <v>0.09</v>
      </c>
      <c r="L2737">
        <v>0.55000000000000004</v>
      </c>
      <c r="M2737">
        <v>3.4649999999999999</v>
      </c>
      <c r="N2737">
        <v>280.37828000000002</v>
      </c>
      <c r="O2737" s="1" t="s">
        <v>225</v>
      </c>
      <c r="P2737" s="1" t="s">
        <v>7263</v>
      </c>
      <c r="Q2737" s="1" t="s">
        <v>7264</v>
      </c>
      <c r="R2737" s="1" t="s">
        <v>391</v>
      </c>
      <c r="S2737" s="1" t="s">
        <v>5223</v>
      </c>
      <c r="T2737" s="1" t="s">
        <v>5224</v>
      </c>
      <c r="U2737" s="2" t="s">
        <v>3125</v>
      </c>
      <c r="V2737" s="2" t="s">
        <v>47</v>
      </c>
      <c r="W2737" s="2" t="s">
        <v>71</v>
      </c>
      <c r="X2737" s="2">
        <v>458.92</v>
      </c>
    </row>
    <row r="2738" spans="1:24" x14ac:dyDescent="0.3">
      <c r="A2738">
        <v>20607</v>
      </c>
      <c r="B2738" t="s">
        <v>7262</v>
      </c>
      <c r="C2738" s="3">
        <v>41856</v>
      </c>
      <c r="D2738" t="s">
        <v>39</v>
      </c>
      <c r="E2738">
        <v>22</v>
      </c>
      <c r="F2738" s="3">
        <f ca="1">41856+(RANDBETWEEN(1,10))</f>
        <v>41863</v>
      </c>
      <c r="G2738" t="s">
        <v>26</v>
      </c>
      <c r="H2738" t="s">
        <v>27</v>
      </c>
      <c r="I2738" t="s">
        <v>28</v>
      </c>
      <c r="J2738">
        <v>844.97</v>
      </c>
      <c r="K2738">
        <v>0.05</v>
      </c>
      <c r="L2738">
        <v>0.36</v>
      </c>
      <c r="M2738">
        <v>18.375</v>
      </c>
      <c r="N2738">
        <v>288.32132000000001</v>
      </c>
      <c r="O2738" s="1" t="s">
        <v>29</v>
      </c>
      <c r="P2738" s="1" t="s">
        <v>5820</v>
      </c>
      <c r="Q2738" s="1" t="s">
        <v>5821</v>
      </c>
      <c r="R2738" s="1" t="s">
        <v>460</v>
      </c>
      <c r="S2738" s="1" t="s">
        <v>5822</v>
      </c>
      <c r="T2738" s="1" t="s">
        <v>5823</v>
      </c>
      <c r="U2738" s="2" t="s">
        <v>1463</v>
      </c>
      <c r="V2738" s="2" t="s">
        <v>47</v>
      </c>
      <c r="W2738" s="2" t="s">
        <v>48</v>
      </c>
      <c r="X2738" s="2">
        <v>38.814999999999998</v>
      </c>
    </row>
    <row r="2739" spans="1:24" x14ac:dyDescent="0.3">
      <c r="A2739">
        <v>20608</v>
      </c>
      <c r="B2739" t="s">
        <v>7262</v>
      </c>
      <c r="C2739" s="3">
        <v>41856</v>
      </c>
      <c r="D2739" t="s">
        <v>39</v>
      </c>
      <c r="E2739">
        <v>20</v>
      </c>
      <c r="F2739" s="3">
        <f ca="1">41858+(RANDBETWEEN(1,10))</f>
        <v>41864</v>
      </c>
      <c r="G2739" t="s">
        <v>26</v>
      </c>
      <c r="H2739" t="s">
        <v>27</v>
      </c>
      <c r="I2739" t="s">
        <v>28</v>
      </c>
      <c r="J2739">
        <v>968.52</v>
      </c>
      <c r="K2739">
        <v>0.06</v>
      </c>
      <c r="L2739">
        <v>0.43</v>
      </c>
      <c r="M2739">
        <v>30.73</v>
      </c>
      <c r="N2739">
        <v>-9.6460000000000008</v>
      </c>
      <c r="O2739" s="1" t="s">
        <v>40</v>
      </c>
      <c r="P2739" s="1" t="s">
        <v>7265</v>
      </c>
      <c r="Q2739" s="1" t="s">
        <v>7266</v>
      </c>
      <c r="R2739" s="1" t="s">
        <v>220</v>
      </c>
      <c r="S2739" s="1" t="s">
        <v>7267</v>
      </c>
      <c r="T2739" s="1" t="s">
        <v>7268</v>
      </c>
      <c r="U2739" s="2" t="s">
        <v>4722</v>
      </c>
      <c r="V2739" s="2" t="s">
        <v>83</v>
      </c>
      <c r="W2739" s="2" t="s">
        <v>178</v>
      </c>
      <c r="X2739" s="2">
        <v>48.265000000000001</v>
      </c>
    </row>
    <row r="2740" spans="1:24" x14ac:dyDescent="0.3">
      <c r="A2740">
        <v>20609</v>
      </c>
      <c r="B2740" t="s">
        <v>7269</v>
      </c>
      <c r="C2740" s="3">
        <v>41989</v>
      </c>
      <c r="D2740" t="s">
        <v>62</v>
      </c>
      <c r="E2740">
        <v>16</v>
      </c>
      <c r="F2740" s="3">
        <f ca="1">41990+(RANDBETWEEN(1,10))</f>
        <v>41996</v>
      </c>
      <c r="G2740" t="s">
        <v>156</v>
      </c>
      <c r="H2740" t="s">
        <v>27</v>
      </c>
      <c r="I2740" t="s">
        <v>52</v>
      </c>
      <c r="J2740">
        <v>357.38499999999999</v>
      </c>
      <c r="K2740">
        <v>0.04</v>
      </c>
      <c r="L2740">
        <v>0.4</v>
      </c>
      <c r="M2740">
        <v>36.365000000000002</v>
      </c>
      <c r="N2740">
        <v>-149.64599999999999</v>
      </c>
      <c r="O2740" s="1" t="s">
        <v>64</v>
      </c>
      <c r="P2740" s="1" t="s">
        <v>6438</v>
      </c>
      <c r="Q2740" s="1" t="s">
        <v>6439</v>
      </c>
      <c r="R2740" s="1" t="s">
        <v>67</v>
      </c>
      <c r="S2740" s="1" t="s">
        <v>6440</v>
      </c>
      <c r="T2740" s="1" t="s">
        <v>6441</v>
      </c>
      <c r="U2740" s="2" t="s">
        <v>3250</v>
      </c>
      <c r="V2740" s="2" t="s">
        <v>47</v>
      </c>
      <c r="W2740" s="2" t="s">
        <v>74</v>
      </c>
      <c r="X2740" s="2">
        <v>20.93</v>
      </c>
    </row>
    <row r="2741" spans="1:24" x14ac:dyDescent="0.3">
      <c r="A2741">
        <v>2061</v>
      </c>
      <c r="B2741" t="s">
        <v>7270</v>
      </c>
      <c r="C2741" s="3">
        <v>40913</v>
      </c>
      <c r="D2741" t="s">
        <v>39</v>
      </c>
      <c r="E2741">
        <v>31</v>
      </c>
      <c r="F2741" s="3">
        <f ca="1">40913+(RANDBETWEEN(1,10))</f>
        <v>40922</v>
      </c>
      <c r="G2741" t="s">
        <v>26</v>
      </c>
      <c r="H2741" t="s">
        <v>96</v>
      </c>
      <c r="I2741" t="s">
        <v>52</v>
      </c>
      <c r="J2741">
        <v>390.18</v>
      </c>
      <c r="K2741">
        <v>0.09</v>
      </c>
      <c r="L2741">
        <v>0.44</v>
      </c>
      <c r="M2741">
        <v>2.4500000000000002</v>
      </c>
      <c r="N2741">
        <v>41.398000000000003</v>
      </c>
      <c r="O2741" s="1" t="s">
        <v>29</v>
      </c>
      <c r="P2741" s="1" t="s">
        <v>367</v>
      </c>
      <c r="Q2741" s="1" t="s">
        <v>368</v>
      </c>
      <c r="R2741" s="1" t="s">
        <v>32</v>
      </c>
      <c r="S2741" s="1" t="s">
        <v>33</v>
      </c>
      <c r="T2741" s="1" t="s">
        <v>369</v>
      </c>
      <c r="U2741" s="2" t="s">
        <v>703</v>
      </c>
      <c r="V2741" s="2" t="s">
        <v>47</v>
      </c>
      <c r="W2741" s="2" t="s">
        <v>104</v>
      </c>
      <c r="X2741" s="2">
        <v>13.475</v>
      </c>
    </row>
    <row r="2742" spans="1:24" x14ac:dyDescent="0.3">
      <c r="A2742">
        <v>20610</v>
      </c>
      <c r="B2742" t="s">
        <v>7271</v>
      </c>
      <c r="C2742" s="3">
        <v>41536</v>
      </c>
      <c r="D2742" t="s">
        <v>39</v>
      </c>
      <c r="E2742">
        <v>8</v>
      </c>
      <c r="F2742" s="3">
        <f ca="1">41538+(RANDBETWEEN(1,10))</f>
        <v>41542</v>
      </c>
      <c r="G2742" t="s">
        <v>156</v>
      </c>
      <c r="H2742" t="s">
        <v>27</v>
      </c>
      <c r="I2742" t="s">
        <v>86</v>
      </c>
      <c r="J2742">
        <v>578.51499999999999</v>
      </c>
      <c r="K2742">
        <v>0.01</v>
      </c>
      <c r="L2742">
        <v>0.38</v>
      </c>
      <c r="M2742">
        <v>20.895</v>
      </c>
      <c r="N2742">
        <v>282.55500000000001</v>
      </c>
      <c r="O2742" s="1" t="s">
        <v>87</v>
      </c>
      <c r="P2742" s="1" t="s">
        <v>5916</v>
      </c>
      <c r="Q2742" s="1" t="s">
        <v>5917</v>
      </c>
      <c r="R2742" s="1" t="s">
        <v>90</v>
      </c>
      <c r="S2742" s="1" t="s">
        <v>5918</v>
      </c>
      <c r="T2742" s="1" t="s">
        <v>5919</v>
      </c>
      <c r="U2742" s="2" t="s">
        <v>161</v>
      </c>
      <c r="V2742" s="2" t="s">
        <v>47</v>
      </c>
      <c r="W2742" s="2" t="s">
        <v>74</v>
      </c>
      <c r="X2742" s="2">
        <v>69.930000000000007</v>
      </c>
    </row>
    <row r="2743" spans="1:24" x14ac:dyDescent="0.3">
      <c r="A2743">
        <v>20611</v>
      </c>
      <c r="B2743" t="s">
        <v>7272</v>
      </c>
      <c r="C2743" s="3">
        <v>40925</v>
      </c>
      <c r="D2743" t="s">
        <v>62</v>
      </c>
      <c r="E2743">
        <v>8</v>
      </c>
      <c r="F2743" s="3">
        <f ca="1">40927+(RANDBETWEEN(1,10))</f>
        <v>40933</v>
      </c>
      <c r="G2743" t="s">
        <v>26</v>
      </c>
      <c r="H2743" t="s">
        <v>96</v>
      </c>
      <c r="I2743" t="s">
        <v>97</v>
      </c>
      <c r="J2743">
        <v>189.94499999999999</v>
      </c>
      <c r="K2743">
        <v>0.03</v>
      </c>
      <c r="L2743">
        <v>0.48</v>
      </c>
      <c r="M2743">
        <v>5.25</v>
      </c>
      <c r="N2743">
        <v>-13.377000000000001</v>
      </c>
      <c r="O2743" s="1" t="s">
        <v>29</v>
      </c>
      <c r="P2743" s="1" t="s">
        <v>4213</v>
      </c>
      <c r="Q2743" s="1" t="s">
        <v>4214</v>
      </c>
      <c r="R2743" s="1" t="s">
        <v>675</v>
      </c>
      <c r="S2743" s="1" t="s">
        <v>4215</v>
      </c>
      <c r="T2743" s="1" t="s">
        <v>4216</v>
      </c>
      <c r="U2743" s="2" t="s">
        <v>2494</v>
      </c>
      <c r="V2743" s="2" t="s">
        <v>47</v>
      </c>
      <c r="W2743" s="2" t="s">
        <v>104</v>
      </c>
      <c r="X2743" s="2">
        <v>23.38</v>
      </c>
    </row>
    <row r="2744" spans="1:24" x14ac:dyDescent="0.3">
      <c r="A2744">
        <v>20612</v>
      </c>
      <c r="B2744" t="s">
        <v>7273</v>
      </c>
      <c r="C2744" s="3">
        <v>40801</v>
      </c>
      <c r="D2744" t="s">
        <v>39</v>
      </c>
      <c r="E2744">
        <v>14</v>
      </c>
      <c r="F2744" s="3">
        <f ca="1">40804+(RANDBETWEEN(1,10))</f>
        <v>40814</v>
      </c>
      <c r="G2744" t="s">
        <v>26</v>
      </c>
      <c r="H2744" t="s">
        <v>27</v>
      </c>
      <c r="I2744" t="s">
        <v>86</v>
      </c>
      <c r="J2744">
        <v>362.63499999999999</v>
      </c>
      <c r="K2744">
        <v>0.03</v>
      </c>
      <c r="L2744">
        <v>0.38</v>
      </c>
      <c r="M2744">
        <v>27.02</v>
      </c>
      <c r="N2744">
        <v>-444.68200000000002</v>
      </c>
      <c r="O2744" s="1" t="s">
        <v>87</v>
      </c>
      <c r="P2744" s="1" t="s">
        <v>1302</v>
      </c>
      <c r="Q2744" s="1" t="s">
        <v>1303</v>
      </c>
      <c r="R2744" s="1" t="s">
        <v>497</v>
      </c>
      <c r="S2744" s="1" t="s">
        <v>1304</v>
      </c>
      <c r="T2744" s="1" t="s">
        <v>1305</v>
      </c>
      <c r="U2744" s="2" t="s">
        <v>823</v>
      </c>
      <c r="V2744" s="2" t="s">
        <v>47</v>
      </c>
      <c r="W2744" s="2" t="s">
        <v>111</v>
      </c>
      <c r="X2744" s="2">
        <v>25.55</v>
      </c>
    </row>
    <row r="2745" spans="1:24" x14ac:dyDescent="0.3">
      <c r="A2745">
        <v>20613</v>
      </c>
      <c r="B2745" t="s">
        <v>7274</v>
      </c>
      <c r="C2745" s="3">
        <v>41449</v>
      </c>
      <c r="D2745" t="s">
        <v>50</v>
      </c>
      <c r="E2745">
        <v>2</v>
      </c>
      <c r="F2745" s="3">
        <f ca="1">41450+(RANDBETWEEN(1,10))</f>
        <v>41460</v>
      </c>
      <c r="G2745" t="s">
        <v>76</v>
      </c>
      <c r="H2745" t="s">
        <v>77</v>
      </c>
      <c r="I2745" t="s">
        <v>97</v>
      </c>
      <c r="J2745">
        <v>183.785</v>
      </c>
      <c r="K2745">
        <v>0.1</v>
      </c>
      <c r="L2745">
        <v>0.6</v>
      </c>
      <c r="M2745">
        <v>50.26</v>
      </c>
      <c r="N2745">
        <v>-1004.157</v>
      </c>
      <c r="O2745" s="1" t="s">
        <v>53</v>
      </c>
      <c r="P2745" s="1" t="s">
        <v>7275</v>
      </c>
      <c r="Q2745" s="1" t="s">
        <v>7276</v>
      </c>
      <c r="R2745" s="1" t="s">
        <v>100</v>
      </c>
      <c r="S2745" s="1" t="s">
        <v>7277</v>
      </c>
      <c r="T2745" s="1" t="s">
        <v>7278</v>
      </c>
      <c r="U2745" s="2" t="s">
        <v>4583</v>
      </c>
      <c r="V2745" s="2" t="s">
        <v>83</v>
      </c>
      <c r="W2745" s="2" t="s">
        <v>84</v>
      </c>
      <c r="X2745" s="2">
        <v>90.93</v>
      </c>
    </row>
    <row r="2746" spans="1:24" x14ac:dyDescent="0.3">
      <c r="A2746">
        <v>20614</v>
      </c>
      <c r="B2746" t="s">
        <v>7274</v>
      </c>
      <c r="C2746" s="3">
        <v>41449</v>
      </c>
      <c r="D2746" t="s">
        <v>50</v>
      </c>
      <c r="E2746">
        <v>12</v>
      </c>
      <c r="F2746" s="3">
        <f ca="1">41451+(RANDBETWEEN(1,10))</f>
        <v>41458</v>
      </c>
      <c r="G2746" t="s">
        <v>26</v>
      </c>
      <c r="H2746" t="s">
        <v>63</v>
      </c>
      <c r="I2746" t="s">
        <v>97</v>
      </c>
      <c r="J2746">
        <v>19655.580000000002</v>
      </c>
      <c r="K2746">
        <v>0</v>
      </c>
      <c r="L2746">
        <v>0.52</v>
      </c>
      <c r="M2746">
        <v>85.715000000000003</v>
      </c>
      <c r="N2746">
        <v>22.428000000000001</v>
      </c>
      <c r="O2746" s="1" t="s">
        <v>53</v>
      </c>
      <c r="P2746" s="1" t="s">
        <v>7275</v>
      </c>
      <c r="Q2746" s="1" t="s">
        <v>7276</v>
      </c>
      <c r="R2746" s="1" t="s">
        <v>100</v>
      </c>
      <c r="S2746" s="1" t="s">
        <v>7277</v>
      </c>
      <c r="T2746" s="1" t="s">
        <v>7278</v>
      </c>
      <c r="U2746" s="2" t="s">
        <v>1480</v>
      </c>
      <c r="V2746" s="2" t="s">
        <v>36</v>
      </c>
      <c r="W2746" s="2" t="s">
        <v>1327</v>
      </c>
      <c r="X2746" s="2">
        <v>1574.9649999999999</v>
      </c>
    </row>
    <row r="2747" spans="1:24" x14ac:dyDescent="0.3">
      <c r="A2747">
        <v>20615</v>
      </c>
      <c r="B2747" t="s">
        <v>7279</v>
      </c>
      <c r="C2747" s="3">
        <v>41248</v>
      </c>
      <c r="D2747" t="s">
        <v>50</v>
      </c>
      <c r="E2747">
        <v>4</v>
      </c>
      <c r="F2747" s="3">
        <f ca="1">41250+(RANDBETWEEN(1,10))</f>
        <v>41251</v>
      </c>
      <c r="G2747" t="s">
        <v>26</v>
      </c>
      <c r="H2747" t="s">
        <v>96</v>
      </c>
      <c r="I2747" t="s">
        <v>28</v>
      </c>
      <c r="J2747">
        <v>269.745</v>
      </c>
      <c r="K2747">
        <v>0</v>
      </c>
      <c r="L2747">
        <v>0.37</v>
      </c>
      <c r="M2747">
        <v>3.4649999999999999</v>
      </c>
      <c r="N2747">
        <v>95.728499999999997</v>
      </c>
      <c r="O2747" s="1" t="s">
        <v>29</v>
      </c>
      <c r="P2747" s="1" t="s">
        <v>757</v>
      </c>
      <c r="Q2747" s="1" t="s">
        <v>758</v>
      </c>
      <c r="R2747" s="1" t="s">
        <v>675</v>
      </c>
      <c r="S2747" s="1" t="s">
        <v>759</v>
      </c>
      <c r="T2747" s="1" t="s">
        <v>760</v>
      </c>
      <c r="U2747" s="2" t="s">
        <v>3359</v>
      </c>
      <c r="V2747" s="2" t="s">
        <v>36</v>
      </c>
      <c r="W2747" s="2" t="s">
        <v>37</v>
      </c>
      <c r="X2747" s="2">
        <v>73.465000000000003</v>
      </c>
    </row>
    <row r="2748" spans="1:24" x14ac:dyDescent="0.3">
      <c r="A2748">
        <v>20616</v>
      </c>
      <c r="B2748" t="s">
        <v>7280</v>
      </c>
      <c r="C2748" s="3">
        <v>41762</v>
      </c>
      <c r="D2748" t="s">
        <v>62</v>
      </c>
      <c r="E2748">
        <v>5</v>
      </c>
      <c r="F2748" s="3">
        <f ca="1">41764+(RANDBETWEEN(1,10))</f>
        <v>41774</v>
      </c>
      <c r="G2748" t="s">
        <v>26</v>
      </c>
      <c r="H2748" t="s">
        <v>27</v>
      </c>
      <c r="I2748" t="s">
        <v>86</v>
      </c>
      <c r="J2748">
        <v>36.015000000000001</v>
      </c>
      <c r="K2748">
        <v>0.08</v>
      </c>
      <c r="L2748">
        <v>0.38</v>
      </c>
      <c r="M2748">
        <v>5.2149999999999999</v>
      </c>
      <c r="N2748">
        <v>-29.261749999999999</v>
      </c>
      <c r="O2748" s="1" t="s">
        <v>40</v>
      </c>
      <c r="P2748" s="1" t="s">
        <v>2358</v>
      </c>
      <c r="Q2748" s="1" t="s">
        <v>2359</v>
      </c>
      <c r="R2748" s="1" t="s">
        <v>220</v>
      </c>
      <c r="S2748" s="1" t="s">
        <v>2360</v>
      </c>
      <c r="T2748" s="1" t="s">
        <v>2361</v>
      </c>
      <c r="U2748" s="2" t="s">
        <v>7281</v>
      </c>
      <c r="V2748" s="2" t="s">
        <v>47</v>
      </c>
      <c r="W2748" s="2" t="s">
        <v>111</v>
      </c>
      <c r="X2748" s="2">
        <v>7.28</v>
      </c>
    </row>
    <row r="2749" spans="1:24" x14ac:dyDescent="0.3">
      <c r="A2749">
        <v>20617</v>
      </c>
      <c r="B2749" t="s">
        <v>7282</v>
      </c>
      <c r="C2749" s="3">
        <v>41939</v>
      </c>
      <c r="D2749" t="s">
        <v>50</v>
      </c>
      <c r="E2749">
        <v>4</v>
      </c>
      <c r="F2749" s="3">
        <f ca="1">41940+(RANDBETWEEN(1,10))</f>
        <v>41944</v>
      </c>
      <c r="G2749" t="s">
        <v>26</v>
      </c>
      <c r="H2749" t="s">
        <v>281</v>
      </c>
      <c r="I2749" t="s">
        <v>28</v>
      </c>
      <c r="J2749">
        <v>12725.895</v>
      </c>
      <c r="K2749">
        <v>0.1</v>
      </c>
      <c r="L2749">
        <v>0.36</v>
      </c>
      <c r="M2749">
        <v>48.965000000000003</v>
      </c>
      <c r="N2749">
        <v>-776.23140000000001</v>
      </c>
      <c r="O2749" s="1" t="s">
        <v>53</v>
      </c>
      <c r="P2749" s="1" t="s">
        <v>6818</v>
      </c>
      <c r="Q2749" s="1" t="s">
        <v>6819</v>
      </c>
      <c r="R2749" s="1" t="s">
        <v>100</v>
      </c>
      <c r="S2749" s="1" t="s">
        <v>6820</v>
      </c>
      <c r="T2749" s="1" t="s">
        <v>6821</v>
      </c>
      <c r="U2749" s="2" t="s">
        <v>4901</v>
      </c>
      <c r="V2749" s="2" t="s">
        <v>36</v>
      </c>
      <c r="W2749" s="2" t="s">
        <v>142</v>
      </c>
      <c r="X2749" s="2">
        <v>3499.9650000000001</v>
      </c>
    </row>
    <row r="2750" spans="1:24" x14ac:dyDescent="0.3">
      <c r="A2750">
        <v>20618</v>
      </c>
      <c r="B2750" t="s">
        <v>7283</v>
      </c>
      <c r="C2750" s="3">
        <v>40722</v>
      </c>
      <c r="D2750" t="s">
        <v>25</v>
      </c>
      <c r="E2750">
        <v>15</v>
      </c>
      <c r="F2750" s="3">
        <f ca="1">40727+(RANDBETWEEN(1,10))</f>
        <v>40730</v>
      </c>
      <c r="G2750" t="s">
        <v>26</v>
      </c>
      <c r="H2750" t="s">
        <v>281</v>
      </c>
      <c r="I2750" t="s">
        <v>97</v>
      </c>
      <c r="J2750">
        <v>995.19</v>
      </c>
      <c r="K2750">
        <v>0</v>
      </c>
      <c r="L2750">
        <v>0.5</v>
      </c>
      <c r="M2750">
        <v>28.594999999999999</v>
      </c>
      <c r="N2750">
        <v>184.67400000000001</v>
      </c>
      <c r="O2750" s="1" t="s">
        <v>53</v>
      </c>
      <c r="P2750" s="1" t="s">
        <v>7284</v>
      </c>
      <c r="Q2750" s="1" t="s">
        <v>7285</v>
      </c>
      <c r="R2750" s="1" t="s">
        <v>440</v>
      </c>
      <c r="S2750" s="1" t="s">
        <v>7286</v>
      </c>
      <c r="T2750" s="1" t="s">
        <v>2516</v>
      </c>
      <c r="U2750" s="2" t="s">
        <v>910</v>
      </c>
      <c r="V2750" s="2" t="s">
        <v>47</v>
      </c>
      <c r="W2750" s="2" t="s">
        <v>71</v>
      </c>
      <c r="X2750" s="2">
        <v>61.32</v>
      </c>
    </row>
    <row r="2751" spans="1:24" x14ac:dyDescent="0.3">
      <c r="A2751">
        <v>20619</v>
      </c>
      <c r="B2751" t="s">
        <v>7287</v>
      </c>
      <c r="C2751" s="3">
        <v>40560</v>
      </c>
      <c r="D2751" t="s">
        <v>148</v>
      </c>
      <c r="E2751">
        <v>8</v>
      </c>
      <c r="F2751" s="3">
        <f ca="1">40562+(RANDBETWEEN(1,10))</f>
        <v>40563</v>
      </c>
      <c r="G2751" t="s">
        <v>26</v>
      </c>
      <c r="H2751" t="s">
        <v>51</v>
      </c>
      <c r="I2751" t="s">
        <v>28</v>
      </c>
      <c r="J2751">
        <v>448.45499999999998</v>
      </c>
      <c r="K2751">
        <v>0.06</v>
      </c>
      <c r="L2751">
        <v>0.42</v>
      </c>
      <c r="M2751">
        <v>6.9649999999999999</v>
      </c>
      <c r="N2751">
        <v>-506.072</v>
      </c>
      <c r="O2751" s="1" t="s">
        <v>40</v>
      </c>
      <c r="P2751" s="1" t="s">
        <v>6699</v>
      </c>
      <c r="Q2751" s="1" t="s">
        <v>6700</v>
      </c>
      <c r="R2751" s="1" t="s">
        <v>43</v>
      </c>
      <c r="S2751" s="1" t="s">
        <v>6701</v>
      </c>
      <c r="T2751" s="1" t="s">
        <v>6702</v>
      </c>
      <c r="U2751" s="2" t="s">
        <v>5273</v>
      </c>
      <c r="V2751" s="2" t="s">
        <v>36</v>
      </c>
      <c r="W2751" s="2" t="s">
        <v>60</v>
      </c>
      <c r="X2751" s="2">
        <v>57.68</v>
      </c>
    </row>
    <row r="2752" spans="1:24" x14ac:dyDescent="0.3">
      <c r="A2752">
        <v>2062</v>
      </c>
      <c r="B2752" t="s">
        <v>7270</v>
      </c>
      <c r="C2752" s="3">
        <v>40913</v>
      </c>
      <c r="D2752" t="s">
        <v>39</v>
      </c>
      <c r="E2752">
        <v>44</v>
      </c>
      <c r="F2752" s="3">
        <f ca="1">40915+(RANDBETWEEN(1,10))</f>
        <v>40919</v>
      </c>
      <c r="G2752" t="s">
        <v>156</v>
      </c>
      <c r="H2752" t="s">
        <v>27</v>
      </c>
      <c r="I2752" t="s">
        <v>52</v>
      </c>
      <c r="J2752">
        <v>8129.835</v>
      </c>
      <c r="K2752">
        <v>0.1</v>
      </c>
      <c r="L2752">
        <v>0.59</v>
      </c>
      <c r="M2752">
        <v>14.7</v>
      </c>
      <c r="N2752">
        <v>636.13620000000003</v>
      </c>
      <c r="O2752" s="1" t="s">
        <v>29</v>
      </c>
      <c r="P2752" s="1" t="s">
        <v>367</v>
      </c>
      <c r="Q2752" s="1" t="s">
        <v>368</v>
      </c>
      <c r="R2752" s="1" t="s">
        <v>32</v>
      </c>
      <c r="S2752" s="1" t="s">
        <v>33</v>
      </c>
      <c r="T2752" s="1" t="s">
        <v>369</v>
      </c>
      <c r="U2752" s="2">
        <v>5170</v>
      </c>
      <c r="V2752" s="2" t="s">
        <v>36</v>
      </c>
      <c r="W2752" s="2" t="s">
        <v>37</v>
      </c>
      <c r="X2752" s="2">
        <v>230.965</v>
      </c>
    </row>
    <row r="2753" spans="1:24" x14ac:dyDescent="0.3">
      <c r="A2753">
        <v>20620</v>
      </c>
      <c r="B2753" t="s">
        <v>7288</v>
      </c>
      <c r="C2753" s="3">
        <v>41033</v>
      </c>
      <c r="D2753" t="s">
        <v>62</v>
      </c>
      <c r="E2753">
        <v>12</v>
      </c>
      <c r="F2753" s="3">
        <f ca="1">41033+(RANDBETWEEN(1,10))</f>
        <v>41035</v>
      </c>
      <c r="G2753" t="s">
        <v>26</v>
      </c>
      <c r="H2753" t="s">
        <v>27</v>
      </c>
      <c r="I2753" t="s">
        <v>97</v>
      </c>
      <c r="J2753">
        <v>266.27999999999997</v>
      </c>
      <c r="K2753">
        <v>7.0000000000000007E-2</v>
      </c>
      <c r="L2753">
        <v>0.37</v>
      </c>
      <c r="M2753">
        <v>35.174999999999997</v>
      </c>
      <c r="N2753">
        <v>31.478999999999999</v>
      </c>
      <c r="O2753" s="1" t="s">
        <v>53</v>
      </c>
      <c r="P2753" s="1" t="s">
        <v>2762</v>
      </c>
      <c r="Q2753" s="1" t="s">
        <v>2763</v>
      </c>
      <c r="R2753" s="1" t="s">
        <v>100</v>
      </c>
      <c r="S2753" s="1" t="s">
        <v>2764</v>
      </c>
      <c r="T2753" s="1" t="s">
        <v>2765</v>
      </c>
      <c r="U2753" s="2" t="s">
        <v>635</v>
      </c>
      <c r="V2753" s="2" t="s">
        <v>47</v>
      </c>
      <c r="W2753" s="2" t="s">
        <v>74</v>
      </c>
      <c r="X2753" s="2">
        <v>22.68</v>
      </c>
    </row>
    <row r="2754" spans="1:24" x14ac:dyDescent="0.3">
      <c r="A2754">
        <v>20621</v>
      </c>
      <c r="B2754" t="s">
        <v>7289</v>
      </c>
      <c r="C2754" s="3">
        <v>41697</v>
      </c>
      <c r="D2754" t="s">
        <v>25</v>
      </c>
      <c r="E2754">
        <v>8</v>
      </c>
      <c r="F2754" s="3">
        <f ca="1">41703+(RANDBETWEEN(1,10))</f>
        <v>41706</v>
      </c>
      <c r="G2754" t="s">
        <v>76</v>
      </c>
      <c r="H2754" t="s">
        <v>77</v>
      </c>
      <c r="I2754" t="s">
        <v>86</v>
      </c>
      <c r="J2754">
        <v>2552.6550000000002</v>
      </c>
      <c r="K2754">
        <v>0.05</v>
      </c>
      <c r="L2754">
        <v>0.36</v>
      </c>
      <c r="M2754">
        <v>49</v>
      </c>
      <c r="N2754">
        <v>1761.33195</v>
      </c>
      <c r="O2754" s="1" t="s">
        <v>225</v>
      </c>
      <c r="P2754" s="1" t="s">
        <v>1355</v>
      </c>
      <c r="Q2754" s="1" t="s">
        <v>1356</v>
      </c>
      <c r="R2754" s="1" t="s">
        <v>228</v>
      </c>
      <c r="S2754" s="1" t="s">
        <v>1357</v>
      </c>
      <c r="T2754" s="1" t="s">
        <v>1358</v>
      </c>
      <c r="U2754" s="2" t="s">
        <v>2449</v>
      </c>
      <c r="V2754" s="2" t="s">
        <v>36</v>
      </c>
      <c r="W2754" s="2" t="s">
        <v>142</v>
      </c>
      <c r="X2754" s="2">
        <v>318.39499999999998</v>
      </c>
    </row>
    <row r="2755" spans="1:24" x14ac:dyDescent="0.3">
      <c r="A2755">
        <v>20622</v>
      </c>
      <c r="B2755" t="s">
        <v>7290</v>
      </c>
      <c r="C2755" s="3">
        <v>41454</v>
      </c>
      <c r="D2755" t="s">
        <v>62</v>
      </c>
      <c r="E2755">
        <v>7</v>
      </c>
      <c r="F2755" s="3">
        <f ca="1">41455+(RANDBETWEEN(1,10))</f>
        <v>41463</v>
      </c>
      <c r="G2755" t="s">
        <v>26</v>
      </c>
      <c r="H2755" t="s">
        <v>96</v>
      </c>
      <c r="I2755" t="s">
        <v>28</v>
      </c>
      <c r="J2755">
        <v>94.185000000000002</v>
      </c>
      <c r="K2755">
        <v>0.09</v>
      </c>
      <c r="L2755">
        <v>0.35</v>
      </c>
      <c r="M2755">
        <v>10.395</v>
      </c>
      <c r="N2755">
        <v>-45.555999999999997</v>
      </c>
      <c r="O2755" s="1" t="s">
        <v>29</v>
      </c>
      <c r="P2755" s="1" t="s">
        <v>7291</v>
      </c>
      <c r="Q2755" s="1" t="s">
        <v>7292</v>
      </c>
      <c r="R2755" s="1" t="s">
        <v>675</v>
      </c>
      <c r="S2755" s="1" t="s">
        <v>1324</v>
      </c>
      <c r="T2755" s="1" t="s">
        <v>1325</v>
      </c>
      <c r="U2755" s="2" t="s">
        <v>3164</v>
      </c>
      <c r="V2755" s="2" t="s">
        <v>47</v>
      </c>
      <c r="W2755" s="2" t="s">
        <v>74</v>
      </c>
      <c r="X2755" s="2">
        <v>13.93</v>
      </c>
    </row>
    <row r="2756" spans="1:24" x14ac:dyDescent="0.3">
      <c r="A2756">
        <v>20623</v>
      </c>
      <c r="B2756" t="s">
        <v>7290</v>
      </c>
      <c r="C2756" s="3">
        <v>41454</v>
      </c>
      <c r="D2756" t="s">
        <v>62</v>
      </c>
      <c r="E2756">
        <v>4</v>
      </c>
      <c r="F2756" s="3">
        <f ca="1">41456+(RANDBETWEEN(1,10))</f>
        <v>41465</v>
      </c>
      <c r="G2756" t="s">
        <v>156</v>
      </c>
      <c r="H2756" t="s">
        <v>27</v>
      </c>
      <c r="I2756" t="s">
        <v>28</v>
      </c>
      <c r="J2756">
        <v>454.05500000000001</v>
      </c>
      <c r="K2756">
        <v>0.03</v>
      </c>
      <c r="L2756">
        <v>0.85</v>
      </c>
      <c r="M2756">
        <v>17.5</v>
      </c>
      <c r="N2756">
        <v>-475.27480000000003</v>
      </c>
      <c r="O2756" s="1" t="s">
        <v>64</v>
      </c>
      <c r="P2756" s="1" t="s">
        <v>7293</v>
      </c>
      <c r="Q2756" s="1" t="s">
        <v>7294</v>
      </c>
      <c r="R2756" s="1" t="s">
        <v>128</v>
      </c>
      <c r="S2756" s="1" t="s">
        <v>2332</v>
      </c>
      <c r="T2756" s="1" t="s">
        <v>2333</v>
      </c>
      <c r="U2756" s="2" t="s">
        <v>6099</v>
      </c>
      <c r="V2756" s="2" t="s">
        <v>36</v>
      </c>
      <c r="W2756" s="2" t="s">
        <v>37</v>
      </c>
      <c r="X2756" s="2">
        <v>125.965</v>
      </c>
    </row>
    <row r="2757" spans="1:24" x14ac:dyDescent="0.3">
      <c r="A2757">
        <v>20624</v>
      </c>
      <c r="B2757" t="s">
        <v>7295</v>
      </c>
      <c r="C2757" s="3">
        <v>40701</v>
      </c>
      <c r="D2757" t="s">
        <v>25</v>
      </c>
      <c r="E2757">
        <v>7</v>
      </c>
      <c r="F2757" s="3">
        <f ca="1">40703+(RANDBETWEEN(1,10))</f>
        <v>40705</v>
      </c>
      <c r="G2757" t="s">
        <v>26</v>
      </c>
      <c r="H2757" t="s">
        <v>27</v>
      </c>
      <c r="I2757" t="s">
        <v>86</v>
      </c>
      <c r="J2757">
        <v>32384.834999999999</v>
      </c>
      <c r="K2757">
        <v>0</v>
      </c>
      <c r="L2757">
        <v>0.35</v>
      </c>
      <c r="M2757">
        <v>69.965000000000003</v>
      </c>
      <c r="N2757">
        <v>22345.53615</v>
      </c>
      <c r="O2757" s="1" t="s">
        <v>40</v>
      </c>
      <c r="P2757" s="1" t="s">
        <v>5829</v>
      </c>
      <c r="Q2757" s="1" t="s">
        <v>5830</v>
      </c>
      <c r="R2757" s="1" t="s">
        <v>43</v>
      </c>
      <c r="S2757" s="1" t="s">
        <v>5831</v>
      </c>
      <c r="T2757" s="1" t="s">
        <v>5832</v>
      </c>
      <c r="U2757" s="2" t="s">
        <v>2579</v>
      </c>
      <c r="V2757" s="2" t="s">
        <v>47</v>
      </c>
      <c r="W2757" s="2" t="s">
        <v>111</v>
      </c>
      <c r="X2757" s="2">
        <v>4448.4650000000001</v>
      </c>
    </row>
    <row r="2758" spans="1:24" x14ac:dyDescent="0.3">
      <c r="A2758">
        <v>20625</v>
      </c>
      <c r="B2758" t="s">
        <v>7296</v>
      </c>
      <c r="C2758" s="3">
        <v>41627</v>
      </c>
      <c r="D2758" t="s">
        <v>39</v>
      </c>
      <c r="E2758">
        <v>5</v>
      </c>
      <c r="F2758" s="3">
        <f ca="1">41628+(RANDBETWEEN(1,10))</f>
        <v>41636</v>
      </c>
      <c r="G2758" t="s">
        <v>26</v>
      </c>
      <c r="H2758" t="s">
        <v>51</v>
      </c>
      <c r="I2758" t="s">
        <v>28</v>
      </c>
      <c r="J2758">
        <v>370.96499999999997</v>
      </c>
      <c r="K2758">
        <v>0.06</v>
      </c>
      <c r="L2758">
        <v>0.59</v>
      </c>
      <c r="M2758">
        <v>31.465</v>
      </c>
      <c r="N2758">
        <v>-81.952500000000001</v>
      </c>
      <c r="O2758" s="1" t="s">
        <v>64</v>
      </c>
      <c r="P2758" s="1" t="s">
        <v>6776</v>
      </c>
      <c r="Q2758" s="1" t="s">
        <v>6777</v>
      </c>
      <c r="R2758" s="1" t="s">
        <v>67</v>
      </c>
      <c r="S2758" s="1" t="s">
        <v>6778</v>
      </c>
      <c r="T2758" s="1" t="s">
        <v>6779</v>
      </c>
      <c r="U2758" s="2" t="s">
        <v>2789</v>
      </c>
      <c r="V2758" s="2" t="s">
        <v>47</v>
      </c>
      <c r="W2758" s="2" t="s">
        <v>104</v>
      </c>
      <c r="X2758" s="2">
        <v>74.83</v>
      </c>
    </row>
    <row r="2759" spans="1:24" x14ac:dyDescent="0.3">
      <c r="A2759">
        <v>20626</v>
      </c>
      <c r="B2759" t="s">
        <v>7297</v>
      </c>
      <c r="C2759" s="3">
        <v>41481</v>
      </c>
      <c r="D2759" t="s">
        <v>25</v>
      </c>
      <c r="E2759">
        <v>1</v>
      </c>
      <c r="F2759" s="3">
        <f ca="1">41485+(RANDBETWEEN(1,10))</f>
        <v>41492</v>
      </c>
      <c r="G2759" t="s">
        <v>26</v>
      </c>
      <c r="H2759" t="s">
        <v>27</v>
      </c>
      <c r="I2759" t="s">
        <v>28</v>
      </c>
      <c r="J2759">
        <v>42.07</v>
      </c>
      <c r="K2759">
        <v>0.08</v>
      </c>
      <c r="L2759">
        <v>0.59</v>
      </c>
      <c r="M2759">
        <v>15.75</v>
      </c>
      <c r="N2759">
        <v>-64.75</v>
      </c>
      <c r="O2759" s="1" t="s">
        <v>29</v>
      </c>
      <c r="P2759" s="1" t="s">
        <v>7188</v>
      </c>
      <c r="Q2759" s="1" t="s">
        <v>7189</v>
      </c>
      <c r="R2759" s="1" t="s">
        <v>32</v>
      </c>
      <c r="S2759" s="1" t="s">
        <v>7190</v>
      </c>
      <c r="T2759" s="1" t="s">
        <v>7191</v>
      </c>
      <c r="U2759" s="2" t="s">
        <v>767</v>
      </c>
      <c r="V2759" s="2" t="s">
        <v>47</v>
      </c>
      <c r="W2759" s="2" t="s">
        <v>71</v>
      </c>
      <c r="X2759" s="2">
        <v>38.115000000000002</v>
      </c>
    </row>
    <row r="2760" spans="1:24" x14ac:dyDescent="0.3">
      <c r="A2760">
        <v>20627</v>
      </c>
      <c r="B2760" t="s">
        <v>7297</v>
      </c>
      <c r="C2760" s="3">
        <v>41481</v>
      </c>
      <c r="D2760" t="s">
        <v>25</v>
      </c>
      <c r="E2760">
        <v>15</v>
      </c>
      <c r="F2760" s="3">
        <f ca="1">41490+(RANDBETWEEN(1,10))</f>
        <v>41498</v>
      </c>
      <c r="G2760" t="s">
        <v>26</v>
      </c>
      <c r="H2760" t="s">
        <v>27</v>
      </c>
      <c r="I2760" t="s">
        <v>28</v>
      </c>
      <c r="J2760">
        <v>2258.48</v>
      </c>
      <c r="K2760">
        <v>0.04</v>
      </c>
      <c r="L2760">
        <v>0.56000000000000005</v>
      </c>
      <c r="M2760">
        <v>16.170000000000002</v>
      </c>
      <c r="N2760">
        <v>1558.3512000000001</v>
      </c>
      <c r="O2760" s="1" t="s">
        <v>29</v>
      </c>
      <c r="P2760" s="1" t="s">
        <v>7188</v>
      </c>
      <c r="Q2760" s="1" t="s">
        <v>7189</v>
      </c>
      <c r="R2760" s="1" t="s">
        <v>32</v>
      </c>
      <c r="S2760" s="1" t="s">
        <v>7190</v>
      </c>
      <c r="T2760" s="1" t="s">
        <v>7191</v>
      </c>
      <c r="U2760" s="2" t="s">
        <v>5674</v>
      </c>
      <c r="V2760" s="2" t="s">
        <v>47</v>
      </c>
      <c r="W2760" s="2" t="s">
        <v>71</v>
      </c>
      <c r="X2760" s="2">
        <v>150.43</v>
      </c>
    </row>
    <row r="2761" spans="1:24" x14ac:dyDescent="0.3">
      <c r="A2761">
        <v>20628</v>
      </c>
      <c r="B2761" t="s">
        <v>7298</v>
      </c>
      <c r="C2761" s="3">
        <v>40603</v>
      </c>
      <c r="D2761" t="s">
        <v>62</v>
      </c>
      <c r="E2761">
        <v>2</v>
      </c>
      <c r="F2761" s="3">
        <f ca="1">40604+(RANDBETWEEN(1,10))</f>
        <v>40606</v>
      </c>
      <c r="G2761" t="s">
        <v>26</v>
      </c>
      <c r="H2761" t="s">
        <v>27</v>
      </c>
      <c r="I2761" t="s">
        <v>28</v>
      </c>
      <c r="J2761">
        <v>286.64999999999998</v>
      </c>
      <c r="K2761">
        <v>7.0000000000000007E-2</v>
      </c>
      <c r="L2761">
        <v>0.37</v>
      </c>
      <c r="M2761">
        <v>26.145</v>
      </c>
      <c r="N2761">
        <v>192.15525</v>
      </c>
      <c r="O2761" s="1" t="s">
        <v>225</v>
      </c>
      <c r="P2761" s="1" t="s">
        <v>6460</v>
      </c>
      <c r="Q2761" s="1" t="s">
        <v>6461</v>
      </c>
      <c r="R2761" s="1" t="s">
        <v>228</v>
      </c>
      <c r="S2761" s="1" t="s">
        <v>6462</v>
      </c>
      <c r="T2761" s="1" t="s">
        <v>6463</v>
      </c>
      <c r="U2761" s="2" t="s">
        <v>1126</v>
      </c>
      <c r="V2761" s="2" t="s">
        <v>47</v>
      </c>
      <c r="W2761" s="2" t="s">
        <v>111</v>
      </c>
      <c r="X2761" s="2">
        <v>143.43</v>
      </c>
    </row>
    <row r="2762" spans="1:24" x14ac:dyDescent="0.3">
      <c r="A2762">
        <v>20629</v>
      </c>
      <c r="B2762" t="s">
        <v>7299</v>
      </c>
      <c r="C2762" s="3">
        <v>41740</v>
      </c>
      <c r="D2762" t="s">
        <v>25</v>
      </c>
      <c r="E2762">
        <v>8</v>
      </c>
      <c r="F2762" s="3">
        <f ca="1">41742+(RANDBETWEEN(1,10))</f>
        <v>41750</v>
      </c>
      <c r="G2762" t="s">
        <v>26</v>
      </c>
      <c r="H2762" t="s">
        <v>281</v>
      </c>
      <c r="I2762" t="s">
        <v>28</v>
      </c>
      <c r="J2762">
        <v>4200.3850000000002</v>
      </c>
      <c r="K2762">
        <v>0.08</v>
      </c>
      <c r="L2762">
        <v>0.38</v>
      </c>
      <c r="M2762">
        <v>48.965000000000003</v>
      </c>
      <c r="N2762">
        <v>2898.2656499999998</v>
      </c>
      <c r="O2762" s="1" t="s">
        <v>87</v>
      </c>
      <c r="P2762" s="1" t="s">
        <v>5873</v>
      </c>
      <c r="Q2762" s="1" t="s">
        <v>5874</v>
      </c>
      <c r="R2762" s="1" t="s">
        <v>90</v>
      </c>
      <c r="S2762" s="1" t="s">
        <v>5875</v>
      </c>
      <c r="T2762" s="1" t="s">
        <v>5876</v>
      </c>
      <c r="U2762" s="2" t="s">
        <v>480</v>
      </c>
      <c r="V2762" s="2" t="s">
        <v>36</v>
      </c>
      <c r="W2762" s="2" t="s">
        <v>142</v>
      </c>
      <c r="X2762" s="2">
        <v>528.42999999999995</v>
      </c>
    </row>
    <row r="2763" spans="1:24" x14ac:dyDescent="0.3">
      <c r="A2763">
        <v>2063</v>
      </c>
      <c r="B2763" t="s">
        <v>7300</v>
      </c>
      <c r="C2763" s="3">
        <v>40786</v>
      </c>
      <c r="D2763" t="s">
        <v>25</v>
      </c>
      <c r="E2763">
        <v>4</v>
      </c>
      <c r="F2763" s="3">
        <f ca="1">40786+(RANDBETWEEN(1,10))</f>
        <v>40789</v>
      </c>
      <c r="G2763" t="s">
        <v>26</v>
      </c>
      <c r="H2763" t="s">
        <v>51</v>
      </c>
      <c r="I2763" t="s">
        <v>28</v>
      </c>
      <c r="J2763">
        <v>296.10000000000002</v>
      </c>
      <c r="K2763">
        <v>0.06</v>
      </c>
      <c r="L2763">
        <v>0.44</v>
      </c>
      <c r="M2763">
        <v>21.524999999999999</v>
      </c>
      <c r="N2763">
        <v>-88.83</v>
      </c>
      <c r="O2763" s="1" t="s">
        <v>64</v>
      </c>
      <c r="P2763" s="1" t="s">
        <v>7301</v>
      </c>
      <c r="Q2763" s="1" t="s">
        <v>7302</v>
      </c>
      <c r="R2763" s="1" t="s">
        <v>128</v>
      </c>
      <c r="S2763" s="1" t="s">
        <v>129</v>
      </c>
      <c r="T2763" s="1" t="s">
        <v>7303</v>
      </c>
      <c r="U2763" s="2" t="s">
        <v>3649</v>
      </c>
      <c r="V2763" s="2" t="s">
        <v>83</v>
      </c>
      <c r="W2763" s="2" t="s">
        <v>178</v>
      </c>
      <c r="X2763" s="2">
        <v>67.305000000000007</v>
      </c>
    </row>
    <row r="2764" spans="1:24" x14ac:dyDescent="0.3">
      <c r="A2764">
        <v>20630</v>
      </c>
      <c r="B2764" t="s">
        <v>7299</v>
      </c>
      <c r="C2764" s="3">
        <v>41740</v>
      </c>
      <c r="D2764" t="s">
        <v>25</v>
      </c>
      <c r="E2764">
        <v>7</v>
      </c>
      <c r="F2764" s="3">
        <f ca="1">41747+(RANDBETWEEN(1,10))</f>
        <v>41748</v>
      </c>
      <c r="G2764" t="s">
        <v>26</v>
      </c>
      <c r="H2764" t="s">
        <v>27</v>
      </c>
      <c r="I2764" t="s">
        <v>28</v>
      </c>
      <c r="J2764">
        <v>229.215</v>
      </c>
      <c r="K2764">
        <v>7.0000000000000007E-2</v>
      </c>
      <c r="L2764">
        <v>0.6</v>
      </c>
      <c r="M2764">
        <v>33.075000000000003</v>
      </c>
      <c r="N2764">
        <v>-668.81500000000005</v>
      </c>
      <c r="O2764" s="1" t="s">
        <v>87</v>
      </c>
      <c r="P2764" s="1" t="s">
        <v>5873</v>
      </c>
      <c r="Q2764" s="1" t="s">
        <v>5874</v>
      </c>
      <c r="R2764" s="1" t="s">
        <v>90</v>
      </c>
      <c r="S2764" s="1" t="s">
        <v>5875</v>
      </c>
      <c r="T2764" s="1" t="s">
        <v>5876</v>
      </c>
      <c r="U2764" s="2" t="s">
        <v>483</v>
      </c>
      <c r="V2764" s="2" t="s">
        <v>47</v>
      </c>
      <c r="W2764" s="2" t="s">
        <v>119</v>
      </c>
      <c r="X2764" s="2">
        <v>33.984999999999999</v>
      </c>
    </row>
    <row r="2765" spans="1:24" x14ac:dyDescent="0.3">
      <c r="A2765">
        <v>20631</v>
      </c>
      <c r="B2765" t="s">
        <v>7304</v>
      </c>
      <c r="C2765" s="3">
        <v>40571</v>
      </c>
      <c r="D2765" t="s">
        <v>39</v>
      </c>
      <c r="E2765">
        <v>1</v>
      </c>
      <c r="F2765" s="3">
        <f ca="1">40572+(RANDBETWEEN(1,10))</f>
        <v>40576</v>
      </c>
      <c r="G2765" t="s">
        <v>26</v>
      </c>
      <c r="H2765" t="s">
        <v>27</v>
      </c>
      <c r="I2765" t="s">
        <v>28</v>
      </c>
      <c r="J2765">
        <v>236.215</v>
      </c>
      <c r="K2765">
        <v>0.06</v>
      </c>
      <c r="L2765">
        <v>0.37</v>
      </c>
      <c r="M2765">
        <v>50.05</v>
      </c>
      <c r="N2765">
        <v>-99.038799999999995</v>
      </c>
      <c r="O2765" s="1" t="s">
        <v>64</v>
      </c>
      <c r="P2765" s="1" t="s">
        <v>6776</v>
      </c>
      <c r="Q2765" s="1" t="s">
        <v>6777</v>
      </c>
      <c r="R2765" s="1" t="s">
        <v>67</v>
      </c>
      <c r="S2765" s="1" t="s">
        <v>6778</v>
      </c>
      <c r="T2765" s="1" t="s">
        <v>6779</v>
      </c>
      <c r="U2765" s="2" t="s">
        <v>1168</v>
      </c>
      <c r="V2765" s="2" t="s">
        <v>47</v>
      </c>
      <c r="W2765" s="2" t="s">
        <v>74</v>
      </c>
      <c r="X2765" s="2">
        <v>194.18</v>
      </c>
    </row>
    <row r="2766" spans="1:24" x14ac:dyDescent="0.3">
      <c r="A2766">
        <v>20632</v>
      </c>
      <c r="B2766" t="s">
        <v>7304</v>
      </c>
      <c r="C2766" s="3">
        <v>40571</v>
      </c>
      <c r="D2766" t="s">
        <v>39</v>
      </c>
      <c r="E2766">
        <v>1</v>
      </c>
      <c r="F2766" s="3">
        <f ca="1">40573+(RANDBETWEEN(1,10))</f>
        <v>40581</v>
      </c>
      <c r="G2766" t="s">
        <v>26</v>
      </c>
      <c r="H2766" t="s">
        <v>96</v>
      </c>
      <c r="I2766" t="s">
        <v>28</v>
      </c>
      <c r="J2766">
        <v>7.875</v>
      </c>
      <c r="K2766">
        <v>0.02</v>
      </c>
      <c r="L2766">
        <v>0.59</v>
      </c>
      <c r="M2766">
        <v>5.4950000000000001</v>
      </c>
      <c r="N2766">
        <v>-18.575199999999999</v>
      </c>
      <c r="O2766" s="1" t="s">
        <v>64</v>
      </c>
      <c r="P2766" s="1" t="s">
        <v>6776</v>
      </c>
      <c r="Q2766" s="1" t="s">
        <v>6777</v>
      </c>
      <c r="R2766" s="1" t="s">
        <v>67</v>
      </c>
      <c r="S2766" s="1" t="s">
        <v>6778</v>
      </c>
      <c r="T2766" s="1" t="s">
        <v>6779</v>
      </c>
      <c r="U2766" s="2" t="s">
        <v>2439</v>
      </c>
      <c r="V2766" s="2" t="s">
        <v>47</v>
      </c>
      <c r="W2766" s="2" t="s">
        <v>104</v>
      </c>
      <c r="X2766" s="2">
        <v>5.88</v>
      </c>
    </row>
    <row r="2767" spans="1:24" x14ac:dyDescent="0.3">
      <c r="A2767">
        <v>20633</v>
      </c>
      <c r="B2767" t="s">
        <v>7305</v>
      </c>
      <c r="C2767" s="3">
        <v>40718</v>
      </c>
      <c r="D2767" t="s">
        <v>50</v>
      </c>
      <c r="E2767">
        <v>6</v>
      </c>
      <c r="F2767" s="3">
        <f ca="1">40719+(RANDBETWEEN(1,10))</f>
        <v>40721</v>
      </c>
      <c r="G2767" t="s">
        <v>26</v>
      </c>
      <c r="H2767" t="s">
        <v>27</v>
      </c>
      <c r="I2767" t="s">
        <v>28</v>
      </c>
      <c r="J2767">
        <v>234.15</v>
      </c>
      <c r="K2767">
        <v>0.04</v>
      </c>
      <c r="L2767">
        <v>0.56999999999999995</v>
      </c>
      <c r="M2767">
        <v>18.059999999999999</v>
      </c>
      <c r="N2767">
        <v>84.335999999999999</v>
      </c>
      <c r="O2767" s="1" t="s">
        <v>29</v>
      </c>
      <c r="P2767" s="1" t="s">
        <v>7306</v>
      </c>
      <c r="Q2767" s="1" t="s">
        <v>7307</v>
      </c>
      <c r="R2767" s="1" t="s">
        <v>32</v>
      </c>
      <c r="S2767" s="1" t="s">
        <v>7308</v>
      </c>
      <c r="T2767" s="1" t="s">
        <v>7309</v>
      </c>
      <c r="U2767" s="2" t="s">
        <v>1754</v>
      </c>
      <c r="V2767" s="2" t="s">
        <v>83</v>
      </c>
      <c r="W2767" s="2" t="s">
        <v>178</v>
      </c>
      <c r="X2767" s="2">
        <v>37.24</v>
      </c>
    </row>
    <row r="2768" spans="1:24" x14ac:dyDescent="0.3">
      <c r="A2768">
        <v>20634</v>
      </c>
      <c r="B2768" t="s">
        <v>7305</v>
      </c>
      <c r="C2768" s="3">
        <v>40718</v>
      </c>
      <c r="D2768" t="s">
        <v>50</v>
      </c>
      <c r="E2768">
        <v>15</v>
      </c>
      <c r="F2768" s="3">
        <f ca="1">40720+(RANDBETWEEN(1,10))</f>
        <v>40727</v>
      </c>
      <c r="G2768" t="s">
        <v>156</v>
      </c>
      <c r="H2768" t="s">
        <v>96</v>
      </c>
      <c r="I2768" t="s">
        <v>28</v>
      </c>
      <c r="J2768">
        <v>150.95500000000001</v>
      </c>
      <c r="K2768">
        <v>0.03</v>
      </c>
      <c r="L2768">
        <v>0.45</v>
      </c>
      <c r="M2768">
        <v>4.6900000000000004</v>
      </c>
      <c r="N2768">
        <v>24.402000000000001</v>
      </c>
      <c r="O2768" s="1" t="s">
        <v>29</v>
      </c>
      <c r="P2768" s="1" t="s">
        <v>7306</v>
      </c>
      <c r="Q2768" s="1" t="s">
        <v>7307</v>
      </c>
      <c r="R2768" s="1" t="s">
        <v>32</v>
      </c>
      <c r="S2768" s="1" t="s">
        <v>7308</v>
      </c>
      <c r="T2768" s="1" t="s">
        <v>7309</v>
      </c>
      <c r="U2768" s="2" t="s">
        <v>1227</v>
      </c>
      <c r="V2768" s="2" t="s">
        <v>47</v>
      </c>
      <c r="W2768" s="2" t="s">
        <v>104</v>
      </c>
      <c r="X2768" s="2">
        <v>9.73</v>
      </c>
    </row>
    <row r="2769" spans="1:24" x14ac:dyDescent="0.3">
      <c r="A2769">
        <v>20635</v>
      </c>
      <c r="B2769" t="s">
        <v>7310</v>
      </c>
      <c r="C2769" s="3">
        <v>41815</v>
      </c>
      <c r="D2769" t="s">
        <v>62</v>
      </c>
      <c r="E2769">
        <v>6</v>
      </c>
      <c r="F2769" s="3">
        <f ca="1">41817+(RANDBETWEEN(1,10))</f>
        <v>41822</v>
      </c>
      <c r="G2769" t="s">
        <v>76</v>
      </c>
      <c r="H2769" t="s">
        <v>77</v>
      </c>
      <c r="I2769" t="s">
        <v>28</v>
      </c>
      <c r="J2769">
        <v>4714.6049999999996</v>
      </c>
      <c r="K2769">
        <v>0.01</v>
      </c>
      <c r="L2769">
        <v>0.57999999999999996</v>
      </c>
      <c r="M2769">
        <v>238.07</v>
      </c>
      <c r="N2769">
        <v>804.17399999999998</v>
      </c>
      <c r="O2769" s="1" t="s">
        <v>29</v>
      </c>
      <c r="P2769" s="1" t="s">
        <v>6679</v>
      </c>
      <c r="Q2769" s="1" t="s">
        <v>6680</v>
      </c>
      <c r="R2769" s="1" t="s">
        <v>32</v>
      </c>
      <c r="S2769" s="1" t="s">
        <v>6681</v>
      </c>
      <c r="T2769" s="1" t="s">
        <v>6682</v>
      </c>
      <c r="U2769" s="2" t="s">
        <v>617</v>
      </c>
      <c r="V2769" s="2" t="s">
        <v>47</v>
      </c>
      <c r="W2769" s="2" t="s">
        <v>71</v>
      </c>
      <c r="X2769" s="2">
        <v>728.56</v>
      </c>
    </row>
    <row r="2770" spans="1:24" x14ac:dyDescent="0.3">
      <c r="A2770">
        <v>20636</v>
      </c>
      <c r="B2770" t="s">
        <v>7311</v>
      </c>
      <c r="C2770" s="3">
        <v>40812</v>
      </c>
      <c r="D2770" t="s">
        <v>62</v>
      </c>
      <c r="E2770">
        <v>16</v>
      </c>
      <c r="F2770" s="3">
        <f ca="1">40813+(RANDBETWEEN(1,10))</f>
        <v>40819</v>
      </c>
      <c r="G2770" t="s">
        <v>26</v>
      </c>
      <c r="H2770" t="s">
        <v>27</v>
      </c>
      <c r="I2770" t="s">
        <v>97</v>
      </c>
      <c r="J2770">
        <v>2864.7150000000001</v>
      </c>
      <c r="K2770">
        <v>0.01</v>
      </c>
      <c r="L2770">
        <v>0.73</v>
      </c>
      <c r="M2770">
        <v>22.75</v>
      </c>
      <c r="N2770">
        <v>18.688949999999998</v>
      </c>
      <c r="O2770" s="1" t="s">
        <v>29</v>
      </c>
      <c r="P2770" s="1" t="s">
        <v>3536</v>
      </c>
      <c r="Q2770" s="1" t="s">
        <v>3537</v>
      </c>
      <c r="R2770" s="1" t="s">
        <v>675</v>
      </c>
      <c r="S2770" s="1" t="s">
        <v>3538</v>
      </c>
      <c r="T2770" s="1" t="s">
        <v>3539</v>
      </c>
      <c r="U2770" s="2" t="s">
        <v>4548</v>
      </c>
      <c r="V2770" s="2" t="s">
        <v>36</v>
      </c>
      <c r="W2770" s="2" t="s">
        <v>60</v>
      </c>
      <c r="X2770" s="2">
        <v>178.43</v>
      </c>
    </row>
    <row r="2771" spans="1:24" x14ac:dyDescent="0.3">
      <c r="A2771">
        <v>20637</v>
      </c>
      <c r="B2771" t="s">
        <v>7312</v>
      </c>
      <c r="C2771" s="3">
        <v>40751</v>
      </c>
      <c r="D2771" t="s">
        <v>62</v>
      </c>
      <c r="E2771">
        <v>6</v>
      </c>
      <c r="F2771" s="3">
        <f ca="1">40752+(RANDBETWEEN(1,10))</f>
        <v>40759</v>
      </c>
      <c r="G2771" t="s">
        <v>26</v>
      </c>
      <c r="H2771" t="s">
        <v>27</v>
      </c>
      <c r="I2771" t="s">
        <v>28</v>
      </c>
      <c r="J2771">
        <v>256.13</v>
      </c>
      <c r="K2771">
        <v>0.03</v>
      </c>
      <c r="L2771">
        <v>0.57999999999999996</v>
      </c>
      <c r="M2771">
        <v>17.43</v>
      </c>
      <c r="N2771">
        <v>-63.664999999999999</v>
      </c>
      <c r="O2771" s="1" t="s">
        <v>40</v>
      </c>
      <c r="P2771" s="1" t="s">
        <v>7313</v>
      </c>
      <c r="Q2771" s="1" t="s">
        <v>7314</v>
      </c>
      <c r="R2771" s="1" t="s">
        <v>220</v>
      </c>
      <c r="S2771" s="1" t="s">
        <v>7315</v>
      </c>
      <c r="T2771" s="1" t="s">
        <v>7316</v>
      </c>
      <c r="U2771" s="2" t="s">
        <v>5213</v>
      </c>
      <c r="V2771" s="2" t="s">
        <v>47</v>
      </c>
      <c r="W2771" s="2" t="s">
        <v>71</v>
      </c>
      <c r="X2771" s="2">
        <v>41.895000000000003</v>
      </c>
    </row>
    <row r="2772" spans="1:24" x14ac:dyDescent="0.3">
      <c r="A2772">
        <v>20638</v>
      </c>
      <c r="B2772" t="s">
        <v>7317</v>
      </c>
      <c r="C2772" s="3">
        <v>41131</v>
      </c>
      <c r="D2772" t="s">
        <v>39</v>
      </c>
      <c r="E2772">
        <v>22</v>
      </c>
      <c r="F2772" s="3">
        <f ca="1">41133+(RANDBETWEEN(1,10))</f>
        <v>41139</v>
      </c>
      <c r="G2772" t="s">
        <v>26</v>
      </c>
      <c r="H2772" t="s">
        <v>27</v>
      </c>
      <c r="I2772" t="s">
        <v>86</v>
      </c>
      <c r="J2772">
        <v>8158.64</v>
      </c>
      <c r="K2772">
        <v>0.03</v>
      </c>
      <c r="L2772">
        <v>0.56999999999999995</v>
      </c>
      <c r="M2772">
        <v>28.28</v>
      </c>
      <c r="N2772">
        <v>5629.4615999999996</v>
      </c>
      <c r="O2772" s="1" t="s">
        <v>53</v>
      </c>
      <c r="P2772" s="1" t="s">
        <v>6818</v>
      </c>
      <c r="Q2772" s="1" t="s">
        <v>6819</v>
      </c>
      <c r="R2772" s="1" t="s">
        <v>100</v>
      </c>
      <c r="S2772" s="1" t="s">
        <v>6820</v>
      </c>
      <c r="T2772" s="1" t="s">
        <v>6821</v>
      </c>
      <c r="U2772" s="2" t="s">
        <v>566</v>
      </c>
      <c r="V2772" s="2" t="s">
        <v>36</v>
      </c>
      <c r="W2772" s="2" t="s">
        <v>37</v>
      </c>
      <c r="X2772" s="2">
        <v>440.96499999999997</v>
      </c>
    </row>
    <row r="2773" spans="1:24" x14ac:dyDescent="0.3">
      <c r="A2773">
        <v>20639</v>
      </c>
      <c r="B2773" t="s">
        <v>7318</v>
      </c>
      <c r="C2773" s="3">
        <v>40844</v>
      </c>
      <c r="D2773" t="s">
        <v>39</v>
      </c>
      <c r="E2773">
        <v>14</v>
      </c>
      <c r="F2773" s="3">
        <f ca="1">40846+(RANDBETWEEN(1,10))</f>
        <v>40847</v>
      </c>
      <c r="G2773" t="s">
        <v>26</v>
      </c>
      <c r="H2773" t="s">
        <v>27</v>
      </c>
      <c r="I2773" t="s">
        <v>28</v>
      </c>
      <c r="J2773">
        <v>2166.36</v>
      </c>
      <c r="K2773">
        <v>0.1</v>
      </c>
      <c r="L2773">
        <v>0.38</v>
      </c>
      <c r="M2773">
        <v>20.895</v>
      </c>
      <c r="N2773">
        <v>548.6019</v>
      </c>
      <c r="O2773" s="1" t="s">
        <v>87</v>
      </c>
      <c r="P2773" s="1" t="s">
        <v>3620</v>
      </c>
      <c r="Q2773" s="1" t="s">
        <v>3621</v>
      </c>
      <c r="R2773" s="1" t="s">
        <v>90</v>
      </c>
      <c r="S2773" s="1" t="s">
        <v>3622</v>
      </c>
      <c r="T2773" s="1" t="s">
        <v>3623</v>
      </c>
      <c r="U2773" s="2" t="s">
        <v>6363</v>
      </c>
      <c r="V2773" s="2" t="s">
        <v>47</v>
      </c>
      <c r="W2773" s="2" t="s">
        <v>74</v>
      </c>
      <c r="X2773" s="2">
        <v>171.185</v>
      </c>
    </row>
    <row r="2774" spans="1:24" x14ac:dyDescent="0.3">
      <c r="A2774">
        <v>2064</v>
      </c>
      <c r="B2774" t="s">
        <v>7319</v>
      </c>
      <c r="C2774" s="3">
        <v>41712</v>
      </c>
      <c r="D2774" t="s">
        <v>148</v>
      </c>
      <c r="E2774">
        <v>43</v>
      </c>
      <c r="F2774" s="3">
        <f ca="1">41713+(RANDBETWEEN(1,10))</f>
        <v>41722</v>
      </c>
      <c r="G2774" t="s">
        <v>76</v>
      </c>
      <c r="H2774" t="s">
        <v>258</v>
      </c>
      <c r="I2774" t="s">
        <v>86</v>
      </c>
      <c r="J2774">
        <v>7031.6750000000002</v>
      </c>
      <c r="K2774">
        <v>0.04</v>
      </c>
      <c r="L2774">
        <v>0.67</v>
      </c>
      <c r="M2774">
        <v>163.065</v>
      </c>
      <c r="N2774">
        <v>118.961325</v>
      </c>
      <c r="O2774" s="1" t="s">
        <v>40</v>
      </c>
      <c r="P2774" s="1" t="s">
        <v>7320</v>
      </c>
      <c r="Q2774" s="1" t="s">
        <v>7321</v>
      </c>
      <c r="R2774" s="1" t="s">
        <v>43</v>
      </c>
      <c r="S2774" s="1" t="s">
        <v>44</v>
      </c>
      <c r="T2774" s="1" t="s">
        <v>7322</v>
      </c>
      <c r="U2774" s="2" t="s">
        <v>4100</v>
      </c>
      <c r="V2774" s="2" t="s">
        <v>83</v>
      </c>
      <c r="W2774" s="2" t="s">
        <v>263</v>
      </c>
      <c r="X2774" s="2">
        <v>155.505</v>
      </c>
    </row>
    <row r="2775" spans="1:24" x14ac:dyDescent="0.3">
      <c r="A2775">
        <v>20640</v>
      </c>
      <c r="B2775" t="s">
        <v>7318</v>
      </c>
      <c r="C2775" s="3">
        <v>40844</v>
      </c>
      <c r="D2775" t="s">
        <v>39</v>
      </c>
      <c r="E2775">
        <v>13</v>
      </c>
      <c r="F2775" s="3">
        <f ca="1">40844+(RANDBETWEEN(1,10))</f>
        <v>40849</v>
      </c>
      <c r="G2775" t="s">
        <v>26</v>
      </c>
      <c r="H2775" t="s">
        <v>27</v>
      </c>
      <c r="I2775" t="s">
        <v>28</v>
      </c>
      <c r="J2775">
        <v>271.39</v>
      </c>
      <c r="K2775">
        <v>0.08</v>
      </c>
      <c r="L2775">
        <v>0.36</v>
      </c>
      <c r="M2775">
        <v>19.11</v>
      </c>
      <c r="N2775">
        <v>385.41300000000001</v>
      </c>
      <c r="O2775" s="1" t="s">
        <v>87</v>
      </c>
      <c r="P2775" s="1" t="s">
        <v>3620</v>
      </c>
      <c r="Q2775" s="1" t="s">
        <v>3621</v>
      </c>
      <c r="R2775" s="1" t="s">
        <v>90</v>
      </c>
      <c r="S2775" s="1" t="s">
        <v>3622</v>
      </c>
      <c r="T2775" s="1" t="s">
        <v>3623</v>
      </c>
      <c r="U2775" s="2" t="s">
        <v>7070</v>
      </c>
      <c r="V2775" s="2" t="s">
        <v>47</v>
      </c>
      <c r="W2775" s="2" t="s">
        <v>74</v>
      </c>
      <c r="X2775" s="2">
        <v>20.93</v>
      </c>
    </row>
    <row r="2776" spans="1:24" x14ac:dyDescent="0.3">
      <c r="A2776">
        <v>20641</v>
      </c>
      <c r="B2776" t="s">
        <v>7323</v>
      </c>
      <c r="C2776" s="3">
        <v>40820</v>
      </c>
      <c r="D2776" t="s">
        <v>25</v>
      </c>
      <c r="E2776">
        <v>11</v>
      </c>
      <c r="F2776" s="3">
        <f ca="1">40825+(RANDBETWEEN(1,10))</f>
        <v>40830</v>
      </c>
      <c r="G2776" t="s">
        <v>26</v>
      </c>
      <c r="H2776" t="s">
        <v>51</v>
      </c>
      <c r="I2776" t="s">
        <v>52</v>
      </c>
      <c r="J2776">
        <v>314.16000000000003</v>
      </c>
      <c r="K2776">
        <v>0.04</v>
      </c>
      <c r="L2776">
        <v>0.52</v>
      </c>
      <c r="M2776">
        <v>6.9649999999999999</v>
      </c>
      <c r="N2776">
        <v>34.7438</v>
      </c>
      <c r="O2776" s="1" t="s">
        <v>40</v>
      </c>
      <c r="P2776" s="1" t="s">
        <v>7324</v>
      </c>
      <c r="Q2776" s="1" t="s">
        <v>7325</v>
      </c>
      <c r="R2776" s="1" t="s">
        <v>220</v>
      </c>
      <c r="S2776" s="1" t="s">
        <v>7326</v>
      </c>
      <c r="T2776" s="1" t="s">
        <v>7327</v>
      </c>
      <c r="U2776" s="2" t="s">
        <v>2853</v>
      </c>
      <c r="V2776" s="2" t="s">
        <v>36</v>
      </c>
      <c r="W2776" s="2" t="s">
        <v>60</v>
      </c>
      <c r="X2776" s="2">
        <v>29.155000000000001</v>
      </c>
    </row>
    <row r="2777" spans="1:24" x14ac:dyDescent="0.3">
      <c r="A2777">
        <v>20642</v>
      </c>
      <c r="B2777" t="s">
        <v>7328</v>
      </c>
      <c r="C2777" s="3">
        <v>41125</v>
      </c>
      <c r="D2777" t="s">
        <v>50</v>
      </c>
      <c r="E2777">
        <v>20</v>
      </c>
      <c r="F2777" s="3">
        <f ca="1">41127+(RANDBETWEEN(1,10))</f>
        <v>41128</v>
      </c>
      <c r="G2777" t="s">
        <v>26</v>
      </c>
      <c r="H2777" t="s">
        <v>51</v>
      </c>
      <c r="I2777" t="s">
        <v>28</v>
      </c>
      <c r="J2777">
        <v>2184.2449999999999</v>
      </c>
      <c r="K2777">
        <v>0</v>
      </c>
      <c r="L2777">
        <v>0.56999999999999995</v>
      </c>
      <c r="M2777">
        <v>4.375</v>
      </c>
      <c r="N2777">
        <v>-489.755</v>
      </c>
      <c r="O2777" s="1" t="s">
        <v>64</v>
      </c>
      <c r="P2777" s="1" t="s">
        <v>7329</v>
      </c>
      <c r="Q2777" s="1" t="s">
        <v>7330</v>
      </c>
      <c r="R2777" s="1" t="s">
        <v>128</v>
      </c>
      <c r="S2777" s="1" t="s">
        <v>7331</v>
      </c>
      <c r="T2777" s="1" t="s">
        <v>7332</v>
      </c>
      <c r="U2777" s="2" t="s">
        <v>1964</v>
      </c>
      <c r="V2777" s="2" t="s">
        <v>36</v>
      </c>
      <c r="W2777" s="2" t="s">
        <v>37</v>
      </c>
      <c r="X2777" s="2">
        <v>125.965</v>
      </c>
    </row>
    <row r="2778" spans="1:24" x14ac:dyDescent="0.3">
      <c r="A2778">
        <v>20643</v>
      </c>
      <c r="B2778" t="s">
        <v>7333</v>
      </c>
      <c r="C2778" s="3">
        <v>41522</v>
      </c>
      <c r="D2778" t="s">
        <v>25</v>
      </c>
      <c r="E2778">
        <v>15</v>
      </c>
      <c r="F2778" s="3">
        <f ca="1">41527+(RANDBETWEEN(1,10))</f>
        <v>41528</v>
      </c>
      <c r="G2778" t="s">
        <v>156</v>
      </c>
      <c r="H2778" t="s">
        <v>27</v>
      </c>
      <c r="I2778" t="s">
        <v>97</v>
      </c>
      <c r="J2778">
        <v>677.25</v>
      </c>
      <c r="K2778">
        <v>0.01</v>
      </c>
      <c r="L2778">
        <v>0.56999999999999995</v>
      </c>
      <c r="M2778">
        <v>21.454999999999998</v>
      </c>
      <c r="N2778">
        <v>-110.075</v>
      </c>
      <c r="O2778" s="1" t="s">
        <v>225</v>
      </c>
      <c r="P2778" s="1" t="s">
        <v>984</v>
      </c>
      <c r="Q2778" s="1" t="s">
        <v>985</v>
      </c>
      <c r="R2778" s="1" t="s">
        <v>228</v>
      </c>
      <c r="S2778" s="1" t="s">
        <v>986</v>
      </c>
      <c r="T2778" s="1" t="s">
        <v>987</v>
      </c>
      <c r="U2778" s="2" t="s">
        <v>5922</v>
      </c>
      <c r="V2778" s="2" t="s">
        <v>47</v>
      </c>
      <c r="W2778" s="2" t="s">
        <v>119</v>
      </c>
      <c r="X2778" s="2">
        <v>42.98</v>
      </c>
    </row>
    <row r="2779" spans="1:24" x14ac:dyDescent="0.3">
      <c r="A2779">
        <v>20644</v>
      </c>
      <c r="B2779" t="s">
        <v>7334</v>
      </c>
      <c r="C2779" s="3">
        <v>41246</v>
      </c>
      <c r="D2779" t="s">
        <v>50</v>
      </c>
      <c r="E2779">
        <v>7</v>
      </c>
      <c r="F2779" s="3">
        <f ca="1">41247+(RANDBETWEEN(1,10))</f>
        <v>41251</v>
      </c>
      <c r="G2779" t="s">
        <v>26</v>
      </c>
      <c r="H2779" t="s">
        <v>27</v>
      </c>
      <c r="I2779" t="s">
        <v>28</v>
      </c>
      <c r="J2779">
        <v>154.91</v>
      </c>
      <c r="K2779">
        <v>0.01</v>
      </c>
      <c r="L2779">
        <v>0.36</v>
      </c>
      <c r="M2779">
        <v>18.024999999999999</v>
      </c>
      <c r="N2779">
        <v>-46.655000000000001</v>
      </c>
      <c r="O2779" s="1" t="s">
        <v>64</v>
      </c>
      <c r="P2779" s="1" t="s">
        <v>4803</v>
      </c>
      <c r="Q2779" s="1" t="s">
        <v>4804</v>
      </c>
      <c r="R2779" s="1" t="s">
        <v>128</v>
      </c>
      <c r="S2779" s="1" t="s">
        <v>4805</v>
      </c>
      <c r="T2779" s="1" t="s">
        <v>4806</v>
      </c>
      <c r="U2779" s="2" t="s">
        <v>542</v>
      </c>
      <c r="V2779" s="2" t="s">
        <v>47</v>
      </c>
      <c r="W2779" s="2" t="s">
        <v>74</v>
      </c>
      <c r="X2779" s="2">
        <v>20.93</v>
      </c>
    </row>
    <row r="2780" spans="1:24" x14ac:dyDescent="0.3">
      <c r="A2780">
        <v>20645</v>
      </c>
      <c r="B2780" t="s">
        <v>7335</v>
      </c>
      <c r="C2780" s="3">
        <v>40816</v>
      </c>
      <c r="D2780" t="s">
        <v>148</v>
      </c>
      <c r="E2780">
        <v>21</v>
      </c>
      <c r="F2780" s="3">
        <f ca="1">40817+(RANDBETWEEN(1,10))</f>
        <v>40821</v>
      </c>
      <c r="G2780" t="s">
        <v>26</v>
      </c>
      <c r="H2780" t="s">
        <v>27</v>
      </c>
      <c r="I2780" t="s">
        <v>28</v>
      </c>
      <c r="J2780">
        <v>491.05</v>
      </c>
      <c r="K2780">
        <v>7.0000000000000007E-2</v>
      </c>
      <c r="L2780">
        <v>0.36</v>
      </c>
      <c r="M2780">
        <v>18.445</v>
      </c>
      <c r="N2780">
        <v>-231.15575000000001</v>
      </c>
      <c r="O2780" s="1" t="s">
        <v>64</v>
      </c>
      <c r="P2780" s="1" t="s">
        <v>5444</v>
      </c>
      <c r="Q2780" s="1" t="s">
        <v>5445</v>
      </c>
      <c r="R2780" s="1" t="s">
        <v>128</v>
      </c>
      <c r="S2780" s="1" t="s">
        <v>5446</v>
      </c>
      <c r="T2780" s="1" t="s">
        <v>5447</v>
      </c>
      <c r="U2780" s="2" t="s">
        <v>588</v>
      </c>
      <c r="V2780" s="2" t="s">
        <v>47</v>
      </c>
      <c r="W2780" s="2" t="s">
        <v>111</v>
      </c>
      <c r="X2780" s="2">
        <v>22.89</v>
      </c>
    </row>
    <row r="2781" spans="1:24" x14ac:dyDescent="0.3">
      <c r="A2781">
        <v>20646</v>
      </c>
      <c r="B2781" t="s">
        <v>7335</v>
      </c>
      <c r="C2781" s="3">
        <v>40816</v>
      </c>
      <c r="D2781" t="s">
        <v>148</v>
      </c>
      <c r="E2781">
        <v>23</v>
      </c>
      <c r="F2781" s="3">
        <f ca="1">40817+(RANDBETWEEN(1,10))</f>
        <v>40820</v>
      </c>
      <c r="G2781" t="s">
        <v>26</v>
      </c>
      <c r="H2781" t="s">
        <v>96</v>
      </c>
      <c r="I2781" t="s">
        <v>28</v>
      </c>
      <c r="J2781">
        <v>250.42500000000001</v>
      </c>
      <c r="K2781">
        <v>0.09</v>
      </c>
      <c r="L2781">
        <v>0.4</v>
      </c>
      <c r="M2781">
        <v>4.7249999999999996</v>
      </c>
      <c r="N2781">
        <v>54.81</v>
      </c>
      <c r="O2781" s="1" t="s">
        <v>87</v>
      </c>
      <c r="P2781" s="1" t="s">
        <v>7336</v>
      </c>
      <c r="Q2781" s="1" t="s">
        <v>7337</v>
      </c>
      <c r="R2781" s="1" t="s">
        <v>90</v>
      </c>
      <c r="S2781" s="1" t="s">
        <v>7338</v>
      </c>
      <c r="T2781" s="1" t="s">
        <v>7339</v>
      </c>
      <c r="U2781" s="2" t="s">
        <v>2529</v>
      </c>
      <c r="V2781" s="2" t="s">
        <v>47</v>
      </c>
      <c r="W2781" s="2" t="s">
        <v>176</v>
      </c>
      <c r="X2781" s="2">
        <v>11.515000000000001</v>
      </c>
    </row>
    <row r="2782" spans="1:24" x14ac:dyDescent="0.3">
      <c r="A2782">
        <v>20647</v>
      </c>
      <c r="B2782" t="s">
        <v>7340</v>
      </c>
      <c r="C2782" s="3">
        <v>41947</v>
      </c>
      <c r="D2782" t="s">
        <v>39</v>
      </c>
      <c r="E2782">
        <v>3</v>
      </c>
      <c r="F2782" s="3">
        <f ca="1">41948+(RANDBETWEEN(1,10))</f>
        <v>41953</v>
      </c>
      <c r="G2782" t="s">
        <v>76</v>
      </c>
      <c r="H2782" t="s">
        <v>77</v>
      </c>
      <c r="I2782" t="s">
        <v>97</v>
      </c>
      <c r="J2782">
        <v>8473.57</v>
      </c>
      <c r="K2782">
        <v>7.0000000000000007E-2</v>
      </c>
      <c r="L2782">
        <v>0.56000000000000005</v>
      </c>
      <c r="M2782">
        <v>56.21</v>
      </c>
      <c r="N2782">
        <v>3155.7098664</v>
      </c>
      <c r="O2782" s="1" t="s">
        <v>40</v>
      </c>
      <c r="P2782" s="1" t="s">
        <v>6016</v>
      </c>
      <c r="Q2782" s="1" t="s">
        <v>6017</v>
      </c>
      <c r="R2782" s="1" t="s">
        <v>43</v>
      </c>
      <c r="S2782" s="1" t="s">
        <v>6018</v>
      </c>
      <c r="T2782" s="1" t="s">
        <v>6019</v>
      </c>
      <c r="U2782" s="2" t="s">
        <v>6873</v>
      </c>
      <c r="V2782" s="2" t="s">
        <v>36</v>
      </c>
      <c r="W2782" s="2" t="s">
        <v>142</v>
      </c>
      <c r="X2782" s="2">
        <v>2838.43</v>
      </c>
    </row>
    <row r="2783" spans="1:24" x14ac:dyDescent="0.3">
      <c r="A2783">
        <v>20648</v>
      </c>
      <c r="B2783" t="s">
        <v>7341</v>
      </c>
      <c r="C2783" s="3">
        <v>41106</v>
      </c>
      <c r="D2783" t="s">
        <v>148</v>
      </c>
      <c r="E2783">
        <v>15</v>
      </c>
      <c r="F2783" s="3">
        <f ca="1">41108+(RANDBETWEEN(1,10))</f>
        <v>41116</v>
      </c>
      <c r="G2783" t="s">
        <v>26</v>
      </c>
      <c r="H2783" t="s">
        <v>27</v>
      </c>
      <c r="I2783" t="s">
        <v>86</v>
      </c>
      <c r="J2783">
        <v>229.95</v>
      </c>
      <c r="K2783">
        <v>0.05</v>
      </c>
      <c r="L2783">
        <v>0.35</v>
      </c>
      <c r="M2783">
        <v>18.934999999999999</v>
      </c>
      <c r="N2783">
        <v>-529.97175000000004</v>
      </c>
      <c r="O2783" s="1" t="s">
        <v>40</v>
      </c>
      <c r="P2783" s="1" t="s">
        <v>7342</v>
      </c>
      <c r="Q2783" s="1" t="s">
        <v>7343</v>
      </c>
      <c r="R2783" s="1" t="s">
        <v>43</v>
      </c>
      <c r="S2783" s="1" t="s">
        <v>576</v>
      </c>
      <c r="T2783" s="1" t="s">
        <v>577</v>
      </c>
      <c r="U2783" s="2" t="s">
        <v>231</v>
      </c>
      <c r="V2783" s="2" t="s">
        <v>47</v>
      </c>
      <c r="W2783" s="2" t="s">
        <v>111</v>
      </c>
      <c r="X2783" s="2">
        <v>14.84</v>
      </c>
    </row>
    <row r="2784" spans="1:24" x14ac:dyDescent="0.3">
      <c r="A2784">
        <v>20649</v>
      </c>
      <c r="B2784" t="s">
        <v>7341</v>
      </c>
      <c r="C2784" s="3">
        <v>41106</v>
      </c>
      <c r="D2784" t="s">
        <v>148</v>
      </c>
      <c r="E2784">
        <v>11</v>
      </c>
      <c r="F2784" s="3">
        <f ca="1">41108+(RANDBETWEEN(1,10))</f>
        <v>41110</v>
      </c>
      <c r="G2784" t="s">
        <v>26</v>
      </c>
      <c r="H2784" t="s">
        <v>281</v>
      </c>
      <c r="I2784" t="s">
        <v>86</v>
      </c>
      <c r="J2784">
        <v>5843.18</v>
      </c>
      <c r="K2784">
        <v>0.02</v>
      </c>
      <c r="L2784">
        <v>0.56999999999999995</v>
      </c>
      <c r="M2784">
        <v>48.965000000000003</v>
      </c>
      <c r="N2784">
        <v>3997.2869999999998</v>
      </c>
      <c r="O2784" s="1" t="s">
        <v>40</v>
      </c>
      <c r="P2784" s="1" t="s">
        <v>7344</v>
      </c>
      <c r="Q2784" s="1" t="s">
        <v>7345</v>
      </c>
      <c r="R2784" s="1" t="s">
        <v>43</v>
      </c>
      <c r="S2784" s="1" t="s">
        <v>7346</v>
      </c>
      <c r="T2784" s="1" t="s">
        <v>7347</v>
      </c>
      <c r="U2784" s="2" t="s">
        <v>649</v>
      </c>
      <c r="V2784" s="2" t="s">
        <v>36</v>
      </c>
      <c r="W2784" s="2" t="s">
        <v>37</v>
      </c>
      <c r="X2784" s="2">
        <v>629.96500000000003</v>
      </c>
    </row>
    <row r="2785" spans="1:24" x14ac:dyDescent="0.3">
      <c r="A2785">
        <v>2065</v>
      </c>
      <c r="B2785" t="s">
        <v>7348</v>
      </c>
      <c r="C2785" s="3">
        <v>40825</v>
      </c>
      <c r="D2785" t="s">
        <v>39</v>
      </c>
      <c r="E2785">
        <v>36</v>
      </c>
      <c r="F2785" s="3">
        <f ca="1">40825+(RANDBETWEEN(1,10))</f>
        <v>40832</v>
      </c>
      <c r="G2785" t="s">
        <v>26</v>
      </c>
      <c r="H2785" t="s">
        <v>27</v>
      </c>
      <c r="I2785" t="s">
        <v>52</v>
      </c>
      <c r="J2785">
        <v>597.625</v>
      </c>
      <c r="K2785">
        <v>0.08</v>
      </c>
      <c r="L2785">
        <v>0.36</v>
      </c>
      <c r="M2785">
        <v>1.75</v>
      </c>
      <c r="N2785">
        <v>111.13200000000001</v>
      </c>
      <c r="O2785" s="1" t="s">
        <v>64</v>
      </c>
      <c r="P2785" s="1" t="s">
        <v>328</v>
      </c>
      <c r="Q2785" s="1" t="s">
        <v>329</v>
      </c>
      <c r="R2785" s="1" t="s">
        <v>128</v>
      </c>
      <c r="S2785" s="1" t="s">
        <v>129</v>
      </c>
      <c r="T2785" s="1" t="s">
        <v>330</v>
      </c>
      <c r="U2785" s="2" t="s">
        <v>1158</v>
      </c>
      <c r="V2785" s="2" t="s">
        <v>47</v>
      </c>
      <c r="W2785" s="2" t="s">
        <v>203</v>
      </c>
      <c r="X2785" s="2">
        <v>17.184999999999999</v>
      </c>
    </row>
    <row r="2786" spans="1:24" x14ac:dyDescent="0.3">
      <c r="A2786">
        <v>20650</v>
      </c>
      <c r="B2786" t="s">
        <v>7341</v>
      </c>
      <c r="C2786" s="3">
        <v>41106</v>
      </c>
      <c r="D2786" t="s">
        <v>148</v>
      </c>
      <c r="E2786">
        <v>6</v>
      </c>
      <c r="F2786" s="3">
        <f ca="1">41107+(RANDBETWEEN(1,10))</f>
        <v>41112</v>
      </c>
      <c r="G2786" t="s">
        <v>26</v>
      </c>
      <c r="H2786" t="s">
        <v>27</v>
      </c>
      <c r="I2786" t="s">
        <v>86</v>
      </c>
      <c r="J2786">
        <v>1173.69</v>
      </c>
      <c r="K2786">
        <v>0.06</v>
      </c>
      <c r="L2786">
        <v>0.56000000000000005</v>
      </c>
      <c r="M2786">
        <v>8.75</v>
      </c>
      <c r="N2786">
        <v>534.61800000000005</v>
      </c>
      <c r="O2786" s="1" t="s">
        <v>53</v>
      </c>
      <c r="P2786" s="1" t="s">
        <v>7349</v>
      </c>
      <c r="Q2786" s="1" t="s">
        <v>7350</v>
      </c>
      <c r="R2786" s="1" t="s">
        <v>100</v>
      </c>
      <c r="S2786" s="1" t="s">
        <v>7351</v>
      </c>
      <c r="T2786" s="1" t="s">
        <v>7352</v>
      </c>
      <c r="U2786" s="2" t="s">
        <v>7353</v>
      </c>
      <c r="V2786" s="2" t="s">
        <v>36</v>
      </c>
      <c r="W2786" s="2" t="s">
        <v>37</v>
      </c>
      <c r="X2786" s="2">
        <v>230.965</v>
      </c>
    </row>
    <row r="2787" spans="1:24" x14ac:dyDescent="0.3">
      <c r="A2787">
        <v>20651</v>
      </c>
      <c r="B2787" t="s">
        <v>7341</v>
      </c>
      <c r="C2787" s="3">
        <v>41106</v>
      </c>
      <c r="D2787" t="s">
        <v>148</v>
      </c>
      <c r="E2787">
        <v>14</v>
      </c>
      <c r="F2787" s="3">
        <f ca="1">41108+(RANDBETWEEN(1,10))</f>
        <v>41112</v>
      </c>
      <c r="G2787" t="s">
        <v>26</v>
      </c>
      <c r="H2787" t="s">
        <v>51</v>
      </c>
      <c r="I2787" t="s">
        <v>86</v>
      </c>
      <c r="J2787">
        <v>1665.02</v>
      </c>
      <c r="K2787">
        <v>0</v>
      </c>
      <c r="L2787">
        <v>0.45</v>
      </c>
      <c r="M2787">
        <v>6.9649999999999999</v>
      </c>
      <c r="N2787">
        <v>1148.8638000000001</v>
      </c>
      <c r="O2787" s="1" t="s">
        <v>64</v>
      </c>
      <c r="P2787" s="1" t="s">
        <v>7354</v>
      </c>
      <c r="Q2787" s="1" t="s">
        <v>7355</v>
      </c>
      <c r="R2787" s="1" t="s">
        <v>128</v>
      </c>
      <c r="S2787" s="1" t="s">
        <v>928</v>
      </c>
      <c r="T2787" s="1" t="s">
        <v>929</v>
      </c>
      <c r="U2787" s="2" t="s">
        <v>2969</v>
      </c>
      <c r="V2787" s="2" t="s">
        <v>36</v>
      </c>
      <c r="W2787" s="2" t="s">
        <v>60</v>
      </c>
      <c r="X2787" s="2">
        <v>118.93</v>
      </c>
    </row>
    <row r="2788" spans="1:24" x14ac:dyDescent="0.3">
      <c r="A2788">
        <v>20652</v>
      </c>
      <c r="B2788" t="s">
        <v>7356</v>
      </c>
      <c r="C2788" s="3">
        <v>40774</v>
      </c>
      <c r="D2788" t="s">
        <v>25</v>
      </c>
      <c r="E2788">
        <v>9</v>
      </c>
      <c r="F2788" s="3">
        <f ca="1">40781+(RANDBETWEEN(1,10))</f>
        <v>40784</v>
      </c>
      <c r="G2788" t="s">
        <v>26</v>
      </c>
      <c r="H2788" t="s">
        <v>27</v>
      </c>
      <c r="I2788" t="s">
        <v>52</v>
      </c>
      <c r="J2788">
        <v>1879.15</v>
      </c>
      <c r="K2788">
        <v>0.01</v>
      </c>
      <c r="L2788">
        <v>0.56999999999999995</v>
      </c>
      <c r="M2788">
        <v>18.585000000000001</v>
      </c>
      <c r="N2788">
        <v>876.26952000000006</v>
      </c>
      <c r="O2788" s="1" t="s">
        <v>40</v>
      </c>
      <c r="P2788" s="1" t="s">
        <v>1294</v>
      </c>
      <c r="Q2788" s="1" t="s">
        <v>1295</v>
      </c>
      <c r="R2788" s="1" t="s">
        <v>43</v>
      </c>
      <c r="S2788" s="1" t="s">
        <v>1296</v>
      </c>
      <c r="T2788" s="1" t="s">
        <v>1297</v>
      </c>
      <c r="U2788" s="2">
        <v>3390</v>
      </c>
      <c r="V2788" s="2" t="s">
        <v>36</v>
      </c>
      <c r="W2788" s="2" t="s">
        <v>37</v>
      </c>
      <c r="X2788" s="2">
        <v>230.965</v>
      </c>
    </row>
    <row r="2789" spans="1:24" x14ac:dyDescent="0.3">
      <c r="A2789">
        <v>20653</v>
      </c>
      <c r="B2789" t="s">
        <v>7357</v>
      </c>
      <c r="C2789" s="3">
        <v>41900</v>
      </c>
      <c r="D2789" t="s">
        <v>148</v>
      </c>
      <c r="E2789">
        <v>14</v>
      </c>
      <c r="F2789" s="3">
        <f ca="1">41901+(RANDBETWEEN(1,10))</f>
        <v>41906</v>
      </c>
      <c r="G2789" t="s">
        <v>26</v>
      </c>
      <c r="H2789" t="s">
        <v>51</v>
      </c>
      <c r="I2789" t="s">
        <v>28</v>
      </c>
      <c r="J2789">
        <v>424.51499999999999</v>
      </c>
      <c r="K2789">
        <v>0.1</v>
      </c>
      <c r="L2789">
        <v>0.43</v>
      </c>
      <c r="M2789">
        <v>29.89</v>
      </c>
      <c r="N2789">
        <v>-260.01499999999999</v>
      </c>
      <c r="O2789" s="1" t="s">
        <v>40</v>
      </c>
      <c r="P2789" s="1" t="s">
        <v>7358</v>
      </c>
      <c r="Q2789" s="1" t="s">
        <v>7359</v>
      </c>
      <c r="R2789" s="1" t="s">
        <v>43</v>
      </c>
      <c r="S2789" s="1" t="s">
        <v>7360</v>
      </c>
      <c r="T2789" s="1" t="s">
        <v>7361</v>
      </c>
      <c r="U2789" s="2" t="s">
        <v>2925</v>
      </c>
      <c r="V2789" s="2" t="s">
        <v>83</v>
      </c>
      <c r="W2789" s="2" t="s">
        <v>178</v>
      </c>
      <c r="X2789" s="2">
        <v>30.625</v>
      </c>
    </row>
    <row r="2790" spans="1:24" x14ac:dyDescent="0.3">
      <c r="A2790">
        <v>20654</v>
      </c>
      <c r="B2790" t="s">
        <v>7362</v>
      </c>
      <c r="C2790" s="3">
        <v>40804</v>
      </c>
      <c r="D2790" t="s">
        <v>148</v>
      </c>
      <c r="E2790">
        <v>13</v>
      </c>
      <c r="F2790" s="3">
        <f ca="1">40806+(RANDBETWEEN(1,10))</f>
        <v>40807</v>
      </c>
      <c r="G2790" t="s">
        <v>26</v>
      </c>
      <c r="H2790" t="s">
        <v>27</v>
      </c>
      <c r="I2790" t="s">
        <v>28</v>
      </c>
      <c r="J2790">
        <v>2668.33</v>
      </c>
      <c r="K2790">
        <v>0.03</v>
      </c>
      <c r="L2790">
        <v>0.36</v>
      </c>
      <c r="M2790">
        <v>17.010000000000002</v>
      </c>
      <c r="N2790">
        <v>1841.1477</v>
      </c>
      <c r="O2790" s="1" t="s">
        <v>53</v>
      </c>
      <c r="P2790" s="1" t="s">
        <v>7363</v>
      </c>
      <c r="Q2790" s="1" t="s">
        <v>7364</v>
      </c>
      <c r="R2790" s="1" t="s">
        <v>56</v>
      </c>
      <c r="S2790" s="1" t="s">
        <v>6666</v>
      </c>
      <c r="T2790" s="1" t="s">
        <v>6667</v>
      </c>
      <c r="U2790" s="2" t="s">
        <v>1690</v>
      </c>
      <c r="V2790" s="2" t="s">
        <v>47</v>
      </c>
      <c r="W2790" s="2" t="s">
        <v>74</v>
      </c>
      <c r="X2790" s="2">
        <v>195.93</v>
      </c>
    </row>
    <row r="2791" spans="1:24" x14ac:dyDescent="0.3">
      <c r="A2791">
        <v>20655</v>
      </c>
      <c r="B2791" t="s">
        <v>7365</v>
      </c>
      <c r="C2791" s="3">
        <v>41116</v>
      </c>
      <c r="D2791" t="s">
        <v>148</v>
      </c>
      <c r="E2791">
        <v>14</v>
      </c>
      <c r="F2791" s="3">
        <f ca="1">41117+(RANDBETWEEN(1,10))</f>
        <v>41118</v>
      </c>
      <c r="G2791" t="s">
        <v>26</v>
      </c>
      <c r="H2791" t="s">
        <v>27</v>
      </c>
      <c r="I2791" t="s">
        <v>86</v>
      </c>
      <c r="J2791">
        <v>1346.31</v>
      </c>
      <c r="K2791">
        <v>0.04</v>
      </c>
      <c r="L2791">
        <v>0.39</v>
      </c>
      <c r="M2791">
        <v>20.51</v>
      </c>
      <c r="N2791">
        <v>928.95389999999998</v>
      </c>
      <c r="O2791" s="1" t="s">
        <v>87</v>
      </c>
      <c r="P2791" s="1" t="s">
        <v>2849</v>
      </c>
      <c r="Q2791" s="1" t="s">
        <v>2850</v>
      </c>
      <c r="R2791" s="1" t="s">
        <v>398</v>
      </c>
      <c r="S2791" s="1" t="s">
        <v>2851</v>
      </c>
      <c r="T2791" s="1" t="s">
        <v>2852</v>
      </c>
      <c r="U2791" s="2" t="s">
        <v>5644</v>
      </c>
      <c r="V2791" s="2" t="s">
        <v>47</v>
      </c>
      <c r="W2791" s="2" t="s">
        <v>74</v>
      </c>
      <c r="X2791" s="2">
        <v>92.33</v>
      </c>
    </row>
    <row r="2792" spans="1:24" x14ac:dyDescent="0.3">
      <c r="A2792">
        <v>20656</v>
      </c>
      <c r="B2792" t="s">
        <v>7365</v>
      </c>
      <c r="C2792" s="3">
        <v>41116</v>
      </c>
      <c r="D2792" t="s">
        <v>148</v>
      </c>
      <c r="E2792">
        <v>9</v>
      </c>
      <c r="F2792" s="3">
        <f ca="1">41118+(RANDBETWEEN(1,10))</f>
        <v>41120</v>
      </c>
      <c r="G2792" t="s">
        <v>26</v>
      </c>
      <c r="H2792" t="s">
        <v>96</v>
      </c>
      <c r="I2792" t="s">
        <v>86</v>
      </c>
      <c r="J2792">
        <v>109.72499999999999</v>
      </c>
      <c r="K2792">
        <v>0</v>
      </c>
      <c r="L2792">
        <v>0.41</v>
      </c>
      <c r="M2792">
        <v>6.51</v>
      </c>
      <c r="N2792">
        <v>8.26</v>
      </c>
      <c r="O2792" s="1" t="s">
        <v>87</v>
      </c>
      <c r="P2792" s="1" t="s">
        <v>2849</v>
      </c>
      <c r="Q2792" s="1" t="s">
        <v>2850</v>
      </c>
      <c r="R2792" s="1" t="s">
        <v>398</v>
      </c>
      <c r="S2792" s="1" t="s">
        <v>2851</v>
      </c>
      <c r="T2792" s="1" t="s">
        <v>2852</v>
      </c>
      <c r="U2792" s="2" t="s">
        <v>2287</v>
      </c>
      <c r="V2792" s="2" t="s">
        <v>47</v>
      </c>
      <c r="W2792" s="2" t="s">
        <v>104</v>
      </c>
      <c r="X2792" s="2">
        <v>11.41</v>
      </c>
    </row>
    <row r="2793" spans="1:24" x14ac:dyDescent="0.3">
      <c r="A2793">
        <v>20657</v>
      </c>
      <c r="B2793" t="s">
        <v>7366</v>
      </c>
      <c r="C2793" s="3">
        <v>40998</v>
      </c>
      <c r="D2793" t="s">
        <v>25</v>
      </c>
      <c r="E2793">
        <v>10</v>
      </c>
      <c r="F2793" s="3">
        <f ca="1">41002+(RANDBETWEEN(1,10))</f>
        <v>41012</v>
      </c>
      <c r="G2793" t="s">
        <v>26</v>
      </c>
      <c r="H2793" t="s">
        <v>27</v>
      </c>
      <c r="I2793" t="s">
        <v>28</v>
      </c>
      <c r="J2793">
        <v>77.034999999999997</v>
      </c>
      <c r="K2793">
        <v>0</v>
      </c>
      <c r="L2793">
        <v>0.36</v>
      </c>
      <c r="M2793">
        <v>5.2149999999999999</v>
      </c>
      <c r="N2793">
        <v>-710.99</v>
      </c>
      <c r="O2793" s="1" t="s">
        <v>64</v>
      </c>
      <c r="P2793" s="1" t="s">
        <v>7329</v>
      </c>
      <c r="Q2793" s="1" t="s">
        <v>7330</v>
      </c>
      <c r="R2793" s="1" t="s">
        <v>128</v>
      </c>
      <c r="S2793" s="1" t="s">
        <v>7331</v>
      </c>
      <c r="T2793" s="1" t="s">
        <v>7332</v>
      </c>
      <c r="U2793" s="2" t="s">
        <v>4015</v>
      </c>
      <c r="V2793" s="2" t="s">
        <v>47</v>
      </c>
      <c r="W2793" s="2" t="s">
        <v>111</v>
      </c>
      <c r="X2793" s="2">
        <v>7.28</v>
      </c>
    </row>
    <row r="2794" spans="1:24" x14ac:dyDescent="0.3">
      <c r="A2794">
        <v>20658</v>
      </c>
      <c r="B2794" t="s">
        <v>7366</v>
      </c>
      <c r="C2794" s="3">
        <v>40998</v>
      </c>
      <c r="D2794" t="s">
        <v>25</v>
      </c>
      <c r="E2794">
        <v>8</v>
      </c>
      <c r="F2794" s="3">
        <f ca="1">41000+(RANDBETWEEN(1,10))</f>
        <v>41005</v>
      </c>
      <c r="G2794" t="s">
        <v>76</v>
      </c>
      <c r="H2794" t="s">
        <v>77</v>
      </c>
      <c r="I2794" t="s">
        <v>28</v>
      </c>
      <c r="J2794">
        <v>700</v>
      </c>
      <c r="K2794">
        <v>0.1</v>
      </c>
      <c r="L2794">
        <v>0.6</v>
      </c>
      <c r="M2794">
        <v>50.26</v>
      </c>
      <c r="N2794">
        <v>300.38400000000001</v>
      </c>
      <c r="O2794" s="1" t="s">
        <v>64</v>
      </c>
      <c r="P2794" s="1" t="s">
        <v>7329</v>
      </c>
      <c r="Q2794" s="1" t="s">
        <v>7330</v>
      </c>
      <c r="R2794" s="1" t="s">
        <v>128</v>
      </c>
      <c r="S2794" s="1" t="s">
        <v>7331</v>
      </c>
      <c r="T2794" s="1" t="s">
        <v>7332</v>
      </c>
      <c r="U2794" s="2" t="s">
        <v>4583</v>
      </c>
      <c r="V2794" s="2" t="s">
        <v>83</v>
      </c>
      <c r="W2794" s="2" t="s">
        <v>84</v>
      </c>
      <c r="X2794" s="2">
        <v>90.93</v>
      </c>
    </row>
    <row r="2795" spans="1:24" x14ac:dyDescent="0.3">
      <c r="A2795">
        <v>20659</v>
      </c>
      <c r="B2795" t="s">
        <v>7367</v>
      </c>
      <c r="C2795" s="3">
        <v>41713</v>
      </c>
      <c r="D2795" t="s">
        <v>50</v>
      </c>
      <c r="E2795">
        <v>6</v>
      </c>
      <c r="F2795" s="3">
        <f ca="1">41715+(RANDBETWEEN(1,10))</f>
        <v>41725</v>
      </c>
      <c r="G2795" t="s">
        <v>26</v>
      </c>
      <c r="H2795" t="s">
        <v>27</v>
      </c>
      <c r="I2795" t="s">
        <v>28</v>
      </c>
      <c r="J2795">
        <v>60.27</v>
      </c>
      <c r="K2795">
        <v>0.1</v>
      </c>
      <c r="L2795">
        <v>0.37</v>
      </c>
      <c r="M2795">
        <v>3.4649999999999999</v>
      </c>
      <c r="N2795">
        <v>38.08</v>
      </c>
      <c r="O2795" s="1" t="s">
        <v>87</v>
      </c>
      <c r="P2795" s="1" t="s">
        <v>5403</v>
      </c>
      <c r="Q2795" s="1" t="s">
        <v>5404</v>
      </c>
      <c r="R2795" s="1" t="s">
        <v>90</v>
      </c>
      <c r="S2795" s="1" t="s">
        <v>5405</v>
      </c>
      <c r="T2795" s="1" t="s">
        <v>5406</v>
      </c>
      <c r="U2795" s="2" t="s">
        <v>7368</v>
      </c>
      <c r="V2795" s="2" t="s">
        <v>47</v>
      </c>
      <c r="W2795" s="2" t="s">
        <v>203</v>
      </c>
      <c r="X2795" s="2">
        <v>10.78</v>
      </c>
    </row>
    <row r="2796" spans="1:24" x14ac:dyDescent="0.3">
      <c r="A2796">
        <v>2066</v>
      </c>
      <c r="B2796" t="s">
        <v>7348</v>
      </c>
      <c r="C2796" s="3">
        <v>40825</v>
      </c>
      <c r="D2796" t="s">
        <v>39</v>
      </c>
      <c r="E2796">
        <v>45</v>
      </c>
      <c r="F2796" s="3">
        <f ca="1">40826+(RANDBETWEEN(1,10))</f>
        <v>40830</v>
      </c>
      <c r="G2796" t="s">
        <v>26</v>
      </c>
      <c r="H2796" t="s">
        <v>51</v>
      </c>
      <c r="I2796" t="s">
        <v>52</v>
      </c>
      <c r="J2796">
        <v>4687.97</v>
      </c>
      <c r="K2796">
        <v>0.02</v>
      </c>
      <c r="L2796">
        <v>0.55000000000000004</v>
      </c>
      <c r="M2796">
        <v>21.594999999999999</v>
      </c>
      <c r="N2796">
        <v>410.22800000000001</v>
      </c>
      <c r="O2796" s="1" t="s">
        <v>64</v>
      </c>
      <c r="P2796" s="1" t="s">
        <v>328</v>
      </c>
      <c r="Q2796" s="1" t="s">
        <v>329</v>
      </c>
      <c r="R2796" s="1" t="s">
        <v>128</v>
      </c>
      <c r="S2796" s="1" t="s">
        <v>129</v>
      </c>
      <c r="T2796" s="1" t="s">
        <v>330</v>
      </c>
      <c r="U2796" s="2" t="s">
        <v>1755</v>
      </c>
      <c r="V2796" s="2" t="s">
        <v>47</v>
      </c>
      <c r="W2796" s="2" t="s">
        <v>104</v>
      </c>
      <c r="X2796" s="2">
        <v>98.525000000000006</v>
      </c>
    </row>
    <row r="2797" spans="1:24" x14ac:dyDescent="0.3">
      <c r="A2797">
        <v>20660</v>
      </c>
      <c r="B2797" t="s">
        <v>7367</v>
      </c>
      <c r="C2797" s="3">
        <v>41713</v>
      </c>
      <c r="D2797" t="s">
        <v>50</v>
      </c>
      <c r="E2797">
        <v>3</v>
      </c>
      <c r="F2797" s="3">
        <f ca="1">41714+(RANDBETWEEN(1,10))</f>
        <v>41719</v>
      </c>
      <c r="G2797" t="s">
        <v>26</v>
      </c>
      <c r="H2797" t="s">
        <v>96</v>
      </c>
      <c r="I2797" t="s">
        <v>28</v>
      </c>
      <c r="J2797">
        <v>14.84</v>
      </c>
      <c r="K2797">
        <v>0</v>
      </c>
      <c r="L2797">
        <v>0.81</v>
      </c>
      <c r="M2797">
        <v>2.4500000000000002</v>
      </c>
      <c r="N2797">
        <v>-20.72</v>
      </c>
      <c r="O2797" s="1" t="s">
        <v>87</v>
      </c>
      <c r="P2797" s="1" t="s">
        <v>5403</v>
      </c>
      <c r="Q2797" s="1" t="s">
        <v>5404</v>
      </c>
      <c r="R2797" s="1" t="s">
        <v>90</v>
      </c>
      <c r="S2797" s="1" t="s">
        <v>5405</v>
      </c>
      <c r="T2797" s="1" t="s">
        <v>5406</v>
      </c>
      <c r="U2797" s="2" t="s">
        <v>925</v>
      </c>
      <c r="V2797" s="2" t="s">
        <v>47</v>
      </c>
      <c r="W2797" s="2" t="s">
        <v>176</v>
      </c>
      <c r="X2797" s="2">
        <v>4.41</v>
      </c>
    </row>
    <row r="2798" spans="1:24" x14ac:dyDescent="0.3">
      <c r="A2798">
        <v>20661</v>
      </c>
      <c r="B2798" t="s">
        <v>7369</v>
      </c>
      <c r="C2798" s="3">
        <v>40736</v>
      </c>
      <c r="D2798" t="s">
        <v>25</v>
      </c>
      <c r="E2798">
        <v>13</v>
      </c>
      <c r="F2798" s="3">
        <f ca="1">40741+(RANDBETWEEN(1,10))</f>
        <v>40751</v>
      </c>
      <c r="G2798" t="s">
        <v>26</v>
      </c>
      <c r="H2798" t="s">
        <v>27</v>
      </c>
      <c r="I2798" t="s">
        <v>86</v>
      </c>
      <c r="J2798">
        <v>280.80500000000001</v>
      </c>
      <c r="K2798">
        <v>0.04</v>
      </c>
      <c r="L2798">
        <v>0.6</v>
      </c>
      <c r="M2798">
        <v>18.27</v>
      </c>
      <c r="N2798">
        <v>15.33315</v>
      </c>
      <c r="O2798" s="1" t="s">
        <v>40</v>
      </c>
      <c r="P2798" s="1" t="s">
        <v>5161</v>
      </c>
      <c r="Q2798" s="1" t="s">
        <v>5162</v>
      </c>
      <c r="R2798" s="1" t="s">
        <v>43</v>
      </c>
      <c r="S2798" s="1" t="s">
        <v>5163</v>
      </c>
      <c r="T2798" s="1" t="s">
        <v>5164</v>
      </c>
      <c r="U2798" s="2" t="s">
        <v>995</v>
      </c>
      <c r="V2798" s="2" t="s">
        <v>83</v>
      </c>
      <c r="W2798" s="2" t="s">
        <v>178</v>
      </c>
      <c r="X2798" s="2">
        <v>21.84</v>
      </c>
    </row>
    <row r="2799" spans="1:24" x14ac:dyDescent="0.3">
      <c r="A2799">
        <v>20662</v>
      </c>
      <c r="B2799" t="s">
        <v>7370</v>
      </c>
      <c r="C2799" s="3">
        <v>41832</v>
      </c>
      <c r="D2799" t="s">
        <v>25</v>
      </c>
      <c r="E2799">
        <v>2</v>
      </c>
      <c r="F2799" s="3">
        <f ca="1">41834+(RANDBETWEEN(1,10))</f>
        <v>41840</v>
      </c>
      <c r="G2799" t="s">
        <v>26</v>
      </c>
      <c r="H2799" t="s">
        <v>96</v>
      </c>
      <c r="I2799" t="s">
        <v>86</v>
      </c>
      <c r="J2799">
        <v>46.76</v>
      </c>
      <c r="K2799">
        <v>0.09</v>
      </c>
      <c r="L2799">
        <v>0.48</v>
      </c>
      <c r="M2799">
        <v>5.25</v>
      </c>
      <c r="N2799">
        <v>595.95899999999995</v>
      </c>
      <c r="O2799" s="1" t="s">
        <v>40</v>
      </c>
      <c r="P2799" s="1" t="s">
        <v>5161</v>
      </c>
      <c r="Q2799" s="1" t="s">
        <v>5162</v>
      </c>
      <c r="R2799" s="1" t="s">
        <v>43</v>
      </c>
      <c r="S2799" s="1" t="s">
        <v>5163</v>
      </c>
      <c r="T2799" s="1" t="s">
        <v>5164</v>
      </c>
      <c r="U2799" s="2" t="s">
        <v>2494</v>
      </c>
      <c r="V2799" s="2" t="s">
        <v>47</v>
      </c>
      <c r="W2799" s="2" t="s">
        <v>104</v>
      </c>
      <c r="X2799" s="2">
        <v>23.38</v>
      </c>
    </row>
    <row r="2800" spans="1:24" x14ac:dyDescent="0.3">
      <c r="A2800">
        <v>20663</v>
      </c>
      <c r="B2800" t="s">
        <v>7369</v>
      </c>
      <c r="C2800" s="3">
        <v>40736</v>
      </c>
      <c r="D2800" t="s">
        <v>25</v>
      </c>
      <c r="E2800">
        <v>8</v>
      </c>
      <c r="F2800" s="3">
        <f ca="1">40743+(RANDBETWEEN(1,10))</f>
        <v>40744</v>
      </c>
      <c r="G2800" t="s">
        <v>76</v>
      </c>
      <c r="H2800" t="s">
        <v>258</v>
      </c>
      <c r="I2800" t="s">
        <v>86</v>
      </c>
      <c r="J2800">
        <v>7157.15</v>
      </c>
      <c r="K2800">
        <v>0.09</v>
      </c>
      <c r="L2800">
        <v>0.59</v>
      </c>
      <c r="M2800">
        <v>146.685</v>
      </c>
      <c r="N2800">
        <v>-352.60399999999998</v>
      </c>
      <c r="O2800" s="1" t="s">
        <v>29</v>
      </c>
      <c r="P2800" s="1" t="s">
        <v>7371</v>
      </c>
      <c r="Q2800" s="1" t="s">
        <v>7372</v>
      </c>
      <c r="R2800" s="1" t="s">
        <v>675</v>
      </c>
      <c r="S2800" s="1" t="s">
        <v>7373</v>
      </c>
      <c r="T2800" s="1" t="s">
        <v>7374</v>
      </c>
      <c r="U2800" s="2" t="s">
        <v>1985</v>
      </c>
      <c r="V2800" s="2" t="s">
        <v>83</v>
      </c>
      <c r="W2800" s="2" t="s">
        <v>298</v>
      </c>
      <c r="X2800" s="2">
        <v>913.43</v>
      </c>
    </row>
    <row r="2801" spans="1:24" x14ac:dyDescent="0.3">
      <c r="A2801">
        <v>20664</v>
      </c>
      <c r="B2801" t="s">
        <v>7375</v>
      </c>
      <c r="C2801" s="3">
        <v>40567</v>
      </c>
      <c r="D2801" t="s">
        <v>39</v>
      </c>
      <c r="E2801">
        <v>6</v>
      </c>
      <c r="F2801" s="3">
        <f ca="1">40567+(RANDBETWEEN(1,10))</f>
        <v>40572</v>
      </c>
      <c r="G2801" t="s">
        <v>26</v>
      </c>
      <c r="H2801" t="s">
        <v>281</v>
      </c>
      <c r="I2801" t="s">
        <v>28</v>
      </c>
      <c r="J2801">
        <v>314.685</v>
      </c>
      <c r="K2801">
        <v>0.01</v>
      </c>
      <c r="L2801">
        <v>0.52</v>
      </c>
      <c r="M2801">
        <v>23.625</v>
      </c>
      <c r="N2801">
        <v>-48.390999999999998</v>
      </c>
      <c r="O2801" s="1" t="s">
        <v>40</v>
      </c>
      <c r="P2801" s="1" t="s">
        <v>5150</v>
      </c>
      <c r="Q2801" s="1" t="s">
        <v>5151</v>
      </c>
      <c r="R2801" s="1" t="s">
        <v>43</v>
      </c>
      <c r="S2801" s="1" t="s">
        <v>5152</v>
      </c>
      <c r="T2801" s="1" t="s">
        <v>5153</v>
      </c>
      <c r="U2801" s="2" t="s">
        <v>1196</v>
      </c>
      <c r="V2801" s="2" t="s">
        <v>47</v>
      </c>
      <c r="W2801" s="2" t="s">
        <v>71</v>
      </c>
      <c r="X2801" s="2">
        <v>50.47</v>
      </c>
    </row>
    <row r="2802" spans="1:24" x14ac:dyDescent="0.3">
      <c r="A2802">
        <v>20665</v>
      </c>
      <c r="B2802" t="s">
        <v>7376</v>
      </c>
      <c r="C2802" s="3">
        <v>41546</v>
      </c>
      <c r="D2802" t="s">
        <v>39</v>
      </c>
      <c r="E2802">
        <v>20</v>
      </c>
      <c r="F2802" s="3">
        <f ca="1">41548+(RANDBETWEEN(1,10))</f>
        <v>41551</v>
      </c>
      <c r="G2802" t="s">
        <v>26</v>
      </c>
      <c r="H2802" t="s">
        <v>27</v>
      </c>
      <c r="I2802" t="s">
        <v>52</v>
      </c>
      <c r="J2802">
        <v>283.01</v>
      </c>
      <c r="K2802">
        <v>0.09</v>
      </c>
      <c r="L2802">
        <v>0.38</v>
      </c>
      <c r="M2802">
        <v>18.41</v>
      </c>
      <c r="N2802">
        <v>-471.48849999999999</v>
      </c>
      <c r="O2802" s="1" t="s">
        <v>225</v>
      </c>
      <c r="P2802" s="1" t="s">
        <v>7377</v>
      </c>
      <c r="Q2802" s="1" t="s">
        <v>7378</v>
      </c>
      <c r="R2802" s="1" t="s">
        <v>228</v>
      </c>
      <c r="S2802" s="1" t="s">
        <v>6861</v>
      </c>
      <c r="T2802" s="1" t="s">
        <v>6862</v>
      </c>
      <c r="U2802" s="2" t="s">
        <v>1287</v>
      </c>
      <c r="V2802" s="2" t="s">
        <v>47</v>
      </c>
      <c r="W2802" s="2" t="s">
        <v>111</v>
      </c>
      <c r="X2802" s="2">
        <v>13.93</v>
      </c>
    </row>
    <row r="2803" spans="1:24" x14ac:dyDescent="0.3">
      <c r="A2803">
        <v>20666</v>
      </c>
      <c r="B2803" t="s">
        <v>7376</v>
      </c>
      <c r="C2803" s="3">
        <v>41546</v>
      </c>
      <c r="D2803" t="s">
        <v>39</v>
      </c>
      <c r="E2803">
        <v>11</v>
      </c>
      <c r="F2803" s="3">
        <f ca="1">41547+(RANDBETWEEN(1,10))</f>
        <v>41555</v>
      </c>
      <c r="G2803" t="s">
        <v>26</v>
      </c>
      <c r="H2803" t="s">
        <v>96</v>
      </c>
      <c r="I2803" t="s">
        <v>52</v>
      </c>
      <c r="J2803">
        <v>180.35499999999999</v>
      </c>
      <c r="K2803">
        <v>7.0000000000000007E-2</v>
      </c>
      <c r="L2803">
        <v>0.36</v>
      </c>
      <c r="M2803">
        <v>5.32</v>
      </c>
      <c r="N2803">
        <v>84.594999999999999</v>
      </c>
      <c r="O2803" s="1" t="s">
        <v>225</v>
      </c>
      <c r="P2803" s="1" t="s">
        <v>7377</v>
      </c>
      <c r="Q2803" s="1" t="s">
        <v>7378</v>
      </c>
      <c r="R2803" s="1" t="s">
        <v>228</v>
      </c>
      <c r="S2803" s="1" t="s">
        <v>6861</v>
      </c>
      <c r="T2803" s="1" t="s">
        <v>6862</v>
      </c>
      <c r="U2803" s="2" t="s">
        <v>1951</v>
      </c>
      <c r="V2803" s="2" t="s">
        <v>47</v>
      </c>
      <c r="W2803" s="2" t="s">
        <v>74</v>
      </c>
      <c r="X2803" s="2">
        <v>16.555</v>
      </c>
    </row>
    <row r="2804" spans="1:24" x14ac:dyDescent="0.3">
      <c r="A2804">
        <v>20667</v>
      </c>
      <c r="B2804" t="s">
        <v>7379</v>
      </c>
      <c r="C2804" s="3">
        <v>41009</v>
      </c>
      <c r="D2804" t="s">
        <v>39</v>
      </c>
      <c r="E2804">
        <v>11</v>
      </c>
      <c r="F2804" s="3">
        <f ca="1">41011+(RANDBETWEEN(1,10))</f>
        <v>41017</v>
      </c>
      <c r="G2804" t="s">
        <v>156</v>
      </c>
      <c r="H2804" t="s">
        <v>96</v>
      </c>
      <c r="I2804" t="s">
        <v>97</v>
      </c>
      <c r="J2804">
        <v>67.795000000000002</v>
      </c>
      <c r="K2804">
        <v>0.04</v>
      </c>
      <c r="L2804">
        <v>0.59</v>
      </c>
      <c r="M2804">
        <v>5.4950000000000001</v>
      </c>
      <c r="N2804">
        <v>-132.16</v>
      </c>
      <c r="O2804" s="1" t="s">
        <v>29</v>
      </c>
      <c r="P2804" s="1" t="s">
        <v>3420</v>
      </c>
      <c r="Q2804" s="1" t="s">
        <v>3421</v>
      </c>
      <c r="R2804" s="1" t="s">
        <v>460</v>
      </c>
      <c r="S2804" s="1" t="s">
        <v>3422</v>
      </c>
      <c r="T2804" s="1" t="s">
        <v>3423</v>
      </c>
      <c r="U2804" s="2" t="s">
        <v>2439</v>
      </c>
      <c r="V2804" s="2" t="s">
        <v>47</v>
      </c>
      <c r="W2804" s="2" t="s">
        <v>104</v>
      </c>
      <c r="X2804" s="2">
        <v>5.88</v>
      </c>
    </row>
    <row r="2805" spans="1:24" x14ac:dyDescent="0.3">
      <c r="A2805">
        <v>20668</v>
      </c>
      <c r="B2805" t="s">
        <v>7380</v>
      </c>
      <c r="C2805" s="3">
        <v>40620</v>
      </c>
      <c r="D2805" t="s">
        <v>50</v>
      </c>
      <c r="E2805">
        <v>3</v>
      </c>
      <c r="F2805" s="3">
        <f ca="1">40622+(RANDBETWEEN(1,10))</f>
        <v>40629</v>
      </c>
      <c r="G2805" t="s">
        <v>26</v>
      </c>
      <c r="H2805" t="s">
        <v>27</v>
      </c>
      <c r="I2805" t="s">
        <v>28</v>
      </c>
      <c r="J2805">
        <v>30.695</v>
      </c>
      <c r="K2805">
        <v>0.05</v>
      </c>
      <c r="L2805">
        <v>0.36</v>
      </c>
      <c r="M2805">
        <v>1.75</v>
      </c>
      <c r="N2805">
        <v>21.179549999999999</v>
      </c>
      <c r="O2805" s="1" t="s">
        <v>29</v>
      </c>
      <c r="P2805" s="1" t="s">
        <v>7381</v>
      </c>
      <c r="Q2805" s="1" t="s">
        <v>7382</v>
      </c>
      <c r="R2805" s="1" t="s">
        <v>675</v>
      </c>
      <c r="S2805" s="1" t="s">
        <v>7383</v>
      </c>
      <c r="T2805" s="1" t="s">
        <v>7384</v>
      </c>
      <c r="U2805" s="2" t="s">
        <v>363</v>
      </c>
      <c r="V2805" s="2" t="s">
        <v>47</v>
      </c>
      <c r="W2805" s="2" t="s">
        <v>203</v>
      </c>
      <c r="X2805" s="2">
        <v>10.08</v>
      </c>
    </row>
    <row r="2806" spans="1:24" x14ac:dyDescent="0.3">
      <c r="A2806">
        <v>20669</v>
      </c>
      <c r="B2806" t="s">
        <v>7385</v>
      </c>
      <c r="C2806" s="3">
        <v>40893</v>
      </c>
      <c r="D2806" t="s">
        <v>62</v>
      </c>
      <c r="E2806">
        <v>5</v>
      </c>
      <c r="F2806" s="3">
        <f ca="1">40894+(RANDBETWEEN(1,10))</f>
        <v>40899</v>
      </c>
      <c r="G2806" t="s">
        <v>26</v>
      </c>
      <c r="H2806" t="s">
        <v>96</v>
      </c>
      <c r="I2806" t="s">
        <v>28</v>
      </c>
      <c r="J2806">
        <v>137.76</v>
      </c>
      <c r="K2806">
        <v>0.1</v>
      </c>
      <c r="L2806">
        <v>0.36</v>
      </c>
      <c r="M2806">
        <v>20.405000000000001</v>
      </c>
      <c r="N2806">
        <v>-1411.1559</v>
      </c>
      <c r="O2806" s="1" t="s">
        <v>53</v>
      </c>
      <c r="P2806" s="1" t="s">
        <v>5965</v>
      </c>
      <c r="Q2806" s="1" t="s">
        <v>5966</v>
      </c>
      <c r="R2806" s="1" t="s">
        <v>440</v>
      </c>
      <c r="S2806" s="1" t="s">
        <v>5967</v>
      </c>
      <c r="T2806" s="1" t="s">
        <v>5968</v>
      </c>
      <c r="U2806" s="2" t="s">
        <v>605</v>
      </c>
      <c r="V2806" s="2" t="s">
        <v>47</v>
      </c>
      <c r="W2806" s="2" t="s">
        <v>74</v>
      </c>
      <c r="X2806" s="2">
        <v>26.74</v>
      </c>
    </row>
    <row r="2807" spans="1:24" x14ac:dyDescent="0.3">
      <c r="A2807">
        <v>20670</v>
      </c>
      <c r="B2807" t="s">
        <v>7386</v>
      </c>
      <c r="C2807" s="3">
        <v>40975</v>
      </c>
      <c r="D2807" t="s">
        <v>50</v>
      </c>
      <c r="E2807">
        <v>9</v>
      </c>
      <c r="F2807" s="3">
        <f ca="1">40977+(RANDBETWEEN(1,10))</f>
        <v>40987</v>
      </c>
      <c r="G2807" t="s">
        <v>26</v>
      </c>
      <c r="H2807" t="s">
        <v>27</v>
      </c>
      <c r="I2807" t="s">
        <v>28</v>
      </c>
      <c r="J2807">
        <v>239.715</v>
      </c>
      <c r="K2807">
        <v>7.0000000000000007E-2</v>
      </c>
      <c r="L2807">
        <v>0.41</v>
      </c>
      <c r="M2807">
        <v>17.324999999999999</v>
      </c>
      <c r="N2807">
        <v>-22.364999999999998</v>
      </c>
      <c r="O2807" s="1" t="s">
        <v>29</v>
      </c>
      <c r="P2807" s="1" t="s">
        <v>7387</v>
      </c>
      <c r="Q2807" s="1" t="s">
        <v>7388</v>
      </c>
      <c r="R2807" s="1" t="s">
        <v>32</v>
      </c>
      <c r="S2807" s="1" t="s">
        <v>7389</v>
      </c>
      <c r="T2807" s="1" t="s">
        <v>7390</v>
      </c>
      <c r="U2807" s="2" t="s">
        <v>3405</v>
      </c>
      <c r="V2807" s="2" t="s">
        <v>83</v>
      </c>
      <c r="W2807" s="2" t="s">
        <v>178</v>
      </c>
      <c r="X2807" s="2">
        <v>27.86</v>
      </c>
    </row>
    <row r="2808" spans="1:24" x14ac:dyDescent="0.3">
      <c r="A2808">
        <v>20671</v>
      </c>
      <c r="B2808" t="s">
        <v>7386</v>
      </c>
      <c r="C2808" s="3">
        <v>40975</v>
      </c>
      <c r="D2808" t="s">
        <v>50</v>
      </c>
      <c r="E2808">
        <v>2</v>
      </c>
      <c r="F2808" s="3">
        <f ca="1">40976+(RANDBETWEEN(1,10))</f>
        <v>40978</v>
      </c>
      <c r="G2808" t="s">
        <v>26</v>
      </c>
      <c r="H2808" t="s">
        <v>27</v>
      </c>
      <c r="I2808" t="s">
        <v>28</v>
      </c>
      <c r="J2808">
        <v>270.375</v>
      </c>
      <c r="K2808">
        <v>0.03</v>
      </c>
      <c r="L2808">
        <v>0.56000000000000005</v>
      </c>
      <c r="M2808">
        <v>17.465</v>
      </c>
      <c r="N2808">
        <v>-545.81449999999995</v>
      </c>
      <c r="O2808" s="1" t="s">
        <v>29</v>
      </c>
      <c r="P2808" s="1" t="s">
        <v>7387</v>
      </c>
      <c r="Q2808" s="1" t="s">
        <v>7388</v>
      </c>
      <c r="R2808" s="1" t="s">
        <v>32</v>
      </c>
      <c r="S2808" s="1" t="s">
        <v>7389</v>
      </c>
      <c r="T2808" s="1" t="s">
        <v>7390</v>
      </c>
      <c r="U2808" s="2" t="s">
        <v>3202</v>
      </c>
      <c r="V2808" s="2" t="s">
        <v>36</v>
      </c>
      <c r="W2808" s="2" t="s">
        <v>37</v>
      </c>
      <c r="X2808" s="2">
        <v>160.965</v>
      </c>
    </row>
    <row r="2809" spans="1:24" x14ac:dyDescent="0.3">
      <c r="A2809">
        <v>20672</v>
      </c>
      <c r="B2809" t="s">
        <v>7289</v>
      </c>
      <c r="C2809" s="3">
        <v>41697</v>
      </c>
      <c r="D2809" t="s">
        <v>39</v>
      </c>
      <c r="E2809">
        <v>12</v>
      </c>
      <c r="F2809" s="3">
        <f ca="1">41699+(RANDBETWEEN(1,10))</f>
        <v>41709</v>
      </c>
      <c r="G2809" t="s">
        <v>76</v>
      </c>
      <c r="H2809" t="s">
        <v>258</v>
      </c>
      <c r="I2809" t="s">
        <v>52</v>
      </c>
      <c r="J2809">
        <v>7529.7250000000004</v>
      </c>
      <c r="K2809">
        <v>0.06</v>
      </c>
      <c r="L2809">
        <v>0.74</v>
      </c>
      <c r="M2809">
        <v>102.235</v>
      </c>
      <c r="N2809">
        <v>-1516.5155004999999</v>
      </c>
      <c r="O2809" s="1" t="s">
        <v>225</v>
      </c>
      <c r="P2809" s="1" t="s">
        <v>1355</v>
      </c>
      <c r="Q2809" s="1" t="s">
        <v>1356</v>
      </c>
      <c r="R2809" s="1" t="s">
        <v>228</v>
      </c>
      <c r="S2809" s="1" t="s">
        <v>1357</v>
      </c>
      <c r="T2809" s="1" t="s">
        <v>1358</v>
      </c>
      <c r="U2809" s="2" t="s">
        <v>1724</v>
      </c>
      <c r="V2809" s="2" t="s">
        <v>83</v>
      </c>
      <c r="W2809" s="2" t="s">
        <v>263</v>
      </c>
      <c r="X2809" s="2">
        <v>627.51499999999999</v>
      </c>
    </row>
    <row r="2810" spans="1:24" x14ac:dyDescent="0.3">
      <c r="A2810">
        <v>20673</v>
      </c>
      <c r="B2810" t="s">
        <v>7391</v>
      </c>
      <c r="C2810" s="3">
        <v>41905</v>
      </c>
      <c r="D2810" t="s">
        <v>25</v>
      </c>
      <c r="E2810">
        <v>11</v>
      </c>
      <c r="F2810" s="3">
        <f ca="1">41914+(RANDBETWEEN(1,10))</f>
        <v>41919</v>
      </c>
      <c r="G2810" t="s">
        <v>26</v>
      </c>
      <c r="H2810" t="s">
        <v>27</v>
      </c>
      <c r="I2810" t="s">
        <v>52</v>
      </c>
      <c r="J2810">
        <v>1446.2349999999999</v>
      </c>
      <c r="K2810">
        <v>0.06</v>
      </c>
      <c r="L2810">
        <v>0.35</v>
      </c>
      <c r="M2810">
        <v>10.465</v>
      </c>
      <c r="N2810">
        <v>3961.4683500000001</v>
      </c>
      <c r="O2810" s="1" t="s">
        <v>225</v>
      </c>
      <c r="P2810" s="1" t="s">
        <v>7392</v>
      </c>
      <c r="Q2810" s="1" t="s">
        <v>7393</v>
      </c>
      <c r="R2810" s="1" t="s">
        <v>228</v>
      </c>
      <c r="S2810" s="1" t="s">
        <v>7394</v>
      </c>
      <c r="T2810" s="1" t="s">
        <v>7395</v>
      </c>
      <c r="U2810" s="2" t="s">
        <v>1132</v>
      </c>
      <c r="V2810" s="2" t="s">
        <v>47</v>
      </c>
      <c r="W2810" s="2" t="s">
        <v>111</v>
      </c>
      <c r="X2810" s="2">
        <v>131.94999999999999</v>
      </c>
    </row>
    <row r="2811" spans="1:24" x14ac:dyDescent="0.3">
      <c r="A2811">
        <v>20674</v>
      </c>
      <c r="B2811" t="s">
        <v>7391</v>
      </c>
      <c r="C2811" s="3">
        <v>41905</v>
      </c>
      <c r="D2811" t="s">
        <v>25</v>
      </c>
      <c r="E2811">
        <v>23</v>
      </c>
      <c r="F2811" s="3">
        <f ca="1">41912+(RANDBETWEEN(1,10))</f>
        <v>41915</v>
      </c>
      <c r="G2811" t="s">
        <v>26</v>
      </c>
      <c r="H2811" t="s">
        <v>96</v>
      </c>
      <c r="I2811" t="s">
        <v>52</v>
      </c>
      <c r="J2811">
        <v>682.53499999999997</v>
      </c>
      <c r="K2811">
        <v>7.0000000000000007E-2</v>
      </c>
      <c r="L2811">
        <v>0.38</v>
      </c>
      <c r="M2811">
        <v>18.059999999999999</v>
      </c>
      <c r="N2811">
        <v>2520.4304999999999</v>
      </c>
      <c r="O2811" s="1" t="s">
        <v>225</v>
      </c>
      <c r="P2811" s="1" t="s">
        <v>7392</v>
      </c>
      <c r="Q2811" s="1" t="s">
        <v>7393</v>
      </c>
      <c r="R2811" s="1" t="s">
        <v>228</v>
      </c>
      <c r="S2811" s="1" t="s">
        <v>7394</v>
      </c>
      <c r="T2811" s="1" t="s">
        <v>7395</v>
      </c>
      <c r="U2811" s="2" t="s">
        <v>7396</v>
      </c>
      <c r="V2811" s="2" t="s">
        <v>47</v>
      </c>
      <c r="W2811" s="2" t="s">
        <v>74</v>
      </c>
      <c r="X2811" s="2">
        <v>29.96</v>
      </c>
    </row>
    <row r="2812" spans="1:24" x14ac:dyDescent="0.3">
      <c r="A2812">
        <v>20675</v>
      </c>
      <c r="B2812" t="s">
        <v>7391</v>
      </c>
      <c r="C2812" s="3">
        <v>41905</v>
      </c>
      <c r="D2812" t="s">
        <v>25</v>
      </c>
      <c r="E2812">
        <v>11</v>
      </c>
      <c r="F2812" s="3">
        <f ca="1">41907+(RANDBETWEEN(1,10))</f>
        <v>41915</v>
      </c>
      <c r="G2812" t="s">
        <v>26</v>
      </c>
      <c r="H2812" t="s">
        <v>51</v>
      </c>
      <c r="I2812" t="s">
        <v>52</v>
      </c>
      <c r="J2812">
        <v>981.89</v>
      </c>
      <c r="K2812">
        <v>0.05</v>
      </c>
      <c r="L2812">
        <v>0.5</v>
      </c>
      <c r="M2812">
        <v>31.465</v>
      </c>
      <c r="N2812">
        <v>16.946999999999999</v>
      </c>
      <c r="O2812" s="1" t="s">
        <v>87</v>
      </c>
      <c r="P2812" s="1" t="s">
        <v>607</v>
      </c>
      <c r="Q2812" s="1" t="s">
        <v>608</v>
      </c>
      <c r="R2812" s="1" t="s">
        <v>90</v>
      </c>
      <c r="S2812" s="1" t="s">
        <v>609</v>
      </c>
      <c r="T2812" s="1" t="s">
        <v>610</v>
      </c>
      <c r="U2812" s="2" t="s">
        <v>2788</v>
      </c>
      <c r="V2812" s="2" t="s">
        <v>83</v>
      </c>
      <c r="W2812" s="2" t="s">
        <v>178</v>
      </c>
      <c r="X2812" s="2">
        <v>88.83</v>
      </c>
    </row>
    <row r="2813" spans="1:24" x14ac:dyDescent="0.3">
      <c r="A2813">
        <v>20676</v>
      </c>
      <c r="B2813" t="s">
        <v>7397</v>
      </c>
      <c r="C2813" s="3">
        <v>41460</v>
      </c>
      <c r="D2813" t="s">
        <v>39</v>
      </c>
      <c r="E2813">
        <v>15</v>
      </c>
      <c r="F2813" s="3">
        <f ca="1">41461+(RANDBETWEEN(1,10))</f>
        <v>41469</v>
      </c>
      <c r="G2813" t="s">
        <v>26</v>
      </c>
      <c r="H2813" t="s">
        <v>27</v>
      </c>
      <c r="I2813" t="s">
        <v>97</v>
      </c>
      <c r="J2813">
        <v>341.32</v>
      </c>
      <c r="K2813">
        <v>0.1</v>
      </c>
      <c r="L2813">
        <v>0.37</v>
      </c>
      <c r="M2813">
        <v>19.809999999999999</v>
      </c>
      <c r="N2813">
        <v>-154.79345000000001</v>
      </c>
      <c r="O2813" s="1" t="s">
        <v>29</v>
      </c>
      <c r="P2813" s="1" t="s">
        <v>3514</v>
      </c>
      <c r="Q2813" s="1" t="s">
        <v>3515</v>
      </c>
      <c r="R2813" s="1" t="s">
        <v>675</v>
      </c>
      <c r="S2813" s="1" t="s">
        <v>3516</v>
      </c>
      <c r="T2813" s="1" t="s">
        <v>3517</v>
      </c>
      <c r="U2813" s="2" t="s">
        <v>1796</v>
      </c>
      <c r="V2813" s="2" t="s">
        <v>47</v>
      </c>
      <c r="W2813" s="2" t="s">
        <v>74</v>
      </c>
      <c r="X2813" s="2">
        <v>23.38</v>
      </c>
    </row>
    <row r="2814" spans="1:24" x14ac:dyDescent="0.3">
      <c r="A2814">
        <v>20677</v>
      </c>
      <c r="B2814" t="s">
        <v>7397</v>
      </c>
      <c r="C2814" s="3">
        <v>41460</v>
      </c>
      <c r="D2814" t="s">
        <v>39</v>
      </c>
      <c r="E2814">
        <v>14</v>
      </c>
      <c r="F2814" s="3">
        <f ca="1">41462+(RANDBETWEEN(1,10))</f>
        <v>41463</v>
      </c>
      <c r="G2814" t="s">
        <v>26</v>
      </c>
      <c r="H2814" t="s">
        <v>96</v>
      </c>
      <c r="I2814" t="s">
        <v>97</v>
      </c>
      <c r="J2814">
        <v>296.52</v>
      </c>
      <c r="K2814">
        <v>0.04</v>
      </c>
      <c r="L2814">
        <v>0.6</v>
      </c>
      <c r="M2814">
        <v>3.36</v>
      </c>
      <c r="N2814">
        <v>427.22190000000001</v>
      </c>
      <c r="O2814" s="1" t="s">
        <v>29</v>
      </c>
      <c r="P2814" s="1" t="s">
        <v>3514</v>
      </c>
      <c r="Q2814" s="1" t="s">
        <v>3515</v>
      </c>
      <c r="R2814" s="1" t="s">
        <v>675</v>
      </c>
      <c r="S2814" s="1" t="s">
        <v>3516</v>
      </c>
      <c r="T2814" s="1" t="s">
        <v>3517</v>
      </c>
      <c r="U2814" s="2" t="s">
        <v>1918</v>
      </c>
      <c r="V2814" s="2" t="s">
        <v>47</v>
      </c>
      <c r="W2814" s="2" t="s">
        <v>104</v>
      </c>
      <c r="X2814" s="2">
        <v>20.93</v>
      </c>
    </row>
    <row r="2815" spans="1:24" x14ac:dyDescent="0.3">
      <c r="A2815">
        <v>20678</v>
      </c>
      <c r="B2815" t="s">
        <v>7398</v>
      </c>
      <c r="C2815" s="3">
        <v>41290</v>
      </c>
      <c r="D2815" t="s">
        <v>148</v>
      </c>
      <c r="E2815">
        <v>8</v>
      </c>
      <c r="F2815" s="3">
        <f ca="1">41291+(RANDBETWEEN(1,10))</f>
        <v>41294</v>
      </c>
      <c r="G2815" t="s">
        <v>26</v>
      </c>
      <c r="H2815" t="s">
        <v>27</v>
      </c>
      <c r="I2815" t="s">
        <v>86</v>
      </c>
      <c r="J2815">
        <v>175.56</v>
      </c>
      <c r="K2815">
        <v>0.03</v>
      </c>
      <c r="L2815">
        <v>0.36</v>
      </c>
      <c r="M2815">
        <v>18.2</v>
      </c>
      <c r="N2815">
        <v>-188.1824</v>
      </c>
      <c r="O2815" s="1" t="s">
        <v>225</v>
      </c>
      <c r="P2815" s="1" t="s">
        <v>6705</v>
      </c>
      <c r="Q2815" s="1" t="s">
        <v>6706</v>
      </c>
      <c r="R2815" s="1" t="s">
        <v>228</v>
      </c>
      <c r="S2815" s="1" t="s">
        <v>6707</v>
      </c>
      <c r="T2815" s="1" t="s">
        <v>6708</v>
      </c>
      <c r="U2815" s="2" t="s">
        <v>2553</v>
      </c>
      <c r="V2815" s="2" t="s">
        <v>47</v>
      </c>
      <c r="W2815" s="2" t="s">
        <v>74</v>
      </c>
      <c r="X2815" s="2">
        <v>20.93</v>
      </c>
    </row>
    <row r="2816" spans="1:24" x14ac:dyDescent="0.3">
      <c r="A2816">
        <v>20679</v>
      </c>
      <c r="B2816" t="s">
        <v>7399</v>
      </c>
      <c r="C2816" s="3">
        <v>40653</v>
      </c>
      <c r="D2816" t="s">
        <v>39</v>
      </c>
      <c r="E2816">
        <v>5</v>
      </c>
      <c r="F2816" s="3">
        <f ca="1">40655+(RANDBETWEEN(1,10))</f>
        <v>40661</v>
      </c>
      <c r="G2816" t="s">
        <v>26</v>
      </c>
      <c r="H2816" t="s">
        <v>27</v>
      </c>
      <c r="I2816" t="s">
        <v>97</v>
      </c>
      <c r="J2816">
        <v>98.385000000000005</v>
      </c>
      <c r="K2816">
        <v>0.09</v>
      </c>
      <c r="L2816">
        <v>0.36</v>
      </c>
      <c r="M2816">
        <v>8.75</v>
      </c>
      <c r="N2816">
        <v>48.636000000000003</v>
      </c>
      <c r="O2816" s="1" t="s">
        <v>87</v>
      </c>
      <c r="P2816" s="1" t="s">
        <v>4001</v>
      </c>
      <c r="Q2816" s="1" t="s">
        <v>4002</v>
      </c>
      <c r="R2816" s="1" t="s">
        <v>398</v>
      </c>
      <c r="S2816" s="1" t="s">
        <v>4003</v>
      </c>
      <c r="T2816" s="1" t="s">
        <v>4004</v>
      </c>
      <c r="U2816" s="2" t="s">
        <v>1486</v>
      </c>
      <c r="V2816" s="2" t="s">
        <v>47</v>
      </c>
      <c r="W2816" s="2" t="s">
        <v>48</v>
      </c>
      <c r="X2816" s="2">
        <v>20.93</v>
      </c>
    </row>
    <row r="2817" spans="1:24" x14ac:dyDescent="0.3">
      <c r="A2817">
        <v>20680</v>
      </c>
      <c r="B2817" t="s">
        <v>7400</v>
      </c>
      <c r="C2817" s="3">
        <v>41998</v>
      </c>
      <c r="D2817" t="s">
        <v>148</v>
      </c>
      <c r="E2817">
        <v>8</v>
      </c>
      <c r="F2817" s="3">
        <f ca="1">41999+(RANDBETWEEN(1,10))</f>
        <v>42000</v>
      </c>
      <c r="G2817" t="s">
        <v>26</v>
      </c>
      <c r="H2817" t="s">
        <v>96</v>
      </c>
      <c r="I2817" t="s">
        <v>28</v>
      </c>
      <c r="J2817">
        <v>488.81</v>
      </c>
      <c r="K2817">
        <v>0.05</v>
      </c>
      <c r="L2817">
        <v>0.37</v>
      </c>
      <c r="M2817">
        <v>3.4649999999999999</v>
      </c>
      <c r="N2817">
        <v>337.27890000000002</v>
      </c>
      <c r="O2817" s="1" t="s">
        <v>225</v>
      </c>
      <c r="P2817" s="1" t="s">
        <v>4980</v>
      </c>
      <c r="Q2817" s="1" t="s">
        <v>4981</v>
      </c>
      <c r="R2817" s="1" t="s">
        <v>228</v>
      </c>
      <c r="S2817" s="1" t="s">
        <v>4982</v>
      </c>
      <c r="T2817" s="1" t="s">
        <v>4983</v>
      </c>
      <c r="U2817" s="2" t="s">
        <v>3359</v>
      </c>
      <c r="V2817" s="2" t="s">
        <v>36</v>
      </c>
      <c r="W2817" s="2" t="s">
        <v>37</v>
      </c>
      <c r="X2817" s="2">
        <v>73.465000000000003</v>
      </c>
    </row>
    <row r="2818" spans="1:24" x14ac:dyDescent="0.3">
      <c r="A2818">
        <v>20681</v>
      </c>
      <c r="B2818" t="s">
        <v>7400</v>
      </c>
      <c r="C2818" s="3">
        <v>41998</v>
      </c>
      <c r="D2818" t="s">
        <v>148</v>
      </c>
      <c r="E2818">
        <v>3</v>
      </c>
      <c r="F2818" s="3">
        <f ca="1">42001+(RANDBETWEEN(1,10))</f>
        <v>42008</v>
      </c>
      <c r="G2818" t="s">
        <v>26</v>
      </c>
      <c r="H2818" t="s">
        <v>27</v>
      </c>
      <c r="I2818" t="s">
        <v>28</v>
      </c>
      <c r="J2818">
        <v>1132.32</v>
      </c>
      <c r="K2818">
        <v>0.05</v>
      </c>
      <c r="L2818">
        <v>0.59</v>
      </c>
      <c r="M2818">
        <v>30.8</v>
      </c>
      <c r="N2818">
        <v>-532.00593600000002</v>
      </c>
      <c r="O2818" s="1" t="s">
        <v>225</v>
      </c>
      <c r="P2818" s="1" t="s">
        <v>4980</v>
      </c>
      <c r="Q2818" s="1" t="s">
        <v>4981</v>
      </c>
      <c r="R2818" s="1" t="s">
        <v>228</v>
      </c>
      <c r="S2818" s="1" t="s">
        <v>4982</v>
      </c>
      <c r="T2818" s="1" t="s">
        <v>4983</v>
      </c>
      <c r="U2818" s="2" t="s">
        <v>1548</v>
      </c>
      <c r="V2818" s="2" t="s">
        <v>36</v>
      </c>
      <c r="W2818" s="2" t="s">
        <v>37</v>
      </c>
      <c r="X2818" s="2">
        <v>440.96499999999997</v>
      </c>
    </row>
    <row r="2819" spans="1:24" x14ac:dyDescent="0.3">
      <c r="A2819">
        <v>20682</v>
      </c>
      <c r="B2819" t="s">
        <v>7401</v>
      </c>
      <c r="C2819" s="3">
        <v>41373</v>
      </c>
      <c r="D2819" t="s">
        <v>50</v>
      </c>
      <c r="E2819">
        <v>8</v>
      </c>
      <c r="F2819" s="3">
        <f ca="1">41373+(RANDBETWEEN(1,10))</f>
        <v>41377</v>
      </c>
      <c r="G2819" t="s">
        <v>26</v>
      </c>
      <c r="H2819" t="s">
        <v>27</v>
      </c>
      <c r="I2819" t="s">
        <v>86</v>
      </c>
      <c r="J2819">
        <v>58.59</v>
      </c>
      <c r="K2819">
        <v>0.09</v>
      </c>
      <c r="L2819">
        <v>0.4</v>
      </c>
      <c r="M2819">
        <v>16.695</v>
      </c>
      <c r="N2819">
        <v>-404.99549999999999</v>
      </c>
      <c r="O2819" s="1" t="s">
        <v>64</v>
      </c>
      <c r="P2819" s="1" t="s">
        <v>3346</v>
      </c>
      <c r="Q2819" s="1" t="s">
        <v>3347</v>
      </c>
      <c r="R2819" s="1" t="s">
        <v>67</v>
      </c>
      <c r="S2819" s="1" t="s">
        <v>3348</v>
      </c>
      <c r="T2819" s="1" t="s">
        <v>3349</v>
      </c>
      <c r="U2819" s="2" t="s">
        <v>2166</v>
      </c>
      <c r="V2819" s="2" t="s">
        <v>47</v>
      </c>
      <c r="W2819" s="2" t="s">
        <v>111</v>
      </c>
      <c r="X2819" s="2">
        <v>6.93</v>
      </c>
    </row>
    <row r="2820" spans="1:24" x14ac:dyDescent="0.3">
      <c r="A2820">
        <v>20683</v>
      </c>
      <c r="B2820" t="s">
        <v>7401</v>
      </c>
      <c r="C2820" s="3">
        <v>41373</v>
      </c>
      <c r="D2820" t="s">
        <v>50</v>
      </c>
      <c r="E2820">
        <v>10</v>
      </c>
      <c r="F2820" s="3">
        <f ca="1">41374+(RANDBETWEEN(1,10))</f>
        <v>41382</v>
      </c>
      <c r="G2820" t="s">
        <v>26</v>
      </c>
      <c r="H2820" t="s">
        <v>27</v>
      </c>
      <c r="I2820" t="s">
        <v>86</v>
      </c>
      <c r="J2820">
        <v>1068.0250000000001</v>
      </c>
      <c r="K2820">
        <v>0.05</v>
      </c>
      <c r="L2820">
        <v>0.55000000000000004</v>
      </c>
      <c r="M2820">
        <v>3.85</v>
      </c>
      <c r="N2820">
        <v>736.93724999999995</v>
      </c>
      <c r="O2820" s="1" t="s">
        <v>64</v>
      </c>
      <c r="P2820" s="1" t="s">
        <v>3346</v>
      </c>
      <c r="Q2820" s="1" t="s">
        <v>3347</v>
      </c>
      <c r="R2820" s="1" t="s">
        <v>67</v>
      </c>
      <c r="S2820" s="1" t="s">
        <v>3348</v>
      </c>
      <c r="T2820" s="1" t="s">
        <v>3349</v>
      </c>
      <c r="U2820" s="2" t="s">
        <v>1451</v>
      </c>
      <c r="V2820" s="2" t="s">
        <v>36</v>
      </c>
      <c r="W2820" s="2" t="s">
        <v>37</v>
      </c>
      <c r="X2820" s="2">
        <v>125.965</v>
      </c>
    </row>
    <row r="2821" spans="1:24" x14ac:dyDescent="0.3">
      <c r="A2821">
        <v>20684</v>
      </c>
      <c r="B2821" t="s">
        <v>7402</v>
      </c>
      <c r="C2821" s="3">
        <v>41906</v>
      </c>
      <c r="D2821" t="s">
        <v>50</v>
      </c>
      <c r="E2821">
        <v>18</v>
      </c>
      <c r="F2821" s="3">
        <f ca="1">41907+(RANDBETWEEN(1,10))</f>
        <v>41911</v>
      </c>
      <c r="G2821" t="s">
        <v>26</v>
      </c>
      <c r="H2821" t="s">
        <v>51</v>
      </c>
      <c r="I2821" t="s">
        <v>97</v>
      </c>
      <c r="J2821">
        <v>389.55</v>
      </c>
      <c r="K2821">
        <v>0</v>
      </c>
      <c r="L2821">
        <v>0.56000000000000005</v>
      </c>
      <c r="M2821">
        <v>12.6</v>
      </c>
      <c r="N2821">
        <v>-101.9774</v>
      </c>
      <c r="O2821" s="1" t="s">
        <v>64</v>
      </c>
      <c r="P2821" s="1" t="s">
        <v>7403</v>
      </c>
      <c r="Q2821" s="1" t="s">
        <v>7404</v>
      </c>
      <c r="R2821" s="1" t="s">
        <v>67</v>
      </c>
      <c r="S2821" s="1" t="s">
        <v>7405</v>
      </c>
      <c r="T2821" s="1" t="s">
        <v>7406</v>
      </c>
      <c r="U2821" s="2" t="s">
        <v>4710</v>
      </c>
      <c r="V2821" s="2" t="s">
        <v>47</v>
      </c>
      <c r="W2821" s="2" t="s">
        <v>94</v>
      </c>
      <c r="X2821" s="2">
        <v>19.88</v>
      </c>
    </row>
    <row r="2822" spans="1:24" x14ac:dyDescent="0.3">
      <c r="A2822">
        <v>20685</v>
      </c>
      <c r="B2822" t="s">
        <v>7407</v>
      </c>
      <c r="C2822" s="3">
        <v>40779</v>
      </c>
      <c r="D2822" t="s">
        <v>50</v>
      </c>
      <c r="E2822">
        <v>1</v>
      </c>
      <c r="F2822" s="3">
        <f ca="1">40779+(RANDBETWEEN(1,10))</f>
        <v>40784</v>
      </c>
      <c r="G2822" t="s">
        <v>76</v>
      </c>
      <c r="H2822" t="s">
        <v>258</v>
      </c>
      <c r="I2822" t="s">
        <v>97</v>
      </c>
      <c r="J2822">
        <v>420.42</v>
      </c>
      <c r="K2822">
        <v>0.05</v>
      </c>
      <c r="L2822">
        <v>0.63</v>
      </c>
      <c r="M2822">
        <v>181.79</v>
      </c>
      <c r="N2822">
        <v>-154.57259999999999</v>
      </c>
      <c r="O2822" s="1" t="s">
        <v>225</v>
      </c>
      <c r="P2822" s="1" t="s">
        <v>7408</v>
      </c>
      <c r="Q2822" s="1" t="s">
        <v>7409</v>
      </c>
      <c r="R2822" s="1" t="s">
        <v>391</v>
      </c>
      <c r="S2822" s="1" t="s">
        <v>669</v>
      </c>
      <c r="T2822" s="1" t="s">
        <v>670</v>
      </c>
      <c r="U2822" s="2" t="s">
        <v>360</v>
      </c>
      <c r="V2822" s="2" t="s">
        <v>83</v>
      </c>
      <c r="W2822" s="2" t="s">
        <v>263</v>
      </c>
      <c r="X2822" s="2">
        <v>435.71499999999997</v>
      </c>
    </row>
    <row r="2823" spans="1:24" x14ac:dyDescent="0.3">
      <c r="A2823">
        <v>20686</v>
      </c>
      <c r="B2823" t="s">
        <v>7410</v>
      </c>
      <c r="C2823" s="3">
        <v>41226</v>
      </c>
      <c r="D2823" t="s">
        <v>62</v>
      </c>
      <c r="E2823">
        <v>33</v>
      </c>
      <c r="F2823" s="3">
        <f ca="1">41228+(RANDBETWEEN(1,10))</f>
        <v>41234</v>
      </c>
      <c r="G2823" t="s">
        <v>26</v>
      </c>
      <c r="H2823" t="s">
        <v>63</v>
      </c>
      <c r="I2823" t="s">
        <v>28</v>
      </c>
      <c r="J2823">
        <v>19968.13</v>
      </c>
      <c r="K2823">
        <v>0.03</v>
      </c>
      <c r="L2823">
        <v>0.85</v>
      </c>
      <c r="M2823">
        <v>122.5</v>
      </c>
      <c r="N2823">
        <v>351.435</v>
      </c>
      <c r="O2823" s="1" t="s">
        <v>29</v>
      </c>
      <c r="P2823" s="1" t="s">
        <v>7115</v>
      </c>
      <c r="Q2823" s="1" t="s">
        <v>7116</v>
      </c>
      <c r="R2823" s="1" t="s">
        <v>460</v>
      </c>
      <c r="S2823" s="1" t="s">
        <v>7117</v>
      </c>
      <c r="T2823" s="1" t="s">
        <v>7118</v>
      </c>
      <c r="U2823" s="2" t="s">
        <v>4771</v>
      </c>
      <c r="V2823" s="2" t="s">
        <v>47</v>
      </c>
      <c r="W2823" s="2" t="s">
        <v>119</v>
      </c>
      <c r="X2823" s="2">
        <v>585.44500000000005</v>
      </c>
    </row>
    <row r="2824" spans="1:24" x14ac:dyDescent="0.3">
      <c r="A2824">
        <v>20687</v>
      </c>
      <c r="B2824" t="s">
        <v>7411</v>
      </c>
      <c r="C2824" s="3">
        <v>40686</v>
      </c>
      <c r="D2824" t="s">
        <v>50</v>
      </c>
      <c r="E2824">
        <v>1</v>
      </c>
      <c r="F2824" s="3">
        <f ca="1">40688+(RANDBETWEEN(1,10))</f>
        <v>40698</v>
      </c>
      <c r="G2824" t="s">
        <v>26</v>
      </c>
      <c r="H2824" t="s">
        <v>96</v>
      </c>
      <c r="I2824" t="s">
        <v>97</v>
      </c>
      <c r="J2824">
        <v>14.734999999999999</v>
      </c>
      <c r="K2824">
        <v>0.08</v>
      </c>
      <c r="L2824">
        <v>0.56999999999999995</v>
      </c>
      <c r="M2824">
        <v>4.0949999999999998</v>
      </c>
      <c r="N2824">
        <v>-19.39</v>
      </c>
      <c r="O2824" s="1" t="s">
        <v>64</v>
      </c>
      <c r="P2824" s="1" t="s">
        <v>5260</v>
      </c>
      <c r="Q2824" s="1" t="s">
        <v>5261</v>
      </c>
      <c r="R2824" s="1" t="s">
        <v>67</v>
      </c>
      <c r="S2824" s="1" t="s">
        <v>5262</v>
      </c>
      <c r="T2824" s="1" t="s">
        <v>5263</v>
      </c>
      <c r="U2824" s="2" t="s">
        <v>6469</v>
      </c>
      <c r="V2824" s="2" t="s">
        <v>47</v>
      </c>
      <c r="W2824" s="2" t="s">
        <v>104</v>
      </c>
      <c r="X2824" s="2">
        <v>14.455</v>
      </c>
    </row>
    <row r="2825" spans="1:24" x14ac:dyDescent="0.3">
      <c r="A2825">
        <v>20688</v>
      </c>
      <c r="B2825" t="s">
        <v>7412</v>
      </c>
      <c r="C2825" s="3">
        <v>40736</v>
      </c>
      <c r="D2825" t="s">
        <v>39</v>
      </c>
      <c r="E2825">
        <v>10</v>
      </c>
      <c r="F2825" s="3">
        <f ca="1">40737+(RANDBETWEEN(1,10))</f>
        <v>40744</v>
      </c>
      <c r="G2825" t="s">
        <v>26</v>
      </c>
      <c r="H2825" t="s">
        <v>27</v>
      </c>
      <c r="I2825" t="s">
        <v>28</v>
      </c>
      <c r="J2825">
        <v>209.47499999999999</v>
      </c>
      <c r="K2825">
        <v>0.05</v>
      </c>
      <c r="L2825">
        <v>0.39</v>
      </c>
      <c r="M2825">
        <v>1.75</v>
      </c>
      <c r="N2825">
        <v>144.53774999999999</v>
      </c>
      <c r="O2825" s="1" t="s">
        <v>64</v>
      </c>
      <c r="P2825" s="1" t="s">
        <v>7413</v>
      </c>
      <c r="Q2825" s="1" t="s">
        <v>7414</v>
      </c>
      <c r="R2825" s="1" t="s">
        <v>128</v>
      </c>
      <c r="S2825" s="1" t="s">
        <v>5446</v>
      </c>
      <c r="T2825" s="1" t="s">
        <v>5447</v>
      </c>
      <c r="U2825" s="2" t="s">
        <v>2675</v>
      </c>
      <c r="V2825" s="2" t="s">
        <v>47</v>
      </c>
      <c r="W2825" s="2" t="s">
        <v>203</v>
      </c>
      <c r="X2825" s="2">
        <v>22.05</v>
      </c>
    </row>
    <row r="2826" spans="1:24" x14ac:dyDescent="0.3">
      <c r="A2826">
        <v>20689</v>
      </c>
      <c r="B2826" t="s">
        <v>7412</v>
      </c>
      <c r="C2826" s="3">
        <v>40736</v>
      </c>
      <c r="D2826" t="s">
        <v>39</v>
      </c>
      <c r="E2826">
        <v>10</v>
      </c>
      <c r="F2826" s="3">
        <f ca="1">40738+(RANDBETWEEN(1,10))</f>
        <v>40740</v>
      </c>
      <c r="G2826" t="s">
        <v>156</v>
      </c>
      <c r="H2826" t="s">
        <v>27</v>
      </c>
      <c r="I2826" t="s">
        <v>28</v>
      </c>
      <c r="J2826">
        <v>5980.5550000000003</v>
      </c>
      <c r="K2826">
        <v>0.09</v>
      </c>
      <c r="L2826">
        <v>0.57999999999999996</v>
      </c>
      <c r="M2826">
        <v>10.5</v>
      </c>
      <c r="N2826">
        <v>4126.58295</v>
      </c>
      <c r="O2826" s="1" t="s">
        <v>64</v>
      </c>
      <c r="P2826" s="1" t="s">
        <v>7413</v>
      </c>
      <c r="Q2826" s="1" t="s">
        <v>7414</v>
      </c>
      <c r="R2826" s="1" t="s">
        <v>128</v>
      </c>
      <c r="S2826" s="1" t="s">
        <v>5446</v>
      </c>
      <c r="T2826" s="1" t="s">
        <v>5447</v>
      </c>
      <c r="U2826" s="2">
        <v>6185</v>
      </c>
      <c r="V2826" s="2" t="s">
        <v>36</v>
      </c>
      <c r="W2826" s="2" t="s">
        <v>37</v>
      </c>
      <c r="X2826" s="2">
        <v>720.96500000000003</v>
      </c>
    </row>
    <row r="2827" spans="1:24" x14ac:dyDescent="0.3">
      <c r="A2827">
        <v>20690</v>
      </c>
      <c r="B2827" t="s">
        <v>7415</v>
      </c>
      <c r="C2827" s="3">
        <v>41537</v>
      </c>
      <c r="D2827" t="s">
        <v>148</v>
      </c>
      <c r="E2827">
        <v>1</v>
      </c>
      <c r="F2827" s="3">
        <f ca="1">41538+(RANDBETWEEN(1,10))</f>
        <v>41548</v>
      </c>
      <c r="G2827" t="s">
        <v>26</v>
      </c>
      <c r="H2827" t="s">
        <v>63</v>
      </c>
      <c r="I2827" t="s">
        <v>97</v>
      </c>
      <c r="J2827">
        <v>361.69</v>
      </c>
      <c r="K2827">
        <v>0</v>
      </c>
      <c r="L2827">
        <v>0.81</v>
      </c>
      <c r="M2827">
        <v>122.5</v>
      </c>
      <c r="N2827">
        <v>-547.64499999999998</v>
      </c>
      <c r="O2827" s="1" t="s">
        <v>64</v>
      </c>
      <c r="P2827" s="1" t="s">
        <v>7416</v>
      </c>
      <c r="Q2827" s="1" t="s">
        <v>7417</v>
      </c>
      <c r="R2827" s="1" t="s">
        <v>67</v>
      </c>
      <c r="S2827" s="1" t="s">
        <v>7418</v>
      </c>
      <c r="T2827" s="1" t="s">
        <v>7419</v>
      </c>
      <c r="U2827" s="2" t="s">
        <v>166</v>
      </c>
      <c r="V2827" s="2" t="s">
        <v>47</v>
      </c>
      <c r="W2827" s="2" t="s">
        <v>119</v>
      </c>
      <c r="X2827" s="2">
        <v>283.43</v>
      </c>
    </row>
    <row r="2828" spans="1:24" x14ac:dyDescent="0.3">
      <c r="A2828">
        <v>20691</v>
      </c>
      <c r="B2828" t="s">
        <v>7420</v>
      </c>
      <c r="C2828" s="3">
        <v>41255</v>
      </c>
      <c r="D2828" t="s">
        <v>39</v>
      </c>
      <c r="E2828">
        <v>4</v>
      </c>
      <c r="F2828" s="3">
        <f ca="1">41257+(RANDBETWEEN(1,10))</f>
        <v>41262</v>
      </c>
      <c r="G2828" t="s">
        <v>26</v>
      </c>
      <c r="H2828" t="s">
        <v>27</v>
      </c>
      <c r="I2828" t="s">
        <v>86</v>
      </c>
      <c r="J2828">
        <v>1075.0250000000001</v>
      </c>
      <c r="K2828">
        <v>0.08</v>
      </c>
      <c r="L2828">
        <v>0.43</v>
      </c>
      <c r="M2828">
        <v>69.965000000000003</v>
      </c>
      <c r="N2828">
        <v>741.76724999999999</v>
      </c>
      <c r="O2828" s="1" t="s">
        <v>40</v>
      </c>
      <c r="P2828" s="1" t="s">
        <v>7421</v>
      </c>
      <c r="Q2828" s="1" t="s">
        <v>7422</v>
      </c>
      <c r="R2828" s="1" t="s">
        <v>220</v>
      </c>
      <c r="S2828" s="1" t="s">
        <v>7423</v>
      </c>
      <c r="T2828" s="1" t="s">
        <v>7424</v>
      </c>
      <c r="U2828" s="2" t="s">
        <v>7425</v>
      </c>
      <c r="V2828" s="2" t="s">
        <v>83</v>
      </c>
      <c r="W2828" s="2" t="s">
        <v>178</v>
      </c>
      <c r="X2828" s="2">
        <v>275.41500000000002</v>
      </c>
    </row>
    <row r="2829" spans="1:24" x14ac:dyDescent="0.3">
      <c r="A2829">
        <v>20692</v>
      </c>
      <c r="B2829" t="s">
        <v>7420</v>
      </c>
      <c r="C2829" s="3">
        <v>41255</v>
      </c>
      <c r="D2829" t="s">
        <v>39</v>
      </c>
      <c r="E2829">
        <v>15</v>
      </c>
      <c r="F2829" s="3">
        <f ca="1">41256+(RANDBETWEEN(1,10))</f>
        <v>41261</v>
      </c>
      <c r="G2829" t="s">
        <v>26</v>
      </c>
      <c r="H2829" t="s">
        <v>51</v>
      </c>
      <c r="I2829" t="s">
        <v>86</v>
      </c>
      <c r="J2829">
        <v>1135.4349999999999</v>
      </c>
      <c r="K2829">
        <v>0.02</v>
      </c>
      <c r="L2829">
        <v>0.55000000000000004</v>
      </c>
      <c r="M2829">
        <v>10.045</v>
      </c>
      <c r="N2829">
        <v>783.45015000000001</v>
      </c>
      <c r="O2829" s="1" t="s">
        <v>40</v>
      </c>
      <c r="P2829" s="1" t="s">
        <v>7421</v>
      </c>
      <c r="Q2829" s="1" t="s">
        <v>7422</v>
      </c>
      <c r="R2829" s="1" t="s">
        <v>220</v>
      </c>
      <c r="S2829" s="1" t="s">
        <v>7423</v>
      </c>
      <c r="T2829" s="1" t="s">
        <v>7424</v>
      </c>
      <c r="U2829" s="2" t="s">
        <v>2051</v>
      </c>
      <c r="V2829" s="2" t="s">
        <v>47</v>
      </c>
      <c r="W2829" s="2" t="s">
        <v>104</v>
      </c>
      <c r="X2829" s="2">
        <v>76.930000000000007</v>
      </c>
    </row>
    <row r="2830" spans="1:24" x14ac:dyDescent="0.3">
      <c r="A2830">
        <v>20693</v>
      </c>
      <c r="B2830" t="s">
        <v>7426</v>
      </c>
      <c r="C2830" s="3">
        <v>40576</v>
      </c>
      <c r="D2830" t="s">
        <v>62</v>
      </c>
      <c r="E2830">
        <v>8</v>
      </c>
      <c r="F2830" s="3">
        <f ca="1">40577+(RANDBETWEEN(1,10))</f>
        <v>40581</v>
      </c>
      <c r="G2830" t="s">
        <v>26</v>
      </c>
      <c r="H2830" t="s">
        <v>63</v>
      </c>
      <c r="I2830" t="s">
        <v>28</v>
      </c>
      <c r="J2830">
        <v>4257.12</v>
      </c>
      <c r="K2830">
        <v>0.1</v>
      </c>
      <c r="L2830">
        <v>0.68</v>
      </c>
      <c r="M2830">
        <v>241.5</v>
      </c>
      <c r="N2830">
        <v>-1303.7008985</v>
      </c>
      <c r="O2830" s="1" t="s">
        <v>64</v>
      </c>
      <c r="P2830" s="1" t="s">
        <v>3673</v>
      </c>
      <c r="Q2830" s="1" t="s">
        <v>3674</v>
      </c>
      <c r="R2830" s="1" t="s">
        <v>67</v>
      </c>
      <c r="S2830" s="1" t="s">
        <v>3675</v>
      </c>
      <c r="T2830" s="1" t="s">
        <v>3676</v>
      </c>
      <c r="U2830" s="2" t="s">
        <v>7427</v>
      </c>
      <c r="V2830" s="2" t="s">
        <v>83</v>
      </c>
      <c r="W2830" s="2" t="s">
        <v>263</v>
      </c>
      <c r="X2830" s="2">
        <v>539.45500000000004</v>
      </c>
    </row>
    <row r="2831" spans="1:24" x14ac:dyDescent="0.3">
      <c r="A2831">
        <v>20694</v>
      </c>
      <c r="B2831" t="s">
        <v>7428</v>
      </c>
      <c r="C2831" s="3">
        <v>40920</v>
      </c>
      <c r="D2831" t="s">
        <v>39</v>
      </c>
      <c r="E2831">
        <v>10</v>
      </c>
      <c r="F2831" s="3">
        <f ca="1">40922+(RANDBETWEEN(1,10))</f>
        <v>40932</v>
      </c>
      <c r="G2831" t="s">
        <v>26</v>
      </c>
      <c r="H2831" t="s">
        <v>51</v>
      </c>
      <c r="I2831" t="s">
        <v>86</v>
      </c>
      <c r="J2831">
        <v>769.40499999999997</v>
      </c>
      <c r="K2831">
        <v>0.05</v>
      </c>
      <c r="L2831">
        <v>0.41</v>
      </c>
      <c r="M2831">
        <v>31.465</v>
      </c>
      <c r="N2831">
        <v>520.58860000000004</v>
      </c>
      <c r="O2831" s="1" t="s">
        <v>40</v>
      </c>
      <c r="P2831" s="1" t="s">
        <v>6962</v>
      </c>
      <c r="Q2831" s="1" t="s">
        <v>6963</v>
      </c>
      <c r="R2831" s="1" t="s">
        <v>43</v>
      </c>
      <c r="S2831" s="1" t="s">
        <v>6964</v>
      </c>
      <c r="T2831" s="1" t="s">
        <v>6965</v>
      </c>
      <c r="U2831" s="2" t="s">
        <v>2188</v>
      </c>
      <c r="V2831" s="2" t="s">
        <v>83</v>
      </c>
      <c r="W2831" s="2" t="s">
        <v>178</v>
      </c>
      <c r="X2831" s="2">
        <v>77.805000000000007</v>
      </c>
    </row>
    <row r="2832" spans="1:24" x14ac:dyDescent="0.3">
      <c r="A2832">
        <v>20695</v>
      </c>
      <c r="B2832" t="s">
        <v>7428</v>
      </c>
      <c r="C2832" s="3">
        <v>40920</v>
      </c>
      <c r="D2832" t="s">
        <v>39</v>
      </c>
      <c r="E2832">
        <v>1</v>
      </c>
      <c r="F2832" s="3">
        <f ca="1">40923+(RANDBETWEEN(1,10))</f>
        <v>40930</v>
      </c>
      <c r="G2832" t="s">
        <v>26</v>
      </c>
      <c r="H2832" t="s">
        <v>51</v>
      </c>
      <c r="I2832" t="s">
        <v>86</v>
      </c>
      <c r="J2832">
        <v>15.54</v>
      </c>
      <c r="K2832">
        <v>0.03</v>
      </c>
      <c r="L2832">
        <v>0.57999999999999996</v>
      </c>
      <c r="M2832">
        <v>12.25</v>
      </c>
      <c r="N2832">
        <v>-29.468599999999999</v>
      </c>
      <c r="O2832" s="1" t="s">
        <v>40</v>
      </c>
      <c r="P2832" s="1" t="s">
        <v>6962</v>
      </c>
      <c r="Q2832" s="1" t="s">
        <v>6963</v>
      </c>
      <c r="R2832" s="1" t="s">
        <v>43</v>
      </c>
      <c r="S2832" s="1" t="s">
        <v>6964</v>
      </c>
      <c r="T2832" s="1" t="s">
        <v>6965</v>
      </c>
      <c r="U2832" s="2" t="s">
        <v>935</v>
      </c>
      <c r="V2832" s="2" t="s">
        <v>47</v>
      </c>
      <c r="W2832" s="2" t="s">
        <v>104</v>
      </c>
      <c r="X2832" s="2">
        <v>9.59</v>
      </c>
    </row>
    <row r="2833" spans="1:24" x14ac:dyDescent="0.3">
      <c r="A2833">
        <v>20696</v>
      </c>
      <c r="B2833" t="s">
        <v>7429</v>
      </c>
      <c r="C2833" s="3">
        <v>41966</v>
      </c>
      <c r="D2833" t="s">
        <v>50</v>
      </c>
      <c r="E2833">
        <v>8</v>
      </c>
      <c r="F2833" s="3">
        <f ca="1">41967+(RANDBETWEEN(1,10))</f>
        <v>41972</v>
      </c>
      <c r="G2833" t="s">
        <v>26</v>
      </c>
      <c r="H2833" t="s">
        <v>63</v>
      </c>
      <c r="I2833" t="s">
        <v>97</v>
      </c>
      <c r="J2833">
        <v>1092.175</v>
      </c>
      <c r="K2833">
        <v>0.02</v>
      </c>
      <c r="L2833">
        <v>0.85</v>
      </c>
      <c r="M2833">
        <v>122.5</v>
      </c>
      <c r="N2833">
        <v>497.46368000000001</v>
      </c>
      <c r="O2833" s="1" t="s">
        <v>87</v>
      </c>
      <c r="P2833" s="1" t="s">
        <v>7430</v>
      </c>
      <c r="Q2833" s="1" t="s">
        <v>7431</v>
      </c>
      <c r="R2833" s="1" t="s">
        <v>497</v>
      </c>
      <c r="S2833" s="1" t="s">
        <v>7432</v>
      </c>
      <c r="T2833" s="1" t="s">
        <v>7433</v>
      </c>
      <c r="U2833" s="2" t="s">
        <v>1433</v>
      </c>
      <c r="V2833" s="2" t="s">
        <v>47</v>
      </c>
      <c r="W2833" s="2" t="s">
        <v>119</v>
      </c>
      <c r="X2833" s="2">
        <v>124.18</v>
      </c>
    </row>
    <row r="2834" spans="1:24" x14ac:dyDescent="0.3">
      <c r="A2834">
        <v>20697</v>
      </c>
      <c r="B2834" t="s">
        <v>7434</v>
      </c>
      <c r="C2834" s="3">
        <v>40836</v>
      </c>
      <c r="D2834" t="s">
        <v>148</v>
      </c>
      <c r="E2834">
        <v>20</v>
      </c>
      <c r="F2834" s="3">
        <f ca="1">40837+(RANDBETWEEN(1,10))</f>
        <v>40838</v>
      </c>
      <c r="G2834" t="s">
        <v>26</v>
      </c>
      <c r="H2834" t="s">
        <v>27</v>
      </c>
      <c r="I2834" t="s">
        <v>52</v>
      </c>
      <c r="J2834">
        <v>257.42500000000001</v>
      </c>
      <c r="K2834">
        <v>0.06</v>
      </c>
      <c r="L2834">
        <v>0.38</v>
      </c>
      <c r="M2834">
        <v>5.2149999999999999</v>
      </c>
      <c r="N2834">
        <v>68.698700000000002</v>
      </c>
      <c r="O2834" s="1" t="s">
        <v>40</v>
      </c>
      <c r="P2834" s="1" t="s">
        <v>6061</v>
      </c>
      <c r="Q2834" s="1" t="s">
        <v>6062</v>
      </c>
      <c r="R2834" s="1" t="s">
        <v>43</v>
      </c>
      <c r="S2834" s="1" t="s">
        <v>6063</v>
      </c>
      <c r="T2834" s="1" t="s">
        <v>6064</v>
      </c>
      <c r="U2834" s="2" t="s">
        <v>1763</v>
      </c>
      <c r="V2834" s="2" t="s">
        <v>47</v>
      </c>
      <c r="W2834" s="2" t="s">
        <v>111</v>
      </c>
      <c r="X2834" s="2">
        <v>13.3</v>
      </c>
    </row>
    <row r="2835" spans="1:24" x14ac:dyDescent="0.3">
      <c r="A2835">
        <v>20698</v>
      </c>
      <c r="B2835" t="s">
        <v>7434</v>
      </c>
      <c r="C2835" s="3">
        <v>40836</v>
      </c>
      <c r="D2835" t="s">
        <v>148</v>
      </c>
      <c r="E2835">
        <v>17</v>
      </c>
      <c r="F2835" s="3">
        <f ca="1">40837+(RANDBETWEEN(1,10))</f>
        <v>40843</v>
      </c>
      <c r="G2835" t="s">
        <v>26</v>
      </c>
      <c r="H2835" t="s">
        <v>96</v>
      </c>
      <c r="I2835" t="s">
        <v>52</v>
      </c>
      <c r="J2835">
        <v>103.495</v>
      </c>
      <c r="K2835">
        <v>0.06</v>
      </c>
      <c r="L2835">
        <v>0.56000000000000005</v>
      </c>
      <c r="M2835">
        <v>2.4500000000000002</v>
      </c>
      <c r="N2835">
        <v>-5.7834000000000003</v>
      </c>
      <c r="O2835" s="1" t="s">
        <v>40</v>
      </c>
      <c r="P2835" s="1" t="s">
        <v>6061</v>
      </c>
      <c r="Q2835" s="1" t="s">
        <v>6062</v>
      </c>
      <c r="R2835" s="1" t="s">
        <v>43</v>
      </c>
      <c r="S2835" s="1" t="s">
        <v>6063</v>
      </c>
      <c r="T2835" s="1" t="s">
        <v>6064</v>
      </c>
      <c r="U2835" s="2" t="s">
        <v>384</v>
      </c>
      <c r="V2835" s="2" t="s">
        <v>47</v>
      </c>
      <c r="W2835" s="2" t="s">
        <v>104</v>
      </c>
      <c r="X2835" s="2">
        <v>6.16</v>
      </c>
    </row>
    <row r="2836" spans="1:24" x14ac:dyDescent="0.3">
      <c r="A2836">
        <v>20699</v>
      </c>
      <c r="B2836" t="s">
        <v>7435</v>
      </c>
      <c r="C2836" s="3">
        <v>41608</v>
      </c>
      <c r="D2836" t="s">
        <v>39</v>
      </c>
      <c r="E2836">
        <v>37</v>
      </c>
      <c r="F2836" s="3">
        <f ca="1">41609+(RANDBETWEEN(1,10))</f>
        <v>41610</v>
      </c>
      <c r="G2836" t="s">
        <v>26</v>
      </c>
      <c r="H2836" t="s">
        <v>96</v>
      </c>
      <c r="I2836" t="s">
        <v>28</v>
      </c>
      <c r="J2836">
        <v>458.5</v>
      </c>
      <c r="K2836">
        <v>0.04</v>
      </c>
      <c r="L2836">
        <v>0.39</v>
      </c>
      <c r="M2836">
        <v>7.7</v>
      </c>
      <c r="N2836">
        <v>7</v>
      </c>
      <c r="O2836" s="1" t="s">
        <v>29</v>
      </c>
      <c r="P2836" s="1" t="s">
        <v>7436</v>
      </c>
      <c r="Q2836" s="1" t="s">
        <v>7437</v>
      </c>
      <c r="R2836" s="1" t="s">
        <v>675</v>
      </c>
      <c r="S2836" s="1" t="s">
        <v>7438</v>
      </c>
      <c r="T2836" s="1" t="s">
        <v>7439</v>
      </c>
      <c r="U2836" s="2" t="s">
        <v>7440</v>
      </c>
      <c r="V2836" s="2" t="s">
        <v>47</v>
      </c>
      <c r="W2836" s="2" t="s">
        <v>74</v>
      </c>
      <c r="X2836" s="2">
        <v>12.6</v>
      </c>
    </row>
    <row r="2837" spans="1:24" x14ac:dyDescent="0.3">
      <c r="A2837">
        <v>2070</v>
      </c>
      <c r="B2837" t="s">
        <v>7441</v>
      </c>
      <c r="C2837" s="3">
        <v>40933</v>
      </c>
      <c r="D2837" t="s">
        <v>50</v>
      </c>
      <c r="E2837">
        <v>48</v>
      </c>
      <c r="F2837" s="3">
        <f ca="1">40935+(RANDBETWEEN(1,10))</f>
        <v>40937</v>
      </c>
      <c r="G2837" t="s">
        <v>26</v>
      </c>
      <c r="H2837" t="s">
        <v>27</v>
      </c>
      <c r="I2837" t="s">
        <v>97</v>
      </c>
      <c r="J2837">
        <v>31719.555</v>
      </c>
      <c r="K2837">
        <v>0.09</v>
      </c>
      <c r="L2837">
        <v>0.55000000000000004</v>
      </c>
      <c r="M2837">
        <v>3.4649999999999999</v>
      </c>
      <c r="N2837">
        <v>4371.8919999999998</v>
      </c>
      <c r="O2837" s="1" t="s">
        <v>87</v>
      </c>
      <c r="P2837" s="1" t="s">
        <v>309</v>
      </c>
      <c r="Q2837" s="1" t="s">
        <v>310</v>
      </c>
      <c r="R2837" s="1" t="s">
        <v>90</v>
      </c>
      <c r="S2837" s="1" t="s">
        <v>91</v>
      </c>
      <c r="T2837" s="1" t="s">
        <v>311</v>
      </c>
      <c r="U2837" s="2" t="s">
        <v>1018</v>
      </c>
      <c r="V2837" s="2" t="s">
        <v>47</v>
      </c>
      <c r="W2837" s="2" t="s">
        <v>71</v>
      </c>
      <c r="X2837" s="2">
        <v>726.18</v>
      </c>
    </row>
    <row r="2838" spans="1:24" x14ac:dyDescent="0.3">
      <c r="A2838">
        <v>20700</v>
      </c>
      <c r="B2838" t="s">
        <v>7442</v>
      </c>
      <c r="C2838" s="3">
        <v>40922</v>
      </c>
      <c r="D2838" t="s">
        <v>62</v>
      </c>
      <c r="E2838">
        <v>2</v>
      </c>
      <c r="F2838" s="3">
        <f ca="1">40923+(RANDBETWEEN(1,10))</f>
        <v>40933</v>
      </c>
      <c r="G2838" t="s">
        <v>26</v>
      </c>
      <c r="H2838" t="s">
        <v>51</v>
      </c>
      <c r="I2838" t="s">
        <v>28</v>
      </c>
      <c r="J2838">
        <v>71.575000000000003</v>
      </c>
      <c r="K2838">
        <v>7.0000000000000007E-2</v>
      </c>
      <c r="L2838">
        <v>0.59</v>
      </c>
      <c r="M2838">
        <v>16.38</v>
      </c>
      <c r="N2838">
        <v>-107.97920000000001</v>
      </c>
      <c r="O2838" s="1" t="s">
        <v>29</v>
      </c>
      <c r="P2838" s="1" t="s">
        <v>7443</v>
      </c>
      <c r="Q2838" s="1" t="s">
        <v>7444</v>
      </c>
      <c r="R2838" s="1" t="s">
        <v>32</v>
      </c>
      <c r="S2838" s="1" t="s">
        <v>7445</v>
      </c>
      <c r="T2838" s="1" t="s">
        <v>6825</v>
      </c>
      <c r="U2838" s="2" t="s">
        <v>3567</v>
      </c>
      <c r="V2838" s="2" t="s">
        <v>47</v>
      </c>
      <c r="W2838" s="2" t="s">
        <v>94</v>
      </c>
      <c r="X2838" s="2">
        <v>35.805</v>
      </c>
    </row>
    <row r="2839" spans="1:24" x14ac:dyDescent="0.3">
      <c r="A2839">
        <v>20701</v>
      </c>
      <c r="B2839" t="s">
        <v>7446</v>
      </c>
      <c r="C2839" s="3">
        <v>40950</v>
      </c>
      <c r="D2839" t="s">
        <v>25</v>
      </c>
      <c r="E2839">
        <v>9</v>
      </c>
      <c r="F2839" s="3">
        <f ca="1">40954+(RANDBETWEEN(1,10))</f>
        <v>40962</v>
      </c>
      <c r="G2839" t="s">
        <v>26</v>
      </c>
      <c r="H2839" t="s">
        <v>27</v>
      </c>
      <c r="I2839" t="s">
        <v>86</v>
      </c>
      <c r="J2839">
        <v>215.46</v>
      </c>
      <c r="K2839">
        <v>0.08</v>
      </c>
      <c r="L2839">
        <v>0.37</v>
      </c>
      <c r="M2839">
        <v>25.55</v>
      </c>
      <c r="N2839">
        <v>-416.15</v>
      </c>
      <c r="O2839" s="1" t="s">
        <v>64</v>
      </c>
      <c r="P2839" s="1" t="s">
        <v>1310</v>
      </c>
      <c r="Q2839" s="1" t="s">
        <v>1311</v>
      </c>
      <c r="R2839" s="1" t="s">
        <v>128</v>
      </c>
      <c r="S2839" s="1" t="s">
        <v>1312</v>
      </c>
      <c r="T2839" s="1" t="s">
        <v>1313</v>
      </c>
      <c r="U2839" s="2" t="s">
        <v>6901</v>
      </c>
      <c r="V2839" s="2" t="s">
        <v>47</v>
      </c>
      <c r="W2839" s="2" t="s">
        <v>74</v>
      </c>
      <c r="X2839" s="2">
        <v>23.38</v>
      </c>
    </row>
    <row r="2840" spans="1:24" x14ac:dyDescent="0.3">
      <c r="A2840">
        <v>20702</v>
      </c>
      <c r="B2840" t="s">
        <v>7446</v>
      </c>
      <c r="C2840" s="3">
        <v>40950</v>
      </c>
      <c r="D2840" t="s">
        <v>25</v>
      </c>
      <c r="E2840">
        <v>2</v>
      </c>
      <c r="F2840" s="3">
        <f ca="1">40957+(RANDBETWEEN(1,10))</f>
        <v>40960</v>
      </c>
      <c r="G2840" t="s">
        <v>26</v>
      </c>
      <c r="H2840" t="s">
        <v>96</v>
      </c>
      <c r="I2840" t="s">
        <v>86</v>
      </c>
      <c r="J2840">
        <v>68.844999999999999</v>
      </c>
      <c r="K2840">
        <v>0</v>
      </c>
      <c r="L2840">
        <v>0.4</v>
      </c>
      <c r="M2840">
        <v>7.5250000000000004</v>
      </c>
      <c r="N2840">
        <v>47.503050000000002</v>
      </c>
      <c r="O2840" s="1" t="s">
        <v>225</v>
      </c>
      <c r="P2840" s="1" t="s">
        <v>7447</v>
      </c>
      <c r="Q2840" s="1" t="s">
        <v>7448</v>
      </c>
      <c r="R2840" s="1" t="s">
        <v>228</v>
      </c>
      <c r="S2840" s="1" t="s">
        <v>2325</v>
      </c>
      <c r="T2840" s="1" t="s">
        <v>2326</v>
      </c>
      <c r="U2840" s="2" t="s">
        <v>4359</v>
      </c>
      <c r="V2840" s="2" t="s">
        <v>47</v>
      </c>
      <c r="W2840" s="2" t="s">
        <v>74</v>
      </c>
      <c r="X2840" s="2">
        <v>31.885000000000002</v>
      </c>
    </row>
    <row r="2841" spans="1:24" x14ac:dyDescent="0.3">
      <c r="A2841">
        <v>20703</v>
      </c>
      <c r="B2841" t="s">
        <v>7449</v>
      </c>
      <c r="C2841" s="3">
        <v>41273</v>
      </c>
      <c r="D2841" t="s">
        <v>50</v>
      </c>
      <c r="E2841">
        <v>21</v>
      </c>
      <c r="F2841" s="3">
        <f ca="1">41290+(RANDBETWEEN(1,10))</f>
        <v>41299</v>
      </c>
      <c r="G2841" t="s">
        <v>76</v>
      </c>
      <c r="H2841" t="s">
        <v>77</v>
      </c>
      <c r="I2841" t="s">
        <v>52</v>
      </c>
      <c r="J2841">
        <v>9449.7900000000009</v>
      </c>
      <c r="K2841">
        <v>7.0000000000000007E-2</v>
      </c>
      <c r="L2841">
        <v>0.78</v>
      </c>
      <c r="M2841">
        <v>105</v>
      </c>
      <c r="N2841">
        <v>-741.59749999999997</v>
      </c>
      <c r="O2841" s="1" t="s">
        <v>29</v>
      </c>
      <c r="P2841" s="1" t="s">
        <v>2135</v>
      </c>
      <c r="Q2841" s="1" t="s">
        <v>2136</v>
      </c>
      <c r="R2841" s="1" t="s">
        <v>32</v>
      </c>
      <c r="S2841" s="1" t="s">
        <v>2137</v>
      </c>
      <c r="T2841" s="1" t="s">
        <v>2138</v>
      </c>
      <c r="U2841" s="2" t="s">
        <v>2894</v>
      </c>
      <c r="V2841" s="2" t="s">
        <v>83</v>
      </c>
      <c r="W2841" s="2" t="s">
        <v>84</v>
      </c>
      <c r="X2841" s="2">
        <v>458.43</v>
      </c>
    </row>
    <row r="2842" spans="1:24" x14ac:dyDescent="0.3">
      <c r="A2842">
        <v>20704</v>
      </c>
      <c r="B2842" t="s">
        <v>7449</v>
      </c>
      <c r="C2842" s="3">
        <v>41273</v>
      </c>
      <c r="D2842" t="s">
        <v>50</v>
      </c>
      <c r="E2842">
        <v>10</v>
      </c>
      <c r="F2842" s="3">
        <f ca="1">41284+(RANDBETWEEN(1,10))</f>
        <v>41285</v>
      </c>
      <c r="G2842" t="s">
        <v>26</v>
      </c>
      <c r="H2842" t="s">
        <v>27</v>
      </c>
      <c r="I2842" t="s">
        <v>52</v>
      </c>
      <c r="J2842">
        <v>1800.7850000000001</v>
      </c>
      <c r="K2842">
        <v>0.09</v>
      </c>
      <c r="L2842">
        <v>0.36</v>
      </c>
      <c r="M2842">
        <v>17.010000000000002</v>
      </c>
      <c r="N2842">
        <v>1242.5416499999999</v>
      </c>
      <c r="O2842" s="1" t="s">
        <v>29</v>
      </c>
      <c r="P2842" s="1" t="s">
        <v>2135</v>
      </c>
      <c r="Q2842" s="1" t="s">
        <v>2136</v>
      </c>
      <c r="R2842" s="1" t="s">
        <v>32</v>
      </c>
      <c r="S2842" s="1" t="s">
        <v>2137</v>
      </c>
      <c r="T2842" s="1" t="s">
        <v>2138</v>
      </c>
      <c r="U2842" s="2" t="s">
        <v>1690</v>
      </c>
      <c r="V2842" s="2" t="s">
        <v>47</v>
      </c>
      <c r="W2842" s="2" t="s">
        <v>74</v>
      </c>
      <c r="X2842" s="2">
        <v>195.93</v>
      </c>
    </row>
    <row r="2843" spans="1:24" x14ac:dyDescent="0.3">
      <c r="A2843">
        <v>20705</v>
      </c>
      <c r="B2843" t="s">
        <v>7449</v>
      </c>
      <c r="C2843" s="3">
        <v>41273</v>
      </c>
      <c r="D2843" t="s">
        <v>50</v>
      </c>
      <c r="E2843">
        <v>16</v>
      </c>
      <c r="F2843" s="3">
        <f ca="1">41301+(RANDBETWEEN(1,10))</f>
        <v>41305</v>
      </c>
      <c r="G2843" t="s">
        <v>26</v>
      </c>
      <c r="H2843" t="s">
        <v>27</v>
      </c>
      <c r="I2843" t="s">
        <v>52</v>
      </c>
      <c r="J2843">
        <v>5181.0150000000003</v>
      </c>
      <c r="K2843">
        <v>0.08</v>
      </c>
      <c r="L2843">
        <v>0.56000000000000005</v>
      </c>
      <c r="M2843">
        <v>14.805</v>
      </c>
      <c r="N2843">
        <v>3574.9003499999999</v>
      </c>
      <c r="O2843" s="1" t="s">
        <v>29</v>
      </c>
      <c r="P2843" s="1" t="s">
        <v>2135</v>
      </c>
      <c r="Q2843" s="1" t="s">
        <v>2136</v>
      </c>
      <c r="R2843" s="1" t="s">
        <v>32</v>
      </c>
      <c r="S2843" s="1" t="s">
        <v>2137</v>
      </c>
      <c r="T2843" s="1" t="s">
        <v>2138</v>
      </c>
      <c r="U2843" s="2">
        <v>282</v>
      </c>
      <c r="V2843" s="2" t="s">
        <v>36</v>
      </c>
      <c r="W2843" s="2" t="s">
        <v>37</v>
      </c>
      <c r="X2843" s="2">
        <v>405.96499999999997</v>
      </c>
    </row>
    <row r="2844" spans="1:24" x14ac:dyDescent="0.3">
      <c r="A2844">
        <v>20706</v>
      </c>
      <c r="B2844" t="s">
        <v>7450</v>
      </c>
      <c r="C2844" s="3">
        <v>41577</v>
      </c>
      <c r="D2844" t="s">
        <v>25</v>
      </c>
      <c r="E2844">
        <v>13</v>
      </c>
      <c r="F2844" s="3">
        <f ca="1">41581+(RANDBETWEEN(1,10))</f>
        <v>41586</v>
      </c>
      <c r="G2844" t="s">
        <v>26</v>
      </c>
      <c r="H2844" t="s">
        <v>96</v>
      </c>
      <c r="I2844" t="s">
        <v>28</v>
      </c>
      <c r="J2844">
        <v>116.55</v>
      </c>
      <c r="K2844">
        <v>0.08</v>
      </c>
      <c r="L2844">
        <v>0.39</v>
      </c>
      <c r="M2844">
        <v>2.8</v>
      </c>
      <c r="N2844">
        <v>-554.09199999999998</v>
      </c>
      <c r="O2844" s="1" t="s">
        <v>87</v>
      </c>
      <c r="P2844" s="1" t="s">
        <v>6229</v>
      </c>
      <c r="Q2844" s="1" t="s">
        <v>6230</v>
      </c>
      <c r="R2844" s="1" t="s">
        <v>90</v>
      </c>
      <c r="S2844" s="1" t="s">
        <v>1397</v>
      </c>
      <c r="T2844" s="1" t="s">
        <v>6231</v>
      </c>
      <c r="U2844" s="2" t="s">
        <v>2672</v>
      </c>
      <c r="V2844" s="2" t="s">
        <v>47</v>
      </c>
      <c r="W2844" s="2" t="s">
        <v>176</v>
      </c>
      <c r="X2844" s="2">
        <v>9.17</v>
      </c>
    </row>
    <row r="2845" spans="1:24" x14ac:dyDescent="0.3">
      <c r="A2845">
        <v>20707</v>
      </c>
      <c r="B2845" t="s">
        <v>7450</v>
      </c>
      <c r="C2845" s="3">
        <v>41577</v>
      </c>
      <c r="D2845" t="s">
        <v>25</v>
      </c>
      <c r="E2845">
        <v>4</v>
      </c>
      <c r="F2845" s="3">
        <f ca="1">41577+(RANDBETWEEN(1,10))</f>
        <v>41579</v>
      </c>
      <c r="G2845" t="s">
        <v>26</v>
      </c>
      <c r="H2845" t="s">
        <v>27</v>
      </c>
      <c r="I2845" t="s">
        <v>28</v>
      </c>
      <c r="J2845">
        <v>485.73</v>
      </c>
      <c r="K2845">
        <v>0.05</v>
      </c>
      <c r="L2845">
        <v>0.6</v>
      </c>
      <c r="M2845">
        <v>17.850000000000001</v>
      </c>
      <c r="N2845">
        <v>3695.4119999999998</v>
      </c>
      <c r="O2845" s="1" t="s">
        <v>87</v>
      </c>
      <c r="P2845" s="1" t="s">
        <v>6229</v>
      </c>
      <c r="Q2845" s="1" t="s">
        <v>6230</v>
      </c>
      <c r="R2845" s="1" t="s">
        <v>90</v>
      </c>
      <c r="S2845" s="1" t="s">
        <v>1397</v>
      </c>
      <c r="T2845" s="1" t="s">
        <v>6231</v>
      </c>
      <c r="U2845" s="2" t="s">
        <v>7451</v>
      </c>
      <c r="V2845" s="2" t="s">
        <v>47</v>
      </c>
      <c r="W2845" s="2" t="s">
        <v>119</v>
      </c>
      <c r="X2845" s="2">
        <v>118.61499999999999</v>
      </c>
    </row>
    <row r="2846" spans="1:24" x14ac:dyDescent="0.3">
      <c r="A2846">
        <v>20708</v>
      </c>
      <c r="B2846" t="s">
        <v>7452</v>
      </c>
      <c r="C2846" s="3">
        <v>41330</v>
      </c>
      <c r="D2846" t="s">
        <v>25</v>
      </c>
      <c r="E2846">
        <v>1</v>
      </c>
      <c r="F2846" s="3">
        <f ca="1">41333+(RANDBETWEEN(1,10))</f>
        <v>41337</v>
      </c>
      <c r="G2846" t="s">
        <v>26</v>
      </c>
      <c r="H2846" t="s">
        <v>96</v>
      </c>
      <c r="I2846" t="s">
        <v>28</v>
      </c>
      <c r="J2846">
        <v>13.965</v>
      </c>
      <c r="K2846">
        <v>0.04</v>
      </c>
      <c r="L2846">
        <v>0.4</v>
      </c>
      <c r="M2846">
        <v>4.7249999999999996</v>
      </c>
      <c r="N2846">
        <v>-13.755000000000001</v>
      </c>
      <c r="O2846" s="1" t="s">
        <v>40</v>
      </c>
      <c r="P2846" s="1" t="s">
        <v>7453</v>
      </c>
      <c r="Q2846" s="1" t="s">
        <v>7454</v>
      </c>
      <c r="R2846" s="1" t="s">
        <v>43</v>
      </c>
      <c r="S2846" s="1" t="s">
        <v>7455</v>
      </c>
      <c r="T2846" s="1" t="s">
        <v>7456</v>
      </c>
      <c r="U2846" s="2" t="s">
        <v>2529</v>
      </c>
      <c r="V2846" s="2" t="s">
        <v>47</v>
      </c>
      <c r="W2846" s="2" t="s">
        <v>176</v>
      </c>
      <c r="X2846" s="2">
        <v>11.515000000000001</v>
      </c>
    </row>
    <row r="2847" spans="1:24" x14ac:dyDescent="0.3">
      <c r="A2847">
        <v>20709</v>
      </c>
      <c r="B2847" t="s">
        <v>7457</v>
      </c>
      <c r="C2847" s="3">
        <v>41014</v>
      </c>
      <c r="D2847" t="s">
        <v>39</v>
      </c>
      <c r="E2847">
        <v>8</v>
      </c>
      <c r="F2847" s="3">
        <f ca="1">41016+(RANDBETWEEN(1,10))</f>
        <v>41024</v>
      </c>
      <c r="G2847" t="s">
        <v>26</v>
      </c>
      <c r="H2847" t="s">
        <v>27</v>
      </c>
      <c r="I2847" t="s">
        <v>86</v>
      </c>
      <c r="J2847">
        <v>235.55</v>
      </c>
      <c r="K2847">
        <v>0.01</v>
      </c>
      <c r="L2847">
        <v>0.4</v>
      </c>
      <c r="M2847">
        <v>16.87</v>
      </c>
      <c r="N2847">
        <v>-30.625</v>
      </c>
      <c r="O2847" s="1" t="s">
        <v>40</v>
      </c>
      <c r="P2847" s="1" t="s">
        <v>4666</v>
      </c>
      <c r="Q2847" s="1" t="s">
        <v>4667</v>
      </c>
      <c r="R2847" s="1" t="s">
        <v>43</v>
      </c>
      <c r="S2847" s="1" t="s">
        <v>4668</v>
      </c>
      <c r="T2847" s="1" t="s">
        <v>4669</v>
      </c>
      <c r="U2847" s="2" t="s">
        <v>1488</v>
      </c>
      <c r="V2847" s="2" t="s">
        <v>47</v>
      </c>
      <c r="W2847" s="2" t="s">
        <v>74</v>
      </c>
      <c r="X2847" s="2">
        <v>29.19</v>
      </c>
    </row>
    <row r="2848" spans="1:24" x14ac:dyDescent="0.3">
      <c r="A2848">
        <v>2071</v>
      </c>
      <c r="B2848" t="s">
        <v>7441</v>
      </c>
      <c r="C2848" s="3">
        <v>40933</v>
      </c>
      <c r="D2848" t="s">
        <v>50</v>
      </c>
      <c r="E2848">
        <v>27</v>
      </c>
      <c r="F2848" s="3">
        <f ca="1">40934+(RANDBETWEEN(1,10))</f>
        <v>40941</v>
      </c>
      <c r="G2848" t="s">
        <v>76</v>
      </c>
      <c r="H2848" t="s">
        <v>258</v>
      </c>
      <c r="I2848" t="s">
        <v>97</v>
      </c>
      <c r="J2848">
        <v>5544.35</v>
      </c>
      <c r="K2848">
        <v>7.0000000000000007E-2</v>
      </c>
      <c r="L2848">
        <v>0.61</v>
      </c>
      <c r="M2848">
        <v>128.13499999999999</v>
      </c>
      <c r="N2848">
        <v>-2678.0320000000002</v>
      </c>
      <c r="O2848" s="1" t="s">
        <v>87</v>
      </c>
      <c r="P2848" s="1" t="s">
        <v>309</v>
      </c>
      <c r="Q2848" s="1" t="s">
        <v>310</v>
      </c>
      <c r="R2848" s="1" t="s">
        <v>90</v>
      </c>
      <c r="S2848" s="1" t="s">
        <v>91</v>
      </c>
      <c r="T2848" s="1" t="s">
        <v>311</v>
      </c>
      <c r="U2848" s="2" t="s">
        <v>4050</v>
      </c>
      <c r="V2848" s="2" t="s">
        <v>83</v>
      </c>
      <c r="W2848" s="2" t="s">
        <v>298</v>
      </c>
      <c r="X2848" s="2">
        <v>203.49</v>
      </c>
    </row>
    <row r="2849" spans="1:24" x14ac:dyDescent="0.3">
      <c r="A2849">
        <v>20710</v>
      </c>
      <c r="B2849" t="s">
        <v>7457</v>
      </c>
      <c r="C2849" s="3">
        <v>41014</v>
      </c>
      <c r="D2849" t="s">
        <v>39</v>
      </c>
      <c r="E2849">
        <v>5</v>
      </c>
      <c r="F2849" s="3">
        <f ca="1">41015+(RANDBETWEEN(1,10))</f>
        <v>41023</v>
      </c>
      <c r="G2849" t="s">
        <v>156</v>
      </c>
      <c r="H2849" t="s">
        <v>27</v>
      </c>
      <c r="I2849" t="s">
        <v>86</v>
      </c>
      <c r="J2849">
        <v>2377.3049999999998</v>
      </c>
      <c r="K2849">
        <v>0.02</v>
      </c>
      <c r="L2849">
        <v>0.57999999999999996</v>
      </c>
      <c r="M2849">
        <v>31.465</v>
      </c>
      <c r="N2849">
        <v>965.19150000000002</v>
      </c>
      <c r="O2849" s="1" t="s">
        <v>40</v>
      </c>
      <c r="P2849" s="1" t="s">
        <v>4666</v>
      </c>
      <c r="Q2849" s="1" t="s">
        <v>4667</v>
      </c>
      <c r="R2849" s="1" t="s">
        <v>43</v>
      </c>
      <c r="S2849" s="1" t="s">
        <v>4668</v>
      </c>
      <c r="T2849" s="1" t="s">
        <v>4669</v>
      </c>
      <c r="U2849" s="2" t="s">
        <v>307</v>
      </c>
      <c r="V2849" s="2" t="s">
        <v>36</v>
      </c>
      <c r="W2849" s="2" t="s">
        <v>37</v>
      </c>
      <c r="X2849" s="2">
        <v>545.96500000000003</v>
      </c>
    </row>
    <row r="2850" spans="1:24" x14ac:dyDescent="0.3">
      <c r="A2850">
        <v>20711</v>
      </c>
      <c r="B2850" t="s">
        <v>7457</v>
      </c>
      <c r="C2850" s="3">
        <v>41014</v>
      </c>
      <c r="D2850" t="s">
        <v>39</v>
      </c>
      <c r="E2850">
        <v>4</v>
      </c>
      <c r="F2850" s="3">
        <f ca="1">41017+(RANDBETWEEN(1,10))</f>
        <v>41019</v>
      </c>
      <c r="G2850" t="s">
        <v>156</v>
      </c>
      <c r="H2850" t="s">
        <v>96</v>
      </c>
      <c r="I2850" t="s">
        <v>86</v>
      </c>
      <c r="J2850">
        <v>1032.0450000000001</v>
      </c>
      <c r="K2850">
        <v>7.0000000000000007E-2</v>
      </c>
      <c r="L2850">
        <v>0.55000000000000004</v>
      </c>
      <c r="M2850">
        <v>3.4649999999999999</v>
      </c>
      <c r="N2850">
        <v>340.89299999999997</v>
      </c>
      <c r="O2850" s="1" t="s">
        <v>87</v>
      </c>
      <c r="P2850" s="1" t="s">
        <v>7458</v>
      </c>
      <c r="Q2850" s="1" t="s">
        <v>7459</v>
      </c>
      <c r="R2850" s="1" t="s">
        <v>497</v>
      </c>
      <c r="S2850" s="1" t="s">
        <v>7460</v>
      </c>
      <c r="T2850" s="1" t="s">
        <v>7461</v>
      </c>
      <c r="U2850" s="2" t="s">
        <v>5311</v>
      </c>
      <c r="V2850" s="2" t="s">
        <v>36</v>
      </c>
      <c r="W2850" s="2" t="s">
        <v>37</v>
      </c>
      <c r="X2850" s="2">
        <v>300.96499999999997</v>
      </c>
    </row>
    <row r="2851" spans="1:24" x14ac:dyDescent="0.3">
      <c r="A2851">
        <v>20712</v>
      </c>
      <c r="B2851" t="s">
        <v>7462</v>
      </c>
      <c r="C2851" s="3">
        <v>40649</v>
      </c>
      <c r="D2851" t="s">
        <v>62</v>
      </c>
      <c r="E2851">
        <v>2</v>
      </c>
      <c r="F2851" s="3">
        <f ca="1">40650+(RANDBETWEEN(1,10))</f>
        <v>40660</v>
      </c>
      <c r="G2851" t="s">
        <v>76</v>
      </c>
      <c r="H2851" t="s">
        <v>77</v>
      </c>
      <c r="I2851" t="s">
        <v>28</v>
      </c>
      <c r="J2851">
        <v>16958.445</v>
      </c>
      <c r="K2851">
        <v>0.05</v>
      </c>
      <c r="L2851">
        <v>0.56999999999999995</v>
      </c>
      <c r="M2851">
        <v>103.95</v>
      </c>
      <c r="N2851">
        <v>-13898.719800000001</v>
      </c>
      <c r="O2851" s="1" t="s">
        <v>40</v>
      </c>
      <c r="P2851" s="1" t="s">
        <v>6622</v>
      </c>
      <c r="Q2851" s="1" t="s">
        <v>6623</v>
      </c>
      <c r="R2851" s="1" t="s">
        <v>43</v>
      </c>
      <c r="S2851" s="1" t="s">
        <v>6624</v>
      </c>
      <c r="T2851" s="1" t="s">
        <v>6625</v>
      </c>
      <c r="U2851" s="2" t="s">
        <v>2100</v>
      </c>
      <c r="V2851" s="2" t="s">
        <v>36</v>
      </c>
      <c r="W2851" s="2" t="s">
        <v>142</v>
      </c>
      <c r="X2851" s="2">
        <v>8925.49</v>
      </c>
    </row>
    <row r="2852" spans="1:24" x14ac:dyDescent="0.3">
      <c r="A2852">
        <v>20713</v>
      </c>
      <c r="B2852" t="s">
        <v>7463</v>
      </c>
      <c r="C2852" s="3">
        <v>41944</v>
      </c>
      <c r="D2852" t="s">
        <v>50</v>
      </c>
      <c r="E2852">
        <v>32</v>
      </c>
      <c r="F2852" s="3">
        <f ca="1">41946+(RANDBETWEEN(1,10))</f>
        <v>41950</v>
      </c>
      <c r="G2852" t="s">
        <v>26</v>
      </c>
      <c r="H2852" t="s">
        <v>51</v>
      </c>
      <c r="I2852" t="s">
        <v>97</v>
      </c>
      <c r="J2852">
        <v>219.73</v>
      </c>
      <c r="K2852">
        <v>0.1</v>
      </c>
      <c r="L2852">
        <v>0.55000000000000004</v>
      </c>
      <c r="M2852">
        <v>8.9600000000000009</v>
      </c>
      <c r="N2852">
        <v>-8.9179999999999993</v>
      </c>
      <c r="O2852" s="1" t="s">
        <v>29</v>
      </c>
      <c r="P2852" s="1" t="s">
        <v>4213</v>
      </c>
      <c r="Q2852" s="1" t="s">
        <v>4214</v>
      </c>
      <c r="R2852" s="1" t="s">
        <v>675</v>
      </c>
      <c r="S2852" s="1" t="s">
        <v>4215</v>
      </c>
      <c r="T2852" s="1" t="s">
        <v>4216</v>
      </c>
      <c r="U2852" s="2" t="s">
        <v>401</v>
      </c>
      <c r="V2852" s="2" t="s">
        <v>47</v>
      </c>
      <c r="W2852" s="2" t="s">
        <v>94</v>
      </c>
      <c r="X2852" s="2">
        <v>7.28</v>
      </c>
    </row>
    <row r="2853" spans="1:24" x14ac:dyDescent="0.3">
      <c r="A2853">
        <v>20714</v>
      </c>
      <c r="B2853" t="s">
        <v>7464</v>
      </c>
      <c r="C2853" s="3">
        <v>41630</v>
      </c>
      <c r="D2853" t="s">
        <v>39</v>
      </c>
      <c r="E2853">
        <v>2</v>
      </c>
      <c r="F2853" s="3">
        <f ca="1">41631+(RANDBETWEEN(1,10))</f>
        <v>41641</v>
      </c>
      <c r="G2853" t="s">
        <v>26</v>
      </c>
      <c r="H2853" t="s">
        <v>51</v>
      </c>
      <c r="I2853" t="s">
        <v>28</v>
      </c>
      <c r="J2853">
        <v>215.39</v>
      </c>
      <c r="K2853">
        <v>0</v>
      </c>
      <c r="L2853">
        <v>0.55000000000000004</v>
      </c>
      <c r="M2853">
        <v>21.594999999999999</v>
      </c>
      <c r="N2853">
        <v>-50.662500000000001</v>
      </c>
      <c r="O2853" s="1" t="s">
        <v>87</v>
      </c>
      <c r="P2853" s="1" t="s">
        <v>7465</v>
      </c>
      <c r="Q2853" s="1" t="s">
        <v>7466</v>
      </c>
      <c r="R2853" s="1" t="s">
        <v>497</v>
      </c>
      <c r="S2853" s="1" t="s">
        <v>7467</v>
      </c>
      <c r="T2853" s="1" t="s">
        <v>7468</v>
      </c>
      <c r="U2853" s="2" t="s">
        <v>1755</v>
      </c>
      <c r="V2853" s="2" t="s">
        <v>47</v>
      </c>
      <c r="W2853" s="2" t="s">
        <v>104</v>
      </c>
      <c r="X2853" s="2">
        <v>98.525000000000006</v>
      </c>
    </row>
    <row r="2854" spans="1:24" x14ac:dyDescent="0.3">
      <c r="A2854">
        <v>20715</v>
      </c>
      <c r="B2854" t="s">
        <v>7464</v>
      </c>
      <c r="C2854" s="3">
        <v>41630</v>
      </c>
      <c r="D2854" t="s">
        <v>39</v>
      </c>
      <c r="E2854">
        <v>21</v>
      </c>
      <c r="F2854" s="3">
        <f ca="1">41631+(RANDBETWEEN(1,10))</f>
        <v>41637</v>
      </c>
      <c r="G2854" t="s">
        <v>156</v>
      </c>
      <c r="H2854" t="s">
        <v>96</v>
      </c>
      <c r="I2854" t="s">
        <v>28</v>
      </c>
      <c r="J2854">
        <v>204.64500000000001</v>
      </c>
      <c r="K2854">
        <v>0.06</v>
      </c>
      <c r="L2854">
        <v>0.59</v>
      </c>
      <c r="M2854">
        <v>4.375</v>
      </c>
      <c r="N2854">
        <v>-17.517499999999998</v>
      </c>
      <c r="O2854" s="1" t="s">
        <v>87</v>
      </c>
      <c r="P2854" s="1" t="s">
        <v>7465</v>
      </c>
      <c r="Q2854" s="1" t="s">
        <v>7466</v>
      </c>
      <c r="R2854" s="1" t="s">
        <v>497</v>
      </c>
      <c r="S2854" s="1" t="s">
        <v>7467</v>
      </c>
      <c r="T2854" s="1" t="s">
        <v>7468</v>
      </c>
      <c r="U2854" s="2" t="s">
        <v>2386</v>
      </c>
      <c r="V2854" s="2" t="s">
        <v>47</v>
      </c>
      <c r="W2854" s="2" t="s">
        <v>104</v>
      </c>
      <c r="X2854" s="2">
        <v>9.73</v>
      </c>
    </row>
    <row r="2855" spans="1:24" x14ac:dyDescent="0.3">
      <c r="A2855">
        <v>20716</v>
      </c>
      <c r="B2855" t="s">
        <v>7469</v>
      </c>
      <c r="C2855" s="3">
        <v>41659</v>
      </c>
      <c r="D2855" t="s">
        <v>25</v>
      </c>
      <c r="E2855">
        <v>10</v>
      </c>
      <c r="F2855" s="3">
        <f ca="1">41661+(RANDBETWEEN(1,10))</f>
        <v>41664</v>
      </c>
      <c r="G2855" t="s">
        <v>26</v>
      </c>
      <c r="H2855" t="s">
        <v>281</v>
      </c>
      <c r="I2855" t="s">
        <v>28</v>
      </c>
      <c r="J2855">
        <v>877.27499999999998</v>
      </c>
      <c r="K2855">
        <v>0.03</v>
      </c>
      <c r="L2855">
        <v>0.38</v>
      </c>
      <c r="M2855">
        <v>22.05</v>
      </c>
      <c r="N2855">
        <v>605.31975</v>
      </c>
      <c r="O2855" s="1" t="s">
        <v>87</v>
      </c>
      <c r="P2855" s="1" t="s">
        <v>2640</v>
      </c>
      <c r="Q2855" s="1" t="s">
        <v>2641</v>
      </c>
      <c r="R2855" s="1" t="s">
        <v>90</v>
      </c>
      <c r="S2855" s="1" t="s">
        <v>2642</v>
      </c>
      <c r="T2855" s="1" t="s">
        <v>2643</v>
      </c>
      <c r="U2855" s="2" t="s">
        <v>3736</v>
      </c>
      <c r="V2855" s="2" t="s">
        <v>36</v>
      </c>
      <c r="W2855" s="2" t="s">
        <v>142</v>
      </c>
      <c r="X2855" s="2">
        <v>83.965000000000003</v>
      </c>
    </row>
    <row r="2856" spans="1:24" x14ac:dyDescent="0.3">
      <c r="A2856">
        <v>20717</v>
      </c>
      <c r="B2856" t="s">
        <v>7469</v>
      </c>
      <c r="C2856" s="3">
        <v>41659</v>
      </c>
      <c r="D2856" t="s">
        <v>25</v>
      </c>
      <c r="E2856">
        <v>1</v>
      </c>
      <c r="F2856" s="3">
        <f ca="1">41659+(RANDBETWEEN(1,10))</f>
        <v>41667</v>
      </c>
      <c r="G2856" t="s">
        <v>26</v>
      </c>
      <c r="H2856" t="s">
        <v>27</v>
      </c>
      <c r="I2856" t="s">
        <v>28</v>
      </c>
      <c r="J2856">
        <v>200.62</v>
      </c>
      <c r="K2856">
        <v>7.0000000000000007E-2</v>
      </c>
      <c r="L2856">
        <v>0.57999999999999996</v>
      </c>
      <c r="M2856">
        <v>31.465</v>
      </c>
      <c r="N2856">
        <v>-1286.25882</v>
      </c>
      <c r="O2856" s="1" t="s">
        <v>87</v>
      </c>
      <c r="P2856" s="1" t="s">
        <v>2640</v>
      </c>
      <c r="Q2856" s="1" t="s">
        <v>2641</v>
      </c>
      <c r="R2856" s="1" t="s">
        <v>90</v>
      </c>
      <c r="S2856" s="1" t="s">
        <v>2642</v>
      </c>
      <c r="T2856" s="1" t="s">
        <v>2643</v>
      </c>
      <c r="U2856" s="2" t="s">
        <v>4501</v>
      </c>
      <c r="V2856" s="2" t="s">
        <v>36</v>
      </c>
      <c r="W2856" s="2" t="s">
        <v>37</v>
      </c>
      <c r="X2856" s="2">
        <v>230.965</v>
      </c>
    </row>
    <row r="2857" spans="1:24" x14ac:dyDescent="0.3">
      <c r="A2857">
        <v>20718</v>
      </c>
      <c r="B2857" t="s">
        <v>7470</v>
      </c>
      <c r="C2857" s="3">
        <v>41524</v>
      </c>
      <c r="D2857" t="s">
        <v>62</v>
      </c>
      <c r="E2857">
        <v>10</v>
      </c>
      <c r="F2857" s="3">
        <f ca="1">41525+(RANDBETWEEN(1,10))</f>
        <v>41532</v>
      </c>
      <c r="G2857" t="s">
        <v>26</v>
      </c>
      <c r="H2857" t="s">
        <v>96</v>
      </c>
      <c r="I2857" t="s">
        <v>28</v>
      </c>
      <c r="J2857">
        <v>117.32</v>
      </c>
      <c r="K2857">
        <v>0.04</v>
      </c>
      <c r="L2857">
        <v>0.84</v>
      </c>
      <c r="M2857">
        <v>6.72</v>
      </c>
      <c r="N2857">
        <v>1770.5519999999999</v>
      </c>
      <c r="O2857" s="1" t="s">
        <v>40</v>
      </c>
      <c r="P2857" s="1" t="s">
        <v>7471</v>
      </c>
      <c r="Q2857" s="1" t="s">
        <v>7472</v>
      </c>
      <c r="R2857" s="1" t="s">
        <v>220</v>
      </c>
      <c r="S2857" s="1" t="s">
        <v>7473</v>
      </c>
      <c r="T2857" s="1" t="s">
        <v>7474</v>
      </c>
      <c r="U2857" s="2" t="s">
        <v>524</v>
      </c>
      <c r="V2857" s="2" t="s">
        <v>47</v>
      </c>
      <c r="W2857" s="2" t="s">
        <v>94</v>
      </c>
      <c r="X2857" s="2">
        <v>10.99</v>
      </c>
    </row>
    <row r="2858" spans="1:24" x14ac:dyDescent="0.3">
      <c r="A2858">
        <v>20719</v>
      </c>
      <c r="B2858" t="s">
        <v>7470</v>
      </c>
      <c r="C2858" s="3">
        <v>41524</v>
      </c>
      <c r="D2858" t="s">
        <v>62</v>
      </c>
      <c r="E2858">
        <v>7</v>
      </c>
      <c r="F2858" s="3">
        <f ca="1">41525+(RANDBETWEEN(1,10))</f>
        <v>41526</v>
      </c>
      <c r="G2858" t="s">
        <v>156</v>
      </c>
      <c r="H2858" t="s">
        <v>281</v>
      </c>
      <c r="I2858" t="s">
        <v>28</v>
      </c>
      <c r="J2858">
        <v>230.02</v>
      </c>
      <c r="K2858">
        <v>0.08</v>
      </c>
      <c r="L2858">
        <v>0.59</v>
      </c>
      <c r="M2858">
        <v>22.75</v>
      </c>
      <c r="N2858">
        <v>-3032.855</v>
      </c>
      <c r="O2858" s="1" t="s">
        <v>40</v>
      </c>
      <c r="P2858" s="1" t="s">
        <v>7471</v>
      </c>
      <c r="Q2858" s="1" t="s">
        <v>7472</v>
      </c>
      <c r="R2858" s="1" t="s">
        <v>220</v>
      </c>
      <c r="S2858" s="1" t="s">
        <v>7473</v>
      </c>
      <c r="T2858" s="1" t="s">
        <v>7474</v>
      </c>
      <c r="U2858" s="2" t="s">
        <v>2913</v>
      </c>
      <c r="V2858" s="2" t="s">
        <v>47</v>
      </c>
      <c r="W2858" s="2" t="s">
        <v>119</v>
      </c>
      <c r="X2858" s="2">
        <v>27.93</v>
      </c>
    </row>
    <row r="2859" spans="1:24" x14ac:dyDescent="0.3">
      <c r="A2859">
        <v>20720</v>
      </c>
      <c r="B2859" t="s">
        <v>7475</v>
      </c>
      <c r="C2859" s="3">
        <v>41398</v>
      </c>
      <c r="D2859" t="s">
        <v>39</v>
      </c>
      <c r="E2859">
        <v>10</v>
      </c>
      <c r="F2859" s="3">
        <f ca="1">41400+(RANDBETWEEN(1,10))</f>
        <v>41406</v>
      </c>
      <c r="G2859" t="s">
        <v>156</v>
      </c>
      <c r="H2859" t="s">
        <v>281</v>
      </c>
      <c r="I2859" t="s">
        <v>52</v>
      </c>
      <c r="J2859">
        <v>526.04999999999995</v>
      </c>
      <c r="K2859">
        <v>0.05</v>
      </c>
      <c r="L2859">
        <v>0.52</v>
      </c>
      <c r="M2859">
        <v>23.625</v>
      </c>
      <c r="N2859">
        <v>513.34500000000003</v>
      </c>
      <c r="O2859" s="1" t="s">
        <v>87</v>
      </c>
      <c r="P2859" s="1" t="s">
        <v>1256</v>
      </c>
      <c r="Q2859" s="1" t="s">
        <v>1257</v>
      </c>
      <c r="R2859" s="1" t="s">
        <v>398</v>
      </c>
      <c r="S2859" s="1" t="s">
        <v>1258</v>
      </c>
      <c r="T2859" s="1" t="s">
        <v>1259</v>
      </c>
      <c r="U2859" s="2" t="s">
        <v>1196</v>
      </c>
      <c r="V2859" s="2" t="s">
        <v>47</v>
      </c>
      <c r="W2859" s="2" t="s">
        <v>71</v>
      </c>
      <c r="X2859" s="2">
        <v>50.47</v>
      </c>
    </row>
    <row r="2860" spans="1:24" x14ac:dyDescent="0.3">
      <c r="A2860">
        <v>20721</v>
      </c>
      <c r="B2860" t="s">
        <v>7475</v>
      </c>
      <c r="C2860" s="3">
        <v>41398</v>
      </c>
      <c r="D2860" t="s">
        <v>39</v>
      </c>
      <c r="E2860">
        <v>14</v>
      </c>
      <c r="F2860" s="3">
        <f ca="1">41399+(RANDBETWEEN(1,10))</f>
        <v>41401</v>
      </c>
      <c r="G2860" t="s">
        <v>76</v>
      </c>
      <c r="H2860" t="s">
        <v>258</v>
      </c>
      <c r="I2860" t="s">
        <v>52</v>
      </c>
      <c r="J2860">
        <v>1490.58</v>
      </c>
      <c r="K2860">
        <v>0.1</v>
      </c>
      <c r="L2860">
        <v>0.65</v>
      </c>
      <c r="M2860">
        <v>159.285</v>
      </c>
      <c r="N2860">
        <v>-42.63</v>
      </c>
      <c r="O2860" s="1" t="s">
        <v>87</v>
      </c>
      <c r="P2860" s="1" t="s">
        <v>1256</v>
      </c>
      <c r="Q2860" s="1" t="s">
        <v>1257</v>
      </c>
      <c r="R2860" s="1" t="s">
        <v>398</v>
      </c>
      <c r="S2860" s="1" t="s">
        <v>1258</v>
      </c>
      <c r="T2860" s="1" t="s">
        <v>1259</v>
      </c>
      <c r="U2860" s="2" t="s">
        <v>1566</v>
      </c>
      <c r="V2860" s="2" t="s">
        <v>83</v>
      </c>
      <c r="W2860" s="2" t="s">
        <v>263</v>
      </c>
      <c r="X2860" s="2">
        <v>111.16</v>
      </c>
    </row>
    <row r="2861" spans="1:24" x14ac:dyDescent="0.3">
      <c r="A2861">
        <v>20722</v>
      </c>
      <c r="B2861" t="s">
        <v>7476</v>
      </c>
      <c r="C2861" s="3">
        <v>41792</v>
      </c>
      <c r="D2861" t="s">
        <v>62</v>
      </c>
      <c r="E2861">
        <v>11</v>
      </c>
      <c r="F2861" s="3">
        <f ca="1">41793+(RANDBETWEEN(1,10))</f>
        <v>41797</v>
      </c>
      <c r="G2861" t="s">
        <v>76</v>
      </c>
      <c r="H2861" t="s">
        <v>77</v>
      </c>
      <c r="I2861" t="s">
        <v>28</v>
      </c>
      <c r="J2861">
        <v>3727.8150000000001</v>
      </c>
      <c r="K2861">
        <v>0.01</v>
      </c>
      <c r="L2861">
        <v>0.66</v>
      </c>
      <c r="M2861">
        <v>147</v>
      </c>
      <c r="N2861">
        <v>-862.00800000000004</v>
      </c>
      <c r="O2861" s="1" t="s">
        <v>87</v>
      </c>
      <c r="P2861" s="1" t="s">
        <v>4239</v>
      </c>
      <c r="Q2861" s="1" t="s">
        <v>4240</v>
      </c>
      <c r="R2861" s="1" t="s">
        <v>90</v>
      </c>
      <c r="S2861" s="1" t="s">
        <v>4241</v>
      </c>
      <c r="T2861" s="1" t="s">
        <v>4242</v>
      </c>
      <c r="U2861" s="2" t="s">
        <v>2462</v>
      </c>
      <c r="V2861" s="2" t="s">
        <v>83</v>
      </c>
      <c r="W2861" s="2" t="s">
        <v>84</v>
      </c>
      <c r="X2861" s="2">
        <v>314.96499999999997</v>
      </c>
    </row>
    <row r="2862" spans="1:24" x14ac:dyDescent="0.3">
      <c r="A2862">
        <v>20723</v>
      </c>
      <c r="B2862" t="s">
        <v>7476</v>
      </c>
      <c r="C2862" s="3">
        <v>41792</v>
      </c>
      <c r="D2862" t="s">
        <v>62</v>
      </c>
      <c r="E2862">
        <v>13</v>
      </c>
      <c r="F2862" s="3">
        <f ca="1">41794+(RANDBETWEEN(1,10))</f>
        <v>41804</v>
      </c>
      <c r="G2862" t="s">
        <v>26</v>
      </c>
      <c r="H2862" t="s">
        <v>27</v>
      </c>
      <c r="I2862" t="s">
        <v>28</v>
      </c>
      <c r="J2862">
        <v>2448.81</v>
      </c>
      <c r="K2862">
        <v>0.05</v>
      </c>
      <c r="L2862">
        <v>0.56999999999999995</v>
      </c>
      <c r="M2862">
        <v>13.965</v>
      </c>
      <c r="N2862">
        <v>1543.3362</v>
      </c>
      <c r="O2862" s="1" t="s">
        <v>87</v>
      </c>
      <c r="P2862" s="1" t="s">
        <v>4239</v>
      </c>
      <c r="Q2862" s="1" t="s">
        <v>4240</v>
      </c>
      <c r="R2862" s="1" t="s">
        <v>90</v>
      </c>
      <c r="S2862" s="1" t="s">
        <v>4241</v>
      </c>
      <c r="T2862" s="1" t="s">
        <v>4242</v>
      </c>
      <c r="U2862" s="2" t="s">
        <v>6278</v>
      </c>
      <c r="V2862" s="2" t="s">
        <v>36</v>
      </c>
      <c r="W2862" s="2" t="s">
        <v>37</v>
      </c>
      <c r="X2862" s="2">
        <v>230.965</v>
      </c>
    </row>
    <row r="2863" spans="1:24" x14ac:dyDescent="0.3">
      <c r="A2863">
        <v>20724</v>
      </c>
      <c r="B2863" t="s">
        <v>7477</v>
      </c>
      <c r="C2863" s="3">
        <v>41893</v>
      </c>
      <c r="D2863" t="s">
        <v>50</v>
      </c>
      <c r="E2863">
        <v>18</v>
      </c>
      <c r="F2863" s="3">
        <f ca="1">41893+(RANDBETWEEN(1,10))</f>
        <v>41897</v>
      </c>
      <c r="G2863" t="s">
        <v>26</v>
      </c>
      <c r="H2863" t="s">
        <v>27</v>
      </c>
      <c r="I2863" t="s">
        <v>97</v>
      </c>
      <c r="J2863">
        <v>232.47</v>
      </c>
      <c r="K2863">
        <v>7.0000000000000007E-2</v>
      </c>
      <c r="L2863">
        <v>0.37</v>
      </c>
      <c r="M2863">
        <v>19.145</v>
      </c>
      <c r="N2863">
        <v>-417.40215999999998</v>
      </c>
      <c r="O2863" s="1" t="s">
        <v>40</v>
      </c>
      <c r="P2863" s="1" t="s">
        <v>7478</v>
      </c>
      <c r="Q2863" s="1" t="s">
        <v>7479</v>
      </c>
      <c r="R2863" s="1" t="s">
        <v>43</v>
      </c>
      <c r="S2863" s="1" t="s">
        <v>7480</v>
      </c>
      <c r="T2863" s="1" t="s">
        <v>7481</v>
      </c>
      <c r="U2863" s="2" t="s">
        <v>879</v>
      </c>
      <c r="V2863" s="2" t="s">
        <v>47</v>
      </c>
      <c r="W2863" s="2" t="s">
        <v>111</v>
      </c>
      <c r="X2863" s="2">
        <v>12.53</v>
      </c>
    </row>
    <row r="2864" spans="1:24" x14ac:dyDescent="0.3">
      <c r="A2864">
        <v>20725</v>
      </c>
      <c r="B2864" t="s">
        <v>7482</v>
      </c>
      <c r="C2864" s="3">
        <v>41283</v>
      </c>
      <c r="D2864" t="s">
        <v>39</v>
      </c>
      <c r="E2864">
        <v>2</v>
      </c>
      <c r="F2864" s="3">
        <f ca="1">41283+(RANDBETWEEN(1,10))</f>
        <v>41286</v>
      </c>
      <c r="G2864" t="s">
        <v>26</v>
      </c>
      <c r="H2864" t="s">
        <v>27</v>
      </c>
      <c r="I2864" t="s">
        <v>97</v>
      </c>
      <c r="J2864">
        <v>333.97</v>
      </c>
      <c r="K2864">
        <v>0.04</v>
      </c>
      <c r="L2864">
        <v>0.44</v>
      </c>
      <c r="M2864">
        <v>23.695</v>
      </c>
      <c r="N2864">
        <v>4.9560000000000004</v>
      </c>
      <c r="O2864" s="1" t="s">
        <v>53</v>
      </c>
      <c r="P2864" s="1" t="s">
        <v>7483</v>
      </c>
      <c r="Q2864" s="1" t="s">
        <v>7484</v>
      </c>
      <c r="R2864" s="1" t="s">
        <v>56</v>
      </c>
      <c r="S2864" s="1" t="s">
        <v>7485</v>
      </c>
      <c r="T2864" s="1" t="s">
        <v>7486</v>
      </c>
      <c r="U2864" s="2" t="s">
        <v>4573</v>
      </c>
      <c r="V2864" s="2" t="s">
        <v>83</v>
      </c>
      <c r="W2864" s="2" t="s">
        <v>178</v>
      </c>
      <c r="X2864" s="2">
        <v>164.29</v>
      </c>
    </row>
    <row r="2865" spans="1:24" x14ac:dyDescent="0.3">
      <c r="A2865">
        <v>20726</v>
      </c>
      <c r="B2865" t="s">
        <v>7487</v>
      </c>
      <c r="C2865" s="3">
        <v>41650</v>
      </c>
      <c r="D2865" t="s">
        <v>39</v>
      </c>
      <c r="E2865">
        <v>9</v>
      </c>
      <c r="F2865" s="3">
        <f ca="1">41651+(RANDBETWEEN(1,10))</f>
        <v>41655</v>
      </c>
      <c r="G2865" t="s">
        <v>26</v>
      </c>
      <c r="H2865" t="s">
        <v>51</v>
      </c>
      <c r="I2865" t="s">
        <v>28</v>
      </c>
      <c r="J2865">
        <v>1161.895</v>
      </c>
      <c r="K2865">
        <v>0.06</v>
      </c>
      <c r="L2865">
        <v>0.51</v>
      </c>
      <c r="M2865">
        <v>6.9649999999999999</v>
      </c>
      <c r="N2865">
        <v>801.70754999999997</v>
      </c>
      <c r="O2865" s="1" t="s">
        <v>29</v>
      </c>
      <c r="P2865" s="1" t="s">
        <v>1893</v>
      </c>
      <c r="Q2865" s="1" t="s">
        <v>1894</v>
      </c>
      <c r="R2865" s="1" t="s">
        <v>32</v>
      </c>
      <c r="S2865" s="1" t="s">
        <v>1895</v>
      </c>
      <c r="T2865" s="1" t="s">
        <v>1896</v>
      </c>
      <c r="U2865" s="2" t="s">
        <v>7488</v>
      </c>
      <c r="V2865" s="2" t="s">
        <v>36</v>
      </c>
      <c r="W2865" s="2" t="s">
        <v>60</v>
      </c>
      <c r="X2865" s="2">
        <v>137.34</v>
      </c>
    </row>
    <row r="2866" spans="1:24" x14ac:dyDescent="0.3">
      <c r="A2866">
        <v>20727</v>
      </c>
      <c r="B2866" t="s">
        <v>7489</v>
      </c>
      <c r="C2866" s="3">
        <v>41136</v>
      </c>
      <c r="D2866" t="s">
        <v>148</v>
      </c>
      <c r="E2866">
        <v>1</v>
      </c>
      <c r="F2866" s="3">
        <f ca="1">41136+(RANDBETWEEN(1,10))</f>
        <v>41140</v>
      </c>
      <c r="G2866" t="s">
        <v>26</v>
      </c>
      <c r="H2866" t="s">
        <v>281</v>
      </c>
      <c r="I2866" t="s">
        <v>28</v>
      </c>
      <c r="J2866">
        <v>74.06</v>
      </c>
      <c r="K2866">
        <v>0.06</v>
      </c>
      <c r="L2866">
        <v>0.4</v>
      </c>
      <c r="M2866">
        <v>29.785</v>
      </c>
      <c r="N2866">
        <v>-96.603234</v>
      </c>
      <c r="O2866" s="1" t="s">
        <v>29</v>
      </c>
      <c r="P2866" s="1" t="s">
        <v>1893</v>
      </c>
      <c r="Q2866" s="1" t="s">
        <v>1894</v>
      </c>
      <c r="R2866" s="1" t="s">
        <v>32</v>
      </c>
      <c r="S2866" s="1" t="s">
        <v>1895</v>
      </c>
      <c r="T2866" s="1" t="s">
        <v>1896</v>
      </c>
      <c r="U2866" s="2" t="s">
        <v>282</v>
      </c>
      <c r="V2866" s="2" t="s">
        <v>36</v>
      </c>
      <c r="W2866" s="2" t="s">
        <v>142</v>
      </c>
      <c r="X2866" s="2">
        <v>62.93</v>
      </c>
    </row>
    <row r="2867" spans="1:24" x14ac:dyDescent="0.3">
      <c r="A2867">
        <v>20728</v>
      </c>
      <c r="B2867" t="s">
        <v>7489</v>
      </c>
      <c r="C2867" s="3">
        <v>41136</v>
      </c>
      <c r="D2867" t="s">
        <v>148</v>
      </c>
      <c r="E2867">
        <v>5</v>
      </c>
      <c r="F2867" s="3">
        <f ca="1">41138+(RANDBETWEEN(1,10))</f>
        <v>41141</v>
      </c>
      <c r="G2867" t="s">
        <v>26</v>
      </c>
      <c r="H2867" t="s">
        <v>27</v>
      </c>
      <c r="I2867" t="s">
        <v>28</v>
      </c>
      <c r="J2867">
        <v>242.9</v>
      </c>
      <c r="K2867">
        <v>0.04</v>
      </c>
      <c r="L2867">
        <v>0.4</v>
      </c>
      <c r="M2867">
        <v>17.43</v>
      </c>
      <c r="N2867">
        <v>66.089029999999994</v>
      </c>
      <c r="O2867" s="1" t="s">
        <v>40</v>
      </c>
      <c r="P2867" s="1" t="s">
        <v>7490</v>
      </c>
      <c r="Q2867" s="1" t="s">
        <v>7491</v>
      </c>
      <c r="R2867" s="1" t="s">
        <v>43</v>
      </c>
      <c r="S2867" s="1" t="s">
        <v>7492</v>
      </c>
      <c r="T2867" s="1" t="s">
        <v>7493</v>
      </c>
      <c r="U2867" s="2" t="s">
        <v>856</v>
      </c>
      <c r="V2867" s="2" t="s">
        <v>47</v>
      </c>
      <c r="W2867" s="2" t="s">
        <v>111</v>
      </c>
      <c r="X2867" s="2">
        <v>45.325000000000003</v>
      </c>
    </row>
    <row r="2868" spans="1:24" x14ac:dyDescent="0.3">
      <c r="A2868">
        <v>20729</v>
      </c>
      <c r="B2868" t="s">
        <v>7494</v>
      </c>
      <c r="C2868" s="3">
        <v>41134</v>
      </c>
      <c r="D2868" t="s">
        <v>148</v>
      </c>
      <c r="E2868">
        <v>15</v>
      </c>
      <c r="F2868" s="3">
        <f ca="1">41135+(RANDBETWEEN(1,10))</f>
        <v>41141</v>
      </c>
      <c r="G2868" t="s">
        <v>26</v>
      </c>
      <c r="H2868" t="s">
        <v>96</v>
      </c>
      <c r="I2868" t="s">
        <v>52</v>
      </c>
      <c r="J2868">
        <v>76.334999999999994</v>
      </c>
      <c r="K2868">
        <v>0.06</v>
      </c>
      <c r="L2868">
        <v>0.37</v>
      </c>
      <c r="M2868">
        <v>2.4500000000000002</v>
      </c>
      <c r="N2868">
        <v>19.994800000000001</v>
      </c>
      <c r="O2868" s="1" t="s">
        <v>64</v>
      </c>
      <c r="P2868" s="1" t="s">
        <v>5612</v>
      </c>
      <c r="Q2868" s="1" t="s">
        <v>5613</v>
      </c>
      <c r="R2868" s="1" t="s">
        <v>67</v>
      </c>
      <c r="S2868" s="1" t="s">
        <v>5614</v>
      </c>
      <c r="T2868" s="1" t="s">
        <v>5615</v>
      </c>
      <c r="U2868" s="2" t="s">
        <v>3561</v>
      </c>
      <c r="V2868" s="2" t="s">
        <v>47</v>
      </c>
      <c r="W2868" s="2" t="s">
        <v>176</v>
      </c>
      <c r="X2868" s="2">
        <v>5.18</v>
      </c>
    </row>
    <row r="2869" spans="1:24" x14ac:dyDescent="0.3">
      <c r="A2869">
        <v>20730</v>
      </c>
      <c r="B2869" t="s">
        <v>7494</v>
      </c>
      <c r="C2869" s="3">
        <v>41134</v>
      </c>
      <c r="D2869" t="s">
        <v>148</v>
      </c>
      <c r="E2869">
        <v>10</v>
      </c>
      <c r="F2869" s="3">
        <f ca="1">41136+(RANDBETWEEN(1,10))</f>
        <v>41140</v>
      </c>
      <c r="G2869" t="s">
        <v>26</v>
      </c>
      <c r="H2869" t="s">
        <v>27</v>
      </c>
      <c r="I2869" t="s">
        <v>52</v>
      </c>
      <c r="J2869">
        <v>1262.45</v>
      </c>
      <c r="K2869">
        <v>0.1</v>
      </c>
      <c r="L2869">
        <v>0.56999999999999995</v>
      </c>
      <c r="M2869">
        <v>17.465</v>
      </c>
      <c r="N2869">
        <v>132.26094000000001</v>
      </c>
      <c r="O2869" s="1" t="s">
        <v>64</v>
      </c>
      <c r="P2869" s="1" t="s">
        <v>5612</v>
      </c>
      <c r="Q2869" s="1" t="s">
        <v>5613</v>
      </c>
      <c r="R2869" s="1" t="s">
        <v>67</v>
      </c>
      <c r="S2869" s="1" t="s">
        <v>5614</v>
      </c>
      <c r="T2869" s="1" t="s">
        <v>5615</v>
      </c>
      <c r="U2869" s="2" t="s">
        <v>5082</v>
      </c>
      <c r="V2869" s="2" t="s">
        <v>36</v>
      </c>
      <c r="W2869" s="2" t="s">
        <v>37</v>
      </c>
      <c r="X2869" s="2">
        <v>160.965</v>
      </c>
    </row>
    <row r="2870" spans="1:24" x14ac:dyDescent="0.3">
      <c r="A2870">
        <v>20731</v>
      </c>
      <c r="B2870" t="s">
        <v>7495</v>
      </c>
      <c r="C2870" s="3">
        <v>40815</v>
      </c>
      <c r="D2870" t="s">
        <v>25</v>
      </c>
      <c r="E2870">
        <v>2</v>
      </c>
      <c r="F2870" s="3">
        <f ca="1">40822+(RANDBETWEEN(1,10))</f>
        <v>40825</v>
      </c>
      <c r="G2870" t="s">
        <v>26</v>
      </c>
      <c r="H2870" t="s">
        <v>27</v>
      </c>
      <c r="I2870" t="s">
        <v>97</v>
      </c>
      <c r="J2870">
        <v>862.54</v>
      </c>
      <c r="K2870">
        <v>0.03</v>
      </c>
      <c r="L2870">
        <v>0.59</v>
      </c>
      <c r="M2870">
        <v>14.7</v>
      </c>
      <c r="N2870">
        <v>-1605.604</v>
      </c>
      <c r="O2870" s="1" t="s">
        <v>53</v>
      </c>
      <c r="P2870" s="1" t="s">
        <v>7496</v>
      </c>
      <c r="Q2870" s="1" t="s">
        <v>7497</v>
      </c>
      <c r="R2870" s="1" t="s">
        <v>56</v>
      </c>
      <c r="S2870" s="1" t="s">
        <v>7498</v>
      </c>
      <c r="T2870" s="1" t="s">
        <v>7499</v>
      </c>
      <c r="U2870" s="2">
        <v>7160</v>
      </c>
      <c r="V2870" s="2" t="s">
        <v>36</v>
      </c>
      <c r="W2870" s="2" t="s">
        <v>37</v>
      </c>
      <c r="X2870" s="2">
        <v>493.46499999999997</v>
      </c>
    </row>
    <row r="2871" spans="1:24" x14ac:dyDescent="0.3">
      <c r="A2871">
        <v>20732</v>
      </c>
      <c r="B2871" t="s">
        <v>7500</v>
      </c>
      <c r="C2871" s="3">
        <v>41814</v>
      </c>
      <c r="D2871" t="s">
        <v>25</v>
      </c>
      <c r="E2871">
        <v>2</v>
      </c>
      <c r="F2871" s="3">
        <f ca="1">41819+(RANDBETWEEN(1,10))</f>
        <v>41826</v>
      </c>
      <c r="G2871" t="s">
        <v>26</v>
      </c>
      <c r="H2871" t="s">
        <v>281</v>
      </c>
      <c r="I2871" t="s">
        <v>52</v>
      </c>
      <c r="J2871">
        <v>104.72</v>
      </c>
      <c r="K2871">
        <v>0.03</v>
      </c>
      <c r="L2871">
        <v>0.39</v>
      </c>
      <c r="M2871">
        <v>26.285</v>
      </c>
      <c r="N2871">
        <v>-4748.3369919999996</v>
      </c>
      <c r="O2871" s="1" t="s">
        <v>225</v>
      </c>
      <c r="P2871" s="1" t="s">
        <v>3713</v>
      </c>
      <c r="Q2871" s="1" t="s">
        <v>3714</v>
      </c>
      <c r="R2871" s="1" t="s">
        <v>228</v>
      </c>
      <c r="S2871" s="1" t="s">
        <v>3715</v>
      </c>
      <c r="T2871" s="1" t="s">
        <v>3716</v>
      </c>
      <c r="U2871" s="2" t="s">
        <v>1079</v>
      </c>
      <c r="V2871" s="2" t="s">
        <v>36</v>
      </c>
      <c r="W2871" s="2" t="s">
        <v>142</v>
      </c>
      <c r="X2871" s="2">
        <v>48.965000000000003</v>
      </c>
    </row>
    <row r="2872" spans="1:24" x14ac:dyDescent="0.3">
      <c r="A2872">
        <v>20733</v>
      </c>
      <c r="B2872" t="s">
        <v>7501</v>
      </c>
      <c r="C2872" s="3">
        <v>40982</v>
      </c>
      <c r="D2872" t="s">
        <v>148</v>
      </c>
      <c r="E2872">
        <v>10</v>
      </c>
      <c r="F2872" s="3">
        <f ca="1">40984+(RANDBETWEEN(1,10))</f>
        <v>40994</v>
      </c>
      <c r="G2872" t="s">
        <v>26</v>
      </c>
      <c r="H2872" t="s">
        <v>27</v>
      </c>
      <c r="I2872" t="s">
        <v>52</v>
      </c>
      <c r="J2872">
        <v>408.38</v>
      </c>
      <c r="K2872">
        <v>0.09</v>
      </c>
      <c r="L2872">
        <v>0.57999999999999996</v>
      </c>
      <c r="M2872">
        <v>17.43</v>
      </c>
      <c r="N2872">
        <v>-233.43600000000001</v>
      </c>
      <c r="O2872" s="1" t="s">
        <v>225</v>
      </c>
      <c r="P2872" s="1" t="s">
        <v>6358</v>
      </c>
      <c r="Q2872" s="1" t="s">
        <v>6359</v>
      </c>
      <c r="R2872" s="1" t="s">
        <v>228</v>
      </c>
      <c r="S2872" s="1" t="s">
        <v>6360</v>
      </c>
      <c r="T2872" s="1" t="s">
        <v>886</v>
      </c>
      <c r="U2872" s="2" t="s">
        <v>5213</v>
      </c>
      <c r="V2872" s="2" t="s">
        <v>47</v>
      </c>
      <c r="W2872" s="2" t="s">
        <v>71</v>
      </c>
      <c r="X2872" s="2">
        <v>41.895000000000003</v>
      </c>
    </row>
    <row r="2873" spans="1:24" x14ac:dyDescent="0.3">
      <c r="A2873">
        <v>20734</v>
      </c>
      <c r="B2873" t="s">
        <v>7502</v>
      </c>
      <c r="C2873" s="3">
        <v>41991</v>
      </c>
      <c r="D2873" t="s">
        <v>39</v>
      </c>
      <c r="E2873">
        <v>13</v>
      </c>
      <c r="F2873" s="3">
        <f ca="1">41992+(RANDBETWEEN(1,10))</f>
        <v>41993</v>
      </c>
      <c r="G2873" t="s">
        <v>26</v>
      </c>
      <c r="H2873" t="s">
        <v>96</v>
      </c>
      <c r="I2873" t="s">
        <v>86</v>
      </c>
      <c r="J2873">
        <v>1950.62</v>
      </c>
      <c r="K2873">
        <v>0.09</v>
      </c>
      <c r="L2873">
        <v>0.68</v>
      </c>
      <c r="M2873">
        <v>16.8</v>
      </c>
      <c r="N2873">
        <v>1345.9277999999999</v>
      </c>
      <c r="O2873" s="1" t="s">
        <v>87</v>
      </c>
      <c r="P2873" s="1" t="s">
        <v>7503</v>
      </c>
      <c r="Q2873" s="1" t="s">
        <v>7504</v>
      </c>
      <c r="R2873" s="1" t="s">
        <v>398</v>
      </c>
      <c r="S2873" s="1" t="s">
        <v>7505</v>
      </c>
      <c r="T2873" s="1" t="s">
        <v>7506</v>
      </c>
      <c r="U2873" s="2" t="s">
        <v>4047</v>
      </c>
      <c r="V2873" s="2" t="s">
        <v>83</v>
      </c>
      <c r="W2873" s="2" t="s">
        <v>178</v>
      </c>
      <c r="X2873" s="2">
        <v>160.93</v>
      </c>
    </row>
    <row r="2874" spans="1:24" x14ac:dyDescent="0.3">
      <c r="A2874">
        <v>20735</v>
      </c>
      <c r="B2874" t="s">
        <v>7502</v>
      </c>
      <c r="C2874" s="3">
        <v>41991</v>
      </c>
      <c r="D2874" t="s">
        <v>39</v>
      </c>
      <c r="E2874">
        <v>15</v>
      </c>
      <c r="F2874" s="3">
        <f ca="1">41992+(RANDBETWEEN(1,10))</f>
        <v>41993</v>
      </c>
      <c r="G2874" t="s">
        <v>26</v>
      </c>
      <c r="H2874" t="s">
        <v>27</v>
      </c>
      <c r="I2874" t="s">
        <v>86</v>
      </c>
      <c r="J2874">
        <v>15633.415000000001</v>
      </c>
      <c r="K2874">
        <v>0.03</v>
      </c>
      <c r="L2874">
        <v>0.48</v>
      </c>
      <c r="M2874">
        <v>25.13</v>
      </c>
      <c r="N2874">
        <v>10787.056350000001</v>
      </c>
      <c r="O2874" s="1" t="s">
        <v>29</v>
      </c>
      <c r="P2874" s="1" t="s">
        <v>7507</v>
      </c>
      <c r="Q2874" s="1" t="s">
        <v>7508</v>
      </c>
      <c r="R2874" s="1" t="s">
        <v>460</v>
      </c>
      <c r="S2874" s="1" t="s">
        <v>7509</v>
      </c>
      <c r="T2874" s="1" t="s">
        <v>7510</v>
      </c>
      <c r="U2874" s="2" t="s">
        <v>2057</v>
      </c>
      <c r="V2874" s="2" t="s">
        <v>36</v>
      </c>
      <c r="W2874" s="2" t="s">
        <v>60</v>
      </c>
      <c r="X2874" s="2">
        <v>1053.395</v>
      </c>
    </row>
    <row r="2875" spans="1:24" x14ac:dyDescent="0.3">
      <c r="A2875">
        <v>20736</v>
      </c>
      <c r="B2875" t="s">
        <v>7502</v>
      </c>
      <c r="C2875" s="3">
        <v>41991</v>
      </c>
      <c r="D2875" t="s">
        <v>39</v>
      </c>
      <c r="E2875">
        <v>1</v>
      </c>
      <c r="F2875" s="3">
        <f ca="1">41993+(RANDBETWEEN(1,10))</f>
        <v>42002</v>
      </c>
      <c r="G2875" t="s">
        <v>26</v>
      </c>
      <c r="H2875" t="s">
        <v>51</v>
      </c>
      <c r="I2875" t="s">
        <v>86</v>
      </c>
      <c r="J2875">
        <v>111.93</v>
      </c>
      <c r="K2875">
        <v>0</v>
      </c>
      <c r="L2875">
        <v>0.5</v>
      </c>
      <c r="M2875">
        <v>6.9649999999999999</v>
      </c>
      <c r="N2875">
        <v>-140.36735999999999</v>
      </c>
      <c r="O2875" s="1" t="s">
        <v>29</v>
      </c>
      <c r="P2875" s="1" t="s">
        <v>7507</v>
      </c>
      <c r="Q2875" s="1" t="s">
        <v>7508</v>
      </c>
      <c r="R2875" s="1" t="s">
        <v>460</v>
      </c>
      <c r="S2875" s="1" t="s">
        <v>7509</v>
      </c>
      <c r="T2875" s="1" t="s">
        <v>7510</v>
      </c>
      <c r="U2875" s="2" t="s">
        <v>124</v>
      </c>
      <c r="V2875" s="2" t="s">
        <v>36</v>
      </c>
      <c r="W2875" s="2" t="s">
        <v>60</v>
      </c>
      <c r="X2875" s="2">
        <v>104.61499999999999</v>
      </c>
    </row>
    <row r="2876" spans="1:24" x14ac:dyDescent="0.3">
      <c r="A2876">
        <v>20737</v>
      </c>
      <c r="B2876" t="s">
        <v>7502</v>
      </c>
      <c r="C2876" s="3">
        <v>41991</v>
      </c>
      <c r="D2876" t="s">
        <v>39</v>
      </c>
      <c r="E2876">
        <v>25</v>
      </c>
      <c r="F2876" s="3">
        <f ca="1">41992+(RANDBETWEEN(1,10))</f>
        <v>41998</v>
      </c>
      <c r="G2876" t="s">
        <v>26</v>
      </c>
      <c r="H2876" t="s">
        <v>27</v>
      </c>
      <c r="I2876" t="s">
        <v>86</v>
      </c>
      <c r="J2876">
        <v>1457.75</v>
      </c>
      <c r="K2876">
        <v>0</v>
      </c>
      <c r="L2876">
        <v>0.38</v>
      </c>
      <c r="M2876">
        <v>4.8650000000000002</v>
      </c>
      <c r="N2876">
        <v>1005.8475</v>
      </c>
      <c r="O2876" s="1" t="s">
        <v>29</v>
      </c>
      <c r="P2876" s="1" t="s">
        <v>7507</v>
      </c>
      <c r="Q2876" s="1" t="s">
        <v>7508</v>
      </c>
      <c r="R2876" s="1" t="s">
        <v>460</v>
      </c>
      <c r="S2876" s="1" t="s">
        <v>7509</v>
      </c>
      <c r="T2876" s="1" t="s">
        <v>7510</v>
      </c>
      <c r="U2876" s="2" t="s">
        <v>2327</v>
      </c>
      <c r="V2876" s="2" t="s">
        <v>47</v>
      </c>
      <c r="W2876" s="2" t="s">
        <v>48</v>
      </c>
      <c r="X2876" s="2">
        <v>54.494999999999997</v>
      </c>
    </row>
    <row r="2877" spans="1:24" x14ac:dyDescent="0.3">
      <c r="A2877">
        <v>20738</v>
      </c>
      <c r="B2877" t="s">
        <v>7511</v>
      </c>
      <c r="C2877" s="3">
        <v>41125</v>
      </c>
      <c r="D2877" t="s">
        <v>50</v>
      </c>
      <c r="E2877">
        <v>3</v>
      </c>
      <c r="F2877" s="3">
        <f ca="1">41126+(RANDBETWEEN(1,10))</f>
        <v>41136</v>
      </c>
      <c r="G2877" t="s">
        <v>26</v>
      </c>
      <c r="H2877" t="s">
        <v>27</v>
      </c>
      <c r="I2877" t="s">
        <v>28</v>
      </c>
      <c r="J2877">
        <v>218.155</v>
      </c>
      <c r="K2877">
        <v>0.01</v>
      </c>
      <c r="L2877">
        <v>0.37</v>
      </c>
      <c r="M2877">
        <v>18.234999999999999</v>
      </c>
      <c r="N2877">
        <v>365.274</v>
      </c>
      <c r="O2877" s="1" t="s">
        <v>64</v>
      </c>
      <c r="P2877" s="1" t="s">
        <v>2140</v>
      </c>
      <c r="Q2877" s="1" t="s">
        <v>2141</v>
      </c>
      <c r="R2877" s="1" t="s">
        <v>67</v>
      </c>
      <c r="S2877" s="1" t="s">
        <v>2142</v>
      </c>
      <c r="T2877" s="1" t="s">
        <v>2143</v>
      </c>
      <c r="U2877" s="2" t="s">
        <v>4606</v>
      </c>
      <c r="V2877" s="2" t="s">
        <v>47</v>
      </c>
      <c r="W2877" s="2" t="s">
        <v>74</v>
      </c>
      <c r="X2877" s="2">
        <v>66.394999999999996</v>
      </c>
    </row>
    <row r="2878" spans="1:24" x14ac:dyDescent="0.3">
      <c r="A2878">
        <v>20739</v>
      </c>
      <c r="B2878" t="s">
        <v>7512</v>
      </c>
      <c r="C2878" s="3">
        <v>41931</v>
      </c>
      <c r="D2878" t="s">
        <v>50</v>
      </c>
      <c r="E2878">
        <v>12</v>
      </c>
      <c r="F2878" s="3">
        <f ca="1">41931+(RANDBETWEEN(1,10))</f>
        <v>41941</v>
      </c>
      <c r="G2878" t="s">
        <v>26</v>
      </c>
      <c r="H2878" t="s">
        <v>27</v>
      </c>
      <c r="I2878" t="s">
        <v>28</v>
      </c>
      <c r="J2878">
        <v>614.56500000000005</v>
      </c>
      <c r="K2878">
        <v>0.06</v>
      </c>
      <c r="L2878">
        <v>0.39</v>
      </c>
      <c r="M2878">
        <v>29.4</v>
      </c>
      <c r="N2878">
        <v>-87.342500000000001</v>
      </c>
      <c r="O2878" s="1" t="s">
        <v>87</v>
      </c>
      <c r="P2878" s="1" t="s">
        <v>2819</v>
      </c>
      <c r="Q2878" s="1" t="s">
        <v>2820</v>
      </c>
      <c r="R2878" s="1" t="s">
        <v>646</v>
      </c>
      <c r="S2878" s="1" t="s">
        <v>2821</v>
      </c>
      <c r="T2878" s="1" t="s">
        <v>2822</v>
      </c>
      <c r="U2878" s="2" t="s">
        <v>110</v>
      </c>
      <c r="V2878" s="2" t="s">
        <v>47</v>
      </c>
      <c r="W2878" s="2" t="s">
        <v>111</v>
      </c>
      <c r="X2878" s="2">
        <v>52.534999999999997</v>
      </c>
    </row>
    <row r="2879" spans="1:24" x14ac:dyDescent="0.3">
      <c r="A2879">
        <v>20740</v>
      </c>
      <c r="B2879" t="s">
        <v>7512</v>
      </c>
      <c r="C2879" s="3">
        <v>41931</v>
      </c>
      <c r="D2879" t="s">
        <v>50</v>
      </c>
      <c r="E2879">
        <v>1</v>
      </c>
      <c r="F2879" s="3">
        <f ca="1">41933+(RANDBETWEEN(1,10))</f>
        <v>41939</v>
      </c>
      <c r="G2879" t="s">
        <v>26</v>
      </c>
      <c r="H2879" t="s">
        <v>27</v>
      </c>
      <c r="I2879" t="s">
        <v>28</v>
      </c>
      <c r="J2879">
        <v>232.68</v>
      </c>
      <c r="K2879">
        <v>0.05</v>
      </c>
      <c r="L2879">
        <v>0.39</v>
      </c>
      <c r="M2879">
        <v>36.015000000000001</v>
      </c>
      <c r="N2879">
        <v>-216.58525</v>
      </c>
      <c r="O2879" s="1" t="s">
        <v>87</v>
      </c>
      <c r="P2879" s="1" t="s">
        <v>2819</v>
      </c>
      <c r="Q2879" s="1" t="s">
        <v>2820</v>
      </c>
      <c r="R2879" s="1" t="s">
        <v>646</v>
      </c>
      <c r="S2879" s="1" t="s">
        <v>2821</v>
      </c>
      <c r="T2879" s="1" t="s">
        <v>2822</v>
      </c>
      <c r="U2879" s="2" t="s">
        <v>4193</v>
      </c>
      <c r="V2879" s="2" t="s">
        <v>47</v>
      </c>
      <c r="W2879" s="2" t="s">
        <v>111</v>
      </c>
      <c r="X2879" s="2">
        <v>209.23</v>
      </c>
    </row>
    <row r="2880" spans="1:24" x14ac:dyDescent="0.3">
      <c r="A2880">
        <v>20741</v>
      </c>
      <c r="B2880" t="s">
        <v>7512</v>
      </c>
      <c r="C2880" s="3">
        <v>41931</v>
      </c>
      <c r="D2880" t="s">
        <v>50</v>
      </c>
      <c r="E2880">
        <v>13</v>
      </c>
      <c r="F2880" s="3">
        <f ca="1">41933+(RANDBETWEEN(1,10))</f>
        <v>41940</v>
      </c>
      <c r="G2880" t="s">
        <v>26</v>
      </c>
      <c r="H2880" t="s">
        <v>27</v>
      </c>
      <c r="I2880" t="s">
        <v>28</v>
      </c>
      <c r="J2880">
        <v>6196.9949999999999</v>
      </c>
      <c r="K2880">
        <v>0.04</v>
      </c>
      <c r="L2880">
        <v>0.6</v>
      </c>
      <c r="M2880">
        <v>28.28</v>
      </c>
      <c r="N2880">
        <v>1970.1990000000001</v>
      </c>
      <c r="O2880" s="1" t="s">
        <v>87</v>
      </c>
      <c r="P2880" s="1" t="s">
        <v>7513</v>
      </c>
      <c r="Q2880" s="1" t="s">
        <v>7514</v>
      </c>
      <c r="R2880" s="1" t="s">
        <v>90</v>
      </c>
      <c r="S2880" s="1" t="s">
        <v>7515</v>
      </c>
      <c r="T2880" s="1" t="s">
        <v>7516</v>
      </c>
      <c r="U2880" s="2" t="s">
        <v>7517</v>
      </c>
      <c r="V2880" s="2" t="s">
        <v>36</v>
      </c>
      <c r="W2880" s="2" t="s">
        <v>37</v>
      </c>
      <c r="X2880" s="2">
        <v>545.96500000000003</v>
      </c>
    </row>
    <row r="2881" spans="1:24" x14ac:dyDescent="0.3">
      <c r="A2881">
        <v>20742</v>
      </c>
      <c r="B2881" t="s">
        <v>7518</v>
      </c>
      <c r="C2881" s="3">
        <v>41930</v>
      </c>
      <c r="D2881" t="s">
        <v>25</v>
      </c>
      <c r="E2881">
        <v>9</v>
      </c>
      <c r="F2881" s="3">
        <f ca="1">41934+(RANDBETWEEN(1,10))</f>
        <v>41936</v>
      </c>
      <c r="G2881" t="s">
        <v>26</v>
      </c>
      <c r="H2881" t="s">
        <v>96</v>
      </c>
      <c r="I2881" t="s">
        <v>52</v>
      </c>
      <c r="J2881">
        <v>58.134999999999998</v>
      </c>
      <c r="K2881">
        <v>0.06</v>
      </c>
      <c r="L2881">
        <v>0.52</v>
      </c>
      <c r="M2881">
        <v>2.625</v>
      </c>
      <c r="N2881">
        <v>-2.9750000000000001</v>
      </c>
      <c r="O2881" s="1" t="s">
        <v>87</v>
      </c>
      <c r="P2881" s="1" t="s">
        <v>3751</v>
      </c>
      <c r="Q2881" s="1" t="s">
        <v>3752</v>
      </c>
      <c r="R2881" s="1" t="s">
        <v>90</v>
      </c>
      <c r="S2881" s="1" t="s">
        <v>3753</v>
      </c>
      <c r="T2881" s="1" t="s">
        <v>3754</v>
      </c>
      <c r="U2881" s="2" t="s">
        <v>378</v>
      </c>
      <c r="V2881" s="2" t="s">
        <v>47</v>
      </c>
      <c r="W2881" s="2" t="s">
        <v>176</v>
      </c>
      <c r="X2881" s="2">
        <v>6.335</v>
      </c>
    </row>
    <row r="2882" spans="1:24" x14ac:dyDescent="0.3">
      <c r="A2882">
        <v>20743</v>
      </c>
      <c r="B2882" t="s">
        <v>7519</v>
      </c>
      <c r="C2882" s="3">
        <v>41494</v>
      </c>
      <c r="D2882" t="s">
        <v>25</v>
      </c>
      <c r="E2882">
        <v>24</v>
      </c>
      <c r="F2882" s="3">
        <f ca="1">41499+(RANDBETWEEN(1,10))</f>
        <v>41503</v>
      </c>
      <c r="G2882" t="s">
        <v>156</v>
      </c>
      <c r="H2882" t="s">
        <v>51</v>
      </c>
      <c r="I2882" t="s">
        <v>28</v>
      </c>
      <c r="J2882">
        <v>772.55499999999995</v>
      </c>
      <c r="K2882">
        <v>0.01</v>
      </c>
      <c r="L2882">
        <v>0.59</v>
      </c>
      <c r="M2882">
        <v>21.49</v>
      </c>
      <c r="N2882">
        <v>-209.482</v>
      </c>
      <c r="O2882" s="1" t="s">
        <v>40</v>
      </c>
      <c r="P2882" s="1" t="s">
        <v>7520</v>
      </c>
      <c r="Q2882" s="1" t="s">
        <v>7521</v>
      </c>
      <c r="R2882" s="1" t="s">
        <v>220</v>
      </c>
      <c r="S2882" s="1" t="s">
        <v>7522</v>
      </c>
      <c r="T2882" s="1" t="s">
        <v>4970</v>
      </c>
      <c r="U2882" s="2" t="s">
        <v>6014</v>
      </c>
      <c r="V2882" s="2" t="s">
        <v>47</v>
      </c>
      <c r="W2882" s="2" t="s">
        <v>94</v>
      </c>
      <c r="X2882" s="2">
        <v>29.995000000000001</v>
      </c>
    </row>
    <row r="2883" spans="1:24" x14ac:dyDescent="0.3">
      <c r="A2883">
        <v>20744</v>
      </c>
      <c r="B2883" t="s">
        <v>7523</v>
      </c>
      <c r="C2883" s="3">
        <v>41001</v>
      </c>
      <c r="D2883" t="s">
        <v>25</v>
      </c>
      <c r="E2883">
        <v>1</v>
      </c>
      <c r="F2883" s="3">
        <f ca="1">41006+(RANDBETWEEN(1,10))</f>
        <v>41007</v>
      </c>
      <c r="G2883" t="s">
        <v>76</v>
      </c>
      <c r="H2883" t="s">
        <v>258</v>
      </c>
      <c r="I2883" t="s">
        <v>97</v>
      </c>
      <c r="J2883">
        <v>1585.2550000000001</v>
      </c>
      <c r="K2883">
        <v>0.01</v>
      </c>
      <c r="L2883">
        <v>0.71</v>
      </c>
      <c r="M2883">
        <v>159.94999999999999</v>
      </c>
      <c r="N2883">
        <v>-571.20000000000005</v>
      </c>
      <c r="O2883" s="1" t="s">
        <v>64</v>
      </c>
      <c r="P2883" s="1" t="s">
        <v>7524</v>
      </c>
      <c r="Q2883" s="1" t="s">
        <v>7525</v>
      </c>
      <c r="R2883" s="1" t="s">
        <v>128</v>
      </c>
      <c r="S2883" s="1" t="s">
        <v>7526</v>
      </c>
      <c r="T2883" s="1" t="s">
        <v>7527</v>
      </c>
      <c r="U2883" s="2" t="s">
        <v>3553</v>
      </c>
      <c r="V2883" s="2" t="s">
        <v>83</v>
      </c>
      <c r="W2883" s="2" t="s">
        <v>263</v>
      </c>
      <c r="X2883" s="2">
        <v>1928.43</v>
      </c>
    </row>
    <row r="2884" spans="1:24" x14ac:dyDescent="0.3">
      <c r="A2884">
        <v>20745</v>
      </c>
      <c r="B2884" t="s">
        <v>7528</v>
      </c>
      <c r="C2884" s="3">
        <v>40970</v>
      </c>
      <c r="D2884" t="s">
        <v>62</v>
      </c>
      <c r="E2884">
        <v>7</v>
      </c>
      <c r="F2884" s="3">
        <f ca="1">40971+(RANDBETWEEN(1,10))</f>
        <v>40980</v>
      </c>
      <c r="G2884" t="s">
        <v>26</v>
      </c>
      <c r="H2884" t="s">
        <v>27</v>
      </c>
      <c r="I2884" t="s">
        <v>97</v>
      </c>
      <c r="J2884">
        <v>928.06</v>
      </c>
      <c r="K2884">
        <v>0.05</v>
      </c>
      <c r="L2884">
        <v>0.56000000000000005</v>
      </c>
      <c r="M2884">
        <v>8.75</v>
      </c>
      <c r="N2884">
        <v>640.3614</v>
      </c>
      <c r="O2884" s="1" t="s">
        <v>225</v>
      </c>
      <c r="P2884" s="1" t="s">
        <v>3835</v>
      </c>
      <c r="Q2884" s="1" t="s">
        <v>3836</v>
      </c>
      <c r="R2884" s="1" t="s">
        <v>391</v>
      </c>
      <c r="S2884" s="1" t="s">
        <v>3837</v>
      </c>
      <c r="T2884" s="1" t="s">
        <v>3838</v>
      </c>
      <c r="U2884" s="2" t="s">
        <v>7529</v>
      </c>
      <c r="V2884" s="2" t="s">
        <v>36</v>
      </c>
      <c r="W2884" s="2" t="s">
        <v>37</v>
      </c>
      <c r="X2884" s="2">
        <v>160.965</v>
      </c>
    </row>
    <row r="2885" spans="1:24" x14ac:dyDescent="0.3">
      <c r="A2885">
        <v>20746</v>
      </c>
      <c r="B2885" t="s">
        <v>7530</v>
      </c>
      <c r="C2885" s="3">
        <v>40993</v>
      </c>
      <c r="D2885" t="s">
        <v>50</v>
      </c>
      <c r="E2885">
        <v>8</v>
      </c>
      <c r="F2885" s="3">
        <f ca="1">40996+(RANDBETWEEN(1,10))</f>
        <v>41005</v>
      </c>
      <c r="G2885" t="s">
        <v>26</v>
      </c>
      <c r="H2885" t="s">
        <v>27</v>
      </c>
      <c r="I2885" t="s">
        <v>97</v>
      </c>
      <c r="J2885">
        <v>141.75</v>
      </c>
      <c r="K2885">
        <v>0.03</v>
      </c>
      <c r="L2885">
        <v>0.36</v>
      </c>
      <c r="M2885">
        <v>21.245000000000001</v>
      </c>
      <c r="N2885">
        <v>-358.26</v>
      </c>
      <c r="O2885" s="1" t="s">
        <v>40</v>
      </c>
      <c r="P2885" s="1" t="s">
        <v>3919</v>
      </c>
      <c r="Q2885" s="1" t="s">
        <v>3920</v>
      </c>
      <c r="R2885" s="1" t="s">
        <v>43</v>
      </c>
      <c r="S2885" s="1" t="s">
        <v>80</v>
      </c>
      <c r="T2885" s="1" t="s">
        <v>3921</v>
      </c>
      <c r="U2885" s="2" t="s">
        <v>250</v>
      </c>
      <c r="V2885" s="2" t="s">
        <v>47</v>
      </c>
      <c r="W2885" s="2" t="s">
        <v>74</v>
      </c>
      <c r="X2885" s="2">
        <v>17.43</v>
      </c>
    </row>
    <row r="2886" spans="1:24" x14ac:dyDescent="0.3">
      <c r="A2886">
        <v>20747</v>
      </c>
      <c r="B2886" t="s">
        <v>7531</v>
      </c>
      <c r="C2886" s="3">
        <v>41053</v>
      </c>
      <c r="D2886" t="s">
        <v>62</v>
      </c>
      <c r="E2886">
        <v>9</v>
      </c>
      <c r="F2886" s="3">
        <f ca="1">41056+(RANDBETWEEN(1,10))</f>
        <v>41062</v>
      </c>
      <c r="G2886" t="s">
        <v>76</v>
      </c>
      <c r="H2886" t="s">
        <v>258</v>
      </c>
      <c r="I2886" t="s">
        <v>28</v>
      </c>
      <c r="J2886">
        <v>10420.934999999999</v>
      </c>
      <c r="K2886">
        <v>0.08</v>
      </c>
      <c r="L2886">
        <v>0.36</v>
      </c>
      <c r="M2886">
        <v>168.91</v>
      </c>
      <c r="N2886">
        <v>7190.4451499999996</v>
      </c>
      <c r="O2886" s="1" t="s">
        <v>40</v>
      </c>
      <c r="P2886" s="1" t="s">
        <v>7532</v>
      </c>
      <c r="Q2886" s="1" t="s">
        <v>7533</v>
      </c>
      <c r="R2886" s="1" t="s">
        <v>43</v>
      </c>
      <c r="S2886" s="1" t="s">
        <v>7534</v>
      </c>
      <c r="T2886" s="1" t="s">
        <v>7535</v>
      </c>
      <c r="U2886" s="2" t="s">
        <v>7536</v>
      </c>
      <c r="V2886" s="2" t="s">
        <v>36</v>
      </c>
      <c r="W2886" s="2" t="s">
        <v>142</v>
      </c>
      <c r="X2886" s="2">
        <v>1403.395</v>
      </c>
    </row>
    <row r="2887" spans="1:24" x14ac:dyDescent="0.3">
      <c r="A2887">
        <v>20748</v>
      </c>
      <c r="B2887" t="s">
        <v>7537</v>
      </c>
      <c r="C2887" s="3">
        <v>41269</v>
      </c>
      <c r="D2887" t="s">
        <v>25</v>
      </c>
      <c r="E2887">
        <v>8</v>
      </c>
      <c r="F2887" s="3">
        <f ca="1">41296+(RANDBETWEEN(1,10))</f>
        <v>41306</v>
      </c>
      <c r="G2887" t="s">
        <v>26</v>
      </c>
      <c r="H2887" t="s">
        <v>51</v>
      </c>
      <c r="I2887" t="s">
        <v>28</v>
      </c>
      <c r="J2887">
        <v>350.91</v>
      </c>
      <c r="K2887">
        <v>0.03</v>
      </c>
      <c r="L2887">
        <v>0.6</v>
      </c>
      <c r="M2887">
        <v>20.335000000000001</v>
      </c>
      <c r="N2887">
        <v>-55.545000000000002</v>
      </c>
      <c r="O2887" s="1" t="s">
        <v>53</v>
      </c>
      <c r="P2887" s="1" t="s">
        <v>7538</v>
      </c>
      <c r="Q2887" s="1" t="s">
        <v>7539</v>
      </c>
      <c r="R2887" s="1" t="s">
        <v>440</v>
      </c>
      <c r="S2887" s="1" t="s">
        <v>7540</v>
      </c>
      <c r="T2887" s="1" t="s">
        <v>7541</v>
      </c>
      <c r="U2887" s="2" t="s">
        <v>1353</v>
      </c>
      <c r="V2887" s="2" t="s">
        <v>47</v>
      </c>
      <c r="W2887" s="2" t="s">
        <v>104</v>
      </c>
      <c r="X2887" s="2">
        <v>41.895000000000003</v>
      </c>
    </row>
    <row r="2888" spans="1:24" x14ac:dyDescent="0.3">
      <c r="A2888">
        <v>20749</v>
      </c>
      <c r="B2888" t="s">
        <v>7537</v>
      </c>
      <c r="C2888" s="3">
        <v>41269</v>
      </c>
      <c r="D2888" t="s">
        <v>25</v>
      </c>
      <c r="E2888">
        <v>3</v>
      </c>
      <c r="F2888" s="3">
        <f ca="1">41300+(RANDBETWEEN(1,10))</f>
        <v>41309</v>
      </c>
      <c r="G2888" t="s">
        <v>26</v>
      </c>
      <c r="H2888" t="s">
        <v>27</v>
      </c>
      <c r="I2888" t="s">
        <v>28</v>
      </c>
      <c r="J2888">
        <v>1689.73</v>
      </c>
      <c r="K2888">
        <v>0.08</v>
      </c>
      <c r="L2888">
        <v>0.6</v>
      </c>
      <c r="M2888">
        <v>14.7</v>
      </c>
      <c r="N2888">
        <v>-976.41774999999996</v>
      </c>
      <c r="O2888" s="1" t="s">
        <v>53</v>
      </c>
      <c r="P2888" s="1" t="s">
        <v>7538</v>
      </c>
      <c r="Q2888" s="1" t="s">
        <v>7539</v>
      </c>
      <c r="R2888" s="1" t="s">
        <v>440</v>
      </c>
      <c r="S2888" s="1" t="s">
        <v>7540</v>
      </c>
      <c r="T2888" s="1" t="s">
        <v>7541</v>
      </c>
      <c r="U2888" s="2">
        <v>688</v>
      </c>
      <c r="V2888" s="2" t="s">
        <v>36</v>
      </c>
      <c r="W2888" s="2" t="s">
        <v>37</v>
      </c>
      <c r="X2888" s="2">
        <v>685.96500000000003</v>
      </c>
    </row>
    <row r="2889" spans="1:24" x14ac:dyDescent="0.3">
      <c r="A2889">
        <v>20750</v>
      </c>
      <c r="B2889" t="s">
        <v>7537</v>
      </c>
      <c r="C2889" s="3">
        <v>41269</v>
      </c>
      <c r="D2889" t="s">
        <v>25</v>
      </c>
      <c r="E2889">
        <v>20</v>
      </c>
      <c r="F2889" s="3">
        <f ca="1">41288+(RANDBETWEEN(1,10))</f>
        <v>41292</v>
      </c>
      <c r="G2889" t="s">
        <v>156</v>
      </c>
      <c r="H2889" t="s">
        <v>27</v>
      </c>
      <c r="I2889" t="s">
        <v>28</v>
      </c>
      <c r="J2889">
        <v>7631.085</v>
      </c>
      <c r="K2889">
        <v>0.06</v>
      </c>
      <c r="L2889">
        <v>0.56999999999999995</v>
      </c>
      <c r="M2889">
        <v>28.28</v>
      </c>
      <c r="N2889">
        <v>8.673</v>
      </c>
      <c r="O2889" s="1" t="s">
        <v>64</v>
      </c>
      <c r="P2889" s="1" t="s">
        <v>1530</v>
      </c>
      <c r="Q2889" s="1" t="s">
        <v>1531</v>
      </c>
      <c r="R2889" s="1" t="s">
        <v>128</v>
      </c>
      <c r="S2889" s="1" t="s">
        <v>1532</v>
      </c>
      <c r="T2889" s="1" t="s">
        <v>1533</v>
      </c>
      <c r="U2889" s="2" t="s">
        <v>1547</v>
      </c>
      <c r="V2889" s="2" t="s">
        <v>36</v>
      </c>
      <c r="W2889" s="2" t="s">
        <v>37</v>
      </c>
      <c r="X2889" s="2">
        <v>440.96499999999997</v>
      </c>
    </row>
    <row r="2890" spans="1:24" x14ac:dyDescent="0.3">
      <c r="A2890">
        <v>20751</v>
      </c>
      <c r="B2890" t="s">
        <v>7542</v>
      </c>
      <c r="C2890" s="3">
        <v>41119</v>
      </c>
      <c r="D2890" t="s">
        <v>148</v>
      </c>
      <c r="E2890">
        <v>10</v>
      </c>
      <c r="F2890" s="3">
        <f ca="1">41119+(RANDBETWEEN(1,10))</f>
        <v>41124</v>
      </c>
      <c r="G2890" t="s">
        <v>26</v>
      </c>
      <c r="H2890" t="s">
        <v>27</v>
      </c>
      <c r="I2890" t="s">
        <v>97</v>
      </c>
      <c r="J2890">
        <v>4684.33</v>
      </c>
      <c r="K2890">
        <v>0.02</v>
      </c>
      <c r="L2890">
        <v>0.57999999999999996</v>
      </c>
      <c r="M2890">
        <v>31.465</v>
      </c>
      <c r="N2890">
        <v>3232.1876999999999</v>
      </c>
      <c r="O2890" s="1" t="s">
        <v>40</v>
      </c>
      <c r="P2890" s="1" t="s">
        <v>7543</v>
      </c>
      <c r="Q2890" s="1" t="s">
        <v>7544</v>
      </c>
      <c r="R2890" s="1" t="s">
        <v>43</v>
      </c>
      <c r="S2890" s="1" t="s">
        <v>7545</v>
      </c>
      <c r="T2890" s="1" t="s">
        <v>7546</v>
      </c>
      <c r="U2890" s="2" t="s">
        <v>1265</v>
      </c>
      <c r="V2890" s="2" t="s">
        <v>36</v>
      </c>
      <c r="W2890" s="2" t="s">
        <v>37</v>
      </c>
      <c r="X2890" s="2">
        <v>545.96500000000003</v>
      </c>
    </row>
    <row r="2891" spans="1:24" x14ac:dyDescent="0.3">
      <c r="A2891">
        <v>20752</v>
      </c>
      <c r="B2891" t="s">
        <v>7547</v>
      </c>
      <c r="C2891" s="3">
        <v>41798</v>
      </c>
      <c r="D2891" t="s">
        <v>39</v>
      </c>
      <c r="E2891">
        <v>12</v>
      </c>
      <c r="F2891" s="3">
        <f ca="1">41799+(RANDBETWEEN(1,10))</f>
        <v>41801</v>
      </c>
      <c r="G2891" t="s">
        <v>26</v>
      </c>
      <c r="H2891" t="s">
        <v>27</v>
      </c>
      <c r="I2891" t="s">
        <v>86</v>
      </c>
      <c r="J2891">
        <v>420.63</v>
      </c>
      <c r="K2891">
        <v>0</v>
      </c>
      <c r="L2891">
        <v>0.6</v>
      </c>
      <c r="M2891">
        <v>33.075000000000003</v>
      </c>
      <c r="N2891">
        <v>-511.05599999999998</v>
      </c>
      <c r="O2891" s="1" t="s">
        <v>87</v>
      </c>
      <c r="P2891" s="1" t="s">
        <v>4151</v>
      </c>
      <c r="Q2891" s="1" t="s">
        <v>4152</v>
      </c>
      <c r="R2891" s="1" t="s">
        <v>90</v>
      </c>
      <c r="S2891" s="1" t="s">
        <v>4153</v>
      </c>
      <c r="T2891" s="1" t="s">
        <v>4154</v>
      </c>
      <c r="U2891" s="2" t="s">
        <v>483</v>
      </c>
      <c r="V2891" s="2" t="s">
        <v>47</v>
      </c>
      <c r="W2891" s="2" t="s">
        <v>119</v>
      </c>
      <c r="X2891" s="2">
        <v>33.984999999999999</v>
      </c>
    </row>
    <row r="2892" spans="1:24" x14ac:dyDescent="0.3">
      <c r="A2892">
        <v>20753</v>
      </c>
      <c r="B2892" t="s">
        <v>7548</v>
      </c>
      <c r="C2892" s="3">
        <v>41863</v>
      </c>
      <c r="D2892" t="s">
        <v>62</v>
      </c>
      <c r="E2892">
        <v>10</v>
      </c>
      <c r="F2892" s="3">
        <f ca="1">41865+(RANDBETWEEN(1,10))</f>
        <v>41870</v>
      </c>
      <c r="G2892" t="s">
        <v>26</v>
      </c>
      <c r="H2892" t="s">
        <v>27</v>
      </c>
      <c r="I2892" t="s">
        <v>97</v>
      </c>
      <c r="J2892">
        <v>145.215</v>
      </c>
      <c r="K2892">
        <v>0.04</v>
      </c>
      <c r="L2892">
        <v>0.39</v>
      </c>
      <c r="M2892">
        <v>1.75</v>
      </c>
      <c r="N2892">
        <v>100.19835</v>
      </c>
      <c r="O2892" s="1" t="s">
        <v>29</v>
      </c>
      <c r="P2892" s="1" t="s">
        <v>7549</v>
      </c>
      <c r="Q2892" s="1" t="s">
        <v>7550</v>
      </c>
      <c r="R2892" s="1" t="s">
        <v>32</v>
      </c>
      <c r="S2892" s="1" t="s">
        <v>7551</v>
      </c>
      <c r="T2892" s="1" t="s">
        <v>7552</v>
      </c>
      <c r="U2892" s="2" t="s">
        <v>1889</v>
      </c>
      <c r="V2892" s="2" t="s">
        <v>47</v>
      </c>
      <c r="W2892" s="2" t="s">
        <v>203</v>
      </c>
      <c r="X2892" s="2">
        <v>14.455</v>
      </c>
    </row>
    <row r="2893" spans="1:24" x14ac:dyDescent="0.3">
      <c r="A2893">
        <v>20754</v>
      </c>
      <c r="B2893" t="s">
        <v>7548</v>
      </c>
      <c r="C2893" s="3">
        <v>41863</v>
      </c>
      <c r="D2893" t="s">
        <v>62</v>
      </c>
      <c r="E2893">
        <v>13</v>
      </c>
      <c r="F2893" s="3">
        <f ca="1">41865+(RANDBETWEEN(1,10))</f>
        <v>41874</v>
      </c>
      <c r="G2893" t="s">
        <v>76</v>
      </c>
      <c r="H2893" t="s">
        <v>258</v>
      </c>
      <c r="I2893" t="s">
        <v>97</v>
      </c>
      <c r="J2893">
        <v>24936.45</v>
      </c>
      <c r="K2893">
        <v>0.01</v>
      </c>
      <c r="L2893">
        <v>0.66</v>
      </c>
      <c r="M2893">
        <v>226.065</v>
      </c>
      <c r="N2893">
        <v>-5472.4740840000004</v>
      </c>
      <c r="O2893" s="1" t="s">
        <v>29</v>
      </c>
      <c r="P2893" s="1" t="s">
        <v>7549</v>
      </c>
      <c r="Q2893" s="1" t="s">
        <v>7550</v>
      </c>
      <c r="R2893" s="1" t="s">
        <v>32</v>
      </c>
      <c r="S2893" s="1" t="s">
        <v>7551</v>
      </c>
      <c r="T2893" s="1" t="s">
        <v>7552</v>
      </c>
      <c r="U2893" s="2" t="s">
        <v>5148</v>
      </c>
      <c r="V2893" s="2" t="s">
        <v>83</v>
      </c>
      <c r="W2893" s="2" t="s">
        <v>263</v>
      </c>
      <c r="X2893" s="2">
        <v>1928.43</v>
      </c>
    </row>
    <row r="2894" spans="1:24" x14ac:dyDescent="0.3">
      <c r="A2894">
        <v>20755</v>
      </c>
      <c r="B2894" t="s">
        <v>7553</v>
      </c>
      <c r="C2894" s="3">
        <v>41553</v>
      </c>
      <c r="D2894" t="s">
        <v>39</v>
      </c>
      <c r="E2894">
        <v>21</v>
      </c>
      <c r="F2894" s="3">
        <f ca="1">41554+(RANDBETWEEN(1,10))</f>
        <v>41556</v>
      </c>
      <c r="G2894" t="s">
        <v>26</v>
      </c>
      <c r="H2894" t="s">
        <v>281</v>
      </c>
      <c r="I2894" t="s">
        <v>52</v>
      </c>
      <c r="J2894">
        <v>1802.8150000000001</v>
      </c>
      <c r="K2894">
        <v>7.0000000000000007E-2</v>
      </c>
      <c r="L2894">
        <v>0.5</v>
      </c>
      <c r="M2894">
        <v>18.795000000000002</v>
      </c>
      <c r="N2894">
        <v>71.376795000000001</v>
      </c>
      <c r="O2894" s="1" t="s">
        <v>53</v>
      </c>
      <c r="P2894" s="1" t="s">
        <v>7554</v>
      </c>
      <c r="Q2894" s="1" t="s">
        <v>7555</v>
      </c>
      <c r="R2894" s="1" t="s">
        <v>440</v>
      </c>
      <c r="S2894" s="1" t="s">
        <v>7556</v>
      </c>
      <c r="T2894" s="1" t="s">
        <v>7557</v>
      </c>
      <c r="U2894" s="2" t="s">
        <v>3418</v>
      </c>
      <c r="V2894" s="2" t="s">
        <v>47</v>
      </c>
      <c r="W2894" s="2" t="s">
        <v>71</v>
      </c>
      <c r="X2894" s="2">
        <v>90.93</v>
      </c>
    </row>
    <row r="2895" spans="1:24" x14ac:dyDescent="0.3">
      <c r="A2895">
        <v>20756</v>
      </c>
      <c r="B2895" t="s">
        <v>7553</v>
      </c>
      <c r="C2895" s="3">
        <v>41553</v>
      </c>
      <c r="D2895" t="s">
        <v>39</v>
      </c>
      <c r="E2895">
        <v>19</v>
      </c>
      <c r="F2895" s="3">
        <f ca="1">41555+(RANDBETWEEN(1,10))</f>
        <v>41560</v>
      </c>
      <c r="G2895" t="s">
        <v>76</v>
      </c>
      <c r="H2895" t="s">
        <v>77</v>
      </c>
      <c r="I2895" t="s">
        <v>52</v>
      </c>
      <c r="J2895">
        <v>9361.1350000000002</v>
      </c>
      <c r="K2895">
        <v>0.01</v>
      </c>
      <c r="L2895">
        <v>0.76</v>
      </c>
      <c r="M2895">
        <v>100.205</v>
      </c>
      <c r="N2895">
        <v>-1632.0429999999999</v>
      </c>
      <c r="O2895" s="1" t="s">
        <v>53</v>
      </c>
      <c r="P2895" s="1" t="s">
        <v>7554</v>
      </c>
      <c r="Q2895" s="1" t="s">
        <v>7555</v>
      </c>
      <c r="R2895" s="1" t="s">
        <v>440</v>
      </c>
      <c r="S2895" s="1" t="s">
        <v>7556</v>
      </c>
      <c r="T2895" s="1" t="s">
        <v>7557</v>
      </c>
      <c r="U2895" s="2" t="s">
        <v>4062</v>
      </c>
      <c r="V2895" s="2" t="s">
        <v>83</v>
      </c>
      <c r="W2895" s="2" t="s">
        <v>84</v>
      </c>
      <c r="X2895" s="2">
        <v>475.96499999999997</v>
      </c>
    </row>
    <row r="2896" spans="1:24" x14ac:dyDescent="0.3">
      <c r="A2896">
        <v>20757</v>
      </c>
      <c r="B2896" t="s">
        <v>7553</v>
      </c>
      <c r="C2896" s="3">
        <v>41553</v>
      </c>
      <c r="D2896" t="s">
        <v>39</v>
      </c>
      <c r="E2896">
        <v>19</v>
      </c>
      <c r="F2896" s="3">
        <f ca="1">41553+(RANDBETWEEN(1,10))</f>
        <v>41557</v>
      </c>
      <c r="G2896" t="s">
        <v>26</v>
      </c>
      <c r="H2896" t="s">
        <v>281</v>
      </c>
      <c r="I2896" t="s">
        <v>52</v>
      </c>
      <c r="J2896">
        <v>8285.8649999999998</v>
      </c>
      <c r="K2896">
        <v>7.0000000000000007E-2</v>
      </c>
      <c r="L2896">
        <v>0.38</v>
      </c>
      <c r="M2896">
        <v>48.965000000000003</v>
      </c>
      <c r="N2896">
        <v>-390.62799999999999</v>
      </c>
      <c r="O2896" s="1" t="s">
        <v>53</v>
      </c>
      <c r="P2896" s="1" t="s">
        <v>7554</v>
      </c>
      <c r="Q2896" s="1" t="s">
        <v>7555</v>
      </c>
      <c r="R2896" s="1" t="s">
        <v>440</v>
      </c>
      <c r="S2896" s="1" t="s">
        <v>7556</v>
      </c>
      <c r="T2896" s="1" t="s">
        <v>7557</v>
      </c>
      <c r="U2896" s="2" t="s">
        <v>480</v>
      </c>
      <c r="V2896" s="2" t="s">
        <v>36</v>
      </c>
      <c r="W2896" s="2" t="s">
        <v>142</v>
      </c>
      <c r="X2896" s="2">
        <v>528.42999999999995</v>
      </c>
    </row>
    <row r="2897" spans="1:24" x14ac:dyDescent="0.3">
      <c r="A2897">
        <v>20758</v>
      </c>
      <c r="B2897" t="s">
        <v>7558</v>
      </c>
      <c r="C2897" s="3">
        <v>41956</v>
      </c>
      <c r="D2897" t="s">
        <v>62</v>
      </c>
      <c r="E2897">
        <v>17</v>
      </c>
      <c r="F2897" s="3">
        <f ca="1">41957+(RANDBETWEEN(1,10))</f>
        <v>41967</v>
      </c>
      <c r="G2897" t="s">
        <v>26</v>
      </c>
      <c r="H2897" t="s">
        <v>27</v>
      </c>
      <c r="I2897" t="s">
        <v>97</v>
      </c>
      <c r="J2897">
        <v>115.08</v>
      </c>
      <c r="K2897">
        <v>0.06</v>
      </c>
      <c r="L2897">
        <v>0.37</v>
      </c>
      <c r="M2897">
        <v>5.2149999999999999</v>
      </c>
      <c r="N2897">
        <v>15.949304</v>
      </c>
      <c r="O2897" s="1" t="s">
        <v>64</v>
      </c>
      <c r="P2897" s="1" t="s">
        <v>631</v>
      </c>
      <c r="Q2897" s="1" t="s">
        <v>632</v>
      </c>
      <c r="R2897" s="1" t="s">
        <v>67</v>
      </c>
      <c r="S2897" s="1" t="s">
        <v>633</v>
      </c>
      <c r="T2897" s="1" t="s">
        <v>634</v>
      </c>
      <c r="U2897" s="2" t="s">
        <v>4275</v>
      </c>
      <c r="V2897" s="2" t="s">
        <v>47</v>
      </c>
      <c r="W2897" s="2" t="s">
        <v>111</v>
      </c>
      <c r="X2897" s="2">
        <v>6.58</v>
      </c>
    </row>
    <row r="2898" spans="1:24" x14ac:dyDescent="0.3">
      <c r="A2898">
        <v>20759</v>
      </c>
      <c r="B2898" t="s">
        <v>7558</v>
      </c>
      <c r="C2898" s="3">
        <v>41956</v>
      </c>
      <c r="D2898" t="s">
        <v>62</v>
      </c>
      <c r="E2898">
        <v>37</v>
      </c>
      <c r="F2898" s="3">
        <f ca="1">41957+(RANDBETWEEN(1,10))</f>
        <v>41959</v>
      </c>
      <c r="G2898" t="s">
        <v>26</v>
      </c>
      <c r="H2898" t="s">
        <v>51</v>
      </c>
      <c r="I2898" t="s">
        <v>97</v>
      </c>
      <c r="J2898">
        <v>3522.4</v>
      </c>
      <c r="K2898">
        <v>0.09</v>
      </c>
      <c r="L2898">
        <v>0.5</v>
      </c>
      <c r="M2898">
        <v>6.9649999999999999</v>
      </c>
      <c r="N2898">
        <v>2430.4560000000001</v>
      </c>
      <c r="O2898" s="1" t="s">
        <v>64</v>
      </c>
      <c r="P2898" s="1" t="s">
        <v>631</v>
      </c>
      <c r="Q2898" s="1" t="s">
        <v>632</v>
      </c>
      <c r="R2898" s="1" t="s">
        <v>67</v>
      </c>
      <c r="S2898" s="1" t="s">
        <v>633</v>
      </c>
      <c r="T2898" s="1" t="s">
        <v>634</v>
      </c>
      <c r="U2898" s="2" t="s">
        <v>124</v>
      </c>
      <c r="V2898" s="2" t="s">
        <v>36</v>
      </c>
      <c r="W2898" s="2" t="s">
        <v>60</v>
      </c>
      <c r="X2898" s="2">
        <v>104.61499999999999</v>
      </c>
    </row>
    <row r="2899" spans="1:24" x14ac:dyDescent="0.3">
      <c r="A2899">
        <v>20760</v>
      </c>
      <c r="B2899" t="s">
        <v>7559</v>
      </c>
      <c r="C2899" s="3">
        <v>40871</v>
      </c>
      <c r="D2899" t="s">
        <v>62</v>
      </c>
      <c r="E2899">
        <v>14</v>
      </c>
      <c r="F2899" s="3">
        <f ca="1">40872+(RANDBETWEEN(1,10))</f>
        <v>40881</v>
      </c>
      <c r="G2899" t="s">
        <v>76</v>
      </c>
      <c r="H2899" t="s">
        <v>258</v>
      </c>
      <c r="I2899" t="s">
        <v>28</v>
      </c>
      <c r="J2899">
        <v>6002.2550000000001</v>
      </c>
      <c r="K2899">
        <v>7.0000000000000007E-2</v>
      </c>
      <c r="L2899">
        <v>0.63</v>
      </c>
      <c r="M2899">
        <v>181.79</v>
      </c>
      <c r="N2899">
        <v>262.47199999999998</v>
      </c>
      <c r="O2899" s="1" t="s">
        <v>29</v>
      </c>
      <c r="P2899" s="1" t="s">
        <v>7560</v>
      </c>
      <c r="Q2899" s="1" t="s">
        <v>7561</v>
      </c>
      <c r="R2899" s="1" t="s">
        <v>32</v>
      </c>
      <c r="S2899" s="1" t="s">
        <v>7562</v>
      </c>
      <c r="T2899" s="1" t="s">
        <v>7563</v>
      </c>
      <c r="U2899" s="2" t="s">
        <v>360</v>
      </c>
      <c r="V2899" s="2" t="s">
        <v>83</v>
      </c>
      <c r="W2899" s="2" t="s">
        <v>263</v>
      </c>
      <c r="X2899" s="2">
        <v>435.71499999999997</v>
      </c>
    </row>
    <row r="2900" spans="1:24" x14ac:dyDescent="0.3">
      <c r="A2900">
        <v>20761</v>
      </c>
      <c r="B2900" t="s">
        <v>7564</v>
      </c>
      <c r="C2900" s="3">
        <v>41806</v>
      </c>
      <c r="D2900" t="s">
        <v>62</v>
      </c>
      <c r="E2900">
        <v>2</v>
      </c>
      <c r="F2900" s="3">
        <f ca="1">41808+(RANDBETWEEN(1,10))</f>
        <v>41809</v>
      </c>
      <c r="G2900" t="s">
        <v>26</v>
      </c>
      <c r="H2900" t="s">
        <v>51</v>
      </c>
      <c r="I2900" t="s">
        <v>28</v>
      </c>
      <c r="J2900">
        <v>114.17</v>
      </c>
      <c r="K2900">
        <v>0.04</v>
      </c>
      <c r="L2900">
        <v>0.39</v>
      </c>
      <c r="M2900">
        <v>31.465</v>
      </c>
      <c r="N2900">
        <v>-59.052</v>
      </c>
      <c r="O2900" s="1" t="s">
        <v>40</v>
      </c>
      <c r="P2900" s="1" t="s">
        <v>7090</v>
      </c>
      <c r="Q2900" s="1" t="s">
        <v>7091</v>
      </c>
      <c r="R2900" s="1" t="s">
        <v>220</v>
      </c>
      <c r="S2900" s="1" t="s">
        <v>7092</v>
      </c>
      <c r="T2900" s="1" t="s">
        <v>7093</v>
      </c>
      <c r="U2900" s="2" t="s">
        <v>2064</v>
      </c>
      <c r="V2900" s="2" t="s">
        <v>83</v>
      </c>
      <c r="W2900" s="2" t="s">
        <v>178</v>
      </c>
      <c r="X2900" s="2">
        <v>52.43</v>
      </c>
    </row>
    <row r="2901" spans="1:24" x14ac:dyDescent="0.3">
      <c r="A2901">
        <v>20762</v>
      </c>
      <c r="B2901" t="s">
        <v>7565</v>
      </c>
      <c r="C2901" s="3">
        <v>41216</v>
      </c>
      <c r="D2901" t="s">
        <v>39</v>
      </c>
      <c r="E2901">
        <v>12</v>
      </c>
      <c r="F2901" s="3">
        <f ca="1">41218+(RANDBETWEEN(1,10))</f>
        <v>41227</v>
      </c>
      <c r="G2901" t="s">
        <v>76</v>
      </c>
      <c r="H2901" t="s">
        <v>77</v>
      </c>
      <c r="I2901" t="s">
        <v>28</v>
      </c>
      <c r="J2901">
        <v>11492.53</v>
      </c>
      <c r="K2901">
        <v>0.1</v>
      </c>
      <c r="L2901">
        <v>0.59</v>
      </c>
      <c r="M2901">
        <v>81.165000000000006</v>
      </c>
      <c r="N2901">
        <v>211.61699999999999</v>
      </c>
      <c r="O2901" s="1" t="s">
        <v>87</v>
      </c>
      <c r="P2901" s="1" t="s">
        <v>6919</v>
      </c>
      <c r="Q2901" s="1" t="s">
        <v>6920</v>
      </c>
      <c r="R2901" s="1" t="s">
        <v>646</v>
      </c>
      <c r="S2901" s="1" t="s">
        <v>6921</v>
      </c>
      <c r="T2901" s="1" t="s">
        <v>6922</v>
      </c>
      <c r="U2901" s="2" t="s">
        <v>1970</v>
      </c>
      <c r="V2901" s="2" t="s">
        <v>47</v>
      </c>
      <c r="W2901" s="2" t="s">
        <v>71</v>
      </c>
      <c r="X2901" s="2">
        <v>979.33500000000004</v>
      </c>
    </row>
    <row r="2902" spans="1:24" x14ac:dyDescent="0.3">
      <c r="A2902">
        <v>20763</v>
      </c>
      <c r="B2902" t="s">
        <v>7565</v>
      </c>
      <c r="C2902" s="3">
        <v>41216</v>
      </c>
      <c r="D2902" t="s">
        <v>39</v>
      </c>
      <c r="E2902">
        <v>19</v>
      </c>
      <c r="F2902" s="3">
        <f ca="1">41218+(RANDBETWEEN(1,10))</f>
        <v>41220</v>
      </c>
      <c r="G2902" t="s">
        <v>26</v>
      </c>
      <c r="H2902" t="s">
        <v>27</v>
      </c>
      <c r="I2902" t="s">
        <v>28</v>
      </c>
      <c r="J2902">
        <v>808.36</v>
      </c>
      <c r="K2902">
        <v>7.0000000000000007E-2</v>
      </c>
      <c r="L2902">
        <v>0.56999999999999995</v>
      </c>
      <c r="M2902">
        <v>21.454999999999998</v>
      </c>
      <c r="N2902">
        <v>252.042</v>
      </c>
      <c r="O2902" s="1" t="s">
        <v>87</v>
      </c>
      <c r="P2902" s="1" t="s">
        <v>6919</v>
      </c>
      <c r="Q2902" s="1" t="s">
        <v>6920</v>
      </c>
      <c r="R2902" s="1" t="s">
        <v>646</v>
      </c>
      <c r="S2902" s="1" t="s">
        <v>6921</v>
      </c>
      <c r="T2902" s="1" t="s">
        <v>6922</v>
      </c>
      <c r="U2902" s="2" t="s">
        <v>5922</v>
      </c>
      <c r="V2902" s="2" t="s">
        <v>47</v>
      </c>
      <c r="W2902" s="2" t="s">
        <v>119</v>
      </c>
      <c r="X2902" s="2">
        <v>42.98</v>
      </c>
    </row>
    <row r="2903" spans="1:24" x14ac:dyDescent="0.3">
      <c r="A2903">
        <v>20764</v>
      </c>
      <c r="B2903" t="s">
        <v>7566</v>
      </c>
      <c r="C2903" s="3">
        <v>40643</v>
      </c>
      <c r="D2903" t="s">
        <v>50</v>
      </c>
      <c r="E2903">
        <v>8</v>
      </c>
      <c r="F2903" s="3">
        <f ca="1">40646+(RANDBETWEEN(1,10))</f>
        <v>40648</v>
      </c>
      <c r="G2903" t="s">
        <v>26</v>
      </c>
      <c r="H2903" t="s">
        <v>281</v>
      </c>
      <c r="I2903" t="s">
        <v>52</v>
      </c>
      <c r="J2903">
        <v>307.3</v>
      </c>
      <c r="K2903">
        <v>0.08</v>
      </c>
      <c r="L2903">
        <v>0.5</v>
      </c>
      <c r="M2903">
        <v>24.36</v>
      </c>
      <c r="N2903">
        <v>99.980999999999995</v>
      </c>
      <c r="O2903" s="1" t="s">
        <v>29</v>
      </c>
      <c r="P2903" s="1" t="s">
        <v>7567</v>
      </c>
      <c r="Q2903" s="1" t="s">
        <v>7568</v>
      </c>
      <c r="R2903" s="1" t="s">
        <v>675</v>
      </c>
      <c r="S2903" s="1" t="s">
        <v>7569</v>
      </c>
      <c r="T2903" s="1" t="s">
        <v>7570</v>
      </c>
      <c r="U2903" s="2" t="s">
        <v>709</v>
      </c>
      <c r="V2903" s="2" t="s">
        <v>47</v>
      </c>
      <c r="W2903" s="2" t="s">
        <v>71</v>
      </c>
      <c r="X2903" s="2">
        <v>40.950000000000003</v>
      </c>
    </row>
    <row r="2904" spans="1:24" x14ac:dyDescent="0.3">
      <c r="A2904">
        <v>20765</v>
      </c>
      <c r="B2904" t="s">
        <v>7571</v>
      </c>
      <c r="C2904" s="3">
        <v>41863</v>
      </c>
      <c r="D2904" t="s">
        <v>148</v>
      </c>
      <c r="E2904">
        <v>5</v>
      </c>
      <c r="F2904" s="3">
        <f ca="1">41864+(RANDBETWEEN(1,10))</f>
        <v>41870</v>
      </c>
      <c r="G2904" t="s">
        <v>26</v>
      </c>
      <c r="H2904" t="s">
        <v>51</v>
      </c>
      <c r="I2904" t="s">
        <v>28</v>
      </c>
      <c r="J2904">
        <v>79.765000000000001</v>
      </c>
      <c r="K2904">
        <v>0.1</v>
      </c>
      <c r="L2904">
        <v>0.72</v>
      </c>
      <c r="M2904">
        <v>8.3650000000000002</v>
      </c>
      <c r="N2904">
        <v>-45.217480000000002</v>
      </c>
      <c r="O2904" s="1" t="s">
        <v>40</v>
      </c>
      <c r="P2904" s="1" t="s">
        <v>7532</v>
      </c>
      <c r="Q2904" s="1" t="s">
        <v>7533</v>
      </c>
      <c r="R2904" s="1" t="s">
        <v>43</v>
      </c>
      <c r="S2904" s="1" t="s">
        <v>7534</v>
      </c>
      <c r="T2904" s="1" t="s">
        <v>7535</v>
      </c>
      <c r="U2904" s="2" t="s">
        <v>4176</v>
      </c>
      <c r="V2904" s="2" t="s">
        <v>36</v>
      </c>
      <c r="W2904" s="2" t="s">
        <v>60</v>
      </c>
      <c r="X2904" s="2">
        <v>16.695</v>
      </c>
    </row>
    <row r="2905" spans="1:24" x14ac:dyDescent="0.3">
      <c r="A2905">
        <v>20766</v>
      </c>
      <c r="B2905" t="s">
        <v>7572</v>
      </c>
      <c r="C2905" s="3">
        <v>41669</v>
      </c>
      <c r="D2905" t="s">
        <v>148</v>
      </c>
      <c r="E2905">
        <v>11</v>
      </c>
      <c r="F2905" s="3">
        <f ca="1">41670+(RANDBETWEEN(1,10))</f>
        <v>41673</v>
      </c>
      <c r="G2905" t="s">
        <v>26</v>
      </c>
      <c r="H2905" t="s">
        <v>27</v>
      </c>
      <c r="I2905" t="s">
        <v>28</v>
      </c>
      <c r="J2905">
        <v>785.89</v>
      </c>
      <c r="K2905">
        <v>0.05</v>
      </c>
      <c r="L2905">
        <v>0.68</v>
      </c>
      <c r="M2905">
        <v>14</v>
      </c>
      <c r="N2905">
        <v>80.571399999999997</v>
      </c>
      <c r="O2905" s="1" t="s">
        <v>29</v>
      </c>
      <c r="P2905" s="1" t="s">
        <v>7573</v>
      </c>
      <c r="Q2905" s="1" t="s">
        <v>7574</v>
      </c>
      <c r="R2905" s="1" t="s">
        <v>460</v>
      </c>
      <c r="S2905" s="1" t="s">
        <v>7575</v>
      </c>
      <c r="T2905" s="1" t="s">
        <v>7576</v>
      </c>
      <c r="U2905" s="2" t="s">
        <v>2334</v>
      </c>
      <c r="V2905" s="2" t="s">
        <v>36</v>
      </c>
      <c r="W2905" s="2" t="s">
        <v>60</v>
      </c>
      <c r="X2905" s="2">
        <v>69.930000000000007</v>
      </c>
    </row>
    <row r="2906" spans="1:24" x14ac:dyDescent="0.3">
      <c r="A2906">
        <v>20767</v>
      </c>
      <c r="B2906" t="s">
        <v>7572</v>
      </c>
      <c r="C2906" s="3">
        <v>41669</v>
      </c>
      <c r="D2906" t="s">
        <v>148</v>
      </c>
      <c r="E2906">
        <v>1</v>
      </c>
      <c r="F2906" s="3">
        <f ca="1">41671+(RANDBETWEEN(1,10))</f>
        <v>41676</v>
      </c>
      <c r="G2906" t="s">
        <v>26</v>
      </c>
      <c r="H2906" t="s">
        <v>51</v>
      </c>
      <c r="I2906" t="s">
        <v>28</v>
      </c>
      <c r="J2906">
        <v>99.4</v>
      </c>
      <c r="K2906">
        <v>0.09</v>
      </c>
      <c r="L2906">
        <v>0.35</v>
      </c>
      <c r="M2906">
        <v>3.4649999999999999</v>
      </c>
      <c r="N2906">
        <v>-385.97789999999998</v>
      </c>
      <c r="O2906" s="1" t="s">
        <v>40</v>
      </c>
      <c r="P2906" s="1" t="s">
        <v>7577</v>
      </c>
      <c r="Q2906" s="1" t="s">
        <v>7578</v>
      </c>
      <c r="R2906" s="1" t="s">
        <v>43</v>
      </c>
      <c r="S2906" s="1" t="s">
        <v>7579</v>
      </c>
      <c r="T2906" s="1" t="s">
        <v>7580</v>
      </c>
      <c r="U2906" s="2" t="s">
        <v>1868</v>
      </c>
      <c r="V2906" s="2" t="s">
        <v>36</v>
      </c>
      <c r="W2906" s="2" t="s">
        <v>37</v>
      </c>
      <c r="X2906" s="2">
        <v>125.965</v>
      </c>
    </row>
    <row r="2907" spans="1:24" x14ac:dyDescent="0.3">
      <c r="A2907">
        <v>20768</v>
      </c>
      <c r="B2907" t="s">
        <v>7581</v>
      </c>
      <c r="C2907" s="3">
        <v>41856</v>
      </c>
      <c r="D2907" t="s">
        <v>50</v>
      </c>
      <c r="E2907">
        <v>25</v>
      </c>
      <c r="F2907" s="3">
        <f ca="1">41857+(RANDBETWEEN(1,10))</f>
        <v>41867</v>
      </c>
      <c r="G2907" t="s">
        <v>26</v>
      </c>
      <c r="H2907" t="s">
        <v>96</v>
      </c>
      <c r="I2907" t="s">
        <v>86</v>
      </c>
      <c r="J2907">
        <v>147.52500000000001</v>
      </c>
      <c r="K2907">
        <v>0.08</v>
      </c>
      <c r="L2907">
        <v>0.59</v>
      </c>
      <c r="M2907">
        <v>5.4950000000000001</v>
      </c>
      <c r="N2907">
        <v>-68.635000000000005</v>
      </c>
      <c r="O2907" s="1" t="s">
        <v>53</v>
      </c>
      <c r="P2907" s="1" t="s">
        <v>7582</v>
      </c>
      <c r="Q2907" s="1" t="s">
        <v>7583</v>
      </c>
      <c r="R2907" s="1" t="s">
        <v>440</v>
      </c>
      <c r="S2907" s="1" t="s">
        <v>3776</v>
      </c>
      <c r="T2907" s="1" t="s">
        <v>3777</v>
      </c>
      <c r="U2907" s="2" t="s">
        <v>2439</v>
      </c>
      <c r="V2907" s="2" t="s">
        <v>47</v>
      </c>
      <c r="W2907" s="2" t="s">
        <v>104</v>
      </c>
      <c r="X2907" s="2">
        <v>5.88</v>
      </c>
    </row>
    <row r="2908" spans="1:24" x14ac:dyDescent="0.3">
      <c r="A2908">
        <v>20769</v>
      </c>
      <c r="B2908" t="s">
        <v>7584</v>
      </c>
      <c r="C2908" s="3">
        <v>41948</v>
      </c>
      <c r="D2908" t="s">
        <v>148</v>
      </c>
      <c r="E2908">
        <v>7</v>
      </c>
      <c r="F2908" s="3">
        <f ca="1">41950+(RANDBETWEEN(1,10))</f>
        <v>41956</v>
      </c>
      <c r="G2908" t="s">
        <v>26</v>
      </c>
      <c r="H2908" t="s">
        <v>51</v>
      </c>
      <c r="I2908" t="s">
        <v>28</v>
      </c>
      <c r="J2908">
        <v>420.73500000000001</v>
      </c>
      <c r="K2908">
        <v>0.06</v>
      </c>
      <c r="L2908">
        <v>0.45</v>
      </c>
      <c r="M2908">
        <v>6.9649999999999999</v>
      </c>
      <c r="N2908">
        <v>-5790.3789999999999</v>
      </c>
      <c r="O2908" s="1" t="s">
        <v>40</v>
      </c>
      <c r="P2908" s="1" t="s">
        <v>2215</v>
      </c>
      <c r="Q2908" s="1" t="s">
        <v>2216</v>
      </c>
      <c r="R2908" s="1" t="s">
        <v>43</v>
      </c>
      <c r="S2908" s="1" t="s">
        <v>2217</v>
      </c>
      <c r="T2908" s="1" t="s">
        <v>2218</v>
      </c>
      <c r="U2908" s="2" t="s">
        <v>59</v>
      </c>
      <c r="V2908" s="2" t="s">
        <v>36</v>
      </c>
      <c r="W2908" s="2" t="s">
        <v>60</v>
      </c>
      <c r="X2908" s="2">
        <v>61.18</v>
      </c>
    </row>
    <row r="2909" spans="1:24" x14ac:dyDescent="0.3">
      <c r="A2909">
        <v>20770</v>
      </c>
      <c r="B2909" t="s">
        <v>7585</v>
      </c>
      <c r="C2909" s="3">
        <v>41050</v>
      </c>
      <c r="D2909" t="s">
        <v>62</v>
      </c>
      <c r="E2909">
        <v>2</v>
      </c>
      <c r="F2909" s="3">
        <f ca="1">41052+(RANDBETWEEN(1,10))</f>
        <v>41058</v>
      </c>
      <c r="G2909" t="s">
        <v>26</v>
      </c>
      <c r="H2909" t="s">
        <v>63</v>
      </c>
      <c r="I2909" t="s">
        <v>28</v>
      </c>
      <c r="J2909">
        <v>3561.53</v>
      </c>
      <c r="K2909">
        <v>0.04</v>
      </c>
      <c r="L2909">
        <v>0.36</v>
      </c>
      <c r="M2909">
        <v>85.715000000000003</v>
      </c>
      <c r="N2909">
        <v>-3539.62</v>
      </c>
      <c r="O2909" s="1" t="s">
        <v>87</v>
      </c>
      <c r="P2909" s="1" t="s">
        <v>2640</v>
      </c>
      <c r="Q2909" s="1" t="s">
        <v>2641</v>
      </c>
      <c r="R2909" s="1" t="s">
        <v>90</v>
      </c>
      <c r="S2909" s="1" t="s">
        <v>2642</v>
      </c>
      <c r="T2909" s="1" t="s">
        <v>2643</v>
      </c>
      <c r="U2909" s="2" t="s">
        <v>3414</v>
      </c>
      <c r="V2909" s="2" t="s">
        <v>36</v>
      </c>
      <c r="W2909" s="2" t="s">
        <v>1327</v>
      </c>
      <c r="X2909" s="2">
        <v>1749.9649999999999</v>
      </c>
    </row>
    <row r="2910" spans="1:24" x14ac:dyDescent="0.3">
      <c r="A2910">
        <v>20771</v>
      </c>
      <c r="B2910" t="s">
        <v>7586</v>
      </c>
      <c r="C2910" s="3">
        <v>41248</v>
      </c>
      <c r="D2910" t="s">
        <v>50</v>
      </c>
      <c r="E2910">
        <v>13</v>
      </c>
      <c r="F2910" s="3">
        <f ca="1">41251+(RANDBETWEEN(1,10))</f>
        <v>41252</v>
      </c>
      <c r="G2910" t="s">
        <v>76</v>
      </c>
      <c r="H2910" t="s">
        <v>258</v>
      </c>
      <c r="I2910" t="s">
        <v>28</v>
      </c>
      <c r="J2910">
        <v>7104.37</v>
      </c>
      <c r="K2910">
        <v>0.03</v>
      </c>
      <c r="L2910">
        <v>0.65</v>
      </c>
      <c r="M2910">
        <v>231.94499999999999</v>
      </c>
      <c r="N2910">
        <v>1861.335</v>
      </c>
      <c r="O2910" s="1" t="s">
        <v>29</v>
      </c>
      <c r="P2910" s="1" t="s">
        <v>7587</v>
      </c>
      <c r="Q2910" s="1" t="s">
        <v>7588</v>
      </c>
      <c r="R2910" s="1" t="s">
        <v>675</v>
      </c>
      <c r="S2910" s="1" t="s">
        <v>7589</v>
      </c>
      <c r="T2910" s="1" t="s">
        <v>7590</v>
      </c>
      <c r="U2910" s="2" t="s">
        <v>3398</v>
      </c>
      <c r="V2910" s="2" t="s">
        <v>83</v>
      </c>
      <c r="W2910" s="2" t="s">
        <v>298</v>
      </c>
      <c r="X2910" s="2">
        <v>528.42999999999995</v>
      </c>
    </row>
    <row r="2911" spans="1:24" x14ac:dyDescent="0.3">
      <c r="A2911">
        <v>20772</v>
      </c>
      <c r="B2911" t="s">
        <v>7586</v>
      </c>
      <c r="C2911" s="3">
        <v>41248</v>
      </c>
      <c r="D2911" t="s">
        <v>50</v>
      </c>
      <c r="E2911">
        <v>10</v>
      </c>
      <c r="F2911" s="3">
        <f ca="1">41250+(RANDBETWEEN(1,10))</f>
        <v>41259</v>
      </c>
      <c r="G2911" t="s">
        <v>26</v>
      </c>
      <c r="H2911" t="s">
        <v>27</v>
      </c>
      <c r="I2911" t="s">
        <v>28</v>
      </c>
      <c r="J2911">
        <v>2908.5349999999999</v>
      </c>
      <c r="K2911">
        <v>0.03</v>
      </c>
      <c r="L2911">
        <v>0.56000000000000005</v>
      </c>
      <c r="M2911">
        <v>17.149999999999999</v>
      </c>
      <c r="N2911">
        <v>-358.19</v>
      </c>
      <c r="O2911" s="1" t="s">
        <v>29</v>
      </c>
      <c r="P2911" s="1" t="s">
        <v>7587</v>
      </c>
      <c r="Q2911" s="1" t="s">
        <v>7588</v>
      </c>
      <c r="R2911" s="1" t="s">
        <v>675</v>
      </c>
      <c r="S2911" s="1" t="s">
        <v>7589</v>
      </c>
      <c r="T2911" s="1" t="s">
        <v>7590</v>
      </c>
      <c r="U2911" s="2" t="s">
        <v>35</v>
      </c>
      <c r="V2911" s="2" t="s">
        <v>36</v>
      </c>
      <c r="W2911" s="2" t="s">
        <v>37</v>
      </c>
      <c r="X2911" s="2">
        <v>335.96499999999997</v>
      </c>
    </row>
    <row r="2912" spans="1:24" x14ac:dyDescent="0.3">
      <c r="A2912">
        <v>20773</v>
      </c>
      <c r="B2912" t="s">
        <v>7586</v>
      </c>
      <c r="C2912" s="3">
        <v>41248</v>
      </c>
      <c r="D2912" t="s">
        <v>50</v>
      </c>
      <c r="E2912">
        <v>12</v>
      </c>
      <c r="F2912" s="3">
        <f ca="1">41248+(RANDBETWEEN(1,10))</f>
        <v>41258</v>
      </c>
      <c r="G2912" t="s">
        <v>26</v>
      </c>
      <c r="H2912" t="s">
        <v>27</v>
      </c>
      <c r="I2912" t="s">
        <v>28</v>
      </c>
      <c r="J2912">
        <v>487.97</v>
      </c>
      <c r="K2912">
        <v>0.1</v>
      </c>
      <c r="L2912">
        <v>0.57999999999999996</v>
      </c>
      <c r="M2912">
        <v>17.43</v>
      </c>
      <c r="N2912">
        <v>-2.254</v>
      </c>
      <c r="O2912" s="1" t="s">
        <v>40</v>
      </c>
      <c r="P2912" s="1" t="s">
        <v>6699</v>
      </c>
      <c r="Q2912" s="1" t="s">
        <v>6700</v>
      </c>
      <c r="R2912" s="1" t="s">
        <v>43</v>
      </c>
      <c r="S2912" s="1" t="s">
        <v>6701</v>
      </c>
      <c r="T2912" s="1" t="s">
        <v>6702</v>
      </c>
      <c r="U2912" s="2" t="s">
        <v>5213</v>
      </c>
      <c r="V2912" s="2" t="s">
        <v>47</v>
      </c>
      <c r="W2912" s="2" t="s">
        <v>71</v>
      </c>
      <c r="X2912" s="2">
        <v>41.895000000000003</v>
      </c>
    </row>
    <row r="2913" spans="1:24" x14ac:dyDescent="0.3">
      <c r="A2913">
        <v>20774</v>
      </c>
      <c r="B2913" t="s">
        <v>7586</v>
      </c>
      <c r="C2913" s="3">
        <v>41248</v>
      </c>
      <c r="D2913" t="s">
        <v>50</v>
      </c>
      <c r="E2913">
        <v>20</v>
      </c>
      <c r="F2913" s="3">
        <f ca="1">41250+(RANDBETWEEN(1,10))</f>
        <v>41258</v>
      </c>
      <c r="G2913" t="s">
        <v>26</v>
      </c>
      <c r="H2913" t="s">
        <v>27</v>
      </c>
      <c r="I2913" t="s">
        <v>28</v>
      </c>
      <c r="J2913">
        <v>1920.87</v>
      </c>
      <c r="K2913">
        <v>0.03</v>
      </c>
      <c r="L2913">
        <v>0.75</v>
      </c>
      <c r="M2913">
        <v>20.614999999999998</v>
      </c>
      <c r="N2913">
        <v>1275.7394999999999</v>
      </c>
      <c r="O2913" s="1" t="s">
        <v>40</v>
      </c>
      <c r="P2913" s="1" t="s">
        <v>6699</v>
      </c>
      <c r="Q2913" s="1" t="s">
        <v>6700</v>
      </c>
      <c r="R2913" s="1" t="s">
        <v>43</v>
      </c>
      <c r="S2913" s="1" t="s">
        <v>6701</v>
      </c>
      <c r="T2913" s="1" t="s">
        <v>6702</v>
      </c>
      <c r="U2913" s="2" t="s">
        <v>4016</v>
      </c>
      <c r="V2913" s="2" t="s">
        <v>36</v>
      </c>
      <c r="W2913" s="2" t="s">
        <v>60</v>
      </c>
      <c r="X2913" s="2">
        <v>92.084999999999994</v>
      </c>
    </row>
    <row r="2914" spans="1:24" x14ac:dyDescent="0.3">
      <c r="A2914">
        <v>20775</v>
      </c>
      <c r="B2914" t="s">
        <v>7591</v>
      </c>
      <c r="C2914" s="3">
        <v>41649</v>
      </c>
      <c r="D2914" t="s">
        <v>25</v>
      </c>
      <c r="E2914">
        <v>10</v>
      </c>
      <c r="F2914" s="3">
        <f ca="1">41654+(RANDBETWEEN(1,10))</f>
        <v>41655</v>
      </c>
      <c r="G2914" t="s">
        <v>26</v>
      </c>
      <c r="H2914" t="s">
        <v>27</v>
      </c>
      <c r="I2914" t="s">
        <v>28</v>
      </c>
      <c r="J2914">
        <v>1009.4349999999999</v>
      </c>
      <c r="K2914">
        <v>0.02</v>
      </c>
      <c r="L2914">
        <v>0.42</v>
      </c>
      <c r="M2914">
        <v>29.925000000000001</v>
      </c>
      <c r="N2914">
        <v>711.79499999999996</v>
      </c>
      <c r="O2914" s="1" t="s">
        <v>64</v>
      </c>
      <c r="P2914" s="1" t="s">
        <v>7329</v>
      </c>
      <c r="Q2914" s="1" t="s">
        <v>7330</v>
      </c>
      <c r="R2914" s="1" t="s">
        <v>128</v>
      </c>
      <c r="S2914" s="1" t="s">
        <v>7331</v>
      </c>
      <c r="T2914" s="1" t="s">
        <v>7332</v>
      </c>
      <c r="U2914" s="2" t="s">
        <v>2535</v>
      </c>
      <c r="V2914" s="2" t="s">
        <v>83</v>
      </c>
      <c r="W2914" s="2" t="s">
        <v>178</v>
      </c>
      <c r="X2914" s="2">
        <v>102.13</v>
      </c>
    </row>
    <row r="2915" spans="1:24" x14ac:dyDescent="0.3">
      <c r="A2915">
        <v>20776</v>
      </c>
      <c r="B2915" t="s">
        <v>7592</v>
      </c>
      <c r="C2915" s="3">
        <v>40553</v>
      </c>
      <c r="D2915" t="s">
        <v>25</v>
      </c>
      <c r="E2915">
        <v>12</v>
      </c>
      <c r="F2915" s="3">
        <f ca="1">40558+(RANDBETWEEN(1,10))</f>
        <v>40567</v>
      </c>
      <c r="G2915" t="s">
        <v>76</v>
      </c>
      <c r="H2915" t="s">
        <v>77</v>
      </c>
      <c r="I2915" t="s">
        <v>28</v>
      </c>
      <c r="J2915">
        <v>12974.674999999999</v>
      </c>
      <c r="K2915">
        <v>0.03</v>
      </c>
      <c r="L2915">
        <v>0.56999999999999995</v>
      </c>
      <c r="M2915">
        <v>51.45</v>
      </c>
      <c r="N2915">
        <v>-171.40199999999999</v>
      </c>
      <c r="O2915" s="1" t="s">
        <v>64</v>
      </c>
      <c r="P2915" s="1" t="s">
        <v>7329</v>
      </c>
      <c r="Q2915" s="1" t="s">
        <v>7330</v>
      </c>
      <c r="R2915" s="1" t="s">
        <v>128</v>
      </c>
      <c r="S2915" s="1" t="s">
        <v>7331</v>
      </c>
      <c r="T2915" s="1" t="s">
        <v>7332</v>
      </c>
      <c r="U2915" s="2" t="s">
        <v>7593</v>
      </c>
      <c r="V2915" s="2" t="s">
        <v>36</v>
      </c>
      <c r="W2915" s="2" t="s">
        <v>142</v>
      </c>
      <c r="X2915" s="2">
        <v>1041.74</v>
      </c>
    </row>
    <row r="2916" spans="1:24" x14ac:dyDescent="0.3">
      <c r="A2916">
        <v>20777</v>
      </c>
      <c r="B2916" t="s">
        <v>7594</v>
      </c>
      <c r="C2916" s="3">
        <v>40965</v>
      </c>
      <c r="D2916" t="s">
        <v>25</v>
      </c>
      <c r="E2916">
        <v>11</v>
      </c>
      <c r="F2916" s="3">
        <f ca="1">40967+(RANDBETWEEN(1,10))</f>
        <v>40976</v>
      </c>
      <c r="G2916" t="s">
        <v>26</v>
      </c>
      <c r="H2916" t="s">
        <v>27</v>
      </c>
      <c r="I2916" t="s">
        <v>52</v>
      </c>
      <c r="J2916">
        <v>158.97</v>
      </c>
      <c r="K2916">
        <v>0.05</v>
      </c>
      <c r="L2916">
        <v>0.49</v>
      </c>
      <c r="M2916">
        <v>23.1</v>
      </c>
      <c r="N2916">
        <v>-603.4</v>
      </c>
      <c r="O2916" s="1" t="s">
        <v>87</v>
      </c>
      <c r="P2916" s="1" t="s">
        <v>7595</v>
      </c>
      <c r="Q2916" s="1" t="s">
        <v>7596</v>
      </c>
      <c r="R2916" s="1" t="s">
        <v>646</v>
      </c>
      <c r="S2916" s="1" t="s">
        <v>5251</v>
      </c>
      <c r="T2916" s="1" t="s">
        <v>5252</v>
      </c>
      <c r="U2916" s="2" t="s">
        <v>5685</v>
      </c>
      <c r="V2916" s="2" t="s">
        <v>83</v>
      </c>
      <c r="W2916" s="2" t="s">
        <v>178</v>
      </c>
      <c r="X2916" s="2">
        <v>14.49</v>
      </c>
    </row>
    <row r="2917" spans="1:24" x14ac:dyDescent="0.3">
      <c r="A2917">
        <v>20778</v>
      </c>
      <c r="B2917" t="s">
        <v>7597</v>
      </c>
      <c r="C2917" s="3">
        <v>41884</v>
      </c>
      <c r="D2917" t="s">
        <v>62</v>
      </c>
      <c r="E2917">
        <v>2</v>
      </c>
      <c r="F2917" s="3">
        <f ca="1">41885+(RANDBETWEEN(1,10))</f>
        <v>41891</v>
      </c>
      <c r="G2917" t="s">
        <v>26</v>
      </c>
      <c r="H2917" t="s">
        <v>27</v>
      </c>
      <c r="I2917" t="s">
        <v>97</v>
      </c>
      <c r="J2917">
        <v>95.165000000000006</v>
      </c>
      <c r="K2917">
        <v>0.02</v>
      </c>
      <c r="L2917">
        <v>0.35</v>
      </c>
      <c r="M2917">
        <v>20.02</v>
      </c>
      <c r="N2917">
        <v>-37.641800000000003</v>
      </c>
      <c r="O2917" s="1" t="s">
        <v>29</v>
      </c>
      <c r="P2917" s="1" t="s">
        <v>7598</v>
      </c>
      <c r="Q2917" s="1" t="s">
        <v>7599</v>
      </c>
      <c r="R2917" s="1" t="s">
        <v>460</v>
      </c>
      <c r="S2917" s="1" t="s">
        <v>7600</v>
      </c>
      <c r="T2917" s="1" t="s">
        <v>7601</v>
      </c>
      <c r="U2917" s="2" t="s">
        <v>2886</v>
      </c>
      <c r="V2917" s="2" t="s">
        <v>47</v>
      </c>
      <c r="W2917" s="2" t="s">
        <v>48</v>
      </c>
      <c r="X2917" s="2">
        <v>40.53</v>
      </c>
    </row>
    <row r="2918" spans="1:24" x14ac:dyDescent="0.3">
      <c r="A2918">
        <v>20779</v>
      </c>
      <c r="B2918" t="s">
        <v>7597</v>
      </c>
      <c r="C2918" s="3">
        <v>41884</v>
      </c>
      <c r="D2918" t="s">
        <v>62</v>
      </c>
      <c r="E2918">
        <v>8</v>
      </c>
      <c r="F2918" s="3">
        <f ca="1">41886+(RANDBETWEEN(1,10))</f>
        <v>41889</v>
      </c>
      <c r="G2918" t="s">
        <v>26</v>
      </c>
      <c r="H2918" t="s">
        <v>27</v>
      </c>
      <c r="I2918" t="s">
        <v>97</v>
      </c>
      <c r="J2918">
        <v>917.45500000000004</v>
      </c>
      <c r="K2918">
        <v>0</v>
      </c>
      <c r="L2918">
        <v>0.4</v>
      </c>
      <c r="M2918">
        <v>30.59</v>
      </c>
      <c r="N2918">
        <v>469.40039999999999</v>
      </c>
      <c r="O2918" s="1" t="s">
        <v>29</v>
      </c>
      <c r="P2918" s="1" t="s">
        <v>7598</v>
      </c>
      <c r="Q2918" s="1" t="s">
        <v>7599</v>
      </c>
      <c r="R2918" s="1" t="s">
        <v>460</v>
      </c>
      <c r="S2918" s="1" t="s">
        <v>7600</v>
      </c>
      <c r="T2918" s="1" t="s">
        <v>7601</v>
      </c>
      <c r="U2918" s="2" t="s">
        <v>1346</v>
      </c>
      <c r="V2918" s="2" t="s">
        <v>47</v>
      </c>
      <c r="W2918" s="2" t="s">
        <v>74</v>
      </c>
      <c r="X2918" s="2">
        <v>108.43</v>
      </c>
    </row>
    <row r="2919" spans="1:24" x14ac:dyDescent="0.3">
      <c r="A2919">
        <v>20780</v>
      </c>
      <c r="B2919" t="s">
        <v>7602</v>
      </c>
      <c r="C2919" s="3">
        <v>41333</v>
      </c>
      <c r="D2919" t="s">
        <v>62</v>
      </c>
      <c r="E2919">
        <v>3</v>
      </c>
      <c r="F2919" s="3">
        <f ca="1">41333+(RANDBETWEEN(1,10))</f>
        <v>41338</v>
      </c>
      <c r="G2919" t="s">
        <v>26</v>
      </c>
      <c r="H2919" t="s">
        <v>27</v>
      </c>
      <c r="I2919" t="s">
        <v>97</v>
      </c>
      <c r="J2919">
        <v>62.055</v>
      </c>
      <c r="K2919">
        <v>0.09</v>
      </c>
      <c r="L2919">
        <v>0.39</v>
      </c>
      <c r="M2919">
        <v>24.43</v>
      </c>
      <c r="N2919">
        <v>-161.44274999999999</v>
      </c>
      <c r="O2919" s="1" t="s">
        <v>53</v>
      </c>
      <c r="P2919" s="1" t="s">
        <v>7603</v>
      </c>
      <c r="Q2919" s="1" t="s">
        <v>7604</v>
      </c>
      <c r="R2919" s="1" t="s">
        <v>56</v>
      </c>
      <c r="S2919" s="1" t="s">
        <v>7605</v>
      </c>
      <c r="T2919" s="1" t="s">
        <v>7606</v>
      </c>
      <c r="U2919" s="2" t="s">
        <v>4859</v>
      </c>
      <c r="V2919" s="2" t="s">
        <v>47</v>
      </c>
      <c r="W2919" s="2" t="s">
        <v>111</v>
      </c>
      <c r="X2919" s="2">
        <v>19.355</v>
      </c>
    </row>
    <row r="2920" spans="1:24" x14ac:dyDescent="0.3">
      <c r="A2920">
        <v>20781</v>
      </c>
      <c r="B2920" t="s">
        <v>7607</v>
      </c>
      <c r="C2920" s="3">
        <v>41908</v>
      </c>
      <c r="D2920" t="s">
        <v>62</v>
      </c>
      <c r="E2920">
        <v>3</v>
      </c>
      <c r="F2920" s="3">
        <f ca="1">41910+(RANDBETWEEN(1,10))</f>
        <v>41916</v>
      </c>
      <c r="G2920" t="s">
        <v>26</v>
      </c>
      <c r="H2920" t="s">
        <v>27</v>
      </c>
      <c r="I2920" t="s">
        <v>28</v>
      </c>
      <c r="J2920">
        <v>432.53</v>
      </c>
      <c r="K2920">
        <v>7.0000000000000007E-2</v>
      </c>
      <c r="L2920">
        <v>0.56999999999999995</v>
      </c>
      <c r="M2920">
        <v>66.430000000000007</v>
      </c>
      <c r="N2920">
        <v>-173.166</v>
      </c>
      <c r="O2920" s="1" t="s">
        <v>64</v>
      </c>
      <c r="P2920" s="1" t="s">
        <v>2182</v>
      </c>
      <c r="Q2920" s="1" t="s">
        <v>2183</v>
      </c>
      <c r="R2920" s="1" t="s">
        <v>128</v>
      </c>
      <c r="S2920" s="1" t="s">
        <v>2184</v>
      </c>
      <c r="T2920" s="1" t="s">
        <v>2185</v>
      </c>
      <c r="U2920" s="2" t="s">
        <v>1823</v>
      </c>
      <c r="V2920" s="2" t="s">
        <v>83</v>
      </c>
      <c r="W2920" s="2" t="s">
        <v>178</v>
      </c>
      <c r="X2920" s="2">
        <v>143.11500000000001</v>
      </c>
    </row>
    <row r="2921" spans="1:24" x14ac:dyDescent="0.3">
      <c r="A2921">
        <v>20782</v>
      </c>
      <c r="B2921" t="s">
        <v>7608</v>
      </c>
      <c r="C2921" s="3">
        <v>41534</v>
      </c>
      <c r="D2921" t="s">
        <v>148</v>
      </c>
      <c r="E2921">
        <v>15</v>
      </c>
      <c r="F2921" s="3">
        <f ca="1">41536+(RANDBETWEEN(1,10))</f>
        <v>41537</v>
      </c>
      <c r="G2921" t="s">
        <v>76</v>
      </c>
      <c r="H2921" t="s">
        <v>77</v>
      </c>
      <c r="I2921" t="s">
        <v>97</v>
      </c>
      <c r="J2921">
        <v>1337.8050000000001</v>
      </c>
      <c r="K2921">
        <v>0.1</v>
      </c>
      <c r="L2921">
        <v>0.6</v>
      </c>
      <c r="M2921">
        <v>50.26</v>
      </c>
      <c r="N2921">
        <v>-666.43499999999995</v>
      </c>
      <c r="O2921" s="1" t="s">
        <v>40</v>
      </c>
      <c r="P2921" s="1" t="s">
        <v>7609</v>
      </c>
      <c r="Q2921" s="1" t="s">
        <v>7610</v>
      </c>
      <c r="R2921" s="1" t="s">
        <v>220</v>
      </c>
      <c r="S2921" s="1" t="s">
        <v>7315</v>
      </c>
      <c r="T2921" s="1" t="s">
        <v>7316</v>
      </c>
      <c r="U2921" s="2" t="s">
        <v>4583</v>
      </c>
      <c r="V2921" s="2" t="s">
        <v>83</v>
      </c>
      <c r="W2921" s="2" t="s">
        <v>84</v>
      </c>
      <c r="X2921" s="2">
        <v>90.93</v>
      </c>
    </row>
    <row r="2922" spans="1:24" x14ac:dyDescent="0.3">
      <c r="A2922">
        <v>20783</v>
      </c>
      <c r="B2922" t="s">
        <v>7611</v>
      </c>
      <c r="C2922" s="3">
        <v>41870</v>
      </c>
      <c r="D2922" t="s">
        <v>25</v>
      </c>
      <c r="E2922">
        <v>18</v>
      </c>
      <c r="F2922" s="3">
        <f ca="1">41875+(RANDBETWEEN(1,10))</f>
        <v>41879</v>
      </c>
      <c r="G2922" t="s">
        <v>76</v>
      </c>
      <c r="H2922" t="s">
        <v>258</v>
      </c>
      <c r="I2922" t="s">
        <v>52</v>
      </c>
      <c r="J2922">
        <v>11009.004999999999</v>
      </c>
      <c r="K2922">
        <v>0.03</v>
      </c>
      <c r="L2922">
        <v>0.74</v>
      </c>
      <c r="M2922">
        <v>102.235</v>
      </c>
      <c r="N2922">
        <v>505.10012</v>
      </c>
      <c r="O2922" s="1" t="s">
        <v>29</v>
      </c>
      <c r="P2922" s="1" t="s">
        <v>3719</v>
      </c>
      <c r="Q2922" s="1" t="s">
        <v>3720</v>
      </c>
      <c r="R2922" s="1" t="s">
        <v>32</v>
      </c>
      <c r="S2922" s="1" t="s">
        <v>3721</v>
      </c>
      <c r="T2922" s="1" t="s">
        <v>3722</v>
      </c>
      <c r="U2922" s="2" t="s">
        <v>1724</v>
      </c>
      <c r="V2922" s="2" t="s">
        <v>83</v>
      </c>
      <c r="W2922" s="2" t="s">
        <v>263</v>
      </c>
      <c r="X2922" s="2">
        <v>627.51499999999999</v>
      </c>
    </row>
    <row r="2923" spans="1:24" x14ac:dyDescent="0.3">
      <c r="A2923">
        <v>20784</v>
      </c>
      <c r="B2923" t="s">
        <v>7612</v>
      </c>
      <c r="C2923" s="3">
        <v>41616</v>
      </c>
      <c r="D2923" t="s">
        <v>148</v>
      </c>
      <c r="E2923">
        <v>6</v>
      </c>
      <c r="F2923" s="3">
        <f ca="1">41618+(RANDBETWEEN(1,10))</f>
        <v>41620</v>
      </c>
      <c r="G2923" t="s">
        <v>26</v>
      </c>
      <c r="H2923" t="s">
        <v>27</v>
      </c>
      <c r="I2923" t="s">
        <v>52</v>
      </c>
      <c r="J2923">
        <v>349.96499999999997</v>
      </c>
      <c r="K2923">
        <v>0.04</v>
      </c>
      <c r="L2923">
        <v>0.49</v>
      </c>
      <c r="M2923">
        <v>32.9</v>
      </c>
      <c r="N2923">
        <v>-106.925175</v>
      </c>
      <c r="O2923" s="1" t="s">
        <v>29</v>
      </c>
      <c r="P2923" s="1" t="s">
        <v>7613</v>
      </c>
      <c r="Q2923" s="1" t="s">
        <v>7614</v>
      </c>
      <c r="R2923" s="1" t="s">
        <v>32</v>
      </c>
      <c r="S2923" s="1" t="s">
        <v>7615</v>
      </c>
      <c r="T2923" s="1" t="s">
        <v>7616</v>
      </c>
      <c r="U2923" s="2" t="s">
        <v>942</v>
      </c>
      <c r="V2923" s="2" t="s">
        <v>36</v>
      </c>
      <c r="W2923" s="2" t="s">
        <v>142</v>
      </c>
      <c r="X2923" s="2">
        <v>55.965000000000003</v>
      </c>
    </row>
    <row r="2924" spans="1:24" x14ac:dyDescent="0.3">
      <c r="A2924">
        <v>20785</v>
      </c>
      <c r="B2924" t="s">
        <v>7612</v>
      </c>
      <c r="C2924" s="3">
        <v>41616</v>
      </c>
      <c r="D2924" t="s">
        <v>148</v>
      </c>
      <c r="E2924">
        <v>4</v>
      </c>
      <c r="F2924" s="3">
        <f ca="1">41616+(RANDBETWEEN(1,10))</f>
        <v>41618</v>
      </c>
      <c r="G2924" t="s">
        <v>26</v>
      </c>
      <c r="H2924" t="s">
        <v>51</v>
      </c>
      <c r="I2924" t="s">
        <v>52</v>
      </c>
      <c r="J2924">
        <v>339.71</v>
      </c>
      <c r="K2924">
        <v>0.03</v>
      </c>
      <c r="L2924">
        <v>0.44</v>
      </c>
      <c r="M2924">
        <v>31.465</v>
      </c>
      <c r="N2924">
        <v>234.3999</v>
      </c>
      <c r="O2924" s="1" t="s">
        <v>53</v>
      </c>
      <c r="P2924" s="1" t="s">
        <v>7617</v>
      </c>
      <c r="Q2924" s="1" t="s">
        <v>7618</v>
      </c>
      <c r="R2924" s="1" t="s">
        <v>56</v>
      </c>
      <c r="S2924" s="1" t="s">
        <v>3216</v>
      </c>
      <c r="T2924" s="1" t="s">
        <v>3217</v>
      </c>
      <c r="U2924" s="2" t="s">
        <v>2721</v>
      </c>
      <c r="V2924" s="2" t="s">
        <v>83</v>
      </c>
      <c r="W2924" s="2" t="s">
        <v>178</v>
      </c>
      <c r="X2924" s="2">
        <v>79.52</v>
      </c>
    </row>
    <row r="2925" spans="1:24" x14ac:dyDescent="0.3">
      <c r="A2925">
        <v>20786</v>
      </c>
      <c r="B2925" t="s">
        <v>7619</v>
      </c>
      <c r="C2925" s="3">
        <v>41430</v>
      </c>
      <c r="D2925" t="s">
        <v>39</v>
      </c>
      <c r="E2925">
        <v>6</v>
      </c>
      <c r="F2925" s="3">
        <f ca="1">41431+(RANDBETWEEN(1,10))</f>
        <v>41439</v>
      </c>
      <c r="G2925" t="s">
        <v>26</v>
      </c>
      <c r="H2925" t="s">
        <v>51</v>
      </c>
      <c r="I2925" t="s">
        <v>86</v>
      </c>
      <c r="J2925">
        <v>466.62</v>
      </c>
      <c r="K2925">
        <v>0.03</v>
      </c>
      <c r="L2925">
        <v>0.43</v>
      </c>
      <c r="M2925">
        <v>6.9649999999999999</v>
      </c>
      <c r="N2925">
        <v>298.36799999999999</v>
      </c>
      <c r="O2925" s="1" t="s">
        <v>40</v>
      </c>
      <c r="P2925" s="1" t="s">
        <v>2656</v>
      </c>
      <c r="Q2925" s="1" t="s">
        <v>2657</v>
      </c>
      <c r="R2925" s="1" t="s">
        <v>43</v>
      </c>
      <c r="S2925" s="1" t="s">
        <v>2658</v>
      </c>
      <c r="T2925" s="1" t="s">
        <v>2659</v>
      </c>
      <c r="U2925" s="2" t="s">
        <v>4462</v>
      </c>
      <c r="V2925" s="2" t="s">
        <v>36</v>
      </c>
      <c r="W2925" s="2" t="s">
        <v>60</v>
      </c>
      <c r="X2925" s="2">
        <v>77.84</v>
      </c>
    </row>
    <row r="2926" spans="1:24" x14ac:dyDescent="0.3">
      <c r="A2926">
        <v>20787</v>
      </c>
      <c r="B2926" t="s">
        <v>7620</v>
      </c>
      <c r="C2926" s="3">
        <v>40950</v>
      </c>
      <c r="D2926" t="s">
        <v>148</v>
      </c>
      <c r="E2926">
        <v>8</v>
      </c>
      <c r="F2926" s="3">
        <f ca="1">40951+(RANDBETWEEN(1,10))</f>
        <v>40959</v>
      </c>
      <c r="G2926" t="s">
        <v>26</v>
      </c>
      <c r="H2926" t="s">
        <v>281</v>
      </c>
      <c r="I2926" t="s">
        <v>86</v>
      </c>
      <c r="J2926">
        <v>293.93</v>
      </c>
      <c r="K2926">
        <v>0</v>
      </c>
      <c r="L2926">
        <v>0.36</v>
      </c>
      <c r="M2926">
        <v>21.84</v>
      </c>
      <c r="N2926">
        <v>-304.73099999999999</v>
      </c>
      <c r="O2926" s="1" t="s">
        <v>64</v>
      </c>
      <c r="P2926" s="1" t="s">
        <v>4773</v>
      </c>
      <c r="Q2926" s="1" t="s">
        <v>4774</v>
      </c>
      <c r="R2926" s="1" t="s">
        <v>67</v>
      </c>
      <c r="S2926" s="1" t="s">
        <v>4775</v>
      </c>
      <c r="T2926" s="1" t="s">
        <v>4776</v>
      </c>
      <c r="U2926" s="2" t="s">
        <v>4423</v>
      </c>
      <c r="V2926" s="2" t="s">
        <v>36</v>
      </c>
      <c r="W2926" s="2" t="s">
        <v>142</v>
      </c>
      <c r="X2926" s="2">
        <v>34.965000000000003</v>
      </c>
    </row>
    <row r="2927" spans="1:24" x14ac:dyDescent="0.3">
      <c r="A2927">
        <v>20788</v>
      </c>
      <c r="B2927" t="s">
        <v>7620</v>
      </c>
      <c r="C2927" s="3">
        <v>40950</v>
      </c>
      <c r="D2927" t="s">
        <v>148</v>
      </c>
      <c r="E2927">
        <v>6</v>
      </c>
      <c r="F2927" s="3">
        <f ca="1">40952+(RANDBETWEEN(1,10))</f>
        <v>40958</v>
      </c>
      <c r="G2927" t="s">
        <v>156</v>
      </c>
      <c r="H2927" t="s">
        <v>27</v>
      </c>
      <c r="I2927" t="s">
        <v>86</v>
      </c>
      <c r="J2927">
        <v>610.54</v>
      </c>
      <c r="K2927">
        <v>0.1</v>
      </c>
      <c r="L2927">
        <v>0.74</v>
      </c>
      <c r="M2927">
        <v>30.274999999999999</v>
      </c>
      <c r="N2927">
        <v>1494.654</v>
      </c>
      <c r="O2927" s="1" t="s">
        <v>40</v>
      </c>
      <c r="P2927" s="1" t="s">
        <v>7621</v>
      </c>
      <c r="Q2927" s="1" t="s">
        <v>7622</v>
      </c>
      <c r="R2927" s="1" t="s">
        <v>220</v>
      </c>
      <c r="S2927" s="1" t="s">
        <v>7623</v>
      </c>
      <c r="T2927" s="1" t="s">
        <v>7624</v>
      </c>
      <c r="U2927" s="2" t="s">
        <v>344</v>
      </c>
      <c r="V2927" s="2" t="s">
        <v>36</v>
      </c>
      <c r="W2927" s="2" t="s">
        <v>60</v>
      </c>
      <c r="X2927" s="2">
        <v>106.47</v>
      </c>
    </row>
    <row r="2928" spans="1:24" x14ac:dyDescent="0.3">
      <c r="A2928">
        <v>20789</v>
      </c>
      <c r="B2928" t="s">
        <v>7625</v>
      </c>
      <c r="C2928" s="3">
        <v>40786</v>
      </c>
      <c r="D2928" t="s">
        <v>50</v>
      </c>
      <c r="E2928">
        <v>14</v>
      </c>
      <c r="F2928" s="3">
        <f ca="1">40788+(RANDBETWEEN(1,10))</f>
        <v>40793</v>
      </c>
      <c r="G2928" t="s">
        <v>26</v>
      </c>
      <c r="H2928" t="s">
        <v>51</v>
      </c>
      <c r="I2928" t="s">
        <v>28</v>
      </c>
      <c r="J2928">
        <v>427.875</v>
      </c>
      <c r="K2928">
        <v>0</v>
      </c>
      <c r="L2928">
        <v>0.49</v>
      </c>
      <c r="M2928">
        <v>6.9649999999999999</v>
      </c>
      <c r="N2928">
        <v>251.0746</v>
      </c>
      <c r="O2928" s="1" t="s">
        <v>40</v>
      </c>
      <c r="P2928" s="1" t="s">
        <v>7626</v>
      </c>
      <c r="Q2928" s="1" t="s">
        <v>7627</v>
      </c>
      <c r="R2928" s="1" t="s">
        <v>43</v>
      </c>
      <c r="S2928" s="1" t="s">
        <v>7628</v>
      </c>
      <c r="T2928" s="1" t="s">
        <v>7629</v>
      </c>
      <c r="U2928" s="2" t="s">
        <v>2723</v>
      </c>
      <c r="V2928" s="2" t="s">
        <v>36</v>
      </c>
      <c r="W2928" s="2" t="s">
        <v>60</v>
      </c>
      <c r="X2928" s="2">
        <v>29.75</v>
      </c>
    </row>
    <row r="2929" spans="1:24" x14ac:dyDescent="0.3">
      <c r="A2929">
        <v>2079</v>
      </c>
      <c r="B2929" t="s">
        <v>7630</v>
      </c>
      <c r="C2929" s="3">
        <v>41029</v>
      </c>
      <c r="D2929" t="s">
        <v>50</v>
      </c>
      <c r="E2929">
        <v>44</v>
      </c>
      <c r="F2929" s="3">
        <f ca="1">41031+(RANDBETWEEN(1,10))</f>
        <v>41041</v>
      </c>
      <c r="G2929" t="s">
        <v>156</v>
      </c>
      <c r="H2929" t="s">
        <v>27</v>
      </c>
      <c r="I2929" t="s">
        <v>28</v>
      </c>
      <c r="J2929">
        <v>612.15</v>
      </c>
      <c r="K2929">
        <v>0.06</v>
      </c>
      <c r="L2929">
        <v>0.37</v>
      </c>
      <c r="M2929">
        <v>19.145</v>
      </c>
      <c r="N2929">
        <v>-528.16049999999996</v>
      </c>
      <c r="O2929" s="1" t="s">
        <v>53</v>
      </c>
      <c r="P2929" s="1" t="s">
        <v>7631</v>
      </c>
      <c r="Q2929" s="1" t="s">
        <v>7632</v>
      </c>
      <c r="R2929" s="1" t="s">
        <v>56</v>
      </c>
      <c r="S2929" s="1" t="s">
        <v>159</v>
      </c>
      <c r="T2929" s="1" t="s">
        <v>7633</v>
      </c>
      <c r="U2929" s="2" t="s">
        <v>879</v>
      </c>
      <c r="V2929" s="2" t="s">
        <v>47</v>
      </c>
      <c r="W2929" s="2" t="s">
        <v>111</v>
      </c>
      <c r="X2929" s="2">
        <v>12.53</v>
      </c>
    </row>
    <row r="2930" spans="1:24" x14ac:dyDescent="0.3">
      <c r="A2930">
        <v>20790</v>
      </c>
      <c r="B2930" t="s">
        <v>7625</v>
      </c>
      <c r="C2930" s="3">
        <v>40786</v>
      </c>
      <c r="D2930" t="s">
        <v>50</v>
      </c>
      <c r="E2930">
        <v>2</v>
      </c>
      <c r="F2930" s="3">
        <f ca="1">40788+(RANDBETWEEN(1,10))</f>
        <v>40790</v>
      </c>
      <c r="G2930" t="s">
        <v>26</v>
      </c>
      <c r="H2930" t="s">
        <v>27</v>
      </c>
      <c r="I2930" t="s">
        <v>28</v>
      </c>
      <c r="J2930">
        <v>721.31500000000005</v>
      </c>
      <c r="K2930">
        <v>0.03</v>
      </c>
      <c r="L2930">
        <v>0.79</v>
      </c>
      <c r="M2930">
        <v>69.965000000000003</v>
      </c>
      <c r="N2930">
        <v>-277.62279999999998</v>
      </c>
      <c r="O2930" s="1" t="s">
        <v>40</v>
      </c>
      <c r="P2930" s="1" t="s">
        <v>7626</v>
      </c>
      <c r="Q2930" s="1" t="s">
        <v>7627</v>
      </c>
      <c r="R2930" s="1" t="s">
        <v>43</v>
      </c>
      <c r="S2930" s="1" t="s">
        <v>7628</v>
      </c>
      <c r="T2930" s="1" t="s">
        <v>7629</v>
      </c>
      <c r="U2930" s="2" t="s">
        <v>1101</v>
      </c>
      <c r="V2930" s="2" t="s">
        <v>47</v>
      </c>
      <c r="W2930" s="2" t="s">
        <v>119</v>
      </c>
      <c r="X2930" s="2">
        <v>334.005</v>
      </c>
    </row>
    <row r="2931" spans="1:24" x14ac:dyDescent="0.3">
      <c r="A2931">
        <v>20791</v>
      </c>
      <c r="B2931" t="s">
        <v>7634</v>
      </c>
      <c r="C2931" s="3">
        <v>41046</v>
      </c>
      <c r="D2931" t="s">
        <v>25</v>
      </c>
      <c r="E2931">
        <v>11</v>
      </c>
      <c r="F2931" s="3">
        <f ca="1">41053+(RANDBETWEEN(1,10))</f>
        <v>41056</v>
      </c>
      <c r="G2931" t="s">
        <v>76</v>
      </c>
      <c r="H2931" t="s">
        <v>77</v>
      </c>
      <c r="I2931" t="s">
        <v>52</v>
      </c>
      <c r="J2931">
        <v>11190.27</v>
      </c>
      <c r="K2931">
        <v>0.01</v>
      </c>
      <c r="L2931">
        <v>0.56000000000000005</v>
      </c>
      <c r="M2931">
        <v>98.21</v>
      </c>
      <c r="N2931">
        <v>7721.2862999999998</v>
      </c>
      <c r="O2931" s="1" t="s">
        <v>40</v>
      </c>
      <c r="P2931" s="1" t="s">
        <v>6385</v>
      </c>
      <c r="Q2931" s="1" t="s">
        <v>6386</v>
      </c>
      <c r="R2931" s="1" t="s">
        <v>220</v>
      </c>
      <c r="S2931" s="1" t="s">
        <v>6387</v>
      </c>
      <c r="T2931" s="1" t="s">
        <v>6388</v>
      </c>
      <c r="U2931" s="2" t="s">
        <v>6948</v>
      </c>
      <c r="V2931" s="2" t="s">
        <v>36</v>
      </c>
      <c r="W2931" s="2" t="s">
        <v>142</v>
      </c>
      <c r="X2931" s="2">
        <v>948.39499999999998</v>
      </c>
    </row>
    <row r="2932" spans="1:24" x14ac:dyDescent="0.3">
      <c r="A2932">
        <v>20792</v>
      </c>
      <c r="B2932" t="s">
        <v>7635</v>
      </c>
      <c r="C2932" s="3">
        <v>41345</v>
      </c>
      <c r="D2932" t="s">
        <v>25</v>
      </c>
      <c r="E2932">
        <v>7</v>
      </c>
      <c r="F2932" s="3">
        <f ca="1">41349+(RANDBETWEEN(1,10))</f>
        <v>41350</v>
      </c>
      <c r="G2932" t="s">
        <v>26</v>
      </c>
      <c r="H2932" t="s">
        <v>27</v>
      </c>
      <c r="I2932" t="s">
        <v>28</v>
      </c>
      <c r="J2932">
        <v>549.88499999999999</v>
      </c>
      <c r="K2932">
        <v>0.02</v>
      </c>
      <c r="L2932">
        <v>0.78</v>
      </c>
      <c r="M2932">
        <v>22.75</v>
      </c>
      <c r="N2932">
        <v>-331.065</v>
      </c>
      <c r="O2932" s="1" t="s">
        <v>53</v>
      </c>
      <c r="P2932" s="1" t="s">
        <v>7636</v>
      </c>
      <c r="Q2932" s="1" t="s">
        <v>7637</v>
      </c>
      <c r="R2932" s="1" t="s">
        <v>100</v>
      </c>
      <c r="S2932" s="1" t="s">
        <v>7638</v>
      </c>
      <c r="T2932" s="1" t="s">
        <v>7639</v>
      </c>
      <c r="U2932" s="2" t="s">
        <v>1138</v>
      </c>
      <c r="V2932" s="2" t="s">
        <v>36</v>
      </c>
      <c r="W2932" s="2" t="s">
        <v>60</v>
      </c>
      <c r="X2932" s="2">
        <v>73.394999999999996</v>
      </c>
    </row>
    <row r="2933" spans="1:24" x14ac:dyDescent="0.3">
      <c r="A2933">
        <v>20793</v>
      </c>
      <c r="B2933" t="s">
        <v>7635</v>
      </c>
      <c r="C2933" s="3">
        <v>41345</v>
      </c>
      <c r="D2933" t="s">
        <v>25</v>
      </c>
      <c r="E2933">
        <v>13</v>
      </c>
      <c r="F2933" s="3">
        <f ca="1">41352+(RANDBETWEEN(1,10))</f>
        <v>41356</v>
      </c>
      <c r="G2933" t="s">
        <v>26</v>
      </c>
      <c r="H2933" t="s">
        <v>27</v>
      </c>
      <c r="I2933" t="s">
        <v>28</v>
      </c>
      <c r="J2933">
        <v>272.47500000000002</v>
      </c>
      <c r="K2933">
        <v>0.1</v>
      </c>
      <c r="L2933">
        <v>0.37</v>
      </c>
      <c r="M2933">
        <v>25.795000000000002</v>
      </c>
      <c r="N2933">
        <v>-666.995</v>
      </c>
      <c r="O2933" s="1" t="s">
        <v>53</v>
      </c>
      <c r="P2933" s="1" t="s">
        <v>7636</v>
      </c>
      <c r="Q2933" s="1" t="s">
        <v>7637</v>
      </c>
      <c r="R2933" s="1" t="s">
        <v>100</v>
      </c>
      <c r="S2933" s="1" t="s">
        <v>7638</v>
      </c>
      <c r="T2933" s="1" t="s">
        <v>7639</v>
      </c>
      <c r="U2933" s="2" t="s">
        <v>2975</v>
      </c>
      <c r="V2933" s="2" t="s">
        <v>47</v>
      </c>
      <c r="W2933" s="2" t="s">
        <v>74</v>
      </c>
      <c r="X2933" s="2">
        <v>22.68</v>
      </c>
    </row>
    <row r="2934" spans="1:24" x14ac:dyDescent="0.3">
      <c r="A2934">
        <v>20794</v>
      </c>
      <c r="B2934" t="s">
        <v>7640</v>
      </c>
      <c r="C2934" s="3">
        <v>41820</v>
      </c>
      <c r="D2934" t="s">
        <v>62</v>
      </c>
      <c r="E2934">
        <v>17</v>
      </c>
      <c r="F2934" s="3">
        <f ca="1">41820+(RANDBETWEEN(1,10))</f>
        <v>41830</v>
      </c>
      <c r="G2934" t="s">
        <v>26</v>
      </c>
      <c r="H2934" t="s">
        <v>27</v>
      </c>
      <c r="I2934" t="s">
        <v>28</v>
      </c>
      <c r="J2934">
        <v>155.82</v>
      </c>
      <c r="K2934">
        <v>0.03</v>
      </c>
      <c r="L2934">
        <v>0.39</v>
      </c>
      <c r="M2934">
        <v>1.75</v>
      </c>
      <c r="N2934">
        <v>59.958150000000003</v>
      </c>
      <c r="O2934" s="1" t="s">
        <v>87</v>
      </c>
      <c r="P2934" s="1" t="s">
        <v>875</v>
      </c>
      <c r="Q2934" s="1" t="s">
        <v>876</v>
      </c>
      <c r="R2934" s="1" t="s">
        <v>90</v>
      </c>
      <c r="S2934" s="1" t="s">
        <v>877</v>
      </c>
      <c r="T2934" s="1" t="s">
        <v>878</v>
      </c>
      <c r="U2934" s="2" t="s">
        <v>1726</v>
      </c>
      <c r="V2934" s="2" t="s">
        <v>47</v>
      </c>
      <c r="W2934" s="2" t="s">
        <v>203</v>
      </c>
      <c r="X2934" s="2">
        <v>9.1349999999999998</v>
      </c>
    </row>
    <row r="2935" spans="1:24" x14ac:dyDescent="0.3">
      <c r="A2935">
        <v>20795</v>
      </c>
      <c r="B2935" t="s">
        <v>7641</v>
      </c>
      <c r="C2935" s="3">
        <v>40724</v>
      </c>
      <c r="D2935" t="s">
        <v>62</v>
      </c>
      <c r="E2935">
        <v>11</v>
      </c>
      <c r="F2935" s="3">
        <f ca="1">40726+(RANDBETWEEN(1,10))</f>
        <v>40728</v>
      </c>
      <c r="G2935" t="s">
        <v>76</v>
      </c>
      <c r="H2935" t="s">
        <v>77</v>
      </c>
      <c r="I2935" t="s">
        <v>28</v>
      </c>
      <c r="J2935">
        <v>13202.665000000001</v>
      </c>
      <c r="K2935">
        <v>0.08</v>
      </c>
      <c r="L2935" t="s">
        <v>182</v>
      </c>
      <c r="M2935">
        <v>210</v>
      </c>
      <c r="N2935">
        <v>1795.7940000000001</v>
      </c>
      <c r="O2935" s="1" t="s">
        <v>64</v>
      </c>
      <c r="P2935" s="1" t="s">
        <v>7642</v>
      </c>
      <c r="Q2935" s="1" t="s">
        <v>7643</v>
      </c>
      <c r="R2935" s="1" t="s">
        <v>67</v>
      </c>
      <c r="S2935" s="1" t="s">
        <v>765</v>
      </c>
      <c r="T2935" s="1" t="s">
        <v>766</v>
      </c>
      <c r="U2935" s="2" t="s">
        <v>3108</v>
      </c>
      <c r="V2935" s="2" t="s">
        <v>83</v>
      </c>
      <c r="W2935" s="2" t="s">
        <v>263</v>
      </c>
      <c r="X2935" s="2">
        <v>1223.075</v>
      </c>
    </row>
    <row r="2936" spans="1:24" x14ac:dyDescent="0.3">
      <c r="A2936">
        <v>20796</v>
      </c>
      <c r="B2936" t="s">
        <v>7644</v>
      </c>
      <c r="C2936" s="3">
        <v>41569</v>
      </c>
      <c r="D2936" t="s">
        <v>25</v>
      </c>
      <c r="E2936">
        <v>21</v>
      </c>
      <c r="F2936" s="3">
        <f ca="1">41571+(RANDBETWEEN(1,10))</f>
        <v>41576</v>
      </c>
      <c r="G2936" t="s">
        <v>156</v>
      </c>
      <c r="H2936" t="s">
        <v>96</v>
      </c>
      <c r="I2936" t="s">
        <v>86</v>
      </c>
      <c r="J2936">
        <v>761.67</v>
      </c>
      <c r="K2936">
        <v>0.08</v>
      </c>
      <c r="L2936">
        <v>0.38</v>
      </c>
      <c r="M2936">
        <v>6.2649999999999997</v>
      </c>
      <c r="N2936">
        <v>525.55229999999995</v>
      </c>
      <c r="O2936" s="1" t="s">
        <v>40</v>
      </c>
      <c r="P2936" s="1" t="s">
        <v>7645</v>
      </c>
      <c r="Q2936" s="1" t="s">
        <v>7646</v>
      </c>
      <c r="R2936" s="1" t="s">
        <v>220</v>
      </c>
      <c r="S2936" s="1" t="s">
        <v>7647</v>
      </c>
      <c r="T2936" s="1" t="s">
        <v>7648</v>
      </c>
      <c r="U2936" s="2" t="s">
        <v>3017</v>
      </c>
      <c r="V2936" s="2" t="s">
        <v>47</v>
      </c>
      <c r="W2936" s="2" t="s">
        <v>74</v>
      </c>
      <c r="X2936" s="2">
        <v>36.085000000000001</v>
      </c>
    </row>
    <row r="2937" spans="1:24" x14ac:dyDescent="0.3">
      <c r="A2937">
        <v>20797</v>
      </c>
      <c r="B2937" t="s">
        <v>7649</v>
      </c>
      <c r="C2937" s="3">
        <v>41678</v>
      </c>
      <c r="D2937" t="s">
        <v>148</v>
      </c>
      <c r="E2937">
        <v>10</v>
      </c>
      <c r="F2937" s="3">
        <f ca="1">41679+(RANDBETWEEN(1,10))</f>
        <v>41688</v>
      </c>
      <c r="G2937" t="s">
        <v>26</v>
      </c>
      <c r="H2937" t="s">
        <v>27</v>
      </c>
      <c r="I2937" t="s">
        <v>97</v>
      </c>
      <c r="J2937">
        <v>559.47500000000002</v>
      </c>
      <c r="K2937">
        <v>0.03</v>
      </c>
      <c r="L2937">
        <v>0.39</v>
      </c>
      <c r="M2937">
        <v>52.814999999999998</v>
      </c>
      <c r="N2937">
        <v>-889.48474999999996</v>
      </c>
      <c r="O2937" s="1" t="s">
        <v>40</v>
      </c>
      <c r="P2937" s="1" t="s">
        <v>7650</v>
      </c>
      <c r="Q2937" s="1" t="s">
        <v>7651</v>
      </c>
      <c r="R2937" s="1" t="s">
        <v>220</v>
      </c>
      <c r="S2937" s="1" t="s">
        <v>7652</v>
      </c>
      <c r="T2937" s="1" t="s">
        <v>7653</v>
      </c>
      <c r="U2937" s="2" t="s">
        <v>7654</v>
      </c>
      <c r="V2937" s="2" t="s">
        <v>47</v>
      </c>
      <c r="W2937" s="2" t="s">
        <v>111</v>
      </c>
      <c r="X2937" s="2">
        <v>53.06</v>
      </c>
    </row>
    <row r="2938" spans="1:24" x14ac:dyDescent="0.3">
      <c r="A2938">
        <v>20798</v>
      </c>
      <c r="B2938" t="s">
        <v>7655</v>
      </c>
      <c r="C2938" s="3">
        <v>40606</v>
      </c>
      <c r="D2938" t="s">
        <v>25</v>
      </c>
      <c r="E2938">
        <v>2</v>
      </c>
      <c r="F2938" s="3">
        <f ca="1">40610+(RANDBETWEEN(1,10))</f>
        <v>40612</v>
      </c>
      <c r="G2938" t="s">
        <v>26</v>
      </c>
      <c r="H2938" t="s">
        <v>27</v>
      </c>
      <c r="I2938" t="s">
        <v>28</v>
      </c>
      <c r="J2938">
        <v>1136.17</v>
      </c>
      <c r="K2938">
        <v>0.1</v>
      </c>
      <c r="L2938">
        <v>0.56000000000000005</v>
      </c>
      <c r="M2938">
        <v>31.465</v>
      </c>
      <c r="N2938">
        <v>514.5</v>
      </c>
      <c r="O2938" s="1" t="s">
        <v>53</v>
      </c>
      <c r="P2938" s="1" t="s">
        <v>2376</v>
      </c>
      <c r="Q2938" s="1" t="s">
        <v>2377</v>
      </c>
      <c r="R2938" s="1" t="s">
        <v>440</v>
      </c>
      <c r="S2938" s="1" t="s">
        <v>2378</v>
      </c>
      <c r="T2938" s="1" t="s">
        <v>2379</v>
      </c>
      <c r="U2938" s="2" t="s">
        <v>4735</v>
      </c>
      <c r="V2938" s="2" t="s">
        <v>36</v>
      </c>
      <c r="W2938" s="2" t="s">
        <v>37</v>
      </c>
      <c r="X2938" s="2">
        <v>720.96500000000003</v>
      </c>
    </row>
    <row r="2939" spans="1:24" x14ac:dyDescent="0.3">
      <c r="A2939">
        <v>20799</v>
      </c>
      <c r="B2939" t="s">
        <v>7656</v>
      </c>
      <c r="C2939" s="3">
        <v>41188</v>
      </c>
      <c r="D2939" t="s">
        <v>25</v>
      </c>
      <c r="E2939">
        <v>16</v>
      </c>
      <c r="F2939" s="3">
        <f ca="1">41195+(RANDBETWEEN(1,10))</f>
        <v>41205</v>
      </c>
      <c r="G2939" t="s">
        <v>26</v>
      </c>
      <c r="H2939" t="s">
        <v>51</v>
      </c>
      <c r="I2939" t="s">
        <v>97</v>
      </c>
      <c r="J2939">
        <v>2599.4850000000001</v>
      </c>
      <c r="K2939">
        <v>0.04</v>
      </c>
      <c r="L2939">
        <v>0.55000000000000004</v>
      </c>
      <c r="M2939">
        <v>6.9649999999999999</v>
      </c>
      <c r="N2939">
        <v>-380.53399999999999</v>
      </c>
      <c r="O2939" s="1" t="s">
        <v>53</v>
      </c>
      <c r="P2939" s="1" t="s">
        <v>6177</v>
      </c>
      <c r="Q2939" s="1" t="s">
        <v>6178</v>
      </c>
      <c r="R2939" s="1" t="s">
        <v>100</v>
      </c>
      <c r="S2939" s="1" t="s">
        <v>6179</v>
      </c>
      <c r="T2939" s="1" t="s">
        <v>6180</v>
      </c>
      <c r="U2939" s="2" t="s">
        <v>2560</v>
      </c>
      <c r="V2939" s="2" t="s">
        <v>36</v>
      </c>
      <c r="W2939" s="2" t="s">
        <v>60</v>
      </c>
      <c r="X2939" s="2">
        <v>158.16499999999999</v>
      </c>
    </row>
    <row r="2940" spans="1:24" x14ac:dyDescent="0.3">
      <c r="A2940">
        <v>2080</v>
      </c>
      <c r="B2940" t="s">
        <v>7630</v>
      </c>
      <c r="C2940" s="3">
        <v>41029</v>
      </c>
      <c r="D2940" t="s">
        <v>50</v>
      </c>
      <c r="E2940">
        <v>48</v>
      </c>
      <c r="F2940" s="3">
        <f ca="1">41031+(RANDBETWEEN(1,10))</f>
        <v>41034</v>
      </c>
      <c r="G2940" t="s">
        <v>26</v>
      </c>
      <c r="H2940" t="s">
        <v>51</v>
      </c>
      <c r="I2940" t="s">
        <v>28</v>
      </c>
      <c r="J2940">
        <v>363.3</v>
      </c>
      <c r="K2940">
        <v>0.1</v>
      </c>
      <c r="L2940">
        <v>0.41</v>
      </c>
      <c r="M2940">
        <v>15.994999999999999</v>
      </c>
      <c r="N2940">
        <v>-526.85500000000002</v>
      </c>
      <c r="O2940" s="1" t="s">
        <v>53</v>
      </c>
      <c r="P2940" s="1" t="s">
        <v>7631</v>
      </c>
      <c r="Q2940" s="1" t="s">
        <v>7632</v>
      </c>
      <c r="R2940" s="1" t="s">
        <v>56</v>
      </c>
      <c r="S2940" s="1" t="s">
        <v>159</v>
      </c>
      <c r="T2940" s="1" t="s">
        <v>7633</v>
      </c>
      <c r="U2940" s="2" t="s">
        <v>3903</v>
      </c>
      <c r="V2940" s="2" t="s">
        <v>83</v>
      </c>
      <c r="W2940" s="2" t="s">
        <v>178</v>
      </c>
      <c r="X2940" s="2">
        <v>7.8049999999999997</v>
      </c>
    </row>
    <row r="2941" spans="1:24" x14ac:dyDescent="0.3">
      <c r="A2941">
        <v>20800</v>
      </c>
      <c r="B2941" t="s">
        <v>7657</v>
      </c>
      <c r="C2941" s="3">
        <v>41220</v>
      </c>
      <c r="D2941" t="s">
        <v>148</v>
      </c>
      <c r="E2941">
        <v>20</v>
      </c>
      <c r="F2941" s="3">
        <f ca="1">41222+(RANDBETWEEN(1,10))</f>
        <v>41232</v>
      </c>
      <c r="G2941" t="s">
        <v>26</v>
      </c>
      <c r="H2941" t="s">
        <v>27</v>
      </c>
      <c r="I2941" t="s">
        <v>28</v>
      </c>
      <c r="J2941">
        <v>249.935</v>
      </c>
      <c r="K2941">
        <v>7.0000000000000007E-2</v>
      </c>
      <c r="L2941">
        <v>0.38</v>
      </c>
      <c r="M2941">
        <v>23.905000000000001</v>
      </c>
      <c r="N2941">
        <v>85.112650000000002</v>
      </c>
      <c r="O2941" s="1" t="s">
        <v>225</v>
      </c>
      <c r="P2941" s="1" t="s">
        <v>7658</v>
      </c>
      <c r="Q2941" s="1" t="s">
        <v>7659</v>
      </c>
      <c r="R2941" s="1" t="s">
        <v>391</v>
      </c>
      <c r="S2941" s="1" t="s">
        <v>7660</v>
      </c>
      <c r="T2941" s="1" t="s">
        <v>7661</v>
      </c>
      <c r="U2941" s="2" t="s">
        <v>6885</v>
      </c>
      <c r="V2941" s="2" t="s">
        <v>47</v>
      </c>
      <c r="W2941" s="2" t="s">
        <v>111</v>
      </c>
      <c r="X2941" s="2">
        <v>12.32</v>
      </c>
    </row>
    <row r="2942" spans="1:24" x14ac:dyDescent="0.3">
      <c r="A2942">
        <v>20801</v>
      </c>
      <c r="B2942" t="s">
        <v>7662</v>
      </c>
      <c r="C2942" s="3">
        <v>41711</v>
      </c>
      <c r="D2942" t="s">
        <v>39</v>
      </c>
      <c r="E2942">
        <v>3</v>
      </c>
      <c r="F2942" s="3">
        <f ca="1">41713+(RANDBETWEEN(1,10))</f>
        <v>41717</v>
      </c>
      <c r="G2942" t="s">
        <v>26</v>
      </c>
      <c r="H2942" t="s">
        <v>51</v>
      </c>
      <c r="I2942" t="s">
        <v>52</v>
      </c>
      <c r="J2942">
        <v>204.01499999999999</v>
      </c>
      <c r="K2942">
        <v>0.1</v>
      </c>
      <c r="L2942">
        <v>0.49</v>
      </c>
      <c r="M2942">
        <v>23.344999999999999</v>
      </c>
      <c r="N2942">
        <v>140.77035000000001</v>
      </c>
      <c r="O2942" s="1" t="s">
        <v>40</v>
      </c>
      <c r="P2942" s="1" t="s">
        <v>7663</v>
      </c>
      <c r="Q2942" s="1" t="s">
        <v>7664</v>
      </c>
      <c r="R2942" s="1" t="s">
        <v>43</v>
      </c>
      <c r="S2942" s="1" t="s">
        <v>7665</v>
      </c>
      <c r="T2942" s="1" t="s">
        <v>7666</v>
      </c>
      <c r="U2942" s="2" t="s">
        <v>2831</v>
      </c>
      <c r="V2942" s="2" t="s">
        <v>83</v>
      </c>
      <c r="W2942" s="2" t="s">
        <v>178</v>
      </c>
      <c r="X2942" s="2">
        <v>70.84</v>
      </c>
    </row>
    <row r="2943" spans="1:24" x14ac:dyDescent="0.3">
      <c r="A2943">
        <v>20802</v>
      </c>
      <c r="B2943" t="s">
        <v>7667</v>
      </c>
      <c r="C2943" s="3">
        <v>41116</v>
      </c>
      <c r="D2943" t="s">
        <v>25</v>
      </c>
      <c r="E2943">
        <v>10</v>
      </c>
      <c r="F2943" s="3">
        <f ca="1">41123+(RANDBETWEEN(1,10))</f>
        <v>41127</v>
      </c>
      <c r="G2943" t="s">
        <v>26</v>
      </c>
      <c r="H2943" t="s">
        <v>27</v>
      </c>
      <c r="I2943" t="s">
        <v>28</v>
      </c>
      <c r="J2943">
        <v>132.33500000000001</v>
      </c>
      <c r="K2943">
        <v>0.09</v>
      </c>
      <c r="L2943">
        <v>0.38</v>
      </c>
      <c r="M2943">
        <v>18.41</v>
      </c>
      <c r="N2943">
        <v>-429.34674999999999</v>
      </c>
      <c r="O2943" s="1" t="s">
        <v>87</v>
      </c>
      <c r="P2943" s="1" t="s">
        <v>1567</v>
      </c>
      <c r="Q2943" s="1" t="s">
        <v>1568</v>
      </c>
      <c r="R2943" s="1" t="s">
        <v>646</v>
      </c>
      <c r="S2943" s="1" t="s">
        <v>1569</v>
      </c>
      <c r="T2943" s="1" t="s">
        <v>1570</v>
      </c>
      <c r="U2943" s="2" t="s">
        <v>1287</v>
      </c>
      <c r="V2943" s="2" t="s">
        <v>47</v>
      </c>
      <c r="W2943" s="2" t="s">
        <v>111</v>
      </c>
      <c r="X2943" s="2">
        <v>13.93</v>
      </c>
    </row>
    <row r="2944" spans="1:24" x14ac:dyDescent="0.3">
      <c r="A2944">
        <v>20803</v>
      </c>
      <c r="B2944" t="s">
        <v>7667</v>
      </c>
      <c r="C2944" s="3">
        <v>41116</v>
      </c>
      <c r="D2944" t="s">
        <v>25</v>
      </c>
      <c r="E2944">
        <v>7</v>
      </c>
      <c r="F2944" s="3">
        <f ca="1">41123+(RANDBETWEEN(1,10))</f>
        <v>41126</v>
      </c>
      <c r="G2944" t="s">
        <v>26</v>
      </c>
      <c r="H2944" t="s">
        <v>96</v>
      </c>
      <c r="I2944" t="s">
        <v>28</v>
      </c>
      <c r="J2944">
        <v>137.41</v>
      </c>
      <c r="K2944">
        <v>0.1</v>
      </c>
      <c r="L2944">
        <v>0.49</v>
      </c>
      <c r="M2944">
        <v>2.9049999999999998</v>
      </c>
      <c r="N2944">
        <v>94.812899999999999</v>
      </c>
      <c r="O2944" s="1" t="s">
        <v>87</v>
      </c>
      <c r="P2944" s="1" t="s">
        <v>1567</v>
      </c>
      <c r="Q2944" s="1" t="s">
        <v>1568</v>
      </c>
      <c r="R2944" s="1" t="s">
        <v>646</v>
      </c>
      <c r="S2944" s="1" t="s">
        <v>1569</v>
      </c>
      <c r="T2944" s="1" t="s">
        <v>1570</v>
      </c>
      <c r="U2944" s="2" t="s">
        <v>982</v>
      </c>
      <c r="V2944" s="2" t="s">
        <v>47</v>
      </c>
      <c r="W2944" s="2" t="s">
        <v>104</v>
      </c>
      <c r="X2944" s="2">
        <v>20.440000000000001</v>
      </c>
    </row>
    <row r="2945" spans="1:24" x14ac:dyDescent="0.3">
      <c r="A2945">
        <v>20804</v>
      </c>
      <c r="B2945" t="s">
        <v>7668</v>
      </c>
      <c r="C2945" s="3">
        <v>40846</v>
      </c>
      <c r="D2945" t="s">
        <v>25</v>
      </c>
      <c r="E2945">
        <v>21</v>
      </c>
      <c r="F2945" s="3">
        <f ca="1">40853+(RANDBETWEEN(1,10))</f>
        <v>40854</v>
      </c>
      <c r="G2945" t="s">
        <v>26</v>
      </c>
      <c r="H2945" t="s">
        <v>96</v>
      </c>
      <c r="I2945" t="s">
        <v>97</v>
      </c>
      <c r="J2945">
        <v>181.51</v>
      </c>
      <c r="K2945">
        <v>0.1</v>
      </c>
      <c r="L2945">
        <v>0.39</v>
      </c>
      <c r="M2945">
        <v>2.8</v>
      </c>
      <c r="N2945">
        <v>-330.71814999999998</v>
      </c>
      <c r="O2945" s="1" t="s">
        <v>40</v>
      </c>
      <c r="P2945" s="1" t="s">
        <v>7669</v>
      </c>
      <c r="Q2945" s="1" t="s">
        <v>7670</v>
      </c>
      <c r="R2945" s="1" t="s">
        <v>43</v>
      </c>
      <c r="S2945" s="1" t="s">
        <v>7671</v>
      </c>
      <c r="T2945" s="1" t="s">
        <v>7672</v>
      </c>
      <c r="U2945" s="2" t="s">
        <v>2672</v>
      </c>
      <c r="V2945" s="2" t="s">
        <v>47</v>
      </c>
      <c r="W2945" s="2" t="s">
        <v>176</v>
      </c>
      <c r="X2945" s="2">
        <v>9.17</v>
      </c>
    </row>
    <row r="2946" spans="1:24" x14ac:dyDescent="0.3">
      <c r="A2946">
        <v>20805</v>
      </c>
      <c r="B2946" t="s">
        <v>7673</v>
      </c>
      <c r="C2946" s="3">
        <v>41670</v>
      </c>
      <c r="D2946" t="s">
        <v>25</v>
      </c>
      <c r="E2946">
        <v>7</v>
      </c>
      <c r="F2946" s="3">
        <f ca="1">41675+(RANDBETWEEN(1,10))</f>
        <v>41682</v>
      </c>
      <c r="G2946" t="s">
        <v>26</v>
      </c>
      <c r="H2946" t="s">
        <v>27</v>
      </c>
      <c r="I2946" t="s">
        <v>86</v>
      </c>
      <c r="J2946">
        <v>523.53</v>
      </c>
      <c r="K2946">
        <v>0.01</v>
      </c>
      <c r="L2946">
        <v>0.83</v>
      </c>
      <c r="M2946">
        <v>40.32</v>
      </c>
      <c r="N2946">
        <v>-961.57039999999995</v>
      </c>
      <c r="O2946" s="1" t="s">
        <v>225</v>
      </c>
      <c r="P2946" s="1" t="s">
        <v>7674</v>
      </c>
      <c r="Q2946" s="1" t="s">
        <v>7675</v>
      </c>
      <c r="R2946" s="1" t="s">
        <v>391</v>
      </c>
      <c r="S2946" s="1" t="s">
        <v>7676</v>
      </c>
      <c r="T2946" s="1" t="s">
        <v>7677</v>
      </c>
      <c r="U2946" s="2" t="s">
        <v>2328</v>
      </c>
      <c r="V2946" s="2" t="s">
        <v>47</v>
      </c>
      <c r="W2946" s="2" t="s">
        <v>119</v>
      </c>
      <c r="X2946" s="2">
        <v>73.114999999999995</v>
      </c>
    </row>
    <row r="2947" spans="1:24" x14ac:dyDescent="0.3">
      <c r="A2947">
        <v>20806</v>
      </c>
      <c r="B2947" t="s">
        <v>7678</v>
      </c>
      <c r="C2947" s="3">
        <v>41418</v>
      </c>
      <c r="D2947" t="s">
        <v>62</v>
      </c>
      <c r="E2947">
        <v>16</v>
      </c>
      <c r="F2947" s="3">
        <f ca="1">41419+(RANDBETWEEN(1,10))</f>
        <v>41423</v>
      </c>
      <c r="G2947" t="s">
        <v>26</v>
      </c>
      <c r="H2947" t="s">
        <v>96</v>
      </c>
      <c r="I2947" t="s">
        <v>28</v>
      </c>
      <c r="J2947">
        <v>718.76</v>
      </c>
      <c r="K2947">
        <v>0.05</v>
      </c>
      <c r="L2947">
        <v>0.82</v>
      </c>
      <c r="M2947">
        <v>16.065000000000001</v>
      </c>
      <c r="N2947">
        <v>-430.745</v>
      </c>
      <c r="O2947" s="1" t="s">
        <v>87</v>
      </c>
      <c r="P2947" s="1" t="s">
        <v>3575</v>
      </c>
      <c r="Q2947" s="1" t="s">
        <v>3576</v>
      </c>
      <c r="R2947" s="1" t="s">
        <v>90</v>
      </c>
      <c r="S2947" s="1" t="s">
        <v>91</v>
      </c>
      <c r="T2947" s="1" t="s">
        <v>3577</v>
      </c>
      <c r="U2947" s="2" t="s">
        <v>5077</v>
      </c>
      <c r="V2947" s="2" t="s">
        <v>47</v>
      </c>
      <c r="W2947" s="2" t="s">
        <v>94</v>
      </c>
      <c r="X2947" s="2">
        <v>45.08</v>
      </c>
    </row>
    <row r="2948" spans="1:24" x14ac:dyDescent="0.3">
      <c r="A2948">
        <v>20807</v>
      </c>
      <c r="B2948" t="s">
        <v>7679</v>
      </c>
      <c r="C2948" s="3">
        <v>40683</v>
      </c>
      <c r="D2948" t="s">
        <v>148</v>
      </c>
      <c r="E2948">
        <v>9</v>
      </c>
      <c r="F2948" s="3">
        <f ca="1">40683+(RANDBETWEEN(1,10))</f>
        <v>40692</v>
      </c>
      <c r="G2948" t="s">
        <v>156</v>
      </c>
      <c r="H2948" t="s">
        <v>27</v>
      </c>
      <c r="I2948" t="s">
        <v>86</v>
      </c>
      <c r="J2948">
        <v>946.92499999999995</v>
      </c>
      <c r="K2948">
        <v>0.09</v>
      </c>
      <c r="L2948">
        <v>0.37</v>
      </c>
      <c r="M2948">
        <v>44.17</v>
      </c>
      <c r="N2948">
        <v>234.87625</v>
      </c>
      <c r="O2948" s="1" t="s">
        <v>40</v>
      </c>
      <c r="P2948" s="1" t="s">
        <v>973</v>
      </c>
      <c r="Q2948" s="1" t="s">
        <v>974</v>
      </c>
      <c r="R2948" s="1" t="s">
        <v>43</v>
      </c>
      <c r="S2948" s="1" t="s">
        <v>975</v>
      </c>
      <c r="T2948" s="1" t="s">
        <v>976</v>
      </c>
      <c r="U2948" s="2" t="s">
        <v>4243</v>
      </c>
      <c r="V2948" s="2" t="s">
        <v>47</v>
      </c>
      <c r="W2948" s="2" t="s">
        <v>111</v>
      </c>
      <c r="X2948" s="2">
        <v>111.09</v>
      </c>
    </row>
    <row r="2949" spans="1:24" x14ac:dyDescent="0.3">
      <c r="A2949">
        <v>20808</v>
      </c>
      <c r="B2949" t="s">
        <v>7679</v>
      </c>
      <c r="C2949" s="3">
        <v>40683</v>
      </c>
      <c r="D2949" t="s">
        <v>148</v>
      </c>
      <c r="E2949">
        <v>13</v>
      </c>
      <c r="F2949" s="3">
        <f ca="1">40686+(RANDBETWEEN(1,10))</f>
        <v>40691</v>
      </c>
      <c r="G2949" t="s">
        <v>26</v>
      </c>
      <c r="H2949" t="s">
        <v>96</v>
      </c>
      <c r="I2949" t="s">
        <v>86</v>
      </c>
      <c r="J2949">
        <v>278.67</v>
      </c>
      <c r="K2949">
        <v>0.04</v>
      </c>
      <c r="L2949">
        <v>0.39</v>
      </c>
      <c r="M2949">
        <v>3.57</v>
      </c>
      <c r="N2949">
        <v>192.28229999999999</v>
      </c>
      <c r="O2949" s="1" t="s">
        <v>40</v>
      </c>
      <c r="P2949" s="1" t="s">
        <v>973</v>
      </c>
      <c r="Q2949" s="1" t="s">
        <v>974</v>
      </c>
      <c r="R2949" s="1" t="s">
        <v>43</v>
      </c>
      <c r="S2949" s="1" t="s">
        <v>975</v>
      </c>
      <c r="T2949" s="1" t="s">
        <v>976</v>
      </c>
      <c r="U2949" s="2" t="s">
        <v>3728</v>
      </c>
      <c r="V2949" s="2" t="s">
        <v>47</v>
      </c>
      <c r="W2949" s="2" t="s">
        <v>74</v>
      </c>
      <c r="X2949" s="2">
        <v>22.225000000000001</v>
      </c>
    </row>
    <row r="2950" spans="1:24" x14ac:dyDescent="0.3">
      <c r="A2950">
        <v>20809</v>
      </c>
      <c r="B2950" t="s">
        <v>7679</v>
      </c>
      <c r="C2950" s="3">
        <v>40683</v>
      </c>
      <c r="D2950" t="s">
        <v>148</v>
      </c>
      <c r="E2950">
        <v>8</v>
      </c>
      <c r="F2950" s="3">
        <f ca="1">40684+(RANDBETWEEN(1,10))</f>
        <v>40692</v>
      </c>
      <c r="G2950" t="s">
        <v>156</v>
      </c>
      <c r="H2950" t="s">
        <v>27</v>
      </c>
      <c r="I2950" t="s">
        <v>86</v>
      </c>
      <c r="J2950">
        <v>1679.2650000000001</v>
      </c>
      <c r="K2950">
        <v>0.02</v>
      </c>
      <c r="L2950">
        <v>0.56000000000000005</v>
      </c>
      <c r="M2950">
        <v>31.465</v>
      </c>
      <c r="N2950">
        <v>588.82950000000005</v>
      </c>
      <c r="O2950" s="1" t="s">
        <v>40</v>
      </c>
      <c r="P2950" s="1" t="s">
        <v>973</v>
      </c>
      <c r="Q2950" s="1" t="s">
        <v>974</v>
      </c>
      <c r="R2950" s="1" t="s">
        <v>43</v>
      </c>
      <c r="S2950" s="1" t="s">
        <v>975</v>
      </c>
      <c r="T2950" s="1" t="s">
        <v>976</v>
      </c>
      <c r="U2950" s="2" t="s">
        <v>164</v>
      </c>
      <c r="V2950" s="2" t="s">
        <v>36</v>
      </c>
      <c r="W2950" s="2" t="s">
        <v>37</v>
      </c>
      <c r="X2950" s="2">
        <v>230.965</v>
      </c>
    </row>
    <row r="2951" spans="1:24" x14ac:dyDescent="0.3">
      <c r="A2951">
        <v>2081</v>
      </c>
      <c r="B2951" t="s">
        <v>7630</v>
      </c>
      <c r="C2951" s="3">
        <v>41029</v>
      </c>
      <c r="D2951" t="s">
        <v>50</v>
      </c>
      <c r="E2951">
        <v>19</v>
      </c>
      <c r="F2951" s="3">
        <f ca="1">41031+(RANDBETWEEN(1,10))</f>
        <v>41038</v>
      </c>
      <c r="G2951" t="s">
        <v>76</v>
      </c>
      <c r="H2951" t="s">
        <v>258</v>
      </c>
      <c r="I2951" t="s">
        <v>28</v>
      </c>
      <c r="J2951">
        <v>8951.2849999999999</v>
      </c>
      <c r="K2951">
        <v>0.01</v>
      </c>
      <c r="L2951">
        <v>0.63</v>
      </c>
      <c r="M2951">
        <v>181.79</v>
      </c>
      <c r="N2951">
        <v>-589.67999999999995</v>
      </c>
      <c r="O2951" s="1" t="s">
        <v>53</v>
      </c>
      <c r="P2951" s="1" t="s">
        <v>7631</v>
      </c>
      <c r="Q2951" s="1" t="s">
        <v>7632</v>
      </c>
      <c r="R2951" s="1" t="s">
        <v>56</v>
      </c>
      <c r="S2951" s="1" t="s">
        <v>159</v>
      </c>
      <c r="T2951" s="1" t="s">
        <v>7633</v>
      </c>
      <c r="U2951" s="2" t="s">
        <v>360</v>
      </c>
      <c r="V2951" s="2" t="s">
        <v>83</v>
      </c>
      <c r="W2951" s="2" t="s">
        <v>263</v>
      </c>
      <c r="X2951" s="2">
        <v>435.71499999999997</v>
      </c>
    </row>
    <row r="2952" spans="1:24" x14ac:dyDescent="0.3">
      <c r="A2952">
        <v>20810</v>
      </c>
      <c r="B2952" t="s">
        <v>7680</v>
      </c>
      <c r="C2952" s="3">
        <v>40903</v>
      </c>
      <c r="D2952" t="s">
        <v>50</v>
      </c>
      <c r="E2952">
        <v>12</v>
      </c>
      <c r="F2952" s="3">
        <f ca="1">40903+(RANDBETWEEN(1,10))</f>
        <v>40912</v>
      </c>
      <c r="G2952" t="s">
        <v>26</v>
      </c>
      <c r="H2952" t="s">
        <v>51</v>
      </c>
      <c r="I2952" t="s">
        <v>97</v>
      </c>
      <c r="J2952">
        <v>1014.58</v>
      </c>
      <c r="K2952">
        <v>0.02</v>
      </c>
      <c r="L2952">
        <v>0.44</v>
      </c>
      <c r="M2952">
        <v>31.465</v>
      </c>
      <c r="N2952">
        <v>700.06020000000001</v>
      </c>
      <c r="O2952" s="1" t="s">
        <v>64</v>
      </c>
      <c r="P2952" s="1" t="s">
        <v>7681</v>
      </c>
      <c r="Q2952" s="1" t="s">
        <v>7682</v>
      </c>
      <c r="R2952" s="1" t="s">
        <v>128</v>
      </c>
      <c r="S2952" s="1" t="s">
        <v>7683</v>
      </c>
      <c r="T2952" s="1" t="s">
        <v>7684</v>
      </c>
      <c r="U2952" s="2" t="s">
        <v>2721</v>
      </c>
      <c r="V2952" s="2" t="s">
        <v>83</v>
      </c>
      <c r="W2952" s="2" t="s">
        <v>178</v>
      </c>
      <c r="X2952" s="2">
        <v>79.52</v>
      </c>
    </row>
    <row r="2953" spans="1:24" x14ac:dyDescent="0.3">
      <c r="A2953">
        <v>20811</v>
      </c>
      <c r="B2953" t="s">
        <v>7685</v>
      </c>
      <c r="C2953" s="3">
        <v>40861</v>
      </c>
      <c r="D2953" t="s">
        <v>148</v>
      </c>
      <c r="E2953">
        <v>7</v>
      </c>
      <c r="F2953" s="3">
        <f ca="1">40862+(RANDBETWEEN(1,10))</f>
        <v>40864</v>
      </c>
      <c r="G2953" t="s">
        <v>26</v>
      </c>
      <c r="H2953" t="s">
        <v>27</v>
      </c>
      <c r="I2953" t="s">
        <v>86</v>
      </c>
      <c r="J2953">
        <v>1450.7149999999999</v>
      </c>
      <c r="K2953">
        <v>0.05</v>
      </c>
      <c r="L2953">
        <v>0.39</v>
      </c>
      <c r="M2953">
        <v>36.015000000000001</v>
      </c>
      <c r="N2953">
        <v>558.35395000000005</v>
      </c>
      <c r="O2953" s="1" t="s">
        <v>53</v>
      </c>
      <c r="P2953" s="1" t="s">
        <v>7686</v>
      </c>
      <c r="Q2953" s="1" t="s">
        <v>7687</v>
      </c>
      <c r="R2953" s="1" t="s">
        <v>56</v>
      </c>
      <c r="S2953" s="1" t="s">
        <v>4536</v>
      </c>
      <c r="T2953" s="1" t="s">
        <v>897</v>
      </c>
      <c r="U2953" s="2" t="s">
        <v>4193</v>
      </c>
      <c r="V2953" s="2" t="s">
        <v>47</v>
      </c>
      <c r="W2953" s="2" t="s">
        <v>111</v>
      </c>
      <c r="X2953" s="2">
        <v>209.23</v>
      </c>
    </row>
    <row r="2954" spans="1:24" x14ac:dyDescent="0.3">
      <c r="A2954">
        <v>20812</v>
      </c>
      <c r="B2954" t="s">
        <v>7685</v>
      </c>
      <c r="C2954" s="3">
        <v>40861</v>
      </c>
      <c r="D2954" t="s">
        <v>148</v>
      </c>
      <c r="E2954">
        <v>28</v>
      </c>
      <c r="F2954" s="3">
        <f ca="1">40863+(RANDBETWEEN(1,10))</f>
        <v>40866</v>
      </c>
      <c r="G2954" t="s">
        <v>26</v>
      </c>
      <c r="H2954" t="s">
        <v>51</v>
      </c>
      <c r="I2954" t="s">
        <v>86</v>
      </c>
      <c r="J2954">
        <v>1643.915</v>
      </c>
      <c r="K2954">
        <v>0.08</v>
      </c>
      <c r="L2954">
        <v>0.83</v>
      </c>
      <c r="M2954">
        <v>4.375</v>
      </c>
      <c r="N2954">
        <v>53.799900000000001</v>
      </c>
      <c r="O2954" s="1" t="s">
        <v>64</v>
      </c>
      <c r="P2954" s="1" t="s">
        <v>7688</v>
      </c>
      <c r="Q2954" s="1" t="s">
        <v>7689</v>
      </c>
      <c r="R2954" s="1" t="s">
        <v>67</v>
      </c>
      <c r="S2954" s="1" t="s">
        <v>7690</v>
      </c>
      <c r="T2954" s="1" t="s">
        <v>7691</v>
      </c>
      <c r="U2954" s="2" t="s">
        <v>3952</v>
      </c>
      <c r="V2954" s="2" t="s">
        <v>36</v>
      </c>
      <c r="W2954" s="2" t="s">
        <v>37</v>
      </c>
      <c r="X2954" s="2">
        <v>73.465000000000003</v>
      </c>
    </row>
    <row r="2955" spans="1:24" x14ac:dyDescent="0.3">
      <c r="A2955">
        <v>20813</v>
      </c>
      <c r="B2955" t="s">
        <v>7692</v>
      </c>
      <c r="C2955" s="3">
        <v>41951</v>
      </c>
      <c r="D2955" t="s">
        <v>148</v>
      </c>
      <c r="E2955">
        <v>23</v>
      </c>
      <c r="F2955" s="3">
        <f ca="1">41951+(RANDBETWEEN(1,10))</f>
        <v>41958</v>
      </c>
      <c r="G2955" t="s">
        <v>26</v>
      </c>
      <c r="H2955" t="s">
        <v>281</v>
      </c>
      <c r="I2955" t="s">
        <v>28</v>
      </c>
      <c r="J2955">
        <v>1400.665</v>
      </c>
      <c r="K2955">
        <v>0.08</v>
      </c>
      <c r="L2955">
        <v>0.5</v>
      </c>
      <c r="M2955">
        <v>28.594999999999999</v>
      </c>
      <c r="N2955">
        <v>-70.381150000000005</v>
      </c>
      <c r="O2955" s="1" t="s">
        <v>29</v>
      </c>
      <c r="P2955" s="1" t="s">
        <v>6832</v>
      </c>
      <c r="Q2955" s="1" t="s">
        <v>6833</v>
      </c>
      <c r="R2955" s="1" t="s">
        <v>460</v>
      </c>
      <c r="S2955" s="1" t="s">
        <v>6834</v>
      </c>
      <c r="T2955" s="1" t="s">
        <v>6835</v>
      </c>
      <c r="U2955" s="2" t="s">
        <v>910</v>
      </c>
      <c r="V2955" s="2" t="s">
        <v>47</v>
      </c>
      <c r="W2955" s="2" t="s">
        <v>71</v>
      </c>
      <c r="X2955" s="2">
        <v>61.32</v>
      </c>
    </row>
    <row r="2956" spans="1:24" x14ac:dyDescent="0.3">
      <c r="A2956">
        <v>20814</v>
      </c>
      <c r="B2956" t="s">
        <v>7692</v>
      </c>
      <c r="C2956" s="3">
        <v>41951</v>
      </c>
      <c r="D2956" t="s">
        <v>148</v>
      </c>
      <c r="E2956">
        <v>5</v>
      </c>
      <c r="F2956" s="3">
        <f ca="1">41952+(RANDBETWEEN(1,10))</f>
        <v>41960</v>
      </c>
      <c r="G2956" t="s">
        <v>26</v>
      </c>
      <c r="H2956" t="s">
        <v>27</v>
      </c>
      <c r="I2956" t="s">
        <v>28</v>
      </c>
      <c r="J2956">
        <v>409.95499999999998</v>
      </c>
      <c r="K2956">
        <v>0</v>
      </c>
      <c r="L2956">
        <v>0.6</v>
      </c>
      <c r="M2956">
        <v>14</v>
      </c>
      <c r="N2956">
        <v>148.68</v>
      </c>
      <c r="O2956" s="1" t="s">
        <v>29</v>
      </c>
      <c r="P2956" s="1" t="s">
        <v>6832</v>
      </c>
      <c r="Q2956" s="1" t="s">
        <v>6833</v>
      </c>
      <c r="R2956" s="1" t="s">
        <v>460</v>
      </c>
      <c r="S2956" s="1" t="s">
        <v>6834</v>
      </c>
      <c r="T2956" s="1" t="s">
        <v>6835</v>
      </c>
      <c r="U2956" s="2" t="s">
        <v>3946</v>
      </c>
      <c r="V2956" s="2" t="s">
        <v>36</v>
      </c>
      <c r="W2956" s="2" t="s">
        <v>60</v>
      </c>
      <c r="X2956" s="2">
        <v>73.325000000000003</v>
      </c>
    </row>
    <row r="2957" spans="1:24" x14ac:dyDescent="0.3">
      <c r="A2957">
        <v>20815</v>
      </c>
      <c r="B2957" t="s">
        <v>7693</v>
      </c>
      <c r="C2957" s="3">
        <v>41818</v>
      </c>
      <c r="D2957" t="s">
        <v>62</v>
      </c>
      <c r="E2957">
        <v>17</v>
      </c>
      <c r="F2957" s="3">
        <f ca="1">41820+(RANDBETWEEN(1,10))</f>
        <v>41825</v>
      </c>
      <c r="G2957" t="s">
        <v>26</v>
      </c>
      <c r="H2957" t="s">
        <v>27</v>
      </c>
      <c r="I2957" t="s">
        <v>97</v>
      </c>
      <c r="J2957">
        <v>207.30500000000001</v>
      </c>
      <c r="K2957">
        <v>0.06</v>
      </c>
      <c r="L2957">
        <v>0.37</v>
      </c>
      <c r="M2957">
        <v>19.145</v>
      </c>
      <c r="N2957">
        <v>-513.39679999999998</v>
      </c>
      <c r="O2957" s="1" t="s">
        <v>40</v>
      </c>
      <c r="P2957" s="1" t="s">
        <v>7694</v>
      </c>
      <c r="Q2957" s="1" t="s">
        <v>7695</v>
      </c>
      <c r="R2957" s="1" t="s">
        <v>220</v>
      </c>
      <c r="S2957" s="1" t="s">
        <v>7696</v>
      </c>
      <c r="T2957" s="1" t="s">
        <v>7268</v>
      </c>
      <c r="U2957" s="2" t="s">
        <v>879</v>
      </c>
      <c r="V2957" s="2" t="s">
        <v>47</v>
      </c>
      <c r="W2957" s="2" t="s">
        <v>111</v>
      </c>
      <c r="X2957" s="2">
        <v>12.53</v>
      </c>
    </row>
    <row r="2958" spans="1:24" x14ac:dyDescent="0.3">
      <c r="A2958">
        <v>20816</v>
      </c>
      <c r="B2958" t="s">
        <v>7697</v>
      </c>
      <c r="C2958" s="3">
        <v>40722</v>
      </c>
      <c r="D2958" t="s">
        <v>62</v>
      </c>
      <c r="E2958">
        <v>17</v>
      </c>
      <c r="F2958" s="3">
        <f ca="1">40722+(RANDBETWEEN(1,10))</f>
        <v>40723</v>
      </c>
      <c r="G2958" t="s">
        <v>76</v>
      </c>
      <c r="H2958" t="s">
        <v>258</v>
      </c>
      <c r="I2958" t="s">
        <v>97</v>
      </c>
      <c r="J2958">
        <v>5951.33</v>
      </c>
      <c r="K2958">
        <v>0.09</v>
      </c>
      <c r="L2958">
        <v>0.62</v>
      </c>
      <c r="M2958">
        <v>125.44</v>
      </c>
      <c r="N2958">
        <v>-362.68400000000003</v>
      </c>
      <c r="O2958" s="1" t="s">
        <v>40</v>
      </c>
      <c r="P2958" s="1" t="s">
        <v>7694</v>
      </c>
      <c r="Q2958" s="1" t="s">
        <v>7695</v>
      </c>
      <c r="R2958" s="1" t="s">
        <v>220</v>
      </c>
      <c r="S2958" s="1" t="s">
        <v>7696</v>
      </c>
      <c r="T2958" s="1" t="s">
        <v>7268</v>
      </c>
      <c r="U2958" s="2" t="s">
        <v>1271</v>
      </c>
      <c r="V2958" s="2" t="s">
        <v>83</v>
      </c>
      <c r="W2958" s="2" t="s">
        <v>298</v>
      </c>
      <c r="X2958" s="2">
        <v>353.43</v>
      </c>
    </row>
    <row r="2959" spans="1:24" x14ac:dyDescent="0.3">
      <c r="A2959">
        <v>20817</v>
      </c>
      <c r="B2959" t="s">
        <v>7697</v>
      </c>
      <c r="C2959" s="3">
        <v>40722</v>
      </c>
      <c r="D2959" t="s">
        <v>62</v>
      </c>
      <c r="E2959">
        <v>6</v>
      </c>
      <c r="F2959" s="3">
        <f ca="1">40722+(RANDBETWEEN(1,10))</f>
        <v>40729</v>
      </c>
      <c r="G2959" t="s">
        <v>26</v>
      </c>
      <c r="H2959" t="s">
        <v>27</v>
      </c>
      <c r="I2959" t="s">
        <v>97</v>
      </c>
      <c r="J2959">
        <v>125.86</v>
      </c>
      <c r="K2959">
        <v>0.1</v>
      </c>
      <c r="L2959">
        <v>0.36</v>
      </c>
      <c r="M2959">
        <v>27.86</v>
      </c>
      <c r="N2959">
        <v>-202.38399999999999</v>
      </c>
      <c r="O2959" s="1" t="s">
        <v>40</v>
      </c>
      <c r="P2959" s="1" t="s">
        <v>7694</v>
      </c>
      <c r="Q2959" s="1" t="s">
        <v>7695</v>
      </c>
      <c r="R2959" s="1" t="s">
        <v>220</v>
      </c>
      <c r="S2959" s="1" t="s">
        <v>7696</v>
      </c>
      <c r="T2959" s="1" t="s">
        <v>7268</v>
      </c>
      <c r="U2959" s="2" t="s">
        <v>3042</v>
      </c>
      <c r="V2959" s="2" t="s">
        <v>47</v>
      </c>
      <c r="W2959" s="2" t="s">
        <v>74</v>
      </c>
      <c r="X2959" s="2">
        <v>20.23</v>
      </c>
    </row>
    <row r="2960" spans="1:24" x14ac:dyDescent="0.3">
      <c r="A2960">
        <v>20818</v>
      </c>
      <c r="B2960" t="s">
        <v>7698</v>
      </c>
      <c r="C2960" s="3">
        <v>41093</v>
      </c>
      <c r="D2960" t="s">
        <v>62</v>
      </c>
      <c r="E2960">
        <v>11</v>
      </c>
      <c r="F2960" s="3">
        <f ca="1">41095+(RANDBETWEEN(1,10))</f>
        <v>41104</v>
      </c>
      <c r="G2960" t="s">
        <v>76</v>
      </c>
      <c r="H2960" t="s">
        <v>258</v>
      </c>
      <c r="I2960" t="s">
        <v>86</v>
      </c>
      <c r="J2960">
        <v>4447.625</v>
      </c>
      <c r="K2960">
        <v>0.06</v>
      </c>
      <c r="L2960">
        <v>0.39</v>
      </c>
      <c r="M2960">
        <v>196.49</v>
      </c>
      <c r="N2960">
        <v>-120.06435</v>
      </c>
      <c r="O2960" s="1" t="s">
        <v>29</v>
      </c>
      <c r="P2960" s="1" t="s">
        <v>7699</v>
      </c>
      <c r="Q2960" s="1" t="s">
        <v>7700</v>
      </c>
      <c r="R2960" s="1" t="s">
        <v>32</v>
      </c>
      <c r="S2960" s="1" t="s">
        <v>7701</v>
      </c>
      <c r="T2960" s="1" t="s">
        <v>7702</v>
      </c>
      <c r="U2960" s="2" t="s">
        <v>5088</v>
      </c>
      <c r="V2960" s="2" t="s">
        <v>36</v>
      </c>
      <c r="W2960" s="2" t="s">
        <v>142</v>
      </c>
      <c r="X2960" s="2">
        <v>419.96499999999997</v>
      </c>
    </row>
    <row r="2961" spans="1:24" x14ac:dyDescent="0.3">
      <c r="A2961">
        <v>20819</v>
      </c>
      <c r="B2961" t="s">
        <v>7698</v>
      </c>
      <c r="C2961" s="3">
        <v>41093</v>
      </c>
      <c r="D2961" t="s">
        <v>62</v>
      </c>
      <c r="E2961">
        <v>7</v>
      </c>
      <c r="F2961" s="3">
        <f ca="1">41096+(RANDBETWEEN(1,10))</f>
        <v>41103</v>
      </c>
      <c r="G2961" t="s">
        <v>26</v>
      </c>
      <c r="H2961" t="s">
        <v>96</v>
      </c>
      <c r="I2961" t="s">
        <v>86</v>
      </c>
      <c r="J2961">
        <v>888.61500000000001</v>
      </c>
      <c r="K2961">
        <v>7.0000000000000007E-2</v>
      </c>
      <c r="L2961">
        <v>0.41</v>
      </c>
      <c r="M2961">
        <v>48.615000000000002</v>
      </c>
      <c r="N2961">
        <v>365.29500000000002</v>
      </c>
      <c r="O2961" s="1" t="s">
        <v>29</v>
      </c>
      <c r="P2961" s="1" t="s">
        <v>7699</v>
      </c>
      <c r="Q2961" s="1" t="s">
        <v>7700</v>
      </c>
      <c r="R2961" s="1" t="s">
        <v>32</v>
      </c>
      <c r="S2961" s="1" t="s">
        <v>7701</v>
      </c>
      <c r="T2961" s="1" t="s">
        <v>7702</v>
      </c>
      <c r="U2961" s="2" t="s">
        <v>530</v>
      </c>
      <c r="V2961" s="2" t="s">
        <v>47</v>
      </c>
      <c r="W2961" s="2" t="s">
        <v>104</v>
      </c>
      <c r="X2961" s="2">
        <v>127.925</v>
      </c>
    </row>
    <row r="2962" spans="1:24" x14ac:dyDescent="0.3">
      <c r="A2962">
        <v>20820</v>
      </c>
      <c r="B2962" t="s">
        <v>7703</v>
      </c>
      <c r="C2962" s="3">
        <v>41901</v>
      </c>
      <c r="D2962" t="s">
        <v>62</v>
      </c>
      <c r="E2962">
        <v>13</v>
      </c>
      <c r="F2962" s="3">
        <f ca="1">41903+(RANDBETWEEN(1,10))</f>
        <v>41910</v>
      </c>
      <c r="G2962" t="s">
        <v>26</v>
      </c>
      <c r="H2962" t="s">
        <v>27</v>
      </c>
      <c r="I2962" t="s">
        <v>28</v>
      </c>
      <c r="J2962">
        <v>144.19999999999999</v>
      </c>
      <c r="K2962">
        <v>0.02</v>
      </c>
      <c r="L2962">
        <v>0.37</v>
      </c>
      <c r="M2962">
        <v>1.7150000000000001</v>
      </c>
      <c r="N2962">
        <v>99.498000000000005</v>
      </c>
      <c r="O2962" s="1" t="s">
        <v>40</v>
      </c>
      <c r="P2962" s="1" t="s">
        <v>7704</v>
      </c>
      <c r="Q2962" s="1" t="s">
        <v>7705</v>
      </c>
      <c r="R2962" s="1" t="s">
        <v>43</v>
      </c>
      <c r="S2962" s="1" t="s">
        <v>7706</v>
      </c>
      <c r="T2962" s="1" t="s">
        <v>7707</v>
      </c>
      <c r="U2962" s="2" t="s">
        <v>2455</v>
      </c>
      <c r="V2962" s="2" t="s">
        <v>47</v>
      </c>
      <c r="W2962" s="2" t="s">
        <v>203</v>
      </c>
      <c r="X2962" s="2">
        <v>11.025</v>
      </c>
    </row>
    <row r="2963" spans="1:24" x14ac:dyDescent="0.3">
      <c r="A2963">
        <v>20821</v>
      </c>
      <c r="B2963" t="s">
        <v>7708</v>
      </c>
      <c r="C2963" s="3">
        <v>41572</v>
      </c>
      <c r="D2963" t="s">
        <v>25</v>
      </c>
      <c r="E2963">
        <v>15</v>
      </c>
      <c r="F2963" s="3">
        <f ca="1">41579+(RANDBETWEEN(1,10))</f>
        <v>41585</v>
      </c>
      <c r="G2963" t="s">
        <v>26</v>
      </c>
      <c r="H2963" t="s">
        <v>27</v>
      </c>
      <c r="I2963" t="s">
        <v>28</v>
      </c>
      <c r="J2963">
        <v>694.05</v>
      </c>
      <c r="K2963">
        <v>0.08</v>
      </c>
      <c r="L2963">
        <v>0.56000000000000005</v>
      </c>
      <c r="M2963">
        <v>32.795000000000002</v>
      </c>
      <c r="N2963">
        <v>-560.42280000000005</v>
      </c>
      <c r="O2963" s="1" t="s">
        <v>40</v>
      </c>
      <c r="P2963" s="1" t="s">
        <v>7520</v>
      </c>
      <c r="Q2963" s="1" t="s">
        <v>7521</v>
      </c>
      <c r="R2963" s="1" t="s">
        <v>220</v>
      </c>
      <c r="S2963" s="1" t="s">
        <v>7522</v>
      </c>
      <c r="T2963" s="1" t="s">
        <v>4970</v>
      </c>
      <c r="U2963" s="2" t="s">
        <v>2863</v>
      </c>
      <c r="V2963" s="2" t="s">
        <v>47</v>
      </c>
      <c r="W2963" s="2" t="s">
        <v>119</v>
      </c>
      <c r="X2963" s="2">
        <v>49.104999999999997</v>
      </c>
    </row>
    <row r="2964" spans="1:24" x14ac:dyDescent="0.3">
      <c r="A2964">
        <v>20822</v>
      </c>
      <c r="B2964" t="s">
        <v>7708</v>
      </c>
      <c r="C2964" s="3">
        <v>41572</v>
      </c>
      <c r="D2964" t="s">
        <v>25</v>
      </c>
      <c r="E2964">
        <v>16</v>
      </c>
      <c r="F2964" s="3">
        <f ca="1">41576+(RANDBETWEEN(1,10))</f>
        <v>41586</v>
      </c>
      <c r="G2964" t="s">
        <v>76</v>
      </c>
      <c r="H2964" t="s">
        <v>258</v>
      </c>
      <c r="I2964" t="s">
        <v>28</v>
      </c>
      <c r="J2964">
        <v>12079.41</v>
      </c>
      <c r="K2964">
        <v>0.04</v>
      </c>
      <c r="L2964">
        <v>0.73</v>
      </c>
      <c r="M2964">
        <v>385.7</v>
      </c>
      <c r="N2964">
        <v>-1942.1277875999999</v>
      </c>
      <c r="O2964" s="1" t="s">
        <v>40</v>
      </c>
      <c r="P2964" s="1" t="s">
        <v>7520</v>
      </c>
      <c r="Q2964" s="1" t="s">
        <v>7521</v>
      </c>
      <c r="R2964" s="1" t="s">
        <v>220</v>
      </c>
      <c r="S2964" s="1" t="s">
        <v>7522</v>
      </c>
      <c r="T2964" s="1" t="s">
        <v>4970</v>
      </c>
      <c r="U2964" s="2" t="s">
        <v>1775</v>
      </c>
      <c r="V2964" s="2" t="s">
        <v>83</v>
      </c>
      <c r="W2964" s="2" t="s">
        <v>263</v>
      </c>
      <c r="X2964" s="2">
        <v>744.1</v>
      </c>
    </row>
    <row r="2965" spans="1:24" x14ac:dyDescent="0.3">
      <c r="A2965">
        <v>20823</v>
      </c>
      <c r="B2965" t="s">
        <v>7709</v>
      </c>
      <c r="C2965" s="3">
        <v>40966</v>
      </c>
      <c r="D2965" t="s">
        <v>62</v>
      </c>
      <c r="E2965">
        <v>9</v>
      </c>
      <c r="F2965" s="3">
        <f ca="1">40966+(RANDBETWEEN(1,10))</f>
        <v>40971</v>
      </c>
      <c r="G2965" t="s">
        <v>26</v>
      </c>
      <c r="H2965" t="s">
        <v>96</v>
      </c>
      <c r="I2965" t="s">
        <v>28</v>
      </c>
      <c r="J2965">
        <v>37.1</v>
      </c>
      <c r="K2965">
        <v>0.09</v>
      </c>
      <c r="L2965">
        <v>0.81</v>
      </c>
      <c r="M2965">
        <v>2.4500000000000002</v>
      </c>
      <c r="N2965">
        <v>-75.284999999999997</v>
      </c>
      <c r="O2965" s="1" t="s">
        <v>29</v>
      </c>
      <c r="P2965" s="1" t="s">
        <v>7710</v>
      </c>
      <c r="Q2965" s="1" t="s">
        <v>7711</v>
      </c>
      <c r="R2965" s="1" t="s">
        <v>32</v>
      </c>
      <c r="S2965" s="1" t="s">
        <v>7712</v>
      </c>
      <c r="T2965" s="1" t="s">
        <v>7713</v>
      </c>
      <c r="U2965" s="2" t="s">
        <v>925</v>
      </c>
      <c r="V2965" s="2" t="s">
        <v>47</v>
      </c>
      <c r="W2965" s="2" t="s">
        <v>176</v>
      </c>
      <c r="X2965" s="2">
        <v>4.41</v>
      </c>
    </row>
    <row r="2966" spans="1:24" x14ac:dyDescent="0.3">
      <c r="A2966">
        <v>20824</v>
      </c>
      <c r="B2966" t="s">
        <v>7714</v>
      </c>
      <c r="C2966" s="3">
        <v>40766</v>
      </c>
      <c r="D2966" t="s">
        <v>39</v>
      </c>
      <c r="E2966">
        <v>14</v>
      </c>
      <c r="F2966" s="3">
        <f ca="1">40768+(RANDBETWEEN(1,10))</f>
        <v>40771</v>
      </c>
      <c r="G2966" t="s">
        <v>76</v>
      </c>
      <c r="H2966" t="s">
        <v>258</v>
      </c>
      <c r="I2966" t="s">
        <v>28</v>
      </c>
      <c r="J2966">
        <v>11819.71</v>
      </c>
      <c r="K2966">
        <v>0.09</v>
      </c>
      <c r="L2966">
        <v>0.59</v>
      </c>
      <c r="M2966">
        <v>146.685</v>
      </c>
      <c r="N2966">
        <v>4575.4422000000004</v>
      </c>
      <c r="O2966" s="1" t="s">
        <v>40</v>
      </c>
      <c r="P2966" s="1" t="s">
        <v>7090</v>
      </c>
      <c r="Q2966" s="1" t="s">
        <v>7091</v>
      </c>
      <c r="R2966" s="1" t="s">
        <v>220</v>
      </c>
      <c r="S2966" s="1" t="s">
        <v>7092</v>
      </c>
      <c r="T2966" s="1" t="s">
        <v>7093</v>
      </c>
      <c r="U2966" s="2" t="s">
        <v>1985</v>
      </c>
      <c r="V2966" s="2" t="s">
        <v>83</v>
      </c>
      <c r="W2966" s="2" t="s">
        <v>298</v>
      </c>
      <c r="X2966" s="2">
        <v>913.43</v>
      </c>
    </row>
    <row r="2967" spans="1:24" x14ac:dyDescent="0.3">
      <c r="A2967">
        <v>20825</v>
      </c>
      <c r="B2967" t="s">
        <v>7714</v>
      </c>
      <c r="C2967" s="3">
        <v>40766</v>
      </c>
      <c r="D2967" t="s">
        <v>39</v>
      </c>
      <c r="E2967">
        <v>11</v>
      </c>
      <c r="F2967" s="3">
        <f ca="1">40768+(RANDBETWEEN(1,10))</f>
        <v>40774</v>
      </c>
      <c r="G2967" t="s">
        <v>26</v>
      </c>
      <c r="H2967" t="s">
        <v>51</v>
      </c>
      <c r="I2967" t="s">
        <v>28</v>
      </c>
      <c r="J2967">
        <v>433.755</v>
      </c>
      <c r="K2967">
        <v>0.01</v>
      </c>
      <c r="L2967">
        <v>0.52</v>
      </c>
      <c r="M2967">
        <v>27.79</v>
      </c>
      <c r="N2967">
        <v>-55.364400000000003</v>
      </c>
      <c r="O2967" s="1" t="s">
        <v>40</v>
      </c>
      <c r="P2967" s="1" t="s">
        <v>7090</v>
      </c>
      <c r="Q2967" s="1" t="s">
        <v>7091</v>
      </c>
      <c r="R2967" s="1" t="s">
        <v>220</v>
      </c>
      <c r="S2967" s="1" t="s">
        <v>7092</v>
      </c>
      <c r="T2967" s="1" t="s">
        <v>7093</v>
      </c>
      <c r="U2967" s="2" t="s">
        <v>7715</v>
      </c>
      <c r="V2967" s="2" t="s">
        <v>83</v>
      </c>
      <c r="W2967" s="2" t="s">
        <v>178</v>
      </c>
      <c r="X2967" s="2">
        <v>36.82</v>
      </c>
    </row>
    <row r="2968" spans="1:24" x14ac:dyDescent="0.3">
      <c r="A2968">
        <v>20826</v>
      </c>
      <c r="B2968" t="s">
        <v>7714</v>
      </c>
      <c r="C2968" s="3">
        <v>40766</v>
      </c>
      <c r="D2968" t="s">
        <v>39</v>
      </c>
      <c r="E2968">
        <v>14</v>
      </c>
      <c r="F2968" s="3">
        <f ca="1">40768+(RANDBETWEEN(1,10))</f>
        <v>40769</v>
      </c>
      <c r="G2968" t="s">
        <v>156</v>
      </c>
      <c r="H2968" t="s">
        <v>27</v>
      </c>
      <c r="I2968" t="s">
        <v>28</v>
      </c>
      <c r="J2968">
        <v>328.86</v>
      </c>
      <c r="K2968">
        <v>0.02</v>
      </c>
      <c r="L2968">
        <v>0.4</v>
      </c>
      <c r="M2968">
        <v>26.25</v>
      </c>
      <c r="N2968">
        <v>-195.4134</v>
      </c>
      <c r="O2968" s="1" t="s">
        <v>40</v>
      </c>
      <c r="P2968" s="1" t="s">
        <v>7090</v>
      </c>
      <c r="Q2968" s="1" t="s">
        <v>7091</v>
      </c>
      <c r="R2968" s="1" t="s">
        <v>220</v>
      </c>
      <c r="S2968" s="1" t="s">
        <v>7092</v>
      </c>
      <c r="T2968" s="1" t="s">
        <v>7093</v>
      </c>
      <c r="U2968" s="2" t="s">
        <v>6464</v>
      </c>
      <c r="V2968" s="2" t="s">
        <v>47</v>
      </c>
      <c r="W2968" s="2" t="s">
        <v>74</v>
      </c>
      <c r="X2968" s="2">
        <v>20.93</v>
      </c>
    </row>
    <row r="2969" spans="1:24" x14ac:dyDescent="0.3">
      <c r="A2969">
        <v>20827</v>
      </c>
      <c r="B2969" t="s">
        <v>7716</v>
      </c>
      <c r="C2969" s="3">
        <v>40786</v>
      </c>
      <c r="D2969" t="s">
        <v>50</v>
      </c>
      <c r="E2969">
        <v>16</v>
      </c>
      <c r="F2969" s="3">
        <f ca="1">40789+(RANDBETWEEN(1,10))</f>
        <v>40797</v>
      </c>
      <c r="G2969" t="s">
        <v>156</v>
      </c>
      <c r="H2969" t="s">
        <v>27</v>
      </c>
      <c r="I2969" t="s">
        <v>97</v>
      </c>
      <c r="J2969">
        <v>2033.78</v>
      </c>
      <c r="K2969">
        <v>0.05</v>
      </c>
      <c r="L2969">
        <v>0.76</v>
      </c>
      <c r="M2969">
        <v>26.355</v>
      </c>
      <c r="N2969">
        <v>-114.33240000000001</v>
      </c>
      <c r="O2969" s="1" t="s">
        <v>64</v>
      </c>
      <c r="P2969" s="1" t="s">
        <v>2716</v>
      </c>
      <c r="Q2969" s="1" t="s">
        <v>2717</v>
      </c>
      <c r="R2969" s="1" t="s">
        <v>67</v>
      </c>
      <c r="S2969" s="1" t="s">
        <v>2718</v>
      </c>
      <c r="T2969" s="1" t="s">
        <v>2719</v>
      </c>
      <c r="U2969" s="2" t="s">
        <v>5838</v>
      </c>
      <c r="V2969" s="2" t="s">
        <v>36</v>
      </c>
      <c r="W2969" s="2" t="s">
        <v>60</v>
      </c>
      <c r="X2969" s="2">
        <v>122.43</v>
      </c>
    </row>
    <row r="2970" spans="1:24" x14ac:dyDescent="0.3">
      <c r="A2970">
        <v>20828</v>
      </c>
      <c r="B2970" t="s">
        <v>7716</v>
      </c>
      <c r="C2970" s="3">
        <v>40786</v>
      </c>
      <c r="D2970" t="s">
        <v>50</v>
      </c>
      <c r="E2970">
        <v>8</v>
      </c>
      <c r="F2970" s="3">
        <f ca="1">40788+(RANDBETWEEN(1,10))</f>
        <v>40795</v>
      </c>
      <c r="G2970" t="s">
        <v>26</v>
      </c>
      <c r="H2970" t="s">
        <v>96</v>
      </c>
      <c r="I2970" t="s">
        <v>97</v>
      </c>
      <c r="J2970">
        <v>96.355000000000004</v>
      </c>
      <c r="K2970">
        <v>0</v>
      </c>
      <c r="L2970">
        <v>0.84</v>
      </c>
      <c r="M2970">
        <v>6.72</v>
      </c>
      <c r="N2970">
        <v>-45.973199999999999</v>
      </c>
      <c r="O2970" s="1" t="s">
        <v>64</v>
      </c>
      <c r="P2970" s="1" t="s">
        <v>2716</v>
      </c>
      <c r="Q2970" s="1" t="s">
        <v>2717</v>
      </c>
      <c r="R2970" s="1" t="s">
        <v>67</v>
      </c>
      <c r="S2970" s="1" t="s">
        <v>2718</v>
      </c>
      <c r="T2970" s="1" t="s">
        <v>2719</v>
      </c>
      <c r="U2970" s="2" t="s">
        <v>524</v>
      </c>
      <c r="V2970" s="2" t="s">
        <v>47</v>
      </c>
      <c r="W2970" s="2" t="s">
        <v>94</v>
      </c>
      <c r="X2970" s="2">
        <v>10.99</v>
      </c>
    </row>
    <row r="2971" spans="1:24" x14ac:dyDescent="0.3">
      <c r="A2971">
        <v>20829</v>
      </c>
      <c r="B2971" t="s">
        <v>7717</v>
      </c>
      <c r="C2971" s="3">
        <v>40569</v>
      </c>
      <c r="D2971" t="s">
        <v>39</v>
      </c>
      <c r="E2971">
        <v>1</v>
      </c>
      <c r="F2971" s="3">
        <f ca="1">40571+(RANDBETWEEN(1,10))</f>
        <v>40573</v>
      </c>
      <c r="G2971" t="s">
        <v>26</v>
      </c>
      <c r="H2971" t="s">
        <v>27</v>
      </c>
      <c r="I2971" t="s">
        <v>52</v>
      </c>
      <c r="J2971">
        <v>10.78</v>
      </c>
      <c r="K2971">
        <v>0.01</v>
      </c>
      <c r="L2971">
        <v>0.38</v>
      </c>
      <c r="M2971">
        <v>1.75</v>
      </c>
      <c r="N2971">
        <v>4.2826000000000004</v>
      </c>
      <c r="O2971" s="1" t="s">
        <v>40</v>
      </c>
      <c r="P2971" s="1" t="s">
        <v>7718</v>
      </c>
      <c r="Q2971" s="1" t="s">
        <v>7719</v>
      </c>
      <c r="R2971" s="1" t="s">
        <v>43</v>
      </c>
      <c r="S2971" s="1" t="s">
        <v>628</v>
      </c>
      <c r="T2971" s="1" t="s">
        <v>629</v>
      </c>
      <c r="U2971" s="2" t="s">
        <v>468</v>
      </c>
      <c r="V2971" s="2" t="s">
        <v>47</v>
      </c>
      <c r="W2971" s="2" t="s">
        <v>203</v>
      </c>
      <c r="X2971" s="2">
        <v>10.115</v>
      </c>
    </row>
    <row r="2972" spans="1:24" x14ac:dyDescent="0.3">
      <c r="A2972">
        <v>20830</v>
      </c>
      <c r="B2972" t="s">
        <v>7717</v>
      </c>
      <c r="C2972" s="3">
        <v>40569</v>
      </c>
      <c r="D2972" t="s">
        <v>39</v>
      </c>
      <c r="E2972">
        <v>8</v>
      </c>
      <c r="F2972" s="3">
        <f ca="1">40570+(RANDBETWEEN(1,10))</f>
        <v>40574</v>
      </c>
      <c r="G2972" t="s">
        <v>26</v>
      </c>
      <c r="H2972" t="s">
        <v>51</v>
      </c>
      <c r="I2972" t="s">
        <v>52</v>
      </c>
      <c r="J2972">
        <v>417.51499999999999</v>
      </c>
      <c r="K2972">
        <v>0.03</v>
      </c>
      <c r="L2972">
        <v>0.49</v>
      </c>
      <c r="M2972">
        <v>17.5</v>
      </c>
      <c r="N2972">
        <v>288.08535000000001</v>
      </c>
      <c r="O2972" s="1" t="s">
        <v>40</v>
      </c>
      <c r="P2972" s="1" t="s">
        <v>4065</v>
      </c>
      <c r="Q2972" s="1" t="s">
        <v>4066</v>
      </c>
      <c r="R2972" s="1" t="s">
        <v>43</v>
      </c>
      <c r="S2972" s="1" t="s">
        <v>4067</v>
      </c>
      <c r="T2972" s="1" t="s">
        <v>4068</v>
      </c>
      <c r="U2972" s="2" t="s">
        <v>830</v>
      </c>
      <c r="V2972" s="2" t="s">
        <v>83</v>
      </c>
      <c r="W2972" s="2" t="s">
        <v>178</v>
      </c>
      <c r="X2972" s="2">
        <v>50.19</v>
      </c>
    </row>
    <row r="2973" spans="1:24" x14ac:dyDescent="0.3">
      <c r="A2973">
        <v>20831</v>
      </c>
      <c r="B2973" t="s">
        <v>7720</v>
      </c>
      <c r="C2973" s="3">
        <v>41488</v>
      </c>
      <c r="D2973" t="s">
        <v>62</v>
      </c>
      <c r="E2973">
        <v>11</v>
      </c>
      <c r="F2973" s="3">
        <f ca="1">41489+(RANDBETWEEN(1,10))</f>
        <v>41490</v>
      </c>
      <c r="G2973" t="s">
        <v>156</v>
      </c>
      <c r="H2973" t="s">
        <v>27</v>
      </c>
      <c r="I2973" t="s">
        <v>28</v>
      </c>
      <c r="J2973">
        <v>175.45500000000001</v>
      </c>
      <c r="K2973">
        <v>0.02</v>
      </c>
      <c r="L2973">
        <v>0.39</v>
      </c>
      <c r="M2973">
        <v>8.75</v>
      </c>
      <c r="N2973">
        <v>35.431199999999997</v>
      </c>
      <c r="O2973" s="1" t="s">
        <v>225</v>
      </c>
      <c r="P2973" s="1" t="s">
        <v>7721</v>
      </c>
      <c r="Q2973" s="1" t="s">
        <v>7722</v>
      </c>
      <c r="R2973" s="1" t="s">
        <v>391</v>
      </c>
      <c r="S2973" s="1" t="s">
        <v>3837</v>
      </c>
      <c r="T2973" s="1" t="s">
        <v>3838</v>
      </c>
      <c r="U2973" s="2" t="s">
        <v>7012</v>
      </c>
      <c r="V2973" s="2" t="s">
        <v>47</v>
      </c>
      <c r="W2973" s="2" t="s">
        <v>48</v>
      </c>
      <c r="X2973" s="2">
        <v>12.914999999999999</v>
      </c>
    </row>
    <row r="2974" spans="1:24" x14ac:dyDescent="0.3">
      <c r="A2974">
        <v>20832</v>
      </c>
      <c r="B2974" t="s">
        <v>7723</v>
      </c>
      <c r="C2974" s="3">
        <v>40911</v>
      </c>
      <c r="D2974" t="s">
        <v>148</v>
      </c>
      <c r="E2974">
        <v>5</v>
      </c>
      <c r="F2974" s="3">
        <f ca="1">40912+(RANDBETWEEN(1,10))</f>
        <v>40913</v>
      </c>
      <c r="G2974" t="s">
        <v>26</v>
      </c>
      <c r="H2974" t="s">
        <v>27</v>
      </c>
      <c r="I2974" t="s">
        <v>86</v>
      </c>
      <c r="J2974">
        <v>1120.4549999999999</v>
      </c>
      <c r="K2974">
        <v>0.1</v>
      </c>
      <c r="L2974">
        <v>0.4</v>
      </c>
      <c r="M2974">
        <v>69.965000000000003</v>
      </c>
      <c r="N2974">
        <v>431.39879999999999</v>
      </c>
      <c r="O2974" s="1" t="s">
        <v>40</v>
      </c>
      <c r="P2974" s="1" t="s">
        <v>7724</v>
      </c>
      <c r="Q2974" s="1" t="s">
        <v>7725</v>
      </c>
      <c r="R2974" s="1" t="s">
        <v>43</v>
      </c>
      <c r="S2974" s="1" t="s">
        <v>4054</v>
      </c>
      <c r="T2974" s="1" t="s">
        <v>4055</v>
      </c>
      <c r="U2974" s="2" t="s">
        <v>2385</v>
      </c>
      <c r="V2974" s="2" t="s">
        <v>47</v>
      </c>
      <c r="W2974" s="2" t="s">
        <v>111</v>
      </c>
      <c r="X2974" s="2">
        <v>235.48</v>
      </c>
    </row>
    <row r="2975" spans="1:24" x14ac:dyDescent="0.3">
      <c r="A2975">
        <v>20833</v>
      </c>
      <c r="B2975" t="s">
        <v>7726</v>
      </c>
      <c r="C2975" s="3">
        <v>41980</v>
      </c>
      <c r="D2975" t="s">
        <v>62</v>
      </c>
      <c r="E2975">
        <v>13</v>
      </c>
      <c r="F2975" s="3">
        <f ca="1">41983+(RANDBETWEEN(1,10))</f>
        <v>41988</v>
      </c>
      <c r="G2975" t="s">
        <v>76</v>
      </c>
      <c r="H2975" t="s">
        <v>258</v>
      </c>
      <c r="I2975" t="s">
        <v>97</v>
      </c>
      <c r="J2975">
        <v>12037.48</v>
      </c>
      <c r="K2975">
        <v>0.03</v>
      </c>
      <c r="L2975">
        <v>0.61</v>
      </c>
      <c r="M2975">
        <v>233.345</v>
      </c>
      <c r="N2975">
        <v>2951.0790400000001</v>
      </c>
      <c r="O2975" s="1" t="s">
        <v>40</v>
      </c>
      <c r="P2975" s="1" t="s">
        <v>6016</v>
      </c>
      <c r="Q2975" s="1" t="s">
        <v>6017</v>
      </c>
      <c r="R2975" s="1" t="s">
        <v>43</v>
      </c>
      <c r="S2975" s="1" t="s">
        <v>6018</v>
      </c>
      <c r="T2975" s="1" t="s">
        <v>6019</v>
      </c>
      <c r="U2975" s="2" t="s">
        <v>4031</v>
      </c>
      <c r="V2975" s="2" t="s">
        <v>83</v>
      </c>
      <c r="W2975" s="2" t="s">
        <v>263</v>
      </c>
      <c r="X2975" s="2">
        <v>908.98500000000001</v>
      </c>
    </row>
    <row r="2976" spans="1:24" x14ac:dyDescent="0.3">
      <c r="A2976">
        <v>20834</v>
      </c>
      <c r="B2976" t="s">
        <v>7727</v>
      </c>
      <c r="C2976" s="3">
        <v>41784</v>
      </c>
      <c r="D2976" t="s">
        <v>62</v>
      </c>
      <c r="E2976">
        <v>2</v>
      </c>
      <c r="F2976" s="3">
        <f ca="1">41786+(RANDBETWEEN(1,10))</f>
        <v>41795</v>
      </c>
      <c r="G2976" t="s">
        <v>26</v>
      </c>
      <c r="H2976" t="s">
        <v>96</v>
      </c>
      <c r="I2976" t="s">
        <v>28</v>
      </c>
      <c r="J2976">
        <v>62.685000000000002</v>
      </c>
      <c r="K2976">
        <v>0.1</v>
      </c>
      <c r="L2976">
        <v>0.39</v>
      </c>
      <c r="M2976">
        <v>7.0350000000000001</v>
      </c>
      <c r="N2976">
        <v>9.8699999999999992</v>
      </c>
      <c r="O2976" s="1" t="s">
        <v>64</v>
      </c>
      <c r="P2976" s="1" t="s">
        <v>3673</v>
      </c>
      <c r="Q2976" s="1" t="s">
        <v>3674</v>
      </c>
      <c r="R2976" s="1" t="s">
        <v>67</v>
      </c>
      <c r="S2976" s="1" t="s">
        <v>3675</v>
      </c>
      <c r="T2976" s="1" t="s">
        <v>3676</v>
      </c>
      <c r="U2976" s="2" t="s">
        <v>7728</v>
      </c>
      <c r="V2976" s="2" t="s">
        <v>47</v>
      </c>
      <c r="W2976" s="2" t="s">
        <v>74</v>
      </c>
      <c r="X2976" s="2">
        <v>31.324999999999999</v>
      </c>
    </row>
    <row r="2977" spans="1:24" x14ac:dyDescent="0.3">
      <c r="A2977">
        <v>20835</v>
      </c>
      <c r="B2977" t="s">
        <v>7727</v>
      </c>
      <c r="C2977" s="3">
        <v>41784</v>
      </c>
      <c r="D2977" t="s">
        <v>62</v>
      </c>
      <c r="E2977">
        <v>11</v>
      </c>
      <c r="F2977" s="3">
        <f ca="1">41786+(RANDBETWEEN(1,10))</f>
        <v>41790</v>
      </c>
      <c r="G2977" t="s">
        <v>26</v>
      </c>
      <c r="H2977" t="s">
        <v>27</v>
      </c>
      <c r="I2977" t="s">
        <v>28</v>
      </c>
      <c r="J2977">
        <v>2110.7449999999999</v>
      </c>
      <c r="K2977">
        <v>0.04</v>
      </c>
      <c r="L2977">
        <v>0.59</v>
      </c>
      <c r="M2977">
        <v>17.78</v>
      </c>
      <c r="N2977">
        <v>1456.4140500000001</v>
      </c>
      <c r="O2977" s="1" t="s">
        <v>29</v>
      </c>
      <c r="P2977" s="1" t="s">
        <v>7729</v>
      </c>
      <c r="Q2977" s="1" t="s">
        <v>7730</v>
      </c>
      <c r="R2977" s="1" t="s">
        <v>32</v>
      </c>
      <c r="S2977" s="1" t="s">
        <v>7731</v>
      </c>
      <c r="T2977" s="1" t="s">
        <v>7732</v>
      </c>
      <c r="U2977" s="2" t="s">
        <v>3832</v>
      </c>
      <c r="V2977" s="2" t="s">
        <v>47</v>
      </c>
      <c r="W2977" s="2" t="s">
        <v>119</v>
      </c>
      <c r="X2977" s="2">
        <v>193.51499999999999</v>
      </c>
    </row>
    <row r="2978" spans="1:24" x14ac:dyDescent="0.3">
      <c r="A2978">
        <v>20836</v>
      </c>
      <c r="B2978" t="s">
        <v>7727</v>
      </c>
      <c r="C2978" s="3">
        <v>41784</v>
      </c>
      <c r="D2978" t="s">
        <v>62</v>
      </c>
      <c r="E2978">
        <v>6</v>
      </c>
      <c r="F2978" s="3">
        <f ca="1">41786+(RANDBETWEEN(1,10))</f>
        <v>41795</v>
      </c>
      <c r="G2978" t="s">
        <v>76</v>
      </c>
      <c r="H2978" t="s">
        <v>258</v>
      </c>
      <c r="I2978" t="s">
        <v>28</v>
      </c>
      <c r="J2978">
        <v>11303.04</v>
      </c>
      <c r="K2978">
        <v>0.1</v>
      </c>
      <c r="L2978">
        <v>0.71</v>
      </c>
      <c r="M2978">
        <v>159.94999999999999</v>
      </c>
      <c r="N2978">
        <v>-4660.4367810000003</v>
      </c>
      <c r="O2978" s="1" t="s">
        <v>29</v>
      </c>
      <c r="P2978" s="1" t="s">
        <v>7729</v>
      </c>
      <c r="Q2978" s="1" t="s">
        <v>7730</v>
      </c>
      <c r="R2978" s="1" t="s">
        <v>32</v>
      </c>
      <c r="S2978" s="1" t="s">
        <v>7731</v>
      </c>
      <c r="T2978" s="1" t="s">
        <v>7732</v>
      </c>
      <c r="U2978" s="2" t="s">
        <v>3553</v>
      </c>
      <c r="V2978" s="2" t="s">
        <v>83</v>
      </c>
      <c r="W2978" s="2" t="s">
        <v>263</v>
      </c>
      <c r="X2978" s="2">
        <v>1928.43</v>
      </c>
    </row>
    <row r="2979" spans="1:24" x14ac:dyDescent="0.3">
      <c r="A2979">
        <v>20837</v>
      </c>
      <c r="B2979" t="s">
        <v>7733</v>
      </c>
      <c r="C2979" s="3">
        <v>41343</v>
      </c>
      <c r="D2979" t="s">
        <v>148</v>
      </c>
      <c r="E2979">
        <v>6</v>
      </c>
      <c r="F2979" s="3">
        <f ca="1">41345+(RANDBETWEEN(1,10))</f>
        <v>41350</v>
      </c>
      <c r="G2979" t="s">
        <v>26</v>
      </c>
      <c r="H2979" t="s">
        <v>51</v>
      </c>
      <c r="I2979" t="s">
        <v>97</v>
      </c>
      <c r="J2979">
        <v>411.21499999999997</v>
      </c>
      <c r="K2979">
        <v>7.0000000000000007E-2</v>
      </c>
      <c r="L2979">
        <v>0.44</v>
      </c>
      <c r="M2979">
        <v>21.524999999999999</v>
      </c>
      <c r="N2979">
        <v>283.73835000000003</v>
      </c>
      <c r="O2979" s="1" t="s">
        <v>29</v>
      </c>
      <c r="P2979" s="1" t="s">
        <v>7734</v>
      </c>
      <c r="Q2979" s="1" t="s">
        <v>7735</v>
      </c>
      <c r="R2979" s="1" t="s">
        <v>675</v>
      </c>
      <c r="S2979" s="1" t="s">
        <v>7736</v>
      </c>
      <c r="T2979" s="1" t="s">
        <v>7737</v>
      </c>
      <c r="U2979" s="2" t="s">
        <v>3649</v>
      </c>
      <c r="V2979" s="2" t="s">
        <v>83</v>
      </c>
      <c r="W2979" s="2" t="s">
        <v>178</v>
      </c>
      <c r="X2979" s="2">
        <v>67.305000000000007</v>
      </c>
    </row>
    <row r="2980" spans="1:24" x14ac:dyDescent="0.3">
      <c r="A2980">
        <v>20838</v>
      </c>
      <c r="B2980" t="s">
        <v>7733</v>
      </c>
      <c r="C2980" s="3">
        <v>41343</v>
      </c>
      <c r="D2980" t="s">
        <v>148</v>
      </c>
      <c r="E2980">
        <v>5</v>
      </c>
      <c r="F2980" s="3">
        <f ca="1">41345+(RANDBETWEEN(1,10))</f>
        <v>41350</v>
      </c>
      <c r="G2980" t="s">
        <v>156</v>
      </c>
      <c r="H2980" t="s">
        <v>96</v>
      </c>
      <c r="I2980" t="s">
        <v>97</v>
      </c>
      <c r="J2980">
        <v>1228.22</v>
      </c>
      <c r="K2980">
        <v>0.08</v>
      </c>
      <c r="L2980">
        <v>0.55000000000000004</v>
      </c>
      <c r="M2980">
        <v>3.4649999999999999</v>
      </c>
      <c r="N2980">
        <v>481.572</v>
      </c>
      <c r="O2980" s="1" t="s">
        <v>29</v>
      </c>
      <c r="P2980" s="1" t="s">
        <v>7734</v>
      </c>
      <c r="Q2980" s="1" t="s">
        <v>7735</v>
      </c>
      <c r="R2980" s="1" t="s">
        <v>675</v>
      </c>
      <c r="S2980" s="1" t="s">
        <v>7736</v>
      </c>
      <c r="T2980" s="1" t="s">
        <v>7737</v>
      </c>
      <c r="U2980" s="2" t="s">
        <v>5311</v>
      </c>
      <c r="V2980" s="2" t="s">
        <v>36</v>
      </c>
      <c r="W2980" s="2" t="s">
        <v>37</v>
      </c>
      <c r="X2980" s="2">
        <v>300.96499999999997</v>
      </c>
    </row>
    <row r="2981" spans="1:24" x14ac:dyDescent="0.3">
      <c r="A2981">
        <v>20839</v>
      </c>
      <c r="B2981" t="s">
        <v>7738</v>
      </c>
      <c r="C2981" s="3">
        <v>41088</v>
      </c>
      <c r="D2981" t="s">
        <v>62</v>
      </c>
      <c r="E2981">
        <v>3</v>
      </c>
      <c r="F2981" s="3">
        <f ca="1">41089+(RANDBETWEEN(1,10))</f>
        <v>41091</v>
      </c>
      <c r="G2981" t="s">
        <v>156</v>
      </c>
      <c r="H2981" t="s">
        <v>27</v>
      </c>
      <c r="I2981" t="s">
        <v>28</v>
      </c>
      <c r="J2981">
        <v>571.79499999999996</v>
      </c>
      <c r="K2981">
        <v>0.08</v>
      </c>
      <c r="L2981">
        <v>0.57999999999999996</v>
      </c>
      <c r="M2981">
        <v>31.465</v>
      </c>
      <c r="N2981">
        <v>-653.97640000000001</v>
      </c>
      <c r="O2981" s="1" t="s">
        <v>53</v>
      </c>
      <c r="P2981" s="1" t="s">
        <v>7739</v>
      </c>
      <c r="Q2981" s="1" t="s">
        <v>7740</v>
      </c>
      <c r="R2981" s="1" t="s">
        <v>440</v>
      </c>
      <c r="S2981" s="1" t="s">
        <v>2835</v>
      </c>
      <c r="T2981" s="1" t="s">
        <v>2836</v>
      </c>
      <c r="U2981" s="2" t="s">
        <v>4501</v>
      </c>
      <c r="V2981" s="2" t="s">
        <v>36</v>
      </c>
      <c r="W2981" s="2" t="s">
        <v>37</v>
      </c>
      <c r="X2981" s="2">
        <v>230.965</v>
      </c>
    </row>
    <row r="2982" spans="1:24" x14ac:dyDescent="0.3">
      <c r="A2982">
        <v>2084</v>
      </c>
      <c r="B2982" t="s">
        <v>7741</v>
      </c>
      <c r="C2982" s="3">
        <v>41544</v>
      </c>
      <c r="D2982" t="s">
        <v>39</v>
      </c>
      <c r="E2982">
        <v>12</v>
      </c>
      <c r="F2982" s="3">
        <f ca="1">41546+(RANDBETWEEN(1,10))</f>
        <v>41548</v>
      </c>
      <c r="G2982" t="s">
        <v>26</v>
      </c>
      <c r="H2982" t="s">
        <v>27</v>
      </c>
      <c r="I2982" t="s">
        <v>28</v>
      </c>
      <c r="J2982">
        <v>3317.895</v>
      </c>
      <c r="K2982">
        <v>0.06</v>
      </c>
      <c r="L2982">
        <v>0.56000000000000005</v>
      </c>
      <c r="M2982">
        <v>17.149999999999999</v>
      </c>
      <c r="N2982">
        <v>-1055.8625</v>
      </c>
      <c r="O2982" s="1" t="s">
        <v>40</v>
      </c>
      <c r="P2982" s="1" t="s">
        <v>7742</v>
      </c>
      <c r="Q2982" s="1" t="s">
        <v>7743</v>
      </c>
      <c r="R2982" s="1" t="s">
        <v>43</v>
      </c>
      <c r="S2982" s="1" t="s">
        <v>44</v>
      </c>
      <c r="T2982" s="1" t="s">
        <v>7744</v>
      </c>
      <c r="U2982" s="2" t="s">
        <v>35</v>
      </c>
      <c r="V2982" s="2" t="s">
        <v>36</v>
      </c>
      <c r="W2982" s="2" t="s">
        <v>37</v>
      </c>
      <c r="X2982" s="2">
        <v>335.96499999999997</v>
      </c>
    </row>
    <row r="2983" spans="1:24" x14ac:dyDescent="0.3">
      <c r="A2983">
        <v>20840</v>
      </c>
      <c r="B2983" t="s">
        <v>7745</v>
      </c>
      <c r="C2983" s="3">
        <v>40572</v>
      </c>
      <c r="D2983" t="s">
        <v>148</v>
      </c>
      <c r="E2983">
        <v>10</v>
      </c>
      <c r="F2983" s="3">
        <f ca="1">40575+(RANDBETWEEN(1,10))</f>
        <v>40582</v>
      </c>
      <c r="G2983" t="s">
        <v>26</v>
      </c>
      <c r="H2983" t="s">
        <v>27</v>
      </c>
      <c r="I2983" t="s">
        <v>28</v>
      </c>
      <c r="J2983">
        <v>14872.795</v>
      </c>
      <c r="K2983">
        <v>0.02</v>
      </c>
      <c r="L2983">
        <v>0.35</v>
      </c>
      <c r="M2983">
        <v>69.965000000000003</v>
      </c>
      <c r="N2983">
        <v>-569.42899999999997</v>
      </c>
      <c r="O2983" s="1" t="s">
        <v>64</v>
      </c>
      <c r="P2983" s="1" t="s">
        <v>7746</v>
      </c>
      <c r="Q2983" s="1" t="s">
        <v>7747</v>
      </c>
      <c r="R2983" s="1" t="s">
        <v>67</v>
      </c>
      <c r="S2983" s="1" t="s">
        <v>7748</v>
      </c>
      <c r="T2983" s="1" t="s">
        <v>7749</v>
      </c>
      <c r="U2983" s="2" t="s">
        <v>1352</v>
      </c>
      <c r="V2983" s="2" t="s">
        <v>47</v>
      </c>
      <c r="W2983" s="2" t="s">
        <v>111</v>
      </c>
      <c r="X2983" s="2">
        <v>1473.43</v>
      </c>
    </row>
    <row r="2984" spans="1:24" x14ac:dyDescent="0.3">
      <c r="A2984">
        <v>20841</v>
      </c>
      <c r="B2984" t="s">
        <v>7745</v>
      </c>
      <c r="C2984" s="3">
        <v>40572</v>
      </c>
      <c r="D2984" t="s">
        <v>148</v>
      </c>
      <c r="E2984">
        <v>1</v>
      </c>
      <c r="F2984" s="3">
        <f ca="1">40574+(RANDBETWEEN(1,10))</f>
        <v>40584</v>
      </c>
      <c r="G2984" t="s">
        <v>76</v>
      </c>
      <c r="H2984" t="s">
        <v>258</v>
      </c>
      <c r="I2984" t="s">
        <v>28</v>
      </c>
      <c r="J2984">
        <v>912.31</v>
      </c>
      <c r="K2984">
        <v>0.02</v>
      </c>
      <c r="L2984">
        <v>0.56000000000000005</v>
      </c>
      <c r="M2984">
        <v>210.7</v>
      </c>
      <c r="N2984">
        <v>-954.49620000000004</v>
      </c>
      <c r="O2984" s="1" t="s">
        <v>87</v>
      </c>
      <c r="P2984" s="1" t="s">
        <v>1418</v>
      </c>
      <c r="Q2984" s="1" t="s">
        <v>1419</v>
      </c>
      <c r="R2984" s="1" t="s">
        <v>90</v>
      </c>
      <c r="S2984" s="1" t="s">
        <v>1420</v>
      </c>
      <c r="T2984" s="1" t="s">
        <v>1421</v>
      </c>
      <c r="U2984" s="2" t="s">
        <v>5128</v>
      </c>
      <c r="V2984" s="2" t="s">
        <v>83</v>
      </c>
      <c r="W2984" s="2" t="s">
        <v>298</v>
      </c>
      <c r="X2984" s="2">
        <v>843.43</v>
      </c>
    </row>
    <row r="2985" spans="1:24" x14ac:dyDescent="0.3">
      <c r="A2985">
        <v>20842</v>
      </c>
      <c r="B2985" t="s">
        <v>7750</v>
      </c>
      <c r="C2985" s="3">
        <v>41473</v>
      </c>
      <c r="D2985" t="s">
        <v>148</v>
      </c>
      <c r="E2985">
        <v>13</v>
      </c>
      <c r="F2985" s="3">
        <f ca="1">41473+(RANDBETWEEN(1,10))</f>
        <v>41476</v>
      </c>
      <c r="G2985" t="s">
        <v>76</v>
      </c>
      <c r="H2985" t="s">
        <v>258</v>
      </c>
      <c r="I2985" t="s">
        <v>86</v>
      </c>
      <c r="J2985">
        <v>5567.835</v>
      </c>
      <c r="K2985">
        <v>0.04</v>
      </c>
      <c r="L2985">
        <v>0.71</v>
      </c>
      <c r="M2985">
        <v>210.66499999999999</v>
      </c>
      <c r="N2985">
        <v>-4001.0250000000001</v>
      </c>
      <c r="O2985" s="1" t="s">
        <v>225</v>
      </c>
      <c r="P2985" s="1" t="s">
        <v>7751</v>
      </c>
      <c r="Q2985" s="1" t="s">
        <v>7752</v>
      </c>
      <c r="R2985" s="1" t="s">
        <v>228</v>
      </c>
      <c r="S2985" s="1" t="s">
        <v>7753</v>
      </c>
      <c r="T2985" s="1" t="s">
        <v>7754</v>
      </c>
      <c r="U2985" s="2" t="s">
        <v>7755</v>
      </c>
      <c r="V2985" s="2" t="s">
        <v>83</v>
      </c>
      <c r="W2985" s="2" t="s">
        <v>298</v>
      </c>
      <c r="X2985" s="2">
        <v>423.43</v>
      </c>
    </row>
    <row r="2986" spans="1:24" x14ac:dyDescent="0.3">
      <c r="A2986">
        <v>20843</v>
      </c>
      <c r="B2986" t="s">
        <v>7750</v>
      </c>
      <c r="C2986" s="3">
        <v>41473</v>
      </c>
      <c r="D2986" t="s">
        <v>148</v>
      </c>
      <c r="E2986">
        <v>13</v>
      </c>
      <c r="F2986" s="3">
        <f ca="1">41475+(RANDBETWEEN(1,10))</f>
        <v>41483</v>
      </c>
      <c r="G2986" t="s">
        <v>26</v>
      </c>
      <c r="H2986" t="s">
        <v>27</v>
      </c>
      <c r="I2986" t="s">
        <v>86</v>
      </c>
      <c r="J2986">
        <v>580.44000000000005</v>
      </c>
      <c r="K2986">
        <v>0.03</v>
      </c>
      <c r="L2986">
        <v>0.38</v>
      </c>
      <c r="M2986">
        <v>17.815000000000001</v>
      </c>
      <c r="N2986">
        <v>323.61</v>
      </c>
      <c r="O2986" s="1" t="s">
        <v>225</v>
      </c>
      <c r="P2986" s="1" t="s">
        <v>7751</v>
      </c>
      <c r="Q2986" s="1" t="s">
        <v>7752</v>
      </c>
      <c r="R2986" s="1" t="s">
        <v>228</v>
      </c>
      <c r="S2986" s="1" t="s">
        <v>7753</v>
      </c>
      <c r="T2986" s="1" t="s">
        <v>7754</v>
      </c>
      <c r="U2986" s="2" t="s">
        <v>7756</v>
      </c>
      <c r="V2986" s="2" t="s">
        <v>47</v>
      </c>
      <c r="W2986" s="2" t="s">
        <v>74</v>
      </c>
      <c r="X2986" s="2">
        <v>42.98</v>
      </c>
    </row>
    <row r="2987" spans="1:24" x14ac:dyDescent="0.3">
      <c r="A2987">
        <v>20844</v>
      </c>
      <c r="B2987" t="s">
        <v>7757</v>
      </c>
      <c r="C2987" s="3">
        <v>40572</v>
      </c>
      <c r="D2987" t="s">
        <v>62</v>
      </c>
      <c r="E2987">
        <v>4</v>
      </c>
      <c r="F2987" s="3">
        <f ca="1">40574+(RANDBETWEEN(1,10))</f>
        <v>40580</v>
      </c>
      <c r="G2987" t="s">
        <v>26</v>
      </c>
      <c r="H2987" t="s">
        <v>27</v>
      </c>
      <c r="I2987" t="s">
        <v>52</v>
      </c>
      <c r="J2987">
        <v>1122.625</v>
      </c>
      <c r="K2987">
        <v>0.09</v>
      </c>
      <c r="L2987">
        <v>0.56000000000000005</v>
      </c>
      <c r="M2987">
        <v>17.149999999999999</v>
      </c>
      <c r="N2987">
        <v>120.057</v>
      </c>
      <c r="O2987" s="1" t="s">
        <v>40</v>
      </c>
      <c r="P2987" s="1" t="s">
        <v>6669</v>
      </c>
      <c r="Q2987" s="1" t="s">
        <v>6670</v>
      </c>
      <c r="R2987" s="1" t="s">
        <v>43</v>
      </c>
      <c r="S2987" s="1" t="s">
        <v>6671</v>
      </c>
      <c r="T2987" s="1" t="s">
        <v>6672</v>
      </c>
      <c r="U2987" s="2" t="s">
        <v>35</v>
      </c>
      <c r="V2987" s="2" t="s">
        <v>36</v>
      </c>
      <c r="W2987" s="2" t="s">
        <v>37</v>
      </c>
      <c r="X2987" s="2">
        <v>335.96499999999997</v>
      </c>
    </row>
    <row r="2988" spans="1:24" x14ac:dyDescent="0.3">
      <c r="A2988">
        <v>20845</v>
      </c>
      <c r="B2988" t="s">
        <v>7758</v>
      </c>
      <c r="C2988" s="3">
        <v>41338</v>
      </c>
      <c r="D2988" t="s">
        <v>39</v>
      </c>
      <c r="E2988">
        <v>10</v>
      </c>
      <c r="F2988" s="3">
        <f ca="1">41339+(RANDBETWEEN(1,10))</f>
        <v>41344</v>
      </c>
      <c r="G2988" t="s">
        <v>26</v>
      </c>
      <c r="H2988" t="s">
        <v>96</v>
      </c>
      <c r="I2988" t="s">
        <v>28</v>
      </c>
      <c r="J2988">
        <v>315.315</v>
      </c>
      <c r="K2988">
        <v>7.0000000000000007E-2</v>
      </c>
      <c r="L2988">
        <v>0.38</v>
      </c>
      <c r="M2988">
        <v>15.365</v>
      </c>
      <c r="N2988">
        <v>65.555000000000007</v>
      </c>
      <c r="O2988" s="1" t="s">
        <v>40</v>
      </c>
      <c r="P2988" s="1" t="s">
        <v>1601</v>
      </c>
      <c r="Q2988" s="1" t="s">
        <v>1602</v>
      </c>
      <c r="R2988" s="1" t="s">
        <v>43</v>
      </c>
      <c r="S2988" s="1" t="s">
        <v>1603</v>
      </c>
      <c r="T2988" s="1" t="s">
        <v>1604</v>
      </c>
      <c r="U2988" s="2" t="s">
        <v>1254</v>
      </c>
      <c r="V2988" s="2" t="s">
        <v>47</v>
      </c>
      <c r="W2988" s="2" t="s">
        <v>74</v>
      </c>
      <c r="X2988" s="2">
        <v>32.445</v>
      </c>
    </row>
    <row r="2989" spans="1:24" x14ac:dyDescent="0.3">
      <c r="A2989">
        <v>20846</v>
      </c>
      <c r="B2989" t="s">
        <v>7758</v>
      </c>
      <c r="C2989" s="3">
        <v>41338</v>
      </c>
      <c r="D2989" t="s">
        <v>39</v>
      </c>
      <c r="E2989">
        <v>12</v>
      </c>
      <c r="F2989" s="3">
        <f ca="1">41339+(RANDBETWEEN(1,10))</f>
        <v>41344</v>
      </c>
      <c r="G2989" t="s">
        <v>26</v>
      </c>
      <c r="H2989" t="s">
        <v>96</v>
      </c>
      <c r="I2989" t="s">
        <v>28</v>
      </c>
      <c r="J2989">
        <v>163.97499999999999</v>
      </c>
      <c r="K2989">
        <v>0.01</v>
      </c>
      <c r="L2989">
        <v>0.44</v>
      </c>
      <c r="M2989">
        <v>2.4500000000000002</v>
      </c>
      <c r="N2989">
        <v>113.14275000000001</v>
      </c>
      <c r="O2989" s="1" t="s">
        <v>40</v>
      </c>
      <c r="P2989" s="1" t="s">
        <v>1601</v>
      </c>
      <c r="Q2989" s="1" t="s">
        <v>1602</v>
      </c>
      <c r="R2989" s="1" t="s">
        <v>43</v>
      </c>
      <c r="S2989" s="1" t="s">
        <v>1603</v>
      </c>
      <c r="T2989" s="1" t="s">
        <v>1604</v>
      </c>
      <c r="U2989" s="2" t="s">
        <v>703</v>
      </c>
      <c r="V2989" s="2" t="s">
        <v>47</v>
      </c>
      <c r="W2989" s="2" t="s">
        <v>104</v>
      </c>
      <c r="X2989" s="2">
        <v>13.475</v>
      </c>
    </row>
    <row r="2990" spans="1:24" x14ac:dyDescent="0.3">
      <c r="A2990">
        <v>20847</v>
      </c>
      <c r="B2990" t="s">
        <v>7759</v>
      </c>
      <c r="C2990" s="3">
        <v>40731</v>
      </c>
      <c r="D2990" t="s">
        <v>39</v>
      </c>
      <c r="E2990">
        <v>4</v>
      </c>
      <c r="F2990" s="3">
        <f ca="1">40732+(RANDBETWEEN(1,10))</f>
        <v>40741</v>
      </c>
      <c r="G2990" t="s">
        <v>156</v>
      </c>
      <c r="H2990" t="s">
        <v>96</v>
      </c>
      <c r="I2990" t="s">
        <v>28</v>
      </c>
      <c r="J2990">
        <v>45.534999999999997</v>
      </c>
      <c r="K2990">
        <v>0.01</v>
      </c>
      <c r="L2990">
        <v>0.54</v>
      </c>
      <c r="M2990">
        <v>3.2549999999999999</v>
      </c>
      <c r="N2990">
        <v>15.96</v>
      </c>
      <c r="O2990" s="1" t="s">
        <v>29</v>
      </c>
      <c r="P2990" s="1" t="s">
        <v>7760</v>
      </c>
      <c r="Q2990" s="1" t="s">
        <v>7761</v>
      </c>
      <c r="R2990" s="1" t="s">
        <v>32</v>
      </c>
      <c r="S2990" s="1" t="s">
        <v>2911</v>
      </c>
      <c r="T2990" s="1" t="s">
        <v>2912</v>
      </c>
      <c r="U2990" s="2" t="s">
        <v>1476</v>
      </c>
      <c r="V2990" s="2" t="s">
        <v>47</v>
      </c>
      <c r="W2990" s="2" t="s">
        <v>104</v>
      </c>
      <c r="X2990" s="2">
        <v>9.94</v>
      </c>
    </row>
    <row r="2991" spans="1:24" x14ac:dyDescent="0.3">
      <c r="A2991">
        <v>20848</v>
      </c>
      <c r="B2991" t="s">
        <v>7762</v>
      </c>
      <c r="C2991" s="3">
        <v>41167</v>
      </c>
      <c r="D2991" t="s">
        <v>25</v>
      </c>
      <c r="E2991">
        <v>18</v>
      </c>
      <c r="F2991" s="3">
        <f ca="1">41169+(RANDBETWEEN(1,10))</f>
        <v>41176</v>
      </c>
      <c r="G2991" t="s">
        <v>26</v>
      </c>
      <c r="H2991" t="s">
        <v>96</v>
      </c>
      <c r="I2991" t="s">
        <v>86</v>
      </c>
      <c r="J2991">
        <v>188.405</v>
      </c>
      <c r="K2991">
        <v>0.03</v>
      </c>
      <c r="L2991">
        <v>0.57999999999999996</v>
      </c>
      <c r="M2991">
        <v>3.36</v>
      </c>
      <c r="N2991">
        <v>-206.38800000000001</v>
      </c>
      <c r="O2991" s="1" t="s">
        <v>87</v>
      </c>
      <c r="P2991" s="1" t="s">
        <v>6542</v>
      </c>
      <c r="Q2991" s="1" t="s">
        <v>6543</v>
      </c>
      <c r="R2991" s="1" t="s">
        <v>398</v>
      </c>
      <c r="S2991" s="1" t="s">
        <v>6544</v>
      </c>
      <c r="T2991" s="1" t="s">
        <v>6545</v>
      </c>
      <c r="U2991" s="2" t="s">
        <v>154</v>
      </c>
      <c r="V2991" s="2" t="s">
        <v>47</v>
      </c>
      <c r="W2991" s="2" t="s">
        <v>104</v>
      </c>
      <c r="X2991" s="2">
        <v>10.29</v>
      </c>
    </row>
    <row r="2992" spans="1:24" x14ac:dyDescent="0.3">
      <c r="A2992">
        <v>20849</v>
      </c>
      <c r="B2992" t="s">
        <v>7763</v>
      </c>
      <c r="C2992" s="3">
        <v>40821</v>
      </c>
      <c r="D2992" t="s">
        <v>62</v>
      </c>
      <c r="E2992">
        <v>22</v>
      </c>
      <c r="F2992" s="3">
        <f ca="1">40822+(RANDBETWEEN(1,10))</f>
        <v>40826</v>
      </c>
      <c r="G2992" t="s">
        <v>26</v>
      </c>
      <c r="H2992" t="s">
        <v>27</v>
      </c>
      <c r="I2992" t="s">
        <v>28</v>
      </c>
      <c r="J2992">
        <v>12967.99</v>
      </c>
      <c r="K2992">
        <v>7.0000000000000007E-2</v>
      </c>
      <c r="L2992">
        <v>0.59</v>
      </c>
      <c r="M2992">
        <v>14.7</v>
      </c>
      <c r="N2992">
        <v>7787.7664199999999</v>
      </c>
      <c r="O2992" s="1" t="s">
        <v>53</v>
      </c>
      <c r="P2992" s="1" t="s">
        <v>7764</v>
      </c>
      <c r="Q2992" s="1" t="s">
        <v>7765</v>
      </c>
      <c r="R2992" s="1" t="s">
        <v>440</v>
      </c>
      <c r="S2992" s="1" t="s">
        <v>4117</v>
      </c>
      <c r="T2992" s="1" t="s">
        <v>4118</v>
      </c>
      <c r="U2992" s="2" t="s">
        <v>2133</v>
      </c>
      <c r="V2992" s="2" t="s">
        <v>36</v>
      </c>
      <c r="W2992" s="2" t="s">
        <v>37</v>
      </c>
      <c r="X2992" s="2">
        <v>703.46500000000003</v>
      </c>
    </row>
    <row r="2993" spans="1:24" x14ac:dyDescent="0.3">
      <c r="A2993">
        <v>20850</v>
      </c>
      <c r="B2993" t="s">
        <v>7763</v>
      </c>
      <c r="C2993" s="3">
        <v>40821</v>
      </c>
      <c r="D2993" t="s">
        <v>62</v>
      </c>
      <c r="E2993">
        <v>3</v>
      </c>
      <c r="F2993" s="3">
        <f ca="1">40822+(RANDBETWEEN(1,10))</f>
        <v>40823</v>
      </c>
      <c r="G2993" t="s">
        <v>76</v>
      </c>
      <c r="H2993" t="s">
        <v>77</v>
      </c>
      <c r="I2993" t="s">
        <v>28</v>
      </c>
      <c r="J2993">
        <v>3308.76</v>
      </c>
      <c r="K2993">
        <v>0.01</v>
      </c>
      <c r="L2993">
        <v>0.6</v>
      </c>
      <c r="M2993">
        <v>63.21</v>
      </c>
      <c r="N2993">
        <v>-1183.632912</v>
      </c>
      <c r="O2993" s="1" t="s">
        <v>53</v>
      </c>
      <c r="P2993" s="1" t="s">
        <v>7766</v>
      </c>
      <c r="Q2993" s="1" t="s">
        <v>7767</v>
      </c>
      <c r="R2993" s="1" t="s">
        <v>100</v>
      </c>
      <c r="S2993" s="1" t="s">
        <v>3745</v>
      </c>
      <c r="T2993" s="1" t="s">
        <v>3746</v>
      </c>
      <c r="U2993" s="2" t="s">
        <v>7593</v>
      </c>
      <c r="V2993" s="2" t="s">
        <v>36</v>
      </c>
      <c r="W2993" s="2" t="s">
        <v>142</v>
      </c>
      <c r="X2993" s="2">
        <v>1041.18</v>
      </c>
    </row>
    <row r="2994" spans="1:24" x14ac:dyDescent="0.3">
      <c r="A2994">
        <v>20851</v>
      </c>
      <c r="B2994" t="s">
        <v>7768</v>
      </c>
      <c r="C2994" s="3">
        <v>40643</v>
      </c>
      <c r="D2994" t="s">
        <v>39</v>
      </c>
      <c r="E2994">
        <v>2</v>
      </c>
      <c r="F2994" s="3">
        <f ca="1">40644+(RANDBETWEEN(1,10))</f>
        <v>40648</v>
      </c>
      <c r="G2994" t="s">
        <v>26</v>
      </c>
      <c r="H2994" t="s">
        <v>281</v>
      </c>
      <c r="I2994" t="s">
        <v>97</v>
      </c>
      <c r="J2994">
        <v>124.18</v>
      </c>
      <c r="K2994">
        <v>0.03</v>
      </c>
      <c r="L2994">
        <v>0.38</v>
      </c>
      <c r="M2994">
        <v>39.479999999999997</v>
      </c>
      <c r="N2994">
        <v>-186.5367</v>
      </c>
      <c r="O2994" s="1" t="s">
        <v>29</v>
      </c>
      <c r="P2994" s="1" t="s">
        <v>2477</v>
      </c>
      <c r="Q2994" s="1" t="s">
        <v>2478</v>
      </c>
      <c r="R2994" s="1" t="s">
        <v>32</v>
      </c>
      <c r="S2994" s="1" t="s">
        <v>2479</v>
      </c>
      <c r="T2994" s="1" t="s">
        <v>2480</v>
      </c>
      <c r="U2994" s="2" t="s">
        <v>7769</v>
      </c>
      <c r="V2994" s="2" t="s">
        <v>36</v>
      </c>
      <c r="W2994" s="2" t="s">
        <v>142</v>
      </c>
      <c r="X2994" s="2">
        <v>55.965000000000003</v>
      </c>
    </row>
    <row r="2995" spans="1:24" x14ac:dyDescent="0.3">
      <c r="A2995">
        <v>20852</v>
      </c>
      <c r="B2995" t="s">
        <v>7770</v>
      </c>
      <c r="C2995" s="3">
        <v>41191</v>
      </c>
      <c r="D2995" t="s">
        <v>50</v>
      </c>
      <c r="E2995">
        <v>1</v>
      </c>
      <c r="F2995" s="3">
        <f ca="1">41192+(RANDBETWEEN(1,10))</f>
        <v>41196</v>
      </c>
      <c r="G2995" t="s">
        <v>76</v>
      </c>
      <c r="H2995" t="s">
        <v>77</v>
      </c>
      <c r="I2995" t="s">
        <v>86</v>
      </c>
      <c r="J2995">
        <v>1266.79</v>
      </c>
      <c r="K2995">
        <v>0.05</v>
      </c>
      <c r="L2995">
        <v>0.6</v>
      </c>
      <c r="M2995">
        <v>243.42500000000001</v>
      </c>
      <c r="N2995">
        <v>-618.33240000000001</v>
      </c>
      <c r="O2995" s="1" t="s">
        <v>87</v>
      </c>
      <c r="P2995" s="1" t="s">
        <v>7771</v>
      </c>
      <c r="Q2995" s="1" t="s">
        <v>7772</v>
      </c>
      <c r="R2995" s="1" t="s">
        <v>398</v>
      </c>
      <c r="S2995" s="1" t="s">
        <v>7773</v>
      </c>
      <c r="T2995" s="1" t="s">
        <v>7774</v>
      </c>
      <c r="U2995" s="2" t="s">
        <v>5566</v>
      </c>
      <c r="V2995" s="2" t="s">
        <v>83</v>
      </c>
      <c r="W2995" s="2" t="s">
        <v>84</v>
      </c>
      <c r="X2995" s="2">
        <v>997.43</v>
      </c>
    </row>
    <row r="2996" spans="1:24" x14ac:dyDescent="0.3">
      <c r="A2996">
        <v>20853</v>
      </c>
      <c r="B2996" t="s">
        <v>7770</v>
      </c>
      <c r="C2996" s="3">
        <v>41191</v>
      </c>
      <c r="D2996" t="s">
        <v>50</v>
      </c>
      <c r="E2996">
        <v>14</v>
      </c>
      <c r="F2996" s="3">
        <f ca="1">41193+(RANDBETWEEN(1,10))</f>
        <v>41194</v>
      </c>
      <c r="G2996" t="s">
        <v>26</v>
      </c>
      <c r="H2996" t="s">
        <v>27</v>
      </c>
      <c r="I2996" t="s">
        <v>86</v>
      </c>
      <c r="J2996">
        <v>2016.98</v>
      </c>
      <c r="K2996">
        <v>0.02</v>
      </c>
      <c r="L2996">
        <v>0.36</v>
      </c>
      <c r="M2996">
        <v>20.51</v>
      </c>
      <c r="N2996">
        <v>1391.7162000000001</v>
      </c>
      <c r="O2996" s="1" t="s">
        <v>87</v>
      </c>
      <c r="P2996" s="1" t="s">
        <v>7771</v>
      </c>
      <c r="Q2996" s="1" t="s">
        <v>7772</v>
      </c>
      <c r="R2996" s="1" t="s">
        <v>398</v>
      </c>
      <c r="S2996" s="1" t="s">
        <v>7773</v>
      </c>
      <c r="T2996" s="1" t="s">
        <v>7774</v>
      </c>
      <c r="U2996" s="2" t="s">
        <v>7775</v>
      </c>
      <c r="V2996" s="2" t="s">
        <v>47</v>
      </c>
      <c r="W2996" s="2" t="s">
        <v>74</v>
      </c>
      <c r="X2996" s="2">
        <v>143.465</v>
      </c>
    </row>
    <row r="2997" spans="1:24" x14ac:dyDescent="0.3">
      <c r="A2997">
        <v>20854</v>
      </c>
      <c r="B2997" t="s">
        <v>7770</v>
      </c>
      <c r="C2997" s="3">
        <v>41191</v>
      </c>
      <c r="D2997" t="s">
        <v>50</v>
      </c>
      <c r="E2997">
        <v>18</v>
      </c>
      <c r="F2997" s="3">
        <f ca="1">41193+(RANDBETWEEN(1,10))</f>
        <v>41195</v>
      </c>
      <c r="G2997" t="s">
        <v>26</v>
      </c>
      <c r="H2997" t="s">
        <v>63</v>
      </c>
      <c r="I2997" t="s">
        <v>86</v>
      </c>
      <c r="J2997">
        <v>4559.1350000000002</v>
      </c>
      <c r="K2997">
        <v>0.02</v>
      </c>
      <c r="L2997">
        <v>0.68</v>
      </c>
      <c r="M2997">
        <v>241.5</v>
      </c>
      <c r="N2997">
        <v>-6631.5866400000004</v>
      </c>
      <c r="O2997" s="1" t="s">
        <v>87</v>
      </c>
      <c r="P2997" s="1" t="s">
        <v>7771</v>
      </c>
      <c r="Q2997" s="1" t="s">
        <v>7772</v>
      </c>
      <c r="R2997" s="1" t="s">
        <v>398</v>
      </c>
      <c r="S2997" s="1" t="s">
        <v>7773</v>
      </c>
      <c r="T2997" s="1" t="s">
        <v>7774</v>
      </c>
      <c r="U2997" s="2" t="s">
        <v>1152</v>
      </c>
      <c r="V2997" s="2" t="s">
        <v>83</v>
      </c>
      <c r="W2997" s="2" t="s">
        <v>263</v>
      </c>
      <c r="X2997" s="2">
        <v>249.79499999999999</v>
      </c>
    </row>
    <row r="2998" spans="1:24" x14ac:dyDescent="0.3">
      <c r="A2998">
        <v>20855</v>
      </c>
      <c r="B2998" t="s">
        <v>7776</v>
      </c>
      <c r="C2998" s="3">
        <v>40555</v>
      </c>
      <c r="D2998" t="s">
        <v>50</v>
      </c>
      <c r="E2998">
        <v>10</v>
      </c>
      <c r="F2998" s="3">
        <f ca="1">40556+(RANDBETWEEN(1,10))</f>
        <v>40565</v>
      </c>
      <c r="G2998" t="s">
        <v>26</v>
      </c>
      <c r="H2998" t="s">
        <v>27</v>
      </c>
      <c r="I2998" t="s">
        <v>28</v>
      </c>
      <c r="J2998">
        <v>901.32</v>
      </c>
      <c r="K2998">
        <v>0.09</v>
      </c>
      <c r="L2998">
        <v>0.67</v>
      </c>
      <c r="M2998">
        <v>69.965000000000003</v>
      </c>
      <c r="N2998">
        <v>-786.25400000000002</v>
      </c>
      <c r="O2998" s="1" t="s">
        <v>87</v>
      </c>
      <c r="P2998" s="1" t="s">
        <v>7777</v>
      </c>
      <c r="Q2998" s="1" t="s">
        <v>7778</v>
      </c>
      <c r="R2998" s="1" t="s">
        <v>398</v>
      </c>
      <c r="S2998" s="1" t="s">
        <v>7779</v>
      </c>
      <c r="T2998" s="1" t="s">
        <v>7780</v>
      </c>
      <c r="U2998" s="2" t="s">
        <v>3823</v>
      </c>
      <c r="V2998" s="2" t="s">
        <v>47</v>
      </c>
      <c r="W2998" s="2" t="s">
        <v>119</v>
      </c>
      <c r="X2998" s="2">
        <v>97.125</v>
      </c>
    </row>
    <row r="2999" spans="1:24" x14ac:dyDescent="0.3">
      <c r="A2999">
        <v>20856</v>
      </c>
      <c r="B2999" t="s">
        <v>7781</v>
      </c>
      <c r="C2999" s="3">
        <v>40948</v>
      </c>
      <c r="D2999" t="s">
        <v>62</v>
      </c>
      <c r="E2999">
        <v>4</v>
      </c>
      <c r="F2999" s="3">
        <f ca="1">40950+(RANDBETWEEN(1,10))</f>
        <v>40957</v>
      </c>
      <c r="G2999" t="s">
        <v>26</v>
      </c>
      <c r="H2999" t="s">
        <v>27</v>
      </c>
      <c r="I2999" t="s">
        <v>97</v>
      </c>
      <c r="J2999">
        <v>570.88499999999999</v>
      </c>
      <c r="K2999">
        <v>0.05</v>
      </c>
      <c r="L2999">
        <v>0.37</v>
      </c>
      <c r="M2999">
        <v>36.924999999999997</v>
      </c>
      <c r="N2999">
        <v>393.91064999999998</v>
      </c>
      <c r="O2999" s="1" t="s">
        <v>64</v>
      </c>
      <c r="P2999" s="1" t="s">
        <v>7681</v>
      </c>
      <c r="Q2999" s="1" t="s">
        <v>7682</v>
      </c>
      <c r="R2999" s="1" t="s">
        <v>128</v>
      </c>
      <c r="S2999" s="1" t="s">
        <v>7683</v>
      </c>
      <c r="T2999" s="1" t="s">
        <v>7684</v>
      </c>
      <c r="U2999" s="2" t="s">
        <v>3647</v>
      </c>
      <c r="V2999" s="2" t="s">
        <v>47</v>
      </c>
      <c r="W2999" s="2" t="s">
        <v>111</v>
      </c>
      <c r="X2999" s="2">
        <v>136.71</v>
      </c>
    </row>
    <row r="3000" spans="1:24" x14ac:dyDescent="0.3">
      <c r="A3000">
        <v>20857</v>
      </c>
      <c r="B3000" t="s">
        <v>7782</v>
      </c>
      <c r="C3000" s="3">
        <v>41913</v>
      </c>
      <c r="D3000" t="s">
        <v>148</v>
      </c>
      <c r="E3000">
        <v>8</v>
      </c>
      <c r="F3000" s="3">
        <f ca="1">41916+(RANDBETWEEN(1,10))</f>
        <v>41925</v>
      </c>
      <c r="G3000" t="s">
        <v>26</v>
      </c>
      <c r="H3000" t="s">
        <v>27</v>
      </c>
      <c r="I3000" t="s">
        <v>86</v>
      </c>
      <c r="J3000">
        <v>2509.64</v>
      </c>
      <c r="K3000">
        <v>0.1</v>
      </c>
      <c r="L3000">
        <v>0.56999999999999995</v>
      </c>
      <c r="M3000">
        <v>31.465</v>
      </c>
      <c r="N3000">
        <v>237.22649999999999</v>
      </c>
      <c r="O3000" s="1" t="s">
        <v>53</v>
      </c>
      <c r="P3000" s="1" t="s">
        <v>1119</v>
      </c>
      <c r="Q3000" s="1" t="s">
        <v>1120</v>
      </c>
      <c r="R3000" s="1" t="s">
        <v>440</v>
      </c>
      <c r="S3000" s="1" t="s">
        <v>1121</v>
      </c>
      <c r="T3000" s="1" t="s">
        <v>1122</v>
      </c>
      <c r="U3000" s="2" t="s">
        <v>2356</v>
      </c>
      <c r="V3000" s="2" t="s">
        <v>36</v>
      </c>
      <c r="W3000" s="2" t="s">
        <v>37</v>
      </c>
      <c r="X3000" s="2">
        <v>388.46499999999997</v>
      </c>
    </row>
    <row r="3001" spans="1:24" x14ac:dyDescent="0.3">
      <c r="A3001">
        <v>20858</v>
      </c>
      <c r="B3001" t="s">
        <v>7783</v>
      </c>
      <c r="C3001" s="3">
        <v>40681</v>
      </c>
      <c r="D3001" t="s">
        <v>50</v>
      </c>
      <c r="E3001">
        <v>17</v>
      </c>
      <c r="F3001" s="3">
        <f ca="1">40683+(RANDBETWEEN(1,10))</f>
        <v>40690</v>
      </c>
      <c r="G3001" t="s">
        <v>156</v>
      </c>
      <c r="H3001" t="s">
        <v>27</v>
      </c>
      <c r="I3001" t="s">
        <v>28</v>
      </c>
      <c r="J3001">
        <v>4552.835</v>
      </c>
      <c r="K3001">
        <v>0</v>
      </c>
      <c r="L3001">
        <v>0.67</v>
      </c>
      <c r="M3001">
        <v>42.49</v>
      </c>
      <c r="N3001">
        <v>1141.875</v>
      </c>
      <c r="O3001" s="1" t="s">
        <v>29</v>
      </c>
      <c r="P3001" s="1" t="s">
        <v>5789</v>
      </c>
      <c r="Q3001" s="1" t="s">
        <v>5790</v>
      </c>
      <c r="R3001" s="1" t="s">
        <v>460</v>
      </c>
      <c r="S3001" s="1" t="s">
        <v>5791</v>
      </c>
      <c r="T3001" s="1" t="s">
        <v>5792</v>
      </c>
      <c r="U3001" s="2" t="s">
        <v>1651</v>
      </c>
      <c r="V3001" s="2" t="s">
        <v>36</v>
      </c>
      <c r="W3001" s="2" t="s">
        <v>60</v>
      </c>
      <c r="X3001" s="2">
        <v>258.93</v>
      </c>
    </row>
    <row r="3002" spans="1:24" x14ac:dyDescent="0.3">
      <c r="A3002">
        <v>20859</v>
      </c>
      <c r="B3002" t="s">
        <v>7784</v>
      </c>
      <c r="C3002" s="3">
        <v>41744</v>
      </c>
      <c r="D3002" t="s">
        <v>148</v>
      </c>
      <c r="E3002">
        <v>7</v>
      </c>
      <c r="F3002" s="3">
        <f ca="1">41745+(RANDBETWEEN(1,10))</f>
        <v>41754</v>
      </c>
      <c r="G3002" t="s">
        <v>156</v>
      </c>
      <c r="H3002" t="s">
        <v>96</v>
      </c>
      <c r="I3002" t="s">
        <v>97</v>
      </c>
      <c r="J3002">
        <v>127.645</v>
      </c>
      <c r="K3002">
        <v>0.02</v>
      </c>
      <c r="L3002">
        <v>0.36</v>
      </c>
      <c r="M3002">
        <v>10.535</v>
      </c>
      <c r="N3002">
        <v>16.065000000000001</v>
      </c>
      <c r="O3002" s="1" t="s">
        <v>87</v>
      </c>
      <c r="P3002" s="1" t="s">
        <v>7785</v>
      </c>
      <c r="Q3002" s="1" t="s">
        <v>7786</v>
      </c>
      <c r="R3002" s="1" t="s">
        <v>497</v>
      </c>
      <c r="S3002" s="1" t="s">
        <v>7787</v>
      </c>
      <c r="T3002" s="1" t="s">
        <v>7788</v>
      </c>
      <c r="U3002" s="2" t="s">
        <v>4183</v>
      </c>
      <c r="V3002" s="2" t="s">
        <v>47</v>
      </c>
      <c r="W3002" s="2" t="s">
        <v>74</v>
      </c>
      <c r="X3002" s="2">
        <v>16.66</v>
      </c>
    </row>
    <row r="3003" spans="1:24" x14ac:dyDescent="0.3">
      <c r="A3003">
        <v>2086</v>
      </c>
      <c r="B3003" t="s">
        <v>7789</v>
      </c>
      <c r="C3003" s="3">
        <v>41697</v>
      </c>
      <c r="D3003" t="s">
        <v>25</v>
      </c>
      <c r="E3003">
        <v>16</v>
      </c>
      <c r="F3003" s="3">
        <f ca="1">41699+(RANDBETWEEN(1,10))</f>
        <v>41709</v>
      </c>
      <c r="G3003" t="s">
        <v>156</v>
      </c>
      <c r="H3003" t="s">
        <v>27</v>
      </c>
      <c r="I3003" t="s">
        <v>28</v>
      </c>
      <c r="J3003">
        <v>5900.79</v>
      </c>
      <c r="K3003">
        <v>7.0000000000000007E-2</v>
      </c>
      <c r="L3003">
        <v>0.59</v>
      </c>
      <c r="M3003">
        <v>30.8</v>
      </c>
      <c r="N3003">
        <v>73.584000000000003</v>
      </c>
      <c r="O3003" s="1" t="s">
        <v>64</v>
      </c>
      <c r="P3003" s="1" t="s">
        <v>126</v>
      </c>
      <c r="Q3003" s="1" t="s">
        <v>127</v>
      </c>
      <c r="R3003" s="1" t="s">
        <v>128</v>
      </c>
      <c r="S3003" s="1" t="s">
        <v>129</v>
      </c>
      <c r="T3003" s="1" t="s">
        <v>130</v>
      </c>
      <c r="U3003" s="2" t="s">
        <v>1548</v>
      </c>
      <c r="V3003" s="2" t="s">
        <v>36</v>
      </c>
      <c r="W3003" s="2" t="s">
        <v>37</v>
      </c>
      <c r="X3003" s="2">
        <v>440.96499999999997</v>
      </c>
    </row>
    <row r="3004" spans="1:24" x14ac:dyDescent="0.3">
      <c r="A3004">
        <v>20860</v>
      </c>
      <c r="B3004" t="s">
        <v>7790</v>
      </c>
      <c r="C3004" s="3">
        <v>41778</v>
      </c>
      <c r="D3004" t="s">
        <v>39</v>
      </c>
      <c r="E3004">
        <v>10</v>
      </c>
      <c r="F3004" s="3">
        <f ca="1">41779+(RANDBETWEEN(1,10))</f>
        <v>41782</v>
      </c>
      <c r="G3004" t="s">
        <v>26</v>
      </c>
      <c r="H3004" t="s">
        <v>27</v>
      </c>
      <c r="I3004" t="s">
        <v>52</v>
      </c>
      <c r="J3004">
        <v>147.875</v>
      </c>
      <c r="K3004">
        <v>0.02</v>
      </c>
      <c r="L3004">
        <v>0.39</v>
      </c>
      <c r="M3004">
        <v>1.75</v>
      </c>
      <c r="N3004">
        <v>102.03375</v>
      </c>
      <c r="O3004" s="1" t="s">
        <v>87</v>
      </c>
      <c r="P3004" s="1" t="s">
        <v>7791</v>
      </c>
      <c r="Q3004" s="1" t="s">
        <v>7792</v>
      </c>
      <c r="R3004" s="1" t="s">
        <v>90</v>
      </c>
      <c r="S3004" s="1" t="s">
        <v>3063</v>
      </c>
      <c r="T3004" s="1" t="s">
        <v>3064</v>
      </c>
      <c r="U3004" s="2" t="s">
        <v>1889</v>
      </c>
      <c r="V3004" s="2" t="s">
        <v>47</v>
      </c>
      <c r="W3004" s="2" t="s">
        <v>203</v>
      </c>
      <c r="X3004" s="2">
        <v>14.455</v>
      </c>
    </row>
    <row r="3005" spans="1:24" x14ac:dyDescent="0.3">
      <c r="A3005">
        <v>20861</v>
      </c>
      <c r="B3005" t="s">
        <v>7790</v>
      </c>
      <c r="C3005" s="3">
        <v>41778</v>
      </c>
      <c r="D3005" t="s">
        <v>39</v>
      </c>
      <c r="E3005">
        <v>15</v>
      </c>
      <c r="F3005" s="3">
        <f ca="1">41778+(RANDBETWEEN(1,10))</f>
        <v>41780</v>
      </c>
      <c r="G3005" t="s">
        <v>76</v>
      </c>
      <c r="H3005" t="s">
        <v>77</v>
      </c>
      <c r="I3005" t="s">
        <v>52</v>
      </c>
      <c r="J3005">
        <v>1205.26</v>
      </c>
      <c r="K3005">
        <v>0.02</v>
      </c>
      <c r="L3005">
        <v>0.61</v>
      </c>
      <c r="M3005">
        <v>157.5</v>
      </c>
      <c r="N3005">
        <v>-5731.32</v>
      </c>
      <c r="O3005" s="1" t="s">
        <v>225</v>
      </c>
      <c r="P3005" s="1" t="s">
        <v>3948</v>
      </c>
      <c r="Q3005" s="1" t="s">
        <v>3949</v>
      </c>
      <c r="R3005" s="1" t="s">
        <v>228</v>
      </c>
      <c r="S3005" s="1" t="s">
        <v>3950</v>
      </c>
      <c r="T3005" s="1" t="s">
        <v>3951</v>
      </c>
      <c r="U3005" s="2" t="s">
        <v>2625</v>
      </c>
      <c r="V3005" s="2" t="s">
        <v>47</v>
      </c>
      <c r="W3005" s="2" t="s">
        <v>119</v>
      </c>
      <c r="X3005" s="2">
        <v>73.430000000000007</v>
      </c>
    </row>
    <row r="3006" spans="1:24" x14ac:dyDescent="0.3">
      <c r="A3006">
        <v>20862</v>
      </c>
      <c r="B3006" t="s">
        <v>7793</v>
      </c>
      <c r="C3006" s="3">
        <v>41363</v>
      </c>
      <c r="D3006" t="s">
        <v>148</v>
      </c>
      <c r="E3006">
        <v>11</v>
      </c>
      <c r="F3006" s="3">
        <f ca="1">41365+(RANDBETWEEN(1,10))</f>
        <v>41372</v>
      </c>
      <c r="G3006" t="s">
        <v>26</v>
      </c>
      <c r="H3006" t="s">
        <v>27</v>
      </c>
      <c r="I3006" t="s">
        <v>28</v>
      </c>
      <c r="J3006">
        <v>1130.675</v>
      </c>
      <c r="K3006">
        <v>0.04</v>
      </c>
      <c r="L3006">
        <v>0.55000000000000004</v>
      </c>
      <c r="M3006">
        <v>3.85</v>
      </c>
      <c r="N3006">
        <v>780.16575</v>
      </c>
      <c r="O3006" s="1" t="s">
        <v>225</v>
      </c>
      <c r="P3006" s="1" t="s">
        <v>3072</v>
      </c>
      <c r="Q3006" s="1" t="s">
        <v>3073</v>
      </c>
      <c r="R3006" s="1" t="s">
        <v>228</v>
      </c>
      <c r="S3006" s="1" t="s">
        <v>1794</v>
      </c>
      <c r="T3006" s="1" t="s">
        <v>548</v>
      </c>
      <c r="U3006" s="2" t="s">
        <v>1451</v>
      </c>
      <c r="V3006" s="2" t="s">
        <v>36</v>
      </c>
      <c r="W3006" s="2" t="s">
        <v>37</v>
      </c>
      <c r="X3006" s="2">
        <v>125.965</v>
      </c>
    </row>
    <row r="3007" spans="1:24" x14ac:dyDescent="0.3">
      <c r="A3007">
        <v>20863</v>
      </c>
      <c r="B3007" t="s">
        <v>7794</v>
      </c>
      <c r="C3007" s="3">
        <v>41251</v>
      </c>
      <c r="D3007" t="s">
        <v>39</v>
      </c>
      <c r="E3007">
        <v>17</v>
      </c>
      <c r="F3007" s="3">
        <f ca="1">41252+(RANDBETWEEN(1,10))</f>
        <v>41254</v>
      </c>
      <c r="G3007" t="s">
        <v>76</v>
      </c>
      <c r="H3007" t="s">
        <v>77</v>
      </c>
      <c r="I3007" t="s">
        <v>28</v>
      </c>
      <c r="J3007">
        <v>28491.4</v>
      </c>
      <c r="K3007">
        <v>0</v>
      </c>
      <c r="L3007">
        <v>0.37</v>
      </c>
      <c r="M3007">
        <v>242.55</v>
      </c>
      <c r="N3007">
        <v>19659.065999999999</v>
      </c>
      <c r="O3007" s="1" t="s">
        <v>87</v>
      </c>
      <c r="P3007" s="1" t="s">
        <v>2471</v>
      </c>
      <c r="Q3007" s="1" t="s">
        <v>2472</v>
      </c>
      <c r="R3007" s="1" t="s">
        <v>646</v>
      </c>
      <c r="S3007" s="1" t="s">
        <v>2473</v>
      </c>
      <c r="T3007" s="1" t="s">
        <v>2474</v>
      </c>
      <c r="U3007" s="2" t="s">
        <v>5361</v>
      </c>
      <c r="V3007" s="2" t="s">
        <v>36</v>
      </c>
      <c r="W3007" s="2" t="s">
        <v>142</v>
      </c>
      <c r="X3007" s="2">
        <v>1753.395</v>
      </c>
    </row>
    <row r="3008" spans="1:24" x14ac:dyDescent="0.3">
      <c r="A3008">
        <v>20864</v>
      </c>
      <c r="B3008" t="s">
        <v>7795</v>
      </c>
      <c r="C3008" s="3">
        <v>41965</v>
      </c>
      <c r="D3008" t="s">
        <v>25</v>
      </c>
      <c r="E3008">
        <v>20</v>
      </c>
      <c r="F3008" s="3">
        <f ca="1">41969+(RANDBETWEEN(1,10))</f>
        <v>41970</v>
      </c>
      <c r="G3008" t="s">
        <v>26</v>
      </c>
      <c r="H3008" t="s">
        <v>27</v>
      </c>
      <c r="I3008" t="s">
        <v>28</v>
      </c>
      <c r="J3008">
        <v>139.89500000000001</v>
      </c>
      <c r="K3008">
        <v>0.04</v>
      </c>
      <c r="L3008">
        <v>0.37</v>
      </c>
      <c r="M3008">
        <v>5.2149999999999999</v>
      </c>
      <c r="N3008">
        <v>14.698012</v>
      </c>
      <c r="O3008" s="1" t="s">
        <v>29</v>
      </c>
      <c r="P3008" s="1" t="s">
        <v>2858</v>
      </c>
      <c r="Q3008" s="1" t="s">
        <v>2859</v>
      </c>
      <c r="R3008" s="1" t="s">
        <v>460</v>
      </c>
      <c r="S3008" s="1" t="s">
        <v>2860</v>
      </c>
      <c r="T3008" s="1" t="s">
        <v>2861</v>
      </c>
      <c r="U3008" s="2" t="s">
        <v>4275</v>
      </c>
      <c r="V3008" s="2" t="s">
        <v>47</v>
      </c>
      <c r="W3008" s="2" t="s">
        <v>111</v>
      </c>
      <c r="X3008" s="2">
        <v>6.58</v>
      </c>
    </row>
    <row r="3009" spans="1:24" x14ac:dyDescent="0.3">
      <c r="A3009">
        <v>20865</v>
      </c>
      <c r="B3009" t="s">
        <v>7796</v>
      </c>
      <c r="C3009" s="3">
        <v>41135</v>
      </c>
      <c r="D3009" t="s">
        <v>148</v>
      </c>
      <c r="E3009">
        <v>14</v>
      </c>
      <c r="F3009" s="3">
        <f ca="1">41135+(RANDBETWEEN(1,10))</f>
        <v>41138</v>
      </c>
      <c r="G3009" t="s">
        <v>26</v>
      </c>
      <c r="H3009" t="s">
        <v>27</v>
      </c>
      <c r="I3009" t="s">
        <v>86</v>
      </c>
      <c r="J3009">
        <v>7620.41</v>
      </c>
      <c r="K3009">
        <v>0.06</v>
      </c>
      <c r="L3009">
        <v>0.66</v>
      </c>
      <c r="M3009">
        <v>69.965000000000003</v>
      </c>
      <c r="N3009">
        <v>3117.7384000000002</v>
      </c>
      <c r="O3009" s="1" t="s">
        <v>53</v>
      </c>
      <c r="P3009" s="1" t="s">
        <v>7797</v>
      </c>
      <c r="Q3009" s="1" t="s">
        <v>7798</v>
      </c>
      <c r="R3009" s="1" t="s">
        <v>56</v>
      </c>
      <c r="S3009" s="1" t="s">
        <v>7799</v>
      </c>
      <c r="T3009" s="1" t="s">
        <v>7800</v>
      </c>
      <c r="U3009" s="2" t="s">
        <v>6421</v>
      </c>
      <c r="V3009" s="2" t="s">
        <v>47</v>
      </c>
      <c r="W3009" s="2" t="s">
        <v>119</v>
      </c>
      <c r="X3009" s="2">
        <v>565.42499999999995</v>
      </c>
    </row>
    <row r="3010" spans="1:24" x14ac:dyDescent="0.3">
      <c r="A3010">
        <v>20866</v>
      </c>
      <c r="B3010" t="s">
        <v>7801</v>
      </c>
      <c r="C3010" s="3">
        <v>40949</v>
      </c>
      <c r="D3010" t="s">
        <v>25</v>
      </c>
      <c r="E3010">
        <v>1</v>
      </c>
      <c r="F3010" s="3">
        <f ca="1">40949+(RANDBETWEEN(1,10))</f>
        <v>40957</v>
      </c>
      <c r="G3010" t="s">
        <v>26</v>
      </c>
      <c r="H3010" t="s">
        <v>96</v>
      </c>
      <c r="I3010" t="s">
        <v>97</v>
      </c>
      <c r="J3010">
        <v>19.704999999999998</v>
      </c>
      <c r="K3010">
        <v>0.03</v>
      </c>
      <c r="L3010">
        <v>0.8</v>
      </c>
      <c r="M3010">
        <v>2.4500000000000002</v>
      </c>
      <c r="N3010">
        <v>2158.0230000000001</v>
      </c>
      <c r="O3010" s="1" t="s">
        <v>29</v>
      </c>
      <c r="P3010" s="1" t="s">
        <v>5625</v>
      </c>
      <c r="Q3010" s="1" t="s">
        <v>5626</v>
      </c>
      <c r="R3010" s="1" t="s">
        <v>32</v>
      </c>
      <c r="S3010" s="1" t="s">
        <v>5627</v>
      </c>
      <c r="T3010" s="1" t="s">
        <v>5628</v>
      </c>
      <c r="U3010" s="2" t="s">
        <v>1308</v>
      </c>
      <c r="V3010" s="2" t="s">
        <v>47</v>
      </c>
      <c r="W3010" s="2" t="s">
        <v>176</v>
      </c>
      <c r="X3010" s="2">
        <v>16.484999999999999</v>
      </c>
    </row>
    <row r="3011" spans="1:24" x14ac:dyDescent="0.3">
      <c r="A3011">
        <v>20867</v>
      </c>
      <c r="B3011" t="s">
        <v>7801</v>
      </c>
      <c r="C3011" s="3">
        <v>40949</v>
      </c>
      <c r="D3011" t="s">
        <v>25</v>
      </c>
      <c r="E3011">
        <v>1</v>
      </c>
      <c r="F3011" s="3">
        <f ca="1">40954+(RANDBETWEEN(1,10))</f>
        <v>40957</v>
      </c>
      <c r="G3011" t="s">
        <v>26</v>
      </c>
      <c r="H3011" t="s">
        <v>27</v>
      </c>
      <c r="I3011" t="s">
        <v>97</v>
      </c>
      <c r="J3011">
        <v>11.55</v>
      </c>
      <c r="K3011">
        <v>0.06</v>
      </c>
      <c r="L3011">
        <v>0.37</v>
      </c>
      <c r="M3011">
        <v>3.4649999999999999</v>
      </c>
      <c r="N3011">
        <v>160.482</v>
      </c>
      <c r="O3011" s="1" t="s">
        <v>40</v>
      </c>
      <c r="P3011" s="1" t="s">
        <v>7802</v>
      </c>
      <c r="Q3011" s="1" t="s">
        <v>7803</v>
      </c>
      <c r="R3011" s="1" t="s">
        <v>220</v>
      </c>
      <c r="S3011" s="1" t="s">
        <v>7804</v>
      </c>
      <c r="T3011" s="1" t="s">
        <v>7805</v>
      </c>
      <c r="U3011" s="2" t="s">
        <v>796</v>
      </c>
      <c r="V3011" s="2" t="s">
        <v>47</v>
      </c>
      <c r="W3011" s="2" t="s">
        <v>203</v>
      </c>
      <c r="X3011" s="2">
        <v>10.78</v>
      </c>
    </row>
    <row r="3012" spans="1:24" x14ac:dyDescent="0.3">
      <c r="A3012">
        <v>20868</v>
      </c>
      <c r="B3012" t="s">
        <v>7801</v>
      </c>
      <c r="C3012" s="3">
        <v>40949</v>
      </c>
      <c r="D3012" t="s">
        <v>25</v>
      </c>
      <c r="E3012">
        <v>10</v>
      </c>
      <c r="F3012" s="3">
        <f ca="1">40954+(RANDBETWEEN(1,10))</f>
        <v>40961</v>
      </c>
      <c r="G3012" t="s">
        <v>26</v>
      </c>
      <c r="H3012" t="s">
        <v>27</v>
      </c>
      <c r="I3012" t="s">
        <v>97</v>
      </c>
      <c r="J3012">
        <v>14419.3</v>
      </c>
      <c r="K3012">
        <v>0.09</v>
      </c>
      <c r="L3012">
        <v>0.57999999999999996</v>
      </c>
      <c r="M3012">
        <v>69.965000000000003</v>
      </c>
      <c r="N3012">
        <v>4231.1220000000003</v>
      </c>
      <c r="O3012" s="1" t="s">
        <v>40</v>
      </c>
      <c r="P3012" s="1" t="s">
        <v>7802</v>
      </c>
      <c r="Q3012" s="1" t="s">
        <v>7803</v>
      </c>
      <c r="R3012" s="1" t="s">
        <v>220</v>
      </c>
      <c r="S3012" s="1" t="s">
        <v>7804</v>
      </c>
      <c r="T3012" s="1" t="s">
        <v>7805</v>
      </c>
      <c r="U3012" s="2" t="s">
        <v>3569</v>
      </c>
      <c r="V3012" s="2" t="s">
        <v>47</v>
      </c>
      <c r="W3012" s="2" t="s">
        <v>119</v>
      </c>
      <c r="X3012" s="2">
        <v>1467.165</v>
      </c>
    </row>
    <row r="3013" spans="1:24" x14ac:dyDescent="0.3">
      <c r="A3013">
        <v>20869</v>
      </c>
      <c r="B3013" t="s">
        <v>7806</v>
      </c>
      <c r="C3013" s="3">
        <v>40736</v>
      </c>
      <c r="D3013" t="s">
        <v>39</v>
      </c>
      <c r="E3013">
        <v>12</v>
      </c>
      <c r="F3013" s="3">
        <f ca="1">40738+(RANDBETWEEN(1,10))</f>
        <v>40743</v>
      </c>
      <c r="G3013" t="s">
        <v>156</v>
      </c>
      <c r="H3013" t="s">
        <v>63</v>
      </c>
      <c r="I3013" t="s">
        <v>97</v>
      </c>
      <c r="J3013">
        <v>5719.4549999999999</v>
      </c>
      <c r="K3013">
        <v>0.04</v>
      </c>
      <c r="L3013">
        <v>0.59</v>
      </c>
      <c r="M3013">
        <v>85.715000000000003</v>
      </c>
      <c r="N3013">
        <v>3946.4239499999999</v>
      </c>
      <c r="O3013" s="1" t="s">
        <v>29</v>
      </c>
      <c r="P3013" s="1" t="s">
        <v>4232</v>
      </c>
      <c r="Q3013" s="1" t="s">
        <v>4233</v>
      </c>
      <c r="R3013" s="1" t="s">
        <v>460</v>
      </c>
      <c r="S3013" s="1" t="s">
        <v>4234</v>
      </c>
      <c r="T3013" s="1" t="s">
        <v>4235</v>
      </c>
      <c r="U3013" s="2" t="s">
        <v>1632</v>
      </c>
      <c r="V3013" s="2" t="s">
        <v>83</v>
      </c>
      <c r="W3013" s="2" t="s">
        <v>178</v>
      </c>
      <c r="X3013" s="2">
        <v>479.43</v>
      </c>
    </row>
    <row r="3014" spans="1:24" x14ac:dyDescent="0.3">
      <c r="A3014">
        <v>20870</v>
      </c>
      <c r="B3014" t="s">
        <v>7807</v>
      </c>
      <c r="C3014" s="3">
        <v>40766</v>
      </c>
      <c r="D3014" t="s">
        <v>39</v>
      </c>
      <c r="E3014">
        <v>2</v>
      </c>
      <c r="F3014" s="3">
        <f ca="1">40766+(RANDBETWEEN(1,10))</f>
        <v>40772</v>
      </c>
      <c r="G3014" t="s">
        <v>26</v>
      </c>
      <c r="H3014" t="s">
        <v>27</v>
      </c>
      <c r="I3014" t="s">
        <v>52</v>
      </c>
      <c r="J3014">
        <v>29.05</v>
      </c>
      <c r="K3014">
        <v>0.1</v>
      </c>
      <c r="L3014">
        <v>0.39</v>
      </c>
      <c r="M3014">
        <v>3.4649999999999999</v>
      </c>
      <c r="N3014">
        <v>-3.7492000000000001</v>
      </c>
      <c r="O3014" s="1" t="s">
        <v>40</v>
      </c>
      <c r="P3014" s="1" t="s">
        <v>7808</v>
      </c>
      <c r="Q3014" s="1" t="s">
        <v>7809</v>
      </c>
      <c r="R3014" s="1" t="s">
        <v>43</v>
      </c>
      <c r="S3014" s="1" t="s">
        <v>7810</v>
      </c>
      <c r="T3014" s="1" t="s">
        <v>7811</v>
      </c>
      <c r="U3014" s="2" t="s">
        <v>2720</v>
      </c>
      <c r="V3014" s="2" t="s">
        <v>47</v>
      </c>
      <c r="W3014" s="2" t="s">
        <v>203</v>
      </c>
      <c r="X3014" s="2">
        <v>14.455</v>
      </c>
    </row>
    <row r="3015" spans="1:24" x14ac:dyDescent="0.3">
      <c r="A3015">
        <v>20871</v>
      </c>
      <c r="B3015" t="s">
        <v>7807</v>
      </c>
      <c r="C3015" s="3">
        <v>40766</v>
      </c>
      <c r="D3015" t="s">
        <v>39</v>
      </c>
      <c r="E3015">
        <v>2</v>
      </c>
      <c r="F3015" s="3">
        <f ca="1">40768+(RANDBETWEEN(1,10))</f>
        <v>40769</v>
      </c>
      <c r="G3015" t="s">
        <v>26</v>
      </c>
      <c r="H3015" t="s">
        <v>27</v>
      </c>
      <c r="I3015" t="s">
        <v>52</v>
      </c>
      <c r="J3015">
        <v>35.14</v>
      </c>
      <c r="K3015">
        <v>0.04</v>
      </c>
      <c r="L3015">
        <v>0.39</v>
      </c>
      <c r="M3015">
        <v>1.7150000000000001</v>
      </c>
      <c r="N3015">
        <v>15.436400000000001</v>
      </c>
      <c r="O3015" s="1" t="s">
        <v>40</v>
      </c>
      <c r="P3015" s="1" t="s">
        <v>7808</v>
      </c>
      <c r="Q3015" s="1" t="s">
        <v>7809</v>
      </c>
      <c r="R3015" s="1" t="s">
        <v>43</v>
      </c>
      <c r="S3015" s="1" t="s">
        <v>7810</v>
      </c>
      <c r="T3015" s="1" t="s">
        <v>7811</v>
      </c>
      <c r="U3015" s="2" t="s">
        <v>892</v>
      </c>
      <c r="V3015" s="2" t="s">
        <v>47</v>
      </c>
      <c r="W3015" s="2" t="s">
        <v>203</v>
      </c>
      <c r="X3015" s="2">
        <v>17.43</v>
      </c>
    </row>
    <row r="3016" spans="1:24" x14ac:dyDescent="0.3">
      <c r="A3016">
        <v>20872</v>
      </c>
      <c r="B3016" t="s">
        <v>7812</v>
      </c>
      <c r="C3016" s="3">
        <v>40876</v>
      </c>
      <c r="D3016" t="s">
        <v>39</v>
      </c>
      <c r="E3016">
        <v>26</v>
      </c>
      <c r="F3016" s="3">
        <f ca="1">40877+(RANDBETWEEN(1,10))</f>
        <v>40881</v>
      </c>
      <c r="G3016" t="s">
        <v>26</v>
      </c>
      <c r="H3016" t="s">
        <v>51</v>
      </c>
      <c r="I3016" t="s">
        <v>86</v>
      </c>
      <c r="J3016">
        <v>530.42499999999995</v>
      </c>
      <c r="K3016">
        <v>0.1</v>
      </c>
      <c r="L3016">
        <v>0.68</v>
      </c>
      <c r="M3016">
        <v>13.475</v>
      </c>
      <c r="N3016">
        <v>66.227000000000004</v>
      </c>
      <c r="O3016" s="1" t="s">
        <v>87</v>
      </c>
      <c r="P3016" s="1" t="s">
        <v>7002</v>
      </c>
      <c r="Q3016" s="1" t="s">
        <v>7003</v>
      </c>
      <c r="R3016" s="1" t="s">
        <v>398</v>
      </c>
      <c r="S3016" s="1" t="s">
        <v>7004</v>
      </c>
      <c r="T3016" s="1" t="s">
        <v>7005</v>
      </c>
      <c r="U3016" s="2" t="s">
        <v>3286</v>
      </c>
      <c r="V3016" s="2" t="s">
        <v>36</v>
      </c>
      <c r="W3016" s="2" t="s">
        <v>60</v>
      </c>
      <c r="X3016" s="2">
        <v>20.93</v>
      </c>
    </row>
    <row r="3017" spans="1:24" x14ac:dyDescent="0.3">
      <c r="A3017">
        <v>20873</v>
      </c>
      <c r="B3017" t="s">
        <v>7812</v>
      </c>
      <c r="C3017" s="3">
        <v>40876</v>
      </c>
      <c r="D3017" t="s">
        <v>39</v>
      </c>
      <c r="E3017">
        <v>22</v>
      </c>
      <c r="F3017" s="3">
        <f ca="1">40878+(RANDBETWEEN(1,10))</f>
        <v>40885</v>
      </c>
      <c r="G3017" t="s">
        <v>26</v>
      </c>
      <c r="H3017" t="s">
        <v>27</v>
      </c>
      <c r="I3017" t="s">
        <v>86</v>
      </c>
      <c r="J3017">
        <v>199.60499999999999</v>
      </c>
      <c r="K3017">
        <v>7.0000000000000007E-2</v>
      </c>
      <c r="L3017">
        <v>0.39</v>
      </c>
      <c r="M3017">
        <v>1.75</v>
      </c>
      <c r="N3017">
        <v>137.72745</v>
      </c>
      <c r="O3017" s="1" t="s">
        <v>87</v>
      </c>
      <c r="P3017" s="1" t="s">
        <v>7002</v>
      </c>
      <c r="Q3017" s="1" t="s">
        <v>7003</v>
      </c>
      <c r="R3017" s="1" t="s">
        <v>398</v>
      </c>
      <c r="S3017" s="1" t="s">
        <v>7004</v>
      </c>
      <c r="T3017" s="1" t="s">
        <v>7005</v>
      </c>
      <c r="U3017" s="2" t="s">
        <v>1726</v>
      </c>
      <c r="V3017" s="2" t="s">
        <v>47</v>
      </c>
      <c r="W3017" s="2" t="s">
        <v>203</v>
      </c>
      <c r="X3017" s="2">
        <v>9.1349999999999998</v>
      </c>
    </row>
    <row r="3018" spans="1:24" x14ac:dyDescent="0.3">
      <c r="A3018">
        <v>20874</v>
      </c>
      <c r="B3018" t="s">
        <v>7813</v>
      </c>
      <c r="C3018" s="3">
        <v>40562</v>
      </c>
      <c r="D3018" t="s">
        <v>62</v>
      </c>
      <c r="E3018">
        <v>1</v>
      </c>
      <c r="F3018" s="3">
        <f ca="1">40564+(RANDBETWEEN(1,10))</f>
        <v>40570</v>
      </c>
      <c r="G3018" t="s">
        <v>26</v>
      </c>
      <c r="H3018" t="s">
        <v>27</v>
      </c>
      <c r="I3018" t="s">
        <v>52</v>
      </c>
      <c r="J3018">
        <v>69.055000000000007</v>
      </c>
      <c r="K3018">
        <v>0.1</v>
      </c>
      <c r="L3018">
        <v>0.37</v>
      </c>
      <c r="M3018">
        <v>31.605</v>
      </c>
      <c r="N3018">
        <v>-84.716800000000006</v>
      </c>
      <c r="O3018" s="1" t="s">
        <v>29</v>
      </c>
      <c r="P3018" s="1" t="s">
        <v>7814</v>
      </c>
      <c r="Q3018" s="1" t="s">
        <v>7815</v>
      </c>
      <c r="R3018" s="1" t="s">
        <v>675</v>
      </c>
      <c r="S3018" s="1" t="s">
        <v>7816</v>
      </c>
      <c r="T3018" s="1" t="s">
        <v>7817</v>
      </c>
      <c r="U3018" s="2" t="s">
        <v>482</v>
      </c>
      <c r="V3018" s="2" t="s">
        <v>47</v>
      </c>
      <c r="W3018" s="2" t="s">
        <v>74</v>
      </c>
      <c r="X3018" s="2">
        <v>66.394999999999996</v>
      </c>
    </row>
    <row r="3019" spans="1:24" x14ac:dyDescent="0.3">
      <c r="A3019">
        <v>20875</v>
      </c>
      <c r="B3019" t="s">
        <v>7813</v>
      </c>
      <c r="C3019" s="3">
        <v>40562</v>
      </c>
      <c r="D3019" t="s">
        <v>62</v>
      </c>
      <c r="E3019">
        <v>5</v>
      </c>
      <c r="F3019" s="3">
        <f ca="1">40563+(RANDBETWEEN(1,10))</f>
        <v>40568</v>
      </c>
      <c r="G3019" t="s">
        <v>76</v>
      </c>
      <c r="H3019" t="s">
        <v>258</v>
      </c>
      <c r="I3019" t="s">
        <v>52</v>
      </c>
      <c r="J3019">
        <v>2154.39</v>
      </c>
      <c r="K3019">
        <v>0</v>
      </c>
      <c r="L3019">
        <v>0.39</v>
      </c>
      <c r="M3019">
        <v>196.49</v>
      </c>
      <c r="N3019">
        <v>-441.20222999999999</v>
      </c>
      <c r="O3019" s="1" t="s">
        <v>53</v>
      </c>
      <c r="P3019" s="1" t="s">
        <v>7818</v>
      </c>
      <c r="Q3019" s="1" t="s">
        <v>7819</v>
      </c>
      <c r="R3019" s="1" t="s">
        <v>100</v>
      </c>
      <c r="S3019" s="1" t="s">
        <v>3040</v>
      </c>
      <c r="T3019" s="1" t="s">
        <v>3041</v>
      </c>
      <c r="U3019" s="2" t="s">
        <v>5088</v>
      </c>
      <c r="V3019" s="2" t="s">
        <v>36</v>
      </c>
      <c r="W3019" s="2" t="s">
        <v>142</v>
      </c>
      <c r="X3019" s="2">
        <v>419.96499999999997</v>
      </c>
    </row>
    <row r="3020" spans="1:24" x14ac:dyDescent="0.3">
      <c r="A3020">
        <v>20876</v>
      </c>
      <c r="B3020" t="s">
        <v>7820</v>
      </c>
      <c r="C3020" s="3">
        <v>41633</v>
      </c>
      <c r="D3020" t="s">
        <v>148</v>
      </c>
      <c r="E3020">
        <v>5</v>
      </c>
      <c r="F3020" s="3">
        <f ca="1">41634+(RANDBETWEEN(1,10))</f>
        <v>41635</v>
      </c>
      <c r="G3020" t="s">
        <v>76</v>
      </c>
      <c r="H3020" t="s">
        <v>258</v>
      </c>
      <c r="I3020" t="s">
        <v>97</v>
      </c>
      <c r="J3020">
        <v>2469.145</v>
      </c>
      <c r="K3020">
        <v>0.08</v>
      </c>
      <c r="L3020">
        <v>0.77</v>
      </c>
      <c r="M3020">
        <v>126.315</v>
      </c>
      <c r="N3020">
        <v>-555.59</v>
      </c>
      <c r="O3020" s="1" t="s">
        <v>87</v>
      </c>
      <c r="P3020" s="1" t="s">
        <v>7821</v>
      </c>
      <c r="Q3020" s="1" t="s">
        <v>7822</v>
      </c>
      <c r="R3020" s="1" t="s">
        <v>398</v>
      </c>
      <c r="S3020" s="1" t="s">
        <v>4471</v>
      </c>
      <c r="T3020" s="1" t="s">
        <v>4472</v>
      </c>
      <c r="U3020" s="2" t="s">
        <v>3136</v>
      </c>
      <c r="V3020" s="2" t="s">
        <v>83</v>
      </c>
      <c r="W3020" s="2" t="s">
        <v>298</v>
      </c>
      <c r="X3020" s="2">
        <v>493.43</v>
      </c>
    </row>
    <row r="3021" spans="1:24" x14ac:dyDescent="0.3">
      <c r="A3021">
        <v>20877</v>
      </c>
      <c r="B3021" t="s">
        <v>7820</v>
      </c>
      <c r="C3021" s="3">
        <v>41633</v>
      </c>
      <c r="D3021" t="s">
        <v>148</v>
      </c>
      <c r="E3021">
        <v>8</v>
      </c>
      <c r="F3021" s="3">
        <f ca="1">41635+(RANDBETWEEN(1,10))</f>
        <v>41644</v>
      </c>
      <c r="G3021" t="s">
        <v>76</v>
      </c>
      <c r="H3021" t="s">
        <v>258</v>
      </c>
      <c r="I3021" t="s">
        <v>97</v>
      </c>
      <c r="J3021">
        <v>6279.9449999999997</v>
      </c>
      <c r="K3021">
        <v>0.1</v>
      </c>
      <c r="L3021">
        <v>0.78</v>
      </c>
      <c r="M3021">
        <v>216.16</v>
      </c>
      <c r="N3021">
        <v>-1213.15319125</v>
      </c>
      <c r="O3021" s="1" t="s">
        <v>29</v>
      </c>
      <c r="P3021" s="1" t="s">
        <v>7823</v>
      </c>
      <c r="Q3021" s="1" t="s">
        <v>7824</v>
      </c>
      <c r="R3021" s="1" t="s">
        <v>460</v>
      </c>
      <c r="S3021" s="1" t="s">
        <v>4203</v>
      </c>
      <c r="T3021" s="1" t="s">
        <v>4204</v>
      </c>
      <c r="U3021" s="2" t="s">
        <v>3683</v>
      </c>
      <c r="V3021" s="2" t="s">
        <v>83</v>
      </c>
      <c r="W3021" s="2" t="s">
        <v>263</v>
      </c>
      <c r="X3021" s="2">
        <v>1003.975</v>
      </c>
    </row>
    <row r="3022" spans="1:24" x14ac:dyDescent="0.3">
      <c r="A3022">
        <v>20878</v>
      </c>
      <c r="B3022" t="s">
        <v>7825</v>
      </c>
      <c r="C3022" s="3">
        <v>41212</v>
      </c>
      <c r="D3022" t="s">
        <v>25</v>
      </c>
      <c r="E3022">
        <v>19</v>
      </c>
      <c r="F3022" s="3">
        <f ca="1">41219+(RANDBETWEEN(1,10))</f>
        <v>41227</v>
      </c>
      <c r="G3022" t="s">
        <v>26</v>
      </c>
      <c r="H3022" t="s">
        <v>51</v>
      </c>
      <c r="I3022" t="s">
        <v>28</v>
      </c>
      <c r="J3022">
        <v>2646.105</v>
      </c>
      <c r="K3022">
        <v>0.1</v>
      </c>
      <c r="L3022">
        <v>0.57999999999999996</v>
      </c>
      <c r="M3022">
        <v>31.465</v>
      </c>
      <c r="N3022">
        <v>449.60860000000002</v>
      </c>
      <c r="O3022" s="1" t="s">
        <v>40</v>
      </c>
      <c r="P3022" s="1" t="s">
        <v>1294</v>
      </c>
      <c r="Q3022" s="1" t="s">
        <v>1295</v>
      </c>
      <c r="R3022" s="1" t="s">
        <v>43</v>
      </c>
      <c r="S3022" s="1" t="s">
        <v>1296</v>
      </c>
      <c r="T3022" s="1" t="s">
        <v>1297</v>
      </c>
      <c r="U3022" s="2" t="s">
        <v>565</v>
      </c>
      <c r="V3022" s="2" t="s">
        <v>47</v>
      </c>
      <c r="W3022" s="2" t="s">
        <v>104</v>
      </c>
      <c r="X3022" s="2">
        <v>153.93</v>
      </c>
    </row>
    <row r="3023" spans="1:24" x14ac:dyDescent="0.3">
      <c r="A3023">
        <v>20879</v>
      </c>
      <c r="B3023" t="s">
        <v>7826</v>
      </c>
      <c r="C3023" s="3">
        <v>41623</v>
      </c>
      <c r="D3023" t="s">
        <v>39</v>
      </c>
      <c r="E3023">
        <v>20</v>
      </c>
      <c r="F3023" s="3">
        <f ca="1">41624+(RANDBETWEEN(1,10))</f>
        <v>41628</v>
      </c>
      <c r="G3023" t="s">
        <v>156</v>
      </c>
      <c r="H3023" t="s">
        <v>27</v>
      </c>
      <c r="I3023" t="s">
        <v>52</v>
      </c>
      <c r="J3023">
        <v>414.995</v>
      </c>
      <c r="K3023">
        <v>0</v>
      </c>
      <c r="L3023">
        <v>0.4</v>
      </c>
      <c r="M3023">
        <v>28.56</v>
      </c>
      <c r="N3023">
        <v>-314.93</v>
      </c>
      <c r="O3023" s="1" t="s">
        <v>87</v>
      </c>
      <c r="P3023" s="1" t="s">
        <v>3981</v>
      </c>
      <c r="Q3023" s="1" t="s">
        <v>3982</v>
      </c>
      <c r="R3023" s="1" t="s">
        <v>90</v>
      </c>
      <c r="S3023" s="1" t="s">
        <v>1492</v>
      </c>
      <c r="T3023" s="1" t="s">
        <v>1493</v>
      </c>
      <c r="U3023" s="2" t="s">
        <v>7827</v>
      </c>
      <c r="V3023" s="2" t="s">
        <v>47</v>
      </c>
      <c r="W3023" s="2" t="s">
        <v>74</v>
      </c>
      <c r="X3023" s="2">
        <v>18.48</v>
      </c>
    </row>
    <row r="3024" spans="1:24" x14ac:dyDescent="0.3">
      <c r="A3024">
        <v>20880</v>
      </c>
      <c r="B3024" t="s">
        <v>7828</v>
      </c>
      <c r="C3024" s="3">
        <v>40607</v>
      </c>
      <c r="D3024" t="s">
        <v>50</v>
      </c>
      <c r="E3024">
        <v>11</v>
      </c>
      <c r="F3024" s="3">
        <f ca="1">40608+(RANDBETWEEN(1,10))</f>
        <v>40614</v>
      </c>
      <c r="G3024" t="s">
        <v>26</v>
      </c>
      <c r="H3024" t="s">
        <v>27</v>
      </c>
      <c r="I3024" t="s">
        <v>97</v>
      </c>
      <c r="J3024">
        <v>419.96499999999997</v>
      </c>
      <c r="K3024">
        <v>0.08</v>
      </c>
      <c r="L3024">
        <v>0.38</v>
      </c>
      <c r="M3024">
        <v>10.465</v>
      </c>
      <c r="N3024">
        <v>-7.35</v>
      </c>
      <c r="O3024" s="1" t="s">
        <v>225</v>
      </c>
      <c r="P3024" s="1" t="s">
        <v>7829</v>
      </c>
      <c r="Q3024" s="1" t="s">
        <v>7830</v>
      </c>
      <c r="R3024" s="1" t="s">
        <v>228</v>
      </c>
      <c r="S3024" s="1" t="s">
        <v>7831</v>
      </c>
      <c r="T3024" s="1" t="s">
        <v>7832</v>
      </c>
      <c r="U3024" s="2" t="s">
        <v>1610</v>
      </c>
      <c r="V3024" s="2" t="s">
        <v>47</v>
      </c>
      <c r="W3024" s="2" t="s">
        <v>111</v>
      </c>
      <c r="X3024" s="2">
        <v>38.185000000000002</v>
      </c>
    </row>
    <row r="3025" spans="1:24" x14ac:dyDescent="0.3">
      <c r="A3025">
        <v>20881</v>
      </c>
      <c r="B3025" t="s">
        <v>7833</v>
      </c>
      <c r="C3025" s="3">
        <v>41604</v>
      </c>
      <c r="D3025" t="s">
        <v>25</v>
      </c>
      <c r="E3025">
        <v>11</v>
      </c>
      <c r="F3025" s="3">
        <f ca="1">41611+(RANDBETWEEN(1,10))</f>
        <v>41620</v>
      </c>
      <c r="G3025" t="s">
        <v>76</v>
      </c>
      <c r="H3025" t="s">
        <v>77</v>
      </c>
      <c r="I3025" t="s">
        <v>86</v>
      </c>
      <c r="J3025">
        <v>13012.264999999999</v>
      </c>
      <c r="K3025">
        <v>0.08</v>
      </c>
      <c r="L3025">
        <v>0.56000000000000005</v>
      </c>
      <c r="M3025">
        <v>51.45</v>
      </c>
      <c r="N3025">
        <v>1657.8869999999999</v>
      </c>
      <c r="O3025" s="1" t="s">
        <v>87</v>
      </c>
      <c r="P3025" s="1" t="s">
        <v>7771</v>
      </c>
      <c r="Q3025" s="1" t="s">
        <v>7772</v>
      </c>
      <c r="R3025" s="1" t="s">
        <v>398</v>
      </c>
      <c r="S3025" s="1" t="s">
        <v>7773</v>
      </c>
      <c r="T3025" s="1" t="s">
        <v>7774</v>
      </c>
      <c r="U3025" s="2" t="s">
        <v>3549</v>
      </c>
      <c r="V3025" s="2" t="s">
        <v>36</v>
      </c>
      <c r="W3025" s="2" t="s">
        <v>142</v>
      </c>
      <c r="X3025" s="2">
        <v>1547.49</v>
      </c>
    </row>
    <row r="3026" spans="1:24" x14ac:dyDescent="0.3">
      <c r="A3026">
        <v>20882</v>
      </c>
      <c r="B3026" t="s">
        <v>7834</v>
      </c>
      <c r="C3026" s="3">
        <v>41284</v>
      </c>
      <c r="D3026" t="s">
        <v>39</v>
      </c>
      <c r="E3026">
        <v>3</v>
      </c>
      <c r="F3026" s="3">
        <f ca="1">41287+(RANDBETWEEN(1,10))</f>
        <v>41289</v>
      </c>
      <c r="G3026" t="s">
        <v>26</v>
      </c>
      <c r="H3026" t="s">
        <v>27</v>
      </c>
      <c r="I3026" t="s">
        <v>97</v>
      </c>
      <c r="J3026">
        <v>61.25</v>
      </c>
      <c r="K3026">
        <v>0.06</v>
      </c>
      <c r="L3026">
        <v>0.39</v>
      </c>
      <c r="M3026">
        <v>24.43</v>
      </c>
      <c r="N3026">
        <v>-253.14352</v>
      </c>
      <c r="O3026" s="1" t="s">
        <v>225</v>
      </c>
      <c r="P3026" s="1" t="s">
        <v>4894</v>
      </c>
      <c r="Q3026" s="1" t="s">
        <v>4895</v>
      </c>
      <c r="R3026" s="1" t="s">
        <v>391</v>
      </c>
      <c r="S3026" s="1" t="s">
        <v>4896</v>
      </c>
      <c r="T3026" s="1" t="s">
        <v>4897</v>
      </c>
      <c r="U3026" s="2" t="s">
        <v>4859</v>
      </c>
      <c r="V3026" s="2" t="s">
        <v>47</v>
      </c>
      <c r="W3026" s="2" t="s">
        <v>111</v>
      </c>
      <c r="X3026" s="2">
        <v>19.355</v>
      </c>
    </row>
    <row r="3027" spans="1:24" x14ac:dyDescent="0.3">
      <c r="A3027">
        <v>20883</v>
      </c>
      <c r="B3027" t="s">
        <v>7834</v>
      </c>
      <c r="C3027" s="3">
        <v>41284</v>
      </c>
      <c r="D3027" t="s">
        <v>39</v>
      </c>
      <c r="E3027">
        <v>10</v>
      </c>
      <c r="F3027" s="3">
        <f ca="1">41286+(RANDBETWEEN(1,10))</f>
        <v>41295</v>
      </c>
      <c r="G3027" t="s">
        <v>26</v>
      </c>
      <c r="H3027" t="s">
        <v>27</v>
      </c>
      <c r="I3027" t="s">
        <v>97</v>
      </c>
      <c r="J3027">
        <v>418.35500000000002</v>
      </c>
      <c r="K3027">
        <v>0.08</v>
      </c>
      <c r="L3027">
        <v>0.43</v>
      </c>
      <c r="M3027">
        <v>18.059999999999999</v>
      </c>
      <c r="N3027">
        <v>195.6962</v>
      </c>
      <c r="O3027" s="1" t="s">
        <v>225</v>
      </c>
      <c r="P3027" s="1" t="s">
        <v>4894</v>
      </c>
      <c r="Q3027" s="1" t="s">
        <v>4895</v>
      </c>
      <c r="R3027" s="1" t="s">
        <v>391</v>
      </c>
      <c r="S3027" s="1" t="s">
        <v>4896</v>
      </c>
      <c r="T3027" s="1" t="s">
        <v>4897</v>
      </c>
      <c r="U3027" s="2" t="s">
        <v>2445</v>
      </c>
      <c r="V3027" s="2" t="s">
        <v>83</v>
      </c>
      <c r="W3027" s="2" t="s">
        <v>178</v>
      </c>
      <c r="X3027" s="2">
        <v>44.03</v>
      </c>
    </row>
    <row r="3028" spans="1:24" x14ac:dyDescent="0.3">
      <c r="A3028">
        <v>20884</v>
      </c>
      <c r="B3028" t="s">
        <v>7834</v>
      </c>
      <c r="C3028" s="3">
        <v>41284</v>
      </c>
      <c r="D3028" t="s">
        <v>39</v>
      </c>
      <c r="E3028">
        <v>1</v>
      </c>
      <c r="F3028" s="3">
        <f ca="1">41285+(RANDBETWEEN(1,10))</f>
        <v>41286</v>
      </c>
      <c r="G3028" t="s">
        <v>26</v>
      </c>
      <c r="H3028" t="s">
        <v>27</v>
      </c>
      <c r="I3028" t="s">
        <v>97</v>
      </c>
      <c r="J3028">
        <v>20.65</v>
      </c>
      <c r="K3028">
        <v>0.06</v>
      </c>
      <c r="L3028">
        <v>0.4</v>
      </c>
      <c r="M3028">
        <v>16.765000000000001</v>
      </c>
      <c r="N3028">
        <v>-45.005800000000001</v>
      </c>
      <c r="O3028" s="1" t="s">
        <v>225</v>
      </c>
      <c r="P3028" s="1" t="s">
        <v>4894</v>
      </c>
      <c r="Q3028" s="1" t="s">
        <v>4895</v>
      </c>
      <c r="R3028" s="1" t="s">
        <v>391</v>
      </c>
      <c r="S3028" s="1" t="s">
        <v>4896</v>
      </c>
      <c r="T3028" s="1" t="s">
        <v>4897</v>
      </c>
      <c r="U3028" s="2" t="s">
        <v>4602</v>
      </c>
      <c r="V3028" s="2" t="s">
        <v>47</v>
      </c>
      <c r="W3028" s="2" t="s">
        <v>74</v>
      </c>
      <c r="X3028" s="2">
        <v>14.98</v>
      </c>
    </row>
    <row r="3029" spans="1:24" x14ac:dyDescent="0.3">
      <c r="A3029">
        <v>20885</v>
      </c>
      <c r="B3029" t="s">
        <v>7834</v>
      </c>
      <c r="C3029" s="3">
        <v>41284</v>
      </c>
      <c r="D3029" t="s">
        <v>39</v>
      </c>
      <c r="E3029">
        <v>3</v>
      </c>
      <c r="F3029" s="3">
        <f ca="1">41285+(RANDBETWEEN(1,10))</f>
        <v>41291</v>
      </c>
      <c r="G3029" t="s">
        <v>26</v>
      </c>
      <c r="H3029" t="s">
        <v>96</v>
      </c>
      <c r="I3029" t="s">
        <v>97</v>
      </c>
      <c r="J3029">
        <v>39.9</v>
      </c>
      <c r="K3029">
        <v>0.1</v>
      </c>
      <c r="L3029">
        <v>0.44</v>
      </c>
      <c r="M3029">
        <v>2.4500000000000002</v>
      </c>
      <c r="N3029">
        <v>24.418800000000001</v>
      </c>
      <c r="O3029" s="1" t="s">
        <v>225</v>
      </c>
      <c r="P3029" s="1" t="s">
        <v>4894</v>
      </c>
      <c r="Q3029" s="1" t="s">
        <v>4895</v>
      </c>
      <c r="R3029" s="1" t="s">
        <v>391</v>
      </c>
      <c r="S3029" s="1" t="s">
        <v>4896</v>
      </c>
      <c r="T3029" s="1" t="s">
        <v>4897</v>
      </c>
      <c r="U3029" s="2" t="s">
        <v>703</v>
      </c>
      <c r="V3029" s="2" t="s">
        <v>47</v>
      </c>
      <c r="W3029" s="2" t="s">
        <v>104</v>
      </c>
      <c r="X3029" s="2">
        <v>13.475</v>
      </c>
    </row>
    <row r="3030" spans="1:24" x14ac:dyDescent="0.3">
      <c r="A3030">
        <v>20886</v>
      </c>
      <c r="B3030" t="s">
        <v>7835</v>
      </c>
      <c r="C3030" s="3">
        <v>41841</v>
      </c>
      <c r="D3030" t="s">
        <v>50</v>
      </c>
      <c r="E3030">
        <v>6</v>
      </c>
      <c r="F3030" s="3">
        <f ca="1">41842+(RANDBETWEEN(1,10))</f>
        <v>41843</v>
      </c>
      <c r="G3030" t="s">
        <v>26</v>
      </c>
      <c r="H3030" t="s">
        <v>51</v>
      </c>
      <c r="I3030" t="s">
        <v>52</v>
      </c>
      <c r="J3030">
        <v>612.88499999999999</v>
      </c>
      <c r="K3030">
        <v>0.1</v>
      </c>
      <c r="L3030">
        <v>0.39</v>
      </c>
      <c r="M3030">
        <v>11.55</v>
      </c>
      <c r="N3030">
        <v>315.37094400000001</v>
      </c>
      <c r="O3030" s="1" t="s">
        <v>225</v>
      </c>
      <c r="P3030" s="1" t="s">
        <v>513</v>
      </c>
      <c r="Q3030" s="1" t="s">
        <v>514</v>
      </c>
      <c r="R3030" s="1" t="s">
        <v>391</v>
      </c>
      <c r="S3030" s="1" t="s">
        <v>515</v>
      </c>
      <c r="T3030" s="1" t="s">
        <v>516</v>
      </c>
      <c r="U3030" s="2" t="s">
        <v>5976</v>
      </c>
      <c r="V3030" s="2" t="s">
        <v>36</v>
      </c>
      <c r="W3030" s="2" t="s">
        <v>37</v>
      </c>
      <c r="X3030" s="2">
        <v>125.965</v>
      </c>
    </row>
    <row r="3031" spans="1:24" x14ac:dyDescent="0.3">
      <c r="A3031">
        <v>20887</v>
      </c>
      <c r="B3031" t="s">
        <v>7835</v>
      </c>
      <c r="C3031" s="3">
        <v>41841</v>
      </c>
      <c r="D3031" t="s">
        <v>50</v>
      </c>
      <c r="E3031">
        <v>14</v>
      </c>
      <c r="F3031" s="3">
        <f ca="1">41843+(RANDBETWEEN(1,10))</f>
        <v>41847</v>
      </c>
      <c r="G3031" t="s">
        <v>76</v>
      </c>
      <c r="H3031" t="s">
        <v>77</v>
      </c>
      <c r="I3031" t="s">
        <v>52</v>
      </c>
      <c r="J3031">
        <v>7730.1</v>
      </c>
      <c r="K3031">
        <v>0.08</v>
      </c>
      <c r="L3031">
        <v>0.62</v>
      </c>
      <c r="M3031">
        <v>105</v>
      </c>
      <c r="N3031">
        <v>2924.7724800000001</v>
      </c>
      <c r="O3031" s="1" t="s">
        <v>87</v>
      </c>
      <c r="P3031" s="1" t="s">
        <v>7836</v>
      </c>
      <c r="Q3031" s="1" t="s">
        <v>7837</v>
      </c>
      <c r="R3031" s="1" t="s">
        <v>646</v>
      </c>
      <c r="S3031" s="1" t="s">
        <v>7838</v>
      </c>
      <c r="T3031" s="1" t="s">
        <v>7839</v>
      </c>
      <c r="U3031" s="2" t="s">
        <v>2089</v>
      </c>
      <c r="V3031" s="2" t="s">
        <v>83</v>
      </c>
      <c r="W3031" s="2" t="s">
        <v>84</v>
      </c>
      <c r="X3031" s="2">
        <v>563.42999999999995</v>
      </c>
    </row>
    <row r="3032" spans="1:24" x14ac:dyDescent="0.3">
      <c r="A3032">
        <v>20888</v>
      </c>
      <c r="B3032" t="s">
        <v>7840</v>
      </c>
      <c r="C3032" s="3">
        <v>41120</v>
      </c>
      <c r="D3032" t="s">
        <v>50</v>
      </c>
      <c r="E3032">
        <v>14</v>
      </c>
      <c r="F3032" s="3">
        <f ca="1">41120+(RANDBETWEEN(1,10))</f>
        <v>41124</v>
      </c>
      <c r="G3032" t="s">
        <v>26</v>
      </c>
      <c r="H3032" t="s">
        <v>27</v>
      </c>
      <c r="I3032" t="s">
        <v>97</v>
      </c>
      <c r="J3032">
        <v>92.47</v>
      </c>
      <c r="K3032">
        <v>0.06</v>
      </c>
      <c r="L3032">
        <v>0.37</v>
      </c>
      <c r="M3032">
        <v>5.2149999999999999</v>
      </c>
      <c r="N3032">
        <v>-215.404</v>
      </c>
      <c r="O3032" s="1" t="s">
        <v>64</v>
      </c>
      <c r="P3032" s="1" t="s">
        <v>7841</v>
      </c>
      <c r="Q3032" s="1" t="s">
        <v>7842</v>
      </c>
      <c r="R3032" s="1" t="s">
        <v>128</v>
      </c>
      <c r="S3032" s="1" t="s">
        <v>4272</v>
      </c>
      <c r="T3032" s="1" t="s">
        <v>4273</v>
      </c>
      <c r="U3032" s="2" t="s">
        <v>4275</v>
      </c>
      <c r="V3032" s="2" t="s">
        <v>47</v>
      </c>
      <c r="W3032" s="2" t="s">
        <v>111</v>
      </c>
      <c r="X3032" s="2">
        <v>6.58</v>
      </c>
    </row>
    <row r="3033" spans="1:24" x14ac:dyDescent="0.3">
      <c r="A3033">
        <v>20889</v>
      </c>
      <c r="B3033" t="s">
        <v>7840</v>
      </c>
      <c r="C3033" s="3">
        <v>41120</v>
      </c>
      <c r="D3033" t="s">
        <v>50</v>
      </c>
      <c r="E3033">
        <v>12</v>
      </c>
      <c r="F3033" s="3">
        <f ca="1">41122+(RANDBETWEEN(1,10))</f>
        <v>41127</v>
      </c>
      <c r="G3033" t="s">
        <v>26</v>
      </c>
      <c r="H3033" t="s">
        <v>96</v>
      </c>
      <c r="I3033" t="s">
        <v>97</v>
      </c>
      <c r="J3033">
        <v>114.03</v>
      </c>
      <c r="K3033">
        <v>0.08</v>
      </c>
      <c r="L3033">
        <v>0.54</v>
      </c>
      <c r="M3033">
        <v>3.2549999999999999</v>
      </c>
      <c r="N3033">
        <v>-248.28299999999999</v>
      </c>
      <c r="O3033" s="1" t="s">
        <v>64</v>
      </c>
      <c r="P3033" s="1" t="s">
        <v>7841</v>
      </c>
      <c r="Q3033" s="1" t="s">
        <v>7842</v>
      </c>
      <c r="R3033" s="1" t="s">
        <v>128</v>
      </c>
      <c r="S3033" s="1" t="s">
        <v>4272</v>
      </c>
      <c r="T3033" s="1" t="s">
        <v>4273</v>
      </c>
      <c r="U3033" s="2" t="s">
        <v>1476</v>
      </c>
      <c r="V3033" s="2" t="s">
        <v>47</v>
      </c>
      <c r="W3033" s="2" t="s">
        <v>104</v>
      </c>
      <c r="X3033" s="2">
        <v>9.94</v>
      </c>
    </row>
    <row r="3034" spans="1:24" x14ac:dyDescent="0.3">
      <c r="A3034">
        <v>20890</v>
      </c>
      <c r="B3034" t="s">
        <v>7843</v>
      </c>
      <c r="C3034" s="3">
        <v>41739</v>
      </c>
      <c r="D3034" t="s">
        <v>50</v>
      </c>
      <c r="E3034">
        <v>1</v>
      </c>
      <c r="F3034" s="3">
        <f ca="1">41740+(RANDBETWEEN(1,10))</f>
        <v>41748</v>
      </c>
      <c r="G3034" t="s">
        <v>26</v>
      </c>
      <c r="H3034" t="s">
        <v>96</v>
      </c>
      <c r="I3034" t="s">
        <v>52</v>
      </c>
      <c r="J3034">
        <v>14.105</v>
      </c>
      <c r="K3034">
        <v>0.05</v>
      </c>
      <c r="L3034">
        <v>0.56000000000000005</v>
      </c>
      <c r="M3034">
        <v>13.895</v>
      </c>
      <c r="N3034">
        <v>-53.97</v>
      </c>
      <c r="O3034" s="1" t="s">
        <v>29</v>
      </c>
      <c r="P3034" s="1" t="s">
        <v>2858</v>
      </c>
      <c r="Q3034" s="1" t="s">
        <v>2859</v>
      </c>
      <c r="R3034" s="1" t="s">
        <v>460</v>
      </c>
      <c r="S3034" s="1" t="s">
        <v>2860</v>
      </c>
      <c r="T3034" s="1" t="s">
        <v>2861</v>
      </c>
      <c r="U3034" s="2" t="s">
        <v>5622</v>
      </c>
      <c r="V3034" s="2" t="s">
        <v>47</v>
      </c>
      <c r="W3034" s="2" t="s">
        <v>104</v>
      </c>
      <c r="X3034" s="2">
        <v>11.48</v>
      </c>
    </row>
    <row r="3035" spans="1:24" x14ac:dyDescent="0.3">
      <c r="A3035">
        <v>20891</v>
      </c>
      <c r="B3035" t="s">
        <v>7844</v>
      </c>
      <c r="C3035" s="3">
        <v>40643</v>
      </c>
      <c r="D3035" t="s">
        <v>50</v>
      </c>
      <c r="E3035">
        <v>5</v>
      </c>
      <c r="F3035" s="3">
        <f ca="1">40644+(RANDBETWEEN(1,10))</f>
        <v>40652</v>
      </c>
      <c r="G3035" t="s">
        <v>26</v>
      </c>
      <c r="H3035" t="s">
        <v>51</v>
      </c>
      <c r="I3035" t="s">
        <v>52</v>
      </c>
      <c r="J3035">
        <v>196.66499999999999</v>
      </c>
      <c r="K3035">
        <v>0.03</v>
      </c>
      <c r="L3035">
        <v>0.56999999999999995</v>
      </c>
      <c r="M3035">
        <v>11.795</v>
      </c>
      <c r="N3035">
        <v>41.37</v>
      </c>
      <c r="O3035" s="1" t="s">
        <v>29</v>
      </c>
      <c r="P3035" s="1" t="s">
        <v>2858</v>
      </c>
      <c r="Q3035" s="1" t="s">
        <v>2859</v>
      </c>
      <c r="R3035" s="1" t="s">
        <v>460</v>
      </c>
      <c r="S3035" s="1" t="s">
        <v>2860</v>
      </c>
      <c r="T3035" s="1" t="s">
        <v>2861</v>
      </c>
      <c r="U3035" s="2" t="s">
        <v>5857</v>
      </c>
      <c r="V3035" s="2" t="s">
        <v>47</v>
      </c>
      <c r="W3035" s="2" t="s">
        <v>94</v>
      </c>
      <c r="X3035" s="2">
        <v>38.43</v>
      </c>
    </row>
    <row r="3036" spans="1:24" x14ac:dyDescent="0.3">
      <c r="A3036">
        <v>20892</v>
      </c>
      <c r="B3036" t="s">
        <v>7845</v>
      </c>
      <c r="C3036" s="3">
        <v>41614</v>
      </c>
      <c r="D3036" t="s">
        <v>39</v>
      </c>
      <c r="E3036">
        <v>10</v>
      </c>
      <c r="F3036" s="3">
        <f ca="1">41616+(RANDBETWEEN(1,10))</f>
        <v>41620</v>
      </c>
      <c r="G3036" t="s">
        <v>26</v>
      </c>
      <c r="H3036" t="s">
        <v>51</v>
      </c>
      <c r="I3036" t="s">
        <v>28</v>
      </c>
      <c r="J3036">
        <v>463.19</v>
      </c>
      <c r="K3036">
        <v>0.06</v>
      </c>
      <c r="L3036">
        <v>0.37</v>
      </c>
      <c r="M3036">
        <v>17.324999999999999</v>
      </c>
      <c r="N3036">
        <v>319.60109999999997</v>
      </c>
      <c r="O3036" s="1" t="s">
        <v>40</v>
      </c>
      <c r="P3036" s="1" t="s">
        <v>7532</v>
      </c>
      <c r="Q3036" s="1" t="s">
        <v>7533</v>
      </c>
      <c r="R3036" s="1" t="s">
        <v>43</v>
      </c>
      <c r="S3036" s="1" t="s">
        <v>7534</v>
      </c>
      <c r="T3036" s="1" t="s">
        <v>7535</v>
      </c>
      <c r="U3036" s="2" t="s">
        <v>7119</v>
      </c>
      <c r="V3036" s="2" t="s">
        <v>83</v>
      </c>
      <c r="W3036" s="2" t="s">
        <v>178</v>
      </c>
      <c r="X3036" s="2">
        <v>46.9</v>
      </c>
    </row>
    <row r="3037" spans="1:24" x14ac:dyDescent="0.3">
      <c r="A3037">
        <v>20893</v>
      </c>
      <c r="B3037" t="s">
        <v>7846</v>
      </c>
      <c r="C3037" s="3">
        <v>41191</v>
      </c>
      <c r="D3037" t="s">
        <v>25</v>
      </c>
      <c r="E3037">
        <v>4</v>
      </c>
      <c r="F3037" s="3">
        <f ca="1">41198+(RANDBETWEEN(1,10))</f>
        <v>41206</v>
      </c>
      <c r="G3037" t="s">
        <v>26</v>
      </c>
      <c r="H3037" t="s">
        <v>27</v>
      </c>
      <c r="I3037" t="s">
        <v>97</v>
      </c>
      <c r="J3037">
        <v>2503.1999999999998</v>
      </c>
      <c r="K3037">
        <v>0.03</v>
      </c>
      <c r="L3037">
        <v>0.55000000000000004</v>
      </c>
      <c r="M3037">
        <v>69.965000000000003</v>
      </c>
      <c r="N3037">
        <v>608.29020000000003</v>
      </c>
      <c r="O3037" s="1" t="s">
        <v>53</v>
      </c>
      <c r="P3037" s="1" t="s">
        <v>7284</v>
      </c>
      <c r="Q3037" s="1" t="s">
        <v>7285</v>
      </c>
      <c r="R3037" s="1" t="s">
        <v>440</v>
      </c>
      <c r="S3037" s="1" t="s">
        <v>7286</v>
      </c>
      <c r="T3037" s="1" t="s">
        <v>2516</v>
      </c>
      <c r="U3037" s="2" t="s">
        <v>721</v>
      </c>
      <c r="V3037" s="2" t="s">
        <v>47</v>
      </c>
      <c r="W3037" s="2" t="s">
        <v>119</v>
      </c>
      <c r="X3037" s="2">
        <v>624.64499999999998</v>
      </c>
    </row>
    <row r="3038" spans="1:24" x14ac:dyDescent="0.3">
      <c r="A3038">
        <v>20894</v>
      </c>
      <c r="B3038" t="s">
        <v>7847</v>
      </c>
      <c r="C3038" s="3">
        <v>41577</v>
      </c>
      <c r="D3038" t="s">
        <v>148</v>
      </c>
      <c r="E3038">
        <v>16</v>
      </c>
      <c r="F3038" s="3">
        <f ca="1">41579+(RANDBETWEEN(1,10))</f>
        <v>41587</v>
      </c>
      <c r="G3038" t="s">
        <v>26</v>
      </c>
      <c r="H3038" t="s">
        <v>27</v>
      </c>
      <c r="I3038" t="s">
        <v>52</v>
      </c>
      <c r="J3038">
        <v>2980.88</v>
      </c>
      <c r="K3038">
        <v>0.09</v>
      </c>
      <c r="L3038">
        <v>0.56000000000000005</v>
      </c>
      <c r="M3038">
        <v>19.704999999999998</v>
      </c>
      <c r="N3038">
        <v>960.22331999999994</v>
      </c>
      <c r="O3038" s="1" t="s">
        <v>40</v>
      </c>
      <c r="P3038" s="1" t="s">
        <v>5594</v>
      </c>
      <c r="Q3038" s="1" t="s">
        <v>5595</v>
      </c>
      <c r="R3038" s="1" t="s">
        <v>43</v>
      </c>
      <c r="S3038" s="1" t="s">
        <v>5596</v>
      </c>
      <c r="T3038" s="1" t="s">
        <v>5597</v>
      </c>
      <c r="U3038" s="2">
        <v>2190</v>
      </c>
      <c r="V3038" s="2" t="s">
        <v>36</v>
      </c>
      <c r="W3038" s="2" t="s">
        <v>37</v>
      </c>
      <c r="X3038" s="2">
        <v>230.965</v>
      </c>
    </row>
    <row r="3039" spans="1:24" x14ac:dyDescent="0.3">
      <c r="A3039">
        <v>20895</v>
      </c>
      <c r="B3039" t="s">
        <v>7848</v>
      </c>
      <c r="C3039" s="3">
        <v>41011</v>
      </c>
      <c r="D3039" t="s">
        <v>25</v>
      </c>
      <c r="E3039">
        <v>2</v>
      </c>
      <c r="F3039" s="3">
        <f ca="1">41020+(RANDBETWEEN(1,10))</f>
        <v>41030</v>
      </c>
      <c r="G3039" t="s">
        <v>26</v>
      </c>
      <c r="H3039" t="s">
        <v>27</v>
      </c>
      <c r="I3039" t="s">
        <v>97</v>
      </c>
      <c r="J3039">
        <v>385.07</v>
      </c>
      <c r="K3039">
        <v>0.04</v>
      </c>
      <c r="L3039">
        <v>0.36</v>
      </c>
      <c r="M3039">
        <v>37.625</v>
      </c>
      <c r="N3039">
        <v>265.69830000000002</v>
      </c>
      <c r="O3039" s="1" t="s">
        <v>40</v>
      </c>
      <c r="P3039" s="1" t="s">
        <v>775</v>
      </c>
      <c r="Q3039" s="1" t="s">
        <v>776</v>
      </c>
      <c r="R3039" s="1" t="s">
        <v>220</v>
      </c>
      <c r="S3039" s="1" t="s">
        <v>777</v>
      </c>
      <c r="T3039" s="1" t="s">
        <v>778</v>
      </c>
      <c r="U3039" s="2" t="s">
        <v>5401</v>
      </c>
      <c r="V3039" s="2" t="s">
        <v>47</v>
      </c>
      <c r="W3039" s="2" t="s">
        <v>74</v>
      </c>
      <c r="X3039" s="2">
        <v>192.36</v>
      </c>
    </row>
    <row r="3040" spans="1:24" x14ac:dyDescent="0.3">
      <c r="A3040">
        <v>20896</v>
      </c>
      <c r="B3040" t="s">
        <v>7849</v>
      </c>
      <c r="C3040" s="3">
        <v>41237</v>
      </c>
      <c r="D3040" t="s">
        <v>25</v>
      </c>
      <c r="E3040">
        <v>43</v>
      </c>
      <c r="F3040" s="3">
        <f ca="1">41239+(RANDBETWEEN(1,10))</f>
        <v>41249</v>
      </c>
      <c r="G3040" t="s">
        <v>26</v>
      </c>
      <c r="H3040" t="s">
        <v>27</v>
      </c>
      <c r="I3040" t="s">
        <v>28</v>
      </c>
      <c r="J3040">
        <v>5954.9</v>
      </c>
      <c r="K3040">
        <v>0</v>
      </c>
      <c r="L3040">
        <v>0.56999999999999995</v>
      </c>
      <c r="M3040">
        <v>17.465</v>
      </c>
      <c r="N3040">
        <v>3723.6968999999999</v>
      </c>
      <c r="O3040" s="1" t="s">
        <v>53</v>
      </c>
      <c r="P3040" s="1" t="s">
        <v>7850</v>
      </c>
      <c r="Q3040" s="1" t="s">
        <v>7851</v>
      </c>
      <c r="R3040" s="1" t="s">
        <v>56</v>
      </c>
      <c r="S3040" s="1" t="s">
        <v>5986</v>
      </c>
      <c r="T3040" s="1" t="s">
        <v>5987</v>
      </c>
      <c r="U3040" s="2" t="s">
        <v>5082</v>
      </c>
      <c r="V3040" s="2" t="s">
        <v>36</v>
      </c>
      <c r="W3040" s="2" t="s">
        <v>37</v>
      </c>
      <c r="X3040" s="2">
        <v>160.965</v>
      </c>
    </row>
    <row r="3041" spans="1:24" x14ac:dyDescent="0.3">
      <c r="A3041">
        <v>20897</v>
      </c>
      <c r="B3041" t="s">
        <v>7852</v>
      </c>
      <c r="C3041" s="3">
        <v>40683</v>
      </c>
      <c r="D3041" t="s">
        <v>39</v>
      </c>
      <c r="E3041">
        <v>1</v>
      </c>
      <c r="F3041" s="3">
        <f ca="1">40684+(RANDBETWEEN(1,10))</f>
        <v>40691</v>
      </c>
      <c r="G3041" t="s">
        <v>76</v>
      </c>
      <c r="H3041" t="s">
        <v>258</v>
      </c>
      <c r="I3041" t="s">
        <v>52</v>
      </c>
      <c r="J3041">
        <v>387.625</v>
      </c>
      <c r="K3041">
        <v>0.04</v>
      </c>
      <c r="L3041">
        <v>0.62</v>
      </c>
      <c r="M3041">
        <v>125.44</v>
      </c>
      <c r="N3041">
        <v>-534.66</v>
      </c>
      <c r="O3041" s="1" t="s">
        <v>29</v>
      </c>
      <c r="P3041" s="1" t="s">
        <v>7853</v>
      </c>
      <c r="Q3041" s="1" t="s">
        <v>7854</v>
      </c>
      <c r="R3041" s="1" t="s">
        <v>675</v>
      </c>
      <c r="S3041" s="1" t="s">
        <v>7855</v>
      </c>
      <c r="T3041" s="1" t="s">
        <v>7856</v>
      </c>
      <c r="U3041" s="2" t="s">
        <v>1271</v>
      </c>
      <c r="V3041" s="2" t="s">
        <v>83</v>
      </c>
      <c r="W3041" s="2" t="s">
        <v>298</v>
      </c>
      <c r="X3041" s="2">
        <v>353.43</v>
      </c>
    </row>
    <row r="3042" spans="1:24" x14ac:dyDescent="0.3">
      <c r="A3042">
        <v>20898</v>
      </c>
      <c r="B3042" t="s">
        <v>7857</v>
      </c>
      <c r="C3042" s="3">
        <v>41849</v>
      </c>
      <c r="D3042" t="s">
        <v>39</v>
      </c>
      <c r="E3042">
        <v>13</v>
      </c>
      <c r="F3042" s="3">
        <f ca="1">41851+(RANDBETWEEN(1,10))</f>
        <v>41858</v>
      </c>
      <c r="G3042" t="s">
        <v>26</v>
      </c>
      <c r="H3042" t="s">
        <v>96</v>
      </c>
      <c r="I3042" t="s">
        <v>86</v>
      </c>
      <c r="J3042">
        <v>147.595</v>
      </c>
      <c r="K3042">
        <v>0.02</v>
      </c>
      <c r="L3042">
        <v>0.41</v>
      </c>
      <c r="M3042">
        <v>6.51</v>
      </c>
      <c r="N3042">
        <v>-15.09816</v>
      </c>
      <c r="O3042" s="1" t="s">
        <v>87</v>
      </c>
      <c r="P3042" s="1" t="s">
        <v>7858</v>
      </c>
      <c r="Q3042" s="1" t="s">
        <v>7859</v>
      </c>
      <c r="R3042" s="1" t="s">
        <v>90</v>
      </c>
      <c r="S3042" s="1" t="s">
        <v>7860</v>
      </c>
      <c r="T3042" s="1" t="s">
        <v>7861</v>
      </c>
      <c r="U3042" s="2" t="s">
        <v>2287</v>
      </c>
      <c r="V3042" s="2" t="s">
        <v>47</v>
      </c>
      <c r="W3042" s="2" t="s">
        <v>104</v>
      </c>
      <c r="X3042" s="2">
        <v>11.41</v>
      </c>
    </row>
    <row r="3043" spans="1:24" x14ac:dyDescent="0.3">
      <c r="A3043">
        <v>20899</v>
      </c>
      <c r="B3043" t="s">
        <v>7862</v>
      </c>
      <c r="C3043" s="3">
        <v>41877</v>
      </c>
      <c r="D3043" t="s">
        <v>39</v>
      </c>
      <c r="E3043">
        <v>23</v>
      </c>
      <c r="F3043" s="3">
        <f ca="1">41879+(RANDBETWEEN(1,10))</f>
        <v>41889</v>
      </c>
      <c r="G3043" t="s">
        <v>26</v>
      </c>
      <c r="H3043" t="s">
        <v>51</v>
      </c>
      <c r="I3043" t="s">
        <v>28</v>
      </c>
      <c r="J3043">
        <v>3719.94</v>
      </c>
      <c r="K3043">
        <v>0.05</v>
      </c>
      <c r="L3043">
        <v>0.8</v>
      </c>
      <c r="M3043">
        <v>17.5</v>
      </c>
      <c r="N3043">
        <v>-766.41634999999997</v>
      </c>
      <c r="O3043" s="1" t="s">
        <v>53</v>
      </c>
      <c r="P3043" s="1" t="s">
        <v>7863</v>
      </c>
      <c r="Q3043" s="1" t="s">
        <v>7864</v>
      </c>
      <c r="R3043" s="1" t="s">
        <v>56</v>
      </c>
      <c r="S3043" s="1" t="s">
        <v>7865</v>
      </c>
      <c r="T3043" s="1" t="s">
        <v>7866</v>
      </c>
      <c r="U3043" s="2" t="s">
        <v>2876</v>
      </c>
      <c r="V3043" s="2" t="s">
        <v>36</v>
      </c>
      <c r="W3043" s="2" t="s">
        <v>37</v>
      </c>
      <c r="X3043" s="2">
        <v>195.965</v>
      </c>
    </row>
    <row r="3044" spans="1:24" x14ac:dyDescent="0.3">
      <c r="A3044">
        <v>20900</v>
      </c>
      <c r="B3044" t="s">
        <v>7867</v>
      </c>
      <c r="C3044" s="3">
        <v>40928</v>
      </c>
      <c r="D3044" t="s">
        <v>62</v>
      </c>
      <c r="E3044">
        <v>1</v>
      </c>
      <c r="F3044" s="3">
        <f ca="1">40929+(RANDBETWEEN(1,10))</f>
        <v>40932</v>
      </c>
      <c r="G3044" t="s">
        <v>76</v>
      </c>
      <c r="H3044" t="s">
        <v>77</v>
      </c>
      <c r="I3044" t="s">
        <v>28</v>
      </c>
      <c r="J3044">
        <v>877.73</v>
      </c>
      <c r="K3044">
        <v>0.09</v>
      </c>
      <c r="L3044">
        <v>0.57999999999999996</v>
      </c>
      <c r="M3044">
        <v>62.51</v>
      </c>
      <c r="N3044">
        <v>-2506.2627659999998</v>
      </c>
      <c r="O3044" s="1" t="s">
        <v>87</v>
      </c>
      <c r="P3044" s="1" t="s">
        <v>846</v>
      </c>
      <c r="Q3044" s="1" t="s">
        <v>847</v>
      </c>
      <c r="R3044" s="1" t="s">
        <v>90</v>
      </c>
      <c r="S3044" s="1" t="s">
        <v>848</v>
      </c>
      <c r="T3044" s="1" t="s">
        <v>849</v>
      </c>
      <c r="U3044" s="2" t="s">
        <v>2262</v>
      </c>
      <c r="V3044" s="2" t="s">
        <v>36</v>
      </c>
      <c r="W3044" s="2" t="s">
        <v>142</v>
      </c>
      <c r="X3044" s="2">
        <v>927.43</v>
      </c>
    </row>
    <row r="3045" spans="1:24" x14ac:dyDescent="0.3">
      <c r="A3045">
        <v>20901</v>
      </c>
      <c r="B3045" t="s">
        <v>7868</v>
      </c>
      <c r="C3045" s="3">
        <v>41596</v>
      </c>
      <c r="D3045" t="s">
        <v>25</v>
      </c>
      <c r="E3045">
        <v>16</v>
      </c>
      <c r="F3045" s="3">
        <f ca="1">41601+(RANDBETWEEN(1,10))</f>
        <v>41609</v>
      </c>
      <c r="G3045" t="s">
        <v>26</v>
      </c>
      <c r="H3045" t="s">
        <v>27</v>
      </c>
      <c r="I3045" t="s">
        <v>28</v>
      </c>
      <c r="J3045">
        <v>577.57000000000005</v>
      </c>
      <c r="K3045">
        <v>0.1</v>
      </c>
      <c r="L3045">
        <v>0.64</v>
      </c>
      <c r="M3045">
        <v>22.75</v>
      </c>
      <c r="N3045">
        <v>73.373999999999995</v>
      </c>
      <c r="O3045" s="1" t="s">
        <v>64</v>
      </c>
      <c r="P3045" s="1" t="s">
        <v>631</v>
      </c>
      <c r="Q3045" s="1" t="s">
        <v>632</v>
      </c>
      <c r="R3045" s="1" t="s">
        <v>67</v>
      </c>
      <c r="S3045" s="1" t="s">
        <v>633</v>
      </c>
      <c r="T3045" s="1" t="s">
        <v>634</v>
      </c>
      <c r="U3045" s="2" t="s">
        <v>337</v>
      </c>
      <c r="V3045" s="2" t="s">
        <v>36</v>
      </c>
      <c r="W3045" s="2" t="s">
        <v>60</v>
      </c>
      <c r="X3045" s="2">
        <v>38.395000000000003</v>
      </c>
    </row>
    <row r="3046" spans="1:24" x14ac:dyDescent="0.3">
      <c r="A3046">
        <v>20902</v>
      </c>
      <c r="B3046" t="s">
        <v>7869</v>
      </c>
      <c r="C3046" s="3">
        <v>40922</v>
      </c>
      <c r="D3046" t="s">
        <v>50</v>
      </c>
      <c r="E3046">
        <v>9</v>
      </c>
      <c r="F3046" s="3">
        <f ca="1">40924+(RANDBETWEEN(1,10))</f>
        <v>40926</v>
      </c>
      <c r="G3046" t="s">
        <v>26</v>
      </c>
      <c r="H3046" t="s">
        <v>63</v>
      </c>
      <c r="I3046" t="s">
        <v>28</v>
      </c>
      <c r="J3046">
        <v>6122.06</v>
      </c>
      <c r="K3046">
        <v>0.06</v>
      </c>
      <c r="L3046">
        <v>0.46</v>
      </c>
      <c r="M3046">
        <v>85.715000000000003</v>
      </c>
      <c r="N3046">
        <v>3890.84584</v>
      </c>
      <c r="O3046" s="1" t="s">
        <v>64</v>
      </c>
      <c r="P3046" s="1" t="s">
        <v>6946</v>
      </c>
      <c r="Q3046" s="1" t="s">
        <v>6947</v>
      </c>
      <c r="R3046" s="1" t="s">
        <v>128</v>
      </c>
      <c r="S3046" s="1" t="s">
        <v>2527</v>
      </c>
      <c r="T3046" s="1" t="s">
        <v>2528</v>
      </c>
      <c r="U3046" s="2" t="s">
        <v>7870</v>
      </c>
      <c r="V3046" s="2" t="s">
        <v>36</v>
      </c>
      <c r="W3046" s="2" t="s">
        <v>1327</v>
      </c>
      <c r="X3046" s="2">
        <v>699.96500000000003</v>
      </c>
    </row>
    <row r="3047" spans="1:24" x14ac:dyDescent="0.3">
      <c r="A3047">
        <v>20903</v>
      </c>
      <c r="B3047" t="s">
        <v>7871</v>
      </c>
      <c r="C3047" s="3">
        <v>41728</v>
      </c>
      <c r="D3047" t="s">
        <v>62</v>
      </c>
      <c r="E3047">
        <v>3</v>
      </c>
      <c r="F3047" s="3">
        <f ca="1">41730+(RANDBETWEEN(1,10))</f>
        <v>41739</v>
      </c>
      <c r="G3047" t="s">
        <v>26</v>
      </c>
      <c r="H3047" t="s">
        <v>27</v>
      </c>
      <c r="I3047" t="s">
        <v>52</v>
      </c>
      <c r="J3047">
        <v>600.98500000000001</v>
      </c>
      <c r="K3047">
        <v>0.04</v>
      </c>
      <c r="L3047">
        <v>0.57999999999999996</v>
      </c>
      <c r="M3047">
        <v>31.465</v>
      </c>
      <c r="N3047">
        <v>-1961.617</v>
      </c>
      <c r="O3047" s="1" t="s">
        <v>29</v>
      </c>
      <c r="P3047" s="1" t="s">
        <v>4850</v>
      </c>
      <c r="Q3047" s="1" t="s">
        <v>4851</v>
      </c>
      <c r="R3047" s="1" t="s">
        <v>460</v>
      </c>
      <c r="S3047" s="1" t="s">
        <v>4852</v>
      </c>
      <c r="T3047" s="1" t="s">
        <v>4853</v>
      </c>
      <c r="U3047" s="2" t="s">
        <v>4501</v>
      </c>
      <c r="V3047" s="2" t="s">
        <v>36</v>
      </c>
      <c r="W3047" s="2" t="s">
        <v>37</v>
      </c>
      <c r="X3047" s="2">
        <v>230.965</v>
      </c>
    </row>
    <row r="3048" spans="1:24" x14ac:dyDescent="0.3">
      <c r="A3048">
        <v>20904</v>
      </c>
      <c r="B3048" t="s">
        <v>7872</v>
      </c>
      <c r="C3048" s="3">
        <v>40897</v>
      </c>
      <c r="D3048" t="s">
        <v>62</v>
      </c>
      <c r="E3048">
        <v>18</v>
      </c>
      <c r="F3048" s="3">
        <f ca="1">40900+(RANDBETWEEN(1,10))</f>
        <v>40905</v>
      </c>
      <c r="G3048" t="s">
        <v>26</v>
      </c>
      <c r="H3048" t="s">
        <v>27</v>
      </c>
      <c r="I3048" t="s">
        <v>52</v>
      </c>
      <c r="J3048">
        <v>3838.2049999999999</v>
      </c>
      <c r="K3048">
        <v>0.06</v>
      </c>
      <c r="L3048">
        <v>0.56999999999999995</v>
      </c>
      <c r="M3048">
        <v>33.984999999999999</v>
      </c>
      <c r="N3048">
        <v>2648.3614499999999</v>
      </c>
      <c r="O3048" s="1" t="s">
        <v>53</v>
      </c>
      <c r="P3048" s="1" t="s">
        <v>4558</v>
      </c>
      <c r="Q3048" s="1" t="s">
        <v>4559</v>
      </c>
      <c r="R3048" s="1" t="s">
        <v>440</v>
      </c>
      <c r="S3048" s="1" t="s">
        <v>4560</v>
      </c>
      <c r="T3048" s="1" t="s">
        <v>4561</v>
      </c>
      <c r="U3048" s="2" t="s">
        <v>5588</v>
      </c>
      <c r="V3048" s="2" t="s">
        <v>47</v>
      </c>
      <c r="W3048" s="2" t="s">
        <v>119</v>
      </c>
      <c r="X3048" s="2">
        <v>209.16</v>
      </c>
    </row>
    <row r="3049" spans="1:24" x14ac:dyDescent="0.3">
      <c r="A3049">
        <v>20905</v>
      </c>
      <c r="B3049" t="s">
        <v>7872</v>
      </c>
      <c r="C3049" s="3">
        <v>40897</v>
      </c>
      <c r="D3049" t="s">
        <v>62</v>
      </c>
      <c r="E3049">
        <v>4</v>
      </c>
      <c r="F3049" s="3">
        <f ca="1">40900+(RANDBETWEEN(1,10))</f>
        <v>40903</v>
      </c>
      <c r="G3049" t="s">
        <v>26</v>
      </c>
      <c r="H3049" t="s">
        <v>27</v>
      </c>
      <c r="I3049" t="s">
        <v>52</v>
      </c>
      <c r="J3049">
        <v>2212.42</v>
      </c>
      <c r="K3049">
        <v>7.0000000000000007E-2</v>
      </c>
      <c r="L3049">
        <v>0.56000000000000005</v>
      </c>
      <c r="M3049">
        <v>14.7</v>
      </c>
      <c r="N3049">
        <v>-778.20050000000003</v>
      </c>
      <c r="O3049" s="1" t="s">
        <v>53</v>
      </c>
      <c r="P3049" s="1" t="s">
        <v>4558</v>
      </c>
      <c r="Q3049" s="1" t="s">
        <v>4559</v>
      </c>
      <c r="R3049" s="1" t="s">
        <v>440</v>
      </c>
      <c r="S3049" s="1" t="s">
        <v>4560</v>
      </c>
      <c r="T3049" s="1" t="s">
        <v>4561</v>
      </c>
      <c r="U3049" s="2" t="s">
        <v>3784</v>
      </c>
      <c r="V3049" s="2" t="s">
        <v>36</v>
      </c>
      <c r="W3049" s="2" t="s">
        <v>37</v>
      </c>
      <c r="X3049" s="2">
        <v>685.96500000000003</v>
      </c>
    </row>
    <row r="3050" spans="1:24" x14ac:dyDescent="0.3">
      <c r="A3050">
        <v>20906</v>
      </c>
      <c r="B3050" t="s">
        <v>7873</v>
      </c>
      <c r="C3050" s="3">
        <v>41170</v>
      </c>
      <c r="D3050" t="s">
        <v>25</v>
      </c>
      <c r="E3050">
        <v>5</v>
      </c>
      <c r="F3050" s="3">
        <f ca="1">41174+(RANDBETWEEN(1,10))</f>
        <v>41176</v>
      </c>
      <c r="G3050" t="s">
        <v>26</v>
      </c>
      <c r="H3050" t="s">
        <v>96</v>
      </c>
      <c r="I3050" t="s">
        <v>52</v>
      </c>
      <c r="J3050">
        <v>68.984999999999999</v>
      </c>
      <c r="K3050">
        <v>0.06</v>
      </c>
      <c r="L3050">
        <v>0.44</v>
      </c>
      <c r="M3050">
        <v>2.4500000000000002</v>
      </c>
      <c r="N3050">
        <v>-778.75699999999995</v>
      </c>
      <c r="O3050" s="1" t="s">
        <v>29</v>
      </c>
      <c r="P3050" s="1" t="s">
        <v>5390</v>
      </c>
      <c r="Q3050" s="1" t="s">
        <v>5391</v>
      </c>
      <c r="R3050" s="1" t="s">
        <v>32</v>
      </c>
      <c r="S3050" s="1" t="s">
        <v>5392</v>
      </c>
      <c r="T3050" s="1" t="s">
        <v>5393</v>
      </c>
      <c r="U3050" s="2" t="s">
        <v>703</v>
      </c>
      <c r="V3050" s="2" t="s">
        <v>47</v>
      </c>
      <c r="W3050" s="2" t="s">
        <v>104</v>
      </c>
      <c r="X3050" s="2">
        <v>13.475</v>
      </c>
    </row>
    <row r="3051" spans="1:24" x14ac:dyDescent="0.3">
      <c r="A3051">
        <v>20907</v>
      </c>
      <c r="B3051" t="s">
        <v>7873</v>
      </c>
      <c r="C3051" s="3">
        <v>41170</v>
      </c>
      <c r="D3051" t="s">
        <v>25</v>
      </c>
      <c r="E3051">
        <v>16</v>
      </c>
      <c r="F3051" s="3">
        <f ca="1">41174+(RANDBETWEEN(1,10))</f>
        <v>41182</v>
      </c>
      <c r="G3051" t="s">
        <v>26</v>
      </c>
      <c r="H3051" t="s">
        <v>51</v>
      </c>
      <c r="I3051" t="s">
        <v>52</v>
      </c>
      <c r="J3051">
        <v>1282.2950000000001</v>
      </c>
      <c r="K3051">
        <v>0.01</v>
      </c>
      <c r="L3051">
        <v>0.43</v>
      </c>
      <c r="M3051">
        <v>6.9649999999999999</v>
      </c>
      <c r="N3051">
        <v>62.328000000000003</v>
      </c>
      <c r="O3051" s="1" t="s">
        <v>53</v>
      </c>
      <c r="P3051" s="1" t="s">
        <v>7874</v>
      </c>
      <c r="Q3051" s="1" t="s">
        <v>7875</v>
      </c>
      <c r="R3051" s="1" t="s">
        <v>440</v>
      </c>
      <c r="S3051" s="1" t="s">
        <v>7876</v>
      </c>
      <c r="T3051" s="1" t="s">
        <v>7877</v>
      </c>
      <c r="U3051" s="2" t="s">
        <v>4462</v>
      </c>
      <c r="V3051" s="2" t="s">
        <v>36</v>
      </c>
      <c r="W3051" s="2" t="s">
        <v>60</v>
      </c>
      <c r="X3051" s="2">
        <v>77.84</v>
      </c>
    </row>
    <row r="3052" spans="1:24" x14ac:dyDescent="0.3">
      <c r="A3052">
        <v>20908</v>
      </c>
      <c r="B3052" t="s">
        <v>7873</v>
      </c>
      <c r="C3052" s="3">
        <v>41170</v>
      </c>
      <c r="D3052" t="s">
        <v>25</v>
      </c>
      <c r="E3052">
        <v>10</v>
      </c>
      <c r="F3052" s="3">
        <f ca="1">41177+(RANDBETWEEN(1,10))</f>
        <v>41184</v>
      </c>
      <c r="G3052" t="s">
        <v>26</v>
      </c>
      <c r="H3052" t="s">
        <v>27</v>
      </c>
      <c r="I3052" t="s">
        <v>52</v>
      </c>
      <c r="J3052">
        <v>1899.625</v>
      </c>
      <c r="K3052">
        <v>0.04</v>
      </c>
      <c r="L3052">
        <v>0.54</v>
      </c>
      <c r="M3052">
        <v>51.905000000000001</v>
      </c>
      <c r="N3052">
        <v>-325.19585000000001</v>
      </c>
      <c r="O3052" s="1" t="s">
        <v>53</v>
      </c>
      <c r="P3052" s="1" t="s">
        <v>7874</v>
      </c>
      <c r="Q3052" s="1" t="s">
        <v>7875</v>
      </c>
      <c r="R3052" s="1" t="s">
        <v>440</v>
      </c>
      <c r="S3052" s="1" t="s">
        <v>7876</v>
      </c>
      <c r="T3052" s="1" t="s">
        <v>7877</v>
      </c>
      <c r="U3052" s="2" t="s">
        <v>7878</v>
      </c>
      <c r="V3052" s="2" t="s">
        <v>83</v>
      </c>
      <c r="W3052" s="2" t="s">
        <v>178</v>
      </c>
      <c r="X3052" s="2">
        <v>191.59</v>
      </c>
    </row>
    <row r="3053" spans="1:24" x14ac:dyDescent="0.3">
      <c r="A3053">
        <v>20909</v>
      </c>
      <c r="B3053" t="s">
        <v>7879</v>
      </c>
      <c r="C3053" s="3">
        <v>41348</v>
      </c>
      <c r="D3053" t="s">
        <v>39</v>
      </c>
      <c r="E3053">
        <v>14</v>
      </c>
      <c r="F3053" s="3">
        <f ca="1">41348+(RANDBETWEEN(1,10))</f>
        <v>41352</v>
      </c>
      <c r="G3053" t="s">
        <v>26</v>
      </c>
      <c r="H3053" t="s">
        <v>63</v>
      </c>
      <c r="I3053" t="s">
        <v>86</v>
      </c>
      <c r="J3053">
        <v>28091.244999999999</v>
      </c>
      <c r="K3053">
        <v>0.09</v>
      </c>
      <c r="L3053">
        <v>0.37</v>
      </c>
      <c r="M3053">
        <v>85.715000000000003</v>
      </c>
      <c r="N3053">
        <v>-36.210999999999999</v>
      </c>
      <c r="O3053" s="1" t="s">
        <v>40</v>
      </c>
      <c r="P3053" s="1" t="s">
        <v>5034</v>
      </c>
      <c r="Q3053" s="1" t="s">
        <v>5035</v>
      </c>
      <c r="R3053" s="1" t="s">
        <v>220</v>
      </c>
      <c r="S3053" s="1" t="s">
        <v>5036</v>
      </c>
      <c r="T3053" s="1" t="s">
        <v>5037</v>
      </c>
      <c r="U3053" s="2" t="s">
        <v>1737</v>
      </c>
      <c r="V3053" s="2" t="s">
        <v>36</v>
      </c>
      <c r="W3053" s="2" t="s">
        <v>1327</v>
      </c>
      <c r="X3053" s="2">
        <v>2099.9650000000001</v>
      </c>
    </row>
    <row r="3054" spans="1:24" x14ac:dyDescent="0.3">
      <c r="A3054">
        <v>20910</v>
      </c>
      <c r="B3054" t="s">
        <v>7879</v>
      </c>
      <c r="C3054" s="3">
        <v>41348</v>
      </c>
      <c r="D3054" t="s">
        <v>39</v>
      </c>
      <c r="E3054">
        <v>2</v>
      </c>
      <c r="F3054" s="3">
        <f ca="1">41349+(RANDBETWEEN(1,10))</f>
        <v>41352</v>
      </c>
      <c r="G3054" t="s">
        <v>26</v>
      </c>
      <c r="H3054" t="s">
        <v>27</v>
      </c>
      <c r="I3054" t="s">
        <v>86</v>
      </c>
      <c r="J3054">
        <v>741.68499999999995</v>
      </c>
      <c r="K3054">
        <v>0.03</v>
      </c>
      <c r="L3054">
        <v>0.56999999999999995</v>
      </c>
      <c r="M3054">
        <v>28.28</v>
      </c>
      <c r="N3054">
        <v>93.177000000000007</v>
      </c>
      <c r="O3054" s="1" t="s">
        <v>40</v>
      </c>
      <c r="P3054" s="1" t="s">
        <v>5034</v>
      </c>
      <c r="Q3054" s="1" t="s">
        <v>5035</v>
      </c>
      <c r="R3054" s="1" t="s">
        <v>220</v>
      </c>
      <c r="S3054" s="1" t="s">
        <v>5036</v>
      </c>
      <c r="T3054" s="1" t="s">
        <v>5037</v>
      </c>
      <c r="U3054" s="2" t="s">
        <v>1547</v>
      </c>
      <c r="V3054" s="2" t="s">
        <v>36</v>
      </c>
      <c r="W3054" s="2" t="s">
        <v>37</v>
      </c>
      <c r="X3054" s="2">
        <v>440.96499999999997</v>
      </c>
    </row>
    <row r="3055" spans="1:24" x14ac:dyDescent="0.3">
      <c r="A3055">
        <v>20911</v>
      </c>
      <c r="B3055" t="s">
        <v>7880</v>
      </c>
      <c r="C3055" s="3">
        <v>41725</v>
      </c>
      <c r="D3055" t="s">
        <v>148</v>
      </c>
      <c r="E3055">
        <v>9</v>
      </c>
      <c r="F3055" s="3">
        <f ca="1">41726+(RANDBETWEEN(1,10))</f>
        <v>41736</v>
      </c>
      <c r="G3055" t="s">
        <v>76</v>
      </c>
      <c r="H3055" t="s">
        <v>258</v>
      </c>
      <c r="I3055" t="s">
        <v>52</v>
      </c>
      <c r="J3055">
        <v>4953.0600000000004</v>
      </c>
      <c r="K3055">
        <v>0.01</v>
      </c>
      <c r="L3055">
        <v>0.65</v>
      </c>
      <c r="M3055">
        <v>231.94499999999999</v>
      </c>
      <c r="N3055">
        <v>-1984.99</v>
      </c>
      <c r="O3055" s="1" t="s">
        <v>87</v>
      </c>
      <c r="P3055" s="1" t="s">
        <v>6029</v>
      </c>
      <c r="Q3055" s="1" t="s">
        <v>6030</v>
      </c>
      <c r="R3055" s="1" t="s">
        <v>497</v>
      </c>
      <c r="S3055" s="1" t="s">
        <v>1859</v>
      </c>
      <c r="T3055" s="1" t="s">
        <v>1860</v>
      </c>
      <c r="U3055" s="2" t="s">
        <v>3398</v>
      </c>
      <c r="V3055" s="2" t="s">
        <v>83</v>
      </c>
      <c r="W3055" s="2" t="s">
        <v>298</v>
      </c>
      <c r="X3055" s="2">
        <v>528.42999999999995</v>
      </c>
    </row>
    <row r="3056" spans="1:24" x14ac:dyDescent="0.3">
      <c r="A3056">
        <v>20912</v>
      </c>
      <c r="B3056" t="s">
        <v>7881</v>
      </c>
      <c r="C3056" s="3">
        <v>41271</v>
      </c>
      <c r="D3056" t="s">
        <v>148</v>
      </c>
      <c r="E3056">
        <v>16</v>
      </c>
      <c r="F3056" s="3">
        <f ca="1">41273+(RANDBETWEEN(1,10))</f>
        <v>41279</v>
      </c>
      <c r="G3056" t="s">
        <v>26</v>
      </c>
      <c r="H3056" t="s">
        <v>96</v>
      </c>
      <c r="I3056" t="s">
        <v>28</v>
      </c>
      <c r="J3056">
        <v>322</v>
      </c>
      <c r="K3056">
        <v>0.05</v>
      </c>
      <c r="L3056">
        <v>0.55000000000000004</v>
      </c>
      <c r="M3056">
        <v>4.2</v>
      </c>
      <c r="N3056">
        <v>177.45</v>
      </c>
      <c r="O3056" s="1" t="s">
        <v>40</v>
      </c>
      <c r="P3056" s="1" t="s">
        <v>7882</v>
      </c>
      <c r="Q3056" s="1" t="s">
        <v>7883</v>
      </c>
      <c r="R3056" s="1" t="s">
        <v>220</v>
      </c>
      <c r="S3056" s="1" t="s">
        <v>1544</v>
      </c>
      <c r="T3056" s="1" t="s">
        <v>1545</v>
      </c>
      <c r="U3056" s="2" t="s">
        <v>4460</v>
      </c>
      <c r="V3056" s="2" t="s">
        <v>47</v>
      </c>
      <c r="W3056" s="2" t="s">
        <v>104</v>
      </c>
      <c r="X3056" s="2">
        <v>20.440000000000001</v>
      </c>
    </row>
    <row r="3057" spans="1:24" x14ac:dyDescent="0.3">
      <c r="A3057">
        <v>20913</v>
      </c>
      <c r="B3057" t="s">
        <v>7884</v>
      </c>
      <c r="C3057" s="3">
        <v>41163</v>
      </c>
      <c r="D3057" t="s">
        <v>50</v>
      </c>
      <c r="E3057">
        <v>17</v>
      </c>
      <c r="F3057" s="3">
        <f ca="1">41165+(RANDBETWEEN(1,10))</f>
        <v>41167</v>
      </c>
      <c r="G3057" t="s">
        <v>26</v>
      </c>
      <c r="H3057" t="s">
        <v>27</v>
      </c>
      <c r="I3057" t="s">
        <v>86</v>
      </c>
      <c r="J3057">
        <v>865.9</v>
      </c>
      <c r="K3057">
        <v>0.1</v>
      </c>
      <c r="L3057">
        <v>0.48</v>
      </c>
      <c r="M3057">
        <v>22.75</v>
      </c>
      <c r="N3057">
        <v>-172.83</v>
      </c>
      <c r="O3057" s="1" t="s">
        <v>64</v>
      </c>
      <c r="P3057" s="1" t="s">
        <v>5612</v>
      </c>
      <c r="Q3057" s="1" t="s">
        <v>5613</v>
      </c>
      <c r="R3057" s="1" t="s">
        <v>67</v>
      </c>
      <c r="S3057" s="1" t="s">
        <v>5614</v>
      </c>
      <c r="T3057" s="1" t="s">
        <v>5615</v>
      </c>
      <c r="U3057" s="2" t="s">
        <v>1006</v>
      </c>
      <c r="V3057" s="2" t="s">
        <v>36</v>
      </c>
      <c r="W3057" s="2" t="s">
        <v>60</v>
      </c>
      <c r="X3057" s="2">
        <v>55.93</v>
      </c>
    </row>
    <row r="3058" spans="1:24" x14ac:dyDescent="0.3">
      <c r="A3058">
        <v>20914</v>
      </c>
      <c r="B3058" t="s">
        <v>7885</v>
      </c>
      <c r="C3058" s="3">
        <v>41797</v>
      </c>
      <c r="D3058" t="s">
        <v>62</v>
      </c>
      <c r="E3058">
        <v>14</v>
      </c>
      <c r="F3058" s="3">
        <f ca="1">41799+(RANDBETWEEN(1,10))</f>
        <v>41808</v>
      </c>
      <c r="G3058" t="s">
        <v>26</v>
      </c>
      <c r="H3058" t="s">
        <v>27</v>
      </c>
      <c r="I3058" t="s">
        <v>52</v>
      </c>
      <c r="J3058">
        <v>564.62</v>
      </c>
      <c r="K3058">
        <v>0.04</v>
      </c>
      <c r="L3058">
        <v>0.35</v>
      </c>
      <c r="M3058">
        <v>24.395</v>
      </c>
      <c r="N3058">
        <v>-11.676</v>
      </c>
      <c r="O3058" s="1" t="s">
        <v>40</v>
      </c>
      <c r="P3058" s="1" t="s">
        <v>7808</v>
      </c>
      <c r="Q3058" s="1" t="s">
        <v>7809</v>
      </c>
      <c r="R3058" s="1" t="s">
        <v>43</v>
      </c>
      <c r="S3058" s="1" t="s">
        <v>7810</v>
      </c>
      <c r="T3058" s="1" t="s">
        <v>7811</v>
      </c>
      <c r="U3058" s="2" t="s">
        <v>2886</v>
      </c>
      <c r="V3058" s="2" t="s">
        <v>47</v>
      </c>
      <c r="W3058" s="2" t="s">
        <v>48</v>
      </c>
      <c r="X3058" s="2">
        <v>40.53</v>
      </c>
    </row>
    <row r="3059" spans="1:24" x14ac:dyDescent="0.3">
      <c r="A3059">
        <v>20915</v>
      </c>
      <c r="B3059" t="s">
        <v>7886</v>
      </c>
      <c r="C3059" s="3">
        <v>41308</v>
      </c>
      <c r="D3059" t="s">
        <v>25</v>
      </c>
      <c r="E3059">
        <v>8</v>
      </c>
      <c r="F3059" s="3">
        <f ca="1">41315+(RANDBETWEEN(1,10))</f>
        <v>41324</v>
      </c>
      <c r="G3059" t="s">
        <v>26</v>
      </c>
      <c r="H3059" t="s">
        <v>51</v>
      </c>
      <c r="I3059" t="s">
        <v>28</v>
      </c>
      <c r="J3059">
        <v>1103.655</v>
      </c>
      <c r="K3059">
        <v>0.04</v>
      </c>
      <c r="L3059">
        <v>0.54</v>
      </c>
      <c r="M3059">
        <v>6.9649999999999999</v>
      </c>
      <c r="N3059">
        <v>761.52194999999995</v>
      </c>
      <c r="O3059" s="1" t="s">
        <v>64</v>
      </c>
      <c r="P3059" s="1" t="s">
        <v>7887</v>
      </c>
      <c r="Q3059" s="1" t="s">
        <v>7888</v>
      </c>
      <c r="R3059" s="1" t="s">
        <v>67</v>
      </c>
      <c r="S3059" s="1" t="s">
        <v>7889</v>
      </c>
      <c r="T3059" s="1" t="s">
        <v>7890</v>
      </c>
      <c r="U3059" s="2" t="s">
        <v>685</v>
      </c>
      <c r="V3059" s="2" t="s">
        <v>36</v>
      </c>
      <c r="W3059" s="2" t="s">
        <v>60</v>
      </c>
      <c r="X3059" s="2">
        <v>138.18</v>
      </c>
    </row>
    <row r="3060" spans="1:24" x14ac:dyDescent="0.3">
      <c r="A3060">
        <v>20916</v>
      </c>
      <c r="B3060" t="s">
        <v>7891</v>
      </c>
      <c r="C3060" s="3">
        <v>41379</v>
      </c>
      <c r="D3060" t="s">
        <v>25</v>
      </c>
      <c r="E3060">
        <v>14</v>
      </c>
      <c r="F3060" s="3">
        <f ca="1">41383+(RANDBETWEEN(1,10))</f>
        <v>41388</v>
      </c>
      <c r="G3060" t="s">
        <v>26</v>
      </c>
      <c r="H3060" t="s">
        <v>96</v>
      </c>
      <c r="I3060" t="s">
        <v>52</v>
      </c>
      <c r="J3060">
        <v>377.02</v>
      </c>
      <c r="K3060">
        <v>0</v>
      </c>
      <c r="L3060">
        <v>0.47</v>
      </c>
      <c r="M3060">
        <v>8.2249999999999996</v>
      </c>
      <c r="N3060">
        <v>-349.81099999999998</v>
      </c>
      <c r="O3060" s="1" t="s">
        <v>53</v>
      </c>
      <c r="P3060" s="1" t="s">
        <v>7874</v>
      </c>
      <c r="Q3060" s="1" t="s">
        <v>7875</v>
      </c>
      <c r="R3060" s="1" t="s">
        <v>440</v>
      </c>
      <c r="S3060" s="1" t="s">
        <v>7876</v>
      </c>
      <c r="T3060" s="1" t="s">
        <v>7877</v>
      </c>
      <c r="U3060" s="2" t="s">
        <v>6690</v>
      </c>
      <c r="V3060" s="2" t="s">
        <v>47</v>
      </c>
      <c r="W3060" s="2" t="s">
        <v>104</v>
      </c>
      <c r="X3060" s="2">
        <v>24.78</v>
      </c>
    </row>
    <row r="3061" spans="1:24" x14ac:dyDescent="0.3">
      <c r="A3061">
        <v>20917</v>
      </c>
      <c r="B3061" t="s">
        <v>7891</v>
      </c>
      <c r="C3061" s="3">
        <v>41379</v>
      </c>
      <c r="D3061" t="s">
        <v>25</v>
      </c>
      <c r="E3061">
        <v>13</v>
      </c>
      <c r="F3061" s="3">
        <f ca="1">41379+(RANDBETWEEN(1,10))</f>
        <v>41389</v>
      </c>
      <c r="G3061" t="s">
        <v>76</v>
      </c>
      <c r="H3061" t="s">
        <v>258</v>
      </c>
      <c r="I3061" t="s">
        <v>52</v>
      </c>
      <c r="J3061">
        <v>6956.9849999999997</v>
      </c>
      <c r="K3061">
        <v>0</v>
      </c>
      <c r="L3061">
        <v>0.69</v>
      </c>
      <c r="M3061">
        <v>181.72</v>
      </c>
      <c r="N3061">
        <v>-1113.5250000000001</v>
      </c>
      <c r="O3061" s="1" t="s">
        <v>53</v>
      </c>
      <c r="P3061" s="1" t="s">
        <v>7874</v>
      </c>
      <c r="Q3061" s="1" t="s">
        <v>7875</v>
      </c>
      <c r="R3061" s="1" t="s">
        <v>440</v>
      </c>
      <c r="S3061" s="1" t="s">
        <v>7876</v>
      </c>
      <c r="T3061" s="1" t="s">
        <v>7877</v>
      </c>
      <c r="U3061" s="2" t="s">
        <v>2661</v>
      </c>
      <c r="V3061" s="2" t="s">
        <v>83</v>
      </c>
      <c r="W3061" s="2" t="s">
        <v>263</v>
      </c>
      <c r="X3061" s="2">
        <v>510.93</v>
      </c>
    </row>
    <row r="3062" spans="1:24" x14ac:dyDescent="0.3">
      <c r="A3062">
        <v>20918</v>
      </c>
      <c r="B3062" t="s">
        <v>7892</v>
      </c>
      <c r="C3062" s="3">
        <v>41483</v>
      </c>
      <c r="D3062" t="s">
        <v>148</v>
      </c>
      <c r="E3062">
        <v>1</v>
      </c>
      <c r="F3062" s="3">
        <f ca="1">41485+(RANDBETWEEN(1,10))</f>
        <v>41488</v>
      </c>
      <c r="G3062" t="s">
        <v>76</v>
      </c>
      <c r="H3062" t="s">
        <v>77</v>
      </c>
      <c r="I3062" t="s">
        <v>28</v>
      </c>
      <c r="J3062">
        <v>489.79</v>
      </c>
      <c r="K3062">
        <v>7.0000000000000007E-2</v>
      </c>
      <c r="L3062">
        <v>0.74</v>
      </c>
      <c r="M3062">
        <v>245.7</v>
      </c>
      <c r="N3062">
        <v>-1158.78</v>
      </c>
      <c r="O3062" s="1" t="s">
        <v>64</v>
      </c>
      <c r="P3062" s="1" t="s">
        <v>5605</v>
      </c>
      <c r="Q3062" s="1" t="s">
        <v>5606</v>
      </c>
      <c r="R3062" s="1" t="s">
        <v>128</v>
      </c>
      <c r="S3062" s="1" t="s">
        <v>5607</v>
      </c>
      <c r="T3062" s="1" t="s">
        <v>5608</v>
      </c>
      <c r="U3062" s="2" t="s">
        <v>358</v>
      </c>
      <c r="V3062" s="2" t="s">
        <v>83</v>
      </c>
      <c r="W3062" s="2" t="s">
        <v>84</v>
      </c>
      <c r="X3062" s="2">
        <v>430.46499999999997</v>
      </c>
    </row>
    <row r="3063" spans="1:24" x14ac:dyDescent="0.3">
      <c r="A3063">
        <v>20919</v>
      </c>
      <c r="B3063" t="s">
        <v>7893</v>
      </c>
      <c r="C3063" s="3">
        <v>40889</v>
      </c>
      <c r="D3063" t="s">
        <v>39</v>
      </c>
      <c r="E3063">
        <v>15</v>
      </c>
      <c r="F3063" s="3">
        <f ca="1">40891+(RANDBETWEEN(1,10))</f>
        <v>40892</v>
      </c>
      <c r="G3063" t="s">
        <v>156</v>
      </c>
      <c r="H3063" t="s">
        <v>27</v>
      </c>
      <c r="I3063" t="s">
        <v>28</v>
      </c>
      <c r="J3063">
        <v>444.15</v>
      </c>
      <c r="K3063">
        <v>0.1</v>
      </c>
      <c r="L3063">
        <v>0.35</v>
      </c>
      <c r="M3063">
        <v>21.98</v>
      </c>
      <c r="N3063">
        <v>-95.493125000000006</v>
      </c>
      <c r="O3063" s="1" t="s">
        <v>87</v>
      </c>
      <c r="P3063" s="1" t="s">
        <v>6530</v>
      </c>
      <c r="Q3063" s="1" t="s">
        <v>6531</v>
      </c>
      <c r="R3063" s="1" t="s">
        <v>646</v>
      </c>
      <c r="S3063" s="1" t="s">
        <v>6532</v>
      </c>
      <c r="T3063" s="1" t="s">
        <v>6533</v>
      </c>
      <c r="U3063" s="2" t="s">
        <v>2481</v>
      </c>
      <c r="V3063" s="2" t="s">
        <v>47</v>
      </c>
      <c r="W3063" s="2" t="s">
        <v>111</v>
      </c>
      <c r="X3063" s="2">
        <v>31.08</v>
      </c>
    </row>
    <row r="3064" spans="1:24" x14ac:dyDescent="0.3">
      <c r="A3064">
        <v>20920</v>
      </c>
      <c r="B3064" t="s">
        <v>7894</v>
      </c>
      <c r="C3064" s="3">
        <v>40802</v>
      </c>
      <c r="D3064" t="s">
        <v>50</v>
      </c>
      <c r="E3064">
        <v>23</v>
      </c>
      <c r="F3064" s="3">
        <f ca="1">40803+(RANDBETWEEN(1,10))</f>
        <v>40813</v>
      </c>
      <c r="G3064" t="s">
        <v>26</v>
      </c>
      <c r="H3064" t="s">
        <v>27</v>
      </c>
      <c r="I3064" t="s">
        <v>28</v>
      </c>
      <c r="J3064">
        <v>32482.52</v>
      </c>
      <c r="K3064">
        <v>0</v>
      </c>
      <c r="L3064">
        <v>0.38</v>
      </c>
      <c r="M3064">
        <v>69.965000000000003</v>
      </c>
      <c r="N3064">
        <v>-245.49</v>
      </c>
      <c r="O3064" s="1" t="s">
        <v>64</v>
      </c>
      <c r="P3064" s="1" t="s">
        <v>6629</v>
      </c>
      <c r="Q3064" s="1" t="s">
        <v>6630</v>
      </c>
      <c r="R3064" s="1" t="s">
        <v>128</v>
      </c>
      <c r="S3064" s="1" t="s">
        <v>6631</v>
      </c>
      <c r="T3064" s="1" t="s">
        <v>6632</v>
      </c>
      <c r="U3064" s="2" t="s">
        <v>5575</v>
      </c>
      <c r="V3064" s="2" t="s">
        <v>47</v>
      </c>
      <c r="W3064" s="2" t="s">
        <v>111</v>
      </c>
      <c r="X3064" s="2">
        <v>1357.9649999999999</v>
      </c>
    </row>
    <row r="3065" spans="1:24" x14ac:dyDescent="0.3">
      <c r="A3065">
        <v>20921</v>
      </c>
      <c r="B3065" t="s">
        <v>7895</v>
      </c>
      <c r="C3065" s="3">
        <v>41331</v>
      </c>
      <c r="D3065" t="s">
        <v>50</v>
      </c>
      <c r="E3065">
        <v>5</v>
      </c>
      <c r="F3065" s="3">
        <f ca="1">41332+(RANDBETWEEN(1,10))</f>
        <v>41340</v>
      </c>
      <c r="G3065" t="s">
        <v>26</v>
      </c>
      <c r="H3065" t="s">
        <v>96</v>
      </c>
      <c r="I3065" t="s">
        <v>97</v>
      </c>
      <c r="J3065">
        <v>159.74</v>
      </c>
      <c r="K3065">
        <v>0.08</v>
      </c>
      <c r="L3065">
        <v>0.38</v>
      </c>
      <c r="M3065">
        <v>15.365</v>
      </c>
      <c r="N3065">
        <v>7.42</v>
      </c>
      <c r="O3065" s="1" t="s">
        <v>53</v>
      </c>
      <c r="P3065" s="1" t="s">
        <v>7896</v>
      </c>
      <c r="Q3065" s="1" t="s">
        <v>7897</v>
      </c>
      <c r="R3065" s="1" t="s">
        <v>440</v>
      </c>
      <c r="S3065" s="1" t="s">
        <v>4911</v>
      </c>
      <c r="T3065" s="1" t="s">
        <v>7898</v>
      </c>
      <c r="U3065" s="2" t="s">
        <v>1254</v>
      </c>
      <c r="V3065" s="2" t="s">
        <v>47</v>
      </c>
      <c r="W3065" s="2" t="s">
        <v>74</v>
      </c>
      <c r="X3065" s="2">
        <v>32.445</v>
      </c>
    </row>
    <row r="3066" spans="1:24" x14ac:dyDescent="0.3">
      <c r="A3066">
        <v>20922</v>
      </c>
      <c r="B3066" t="s">
        <v>7899</v>
      </c>
      <c r="C3066" s="3">
        <v>41310</v>
      </c>
      <c r="D3066" t="s">
        <v>39</v>
      </c>
      <c r="E3066">
        <v>1</v>
      </c>
      <c r="F3066" s="3">
        <f ca="1">41311+(RANDBETWEEN(1,10))</f>
        <v>41318</v>
      </c>
      <c r="G3066" t="s">
        <v>26</v>
      </c>
      <c r="H3066" t="s">
        <v>27</v>
      </c>
      <c r="I3066" t="s">
        <v>52</v>
      </c>
      <c r="J3066">
        <v>71.575000000000003</v>
      </c>
      <c r="K3066">
        <v>7.0000000000000007E-2</v>
      </c>
      <c r="L3066">
        <v>0.38</v>
      </c>
      <c r="M3066">
        <v>20.895</v>
      </c>
      <c r="N3066">
        <v>-998.03200000000004</v>
      </c>
      <c r="O3066" s="1" t="s">
        <v>87</v>
      </c>
      <c r="P3066" s="1" t="s">
        <v>5501</v>
      </c>
      <c r="Q3066" s="1" t="s">
        <v>5502</v>
      </c>
      <c r="R3066" s="1" t="s">
        <v>497</v>
      </c>
      <c r="S3066" s="1" t="s">
        <v>5503</v>
      </c>
      <c r="T3066" s="1" t="s">
        <v>5504</v>
      </c>
      <c r="U3066" s="2" t="s">
        <v>161</v>
      </c>
      <c r="V3066" s="2" t="s">
        <v>47</v>
      </c>
      <c r="W3066" s="2" t="s">
        <v>74</v>
      </c>
      <c r="X3066" s="2">
        <v>69.930000000000007</v>
      </c>
    </row>
    <row r="3067" spans="1:24" x14ac:dyDescent="0.3">
      <c r="A3067">
        <v>20923</v>
      </c>
      <c r="B3067" t="s">
        <v>7900</v>
      </c>
      <c r="C3067" s="3">
        <v>41432</v>
      </c>
      <c r="D3067" t="s">
        <v>25</v>
      </c>
      <c r="E3067">
        <v>2</v>
      </c>
      <c r="F3067" s="3">
        <f ca="1">41436+(RANDBETWEEN(1,10))</f>
        <v>41445</v>
      </c>
      <c r="G3067" t="s">
        <v>156</v>
      </c>
      <c r="H3067" t="s">
        <v>96</v>
      </c>
      <c r="I3067" t="s">
        <v>52</v>
      </c>
      <c r="J3067">
        <v>28.385000000000002</v>
      </c>
      <c r="K3067">
        <v>0.05</v>
      </c>
      <c r="L3067">
        <v>0.56999999999999995</v>
      </c>
      <c r="M3067">
        <v>7.1050000000000004</v>
      </c>
      <c r="N3067">
        <v>-12.096</v>
      </c>
      <c r="O3067" s="1" t="s">
        <v>87</v>
      </c>
      <c r="P3067" s="1" t="s">
        <v>7901</v>
      </c>
      <c r="Q3067" s="1" t="s">
        <v>7902</v>
      </c>
      <c r="R3067" s="1" t="s">
        <v>398</v>
      </c>
      <c r="S3067" s="1" t="s">
        <v>7903</v>
      </c>
      <c r="T3067" s="1" t="s">
        <v>7904</v>
      </c>
      <c r="U3067" s="2" t="s">
        <v>7905</v>
      </c>
      <c r="V3067" s="2" t="s">
        <v>47</v>
      </c>
      <c r="W3067" s="2" t="s">
        <v>104</v>
      </c>
      <c r="X3067" s="2">
        <v>10.43</v>
      </c>
    </row>
    <row r="3068" spans="1:24" x14ac:dyDescent="0.3">
      <c r="A3068">
        <v>20924</v>
      </c>
      <c r="B3068" t="s">
        <v>7906</v>
      </c>
      <c r="C3068" s="3">
        <v>41538</v>
      </c>
      <c r="D3068" t="s">
        <v>62</v>
      </c>
      <c r="E3068">
        <v>14</v>
      </c>
      <c r="F3068" s="3">
        <f ca="1">41540+(RANDBETWEEN(1,10))</f>
        <v>41547</v>
      </c>
      <c r="G3068" t="s">
        <v>26</v>
      </c>
      <c r="H3068" t="s">
        <v>63</v>
      </c>
      <c r="I3068" t="s">
        <v>86</v>
      </c>
      <c r="J3068">
        <v>35561.75</v>
      </c>
      <c r="K3068">
        <v>0.04</v>
      </c>
      <c r="L3068">
        <v>0.54</v>
      </c>
      <c r="M3068">
        <v>85.715000000000003</v>
      </c>
      <c r="N3068">
        <v>18260.434499999999</v>
      </c>
      <c r="O3068" s="1" t="s">
        <v>87</v>
      </c>
      <c r="P3068" s="1" t="s">
        <v>7458</v>
      </c>
      <c r="Q3068" s="1" t="s">
        <v>7459</v>
      </c>
      <c r="R3068" s="1" t="s">
        <v>497</v>
      </c>
      <c r="S3068" s="1" t="s">
        <v>7460</v>
      </c>
      <c r="T3068" s="1" t="s">
        <v>7461</v>
      </c>
      <c r="U3068" s="2" t="s">
        <v>7907</v>
      </c>
      <c r="V3068" s="2" t="s">
        <v>36</v>
      </c>
      <c r="W3068" s="2" t="s">
        <v>1327</v>
      </c>
      <c r="X3068" s="2">
        <v>2449.9650000000001</v>
      </c>
    </row>
    <row r="3069" spans="1:24" x14ac:dyDescent="0.3">
      <c r="A3069">
        <v>20925</v>
      </c>
      <c r="B3069" t="s">
        <v>7908</v>
      </c>
      <c r="C3069" s="3">
        <v>40691</v>
      </c>
      <c r="D3069" t="s">
        <v>148</v>
      </c>
      <c r="E3069">
        <v>10</v>
      </c>
      <c r="F3069" s="3">
        <f ca="1">40691+(RANDBETWEEN(1,10))</f>
        <v>40701</v>
      </c>
      <c r="G3069" t="s">
        <v>26</v>
      </c>
      <c r="H3069" t="s">
        <v>27</v>
      </c>
      <c r="I3069" t="s">
        <v>86</v>
      </c>
      <c r="J3069">
        <v>1328.355</v>
      </c>
      <c r="K3069">
        <v>0.01</v>
      </c>
      <c r="L3069">
        <v>0.4</v>
      </c>
      <c r="M3069">
        <v>23.31</v>
      </c>
      <c r="N3069">
        <v>916.56494999999995</v>
      </c>
      <c r="O3069" s="1" t="s">
        <v>225</v>
      </c>
      <c r="P3069" s="1" t="s">
        <v>1175</v>
      </c>
      <c r="Q3069" s="1" t="s">
        <v>1176</v>
      </c>
      <c r="R3069" s="1" t="s">
        <v>228</v>
      </c>
      <c r="S3069" s="1" t="s">
        <v>1177</v>
      </c>
      <c r="T3069" s="1" t="s">
        <v>1178</v>
      </c>
      <c r="U3069" s="2" t="s">
        <v>6760</v>
      </c>
      <c r="V3069" s="2" t="s">
        <v>47</v>
      </c>
      <c r="W3069" s="2" t="s">
        <v>48</v>
      </c>
      <c r="X3069" s="2">
        <v>125.79</v>
      </c>
    </row>
    <row r="3070" spans="1:24" x14ac:dyDescent="0.3">
      <c r="A3070">
        <v>20926</v>
      </c>
      <c r="B3070" t="s">
        <v>7909</v>
      </c>
      <c r="C3070" s="3">
        <v>41957</v>
      </c>
      <c r="D3070" t="s">
        <v>39</v>
      </c>
      <c r="E3070">
        <v>43</v>
      </c>
      <c r="F3070" s="3">
        <f ca="1">41957+(RANDBETWEEN(1,10))</f>
        <v>41967</v>
      </c>
      <c r="G3070" t="s">
        <v>26</v>
      </c>
      <c r="H3070" t="s">
        <v>281</v>
      </c>
      <c r="I3070" t="s">
        <v>97</v>
      </c>
      <c r="J3070">
        <v>22687.35</v>
      </c>
      <c r="K3070">
        <v>0.01</v>
      </c>
      <c r="L3070">
        <v>0.37</v>
      </c>
      <c r="M3070">
        <v>48.965000000000003</v>
      </c>
      <c r="N3070">
        <v>15654.271500000001</v>
      </c>
      <c r="O3070" s="1" t="s">
        <v>225</v>
      </c>
      <c r="P3070" s="1" t="s">
        <v>6988</v>
      </c>
      <c r="Q3070" s="1" t="s">
        <v>6989</v>
      </c>
      <c r="R3070" s="1" t="s">
        <v>228</v>
      </c>
      <c r="S3070" s="1" t="s">
        <v>6990</v>
      </c>
      <c r="T3070" s="1" t="s">
        <v>6991</v>
      </c>
      <c r="U3070" s="2" t="s">
        <v>7910</v>
      </c>
      <c r="V3070" s="2" t="s">
        <v>36</v>
      </c>
      <c r="W3070" s="2" t="s">
        <v>142</v>
      </c>
      <c r="X3070" s="2">
        <v>493.46499999999997</v>
      </c>
    </row>
    <row r="3071" spans="1:24" x14ac:dyDescent="0.3">
      <c r="A3071">
        <v>20927</v>
      </c>
      <c r="B3071" t="s">
        <v>7911</v>
      </c>
      <c r="C3071" s="3">
        <v>41995</v>
      </c>
      <c r="D3071" t="s">
        <v>50</v>
      </c>
      <c r="E3071">
        <v>2</v>
      </c>
      <c r="F3071" s="3">
        <f ca="1">41998+(RANDBETWEEN(1,10))</f>
        <v>42001</v>
      </c>
      <c r="G3071" t="s">
        <v>76</v>
      </c>
      <c r="H3071" t="s">
        <v>77</v>
      </c>
      <c r="I3071" t="s">
        <v>97</v>
      </c>
      <c r="J3071">
        <v>833.56</v>
      </c>
      <c r="K3071">
        <v>7.0000000000000007E-2</v>
      </c>
      <c r="L3071">
        <v>0.38</v>
      </c>
      <c r="M3071">
        <v>92.05</v>
      </c>
      <c r="N3071">
        <v>-158.51499999999999</v>
      </c>
      <c r="O3071" s="1" t="s">
        <v>29</v>
      </c>
      <c r="P3071" s="1" t="s">
        <v>3246</v>
      </c>
      <c r="Q3071" s="1" t="s">
        <v>3247</v>
      </c>
      <c r="R3071" s="1" t="s">
        <v>32</v>
      </c>
      <c r="S3071" s="1" t="s">
        <v>3248</v>
      </c>
      <c r="T3071" s="1" t="s">
        <v>3249</v>
      </c>
      <c r="U3071" s="2" t="s">
        <v>7068</v>
      </c>
      <c r="V3071" s="2" t="s">
        <v>36</v>
      </c>
      <c r="W3071" s="2" t="s">
        <v>142</v>
      </c>
      <c r="X3071" s="2">
        <v>423.39499999999998</v>
      </c>
    </row>
    <row r="3072" spans="1:24" x14ac:dyDescent="0.3">
      <c r="A3072">
        <v>20928</v>
      </c>
      <c r="B3072" t="s">
        <v>7912</v>
      </c>
      <c r="C3072" s="3">
        <v>41673</v>
      </c>
      <c r="D3072" t="s">
        <v>50</v>
      </c>
      <c r="E3072">
        <v>9</v>
      </c>
      <c r="F3072" s="3">
        <f ca="1">41675+(RANDBETWEEN(1,10))</f>
        <v>41682</v>
      </c>
      <c r="G3072" t="s">
        <v>26</v>
      </c>
      <c r="H3072" t="s">
        <v>96</v>
      </c>
      <c r="I3072" t="s">
        <v>97</v>
      </c>
      <c r="J3072">
        <v>158.72499999999999</v>
      </c>
      <c r="K3072">
        <v>0.1</v>
      </c>
      <c r="L3072">
        <v>0.51</v>
      </c>
      <c r="M3072">
        <v>12.705</v>
      </c>
      <c r="N3072">
        <v>-113.4</v>
      </c>
      <c r="O3072" s="1" t="s">
        <v>225</v>
      </c>
      <c r="P3072" s="1" t="s">
        <v>7447</v>
      </c>
      <c r="Q3072" s="1" t="s">
        <v>7448</v>
      </c>
      <c r="R3072" s="1" t="s">
        <v>228</v>
      </c>
      <c r="S3072" s="1" t="s">
        <v>2325</v>
      </c>
      <c r="T3072" s="1" t="s">
        <v>2326</v>
      </c>
      <c r="U3072" s="2" t="s">
        <v>4165</v>
      </c>
      <c r="V3072" s="2" t="s">
        <v>83</v>
      </c>
      <c r="W3072" s="2" t="s">
        <v>178</v>
      </c>
      <c r="X3072" s="2">
        <v>17.78</v>
      </c>
    </row>
    <row r="3073" spans="1:24" x14ac:dyDescent="0.3">
      <c r="A3073">
        <v>20929</v>
      </c>
      <c r="B3073" t="s">
        <v>7913</v>
      </c>
      <c r="C3073" s="3">
        <v>40577</v>
      </c>
      <c r="D3073" t="s">
        <v>50</v>
      </c>
      <c r="E3073">
        <v>7</v>
      </c>
      <c r="F3073" s="3">
        <f ca="1">40579+(RANDBETWEEN(1,10))</f>
        <v>40580</v>
      </c>
      <c r="G3073" t="s">
        <v>26</v>
      </c>
      <c r="H3073" t="s">
        <v>27</v>
      </c>
      <c r="I3073" t="s">
        <v>97</v>
      </c>
      <c r="J3073">
        <v>797.26499999999999</v>
      </c>
      <c r="K3073">
        <v>0.02</v>
      </c>
      <c r="L3073">
        <v>0.85</v>
      </c>
      <c r="M3073">
        <v>17.5</v>
      </c>
      <c r="N3073">
        <v>-423.26900000000001</v>
      </c>
      <c r="O3073" s="1" t="s">
        <v>225</v>
      </c>
      <c r="P3073" s="1" t="s">
        <v>7447</v>
      </c>
      <c r="Q3073" s="1" t="s">
        <v>7448</v>
      </c>
      <c r="R3073" s="1" t="s">
        <v>228</v>
      </c>
      <c r="S3073" s="1" t="s">
        <v>2325</v>
      </c>
      <c r="T3073" s="1" t="s">
        <v>2326</v>
      </c>
      <c r="U3073" s="2" t="s">
        <v>6099</v>
      </c>
      <c r="V3073" s="2" t="s">
        <v>36</v>
      </c>
      <c r="W3073" s="2" t="s">
        <v>37</v>
      </c>
      <c r="X3073" s="2">
        <v>125.965</v>
      </c>
    </row>
    <row r="3074" spans="1:24" x14ac:dyDescent="0.3">
      <c r="A3074">
        <v>20930</v>
      </c>
      <c r="B3074" t="s">
        <v>7914</v>
      </c>
      <c r="C3074" s="3">
        <v>41713</v>
      </c>
      <c r="D3074" t="s">
        <v>50</v>
      </c>
      <c r="E3074">
        <v>1</v>
      </c>
      <c r="F3074" s="3">
        <f ca="1">41714+(RANDBETWEEN(1,10))</f>
        <v>41715</v>
      </c>
      <c r="G3074" t="s">
        <v>76</v>
      </c>
      <c r="H3074" t="s">
        <v>258</v>
      </c>
      <c r="I3074" t="s">
        <v>52</v>
      </c>
      <c r="J3074">
        <v>370.93</v>
      </c>
      <c r="K3074">
        <v>0.1</v>
      </c>
      <c r="L3074">
        <v>0.6</v>
      </c>
      <c r="M3074">
        <v>91.77</v>
      </c>
      <c r="N3074">
        <v>-505.505</v>
      </c>
      <c r="O3074" s="1" t="s">
        <v>29</v>
      </c>
      <c r="P3074" s="1" t="s">
        <v>5215</v>
      </c>
      <c r="Q3074" s="1" t="s">
        <v>5216</v>
      </c>
      <c r="R3074" s="1" t="s">
        <v>32</v>
      </c>
      <c r="S3074" s="1" t="s">
        <v>5217</v>
      </c>
      <c r="T3074" s="1" t="s">
        <v>5218</v>
      </c>
      <c r="U3074" s="2" t="s">
        <v>1151</v>
      </c>
      <c r="V3074" s="2" t="s">
        <v>83</v>
      </c>
      <c r="W3074" s="2" t="s">
        <v>298</v>
      </c>
      <c r="X3074" s="2">
        <v>353.43</v>
      </c>
    </row>
    <row r="3075" spans="1:24" x14ac:dyDescent="0.3">
      <c r="A3075">
        <v>20931</v>
      </c>
      <c r="B3075" t="s">
        <v>7914</v>
      </c>
      <c r="C3075" s="3">
        <v>41713</v>
      </c>
      <c r="D3075" t="s">
        <v>50</v>
      </c>
      <c r="E3075">
        <v>2</v>
      </c>
      <c r="F3075" s="3">
        <f ca="1">41714+(RANDBETWEEN(1,10))</f>
        <v>41723</v>
      </c>
      <c r="G3075" t="s">
        <v>26</v>
      </c>
      <c r="H3075" t="s">
        <v>281</v>
      </c>
      <c r="I3075" t="s">
        <v>52</v>
      </c>
      <c r="J3075">
        <v>380.87</v>
      </c>
      <c r="K3075">
        <v>0.03</v>
      </c>
      <c r="L3075">
        <v>0.65</v>
      </c>
      <c r="M3075">
        <v>64.575000000000003</v>
      </c>
      <c r="N3075">
        <v>262.80029999999999</v>
      </c>
      <c r="O3075" s="1" t="s">
        <v>29</v>
      </c>
      <c r="P3075" s="1" t="s">
        <v>5215</v>
      </c>
      <c r="Q3075" s="1" t="s">
        <v>5216</v>
      </c>
      <c r="R3075" s="1" t="s">
        <v>32</v>
      </c>
      <c r="S3075" s="1" t="s">
        <v>5217</v>
      </c>
      <c r="T3075" s="1" t="s">
        <v>5218</v>
      </c>
      <c r="U3075" s="2" t="s">
        <v>3758</v>
      </c>
      <c r="V3075" s="2" t="s">
        <v>83</v>
      </c>
      <c r="W3075" s="2" t="s">
        <v>178</v>
      </c>
      <c r="X3075" s="2">
        <v>180.77500000000001</v>
      </c>
    </row>
    <row r="3076" spans="1:24" x14ac:dyDescent="0.3">
      <c r="A3076">
        <v>20932</v>
      </c>
      <c r="B3076" t="s">
        <v>7915</v>
      </c>
      <c r="C3076" s="3">
        <v>41171</v>
      </c>
      <c r="D3076" t="s">
        <v>25</v>
      </c>
      <c r="E3076">
        <v>10</v>
      </c>
      <c r="F3076" s="3">
        <f ca="1">41173+(RANDBETWEEN(1,10))</f>
        <v>41182</v>
      </c>
      <c r="G3076" t="s">
        <v>26</v>
      </c>
      <c r="H3076" t="s">
        <v>27</v>
      </c>
      <c r="I3076" t="s">
        <v>86</v>
      </c>
      <c r="J3076">
        <v>1722.63</v>
      </c>
      <c r="K3076">
        <v>0.02</v>
      </c>
      <c r="L3076">
        <v>0.56000000000000005</v>
      </c>
      <c r="M3076">
        <v>13.965</v>
      </c>
      <c r="N3076">
        <v>1047.7249999999999</v>
      </c>
      <c r="O3076" s="1" t="s">
        <v>225</v>
      </c>
      <c r="P3076" s="1" t="s">
        <v>7916</v>
      </c>
      <c r="Q3076" s="1" t="s">
        <v>7917</v>
      </c>
      <c r="R3076" s="1" t="s">
        <v>391</v>
      </c>
      <c r="S3076" s="1" t="s">
        <v>7918</v>
      </c>
      <c r="T3076" s="1" t="s">
        <v>7919</v>
      </c>
      <c r="U3076" s="2" t="s">
        <v>1399</v>
      </c>
      <c r="V3076" s="2" t="s">
        <v>47</v>
      </c>
      <c r="W3076" s="2" t="s">
        <v>71</v>
      </c>
      <c r="X3076" s="2">
        <v>170.03</v>
      </c>
    </row>
    <row r="3077" spans="1:24" x14ac:dyDescent="0.3">
      <c r="A3077">
        <v>20933</v>
      </c>
      <c r="B3077" t="s">
        <v>7915</v>
      </c>
      <c r="C3077" s="3">
        <v>41171</v>
      </c>
      <c r="D3077" t="s">
        <v>25</v>
      </c>
      <c r="E3077">
        <v>3</v>
      </c>
      <c r="F3077" s="3">
        <f ca="1">41173+(RANDBETWEEN(1,10))</f>
        <v>41176</v>
      </c>
      <c r="G3077" t="s">
        <v>26</v>
      </c>
      <c r="H3077" t="s">
        <v>27</v>
      </c>
      <c r="I3077" t="s">
        <v>86</v>
      </c>
      <c r="J3077">
        <v>1890.3150000000001</v>
      </c>
      <c r="K3077">
        <v>0.03</v>
      </c>
      <c r="L3077">
        <v>0.6</v>
      </c>
      <c r="M3077">
        <v>31.465</v>
      </c>
      <c r="N3077">
        <v>-1830.4825000000001</v>
      </c>
      <c r="O3077" s="1" t="s">
        <v>225</v>
      </c>
      <c r="P3077" s="1" t="s">
        <v>7916</v>
      </c>
      <c r="Q3077" s="1" t="s">
        <v>7917</v>
      </c>
      <c r="R3077" s="1" t="s">
        <v>391</v>
      </c>
      <c r="S3077" s="1" t="s">
        <v>7918</v>
      </c>
      <c r="T3077" s="1" t="s">
        <v>7919</v>
      </c>
      <c r="U3077" s="2" t="s">
        <v>2580</v>
      </c>
      <c r="V3077" s="2" t="s">
        <v>36</v>
      </c>
      <c r="W3077" s="2" t="s">
        <v>37</v>
      </c>
      <c r="X3077" s="2">
        <v>720.96500000000003</v>
      </c>
    </row>
    <row r="3078" spans="1:24" x14ac:dyDescent="0.3">
      <c r="A3078">
        <v>20934</v>
      </c>
      <c r="B3078" t="s">
        <v>7920</v>
      </c>
      <c r="C3078" s="3">
        <v>41746</v>
      </c>
      <c r="D3078" t="s">
        <v>148</v>
      </c>
      <c r="E3078">
        <v>1</v>
      </c>
      <c r="F3078" s="3">
        <f ca="1">41747+(RANDBETWEEN(1,10))</f>
        <v>41748</v>
      </c>
      <c r="G3078" t="s">
        <v>26</v>
      </c>
      <c r="H3078" t="s">
        <v>27</v>
      </c>
      <c r="I3078" t="s">
        <v>86</v>
      </c>
      <c r="J3078">
        <v>318.57</v>
      </c>
      <c r="K3078">
        <v>0.04</v>
      </c>
      <c r="L3078">
        <v>0.38</v>
      </c>
      <c r="M3078">
        <v>69.965000000000003</v>
      </c>
      <c r="N3078">
        <v>97.3</v>
      </c>
      <c r="O3078" s="1" t="s">
        <v>64</v>
      </c>
      <c r="P3078" s="1" t="s">
        <v>3965</v>
      </c>
      <c r="Q3078" s="1" t="s">
        <v>3966</v>
      </c>
      <c r="R3078" s="1" t="s">
        <v>128</v>
      </c>
      <c r="S3078" s="1" t="s">
        <v>3967</v>
      </c>
      <c r="T3078" s="1" t="s">
        <v>2650</v>
      </c>
      <c r="U3078" s="2" t="s">
        <v>6175</v>
      </c>
      <c r="V3078" s="2" t="s">
        <v>47</v>
      </c>
      <c r="W3078" s="2" t="s">
        <v>48</v>
      </c>
      <c r="X3078" s="2">
        <v>293.755</v>
      </c>
    </row>
    <row r="3079" spans="1:24" x14ac:dyDescent="0.3">
      <c r="A3079">
        <v>20935</v>
      </c>
      <c r="B3079" t="s">
        <v>7921</v>
      </c>
      <c r="C3079" s="3">
        <v>41093</v>
      </c>
      <c r="D3079" t="s">
        <v>148</v>
      </c>
      <c r="E3079">
        <v>10</v>
      </c>
      <c r="F3079" s="3">
        <f ca="1">41094+(RANDBETWEEN(1,10))</f>
        <v>41102</v>
      </c>
      <c r="G3079" t="s">
        <v>26</v>
      </c>
      <c r="H3079" t="s">
        <v>96</v>
      </c>
      <c r="I3079" t="s">
        <v>28</v>
      </c>
      <c r="J3079">
        <v>59.92</v>
      </c>
      <c r="K3079">
        <v>0.02</v>
      </c>
      <c r="L3079">
        <v>0.59</v>
      </c>
      <c r="M3079">
        <v>5.4950000000000001</v>
      </c>
      <c r="N3079">
        <v>-106.89</v>
      </c>
      <c r="O3079" s="1" t="s">
        <v>87</v>
      </c>
      <c r="P3079" s="1" t="s">
        <v>3612</v>
      </c>
      <c r="Q3079" s="1" t="s">
        <v>3613</v>
      </c>
      <c r="R3079" s="1" t="s">
        <v>90</v>
      </c>
      <c r="S3079" s="1" t="s">
        <v>1093</v>
      </c>
      <c r="T3079" s="1" t="s">
        <v>1094</v>
      </c>
      <c r="U3079" s="2" t="s">
        <v>2439</v>
      </c>
      <c r="V3079" s="2" t="s">
        <v>47</v>
      </c>
      <c r="W3079" s="2" t="s">
        <v>104</v>
      </c>
      <c r="X3079" s="2">
        <v>5.88</v>
      </c>
    </row>
    <row r="3080" spans="1:24" x14ac:dyDescent="0.3">
      <c r="A3080">
        <v>20936</v>
      </c>
      <c r="B3080" t="s">
        <v>7921</v>
      </c>
      <c r="C3080" s="3">
        <v>41093</v>
      </c>
      <c r="D3080" t="s">
        <v>148</v>
      </c>
      <c r="E3080">
        <v>14</v>
      </c>
      <c r="F3080" s="3">
        <f ca="1">41095+(RANDBETWEEN(1,10))</f>
        <v>41104</v>
      </c>
      <c r="G3080" t="s">
        <v>26</v>
      </c>
      <c r="H3080" t="s">
        <v>96</v>
      </c>
      <c r="I3080" t="s">
        <v>28</v>
      </c>
      <c r="J3080">
        <v>317.8</v>
      </c>
      <c r="K3080">
        <v>0.1</v>
      </c>
      <c r="L3080">
        <v>0.47</v>
      </c>
      <c r="M3080">
        <v>8.2249999999999996</v>
      </c>
      <c r="N3080">
        <v>83.37</v>
      </c>
      <c r="O3080" s="1" t="s">
        <v>87</v>
      </c>
      <c r="P3080" s="1" t="s">
        <v>3612</v>
      </c>
      <c r="Q3080" s="1" t="s">
        <v>3613</v>
      </c>
      <c r="R3080" s="1" t="s">
        <v>90</v>
      </c>
      <c r="S3080" s="1" t="s">
        <v>1093</v>
      </c>
      <c r="T3080" s="1" t="s">
        <v>1094</v>
      </c>
      <c r="U3080" s="2" t="s">
        <v>6690</v>
      </c>
      <c r="V3080" s="2" t="s">
        <v>47</v>
      </c>
      <c r="W3080" s="2" t="s">
        <v>104</v>
      </c>
      <c r="X3080" s="2">
        <v>24.78</v>
      </c>
    </row>
    <row r="3081" spans="1:24" x14ac:dyDescent="0.3">
      <c r="A3081">
        <v>20937</v>
      </c>
      <c r="B3081" t="s">
        <v>7922</v>
      </c>
      <c r="C3081" s="3">
        <v>40679</v>
      </c>
      <c r="D3081" t="s">
        <v>62</v>
      </c>
      <c r="E3081">
        <v>6</v>
      </c>
      <c r="F3081" s="3">
        <f ca="1">40680+(RANDBETWEEN(1,10))</f>
        <v>40685</v>
      </c>
      <c r="G3081" t="s">
        <v>156</v>
      </c>
      <c r="H3081" t="s">
        <v>281</v>
      </c>
      <c r="I3081" t="s">
        <v>86</v>
      </c>
      <c r="J3081">
        <v>346.36</v>
      </c>
      <c r="K3081">
        <v>0</v>
      </c>
      <c r="L3081">
        <v>0.52</v>
      </c>
      <c r="M3081">
        <v>23.625</v>
      </c>
      <c r="N3081">
        <v>32.655000000000001</v>
      </c>
      <c r="O3081" s="1" t="s">
        <v>64</v>
      </c>
      <c r="P3081" s="1" t="s">
        <v>7923</v>
      </c>
      <c r="Q3081" s="1" t="s">
        <v>7924</v>
      </c>
      <c r="R3081" s="1" t="s">
        <v>128</v>
      </c>
      <c r="S3081" s="1" t="s">
        <v>7925</v>
      </c>
      <c r="T3081" s="1" t="s">
        <v>7926</v>
      </c>
      <c r="U3081" s="2" t="s">
        <v>1196</v>
      </c>
      <c r="V3081" s="2" t="s">
        <v>47</v>
      </c>
      <c r="W3081" s="2" t="s">
        <v>71</v>
      </c>
      <c r="X3081" s="2">
        <v>50.47</v>
      </c>
    </row>
    <row r="3082" spans="1:24" x14ac:dyDescent="0.3">
      <c r="A3082">
        <v>20938</v>
      </c>
      <c r="B3082" t="s">
        <v>7927</v>
      </c>
      <c r="C3082" s="3">
        <v>40849</v>
      </c>
      <c r="D3082" t="s">
        <v>25</v>
      </c>
      <c r="E3082">
        <v>5</v>
      </c>
      <c r="F3082" s="3">
        <f ca="1">40851+(RANDBETWEEN(1,10))</f>
        <v>40852</v>
      </c>
      <c r="G3082" t="s">
        <v>26</v>
      </c>
      <c r="H3082" t="s">
        <v>27</v>
      </c>
      <c r="I3082" t="s">
        <v>97</v>
      </c>
      <c r="J3082">
        <v>163.97499999999999</v>
      </c>
      <c r="K3082">
        <v>0.04</v>
      </c>
      <c r="L3082">
        <v>0.38</v>
      </c>
      <c r="M3082">
        <v>21.664999999999999</v>
      </c>
      <c r="N3082">
        <v>1083.9906000000001</v>
      </c>
      <c r="O3082" s="1" t="s">
        <v>53</v>
      </c>
      <c r="P3082" s="1" t="s">
        <v>3660</v>
      </c>
      <c r="Q3082" s="1" t="s">
        <v>3661</v>
      </c>
      <c r="R3082" s="1" t="s">
        <v>56</v>
      </c>
      <c r="S3082" s="1" t="s">
        <v>3662</v>
      </c>
      <c r="T3082" s="1" t="s">
        <v>3663</v>
      </c>
      <c r="U3082" s="2" t="s">
        <v>1202</v>
      </c>
      <c r="V3082" s="2" t="s">
        <v>47</v>
      </c>
      <c r="W3082" s="2" t="s">
        <v>111</v>
      </c>
      <c r="X3082" s="2">
        <v>30.1</v>
      </c>
    </row>
    <row r="3083" spans="1:24" x14ac:dyDescent="0.3">
      <c r="A3083">
        <v>20939</v>
      </c>
      <c r="B3083" t="s">
        <v>7927</v>
      </c>
      <c r="C3083" s="3">
        <v>40849</v>
      </c>
      <c r="D3083" t="s">
        <v>25</v>
      </c>
      <c r="E3083">
        <v>26</v>
      </c>
      <c r="F3083" s="3">
        <f ca="1">40853+(RANDBETWEEN(1,10))</f>
        <v>40859</v>
      </c>
      <c r="G3083" t="s">
        <v>26</v>
      </c>
      <c r="H3083" t="s">
        <v>96</v>
      </c>
      <c r="I3083" t="s">
        <v>97</v>
      </c>
      <c r="J3083">
        <v>327.495</v>
      </c>
      <c r="K3083">
        <v>0.01</v>
      </c>
      <c r="L3083">
        <v>0.36</v>
      </c>
      <c r="M3083">
        <v>5.7050000000000001</v>
      </c>
      <c r="N3083">
        <v>-450.99599999999998</v>
      </c>
      <c r="O3083" s="1" t="s">
        <v>53</v>
      </c>
      <c r="P3083" s="1" t="s">
        <v>3660</v>
      </c>
      <c r="Q3083" s="1" t="s">
        <v>3661</v>
      </c>
      <c r="R3083" s="1" t="s">
        <v>56</v>
      </c>
      <c r="S3083" s="1" t="s">
        <v>3662</v>
      </c>
      <c r="T3083" s="1" t="s">
        <v>3663</v>
      </c>
      <c r="U3083" s="2" t="s">
        <v>1087</v>
      </c>
      <c r="V3083" s="2" t="s">
        <v>47</v>
      </c>
      <c r="W3083" s="2" t="s">
        <v>176</v>
      </c>
      <c r="X3083" s="2">
        <v>12.53</v>
      </c>
    </row>
    <row r="3084" spans="1:24" x14ac:dyDescent="0.3">
      <c r="A3084">
        <v>20940</v>
      </c>
      <c r="B3084" t="s">
        <v>7927</v>
      </c>
      <c r="C3084" s="3">
        <v>40849</v>
      </c>
      <c r="D3084" t="s">
        <v>25</v>
      </c>
      <c r="E3084">
        <v>34</v>
      </c>
      <c r="F3084" s="3">
        <f ca="1">40856+(RANDBETWEEN(1,10))</f>
        <v>40864</v>
      </c>
      <c r="G3084" t="s">
        <v>76</v>
      </c>
      <c r="H3084" t="s">
        <v>258</v>
      </c>
      <c r="I3084" t="s">
        <v>97</v>
      </c>
      <c r="J3084">
        <v>9430.7150000000001</v>
      </c>
      <c r="K3084">
        <v>0.08</v>
      </c>
      <c r="L3084">
        <v>0.75</v>
      </c>
      <c r="M3084">
        <v>145.74</v>
      </c>
      <c r="N3084">
        <v>-129.31100000000001</v>
      </c>
      <c r="O3084" s="1" t="s">
        <v>53</v>
      </c>
      <c r="P3084" s="1" t="s">
        <v>3660</v>
      </c>
      <c r="Q3084" s="1" t="s">
        <v>3661</v>
      </c>
      <c r="R3084" s="1" t="s">
        <v>56</v>
      </c>
      <c r="S3084" s="1" t="s">
        <v>3662</v>
      </c>
      <c r="T3084" s="1" t="s">
        <v>3663</v>
      </c>
      <c r="U3084" s="2" t="s">
        <v>1314</v>
      </c>
      <c r="V3084" s="2" t="s">
        <v>83</v>
      </c>
      <c r="W3084" s="2" t="s">
        <v>263</v>
      </c>
      <c r="X3084" s="2">
        <v>369.21499999999997</v>
      </c>
    </row>
    <row r="3085" spans="1:24" x14ac:dyDescent="0.3">
      <c r="A3085">
        <v>20941</v>
      </c>
      <c r="B3085" t="s">
        <v>7928</v>
      </c>
      <c r="C3085" s="3">
        <v>41094</v>
      </c>
      <c r="D3085" t="s">
        <v>39</v>
      </c>
      <c r="E3085">
        <v>12</v>
      </c>
      <c r="F3085" s="3">
        <f ca="1">41096+(RANDBETWEEN(1,10))</f>
        <v>41097</v>
      </c>
      <c r="G3085" t="s">
        <v>26</v>
      </c>
      <c r="H3085" t="s">
        <v>27</v>
      </c>
      <c r="I3085" t="s">
        <v>97</v>
      </c>
      <c r="J3085">
        <v>1453.55</v>
      </c>
      <c r="K3085">
        <v>0.1</v>
      </c>
      <c r="L3085">
        <v>0.35</v>
      </c>
      <c r="M3085">
        <v>10.465</v>
      </c>
      <c r="N3085">
        <v>1002.9494999999999</v>
      </c>
      <c r="O3085" s="1" t="s">
        <v>225</v>
      </c>
      <c r="P3085" s="1" t="s">
        <v>1482</v>
      </c>
      <c r="Q3085" s="1" t="s">
        <v>1483</v>
      </c>
      <c r="R3085" s="1" t="s">
        <v>391</v>
      </c>
      <c r="S3085" s="1" t="s">
        <v>1484</v>
      </c>
      <c r="T3085" s="1" t="s">
        <v>1485</v>
      </c>
      <c r="U3085" s="2" t="s">
        <v>1132</v>
      </c>
      <c r="V3085" s="2" t="s">
        <v>47</v>
      </c>
      <c r="W3085" s="2" t="s">
        <v>111</v>
      </c>
      <c r="X3085" s="2">
        <v>131.94999999999999</v>
      </c>
    </row>
    <row r="3086" spans="1:24" x14ac:dyDescent="0.3">
      <c r="A3086">
        <v>20942</v>
      </c>
      <c r="B3086" t="s">
        <v>7929</v>
      </c>
      <c r="C3086" s="3">
        <v>41028</v>
      </c>
      <c r="D3086" t="s">
        <v>148</v>
      </c>
      <c r="E3086">
        <v>3</v>
      </c>
      <c r="F3086" s="3">
        <f ca="1">41031+(RANDBETWEEN(1,10))</f>
        <v>41032</v>
      </c>
      <c r="G3086" t="s">
        <v>26</v>
      </c>
      <c r="H3086" t="s">
        <v>27</v>
      </c>
      <c r="I3086" t="s">
        <v>52</v>
      </c>
      <c r="J3086">
        <v>159.91499999999999</v>
      </c>
      <c r="K3086">
        <v>0.03</v>
      </c>
      <c r="L3086">
        <v>0.56999999999999995</v>
      </c>
      <c r="M3086">
        <v>26.914999999999999</v>
      </c>
      <c r="N3086">
        <v>-143.29</v>
      </c>
      <c r="O3086" s="1" t="s">
        <v>87</v>
      </c>
      <c r="P3086" s="1" t="s">
        <v>7930</v>
      </c>
      <c r="Q3086" s="1" t="s">
        <v>7931</v>
      </c>
      <c r="R3086" s="1" t="s">
        <v>398</v>
      </c>
      <c r="S3086" s="1" t="s">
        <v>581</v>
      </c>
      <c r="T3086" s="1" t="s">
        <v>582</v>
      </c>
      <c r="U3086" s="2" t="s">
        <v>3304</v>
      </c>
      <c r="V3086" s="2" t="s">
        <v>47</v>
      </c>
      <c r="W3086" s="2" t="s">
        <v>119</v>
      </c>
      <c r="X3086" s="2">
        <v>52.43</v>
      </c>
    </row>
    <row r="3087" spans="1:24" x14ac:dyDescent="0.3">
      <c r="A3087">
        <v>20943</v>
      </c>
      <c r="B3087" t="s">
        <v>7929</v>
      </c>
      <c r="C3087" s="3">
        <v>41028</v>
      </c>
      <c r="D3087" t="s">
        <v>148</v>
      </c>
      <c r="E3087">
        <v>1</v>
      </c>
      <c r="F3087" s="3">
        <f ca="1">41029+(RANDBETWEEN(1,10))</f>
        <v>41033</v>
      </c>
      <c r="G3087" t="s">
        <v>76</v>
      </c>
      <c r="H3087" t="s">
        <v>77</v>
      </c>
      <c r="I3087" t="s">
        <v>52</v>
      </c>
      <c r="J3087">
        <v>1652.77</v>
      </c>
      <c r="K3087">
        <v>0.01</v>
      </c>
      <c r="L3087">
        <v>0.38</v>
      </c>
      <c r="M3087">
        <v>171.5</v>
      </c>
      <c r="N3087">
        <v>-3649.4989999999998</v>
      </c>
      <c r="O3087" s="1" t="s">
        <v>29</v>
      </c>
      <c r="P3087" s="1" t="s">
        <v>7932</v>
      </c>
      <c r="Q3087" s="1" t="s">
        <v>7933</v>
      </c>
      <c r="R3087" s="1" t="s">
        <v>460</v>
      </c>
      <c r="S3087" s="1" t="s">
        <v>7934</v>
      </c>
      <c r="T3087" s="1" t="s">
        <v>3782</v>
      </c>
      <c r="U3087" s="2" t="s">
        <v>1480</v>
      </c>
      <c r="V3087" s="2" t="s">
        <v>36</v>
      </c>
      <c r="W3087" s="2" t="s">
        <v>1327</v>
      </c>
      <c r="X3087" s="2">
        <v>1574.9649999999999</v>
      </c>
    </row>
    <row r="3088" spans="1:24" x14ac:dyDescent="0.3">
      <c r="A3088">
        <v>20944</v>
      </c>
      <c r="B3088" t="s">
        <v>7929</v>
      </c>
      <c r="C3088" s="3">
        <v>41028</v>
      </c>
      <c r="D3088" t="s">
        <v>148</v>
      </c>
      <c r="E3088">
        <v>11</v>
      </c>
      <c r="F3088" s="3">
        <f ca="1">41029+(RANDBETWEEN(1,10))</f>
        <v>41034</v>
      </c>
      <c r="G3088" t="s">
        <v>76</v>
      </c>
      <c r="H3088" t="s">
        <v>77</v>
      </c>
      <c r="I3088" t="s">
        <v>52</v>
      </c>
      <c r="J3088">
        <v>971.98500000000001</v>
      </c>
      <c r="K3088">
        <v>0.04</v>
      </c>
      <c r="L3088">
        <v>0.62</v>
      </c>
      <c r="M3088">
        <v>54.88</v>
      </c>
      <c r="N3088">
        <v>-612.29</v>
      </c>
      <c r="O3088" s="1" t="s">
        <v>64</v>
      </c>
      <c r="P3088" s="1" t="s">
        <v>7935</v>
      </c>
      <c r="Q3088" s="1" t="s">
        <v>7936</v>
      </c>
      <c r="R3088" s="1" t="s">
        <v>128</v>
      </c>
      <c r="S3088" s="1" t="s">
        <v>1686</v>
      </c>
      <c r="T3088" s="1" t="s">
        <v>1687</v>
      </c>
      <c r="U3088" s="2" t="s">
        <v>7937</v>
      </c>
      <c r="V3088" s="2" t="s">
        <v>83</v>
      </c>
      <c r="W3088" s="2" t="s">
        <v>178</v>
      </c>
      <c r="X3088" s="2">
        <v>83.965000000000003</v>
      </c>
    </row>
    <row r="3089" spans="1:24" x14ac:dyDescent="0.3">
      <c r="A3089">
        <v>20945</v>
      </c>
      <c r="B3089" t="s">
        <v>7938</v>
      </c>
      <c r="C3089" s="3">
        <v>41982</v>
      </c>
      <c r="D3089" t="s">
        <v>25</v>
      </c>
      <c r="E3089">
        <v>15</v>
      </c>
      <c r="F3089" s="3">
        <f ca="1">41986+(RANDBETWEEN(1,10))</f>
        <v>41992</v>
      </c>
      <c r="G3089" t="s">
        <v>26</v>
      </c>
      <c r="H3089" t="s">
        <v>51</v>
      </c>
      <c r="I3089" t="s">
        <v>28</v>
      </c>
      <c r="J3089">
        <v>1063.02</v>
      </c>
      <c r="K3089">
        <v>0.08</v>
      </c>
      <c r="L3089">
        <v>0.48</v>
      </c>
      <c r="M3089">
        <v>6.9649999999999999</v>
      </c>
      <c r="N3089">
        <v>733.48379999999997</v>
      </c>
      <c r="O3089" s="1" t="s">
        <v>53</v>
      </c>
      <c r="P3089" s="1" t="s">
        <v>7939</v>
      </c>
      <c r="Q3089" s="1" t="s">
        <v>7940</v>
      </c>
      <c r="R3089" s="1" t="s">
        <v>100</v>
      </c>
      <c r="S3089" s="1" t="s">
        <v>7941</v>
      </c>
      <c r="T3089" s="1" t="s">
        <v>7942</v>
      </c>
      <c r="U3089" s="2" t="s">
        <v>5583</v>
      </c>
      <c r="V3089" s="2" t="s">
        <v>36</v>
      </c>
      <c r="W3089" s="2" t="s">
        <v>60</v>
      </c>
      <c r="X3089" s="2">
        <v>73.114999999999995</v>
      </c>
    </row>
    <row r="3090" spans="1:24" x14ac:dyDescent="0.3">
      <c r="A3090">
        <v>20946</v>
      </c>
      <c r="B3090" t="s">
        <v>7938</v>
      </c>
      <c r="C3090" s="3">
        <v>41982</v>
      </c>
      <c r="D3090" t="s">
        <v>25</v>
      </c>
      <c r="E3090">
        <v>20</v>
      </c>
      <c r="F3090" s="3">
        <f ca="1">41991+(RANDBETWEEN(1,10))</f>
        <v>42001</v>
      </c>
      <c r="G3090" t="s">
        <v>26</v>
      </c>
      <c r="H3090" t="s">
        <v>27</v>
      </c>
      <c r="I3090" t="s">
        <v>28</v>
      </c>
      <c r="J3090">
        <v>198.87</v>
      </c>
      <c r="K3090">
        <v>0.05</v>
      </c>
      <c r="L3090">
        <v>0.38</v>
      </c>
      <c r="M3090">
        <v>1.75</v>
      </c>
      <c r="N3090">
        <v>137.22030000000001</v>
      </c>
      <c r="O3090" s="1" t="s">
        <v>87</v>
      </c>
      <c r="P3090" s="1" t="s">
        <v>7943</v>
      </c>
      <c r="Q3090" s="1" t="s">
        <v>7944</v>
      </c>
      <c r="R3090" s="1" t="s">
        <v>90</v>
      </c>
      <c r="S3090" s="1" t="s">
        <v>7945</v>
      </c>
      <c r="T3090" s="1" t="s">
        <v>7946</v>
      </c>
      <c r="U3090" s="2" t="s">
        <v>468</v>
      </c>
      <c r="V3090" s="2" t="s">
        <v>47</v>
      </c>
      <c r="W3090" s="2" t="s">
        <v>203</v>
      </c>
      <c r="X3090" s="2">
        <v>10.115</v>
      </c>
    </row>
    <row r="3091" spans="1:24" x14ac:dyDescent="0.3">
      <c r="A3091">
        <v>20947</v>
      </c>
      <c r="B3091" t="s">
        <v>7938</v>
      </c>
      <c r="C3091" s="3">
        <v>41982</v>
      </c>
      <c r="D3091" t="s">
        <v>25</v>
      </c>
      <c r="E3091">
        <v>24</v>
      </c>
      <c r="F3091" s="3">
        <f ca="1">41989+(RANDBETWEEN(1,10))</f>
        <v>41999</v>
      </c>
      <c r="G3091" t="s">
        <v>26</v>
      </c>
      <c r="H3091" t="s">
        <v>281</v>
      </c>
      <c r="I3091" t="s">
        <v>28</v>
      </c>
      <c r="J3091">
        <v>3520.0549999999998</v>
      </c>
      <c r="K3091">
        <v>0.01</v>
      </c>
      <c r="L3091">
        <v>0.76</v>
      </c>
      <c r="M3091">
        <v>30.31</v>
      </c>
      <c r="N3091">
        <v>996.31168000000002</v>
      </c>
      <c r="O3091" s="1" t="s">
        <v>87</v>
      </c>
      <c r="P3091" s="1" t="s">
        <v>7947</v>
      </c>
      <c r="Q3091" s="1" t="s">
        <v>7948</v>
      </c>
      <c r="R3091" s="1" t="s">
        <v>398</v>
      </c>
      <c r="S3091" s="1" t="s">
        <v>7949</v>
      </c>
      <c r="T3091" s="1" t="s">
        <v>3865</v>
      </c>
      <c r="U3091" s="2" t="s">
        <v>880</v>
      </c>
      <c r="V3091" s="2" t="s">
        <v>83</v>
      </c>
      <c r="W3091" s="2" t="s">
        <v>178</v>
      </c>
      <c r="X3091" s="2">
        <v>144.62</v>
      </c>
    </row>
    <row r="3092" spans="1:24" x14ac:dyDescent="0.3">
      <c r="A3092">
        <v>20948</v>
      </c>
      <c r="B3092" t="s">
        <v>7900</v>
      </c>
      <c r="C3092" s="3">
        <v>41432</v>
      </c>
      <c r="D3092" t="s">
        <v>39</v>
      </c>
      <c r="E3092">
        <v>19</v>
      </c>
      <c r="F3092" s="3">
        <f ca="1">41432+(RANDBETWEEN(1,10))</f>
        <v>41435</v>
      </c>
      <c r="G3092" t="s">
        <v>26</v>
      </c>
      <c r="H3092" t="s">
        <v>27</v>
      </c>
      <c r="I3092" t="s">
        <v>52</v>
      </c>
      <c r="J3092">
        <v>578.97</v>
      </c>
      <c r="K3092">
        <v>0.09</v>
      </c>
      <c r="L3092">
        <v>0.4</v>
      </c>
      <c r="M3092">
        <v>34.51</v>
      </c>
      <c r="N3092">
        <v>-666.09199999999998</v>
      </c>
      <c r="O3092" s="1" t="s">
        <v>87</v>
      </c>
      <c r="P3092" s="1" t="s">
        <v>7901</v>
      </c>
      <c r="Q3092" s="1" t="s">
        <v>7902</v>
      </c>
      <c r="R3092" s="1" t="s">
        <v>398</v>
      </c>
      <c r="S3092" s="1" t="s">
        <v>7903</v>
      </c>
      <c r="T3092" s="1" t="s">
        <v>7904</v>
      </c>
      <c r="U3092" s="2" t="s">
        <v>7950</v>
      </c>
      <c r="V3092" s="2" t="s">
        <v>47</v>
      </c>
      <c r="W3092" s="2" t="s">
        <v>74</v>
      </c>
      <c r="X3092" s="2">
        <v>31.71</v>
      </c>
    </row>
    <row r="3093" spans="1:24" x14ac:dyDescent="0.3">
      <c r="A3093">
        <v>20949</v>
      </c>
      <c r="B3093" t="s">
        <v>7951</v>
      </c>
      <c r="C3093" s="3">
        <v>41329</v>
      </c>
      <c r="D3093" t="s">
        <v>148</v>
      </c>
      <c r="E3093">
        <v>8</v>
      </c>
      <c r="F3093" s="3">
        <f ca="1">41330+(RANDBETWEEN(1,10))</f>
        <v>41338</v>
      </c>
      <c r="G3093" t="s">
        <v>26</v>
      </c>
      <c r="H3093" t="s">
        <v>27</v>
      </c>
      <c r="I3093" t="s">
        <v>28</v>
      </c>
      <c r="J3093">
        <v>260.33</v>
      </c>
      <c r="K3093">
        <v>0.01</v>
      </c>
      <c r="L3093">
        <v>0.4</v>
      </c>
      <c r="M3093">
        <v>34.51</v>
      </c>
      <c r="N3093">
        <v>-502.95</v>
      </c>
      <c r="O3093" s="1" t="s">
        <v>87</v>
      </c>
      <c r="P3093" s="1" t="s">
        <v>7952</v>
      </c>
      <c r="Q3093" s="1" t="s">
        <v>7953</v>
      </c>
      <c r="R3093" s="1" t="s">
        <v>497</v>
      </c>
      <c r="S3093" s="1" t="s">
        <v>7954</v>
      </c>
      <c r="T3093" s="1" t="s">
        <v>7955</v>
      </c>
      <c r="U3093" s="2" t="s">
        <v>7950</v>
      </c>
      <c r="V3093" s="2" t="s">
        <v>47</v>
      </c>
      <c r="W3093" s="2" t="s">
        <v>74</v>
      </c>
      <c r="X3093" s="2">
        <v>31.71</v>
      </c>
    </row>
    <row r="3094" spans="1:24" x14ac:dyDescent="0.3">
      <c r="A3094">
        <v>20950</v>
      </c>
      <c r="B3094" t="s">
        <v>7956</v>
      </c>
      <c r="C3094" s="3">
        <v>41493</v>
      </c>
      <c r="D3094" t="s">
        <v>148</v>
      </c>
      <c r="E3094">
        <v>17</v>
      </c>
      <c r="F3094" s="3">
        <f ca="1">41494+(RANDBETWEEN(1,10))</f>
        <v>41500</v>
      </c>
      <c r="G3094" t="s">
        <v>26</v>
      </c>
      <c r="H3094" t="s">
        <v>27</v>
      </c>
      <c r="I3094" t="s">
        <v>28</v>
      </c>
      <c r="J3094">
        <v>1639.82</v>
      </c>
      <c r="K3094">
        <v>0.08</v>
      </c>
      <c r="L3094">
        <v>0.38</v>
      </c>
      <c r="M3094">
        <v>5.2149999999999999</v>
      </c>
      <c r="N3094">
        <v>1131.4757999999999</v>
      </c>
      <c r="O3094" s="1" t="s">
        <v>64</v>
      </c>
      <c r="P3094" s="1" t="s">
        <v>7957</v>
      </c>
      <c r="Q3094" s="1" t="s">
        <v>7958</v>
      </c>
      <c r="R3094" s="1" t="s">
        <v>128</v>
      </c>
      <c r="S3094" s="1" t="s">
        <v>7959</v>
      </c>
      <c r="T3094" s="1" t="s">
        <v>7960</v>
      </c>
      <c r="U3094" s="2" t="s">
        <v>301</v>
      </c>
      <c r="V3094" s="2" t="s">
        <v>47</v>
      </c>
      <c r="W3094" s="2" t="s">
        <v>111</v>
      </c>
      <c r="X3094" s="2">
        <v>99.855000000000004</v>
      </c>
    </row>
    <row r="3095" spans="1:24" x14ac:dyDescent="0.3">
      <c r="A3095">
        <v>20951</v>
      </c>
      <c r="B3095" t="s">
        <v>7956</v>
      </c>
      <c r="C3095" s="3">
        <v>41493</v>
      </c>
      <c r="D3095" t="s">
        <v>148</v>
      </c>
      <c r="E3095">
        <v>8</v>
      </c>
      <c r="F3095" s="3">
        <f ca="1">41496+(RANDBETWEEN(1,10))</f>
        <v>41504</v>
      </c>
      <c r="G3095" t="s">
        <v>26</v>
      </c>
      <c r="H3095" t="s">
        <v>27</v>
      </c>
      <c r="I3095" t="s">
        <v>28</v>
      </c>
      <c r="J3095">
        <v>2662.6950000000002</v>
      </c>
      <c r="K3095">
        <v>7.0000000000000007E-2</v>
      </c>
      <c r="L3095">
        <v>0.5</v>
      </c>
      <c r="M3095">
        <v>69.965000000000003</v>
      </c>
      <c r="N3095">
        <v>139.54920000000001</v>
      </c>
      <c r="O3095" s="1" t="s">
        <v>64</v>
      </c>
      <c r="P3095" s="1" t="s">
        <v>7957</v>
      </c>
      <c r="Q3095" s="1" t="s">
        <v>7958</v>
      </c>
      <c r="R3095" s="1" t="s">
        <v>128</v>
      </c>
      <c r="S3095" s="1" t="s">
        <v>7959</v>
      </c>
      <c r="T3095" s="1" t="s">
        <v>7960</v>
      </c>
      <c r="U3095" s="2" t="s">
        <v>6456</v>
      </c>
      <c r="V3095" s="2" t="s">
        <v>36</v>
      </c>
      <c r="W3095" s="2" t="s">
        <v>60</v>
      </c>
      <c r="X3095" s="2">
        <v>349.96499999999997</v>
      </c>
    </row>
    <row r="3096" spans="1:24" x14ac:dyDescent="0.3">
      <c r="A3096">
        <v>20952</v>
      </c>
      <c r="B3096" t="s">
        <v>7961</v>
      </c>
      <c r="C3096" s="3">
        <v>41288</v>
      </c>
      <c r="D3096" t="s">
        <v>39</v>
      </c>
      <c r="E3096">
        <v>10</v>
      </c>
      <c r="F3096" s="3">
        <f ca="1">41290+(RANDBETWEEN(1,10))</f>
        <v>41298</v>
      </c>
      <c r="G3096" t="s">
        <v>76</v>
      </c>
      <c r="H3096" t="s">
        <v>77</v>
      </c>
      <c r="I3096" t="s">
        <v>28</v>
      </c>
      <c r="J3096">
        <v>5428.5</v>
      </c>
      <c r="K3096">
        <v>0.05</v>
      </c>
      <c r="L3096">
        <v>0.77</v>
      </c>
      <c r="M3096">
        <v>210.7</v>
      </c>
      <c r="N3096">
        <v>-4543.0252</v>
      </c>
      <c r="O3096" s="1" t="s">
        <v>53</v>
      </c>
      <c r="P3096" s="1" t="s">
        <v>7962</v>
      </c>
      <c r="Q3096" s="1" t="s">
        <v>7963</v>
      </c>
      <c r="R3096" s="1" t="s">
        <v>440</v>
      </c>
      <c r="S3096" s="1" t="s">
        <v>7964</v>
      </c>
      <c r="T3096" s="1" t="s">
        <v>7965</v>
      </c>
      <c r="U3096" s="2" t="s">
        <v>779</v>
      </c>
      <c r="V3096" s="2" t="s">
        <v>83</v>
      </c>
      <c r="W3096" s="2" t="s">
        <v>84</v>
      </c>
      <c r="X3096" s="2">
        <v>528.11500000000001</v>
      </c>
    </row>
    <row r="3097" spans="1:24" x14ac:dyDescent="0.3">
      <c r="A3097">
        <v>20953</v>
      </c>
      <c r="B3097" t="s">
        <v>7966</v>
      </c>
      <c r="C3097" s="3">
        <v>41651</v>
      </c>
      <c r="D3097" t="s">
        <v>62</v>
      </c>
      <c r="E3097">
        <v>6</v>
      </c>
      <c r="F3097" s="3">
        <f ca="1">41653+(RANDBETWEEN(1,10))</f>
        <v>41660</v>
      </c>
      <c r="G3097" t="s">
        <v>76</v>
      </c>
      <c r="H3097" t="s">
        <v>77</v>
      </c>
      <c r="I3097" t="s">
        <v>28</v>
      </c>
      <c r="J3097">
        <v>6435.87</v>
      </c>
      <c r="K3097">
        <v>0.04</v>
      </c>
      <c r="L3097">
        <v>0.56000000000000005</v>
      </c>
      <c r="M3097">
        <v>226.55500000000001</v>
      </c>
      <c r="N3097">
        <v>45.654000000000003</v>
      </c>
      <c r="O3097" s="1" t="s">
        <v>64</v>
      </c>
      <c r="P3097" s="1" t="s">
        <v>4653</v>
      </c>
      <c r="Q3097" s="1" t="s">
        <v>4654</v>
      </c>
      <c r="R3097" s="1" t="s">
        <v>67</v>
      </c>
      <c r="S3097" s="1" t="s">
        <v>4655</v>
      </c>
      <c r="T3097" s="1" t="s">
        <v>4656</v>
      </c>
      <c r="U3097" s="2" t="s">
        <v>3031</v>
      </c>
      <c r="V3097" s="2" t="s">
        <v>83</v>
      </c>
      <c r="W3097" s="2" t="s">
        <v>84</v>
      </c>
      <c r="X3097" s="2">
        <v>1053.43</v>
      </c>
    </row>
    <row r="3098" spans="1:24" x14ac:dyDescent="0.3">
      <c r="A3098">
        <v>20954</v>
      </c>
      <c r="B3098" t="s">
        <v>7966</v>
      </c>
      <c r="C3098" s="3">
        <v>41651</v>
      </c>
      <c r="D3098" t="s">
        <v>62</v>
      </c>
      <c r="E3098">
        <v>3</v>
      </c>
      <c r="F3098" s="3">
        <f ca="1">41653+(RANDBETWEEN(1,10))</f>
        <v>41658</v>
      </c>
      <c r="G3098" t="s">
        <v>26</v>
      </c>
      <c r="H3098" t="s">
        <v>27</v>
      </c>
      <c r="I3098" t="s">
        <v>28</v>
      </c>
      <c r="J3098">
        <v>297.85000000000002</v>
      </c>
      <c r="K3098">
        <v>0.08</v>
      </c>
      <c r="L3098">
        <v>0.51</v>
      </c>
      <c r="M3098">
        <v>19.25</v>
      </c>
      <c r="N3098">
        <v>-24.99</v>
      </c>
      <c r="O3098" s="1" t="s">
        <v>64</v>
      </c>
      <c r="P3098" s="1" t="s">
        <v>4653</v>
      </c>
      <c r="Q3098" s="1" t="s">
        <v>4654</v>
      </c>
      <c r="R3098" s="1" t="s">
        <v>67</v>
      </c>
      <c r="S3098" s="1" t="s">
        <v>4655</v>
      </c>
      <c r="T3098" s="1" t="s">
        <v>4656</v>
      </c>
      <c r="U3098" s="2" t="s">
        <v>2603</v>
      </c>
      <c r="V3098" s="2" t="s">
        <v>36</v>
      </c>
      <c r="W3098" s="2" t="s">
        <v>60</v>
      </c>
      <c r="X3098" s="2">
        <v>104.965</v>
      </c>
    </row>
    <row r="3099" spans="1:24" x14ac:dyDescent="0.3">
      <c r="A3099">
        <v>20955</v>
      </c>
      <c r="B3099" t="s">
        <v>7966</v>
      </c>
      <c r="C3099" s="3">
        <v>41651</v>
      </c>
      <c r="D3099" t="s">
        <v>62</v>
      </c>
      <c r="E3099">
        <v>7</v>
      </c>
      <c r="F3099" s="3">
        <f ca="1">41654+(RANDBETWEEN(1,10))</f>
        <v>41657</v>
      </c>
      <c r="G3099" t="s">
        <v>26</v>
      </c>
      <c r="H3099" t="s">
        <v>27</v>
      </c>
      <c r="I3099" t="s">
        <v>28</v>
      </c>
      <c r="J3099">
        <v>132.405</v>
      </c>
      <c r="K3099">
        <v>0</v>
      </c>
      <c r="L3099">
        <v>0.36</v>
      </c>
      <c r="M3099">
        <v>26.04</v>
      </c>
      <c r="N3099">
        <v>-491.80880000000002</v>
      </c>
      <c r="O3099" s="1" t="s">
        <v>87</v>
      </c>
      <c r="P3099" s="1" t="s">
        <v>7967</v>
      </c>
      <c r="Q3099" s="1" t="s">
        <v>7968</v>
      </c>
      <c r="R3099" s="1" t="s">
        <v>90</v>
      </c>
      <c r="S3099" s="1" t="s">
        <v>2436</v>
      </c>
      <c r="T3099" s="1" t="s">
        <v>2437</v>
      </c>
      <c r="U3099" s="2" t="s">
        <v>131</v>
      </c>
      <c r="V3099" s="2" t="s">
        <v>47</v>
      </c>
      <c r="W3099" s="2" t="s">
        <v>74</v>
      </c>
      <c r="X3099" s="2">
        <v>17.43</v>
      </c>
    </row>
    <row r="3100" spans="1:24" x14ac:dyDescent="0.3">
      <c r="A3100">
        <v>20956</v>
      </c>
      <c r="B3100" t="s">
        <v>7969</v>
      </c>
      <c r="C3100" s="3">
        <v>40573</v>
      </c>
      <c r="D3100" t="s">
        <v>25</v>
      </c>
      <c r="E3100">
        <v>8</v>
      </c>
      <c r="F3100" s="3">
        <f ca="1">40578+(RANDBETWEEN(1,10))</f>
        <v>40585</v>
      </c>
      <c r="G3100" t="s">
        <v>26</v>
      </c>
      <c r="H3100" t="s">
        <v>63</v>
      </c>
      <c r="I3100" t="s">
        <v>52</v>
      </c>
      <c r="J3100">
        <v>14511.98</v>
      </c>
      <c r="K3100">
        <v>7.0000000000000007E-2</v>
      </c>
      <c r="L3100">
        <v>0.37</v>
      </c>
      <c r="M3100">
        <v>85.715000000000003</v>
      </c>
      <c r="N3100">
        <v>10013.2662</v>
      </c>
      <c r="O3100" s="1" t="s">
        <v>64</v>
      </c>
      <c r="P3100" s="1" t="s">
        <v>7970</v>
      </c>
      <c r="Q3100" s="1" t="s">
        <v>7971</v>
      </c>
      <c r="R3100" s="1" t="s">
        <v>128</v>
      </c>
      <c r="S3100" s="1" t="s">
        <v>7972</v>
      </c>
      <c r="T3100" s="1" t="s">
        <v>7973</v>
      </c>
      <c r="U3100" s="2" t="s">
        <v>4658</v>
      </c>
      <c r="V3100" s="2" t="s">
        <v>36</v>
      </c>
      <c r="W3100" s="2" t="s">
        <v>142</v>
      </c>
      <c r="X3100" s="2">
        <v>2011.59</v>
      </c>
    </row>
    <row r="3101" spans="1:24" x14ac:dyDescent="0.3">
      <c r="A3101">
        <v>20957</v>
      </c>
      <c r="B3101" t="s">
        <v>7974</v>
      </c>
      <c r="C3101" s="3">
        <v>41760</v>
      </c>
      <c r="D3101" t="s">
        <v>62</v>
      </c>
      <c r="E3101">
        <v>5</v>
      </c>
      <c r="F3101" s="3">
        <f ca="1">41762+(RANDBETWEEN(1,10))</f>
        <v>41766</v>
      </c>
      <c r="G3101" t="s">
        <v>156</v>
      </c>
      <c r="H3101" t="s">
        <v>63</v>
      </c>
      <c r="I3101" t="s">
        <v>28</v>
      </c>
      <c r="J3101">
        <v>2298.625</v>
      </c>
      <c r="K3101">
        <v>0.01</v>
      </c>
      <c r="L3101">
        <v>0.46</v>
      </c>
      <c r="M3101">
        <v>85.715000000000003</v>
      </c>
      <c r="N3101">
        <v>1586.05125</v>
      </c>
      <c r="O3101" s="1" t="s">
        <v>29</v>
      </c>
      <c r="P3101" s="1" t="s">
        <v>3687</v>
      </c>
      <c r="Q3101" s="1" t="s">
        <v>3688</v>
      </c>
      <c r="R3101" s="1" t="s">
        <v>32</v>
      </c>
      <c r="S3101" s="1" t="s">
        <v>3689</v>
      </c>
      <c r="T3101" s="1" t="s">
        <v>3690</v>
      </c>
      <c r="U3101" s="2" t="s">
        <v>4387</v>
      </c>
      <c r="V3101" s="2" t="s">
        <v>47</v>
      </c>
      <c r="W3101" s="2" t="s">
        <v>71</v>
      </c>
      <c r="X3101" s="2">
        <v>431.83</v>
      </c>
    </row>
    <row r="3102" spans="1:24" x14ac:dyDescent="0.3">
      <c r="A3102">
        <v>20958</v>
      </c>
      <c r="B3102" t="s">
        <v>7975</v>
      </c>
      <c r="C3102" s="3">
        <v>41468</v>
      </c>
      <c r="D3102" t="s">
        <v>50</v>
      </c>
      <c r="E3102">
        <v>13</v>
      </c>
      <c r="F3102" s="3">
        <f ca="1">41470+(RANDBETWEEN(1,10))</f>
        <v>41471</v>
      </c>
      <c r="G3102" t="s">
        <v>26</v>
      </c>
      <c r="H3102" t="s">
        <v>27</v>
      </c>
      <c r="I3102" t="s">
        <v>97</v>
      </c>
      <c r="J3102">
        <v>164.11500000000001</v>
      </c>
      <c r="K3102">
        <v>0.09</v>
      </c>
      <c r="L3102">
        <v>0.38</v>
      </c>
      <c r="M3102">
        <v>23.905000000000001</v>
      </c>
      <c r="N3102">
        <v>-725.15099999999995</v>
      </c>
      <c r="O3102" s="1" t="s">
        <v>53</v>
      </c>
      <c r="P3102" s="1" t="s">
        <v>7275</v>
      </c>
      <c r="Q3102" s="1" t="s">
        <v>7276</v>
      </c>
      <c r="R3102" s="1" t="s">
        <v>100</v>
      </c>
      <c r="S3102" s="1" t="s">
        <v>7277</v>
      </c>
      <c r="T3102" s="1" t="s">
        <v>7278</v>
      </c>
      <c r="U3102" s="2" t="s">
        <v>6885</v>
      </c>
      <c r="V3102" s="2" t="s">
        <v>47</v>
      </c>
      <c r="W3102" s="2" t="s">
        <v>111</v>
      </c>
      <c r="X3102" s="2">
        <v>12.32</v>
      </c>
    </row>
    <row r="3103" spans="1:24" x14ac:dyDescent="0.3">
      <c r="A3103">
        <v>20959</v>
      </c>
      <c r="B3103" t="s">
        <v>7975</v>
      </c>
      <c r="C3103" s="3">
        <v>41468</v>
      </c>
      <c r="D3103" t="s">
        <v>50</v>
      </c>
      <c r="E3103">
        <v>9</v>
      </c>
      <c r="F3103" s="3">
        <f ca="1">41469+(RANDBETWEEN(1,10))</f>
        <v>41477</v>
      </c>
      <c r="G3103" t="s">
        <v>26</v>
      </c>
      <c r="H3103" t="s">
        <v>96</v>
      </c>
      <c r="I3103" t="s">
        <v>97</v>
      </c>
      <c r="J3103">
        <v>229.495</v>
      </c>
      <c r="K3103">
        <v>0.02</v>
      </c>
      <c r="L3103">
        <v>0.39</v>
      </c>
      <c r="M3103">
        <v>14.805</v>
      </c>
      <c r="N3103">
        <v>-29.988</v>
      </c>
      <c r="O3103" s="1" t="s">
        <v>53</v>
      </c>
      <c r="P3103" s="1" t="s">
        <v>7275</v>
      </c>
      <c r="Q3103" s="1" t="s">
        <v>7276</v>
      </c>
      <c r="R3103" s="1" t="s">
        <v>100</v>
      </c>
      <c r="S3103" s="1" t="s">
        <v>7277</v>
      </c>
      <c r="T3103" s="1" t="s">
        <v>7278</v>
      </c>
      <c r="U3103" s="2" t="s">
        <v>7976</v>
      </c>
      <c r="V3103" s="2" t="s">
        <v>47</v>
      </c>
      <c r="W3103" s="2" t="s">
        <v>74</v>
      </c>
      <c r="X3103" s="2">
        <v>25.48</v>
      </c>
    </row>
    <row r="3104" spans="1:24" x14ac:dyDescent="0.3">
      <c r="A3104">
        <v>20960</v>
      </c>
      <c r="B3104" t="s">
        <v>7977</v>
      </c>
      <c r="C3104" s="3">
        <v>41398</v>
      </c>
      <c r="D3104" t="s">
        <v>62</v>
      </c>
      <c r="E3104">
        <v>13</v>
      </c>
      <c r="F3104" s="3">
        <f ca="1">41400+(RANDBETWEEN(1,10))</f>
        <v>41410</v>
      </c>
      <c r="G3104" t="s">
        <v>26</v>
      </c>
      <c r="H3104" t="s">
        <v>96</v>
      </c>
      <c r="I3104" t="s">
        <v>52</v>
      </c>
      <c r="J3104">
        <v>157.78</v>
      </c>
      <c r="K3104">
        <v>0.05</v>
      </c>
      <c r="L3104">
        <v>0.39</v>
      </c>
      <c r="M3104">
        <v>3.8149999999999999</v>
      </c>
      <c r="N3104">
        <v>102.44499999999999</v>
      </c>
      <c r="O3104" s="1" t="s">
        <v>53</v>
      </c>
      <c r="P3104" s="1" t="s">
        <v>7978</v>
      </c>
      <c r="Q3104" s="1" t="s">
        <v>7979</v>
      </c>
      <c r="R3104" s="1" t="s">
        <v>440</v>
      </c>
      <c r="S3104" s="1" t="s">
        <v>7980</v>
      </c>
      <c r="T3104" s="1" t="s">
        <v>7981</v>
      </c>
      <c r="U3104" s="2" t="s">
        <v>7982</v>
      </c>
      <c r="V3104" s="2" t="s">
        <v>47</v>
      </c>
      <c r="W3104" s="2" t="s">
        <v>74</v>
      </c>
      <c r="X3104" s="2">
        <v>11.83</v>
      </c>
    </row>
    <row r="3105" spans="1:24" x14ac:dyDescent="0.3">
      <c r="A3105">
        <v>20961</v>
      </c>
      <c r="B3105" t="s">
        <v>7977</v>
      </c>
      <c r="C3105" s="3">
        <v>41398</v>
      </c>
      <c r="D3105" t="s">
        <v>62</v>
      </c>
      <c r="E3105">
        <v>18</v>
      </c>
      <c r="F3105" s="3">
        <f ca="1">41400+(RANDBETWEEN(1,10))</f>
        <v>41409</v>
      </c>
      <c r="G3105" t="s">
        <v>26</v>
      </c>
      <c r="H3105" t="s">
        <v>63</v>
      </c>
      <c r="I3105" t="s">
        <v>52</v>
      </c>
      <c r="J3105">
        <v>4991.5249999999996</v>
      </c>
      <c r="K3105">
        <v>0.05</v>
      </c>
      <c r="L3105">
        <v>0.81</v>
      </c>
      <c r="M3105">
        <v>122.5</v>
      </c>
      <c r="N3105">
        <v>-4006.3449999999998</v>
      </c>
      <c r="O3105" s="1" t="s">
        <v>53</v>
      </c>
      <c r="P3105" s="1" t="s">
        <v>7978</v>
      </c>
      <c r="Q3105" s="1" t="s">
        <v>7979</v>
      </c>
      <c r="R3105" s="1" t="s">
        <v>440</v>
      </c>
      <c r="S3105" s="1" t="s">
        <v>7980</v>
      </c>
      <c r="T3105" s="1" t="s">
        <v>7981</v>
      </c>
      <c r="U3105" s="2" t="s">
        <v>166</v>
      </c>
      <c r="V3105" s="2" t="s">
        <v>47</v>
      </c>
      <c r="W3105" s="2" t="s">
        <v>119</v>
      </c>
      <c r="X3105" s="2">
        <v>283.43</v>
      </c>
    </row>
    <row r="3106" spans="1:24" x14ac:dyDescent="0.3">
      <c r="A3106">
        <v>20962</v>
      </c>
      <c r="B3106" t="s">
        <v>7977</v>
      </c>
      <c r="C3106" s="3">
        <v>41398</v>
      </c>
      <c r="D3106" t="s">
        <v>62</v>
      </c>
      <c r="E3106">
        <v>13</v>
      </c>
      <c r="F3106" s="3">
        <f ca="1">41399+(RANDBETWEEN(1,10))</f>
        <v>41400</v>
      </c>
      <c r="G3106" t="s">
        <v>26</v>
      </c>
      <c r="H3106" t="s">
        <v>27</v>
      </c>
      <c r="I3106" t="s">
        <v>52</v>
      </c>
      <c r="J3106">
        <v>4814.18</v>
      </c>
      <c r="K3106">
        <v>0.05</v>
      </c>
      <c r="L3106">
        <v>0.6</v>
      </c>
      <c r="M3106">
        <v>19.704999999999998</v>
      </c>
      <c r="N3106">
        <v>2511.9360000000001</v>
      </c>
      <c r="O3106" s="1" t="s">
        <v>53</v>
      </c>
      <c r="P3106" s="1" t="s">
        <v>7978</v>
      </c>
      <c r="Q3106" s="1" t="s">
        <v>7979</v>
      </c>
      <c r="R3106" s="1" t="s">
        <v>440</v>
      </c>
      <c r="S3106" s="1" t="s">
        <v>7980</v>
      </c>
      <c r="T3106" s="1" t="s">
        <v>7981</v>
      </c>
      <c r="U3106" s="2">
        <v>8290</v>
      </c>
      <c r="V3106" s="2" t="s">
        <v>36</v>
      </c>
      <c r="W3106" s="2" t="s">
        <v>37</v>
      </c>
      <c r="X3106" s="2">
        <v>440.96499999999997</v>
      </c>
    </row>
    <row r="3107" spans="1:24" x14ac:dyDescent="0.3">
      <c r="A3107">
        <v>20963</v>
      </c>
      <c r="B3107" t="s">
        <v>7977</v>
      </c>
      <c r="C3107" s="3">
        <v>41398</v>
      </c>
      <c r="D3107" t="s">
        <v>62</v>
      </c>
      <c r="E3107">
        <v>17</v>
      </c>
      <c r="F3107" s="3">
        <f ca="1">41398+(RANDBETWEEN(1,10))</f>
        <v>41399</v>
      </c>
      <c r="G3107" t="s">
        <v>156</v>
      </c>
      <c r="H3107" t="s">
        <v>96</v>
      </c>
      <c r="I3107" t="s">
        <v>52</v>
      </c>
      <c r="J3107">
        <v>143.36000000000001</v>
      </c>
      <c r="K3107">
        <v>0.09</v>
      </c>
      <c r="L3107">
        <v>0.82</v>
      </c>
      <c r="M3107">
        <v>6.72</v>
      </c>
      <c r="N3107">
        <v>-255.01</v>
      </c>
      <c r="O3107" s="1" t="s">
        <v>40</v>
      </c>
      <c r="P3107" s="1" t="s">
        <v>6204</v>
      </c>
      <c r="Q3107" s="1" t="s">
        <v>6205</v>
      </c>
      <c r="R3107" s="1" t="s">
        <v>220</v>
      </c>
      <c r="S3107" s="1" t="s">
        <v>6206</v>
      </c>
      <c r="T3107" s="1" t="s">
        <v>6207</v>
      </c>
      <c r="U3107" s="2" t="s">
        <v>2977</v>
      </c>
      <c r="V3107" s="2" t="s">
        <v>47</v>
      </c>
      <c r="W3107" s="2" t="s">
        <v>94</v>
      </c>
      <c r="X3107" s="2">
        <v>8.82</v>
      </c>
    </row>
    <row r="3108" spans="1:24" x14ac:dyDescent="0.3">
      <c r="A3108">
        <v>20964</v>
      </c>
      <c r="B3108" t="s">
        <v>7983</v>
      </c>
      <c r="C3108" s="3">
        <v>40902</v>
      </c>
      <c r="D3108" t="s">
        <v>25</v>
      </c>
      <c r="E3108">
        <v>22</v>
      </c>
      <c r="F3108" s="3">
        <f ca="1">40909+(RANDBETWEEN(1,10))</f>
        <v>40911</v>
      </c>
      <c r="G3108" t="s">
        <v>76</v>
      </c>
      <c r="H3108" t="s">
        <v>258</v>
      </c>
      <c r="I3108" t="s">
        <v>52</v>
      </c>
      <c r="J3108">
        <v>4753.07</v>
      </c>
      <c r="K3108">
        <v>0.02</v>
      </c>
      <c r="L3108">
        <v>0.61</v>
      </c>
      <c r="M3108">
        <v>128.13499999999999</v>
      </c>
      <c r="N3108">
        <v>0.90300000000000002</v>
      </c>
      <c r="O3108" s="1" t="s">
        <v>64</v>
      </c>
      <c r="P3108" s="1" t="s">
        <v>6438</v>
      </c>
      <c r="Q3108" s="1" t="s">
        <v>6439</v>
      </c>
      <c r="R3108" s="1" t="s">
        <v>67</v>
      </c>
      <c r="S3108" s="1" t="s">
        <v>6440</v>
      </c>
      <c r="T3108" s="1" t="s">
        <v>6441</v>
      </c>
      <c r="U3108" s="2" t="s">
        <v>4050</v>
      </c>
      <c r="V3108" s="2" t="s">
        <v>83</v>
      </c>
      <c r="W3108" s="2" t="s">
        <v>298</v>
      </c>
      <c r="X3108" s="2">
        <v>203.49</v>
      </c>
    </row>
    <row r="3109" spans="1:24" x14ac:dyDescent="0.3">
      <c r="A3109">
        <v>20965</v>
      </c>
      <c r="B3109" t="s">
        <v>7983</v>
      </c>
      <c r="C3109" s="3">
        <v>40902</v>
      </c>
      <c r="D3109" t="s">
        <v>25</v>
      </c>
      <c r="E3109">
        <v>22</v>
      </c>
      <c r="F3109" s="3">
        <f ca="1">40909+(RANDBETWEEN(1,10))</f>
        <v>40918</v>
      </c>
      <c r="G3109" t="s">
        <v>26</v>
      </c>
      <c r="H3109" t="s">
        <v>27</v>
      </c>
      <c r="I3109" t="s">
        <v>52</v>
      </c>
      <c r="J3109">
        <v>1255.94</v>
      </c>
      <c r="K3109">
        <v>0.03</v>
      </c>
      <c r="L3109">
        <v>0.38</v>
      </c>
      <c r="M3109">
        <v>4.8650000000000002</v>
      </c>
      <c r="N3109">
        <v>221.27699999999999</v>
      </c>
      <c r="O3109" s="1" t="s">
        <v>64</v>
      </c>
      <c r="P3109" s="1" t="s">
        <v>6438</v>
      </c>
      <c r="Q3109" s="1" t="s">
        <v>6439</v>
      </c>
      <c r="R3109" s="1" t="s">
        <v>67</v>
      </c>
      <c r="S3109" s="1" t="s">
        <v>6440</v>
      </c>
      <c r="T3109" s="1" t="s">
        <v>6441</v>
      </c>
      <c r="U3109" s="2" t="s">
        <v>2327</v>
      </c>
      <c r="V3109" s="2" t="s">
        <v>47</v>
      </c>
      <c r="W3109" s="2" t="s">
        <v>48</v>
      </c>
      <c r="X3109" s="2">
        <v>54.494999999999997</v>
      </c>
    </row>
    <row r="3110" spans="1:24" x14ac:dyDescent="0.3">
      <c r="A3110">
        <v>20966</v>
      </c>
      <c r="B3110" t="s">
        <v>7984</v>
      </c>
      <c r="C3110" s="3">
        <v>41379</v>
      </c>
      <c r="D3110" t="s">
        <v>148</v>
      </c>
      <c r="E3110">
        <v>5</v>
      </c>
      <c r="F3110" s="3">
        <f ca="1">41380+(RANDBETWEEN(1,10))</f>
        <v>41386</v>
      </c>
      <c r="G3110" t="s">
        <v>26</v>
      </c>
      <c r="H3110" t="s">
        <v>96</v>
      </c>
      <c r="I3110" t="s">
        <v>28</v>
      </c>
      <c r="J3110">
        <v>35.174999999999997</v>
      </c>
      <c r="K3110">
        <v>0.09</v>
      </c>
      <c r="L3110">
        <v>0.56999999999999995</v>
      </c>
      <c r="M3110">
        <v>2.4500000000000002</v>
      </c>
      <c r="N3110">
        <v>1728.846</v>
      </c>
      <c r="O3110" s="1" t="s">
        <v>87</v>
      </c>
      <c r="P3110" s="1" t="s">
        <v>7985</v>
      </c>
      <c r="Q3110" s="1" t="s">
        <v>7986</v>
      </c>
      <c r="R3110" s="1" t="s">
        <v>90</v>
      </c>
      <c r="S3110" s="1" t="s">
        <v>4029</v>
      </c>
      <c r="T3110" s="1" t="s">
        <v>4030</v>
      </c>
      <c r="U3110" s="2" t="s">
        <v>6803</v>
      </c>
      <c r="V3110" s="2" t="s">
        <v>47</v>
      </c>
      <c r="W3110" s="2" t="s">
        <v>104</v>
      </c>
      <c r="X3110" s="2">
        <v>7.35</v>
      </c>
    </row>
    <row r="3111" spans="1:24" x14ac:dyDescent="0.3">
      <c r="A3111">
        <v>20967</v>
      </c>
      <c r="B3111" t="s">
        <v>7987</v>
      </c>
      <c r="C3111" s="3">
        <v>40864</v>
      </c>
      <c r="D3111" t="s">
        <v>25</v>
      </c>
      <c r="E3111">
        <v>12</v>
      </c>
      <c r="F3111" s="3">
        <f ca="1">40868+(RANDBETWEEN(1,10))</f>
        <v>40871</v>
      </c>
      <c r="G3111" t="s">
        <v>156</v>
      </c>
      <c r="H3111" t="s">
        <v>27</v>
      </c>
      <c r="I3111" t="s">
        <v>86</v>
      </c>
      <c r="J3111">
        <v>225.435</v>
      </c>
      <c r="K3111">
        <v>0.02</v>
      </c>
      <c r="L3111">
        <v>0.6</v>
      </c>
      <c r="M3111">
        <v>24.114999999999998</v>
      </c>
      <c r="N3111">
        <v>44.470999999999997</v>
      </c>
      <c r="O3111" s="1" t="s">
        <v>40</v>
      </c>
      <c r="P3111" s="1" t="s">
        <v>6962</v>
      </c>
      <c r="Q3111" s="1" t="s">
        <v>6963</v>
      </c>
      <c r="R3111" s="1" t="s">
        <v>43</v>
      </c>
      <c r="S3111" s="1" t="s">
        <v>6964</v>
      </c>
      <c r="T3111" s="1" t="s">
        <v>6965</v>
      </c>
      <c r="U3111" s="2" t="s">
        <v>3815</v>
      </c>
      <c r="V3111" s="2" t="s">
        <v>47</v>
      </c>
      <c r="W3111" s="2" t="s">
        <v>71</v>
      </c>
      <c r="X3111" s="2">
        <v>14.21</v>
      </c>
    </row>
    <row r="3112" spans="1:24" x14ac:dyDescent="0.3">
      <c r="A3112">
        <v>20968</v>
      </c>
      <c r="B3112" t="s">
        <v>7987</v>
      </c>
      <c r="C3112" s="3">
        <v>40864</v>
      </c>
      <c r="D3112" t="s">
        <v>25</v>
      </c>
      <c r="E3112">
        <v>37</v>
      </c>
      <c r="F3112" s="3">
        <f ca="1">40868+(RANDBETWEEN(1,10))</f>
        <v>40870</v>
      </c>
      <c r="G3112" t="s">
        <v>26</v>
      </c>
      <c r="H3112" t="s">
        <v>281</v>
      </c>
      <c r="I3112" t="s">
        <v>86</v>
      </c>
      <c r="J3112">
        <v>1205.9949999999999</v>
      </c>
      <c r="K3112">
        <v>7.0000000000000007E-2</v>
      </c>
      <c r="L3112">
        <v>0.39</v>
      </c>
      <c r="M3112">
        <v>20.16</v>
      </c>
      <c r="N3112">
        <v>27.003060000000001</v>
      </c>
      <c r="O3112" s="1" t="s">
        <v>40</v>
      </c>
      <c r="P3112" s="1" t="s">
        <v>6962</v>
      </c>
      <c r="Q3112" s="1" t="s">
        <v>6963</v>
      </c>
      <c r="R3112" s="1" t="s">
        <v>43</v>
      </c>
      <c r="S3112" s="1" t="s">
        <v>6964</v>
      </c>
      <c r="T3112" s="1" t="s">
        <v>6965</v>
      </c>
      <c r="U3112" s="2" t="s">
        <v>7988</v>
      </c>
      <c r="V3112" s="2" t="s">
        <v>36</v>
      </c>
      <c r="W3112" s="2" t="s">
        <v>142</v>
      </c>
      <c r="X3112" s="2">
        <v>33.215000000000003</v>
      </c>
    </row>
    <row r="3113" spans="1:24" x14ac:dyDescent="0.3">
      <c r="A3113">
        <v>20969</v>
      </c>
      <c r="B3113" t="s">
        <v>7989</v>
      </c>
      <c r="C3113" s="3">
        <v>41063</v>
      </c>
      <c r="D3113" t="s">
        <v>50</v>
      </c>
      <c r="E3113">
        <v>6</v>
      </c>
      <c r="F3113" s="3">
        <f ca="1">41065+(RANDBETWEEN(1,10))</f>
        <v>41070</v>
      </c>
      <c r="G3113" t="s">
        <v>156</v>
      </c>
      <c r="H3113" t="s">
        <v>51</v>
      </c>
      <c r="I3113" t="s">
        <v>97</v>
      </c>
      <c r="J3113">
        <v>246.75</v>
      </c>
      <c r="K3113">
        <v>0.02</v>
      </c>
      <c r="L3113">
        <v>0.56999999999999995</v>
      </c>
      <c r="M3113">
        <v>11.795</v>
      </c>
      <c r="N3113">
        <v>41.37</v>
      </c>
      <c r="O3113" s="1" t="s">
        <v>29</v>
      </c>
      <c r="P3113" s="1" t="s">
        <v>7990</v>
      </c>
      <c r="Q3113" s="1" t="s">
        <v>7991</v>
      </c>
      <c r="R3113" s="1" t="s">
        <v>32</v>
      </c>
      <c r="S3113" s="1" t="s">
        <v>7992</v>
      </c>
      <c r="T3113" s="1" t="s">
        <v>7993</v>
      </c>
      <c r="U3113" s="2" t="s">
        <v>5857</v>
      </c>
      <c r="V3113" s="2" t="s">
        <v>47</v>
      </c>
      <c r="W3113" s="2" t="s">
        <v>94</v>
      </c>
      <c r="X3113" s="2">
        <v>38.43</v>
      </c>
    </row>
    <row r="3114" spans="1:24" x14ac:dyDescent="0.3">
      <c r="A3114">
        <v>20970</v>
      </c>
      <c r="B3114" t="s">
        <v>7994</v>
      </c>
      <c r="C3114" s="3">
        <v>41325</v>
      </c>
      <c r="D3114" t="s">
        <v>62</v>
      </c>
      <c r="E3114">
        <v>11</v>
      </c>
      <c r="F3114" s="3">
        <f ca="1">41327+(RANDBETWEEN(1,10))</f>
        <v>41334</v>
      </c>
      <c r="G3114" t="s">
        <v>26</v>
      </c>
      <c r="H3114" t="s">
        <v>51</v>
      </c>
      <c r="I3114" t="s">
        <v>52</v>
      </c>
      <c r="J3114">
        <v>531.23</v>
      </c>
      <c r="K3114">
        <v>0.06</v>
      </c>
      <c r="L3114">
        <v>0.49</v>
      </c>
      <c r="M3114">
        <v>6.9649999999999999</v>
      </c>
      <c r="N3114">
        <v>366.5487</v>
      </c>
      <c r="O3114" s="1" t="s">
        <v>40</v>
      </c>
      <c r="P3114" s="1" t="s">
        <v>6323</v>
      </c>
      <c r="Q3114" s="1" t="s">
        <v>6324</v>
      </c>
      <c r="R3114" s="1" t="s">
        <v>43</v>
      </c>
      <c r="S3114" s="1" t="s">
        <v>6325</v>
      </c>
      <c r="T3114" s="1" t="s">
        <v>6326</v>
      </c>
      <c r="U3114" s="2" t="s">
        <v>1903</v>
      </c>
      <c r="V3114" s="2" t="s">
        <v>36</v>
      </c>
      <c r="W3114" s="2" t="s">
        <v>60</v>
      </c>
      <c r="X3114" s="2">
        <v>50.68</v>
      </c>
    </row>
    <row r="3115" spans="1:24" x14ac:dyDescent="0.3">
      <c r="A3115">
        <v>20971</v>
      </c>
      <c r="B3115" t="s">
        <v>7994</v>
      </c>
      <c r="C3115" s="3">
        <v>41325</v>
      </c>
      <c r="D3115" t="s">
        <v>62</v>
      </c>
      <c r="E3115">
        <v>4</v>
      </c>
      <c r="F3115" s="3">
        <f ca="1">41326+(RANDBETWEEN(1,10))</f>
        <v>41335</v>
      </c>
      <c r="G3115" t="s">
        <v>76</v>
      </c>
      <c r="H3115" t="s">
        <v>258</v>
      </c>
      <c r="I3115" t="s">
        <v>52</v>
      </c>
      <c r="J3115">
        <v>4626.335</v>
      </c>
      <c r="K3115">
        <v>0.06</v>
      </c>
      <c r="L3115">
        <v>0.79</v>
      </c>
      <c r="M3115">
        <v>263.30500000000001</v>
      </c>
      <c r="N3115">
        <v>-1036.21</v>
      </c>
      <c r="O3115" s="1" t="s">
        <v>40</v>
      </c>
      <c r="P3115" s="1" t="s">
        <v>6323</v>
      </c>
      <c r="Q3115" s="1" t="s">
        <v>6324</v>
      </c>
      <c r="R3115" s="1" t="s">
        <v>43</v>
      </c>
      <c r="S3115" s="1" t="s">
        <v>6325</v>
      </c>
      <c r="T3115" s="1" t="s">
        <v>6326</v>
      </c>
      <c r="U3115" s="2" t="s">
        <v>7995</v>
      </c>
      <c r="V3115" s="2" t="s">
        <v>83</v>
      </c>
      <c r="W3115" s="2" t="s">
        <v>263</v>
      </c>
      <c r="X3115" s="2">
        <v>1460.9</v>
      </c>
    </row>
    <row r="3116" spans="1:24" x14ac:dyDescent="0.3">
      <c r="A3116">
        <v>20972</v>
      </c>
      <c r="B3116" t="s">
        <v>7996</v>
      </c>
      <c r="C3116" s="3">
        <v>41415</v>
      </c>
      <c r="D3116" t="s">
        <v>25</v>
      </c>
      <c r="E3116">
        <v>3</v>
      </c>
      <c r="F3116" s="3">
        <f ca="1">41415+(RANDBETWEEN(1,10))</f>
        <v>41421</v>
      </c>
      <c r="G3116" t="s">
        <v>26</v>
      </c>
      <c r="H3116" t="s">
        <v>27</v>
      </c>
      <c r="I3116" t="s">
        <v>97</v>
      </c>
      <c r="J3116">
        <v>284.58499999999998</v>
      </c>
      <c r="K3116">
        <v>0.01</v>
      </c>
      <c r="L3116">
        <v>0.39</v>
      </c>
      <c r="M3116">
        <v>10.465</v>
      </c>
      <c r="N3116">
        <v>-50291.932529999998</v>
      </c>
      <c r="O3116" s="1" t="s">
        <v>29</v>
      </c>
      <c r="P3116" s="1" t="s">
        <v>5651</v>
      </c>
      <c r="Q3116" s="1" t="s">
        <v>5652</v>
      </c>
      <c r="R3116" s="1" t="s">
        <v>460</v>
      </c>
      <c r="S3116" s="1" t="s">
        <v>5653</v>
      </c>
      <c r="T3116" s="1" t="s">
        <v>5654</v>
      </c>
      <c r="U3116" s="2" t="s">
        <v>1757</v>
      </c>
      <c r="V3116" s="2" t="s">
        <v>47</v>
      </c>
      <c r="W3116" s="2" t="s">
        <v>111</v>
      </c>
      <c r="X3116" s="2">
        <v>87.325000000000003</v>
      </c>
    </row>
    <row r="3117" spans="1:24" x14ac:dyDescent="0.3">
      <c r="A3117">
        <v>20973</v>
      </c>
      <c r="B3117" t="s">
        <v>7996</v>
      </c>
      <c r="C3117" s="3">
        <v>41415</v>
      </c>
      <c r="D3117" t="s">
        <v>25</v>
      </c>
      <c r="E3117">
        <v>16</v>
      </c>
      <c r="F3117" s="3">
        <f ca="1">41417+(RANDBETWEEN(1,10))</f>
        <v>41421</v>
      </c>
      <c r="G3117" t="s">
        <v>26</v>
      </c>
      <c r="H3117" t="s">
        <v>96</v>
      </c>
      <c r="I3117" t="s">
        <v>97</v>
      </c>
      <c r="J3117">
        <v>390.32</v>
      </c>
      <c r="K3117">
        <v>0.06</v>
      </c>
      <c r="L3117">
        <v>0.39</v>
      </c>
      <c r="M3117">
        <v>7</v>
      </c>
      <c r="N3117">
        <v>119.175</v>
      </c>
      <c r="O3117" s="1" t="s">
        <v>40</v>
      </c>
      <c r="P3117" s="1" t="s">
        <v>7997</v>
      </c>
      <c r="Q3117" s="1" t="s">
        <v>7998</v>
      </c>
      <c r="R3117" s="1" t="s">
        <v>43</v>
      </c>
      <c r="S3117" s="1" t="s">
        <v>7999</v>
      </c>
      <c r="T3117" s="1" t="s">
        <v>8000</v>
      </c>
      <c r="U3117" s="2" t="s">
        <v>336</v>
      </c>
      <c r="V3117" s="2" t="s">
        <v>47</v>
      </c>
      <c r="W3117" s="2" t="s">
        <v>74</v>
      </c>
      <c r="X3117" s="2">
        <v>24.08</v>
      </c>
    </row>
    <row r="3118" spans="1:24" x14ac:dyDescent="0.3">
      <c r="A3118">
        <v>20974</v>
      </c>
      <c r="B3118" t="s">
        <v>8001</v>
      </c>
      <c r="C3118" s="3">
        <v>41700</v>
      </c>
      <c r="D3118" t="s">
        <v>25</v>
      </c>
      <c r="E3118">
        <v>4</v>
      </c>
      <c r="F3118" s="3">
        <f ca="1">41702+(RANDBETWEEN(1,10))</f>
        <v>41704</v>
      </c>
      <c r="G3118" t="s">
        <v>26</v>
      </c>
      <c r="H3118" t="s">
        <v>51</v>
      </c>
      <c r="I3118" t="s">
        <v>97</v>
      </c>
      <c r="J3118">
        <v>370.19499999999999</v>
      </c>
      <c r="K3118">
        <v>0.01</v>
      </c>
      <c r="L3118">
        <v>0.5</v>
      </c>
      <c r="M3118">
        <v>31.465</v>
      </c>
      <c r="N3118">
        <v>19370.61</v>
      </c>
      <c r="O3118" s="1" t="s">
        <v>53</v>
      </c>
      <c r="P3118" s="1" t="s">
        <v>5357</v>
      </c>
      <c r="Q3118" s="1" t="s">
        <v>5358</v>
      </c>
      <c r="R3118" s="1" t="s">
        <v>56</v>
      </c>
      <c r="S3118" s="1" t="s">
        <v>5359</v>
      </c>
      <c r="T3118" s="1" t="s">
        <v>5360</v>
      </c>
      <c r="U3118" s="2" t="s">
        <v>2788</v>
      </c>
      <c r="V3118" s="2" t="s">
        <v>83</v>
      </c>
      <c r="W3118" s="2" t="s">
        <v>178</v>
      </c>
      <c r="X3118" s="2">
        <v>88.83</v>
      </c>
    </row>
    <row r="3119" spans="1:24" x14ac:dyDescent="0.3">
      <c r="A3119">
        <v>20975</v>
      </c>
      <c r="B3119" t="s">
        <v>8001</v>
      </c>
      <c r="C3119" s="3">
        <v>41700</v>
      </c>
      <c r="D3119" t="s">
        <v>25</v>
      </c>
      <c r="E3119">
        <v>8</v>
      </c>
      <c r="F3119" s="3">
        <f ca="1">41704+(RANDBETWEEN(1,10))</f>
        <v>41708</v>
      </c>
      <c r="G3119" t="s">
        <v>26</v>
      </c>
      <c r="H3119" t="s">
        <v>27</v>
      </c>
      <c r="I3119" t="s">
        <v>97</v>
      </c>
      <c r="J3119">
        <v>1359.4349999999999</v>
      </c>
      <c r="K3119">
        <v>0.05</v>
      </c>
      <c r="L3119">
        <v>0.37</v>
      </c>
      <c r="M3119">
        <v>20.265000000000001</v>
      </c>
      <c r="N3119">
        <v>2185.3020000000001</v>
      </c>
      <c r="O3119" s="1" t="s">
        <v>53</v>
      </c>
      <c r="P3119" s="1" t="s">
        <v>5357</v>
      </c>
      <c r="Q3119" s="1" t="s">
        <v>5358</v>
      </c>
      <c r="R3119" s="1" t="s">
        <v>56</v>
      </c>
      <c r="S3119" s="1" t="s">
        <v>5359</v>
      </c>
      <c r="T3119" s="1" t="s">
        <v>5360</v>
      </c>
      <c r="U3119" s="2" t="s">
        <v>8002</v>
      </c>
      <c r="V3119" s="2" t="s">
        <v>47</v>
      </c>
      <c r="W3119" s="2" t="s">
        <v>74</v>
      </c>
      <c r="X3119" s="2">
        <v>168.14</v>
      </c>
    </row>
    <row r="3120" spans="1:24" x14ac:dyDescent="0.3">
      <c r="A3120">
        <v>20976</v>
      </c>
      <c r="B3120" t="s">
        <v>8003</v>
      </c>
      <c r="C3120" s="3">
        <v>40783</v>
      </c>
      <c r="D3120" t="s">
        <v>148</v>
      </c>
      <c r="E3120">
        <v>18</v>
      </c>
      <c r="F3120" s="3">
        <f ca="1">40784+(RANDBETWEEN(1,10))</f>
        <v>40792</v>
      </c>
      <c r="G3120" t="s">
        <v>156</v>
      </c>
      <c r="H3120" t="s">
        <v>27</v>
      </c>
      <c r="I3120" t="s">
        <v>97</v>
      </c>
      <c r="J3120">
        <v>447.40499999999997</v>
      </c>
      <c r="K3120">
        <v>0.01</v>
      </c>
      <c r="L3120">
        <v>0.37</v>
      </c>
      <c r="M3120">
        <v>22.995000000000001</v>
      </c>
      <c r="N3120">
        <v>-162.83539999999999</v>
      </c>
      <c r="O3120" s="1" t="s">
        <v>64</v>
      </c>
      <c r="P3120" s="1" t="s">
        <v>7681</v>
      </c>
      <c r="Q3120" s="1" t="s">
        <v>7682</v>
      </c>
      <c r="R3120" s="1" t="s">
        <v>128</v>
      </c>
      <c r="S3120" s="1" t="s">
        <v>7683</v>
      </c>
      <c r="T3120" s="1" t="s">
        <v>7684</v>
      </c>
      <c r="U3120" s="2" t="s">
        <v>6722</v>
      </c>
      <c r="V3120" s="2" t="s">
        <v>47</v>
      </c>
      <c r="W3120" s="2" t="s">
        <v>74</v>
      </c>
      <c r="X3120" s="2">
        <v>22.68</v>
      </c>
    </row>
    <row r="3121" spans="1:24" x14ac:dyDescent="0.3">
      <c r="A3121">
        <v>20977</v>
      </c>
      <c r="B3121" t="s">
        <v>8004</v>
      </c>
      <c r="C3121" s="3">
        <v>41976</v>
      </c>
      <c r="D3121" t="s">
        <v>25</v>
      </c>
      <c r="E3121">
        <v>2</v>
      </c>
      <c r="F3121" s="3">
        <f ca="1">41976+(RANDBETWEEN(1,10))</f>
        <v>41983</v>
      </c>
      <c r="G3121" t="s">
        <v>76</v>
      </c>
      <c r="H3121" t="s">
        <v>77</v>
      </c>
      <c r="I3121" t="s">
        <v>97</v>
      </c>
      <c r="J3121">
        <v>2128.8049999999998</v>
      </c>
      <c r="K3121">
        <v>7.0000000000000007E-2</v>
      </c>
      <c r="L3121">
        <v>0.6</v>
      </c>
      <c r="M3121">
        <v>243.42500000000001</v>
      </c>
      <c r="N3121">
        <v>-445.96271999999999</v>
      </c>
      <c r="O3121" s="1" t="s">
        <v>64</v>
      </c>
      <c r="P3121" s="1" t="s">
        <v>5814</v>
      </c>
      <c r="Q3121" s="1" t="s">
        <v>5815</v>
      </c>
      <c r="R3121" s="1" t="s">
        <v>128</v>
      </c>
      <c r="S3121" s="1" t="s">
        <v>5816</v>
      </c>
      <c r="T3121" s="1" t="s">
        <v>5817</v>
      </c>
      <c r="U3121" s="2" t="s">
        <v>5566</v>
      </c>
      <c r="V3121" s="2" t="s">
        <v>83</v>
      </c>
      <c r="W3121" s="2" t="s">
        <v>84</v>
      </c>
      <c r="X3121" s="2">
        <v>997.43</v>
      </c>
    </row>
    <row r="3122" spans="1:24" x14ac:dyDescent="0.3">
      <c r="A3122">
        <v>20978</v>
      </c>
      <c r="B3122" t="s">
        <v>8005</v>
      </c>
      <c r="C3122" s="3">
        <v>41823</v>
      </c>
      <c r="D3122" t="s">
        <v>39</v>
      </c>
      <c r="E3122">
        <v>5</v>
      </c>
      <c r="F3122" s="3">
        <f ca="1">41825+(RANDBETWEEN(1,10))</f>
        <v>41830</v>
      </c>
      <c r="G3122" t="s">
        <v>26</v>
      </c>
      <c r="H3122" t="s">
        <v>27</v>
      </c>
      <c r="I3122" t="s">
        <v>52</v>
      </c>
      <c r="J3122">
        <v>64.504999999999995</v>
      </c>
      <c r="K3122">
        <v>0.04</v>
      </c>
      <c r="L3122">
        <v>0.38</v>
      </c>
      <c r="M3122">
        <v>1.75</v>
      </c>
      <c r="N3122">
        <v>44.508450000000003</v>
      </c>
      <c r="O3122" s="1" t="s">
        <v>40</v>
      </c>
      <c r="P3122" s="1" t="s">
        <v>7663</v>
      </c>
      <c r="Q3122" s="1" t="s">
        <v>7664</v>
      </c>
      <c r="R3122" s="1" t="s">
        <v>43</v>
      </c>
      <c r="S3122" s="1" t="s">
        <v>7665</v>
      </c>
      <c r="T3122" s="1" t="s">
        <v>7666</v>
      </c>
      <c r="U3122" s="2" t="s">
        <v>312</v>
      </c>
      <c r="V3122" s="2" t="s">
        <v>47</v>
      </c>
      <c r="W3122" s="2" t="s">
        <v>203</v>
      </c>
      <c r="X3122" s="2">
        <v>12.914999999999999</v>
      </c>
    </row>
    <row r="3123" spans="1:24" x14ac:dyDescent="0.3">
      <c r="A3123">
        <v>20979</v>
      </c>
      <c r="B3123" t="s">
        <v>8006</v>
      </c>
      <c r="C3123" s="3">
        <v>41767</v>
      </c>
      <c r="D3123" t="s">
        <v>39</v>
      </c>
      <c r="E3123">
        <v>5</v>
      </c>
      <c r="F3123" s="3">
        <f ca="1">41767+(RANDBETWEEN(1,10))</f>
        <v>41768</v>
      </c>
      <c r="G3123" t="s">
        <v>156</v>
      </c>
      <c r="H3123" t="s">
        <v>51</v>
      </c>
      <c r="I3123" t="s">
        <v>28</v>
      </c>
      <c r="J3123">
        <v>406.98</v>
      </c>
      <c r="K3123">
        <v>0.04</v>
      </c>
      <c r="L3123">
        <v>0.43</v>
      </c>
      <c r="M3123">
        <v>6.9649999999999999</v>
      </c>
      <c r="N3123">
        <v>280.81619999999998</v>
      </c>
      <c r="O3123" s="1" t="s">
        <v>64</v>
      </c>
      <c r="P3123" s="1" t="s">
        <v>8007</v>
      </c>
      <c r="Q3123" s="1" t="s">
        <v>8008</v>
      </c>
      <c r="R3123" s="1" t="s">
        <v>128</v>
      </c>
      <c r="S3123" s="1" t="s">
        <v>7526</v>
      </c>
      <c r="T3123" s="1" t="s">
        <v>7527</v>
      </c>
      <c r="U3123" s="2" t="s">
        <v>4462</v>
      </c>
      <c r="V3123" s="2" t="s">
        <v>36</v>
      </c>
      <c r="W3123" s="2" t="s">
        <v>60</v>
      </c>
      <c r="X3123" s="2">
        <v>77.84</v>
      </c>
    </row>
    <row r="3124" spans="1:24" x14ac:dyDescent="0.3">
      <c r="A3124">
        <v>20980</v>
      </c>
      <c r="B3124" t="s">
        <v>8009</v>
      </c>
      <c r="C3124" s="3">
        <v>40751</v>
      </c>
      <c r="D3124" t="s">
        <v>148</v>
      </c>
      <c r="E3124">
        <v>9</v>
      </c>
      <c r="F3124" s="3">
        <f ca="1">40753+(RANDBETWEEN(1,10))</f>
        <v>40754</v>
      </c>
      <c r="G3124" t="s">
        <v>26</v>
      </c>
      <c r="H3124" t="s">
        <v>96</v>
      </c>
      <c r="I3124" t="s">
        <v>86</v>
      </c>
      <c r="J3124">
        <v>88.724999999999994</v>
      </c>
      <c r="K3124">
        <v>0.08</v>
      </c>
      <c r="L3124">
        <v>0.57999999999999996</v>
      </c>
      <c r="M3124">
        <v>3.36</v>
      </c>
      <c r="N3124">
        <v>-4.13</v>
      </c>
      <c r="O3124" s="1" t="s">
        <v>64</v>
      </c>
      <c r="P3124" s="1" t="s">
        <v>8010</v>
      </c>
      <c r="Q3124" s="1" t="s">
        <v>8011</v>
      </c>
      <c r="R3124" s="1" t="s">
        <v>67</v>
      </c>
      <c r="S3124" s="1" t="s">
        <v>8012</v>
      </c>
      <c r="T3124" s="1" t="s">
        <v>8013</v>
      </c>
      <c r="U3124" s="2" t="s">
        <v>154</v>
      </c>
      <c r="V3124" s="2" t="s">
        <v>47</v>
      </c>
      <c r="W3124" s="2" t="s">
        <v>104</v>
      </c>
      <c r="X3124" s="2">
        <v>10.29</v>
      </c>
    </row>
    <row r="3125" spans="1:24" x14ac:dyDescent="0.3">
      <c r="A3125">
        <v>20981</v>
      </c>
      <c r="B3125" t="s">
        <v>8014</v>
      </c>
      <c r="C3125" s="3">
        <v>41099</v>
      </c>
      <c r="D3125" t="s">
        <v>148</v>
      </c>
      <c r="E3125">
        <v>5</v>
      </c>
      <c r="F3125" s="3">
        <f ca="1">41100+(RANDBETWEEN(1,10))</f>
        <v>41107</v>
      </c>
      <c r="G3125" t="s">
        <v>26</v>
      </c>
      <c r="H3125" t="s">
        <v>96</v>
      </c>
      <c r="I3125" t="s">
        <v>52</v>
      </c>
      <c r="J3125">
        <v>377.33499999999998</v>
      </c>
      <c r="K3125">
        <v>0.04</v>
      </c>
      <c r="L3125">
        <v>0.39</v>
      </c>
      <c r="M3125">
        <v>29.12</v>
      </c>
      <c r="N3125">
        <v>140.38499999999999</v>
      </c>
      <c r="O3125" s="1" t="s">
        <v>64</v>
      </c>
      <c r="P3125" s="1" t="s">
        <v>2937</v>
      </c>
      <c r="Q3125" s="1" t="s">
        <v>2938</v>
      </c>
      <c r="R3125" s="1" t="s">
        <v>67</v>
      </c>
      <c r="S3125" s="1" t="s">
        <v>2939</v>
      </c>
      <c r="T3125" s="1" t="s">
        <v>2940</v>
      </c>
      <c r="U3125" s="2" t="s">
        <v>8015</v>
      </c>
      <c r="V3125" s="2" t="s">
        <v>47</v>
      </c>
      <c r="W3125" s="2" t="s">
        <v>74</v>
      </c>
      <c r="X3125" s="2">
        <v>76.930000000000007</v>
      </c>
    </row>
    <row r="3126" spans="1:24" x14ac:dyDescent="0.3">
      <c r="A3126">
        <v>20982</v>
      </c>
      <c r="B3126" t="s">
        <v>8014</v>
      </c>
      <c r="C3126" s="3">
        <v>41099</v>
      </c>
      <c r="D3126" t="s">
        <v>148</v>
      </c>
      <c r="E3126">
        <v>12</v>
      </c>
      <c r="F3126" s="3">
        <f ca="1">41099+(RANDBETWEEN(1,10))</f>
        <v>41103</v>
      </c>
      <c r="G3126" t="s">
        <v>26</v>
      </c>
      <c r="H3126" t="s">
        <v>63</v>
      </c>
      <c r="I3126" t="s">
        <v>52</v>
      </c>
      <c r="J3126">
        <v>2519.8249999999998</v>
      </c>
      <c r="K3126">
        <v>0.05</v>
      </c>
      <c r="L3126">
        <v>0.68</v>
      </c>
      <c r="M3126">
        <v>241.5</v>
      </c>
      <c r="N3126">
        <v>-6056.05</v>
      </c>
      <c r="O3126" s="1" t="s">
        <v>64</v>
      </c>
      <c r="P3126" s="1" t="s">
        <v>2937</v>
      </c>
      <c r="Q3126" s="1" t="s">
        <v>2938</v>
      </c>
      <c r="R3126" s="1" t="s">
        <v>67</v>
      </c>
      <c r="S3126" s="1" t="s">
        <v>2939</v>
      </c>
      <c r="T3126" s="1" t="s">
        <v>2940</v>
      </c>
      <c r="U3126" s="2" t="s">
        <v>1152</v>
      </c>
      <c r="V3126" s="2" t="s">
        <v>83</v>
      </c>
      <c r="W3126" s="2" t="s">
        <v>263</v>
      </c>
      <c r="X3126" s="2">
        <v>249.79499999999999</v>
      </c>
    </row>
    <row r="3127" spans="1:24" x14ac:dyDescent="0.3">
      <c r="A3127">
        <v>20983</v>
      </c>
      <c r="B3127" t="s">
        <v>8016</v>
      </c>
      <c r="C3127" s="3">
        <v>40824</v>
      </c>
      <c r="D3127" t="s">
        <v>50</v>
      </c>
      <c r="E3127">
        <v>19</v>
      </c>
      <c r="F3127" s="3">
        <f ca="1">40826+(RANDBETWEEN(1,10))</f>
        <v>40832</v>
      </c>
      <c r="G3127" t="s">
        <v>76</v>
      </c>
      <c r="H3127" t="s">
        <v>258</v>
      </c>
      <c r="I3127" t="s">
        <v>28</v>
      </c>
      <c r="J3127">
        <v>4708.6549999999997</v>
      </c>
      <c r="K3127">
        <v>0.04</v>
      </c>
      <c r="L3127">
        <v>0.6</v>
      </c>
      <c r="M3127">
        <v>93.59</v>
      </c>
      <c r="N3127">
        <v>-296.20080000000002</v>
      </c>
      <c r="O3127" s="1" t="s">
        <v>53</v>
      </c>
      <c r="P3127" s="1" t="s">
        <v>6818</v>
      </c>
      <c r="Q3127" s="1" t="s">
        <v>6819</v>
      </c>
      <c r="R3127" s="1" t="s">
        <v>100</v>
      </c>
      <c r="S3127" s="1" t="s">
        <v>6820</v>
      </c>
      <c r="T3127" s="1" t="s">
        <v>6821</v>
      </c>
      <c r="U3127" s="2" t="s">
        <v>3851</v>
      </c>
      <c r="V3127" s="2" t="s">
        <v>83</v>
      </c>
      <c r="W3127" s="2" t="s">
        <v>298</v>
      </c>
      <c r="X3127" s="2">
        <v>248.43</v>
      </c>
    </row>
    <row r="3128" spans="1:24" x14ac:dyDescent="0.3">
      <c r="A3128">
        <v>20984</v>
      </c>
      <c r="B3128" t="s">
        <v>8017</v>
      </c>
      <c r="C3128" s="3">
        <v>41415</v>
      </c>
      <c r="D3128" t="s">
        <v>39</v>
      </c>
      <c r="E3128">
        <v>7</v>
      </c>
      <c r="F3128" s="3">
        <f ca="1">41416+(RANDBETWEEN(1,10))</f>
        <v>41418</v>
      </c>
      <c r="G3128" t="s">
        <v>26</v>
      </c>
      <c r="H3128" t="s">
        <v>51</v>
      </c>
      <c r="I3128" t="s">
        <v>28</v>
      </c>
      <c r="J3128">
        <v>550.30499999999995</v>
      </c>
      <c r="K3128">
        <v>0.04</v>
      </c>
      <c r="L3128">
        <v>0.59</v>
      </c>
      <c r="M3128">
        <v>31.465</v>
      </c>
      <c r="N3128">
        <v>-95.69</v>
      </c>
      <c r="O3128" s="1" t="s">
        <v>64</v>
      </c>
      <c r="P3128" s="1" t="s">
        <v>8018</v>
      </c>
      <c r="Q3128" s="1" t="s">
        <v>8019</v>
      </c>
      <c r="R3128" s="1" t="s">
        <v>128</v>
      </c>
      <c r="S3128" s="1" t="s">
        <v>8020</v>
      </c>
      <c r="T3128" s="1" t="s">
        <v>8021</v>
      </c>
      <c r="U3128" s="2" t="s">
        <v>2789</v>
      </c>
      <c r="V3128" s="2" t="s">
        <v>47</v>
      </c>
      <c r="W3128" s="2" t="s">
        <v>104</v>
      </c>
      <c r="X3128" s="2">
        <v>74.83</v>
      </c>
    </row>
    <row r="3129" spans="1:24" x14ac:dyDescent="0.3">
      <c r="A3129">
        <v>20985</v>
      </c>
      <c r="B3129" t="s">
        <v>8017</v>
      </c>
      <c r="C3129" s="3">
        <v>41415</v>
      </c>
      <c r="D3129" t="s">
        <v>39</v>
      </c>
      <c r="E3129">
        <v>17</v>
      </c>
      <c r="F3129" s="3">
        <f ca="1">41416+(RANDBETWEEN(1,10))</f>
        <v>41422</v>
      </c>
      <c r="G3129" t="s">
        <v>76</v>
      </c>
      <c r="H3129" t="s">
        <v>258</v>
      </c>
      <c r="I3129" t="s">
        <v>28</v>
      </c>
      <c r="J3129">
        <v>16154.915000000001</v>
      </c>
      <c r="K3129">
        <v>0.05</v>
      </c>
      <c r="L3129">
        <v>0.66</v>
      </c>
      <c r="M3129">
        <v>296.94</v>
      </c>
      <c r="N3129">
        <v>2503.13</v>
      </c>
      <c r="O3129" s="1" t="s">
        <v>64</v>
      </c>
      <c r="P3129" s="1" t="s">
        <v>8018</v>
      </c>
      <c r="Q3129" s="1" t="s">
        <v>8019</v>
      </c>
      <c r="R3129" s="1" t="s">
        <v>128</v>
      </c>
      <c r="S3129" s="1" t="s">
        <v>8020</v>
      </c>
      <c r="T3129" s="1" t="s">
        <v>8021</v>
      </c>
      <c r="U3129" s="2" t="s">
        <v>3482</v>
      </c>
      <c r="V3129" s="2" t="s">
        <v>83</v>
      </c>
      <c r="W3129" s="2" t="s">
        <v>263</v>
      </c>
      <c r="X3129" s="2">
        <v>1218.7349999999999</v>
      </c>
    </row>
    <row r="3130" spans="1:24" x14ac:dyDescent="0.3">
      <c r="A3130">
        <v>20986</v>
      </c>
      <c r="B3130" t="s">
        <v>8022</v>
      </c>
      <c r="C3130" s="3">
        <v>40587</v>
      </c>
      <c r="D3130" t="s">
        <v>62</v>
      </c>
      <c r="E3130">
        <v>11</v>
      </c>
      <c r="F3130" s="3">
        <f ca="1">40589+(RANDBETWEEN(1,10))</f>
        <v>40591</v>
      </c>
      <c r="G3130" t="s">
        <v>26</v>
      </c>
      <c r="H3130" t="s">
        <v>63</v>
      </c>
      <c r="I3130" t="s">
        <v>97</v>
      </c>
      <c r="J3130">
        <v>7836.6049999999996</v>
      </c>
      <c r="K3130">
        <v>0.03</v>
      </c>
      <c r="L3130">
        <v>0.59</v>
      </c>
      <c r="M3130">
        <v>40.39</v>
      </c>
      <c r="N3130">
        <v>5407.2574500000001</v>
      </c>
      <c r="O3130" s="1" t="s">
        <v>53</v>
      </c>
      <c r="P3130" s="1" t="s">
        <v>6812</v>
      </c>
      <c r="Q3130" s="1" t="s">
        <v>6813</v>
      </c>
      <c r="R3130" s="1" t="s">
        <v>56</v>
      </c>
      <c r="S3130" s="1" t="s">
        <v>6814</v>
      </c>
      <c r="T3130" s="1" t="s">
        <v>6815</v>
      </c>
      <c r="U3130" s="2" t="s">
        <v>5469</v>
      </c>
      <c r="V3130" s="2" t="s">
        <v>83</v>
      </c>
      <c r="W3130" s="2" t="s">
        <v>178</v>
      </c>
      <c r="X3130" s="2">
        <v>680.05</v>
      </c>
    </row>
    <row r="3131" spans="1:24" x14ac:dyDescent="0.3">
      <c r="A3131">
        <v>20987</v>
      </c>
      <c r="B3131" t="s">
        <v>8023</v>
      </c>
      <c r="C3131" s="3">
        <v>41754</v>
      </c>
      <c r="D3131" t="s">
        <v>62</v>
      </c>
      <c r="E3131">
        <v>8</v>
      </c>
      <c r="F3131" s="3">
        <f ca="1">41756+(RANDBETWEEN(1,10))</f>
        <v>41760</v>
      </c>
      <c r="G3131" t="s">
        <v>26</v>
      </c>
      <c r="H3131" t="s">
        <v>27</v>
      </c>
      <c r="I3131" t="s">
        <v>28</v>
      </c>
      <c r="J3131">
        <v>86.905000000000001</v>
      </c>
      <c r="K3131">
        <v>0.05</v>
      </c>
      <c r="L3131">
        <v>0.37</v>
      </c>
      <c r="M3131">
        <v>3.4649999999999999</v>
      </c>
      <c r="N3131">
        <v>59.964449999999999</v>
      </c>
      <c r="O3131" s="1" t="s">
        <v>53</v>
      </c>
      <c r="P3131" s="1" t="s">
        <v>4102</v>
      </c>
      <c r="Q3131" s="1" t="s">
        <v>4103</v>
      </c>
      <c r="R3131" s="1" t="s">
        <v>56</v>
      </c>
      <c r="S3131" s="1" t="s">
        <v>4104</v>
      </c>
      <c r="T3131" s="1" t="s">
        <v>4105</v>
      </c>
      <c r="U3131" s="2" t="s">
        <v>7368</v>
      </c>
      <c r="V3131" s="2" t="s">
        <v>47</v>
      </c>
      <c r="W3131" s="2" t="s">
        <v>203</v>
      </c>
      <c r="X3131" s="2">
        <v>10.78</v>
      </c>
    </row>
    <row r="3132" spans="1:24" x14ac:dyDescent="0.3">
      <c r="A3132">
        <v>20988</v>
      </c>
      <c r="B3132" t="s">
        <v>8023</v>
      </c>
      <c r="C3132" s="3">
        <v>41754</v>
      </c>
      <c r="D3132" t="s">
        <v>62</v>
      </c>
      <c r="E3132">
        <v>2</v>
      </c>
      <c r="F3132" s="3">
        <f ca="1">41756+(RANDBETWEEN(1,10))</f>
        <v>41758</v>
      </c>
      <c r="G3132" t="s">
        <v>26</v>
      </c>
      <c r="H3132" t="s">
        <v>51</v>
      </c>
      <c r="I3132" t="s">
        <v>28</v>
      </c>
      <c r="J3132">
        <v>70.069999999999993</v>
      </c>
      <c r="K3132">
        <v>0</v>
      </c>
      <c r="L3132">
        <v>0.4</v>
      </c>
      <c r="M3132">
        <v>13.02</v>
      </c>
      <c r="N3132">
        <v>28.07</v>
      </c>
      <c r="O3132" s="1" t="s">
        <v>53</v>
      </c>
      <c r="P3132" s="1" t="s">
        <v>4102</v>
      </c>
      <c r="Q3132" s="1" t="s">
        <v>4103</v>
      </c>
      <c r="R3132" s="1" t="s">
        <v>56</v>
      </c>
      <c r="S3132" s="1" t="s">
        <v>4104</v>
      </c>
      <c r="T3132" s="1" t="s">
        <v>4105</v>
      </c>
      <c r="U3132" s="2" t="s">
        <v>5462</v>
      </c>
      <c r="V3132" s="2" t="s">
        <v>83</v>
      </c>
      <c r="W3132" s="2" t="s">
        <v>178</v>
      </c>
      <c r="X3132" s="2">
        <v>33.18</v>
      </c>
    </row>
    <row r="3133" spans="1:24" x14ac:dyDescent="0.3">
      <c r="A3133">
        <v>20989</v>
      </c>
      <c r="B3133" t="s">
        <v>8023</v>
      </c>
      <c r="C3133" s="3">
        <v>41754</v>
      </c>
      <c r="D3133" t="s">
        <v>62</v>
      </c>
      <c r="E3133">
        <v>1</v>
      </c>
      <c r="F3133" s="3">
        <f ca="1">41756+(RANDBETWEEN(1,10))</f>
        <v>41766</v>
      </c>
      <c r="G3133" t="s">
        <v>76</v>
      </c>
      <c r="H3133" t="s">
        <v>258</v>
      </c>
      <c r="I3133" t="s">
        <v>28</v>
      </c>
      <c r="J3133">
        <v>273.91000000000003</v>
      </c>
      <c r="K3133">
        <v>0.04</v>
      </c>
      <c r="L3133">
        <v>0.69</v>
      </c>
      <c r="M3133">
        <v>312.55</v>
      </c>
      <c r="N3133">
        <v>188.99789999999999</v>
      </c>
      <c r="O3133" s="1" t="s">
        <v>53</v>
      </c>
      <c r="P3133" s="1" t="s">
        <v>4102</v>
      </c>
      <c r="Q3133" s="1" t="s">
        <v>4103</v>
      </c>
      <c r="R3133" s="1" t="s">
        <v>56</v>
      </c>
      <c r="S3133" s="1" t="s">
        <v>4104</v>
      </c>
      <c r="T3133" s="1" t="s">
        <v>4105</v>
      </c>
      <c r="U3133" s="2" t="s">
        <v>407</v>
      </c>
      <c r="V3133" s="2" t="s">
        <v>83</v>
      </c>
      <c r="W3133" s="2" t="s">
        <v>263</v>
      </c>
      <c r="X3133" s="2">
        <v>248.11500000000001</v>
      </c>
    </row>
    <row r="3134" spans="1:24" x14ac:dyDescent="0.3">
      <c r="A3134">
        <v>2099</v>
      </c>
      <c r="B3134" t="s">
        <v>8024</v>
      </c>
      <c r="C3134" s="3">
        <v>41629</v>
      </c>
      <c r="D3134" t="s">
        <v>50</v>
      </c>
      <c r="E3134">
        <v>92</v>
      </c>
      <c r="F3134" s="3">
        <f ca="1">41631+(RANDBETWEEN(1,10))</f>
        <v>41639</v>
      </c>
      <c r="G3134" t="s">
        <v>156</v>
      </c>
      <c r="H3134" t="s">
        <v>51</v>
      </c>
      <c r="I3134" t="s">
        <v>86</v>
      </c>
      <c r="J3134">
        <v>8400.91</v>
      </c>
      <c r="K3134">
        <v>0.09</v>
      </c>
      <c r="L3134">
        <v>0.56999999999999995</v>
      </c>
      <c r="M3134">
        <v>31.465</v>
      </c>
      <c r="N3134">
        <v>-27.3</v>
      </c>
      <c r="O3134" s="1" t="s">
        <v>64</v>
      </c>
      <c r="P3134" s="1" t="s">
        <v>8025</v>
      </c>
      <c r="Q3134" s="1" t="s">
        <v>8026</v>
      </c>
      <c r="R3134" s="1" t="s">
        <v>67</v>
      </c>
      <c r="S3134" s="1" t="s">
        <v>68</v>
      </c>
      <c r="T3134" s="1" t="s">
        <v>8027</v>
      </c>
      <c r="U3134" s="2" t="s">
        <v>3614</v>
      </c>
      <c r="V3134" s="2" t="s">
        <v>47</v>
      </c>
      <c r="W3134" s="2" t="s">
        <v>104</v>
      </c>
      <c r="X3134" s="2">
        <v>98.525000000000006</v>
      </c>
    </row>
    <row r="3135" spans="1:24" x14ac:dyDescent="0.3">
      <c r="A3135">
        <v>20990</v>
      </c>
      <c r="B3135" t="s">
        <v>8028</v>
      </c>
      <c r="C3135" s="3">
        <v>40923</v>
      </c>
      <c r="D3135" t="s">
        <v>62</v>
      </c>
      <c r="E3135">
        <v>8</v>
      </c>
      <c r="F3135" s="3">
        <f ca="1">40924+(RANDBETWEEN(1,10))</f>
        <v>40928</v>
      </c>
      <c r="G3135" t="s">
        <v>26</v>
      </c>
      <c r="H3135" t="s">
        <v>51</v>
      </c>
      <c r="I3135" t="s">
        <v>86</v>
      </c>
      <c r="J3135">
        <v>65.8</v>
      </c>
      <c r="K3135">
        <v>0</v>
      </c>
      <c r="L3135">
        <v>0.55000000000000004</v>
      </c>
      <c r="M3135">
        <v>6.9649999999999999</v>
      </c>
      <c r="N3135">
        <v>-161.44800000000001</v>
      </c>
      <c r="O3135" s="1" t="s">
        <v>64</v>
      </c>
      <c r="P3135" s="1" t="s">
        <v>8029</v>
      </c>
      <c r="Q3135" s="1" t="s">
        <v>8030</v>
      </c>
      <c r="R3135" s="1" t="s">
        <v>128</v>
      </c>
      <c r="S3135" s="1" t="s">
        <v>8031</v>
      </c>
      <c r="T3135" s="1" t="s">
        <v>8032</v>
      </c>
      <c r="U3135" s="2" t="s">
        <v>1910</v>
      </c>
      <c r="V3135" s="2" t="s">
        <v>36</v>
      </c>
      <c r="W3135" s="2" t="s">
        <v>60</v>
      </c>
      <c r="X3135" s="2">
        <v>7.42</v>
      </c>
    </row>
    <row r="3136" spans="1:24" x14ac:dyDescent="0.3">
      <c r="A3136">
        <v>20991</v>
      </c>
      <c r="B3136" t="s">
        <v>8033</v>
      </c>
      <c r="C3136" s="3">
        <v>41003</v>
      </c>
      <c r="D3136" t="s">
        <v>25</v>
      </c>
      <c r="E3136">
        <v>4</v>
      </c>
      <c r="F3136" s="3">
        <f ca="1">41010+(RANDBETWEEN(1,10))</f>
        <v>41014</v>
      </c>
      <c r="G3136" t="s">
        <v>26</v>
      </c>
      <c r="H3136" t="s">
        <v>96</v>
      </c>
      <c r="I3136" t="s">
        <v>97</v>
      </c>
      <c r="J3136">
        <v>139.58000000000001</v>
      </c>
      <c r="K3136">
        <v>0.03</v>
      </c>
      <c r="L3136">
        <v>0.36</v>
      </c>
      <c r="M3136">
        <v>7.9450000000000003</v>
      </c>
      <c r="N3136">
        <v>51.512999999999998</v>
      </c>
      <c r="O3136" s="1" t="s">
        <v>53</v>
      </c>
      <c r="P3136" s="1" t="s">
        <v>5104</v>
      </c>
      <c r="Q3136" s="1" t="s">
        <v>5105</v>
      </c>
      <c r="R3136" s="1" t="s">
        <v>440</v>
      </c>
      <c r="S3136" s="1" t="s">
        <v>5106</v>
      </c>
      <c r="T3136" s="1" t="s">
        <v>5107</v>
      </c>
      <c r="U3136" s="2" t="s">
        <v>4659</v>
      </c>
      <c r="V3136" s="2" t="s">
        <v>47</v>
      </c>
      <c r="W3136" s="2" t="s">
        <v>74</v>
      </c>
      <c r="X3136" s="2">
        <v>35.49</v>
      </c>
    </row>
    <row r="3137" spans="1:24" x14ac:dyDescent="0.3">
      <c r="A3137">
        <v>20992</v>
      </c>
      <c r="B3137" t="s">
        <v>8034</v>
      </c>
      <c r="C3137" s="3">
        <v>41370</v>
      </c>
      <c r="D3137" t="s">
        <v>25</v>
      </c>
      <c r="E3137">
        <v>6</v>
      </c>
      <c r="F3137" s="3">
        <f ca="1">41370+(RANDBETWEEN(1,10))</f>
        <v>41379</v>
      </c>
      <c r="G3137" t="s">
        <v>26</v>
      </c>
      <c r="H3137" t="s">
        <v>63</v>
      </c>
      <c r="I3137" t="s">
        <v>52</v>
      </c>
      <c r="J3137">
        <v>2338.6999999999998</v>
      </c>
      <c r="K3137">
        <v>0.09</v>
      </c>
      <c r="L3137" t="s">
        <v>182</v>
      </c>
      <c r="M3137">
        <v>122.5</v>
      </c>
      <c r="N3137">
        <v>-2131.8150000000001</v>
      </c>
      <c r="O3137" s="1" t="s">
        <v>225</v>
      </c>
      <c r="P3137" s="1" t="s">
        <v>3374</v>
      </c>
      <c r="Q3137" s="1" t="s">
        <v>3375</v>
      </c>
      <c r="R3137" s="1" t="s">
        <v>391</v>
      </c>
      <c r="S3137" s="1" t="s">
        <v>3376</v>
      </c>
      <c r="T3137" s="1" t="s">
        <v>3377</v>
      </c>
      <c r="U3137" s="2" t="s">
        <v>8035</v>
      </c>
      <c r="V3137" s="2" t="s">
        <v>47</v>
      </c>
      <c r="W3137" s="2" t="s">
        <v>119</v>
      </c>
      <c r="X3137" s="2">
        <v>397.74</v>
      </c>
    </row>
    <row r="3138" spans="1:24" x14ac:dyDescent="0.3">
      <c r="A3138">
        <v>20993</v>
      </c>
      <c r="B3138" t="s">
        <v>8036</v>
      </c>
      <c r="C3138" s="3">
        <v>40725</v>
      </c>
      <c r="D3138" t="s">
        <v>62</v>
      </c>
      <c r="E3138">
        <v>2</v>
      </c>
      <c r="F3138" s="3">
        <f ca="1">40728+(RANDBETWEEN(1,10))</f>
        <v>40736</v>
      </c>
      <c r="G3138" t="s">
        <v>76</v>
      </c>
      <c r="H3138" t="s">
        <v>258</v>
      </c>
      <c r="I3138" t="s">
        <v>86</v>
      </c>
      <c r="J3138">
        <v>2532.39</v>
      </c>
      <c r="K3138">
        <v>0.01</v>
      </c>
      <c r="L3138">
        <v>0.62</v>
      </c>
      <c r="M3138">
        <v>140.66499999999999</v>
      </c>
      <c r="N3138">
        <v>-1179.8219999999999</v>
      </c>
      <c r="O3138" s="1" t="s">
        <v>87</v>
      </c>
      <c r="P3138" s="1" t="s">
        <v>7125</v>
      </c>
      <c r="Q3138" s="1" t="s">
        <v>7126</v>
      </c>
      <c r="R3138" s="1" t="s">
        <v>646</v>
      </c>
      <c r="S3138" s="1" t="s">
        <v>7127</v>
      </c>
      <c r="T3138" s="1" t="s">
        <v>7128</v>
      </c>
      <c r="U3138" s="2" t="s">
        <v>3482</v>
      </c>
      <c r="V3138" s="2" t="s">
        <v>83</v>
      </c>
      <c r="W3138" s="2" t="s">
        <v>263</v>
      </c>
      <c r="X3138" s="2">
        <v>1218.7349999999999</v>
      </c>
    </row>
    <row r="3139" spans="1:24" x14ac:dyDescent="0.3">
      <c r="A3139">
        <v>20994</v>
      </c>
      <c r="B3139" t="s">
        <v>8037</v>
      </c>
      <c r="C3139" s="3">
        <v>41730</v>
      </c>
      <c r="D3139" t="s">
        <v>148</v>
      </c>
      <c r="E3139">
        <v>2</v>
      </c>
      <c r="F3139" s="3">
        <f ca="1">41732+(RANDBETWEEN(1,10))</f>
        <v>41736</v>
      </c>
      <c r="G3139" t="s">
        <v>156</v>
      </c>
      <c r="H3139" t="s">
        <v>27</v>
      </c>
      <c r="I3139" t="s">
        <v>97</v>
      </c>
      <c r="J3139">
        <v>2892.0149999999999</v>
      </c>
      <c r="K3139">
        <v>0.02</v>
      </c>
      <c r="L3139">
        <v>0.38</v>
      </c>
      <c r="M3139">
        <v>69.965000000000003</v>
      </c>
      <c r="N3139">
        <v>1995.49035</v>
      </c>
      <c r="O3139" s="1" t="s">
        <v>29</v>
      </c>
      <c r="P3139" s="1" t="s">
        <v>7734</v>
      </c>
      <c r="Q3139" s="1" t="s">
        <v>7735</v>
      </c>
      <c r="R3139" s="1" t="s">
        <v>675</v>
      </c>
      <c r="S3139" s="1" t="s">
        <v>7736</v>
      </c>
      <c r="T3139" s="1" t="s">
        <v>7737</v>
      </c>
      <c r="U3139" s="2" t="s">
        <v>5575</v>
      </c>
      <c r="V3139" s="2" t="s">
        <v>47</v>
      </c>
      <c r="W3139" s="2" t="s">
        <v>111</v>
      </c>
      <c r="X3139" s="2">
        <v>1357.9649999999999</v>
      </c>
    </row>
    <row r="3140" spans="1:24" x14ac:dyDescent="0.3">
      <c r="A3140">
        <v>20995</v>
      </c>
      <c r="B3140" t="s">
        <v>8038</v>
      </c>
      <c r="C3140" s="3">
        <v>41737</v>
      </c>
      <c r="D3140" t="s">
        <v>39</v>
      </c>
      <c r="E3140">
        <v>8</v>
      </c>
      <c r="F3140" s="3">
        <f ca="1">41739+(RANDBETWEEN(1,10))</f>
        <v>41748</v>
      </c>
      <c r="G3140" t="s">
        <v>76</v>
      </c>
      <c r="H3140" t="s">
        <v>77</v>
      </c>
      <c r="I3140" t="s">
        <v>86</v>
      </c>
      <c r="J3140">
        <v>1691.34</v>
      </c>
      <c r="K3140">
        <v>0.08</v>
      </c>
      <c r="L3140">
        <v>0.7</v>
      </c>
      <c r="M3140">
        <v>105</v>
      </c>
      <c r="N3140">
        <v>-1323</v>
      </c>
      <c r="O3140" s="1" t="s">
        <v>87</v>
      </c>
      <c r="P3140" s="1" t="s">
        <v>6135</v>
      </c>
      <c r="Q3140" s="1" t="s">
        <v>6136</v>
      </c>
      <c r="R3140" s="1" t="s">
        <v>646</v>
      </c>
      <c r="S3140" s="1" t="s">
        <v>6137</v>
      </c>
      <c r="T3140" s="1" t="s">
        <v>6138</v>
      </c>
      <c r="U3140" s="2" t="s">
        <v>5111</v>
      </c>
      <c r="V3140" s="2" t="s">
        <v>83</v>
      </c>
      <c r="W3140" s="2" t="s">
        <v>84</v>
      </c>
      <c r="X3140" s="2">
        <v>213.43</v>
      </c>
    </row>
    <row r="3141" spans="1:24" x14ac:dyDescent="0.3">
      <c r="A3141">
        <v>20996</v>
      </c>
      <c r="B3141" t="s">
        <v>8038</v>
      </c>
      <c r="C3141" s="3">
        <v>41737</v>
      </c>
      <c r="D3141" t="s">
        <v>39</v>
      </c>
      <c r="E3141">
        <v>12</v>
      </c>
      <c r="F3141" s="3">
        <f ca="1">41739+(RANDBETWEEN(1,10))</f>
        <v>41749</v>
      </c>
      <c r="G3141" t="s">
        <v>26</v>
      </c>
      <c r="H3141" t="s">
        <v>27</v>
      </c>
      <c r="I3141" t="s">
        <v>86</v>
      </c>
      <c r="J3141">
        <v>435.05</v>
      </c>
      <c r="K3141">
        <v>0.1</v>
      </c>
      <c r="L3141">
        <v>0.56999999999999995</v>
      </c>
      <c r="M3141">
        <v>18.059999999999999</v>
      </c>
      <c r="N3141">
        <v>14.301</v>
      </c>
      <c r="O3141" s="1" t="s">
        <v>53</v>
      </c>
      <c r="P3141" s="1" t="s">
        <v>8039</v>
      </c>
      <c r="Q3141" s="1" t="s">
        <v>8040</v>
      </c>
      <c r="R3141" s="1" t="s">
        <v>440</v>
      </c>
      <c r="S3141" s="1" t="s">
        <v>2892</v>
      </c>
      <c r="T3141" s="1" t="s">
        <v>2893</v>
      </c>
      <c r="U3141" s="2" t="s">
        <v>1754</v>
      </c>
      <c r="V3141" s="2" t="s">
        <v>83</v>
      </c>
      <c r="W3141" s="2" t="s">
        <v>178</v>
      </c>
      <c r="X3141" s="2">
        <v>37.24</v>
      </c>
    </row>
    <row r="3142" spans="1:24" x14ac:dyDescent="0.3">
      <c r="A3142">
        <v>20997</v>
      </c>
      <c r="B3142" t="s">
        <v>8041</v>
      </c>
      <c r="C3142" s="3">
        <v>41296</v>
      </c>
      <c r="D3142" t="s">
        <v>50</v>
      </c>
      <c r="E3142">
        <v>12</v>
      </c>
      <c r="F3142" s="3">
        <f ca="1">41297+(RANDBETWEEN(1,10))</f>
        <v>41302</v>
      </c>
      <c r="G3142" t="s">
        <v>156</v>
      </c>
      <c r="H3142" t="s">
        <v>27</v>
      </c>
      <c r="I3142" t="s">
        <v>86</v>
      </c>
      <c r="J3142">
        <v>1342.74</v>
      </c>
      <c r="K3142">
        <v>0.06</v>
      </c>
      <c r="L3142">
        <v>0.75</v>
      </c>
      <c r="M3142">
        <v>19.25</v>
      </c>
      <c r="N3142">
        <v>-391.90199999999999</v>
      </c>
      <c r="O3142" s="1" t="s">
        <v>87</v>
      </c>
      <c r="P3142" s="1" t="s">
        <v>5530</v>
      </c>
      <c r="Q3142" s="1" t="s">
        <v>5531</v>
      </c>
      <c r="R3142" s="1" t="s">
        <v>90</v>
      </c>
      <c r="S3142" s="1" t="s">
        <v>1330</v>
      </c>
      <c r="T3142" s="1" t="s">
        <v>1331</v>
      </c>
      <c r="U3142" s="2" t="s">
        <v>2960</v>
      </c>
      <c r="V3142" s="2" t="s">
        <v>36</v>
      </c>
      <c r="W3142" s="2" t="s">
        <v>60</v>
      </c>
      <c r="X3142" s="2">
        <v>115.43</v>
      </c>
    </row>
    <row r="3143" spans="1:24" x14ac:dyDescent="0.3">
      <c r="A3143">
        <v>20998</v>
      </c>
      <c r="B3143" t="s">
        <v>8041</v>
      </c>
      <c r="C3143" s="3">
        <v>41296</v>
      </c>
      <c r="D3143" t="s">
        <v>50</v>
      </c>
      <c r="E3143">
        <v>8</v>
      </c>
      <c r="F3143" s="3">
        <f ca="1">41297+(RANDBETWEEN(1,10))</f>
        <v>41301</v>
      </c>
      <c r="G3143" t="s">
        <v>26</v>
      </c>
      <c r="H3143" t="s">
        <v>51</v>
      </c>
      <c r="I3143" t="s">
        <v>86</v>
      </c>
      <c r="J3143">
        <v>498.82</v>
      </c>
      <c r="K3143">
        <v>0.06</v>
      </c>
      <c r="L3143">
        <v>0.46</v>
      </c>
      <c r="M3143">
        <v>6.9649999999999999</v>
      </c>
      <c r="N3143">
        <v>344.18579999999997</v>
      </c>
      <c r="O3143" s="1" t="s">
        <v>87</v>
      </c>
      <c r="P3143" s="1" t="s">
        <v>8042</v>
      </c>
      <c r="Q3143" s="1" t="s">
        <v>8043</v>
      </c>
      <c r="R3143" s="1" t="s">
        <v>646</v>
      </c>
      <c r="S3143" s="1" t="s">
        <v>5620</v>
      </c>
      <c r="T3143" s="1" t="s">
        <v>2738</v>
      </c>
      <c r="U3143" s="2" t="s">
        <v>8044</v>
      </c>
      <c r="V3143" s="2" t="s">
        <v>36</v>
      </c>
      <c r="W3143" s="2" t="s">
        <v>60</v>
      </c>
      <c r="X3143" s="2">
        <v>61.18</v>
      </c>
    </row>
    <row r="3144" spans="1:24" x14ac:dyDescent="0.3">
      <c r="A3144">
        <v>20999</v>
      </c>
      <c r="B3144" t="s">
        <v>8045</v>
      </c>
      <c r="C3144" s="3">
        <v>41713</v>
      </c>
      <c r="D3144" t="s">
        <v>50</v>
      </c>
      <c r="E3144">
        <v>4</v>
      </c>
      <c r="F3144" s="3">
        <f ca="1">41715+(RANDBETWEEN(1,10))</f>
        <v>41719</v>
      </c>
      <c r="G3144" t="s">
        <v>26</v>
      </c>
      <c r="H3144" t="s">
        <v>96</v>
      </c>
      <c r="I3144" t="s">
        <v>97</v>
      </c>
      <c r="J3144">
        <v>509.67</v>
      </c>
      <c r="K3144">
        <v>0.09</v>
      </c>
      <c r="L3144">
        <v>0.41</v>
      </c>
      <c r="M3144">
        <v>48.615000000000002</v>
      </c>
      <c r="N3144">
        <v>192.22</v>
      </c>
      <c r="O3144" s="1" t="s">
        <v>225</v>
      </c>
      <c r="P3144" s="1" t="s">
        <v>8046</v>
      </c>
      <c r="Q3144" s="1" t="s">
        <v>8047</v>
      </c>
      <c r="R3144" s="1" t="s">
        <v>391</v>
      </c>
      <c r="S3144" s="1" t="s">
        <v>8048</v>
      </c>
      <c r="T3144" s="1" t="s">
        <v>8049</v>
      </c>
      <c r="U3144" s="2" t="s">
        <v>530</v>
      </c>
      <c r="V3144" s="2" t="s">
        <v>47</v>
      </c>
      <c r="W3144" s="2" t="s">
        <v>104</v>
      </c>
      <c r="X3144" s="2">
        <v>127.925</v>
      </c>
    </row>
    <row r="3145" spans="1:24" x14ac:dyDescent="0.3">
      <c r="A3145">
        <v>2100</v>
      </c>
      <c r="B3145" t="s">
        <v>8024</v>
      </c>
      <c r="C3145" s="3">
        <v>41629</v>
      </c>
      <c r="D3145" t="s">
        <v>50</v>
      </c>
      <c r="E3145">
        <v>56</v>
      </c>
      <c r="F3145" s="3">
        <f ca="1">41630+(RANDBETWEEN(1,10))</f>
        <v>41633</v>
      </c>
      <c r="G3145" t="s">
        <v>156</v>
      </c>
      <c r="H3145" t="s">
        <v>27</v>
      </c>
      <c r="I3145" t="s">
        <v>86</v>
      </c>
      <c r="J3145">
        <v>1606.01</v>
      </c>
      <c r="K3145">
        <v>0.08</v>
      </c>
      <c r="L3145">
        <v>0.38</v>
      </c>
      <c r="M3145">
        <v>8.75</v>
      </c>
      <c r="N3145">
        <v>213.815</v>
      </c>
      <c r="O3145" s="1" t="s">
        <v>64</v>
      </c>
      <c r="P3145" s="1" t="s">
        <v>8025</v>
      </c>
      <c r="Q3145" s="1" t="s">
        <v>8026</v>
      </c>
      <c r="R3145" s="1" t="s">
        <v>67</v>
      </c>
      <c r="S3145" s="1" t="s">
        <v>68</v>
      </c>
      <c r="T3145" s="1" t="s">
        <v>8027</v>
      </c>
      <c r="U3145" s="2" t="s">
        <v>6341</v>
      </c>
      <c r="V3145" s="2" t="s">
        <v>47</v>
      </c>
      <c r="W3145" s="2" t="s">
        <v>48</v>
      </c>
      <c r="X3145" s="2">
        <v>27.23</v>
      </c>
    </row>
    <row r="3146" spans="1:24" x14ac:dyDescent="0.3">
      <c r="A3146">
        <v>21000</v>
      </c>
      <c r="B3146" t="s">
        <v>8050</v>
      </c>
      <c r="C3146" s="3">
        <v>40629</v>
      </c>
      <c r="D3146" t="s">
        <v>148</v>
      </c>
      <c r="E3146">
        <v>7</v>
      </c>
      <c r="F3146" s="3">
        <f ca="1">40630+(RANDBETWEEN(1,10))</f>
        <v>40634</v>
      </c>
      <c r="G3146" t="s">
        <v>26</v>
      </c>
      <c r="H3146" t="s">
        <v>51</v>
      </c>
      <c r="I3146" t="s">
        <v>97</v>
      </c>
      <c r="J3146">
        <v>462.80500000000001</v>
      </c>
      <c r="K3146">
        <v>0.08</v>
      </c>
      <c r="L3146">
        <v>0.47</v>
      </c>
      <c r="M3146">
        <v>31.465</v>
      </c>
      <c r="N3146">
        <v>56.477400000000003</v>
      </c>
      <c r="O3146" s="1" t="s">
        <v>53</v>
      </c>
      <c r="P3146" s="1" t="s">
        <v>5357</v>
      </c>
      <c r="Q3146" s="1" t="s">
        <v>5358</v>
      </c>
      <c r="R3146" s="1" t="s">
        <v>56</v>
      </c>
      <c r="S3146" s="1" t="s">
        <v>5359</v>
      </c>
      <c r="T3146" s="1" t="s">
        <v>5360</v>
      </c>
      <c r="U3146" s="2" t="s">
        <v>8051</v>
      </c>
      <c r="V3146" s="2" t="s">
        <v>83</v>
      </c>
      <c r="W3146" s="2" t="s">
        <v>178</v>
      </c>
      <c r="X3146" s="2">
        <v>65.45</v>
      </c>
    </row>
    <row r="3147" spans="1:24" x14ac:dyDescent="0.3">
      <c r="A3147">
        <v>21001</v>
      </c>
      <c r="B3147" t="s">
        <v>8052</v>
      </c>
      <c r="C3147" s="3">
        <v>41940</v>
      </c>
      <c r="D3147" t="s">
        <v>50</v>
      </c>
      <c r="E3147">
        <v>4</v>
      </c>
      <c r="F3147" s="3">
        <f ca="1">41941+(RANDBETWEEN(1,10))</f>
        <v>41942</v>
      </c>
      <c r="G3147" t="s">
        <v>76</v>
      </c>
      <c r="H3147" t="s">
        <v>77</v>
      </c>
      <c r="I3147" t="s">
        <v>97</v>
      </c>
      <c r="J3147">
        <v>2820.5450000000001</v>
      </c>
      <c r="K3147">
        <v>0.1</v>
      </c>
      <c r="L3147">
        <v>0.57999999999999996</v>
      </c>
      <c r="M3147">
        <v>238.07</v>
      </c>
      <c r="N3147">
        <v>-1101.135</v>
      </c>
      <c r="O3147" s="1" t="s">
        <v>225</v>
      </c>
      <c r="P3147" s="1" t="s">
        <v>8053</v>
      </c>
      <c r="Q3147" s="1" t="s">
        <v>8054</v>
      </c>
      <c r="R3147" s="1" t="s">
        <v>228</v>
      </c>
      <c r="S3147" s="1" t="s">
        <v>8055</v>
      </c>
      <c r="T3147" s="1" t="s">
        <v>8056</v>
      </c>
      <c r="U3147" s="2" t="s">
        <v>617</v>
      </c>
      <c r="V3147" s="2" t="s">
        <v>47</v>
      </c>
      <c r="W3147" s="2" t="s">
        <v>71</v>
      </c>
      <c r="X3147" s="2">
        <v>728.56</v>
      </c>
    </row>
    <row r="3148" spans="1:24" x14ac:dyDescent="0.3">
      <c r="A3148">
        <v>21002</v>
      </c>
      <c r="B3148" t="s">
        <v>8052</v>
      </c>
      <c r="C3148" s="3">
        <v>41940</v>
      </c>
      <c r="D3148" t="s">
        <v>50</v>
      </c>
      <c r="E3148">
        <v>1</v>
      </c>
      <c r="F3148" s="3">
        <f ca="1">41943+(RANDBETWEEN(1,10))</f>
        <v>41951</v>
      </c>
      <c r="G3148" t="s">
        <v>26</v>
      </c>
      <c r="H3148" t="s">
        <v>281</v>
      </c>
      <c r="I3148" t="s">
        <v>97</v>
      </c>
      <c r="J3148">
        <v>6812.9250000000002</v>
      </c>
      <c r="K3148">
        <v>7.0000000000000007E-2</v>
      </c>
      <c r="L3148">
        <v>0.38</v>
      </c>
      <c r="M3148">
        <v>48.965000000000003</v>
      </c>
      <c r="N3148">
        <v>-14061.65775</v>
      </c>
      <c r="O3148" s="1" t="s">
        <v>225</v>
      </c>
      <c r="P3148" s="1" t="s">
        <v>8053</v>
      </c>
      <c r="Q3148" s="1" t="s">
        <v>8054</v>
      </c>
      <c r="R3148" s="1" t="s">
        <v>228</v>
      </c>
      <c r="S3148" s="1" t="s">
        <v>8055</v>
      </c>
      <c r="T3148" s="1" t="s">
        <v>8056</v>
      </c>
      <c r="U3148" s="2" t="s">
        <v>5558</v>
      </c>
      <c r="V3148" s="2" t="s">
        <v>36</v>
      </c>
      <c r="W3148" s="2" t="s">
        <v>142</v>
      </c>
      <c r="X3148" s="2">
        <v>6783.07</v>
      </c>
    </row>
    <row r="3149" spans="1:24" x14ac:dyDescent="0.3">
      <c r="A3149">
        <v>21003</v>
      </c>
      <c r="B3149" t="s">
        <v>8057</v>
      </c>
      <c r="C3149" s="3">
        <v>40879</v>
      </c>
      <c r="D3149" t="s">
        <v>25</v>
      </c>
      <c r="E3149">
        <v>1</v>
      </c>
      <c r="F3149" s="3">
        <f ca="1">40879+(RANDBETWEEN(1,10))</f>
        <v>40888</v>
      </c>
      <c r="G3149" t="s">
        <v>26</v>
      </c>
      <c r="H3149" t="s">
        <v>27</v>
      </c>
      <c r="I3149" t="s">
        <v>52</v>
      </c>
      <c r="J3149">
        <v>114.31</v>
      </c>
      <c r="K3149">
        <v>0</v>
      </c>
      <c r="L3149">
        <v>0.39</v>
      </c>
      <c r="M3149">
        <v>45.43</v>
      </c>
      <c r="N3149">
        <v>-81.046000000000006</v>
      </c>
      <c r="O3149" s="1" t="s">
        <v>40</v>
      </c>
      <c r="P3149" s="1" t="s">
        <v>5271</v>
      </c>
      <c r="Q3149" s="1" t="s">
        <v>5272</v>
      </c>
      <c r="R3149" s="1" t="s">
        <v>43</v>
      </c>
      <c r="S3149" s="1" t="s">
        <v>2055</v>
      </c>
      <c r="T3149" s="1" t="s">
        <v>2056</v>
      </c>
      <c r="U3149" s="2" t="s">
        <v>559</v>
      </c>
      <c r="V3149" s="2" t="s">
        <v>47</v>
      </c>
      <c r="W3149" s="2" t="s">
        <v>111</v>
      </c>
      <c r="X3149" s="2">
        <v>87.22</v>
      </c>
    </row>
    <row r="3150" spans="1:24" x14ac:dyDescent="0.3">
      <c r="A3150">
        <v>21004</v>
      </c>
      <c r="B3150" t="s">
        <v>8058</v>
      </c>
      <c r="C3150" s="3">
        <v>41861</v>
      </c>
      <c r="D3150" t="s">
        <v>25</v>
      </c>
      <c r="E3150">
        <v>8</v>
      </c>
      <c r="F3150" s="3">
        <f ca="1">41868+(RANDBETWEEN(1,10))</f>
        <v>41878</v>
      </c>
      <c r="G3150" t="s">
        <v>156</v>
      </c>
      <c r="H3150" t="s">
        <v>27</v>
      </c>
      <c r="I3150" t="s">
        <v>97</v>
      </c>
      <c r="J3150">
        <v>659.15499999999997</v>
      </c>
      <c r="K3150">
        <v>0</v>
      </c>
      <c r="L3150">
        <v>0.38</v>
      </c>
      <c r="M3150">
        <v>52.85</v>
      </c>
      <c r="N3150">
        <v>-78.128147999999996</v>
      </c>
      <c r="O3150" s="1" t="s">
        <v>225</v>
      </c>
      <c r="P3150" s="1" t="s">
        <v>8059</v>
      </c>
      <c r="Q3150" s="1" t="s">
        <v>8060</v>
      </c>
      <c r="R3150" s="1" t="s">
        <v>228</v>
      </c>
      <c r="S3150" s="1" t="s">
        <v>8061</v>
      </c>
      <c r="T3150" s="1" t="s">
        <v>8062</v>
      </c>
      <c r="U3150" s="2" t="s">
        <v>2602</v>
      </c>
      <c r="V3150" s="2" t="s">
        <v>47</v>
      </c>
      <c r="W3150" s="2" t="s">
        <v>111</v>
      </c>
      <c r="X3150" s="2">
        <v>78.33</v>
      </c>
    </row>
    <row r="3151" spans="1:24" x14ac:dyDescent="0.3">
      <c r="A3151">
        <v>21005</v>
      </c>
      <c r="B3151" t="s">
        <v>8063</v>
      </c>
      <c r="C3151" s="3">
        <v>40765</v>
      </c>
      <c r="D3151" t="s">
        <v>25</v>
      </c>
      <c r="E3151">
        <v>3</v>
      </c>
      <c r="F3151" s="3">
        <f ca="1">40770+(RANDBETWEEN(1,10))</f>
        <v>40780</v>
      </c>
      <c r="G3151" t="s">
        <v>26</v>
      </c>
      <c r="H3151" t="s">
        <v>27</v>
      </c>
      <c r="I3151" t="s">
        <v>97</v>
      </c>
      <c r="J3151">
        <v>70.105000000000004</v>
      </c>
      <c r="K3151">
        <v>7.0000000000000007E-2</v>
      </c>
      <c r="L3151">
        <v>0.68</v>
      </c>
      <c r="M3151">
        <v>16.414999999999999</v>
      </c>
      <c r="N3151">
        <v>-44.480800000000002</v>
      </c>
      <c r="O3151" s="1" t="s">
        <v>225</v>
      </c>
      <c r="P3151" s="1" t="s">
        <v>8059</v>
      </c>
      <c r="Q3151" s="1" t="s">
        <v>8060</v>
      </c>
      <c r="R3151" s="1" t="s">
        <v>228</v>
      </c>
      <c r="S3151" s="1" t="s">
        <v>8061</v>
      </c>
      <c r="T3151" s="1" t="s">
        <v>8062</v>
      </c>
      <c r="U3151" s="2" t="s">
        <v>2362</v>
      </c>
      <c r="V3151" s="2" t="s">
        <v>47</v>
      </c>
      <c r="W3151" s="2" t="s">
        <v>119</v>
      </c>
      <c r="X3151" s="2">
        <v>20.93</v>
      </c>
    </row>
    <row r="3152" spans="1:24" x14ac:dyDescent="0.3">
      <c r="A3152">
        <v>21006</v>
      </c>
      <c r="B3152" t="s">
        <v>8063</v>
      </c>
      <c r="C3152" s="3">
        <v>40765</v>
      </c>
      <c r="D3152" t="s">
        <v>25</v>
      </c>
      <c r="E3152">
        <v>16</v>
      </c>
      <c r="F3152" s="3">
        <f ca="1">40765+(RANDBETWEEN(1,10))</f>
        <v>40766</v>
      </c>
      <c r="G3152" t="s">
        <v>26</v>
      </c>
      <c r="H3152" t="s">
        <v>51</v>
      </c>
      <c r="I3152" t="s">
        <v>97</v>
      </c>
      <c r="J3152">
        <v>2664.06</v>
      </c>
      <c r="K3152">
        <v>0.02</v>
      </c>
      <c r="L3152">
        <v>0.59</v>
      </c>
      <c r="M3152">
        <v>11.55</v>
      </c>
      <c r="N3152">
        <v>1838.2013999999999</v>
      </c>
      <c r="O3152" s="1" t="s">
        <v>40</v>
      </c>
      <c r="P3152" s="1" t="s">
        <v>8064</v>
      </c>
      <c r="Q3152" s="1" t="s">
        <v>8065</v>
      </c>
      <c r="R3152" s="1" t="s">
        <v>220</v>
      </c>
      <c r="S3152" s="1" t="s">
        <v>221</v>
      </c>
      <c r="T3152" s="1" t="s">
        <v>8066</v>
      </c>
      <c r="U3152" s="2" t="s">
        <v>3769</v>
      </c>
      <c r="V3152" s="2" t="s">
        <v>36</v>
      </c>
      <c r="W3152" s="2" t="s">
        <v>37</v>
      </c>
      <c r="X3152" s="2">
        <v>195.965</v>
      </c>
    </row>
    <row r="3153" spans="1:24" x14ac:dyDescent="0.3">
      <c r="A3153">
        <v>21007</v>
      </c>
      <c r="B3153" t="s">
        <v>8067</v>
      </c>
      <c r="C3153" s="3">
        <v>41745</v>
      </c>
      <c r="D3153" t="s">
        <v>39</v>
      </c>
      <c r="E3153">
        <v>3</v>
      </c>
      <c r="F3153" s="3">
        <f ca="1">41746+(RANDBETWEEN(1,10))</f>
        <v>41752</v>
      </c>
      <c r="G3153" t="s">
        <v>26</v>
      </c>
      <c r="H3153" t="s">
        <v>27</v>
      </c>
      <c r="I3153" t="s">
        <v>86</v>
      </c>
      <c r="J3153">
        <v>338.38</v>
      </c>
      <c r="K3153">
        <v>0.03</v>
      </c>
      <c r="L3153">
        <v>0.4</v>
      </c>
      <c r="M3153">
        <v>30.59</v>
      </c>
      <c r="N3153">
        <v>91.73115</v>
      </c>
      <c r="O3153" s="1" t="s">
        <v>40</v>
      </c>
      <c r="P3153" s="1" t="s">
        <v>4383</v>
      </c>
      <c r="Q3153" s="1" t="s">
        <v>4384</v>
      </c>
      <c r="R3153" s="1" t="s">
        <v>43</v>
      </c>
      <c r="S3153" s="1" t="s">
        <v>4385</v>
      </c>
      <c r="T3153" s="1" t="s">
        <v>4386</v>
      </c>
      <c r="U3153" s="2" t="s">
        <v>1346</v>
      </c>
      <c r="V3153" s="2" t="s">
        <v>47</v>
      </c>
      <c r="W3153" s="2" t="s">
        <v>74</v>
      </c>
      <c r="X3153" s="2">
        <v>108.43</v>
      </c>
    </row>
    <row r="3154" spans="1:24" x14ac:dyDescent="0.3">
      <c r="A3154">
        <v>21008</v>
      </c>
      <c r="B3154" t="s">
        <v>8068</v>
      </c>
      <c r="C3154" s="3">
        <v>41307</v>
      </c>
      <c r="D3154" t="s">
        <v>50</v>
      </c>
      <c r="E3154">
        <v>7</v>
      </c>
      <c r="F3154" s="3">
        <f ca="1">41309+(RANDBETWEEN(1,10))</f>
        <v>41312</v>
      </c>
      <c r="G3154" t="s">
        <v>26</v>
      </c>
      <c r="H3154" t="s">
        <v>27</v>
      </c>
      <c r="I3154" t="s">
        <v>97</v>
      </c>
      <c r="J3154">
        <v>148.19</v>
      </c>
      <c r="K3154">
        <v>7.0000000000000007E-2</v>
      </c>
      <c r="L3154">
        <v>0.38</v>
      </c>
      <c r="M3154">
        <v>34.72</v>
      </c>
      <c r="N3154">
        <v>-592.07749999999999</v>
      </c>
      <c r="O3154" s="1" t="s">
        <v>53</v>
      </c>
      <c r="P3154" s="1" t="s">
        <v>8069</v>
      </c>
      <c r="Q3154" s="1" t="s">
        <v>8070</v>
      </c>
      <c r="R3154" s="1" t="s">
        <v>56</v>
      </c>
      <c r="S3154" s="1" t="s">
        <v>8071</v>
      </c>
      <c r="T3154" s="1" t="s">
        <v>8072</v>
      </c>
      <c r="U3154" s="2" t="s">
        <v>7238</v>
      </c>
      <c r="V3154" s="2" t="s">
        <v>47</v>
      </c>
      <c r="W3154" s="2" t="s">
        <v>111</v>
      </c>
      <c r="X3154" s="2">
        <v>20.79</v>
      </c>
    </row>
    <row r="3155" spans="1:24" x14ac:dyDescent="0.3">
      <c r="A3155">
        <v>21009</v>
      </c>
      <c r="B3155" t="s">
        <v>8068</v>
      </c>
      <c r="C3155" s="3">
        <v>41307</v>
      </c>
      <c r="D3155" t="s">
        <v>50</v>
      </c>
      <c r="E3155">
        <v>1</v>
      </c>
      <c r="F3155" s="3">
        <f ca="1">41308+(RANDBETWEEN(1,10))</f>
        <v>41316</v>
      </c>
      <c r="G3155" t="s">
        <v>26</v>
      </c>
      <c r="H3155" t="s">
        <v>96</v>
      </c>
      <c r="I3155" t="s">
        <v>97</v>
      </c>
      <c r="J3155">
        <v>153.405</v>
      </c>
      <c r="K3155">
        <v>0.01</v>
      </c>
      <c r="L3155">
        <v>0.65</v>
      </c>
      <c r="M3155">
        <v>32.200000000000003</v>
      </c>
      <c r="N3155">
        <v>105.84945</v>
      </c>
      <c r="O3155" s="1" t="s">
        <v>53</v>
      </c>
      <c r="P3155" s="1" t="s">
        <v>8069</v>
      </c>
      <c r="Q3155" s="1" t="s">
        <v>8070</v>
      </c>
      <c r="R3155" s="1" t="s">
        <v>56</v>
      </c>
      <c r="S3155" s="1" t="s">
        <v>8071</v>
      </c>
      <c r="T3155" s="1" t="s">
        <v>8072</v>
      </c>
      <c r="U3155" s="2" t="s">
        <v>5818</v>
      </c>
      <c r="V3155" s="2" t="s">
        <v>83</v>
      </c>
      <c r="W3155" s="2" t="s">
        <v>178</v>
      </c>
      <c r="X3155" s="2">
        <v>139.93</v>
      </c>
    </row>
    <row r="3156" spans="1:24" x14ac:dyDescent="0.3">
      <c r="A3156">
        <v>21010</v>
      </c>
      <c r="B3156" t="s">
        <v>8068</v>
      </c>
      <c r="C3156" s="3">
        <v>41307</v>
      </c>
      <c r="D3156" t="s">
        <v>50</v>
      </c>
      <c r="E3156">
        <v>11</v>
      </c>
      <c r="F3156" s="3">
        <f ca="1">41307+(RANDBETWEEN(1,10))</f>
        <v>41314</v>
      </c>
      <c r="G3156" t="s">
        <v>26</v>
      </c>
      <c r="H3156" t="s">
        <v>63</v>
      </c>
      <c r="I3156" t="s">
        <v>97</v>
      </c>
      <c r="J3156">
        <v>7917.42</v>
      </c>
      <c r="K3156">
        <v>0.02</v>
      </c>
      <c r="L3156">
        <v>0.59</v>
      </c>
      <c r="M3156">
        <v>40.39</v>
      </c>
      <c r="N3156">
        <v>5463.0198</v>
      </c>
      <c r="O3156" s="1" t="s">
        <v>53</v>
      </c>
      <c r="P3156" s="1" t="s">
        <v>8069</v>
      </c>
      <c r="Q3156" s="1" t="s">
        <v>8070</v>
      </c>
      <c r="R3156" s="1" t="s">
        <v>56</v>
      </c>
      <c r="S3156" s="1" t="s">
        <v>8071</v>
      </c>
      <c r="T3156" s="1" t="s">
        <v>8072</v>
      </c>
      <c r="U3156" s="2" t="s">
        <v>5469</v>
      </c>
      <c r="V3156" s="2" t="s">
        <v>83</v>
      </c>
      <c r="W3156" s="2" t="s">
        <v>178</v>
      </c>
      <c r="X3156" s="2">
        <v>680.05</v>
      </c>
    </row>
    <row r="3157" spans="1:24" x14ac:dyDescent="0.3">
      <c r="A3157">
        <v>21011</v>
      </c>
      <c r="B3157" t="s">
        <v>8068</v>
      </c>
      <c r="C3157" s="3">
        <v>41307</v>
      </c>
      <c r="D3157" t="s">
        <v>50</v>
      </c>
      <c r="E3157">
        <v>6</v>
      </c>
      <c r="F3157" s="3">
        <f ca="1">41307+(RANDBETWEEN(1,10))</f>
        <v>41312</v>
      </c>
      <c r="G3157" t="s">
        <v>26</v>
      </c>
      <c r="H3157" t="s">
        <v>27</v>
      </c>
      <c r="I3157" t="s">
        <v>97</v>
      </c>
      <c r="J3157">
        <v>145.18</v>
      </c>
      <c r="K3157">
        <v>7.0000000000000007E-2</v>
      </c>
      <c r="L3157">
        <v>0.83</v>
      </c>
      <c r="M3157">
        <v>33.914999999999999</v>
      </c>
      <c r="N3157">
        <v>-689.95500000000004</v>
      </c>
      <c r="O3157" s="1" t="s">
        <v>53</v>
      </c>
      <c r="P3157" s="1" t="s">
        <v>8069</v>
      </c>
      <c r="Q3157" s="1" t="s">
        <v>8070</v>
      </c>
      <c r="R3157" s="1" t="s">
        <v>56</v>
      </c>
      <c r="S3157" s="1" t="s">
        <v>8071</v>
      </c>
      <c r="T3157" s="1" t="s">
        <v>8072</v>
      </c>
      <c r="U3157" s="2" t="s">
        <v>6865</v>
      </c>
      <c r="V3157" s="2" t="s">
        <v>47</v>
      </c>
      <c r="W3157" s="2" t="s">
        <v>119</v>
      </c>
      <c r="X3157" s="2">
        <v>24.43</v>
      </c>
    </row>
    <row r="3158" spans="1:24" x14ac:dyDescent="0.3">
      <c r="A3158">
        <v>21012</v>
      </c>
      <c r="B3158" t="s">
        <v>8073</v>
      </c>
      <c r="C3158" s="3">
        <v>41927</v>
      </c>
      <c r="D3158" t="s">
        <v>39</v>
      </c>
      <c r="E3158">
        <v>3</v>
      </c>
      <c r="F3158" s="3">
        <f ca="1">41928+(RANDBETWEEN(1,10))</f>
        <v>41929</v>
      </c>
      <c r="G3158" t="s">
        <v>156</v>
      </c>
      <c r="H3158" t="s">
        <v>27</v>
      </c>
      <c r="I3158" t="s">
        <v>97</v>
      </c>
      <c r="J3158">
        <v>997.08</v>
      </c>
      <c r="K3158">
        <v>0.09</v>
      </c>
      <c r="L3158">
        <v>0.57999999999999996</v>
      </c>
      <c r="M3158">
        <v>8.75</v>
      </c>
      <c r="N3158">
        <v>-1425.424</v>
      </c>
      <c r="O3158" s="1" t="s">
        <v>40</v>
      </c>
      <c r="P3158" s="1" t="s">
        <v>775</v>
      </c>
      <c r="Q3158" s="1" t="s">
        <v>776</v>
      </c>
      <c r="R3158" s="1" t="s">
        <v>220</v>
      </c>
      <c r="S3158" s="1" t="s">
        <v>777</v>
      </c>
      <c r="T3158" s="1" t="s">
        <v>778</v>
      </c>
      <c r="U3158" s="2" t="s">
        <v>8074</v>
      </c>
      <c r="V3158" s="2" t="s">
        <v>36</v>
      </c>
      <c r="W3158" s="2" t="s">
        <v>37</v>
      </c>
      <c r="X3158" s="2">
        <v>405.96499999999997</v>
      </c>
    </row>
    <row r="3159" spans="1:24" x14ac:dyDescent="0.3">
      <c r="A3159">
        <v>21013</v>
      </c>
      <c r="B3159" t="s">
        <v>8075</v>
      </c>
      <c r="C3159" s="3">
        <v>41285</v>
      </c>
      <c r="D3159" t="s">
        <v>39</v>
      </c>
      <c r="E3159">
        <v>7</v>
      </c>
      <c r="F3159" s="3">
        <f ca="1">41286+(RANDBETWEEN(1,10))</f>
        <v>41289</v>
      </c>
      <c r="G3159" t="s">
        <v>26</v>
      </c>
      <c r="H3159" t="s">
        <v>27</v>
      </c>
      <c r="I3159" t="s">
        <v>97</v>
      </c>
      <c r="J3159">
        <v>2006.165</v>
      </c>
      <c r="K3159">
        <v>0</v>
      </c>
      <c r="L3159">
        <v>0.43</v>
      </c>
      <c r="M3159">
        <v>69.965000000000003</v>
      </c>
      <c r="N3159">
        <v>1384.2538500000001</v>
      </c>
      <c r="O3159" s="1" t="s">
        <v>225</v>
      </c>
      <c r="P3159" s="1" t="s">
        <v>8076</v>
      </c>
      <c r="Q3159" s="1" t="s">
        <v>8077</v>
      </c>
      <c r="R3159" s="1" t="s">
        <v>391</v>
      </c>
      <c r="S3159" s="1" t="s">
        <v>3376</v>
      </c>
      <c r="T3159" s="1" t="s">
        <v>3377</v>
      </c>
      <c r="U3159" s="2" t="s">
        <v>7425</v>
      </c>
      <c r="V3159" s="2" t="s">
        <v>83</v>
      </c>
      <c r="W3159" s="2" t="s">
        <v>178</v>
      </c>
      <c r="X3159" s="2">
        <v>275.41500000000002</v>
      </c>
    </row>
    <row r="3160" spans="1:24" x14ac:dyDescent="0.3">
      <c r="A3160">
        <v>21014</v>
      </c>
      <c r="B3160" t="s">
        <v>8078</v>
      </c>
      <c r="C3160" s="3">
        <v>41075</v>
      </c>
      <c r="D3160" t="s">
        <v>39</v>
      </c>
      <c r="E3160">
        <v>6</v>
      </c>
      <c r="F3160" s="3">
        <f ca="1">41078+(RANDBETWEEN(1,10))</f>
        <v>41088</v>
      </c>
      <c r="G3160" t="s">
        <v>26</v>
      </c>
      <c r="H3160" t="s">
        <v>51</v>
      </c>
      <c r="I3160" t="s">
        <v>52</v>
      </c>
      <c r="J3160">
        <v>939.33</v>
      </c>
      <c r="K3160">
        <v>0.02</v>
      </c>
      <c r="L3160">
        <v>0.55000000000000004</v>
      </c>
      <c r="M3160">
        <v>6.9649999999999999</v>
      </c>
      <c r="N3160">
        <v>367.54199999999997</v>
      </c>
      <c r="O3160" s="1" t="s">
        <v>87</v>
      </c>
      <c r="P3160" s="1" t="s">
        <v>4378</v>
      </c>
      <c r="Q3160" s="1" t="s">
        <v>4379</v>
      </c>
      <c r="R3160" s="1" t="s">
        <v>398</v>
      </c>
      <c r="S3160" s="1" t="s">
        <v>4380</v>
      </c>
      <c r="T3160" s="1" t="s">
        <v>4381</v>
      </c>
      <c r="U3160" s="2" t="s">
        <v>2560</v>
      </c>
      <c r="V3160" s="2" t="s">
        <v>36</v>
      </c>
      <c r="W3160" s="2" t="s">
        <v>60</v>
      </c>
      <c r="X3160" s="2">
        <v>158.16499999999999</v>
      </c>
    </row>
    <row r="3161" spans="1:24" x14ac:dyDescent="0.3">
      <c r="A3161">
        <v>21015</v>
      </c>
      <c r="B3161" t="s">
        <v>8079</v>
      </c>
      <c r="C3161" s="3">
        <v>41203</v>
      </c>
      <c r="D3161" t="s">
        <v>148</v>
      </c>
      <c r="E3161">
        <v>6</v>
      </c>
      <c r="F3161" s="3">
        <f ca="1">41204+(RANDBETWEEN(1,10))</f>
        <v>41212</v>
      </c>
      <c r="G3161" t="s">
        <v>26</v>
      </c>
      <c r="H3161" t="s">
        <v>27</v>
      </c>
      <c r="I3161" t="s">
        <v>52</v>
      </c>
      <c r="J3161">
        <v>417.41</v>
      </c>
      <c r="K3161">
        <v>0.02</v>
      </c>
      <c r="L3161">
        <v>0.39</v>
      </c>
      <c r="M3161">
        <v>44.765000000000001</v>
      </c>
      <c r="N3161">
        <v>565.46699999999998</v>
      </c>
      <c r="O3161" s="1" t="s">
        <v>40</v>
      </c>
      <c r="P3161" s="1" t="s">
        <v>7471</v>
      </c>
      <c r="Q3161" s="1" t="s">
        <v>7472</v>
      </c>
      <c r="R3161" s="1" t="s">
        <v>220</v>
      </c>
      <c r="S3161" s="1" t="s">
        <v>7473</v>
      </c>
      <c r="T3161" s="1" t="s">
        <v>7474</v>
      </c>
      <c r="U3161" s="2" t="s">
        <v>8080</v>
      </c>
      <c r="V3161" s="2" t="s">
        <v>47</v>
      </c>
      <c r="W3161" s="2" t="s">
        <v>111</v>
      </c>
      <c r="X3161" s="2">
        <v>67.724999999999994</v>
      </c>
    </row>
    <row r="3162" spans="1:24" x14ac:dyDescent="0.3">
      <c r="A3162">
        <v>21016</v>
      </c>
      <c r="B3162" t="s">
        <v>8081</v>
      </c>
      <c r="C3162" s="3">
        <v>41260</v>
      </c>
      <c r="D3162" t="s">
        <v>50</v>
      </c>
      <c r="E3162">
        <v>19</v>
      </c>
      <c r="F3162" s="3">
        <f ca="1">41261+(RANDBETWEEN(1,10))</f>
        <v>41270</v>
      </c>
      <c r="G3162" t="s">
        <v>76</v>
      </c>
      <c r="H3162" t="s">
        <v>77</v>
      </c>
      <c r="I3162" t="s">
        <v>97</v>
      </c>
      <c r="J3162">
        <v>8699.5650000000005</v>
      </c>
      <c r="K3162">
        <v>0.01</v>
      </c>
      <c r="L3162">
        <v>0.74</v>
      </c>
      <c r="M3162">
        <v>245.7</v>
      </c>
      <c r="N3162">
        <v>-1840.636</v>
      </c>
      <c r="O3162" s="1" t="s">
        <v>225</v>
      </c>
      <c r="P3162" s="1" t="s">
        <v>3564</v>
      </c>
      <c r="Q3162" s="1" t="s">
        <v>3565</v>
      </c>
      <c r="R3162" s="1" t="s">
        <v>228</v>
      </c>
      <c r="S3162" s="1" t="s">
        <v>3566</v>
      </c>
      <c r="T3162" s="1" t="s">
        <v>598</v>
      </c>
      <c r="U3162" s="2" t="s">
        <v>358</v>
      </c>
      <c r="V3162" s="2" t="s">
        <v>83</v>
      </c>
      <c r="W3162" s="2" t="s">
        <v>84</v>
      </c>
      <c r="X3162" s="2">
        <v>430.46499999999997</v>
      </c>
    </row>
    <row r="3163" spans="1:24" x14ac:dyDescent="0.3">
      <c r="A3163">
        <v>21017</v>
      </c>
      <c r="B3163" t="s">
        <v>8082</v>
      </c>
      <c r="C3163" s="3">
        <v>40604</v>
      </c>
      <c r="D3163" t="s">
        <v>50</v>
      </c>
      <c r="E3163">
        <v>1</v>
      </c>
      <c r="F3163" s="3">
        <f ca="1">40606+(RANDBETWEEN(1,10))</f>
        <v>40615</v>
      </c>
      <c r="G3163" t="s">
        <v>26</v>
      </c>
      <c r="H3163" t="s">
        <v>27</v>
      </c>
      <c r="I3163" t="s">
        <v>86</v>
      </c>
      <c r="J3163">
        <v>14</v>
      </c>
      <c r="K3163">
        <v>0</v>
      </c>
      <c r="L3163">
        <v>0.38</v>
      </c>
      <c r="M3163">
        <v>1.75</v>
      </c>
      <c r="N3163">
        <v>-131.35185000000001</v>
      </c>
      <c r="O3163" s="1" t="s">
        <v>53</v>
      </c>
      <c r="P3163" s="1" t="s">
        <v>7863</v>
      </c>
      <c r="Q3163" s="1" t="s">
        <v>7864</v>
      </c>
      <c r="R3163" s="1" t="s">
        <v>56</v>
      </c>
      <c r="S3163" s="1" t="s">
        <v>7865</v>
      </c>
      <c r="T3163" s="1" t="s">
        <v>7866</v>
      </c>
      <c r="U3163" s="2" t="s">
        <v>702</v>
      </c>
      <c r="V3163" s="2" t="s">
        <v>47</v>
      </c>
      <c r="W3163" s="2" t="s">
        <v>203</v>
      </c>
      <c r="X3163" s="2">
        <v>12.914999999999999</v>
      </c>
    </row>
    <row r="3164" spans="1:24" x14ac:dyDescent="0.3">
      <c r="A3164">
        <v>21018</v>
      </c>
      <c r="B3164" t="s">
        <v>8083</v>
      </c>
      <c r="C3164" s="3">
        <v>41700</v>
      </c>
      <c r="D3164" t="s">
        <v>50</v>
      </c>
      <c r="E3164">
        <v>5</v>
      </c>
      <c r="F3164" s="3">
        <f ca="1">41702+(RANDBETWEEN(1,10))</f>
        <v>41704</v>
      </c>
      <c r="G3164" t="s">
        <v>26</v>
      </c>
      <c r="H3164" t="s">
        <v>281</v>
      </c>
      <c r="I3164" t="s">
        <v>86</v>
      </c>
      <c r="J3164">
        <v>1615.915</v>
      </c>
      <c r="K3164">
        <v>0.03</v>
      </c>
      <c r="L3164">
        <v>0.67</v>
      </c>
      <c r="M3164">
        <v>138.63499999999999</v>
      </c>
      <c r="N3164">
        <v>-37.303699999999999</v>
      </c>
      <c r="O3164" s="1" t="s">
        <v>53</v>
      </c>
      <c r="P3164" s="1" t="s">
        <v>7863</v>
      </c>
      <c r="Q3164" s="1" t="s">
        <v>7864</v>
      </c>
      <c r="R3164" s="1" t="s">
        <v>56</v>
      </c>
      <c r="S3164" s="1" t="s">
        <v>7865</v>
      </c>
      <c r="T3164" s="1" t="s">
        <v>7866</v>
      </c>
      <c r="U3164" s="2" t="s">
        <v>3390</v>
      </c>
      <c r="V3164" s="2" t="s">
        <v>83</v>
      </c>
      <c r="W3164" s="2" t="s">
        <v>178</v>
      </c>
      <c r="X3164" s="2">
        <v>322.80500000000001</v>
      </c>
    </row>
    <row r="3165" spans="1:24" x14ac:dyDescent="0.3">
      <c r="A3165">
        <v>21019</v>
      </c>
      <c r="B3165" t="s">
        <v>8082</v>
      </c>
      <c r="C3165" s="3">
        <v>40604</v>
      </c>
      <c r="D3165" t="s">
        <v>50</v>
      </c>
      <c r="E3165">
        <v>4</v>
      </c>
      <c r="F3165" s="3">
        <f ca="1">40604+(RANDBETWEEN(1,10))</f>
        <v>40610</v>
      </c>
      <c r="G3165" t="s">
        <v>156</v>
      </c>
      <c r="H3165" t="s">
        <v>27</v>
      </c>
      <c r="I3165" t="s">
        <v>86</v>
      </c>
      <c r="J3165">
        <v>2064.3000000000002</v>
      </c>
      <c r="K3165">
        <v>0.02</v>
      </c>
      <c r="L3165">
        <v>0.59</v>
      </c>
      <c r="M3165">
        <v>17.465</v>
      </c>
      <c r="N3165">
        <v>355.21499999999997</v>
      </c>
      <c r="O3165" s="1" t="s">
        <v>53</v>
      </c>
      <c r="P3165" s="1" t="s">
        <v>7863</v>
      </c>
      <c r="Q3165" s="1" t="s">
        <v>7864</v>
      </c>
      <c r="R3165" s="1" t="s">
        <v>56</v>
      </c>
      <c r="S3165" s="1" t="s">
        <v>7865</v>
      </c>
      <c r="T3165" s="1" t="s">
        <v>7866</v>
      </c>
      <c r="U3165" s="2">
        <v>5165</v>
      </c>
      <c r="V3165" s="2" t="s">
        <v>36</v>
      </c>
      <c r="W3165" s="2" t="s">
        <v>37</v>
      </c>
      <c r="X3165" s="2">
        <v>615.96500000000003</v>
      </c>
    </row>
    <row r="3166" spans="1:24" x14ac:dyDescent="0.3">
      <c r="A3166">
        <v>21020</v>
      </c>
      <c r="B3166" t="s">
        <v>8084</v>
      </c>
      <c r="C3166" s="3">
        <v>41979</v>
      </c>
      <c r="D3166" t="s">
        <v>25</v>
      </c>
      <c r="E3166">
        <v>14</v>
      </c>
      <c r="F3166" s="3">
        <f ca="1">41983+(RANDBETWEEN(1,10))</f>
        <v>41991</v>
      </c>
      <c r="G3166" t="s">
        <v>26</v>
      </c>
      <c r="H3166" t="s">
        <v>27</v>
      </c>
      <c r="I3166" t="s">
        <v>28</v>
      </c>
      <c r="J3166">
        <v>211.715</v>
      </c>
      <c r="K3166">
        <v>0</v>
      </c>
      <c r="L3166">
        <v>0.38</v>
      </c>
      <c r="M3166">
        <v>18.690000000000001</v>
      </c>
      <c r="N3166">
        <v>-109.19277599999999</v>
      </c>
      <c r="O3166" s="1" t="s">
        <v>64</v>
      </c>
      <c r="P3166" s="1" t="s">
        <v>5797</v>
      </c>
      <c r="Q3166" s="1" t="s">
        <v>5798</v>
      </c>
      <c r="R3166" s="1" t="s">
        <v>128</v>
      </c>
      <c r="S3166" s="1" t="s">
        <v>5799</v>
      </c>
      <c r="T3166" s="1" t="s">
        <v>5800</v>
      </c>
      <c r="U3166" s="2" t="s">
        <v>1664</v>
      </c>
      <c r="V3166" s="2" t="s">
        <v>47</v>
      </c>
      <c r="W3166" s="2" t="s">
        <v>111</v>
      </c>
      <c r="X3166" s="2">
        <v>14.455</v>
      </c>
    </row>
    <row r="3167" spans="1:24" x14ac:dyDescent="0.3">
      <c r="A3167">
        <v>21021</v>
      </c>
      <c r="B3167" t="s">
        <v>8084</v>
      </c>
      <c r="C3167" s="3">
        <v>41979</v>
      </c>
      <c r="D3167" t="s">
        <v>25</v>
      </c>
      <c r="E3167">
        <v>7</v>
      </c>
      <c r="F3167" s="3">
        <f ca="1">41986+(RANDBETWEEN(1,10))</f>
        <v>41990</v>
      </c>
      <c r="G3167" t="s">
        <v>26</v>
      </c>
      <c r="H3167" t="s">
        <v>281</v>
      </c>
      <c r="I3167" t="s">
        <v>28</v>
      </c>
      <c r="J3167">
        <v>1894.655</v>
      </c>
      <c r="K3167">
        <v>0.08</v>
      </c>
      <c r="L3167">
        <v>0.74</v>
      </c>
      <c r="M3167">
        <v>168.7</v>
      </c>
      <c r="N3167">
        <v>-302.14967999999999</v>
      </c>
      <c r="O3167" s="1" t="s">
        <v>64</v>
      </c>
      <c r="P3167" s="1" t="s">
        <v>5797</v>
      </c>
      <c r="Q3167" s="1" t="s">
        <v>5798</v>
      </c>
      <c r="R3167" s="1" t="s">
        <v>128</v>
      </c>
      <c r="S3167" s="1" t="s">
        <v>5799</v>
      </c>
      <c r="T3167" s="1" t="s">
        <v>5800</v>
      </c>
      <c r="U3167" s="2" t="s">
        <v>2660</v>
      </c>
      <c r="V3167" s="2" t="s">
        <v>83</v>
      </c>
      <c r="W3167" s="2" t="s">
        <v>178</v>
      </c>
      <c r="X3167" s="2">
        <v>278.32</v>
      </c>
    </row>
    <row r="3168" spans="1:24" x14ac:dyDescent="0.3">
      <c r="A3168">
        <v>21022</v>
      </c>
      <c r="B3168" t="s">
        <v>8085</v>
      </c>
      <c r="C3168" s="3">
        <v>41604</v>
      </c>
      <c r="D3168" t="s">
        <v>25</v>
      </c>
      <c r="E3168">
        <v>22</v>
      </c>
      <c r="F3168" s="3">
        <f ca="1">41604+(RANDBETWEEN(1,10))</f>
        <v>41606</v>
      </c>
      <c r="G3168" t="s">
        <v>26</v>
      </c>
      <c r="H3168" t="s">
        <v>63</v>
      </c>
      <c r="I3168" t="s">
        <v>28</v>
      </c>
      <c r="J3168">
        <v>4680.9350000000004</v>
      </c>
      <c r="K3168">
        <v>0.08</v>
      </c>
      <c r="L3168">
        <v>0.59</v>
      </c>
      <c r="M3168">
        <v>171.5</v>
      </c>
      <c r="N3168">
        <v>2202.942</v>
      </c>
      <c r="O3168" s="1" t="s">
        <v>64</v>
      </c>
      <c r="P3168" s="1" t="s">
        <v>7746</v>
      </c>
      <c r="Q3168" s="1" t="s">
        <v>7747</v>
      </c>
      <c r="R3168" s="1" t="s">
        <v>67</v>
      </c>
      <c r="S3168" s="1" t="s">
        <v>7748</v>
      </c>
      <c r="T3168" s="1" t="s">
        <v>7749</v>
      </c>
      <c r="U3168" s="2" t="s">
        <v>1546</v>
      </c>
      <c r="V3168" s="2" t="s">
        <v>47</v>
      </c>
      <c r="W3168" s="2" t="s">
        <v>71</v>
      </c>
      <c r="X3168" s="2">
        <v>213.43</v>
      </c>
    </row>
    <row r="3169" spans="1:24" x14ac:dyDescent="0.3">
      <c r="A3169">
        <v>21023</v>
      </c>
      <c r="B3169" t="s">
        <v>8086</v>
      </c>
      <c r="C3169" s="3">
        <v>40977</v>
      </c>
      <c r="D3169" t="s">
        <v>50</v>
      </c>
      <c r="E3169">
        <v>6</v>
      </c>
      <c r="F3169" s="3">
        <f ca="1">40979+(RANDBETWEEN(1,10))</f>
        <v>40987</v>
      </c>
      <c r="G3169" t="s">
        <v>26</v>
      </c>
      <c r="H3169" t="s">
        <v>27</v>
      </c>
      <c r="I3169" t="s">
        <v>28</v>
      </c>
      <c r="J3169">
        <v>218.68</v>
      </c>
      <c r="K3169">
        <v>0.04</v>
      </c>
      <c r="L3169">
        <v>0.56999999999999995</v>
      </c>
      <c r="M3169">
        <v>43.82</v>
      </c>
      <c r="N3169">
        <v>-557.72500000000002</v>
      </c>
      <c r="O3169" s="1" t="s">
        <v>29</v>
      </c>
      <c r="P3169" s="1" t="s">
        <v>403</v>
      </c>
      <c r="Q3169" s="1" t="s">
        <v>404</v>
      </c>
      <c r="R3169" s="1" t="s">
        <v>32</v>
      </c>
      <c r="S3169" s="1" t="s">
        <v>405</v>
      </c>
      <c r="T3169" s="1" t="s">
        <v>406</v>
      </c>
      <c r="U3169" s="2" t="s">
        <v>8087</v>
      </c>
      <c r="V3169" s="2" t="s">
        <v>83</v>
      </c>
      <c r="W3169" s="2" t="s">
        <v>178</v>
      </c>
      <c r="X3169" s="2">
        <v>34.93</v>
      </c>
    </row>
    <row r="3170" spans="1:24" x14ac:dyDescent="0.3">
      <c r="A3170">
        <v>21024</v>
      </c>
      <c r="B3170" t="s">
        <v>8086</v>
      </c>
      <c r="C3170" s="3">
        <v>40977</v>
      </c>
      <c r="D3170" t="s">
        <v>50</v>
      </c>
      <c r="E3170">
        <v>4</v>
      </c>
      <c r="F3170" s="3">
        <f ca="1">40980+(RANDBETWEEN(1,10))</f>
        <v>40981</v>
      </c>
      <c r="G3170" t="s">
        <v>26</v>
      </c>
      <c r="H3170" t="s">
        <v>27</v>
      </c>
      <c r="I3170" t="s">
        <v>28</v>
      </c>
      <c r="J3170">
        <v>1819.16</v>
      </c>
      <c r="K3170">
        <v>0.02</v>
      </c>
      <c r="L3170">
        <v>0.57999999999999996</v>
      </c>
      <c r="M3170">
        <v>31.465</v>
      </c>
      <c r="N3170">
        <v>-124.23950000000001</v>
      </c>
      <c r="O3170" s="1" t="s">
        <v>29</v>
      </c>
      <c r="P3170" s="1" t="s">
        <v>403</v>
      </c>
      <c r="Q3170" s="1" t="s">
        <v>404</v>
      </c>
      <c r="R3170" s="1" t="s">
        <v>32</v>
      </c>
      <c r="S3170" s="1" t="s">
        <v>405</v>
      </c>
      <c r="T3170" s="1" t="s">
        <v>406</v>
      </c>
      <c r="U3170" s="2" t="s">
        <v>1265</v>
      </c>
      <c r="V3170" s="2" t="s">
        <v>36</v>
      </c>
      <c r="W3170" s="2" t="s">
        <v>37</v>
      </c>
      <c r="X3170" s="2">
        <v>545.96500000000003</v>
      </c>
    </row>
    <row r="3171" spans="1:24" x14ac:dyDescent="0.3">
      <c r="A3171">
        <v>21025</v>
      </c>
      <c r="B3171" t="s">
        <v>8088</v>
      </c>
      <c r="C3171" s="3">
        <v>41304</v>
      </c>
      <c r="D3171" t="s">
        <v>50</v>
      </c>
      <c r="E3171">
        <v>3</v>
      </c>
      <c r="F3171" s="3">
        <f ca="1">41305+(RANDBETWEEN(1,10))</f>
        <v>41310</v>
      </c>
      <c r="G3171" t="s">
        <v>26</v>
      </c>
      <c r="H3171" t="s">
        <v>27</v>
      </c>
      <c r="I3171" t="s">
        <v>97</v>
      </c>
      <c r="J3171">
        <v>83.055000000000007</v>
      </c>
      <c r="K3171">
        <v>0.08</v>
      </c>
      <c r="L3171">
        <v>0.56000000000000005</v>
      </c>
      <c r="M3171">
        <v>18.234999999999999</v>
      </c>
      <c r="N3171">
        <v>4.9741999999999997</v>
      </c>
      <c r="O3171" s="1" t="s">
        <v>64</v>
      </c>
      <c r="P3171" s="1" t="s">
        <v>7251</v>
      </c>
      <c r="Q3171" s="1" t="s">
        <v>7252</v>
      </c>
      <c r="R3171" s="1" t="s">
        <v>128</v>
      </c>
      <c r="S3171" s="1" t="s">
        <v>7253</v>
      </c>
      <c r="T3171" s="1" t="s">
        <v>7254</v>
      </c>
      <c r="U3171" s="2" t="s">
        <v>256</v>
      </c>
      <c r="V3171" s="2" t="s">
        <v>83</v>
      </c>
      <c r="W3171" s="2" t="s">
        <v>178</v>
      </c>
      <c r="X3171" s="2">
        <v>25.83</v>
      </c>
    </row>
    <row r="3172" spans="1:24" x14ac:dyDescent="0.3">
      <c r="A3172">
        <v>21026</v>
      </c>
      <c r="B3172" t="s">
        <v>8089</v>
      </c>
      <c r="C3172" s="3">
        <v>41787</v>
      </c>
      <c r="D3172" t="s">
        <v>25</v>
      </c>
      <c r="E3172">
        <v>7</v>
      </c>
      <c r="F3172" s="3">
        <f ca="1">41792+(RANDBETWEEN(1,10))</f>
        <v>41793</v>
      </c>
      <c r="G3172" t="s">
        <v>26</v>
      </c>
      <c r="H3172" t="s">
        <v>27</v>
      </c>
      <c r="I3172" t="s">
        <v>86</v>
      </c>
      <c r="J3172">
        <v>1380.2950000000001</v>
      </c>
      <c r="K3172">
        <v>7.0000000000000007E-2</v>
      </c>
      <c r="L3172">
        <v>0.59</v>
      </c>
      <c r="M3172">
        <v>13.965</v>
      </c>
      <c r="N3172">
        <v>579.25350000000003</v>
      </c>
      <c r="O3172" s="1" t="s">
        <v>64</v>
      </c>
      <c r="P3172" s="1" t="s">
        <v>8090</v>
      </c>
      <c r="Q3172" s="1" t="s">
        <v>8091</v>
      </c>
      <c r="R3172" s="1" t="s">
        <v>128</v>
      </c>
      <c r="S3172" s="1" t="s">
        <v>8092</v>
      </c>
      <c r="T3172" s="1" t="s">
        <v>8093</v>
      </c>
      <c r="U3172" s="2" t="s">
        <v>1991</v>
      </c>
      <c r="V3172" s="2" t="s">
        <v>36</v>
      </c>
      <c r="W3172" s="2" t="s">
        <v>37</v>
      </c>
      <c r="X3172" s="2">
        <v>230.965</v>
      </c>
    </row>
    <row r="3173" spans="1:24" x14ac:dyDescent="0.3">
      <c r="A3173">
        <v>21027</v>
      </c>
      <c r="B3173" t="s">
        <v>8094</v>
      </c>
      <c r="C3173" s="3">
        <v>40695</v>
      </c>
      <c r="D3173" t="s">
        <v>39</v>
      </c>
      <c r="E3173">
        <v>15</v>
      </c>
      <c r="F3173" s="3">
        <f ca="1">40697+(RANDBETWEEN(1,10))</f>
        <v>40700</v>
      </c>
      <c r="G3173" t="s">
        <v>76</v>
      </c>
      <c r="H3173" t="s">
        <v>77</v>
      </c>
      <c r="I3173" t="s">
        <v>52</v>
      </c>
      <c r="J3173">
        <v>6630.5749999999998</v>
      </c>
      <c r="K3173">
        <v>0.03</v>
      </c>
      <c r="L3173">
        <v>0.64</v>
      </c>
      <c r="M3173">
        <v>105</v>
      </c>
      <c r="N3173">
        <v>2233.098</v>
      </c>
      <c r="O3173" s="1" t="s">
        <v>53</v>
      </c>
      <c r="P3173" s="1" t="s">
        <v>8095</v>
      </c>
      <c r="Q3173" s="1" t="s">
        <v>8096</v>
      </c>
      <c r="R3173" s="1" t="s">
        <v>440</v>
      </c>
      <c r="S3173" s="1" t="s">
        <v>8097</v>
      </c>
      <c r="T3173" s="1" t="s">
        <v>8098</v>
      </c>
      <c r="U3173" s="2" t="s">
        <v>2044</v>
      </c>
      <c r="V3173" s="2" t="s">
        <v>83</v>
      </c>
      <c r="W3173" s="2" t="s">
        <v>84</v>
      </c>
      <c r="X3173" s="2">
        <v>423.43</v>
      </c>
    </row>
    <row r="3174" spans="1:24" x14ac:dyDescent="0.3">
      <c r="A3174">
        <v>21028</v>
      </c>
      <c r="B3174" t="s">
        <v>8094</v>
      </c>
      <c r="C3174" s="3">
        <v>40695</v>
      </c>
      <c r="D3174" t="s">
        <v>39</v>
      </c>
      <c r="E3174">
        <v>12</v>
      </c>
      <c r="F3174" s="3">
        <f ca="1">40697+(RANDBETWEEN(1,10))</f>
        <v>40707</v>
      </c>
      <c r="G3174" t="s">
        <v>26</v>
      </c>
      <c r="H3174" t="s">
        <v>51</v>
      </c>
      <c r="I3174" t="s">
        <v>52</v>
      </c>
      <c r="J3174">
        <v>702.52</v>
      </c>
      <c r="K3174">
        <v>0.01</v>
      </c>
      <c r="L3174">
        <v>0.46</v>
      </c>
      <c r="M3174">
        <v>13.055</v>
      </c>
      <c r="N3174">
        <v>484.73880000000003</v>
      </c>
      <c r="O3174" s="1" t="s">
        <v>53</v>
      </c>
      <c r="P3174" s="1" t="s">
        <v>8095</v>
      </c>
      <c r="Q3174" s="1" t="s">
        <v>8096</v>
      </c>
      <c r="R3174" s="1" t="s">
        <v>440</v>
      </c>
      <c r="S3174" s="1" t="s">
        <v>8097</v>
      </c>
      <c r="T3174" s="1" t="s">
        <v>8098</v>
      </c>
      <c r="U3174" s="2" t="s">
        <v>2063</v>
      </c>
      <c r="V3174" s="2" t="s">
        <v>83</v>
      </c>
      <c r="W3174" s="2" t="s">
        <v>178</v>
      </c>
      <c r="X3174" s="2">
        <v>54.88</v>
      </c>
    </row>
    <row r="3175" spans="1:24" x14ac:dyDescent="0.3">
      <c r="A3175">
        <v>21029</v>
      </c>
      <c r="B3175" t="s">
        <v>8099</v>
      </c>
      <c r="C3175" s="3">
        <v>41907</v>
      </c>
      <c r="D3175" t="s">
        <v>50</v>
      </c>
      <c r="E3175">
        <v>14</v>
      </c>
      <c r="F3175" s="3">
        <f ca="1">41909+(RANDBETWEEN(1,10))</f>
        <v>41919</v>
      </c>
      <c r="G3175" t="s">
        <v>26</v>
      </c>
      <c r="H3175" t="s">
        <v>27</v>
      </c>
      <c r="I3175" t="s">
        <v>52</v>
      </c>
      <c r="J3175">
        <v>683.65499999999997</v>
      </c>
      <c r="K3175">
        <v>0.09</v>
      </c>
      <c r="L3175">
        <v>0.38</v>
      </c>
      <c r="M3175">
        <v>22.61</v>
      </c>
      <c r="N3175">
        <v>73.192139999999995</v>
      </c>
      <c r="O3175" s="1" t="s">
        <v>87</v>
      </c>
      <c r="P3175" s="1" t="s">
        <v>6952</v>
      </c>
      <c r="Q3175" s="1" t="s">
        <v>6953</v>
      </c>
      <c r="R3175" s="1" t="s">
        <v>497</v>
      </c>
      <c r="S3175" s="1" t="s">
        <v>5554</v>
      </c>
      <c r="T3175" s="1" t="s">
        <v>5555</v>
      </c>
      <c r="U3175" s="2" t="s">
        <v>1867</v>
      </c>
      <c r="V3175" s="2" t="s">
        <v>47</v>
      </c>
      <c r="W3175" s="2" t="s">
        <v>111</v>
      </c>
      <c r="X3175" s="2">
        <v>50.68</v>
      </c>
    </row>
    <row r="3176" spans="1:24" x14ac:dyDescent="0.3">
      <c r="A3176">
        <v>21030</v>
      </c>
      <c r="B3176" t="s">
        <v>8100</v>
      </c>
      <c r="C3176" s="3">
        <v>41073</v>
      </c>
      <c r="D3176" t="s">
        <v>50</v>
      </c>
      <c r="E3176">
        <v>4</v>
      </c>
      <c r="F3176" s="3">
        <f ca="1">41074+(RANDBETWEEN(1,10))</f>
        <v>41078</v>
      </c>
      <c r="G3176" t="s">
        <v>156</v>
      </c>
      <c r="H3176" t="s">
        <v>27</v>
      </c>
      <c r="I3176" t="s">
        <v>86</v>
      </c>
      <c r="J3176">
        <v>390.11</v>
      </c>
      <c r="K3176">
        <v>0.05</v>
      </c>
      <c r="L3176">
        <v>0.75</v>
      </c>
      <c r="M3176">
        <v>14</v>
      </c>
      <c r="N3176">
        <v>-216.608</v>
      </c>
      <c r="O3176" s="1" t="s">
        <v>29</v>
      </c>
      <c r="P3176" s="1" t="s">
        <v>4435</v>
      </c>
      <c r="Q3176" s="1" t="s">
        <v>4436</v>
      </c>
      <c r="R3176" s="1" t="s">
        <v>32</v>
      </c>
      <c r="S3176" s="1" t="s">
        <v>4437</v>
      </c>
      <c r="T3176" s="1" t="s">
        <v>4438</v>
      </c>
      <c r="U3176" s="2" t="s">
        <v>4155</v>
      </c>
      <c r="V3176" s="2" t="s">
        <v>36</v>
      </c>
      <c r="W3176" s="2" t="s">
        <v>60</v>
      </c>
      <c r="X3176" s="2">
        <v>96.18</v>
      </c>
    </row>
    <row r="3177" spans="1:24" x14ac:dyDescent="0.3">
      <c r="A3177">
        <v>21031</v>
      </c>
      <c r="B3177" t="s">
        <v>8100</v>
      </c>
      <c r="C3177" s="3">
        <v>41073</v>
      </c>
      <c r="D3177" t="s">
        <v>50</v>
      </c>
      <c r="E3177">
        <v>11</v>
      </c>
      <c r="F3177" s="3">
        <f ca="1">41075+(RANDBETWEEN(1,10))</f>
        <v>41084</v>
      </c>
      <c r="G3177" t="s">
        <v>26</v>
      </c>
      <c r="H3177" t="s">
        <v>27</v>
      </c>
      <c r="I3177" t="s">
        <v>86</v>
      </c>
      <c r="J3177">
        <v>676.30499999999995</v>
      </c>
      <c r="K3177">
        <v>0.1</v>
      </c>
      <c r="L3177">
        <v>0.37</v>
      </c>
      <c r="M3177">
        <v>31.605</v>
      </c>
      <c r="N3177">
        <v>19.068000000000001</v>
      </c>
      <c r="O3177" s="1" t="s">
        <v>29</v>
      </c>
      <c r="P3177" s="1" t="s">
        <v>4435</v>
      </c>
      <c r="Q3177" s="1" t="s">
        <v>4436</v>
      </c>
      <c r="R3177" s="1" t="s">
        <v>32</v>
      </c>
      <c r="S3177" s="1" t="s">
        <v>4437</v>
      </c>
      <c r="T3177" s="1" t="s">
        <v>4438</v>
      </c>
      <c r="U3177" s="2" t="s">
        <v>482</v>
      </c>
      <c r="V3177" s="2" t="s">
        <v>47</v>
      </c>
      <c r="W3177" s="2" t="s">
        <v>74</v>
      </c>
      <c r="X3177" s="2">
        <v>66.394999999999996</v>
      </c>
    </row>
    <row r="3178" spans="1:24" x14ac:dyDescent="0.3">
      <c r="A3178">
        <v>21032</v>
      </c>
      <c r="B3178" t="s">
        <v>8101</v>
      </c>
      <c r="C3178" s="3">
        <v>41765</v>
      </c>
      <c r="D3178" t="s">
        <v>25</v>
      </c>
      <c r="E3178">
        <v>15</v>
      </c>
      <c r="F3178" s="3">
        <f ca="1">41769+(RANDBETWEEN(1,10))</f>
        <v>41773</v>
      </c>
      <c r="G3178" t="s">
        <v>26</v>
      </c>
      <c r="H3178" t="s">
        <v>27</v>
      </c>
      <c r="I3178" t="s">
        <v>97</v>
      </c>
      <c r="J3178">
        <v>5415.0950000000003</v>
      </c>
      <c r="K3178">
        <v>0.04</v>
      </c>
      <c r="L3178">
        <v>0.52</v>
      </c>
      <c r="M3178">
        <v>69.965000000000003</v>
      </c>
      <c r="N3178">
        <v>3616.83</v>
      </c>
      <c r="O3178" s="1" t="s">
        <v>64</v>
      </c>
      <c r="P3178" s="1" t="s">
        <v>5605</v>
      </c>
      <c r="Q3178" s="1" t="s">
        <v>5606</v>
      </c>
      <c r="R3178" s="1" t="s">
        <v>128</v>
      </c>
      <c r="S3178" s="1" t="s">
        <v>5607</v>
      </c>
      <c r="T3178" s="1" t="s">
        <v>5608</v>
      </c>
      <c r="U3178" s="2" t="s">
        <v>1438</v>
      </c>
      <c r="V3178" s="2" t="s">
        <v>36</v>
      </c>
      <c r="W3178" s="2" t="s">
        <v>60</v>
      </c>
      <c r="X3178" s="2">
        <v>349.96499999999997</v>
      </c>
    </row>
    <row r="3179" spans="1:24" x14ac:dyDescent="0.3">
      <c r="A3179">
        <v>21033</v>
      </c>
      <c r="B3179" t="s">
        <v>8101</v>
      </c>
      <c r="C3179" s="3">
        <v>41765</v>
      </c>
      <c r="D3179" t="s">
        <v>25</v>
      </c>
      <c r="E3179">
        <v>1</v>
      </c>
      <c r="F3179" s="3">
        <f ca="1">41765+(RANDBETWEEN(1,10))</f>
        <v>41768</v>
      </c>
      <c r="G3179" t="s">
        <v>26</v>
      </c>
      <c r="H3179" t="s">
        <v>281</v>
      </c>
      <c r="I3179" t="s">
        <v>97</v>
      </c>
      <c r="J3179">
        <v>71.435000000000002</v>
      </c>
      <c r="K3179">
        <v>0.01</v>
      </c>
      <c r="L3179">
        <v>0.57999999999999996</v>
      </c>
      <c r="M3179">
        <v>16.835000000000001</v>
      </c>
      <c r="N3179">
        <v>-349.92649999999998</v>
      </c>
      <c r="O3179" s="1" t="s">
        <v>64</v>
      </c>
      <c r="P3179" s="1" t="s">
        <v>5605</v>
      </c>
      <c r="Q3179" s="1" t="s">
        <v>5606</v>
      </c>
      <c r="R3179" s="1" t="s">
        <v>128</v>
      </c>
      <c r="S3179" s="1" t="s">
        <v>5607</v>
      </c>
      <c r="T3179" s="1" t="s">
        <v>5608</v>
      </c>
      <c r="U3179" s="2" t="s">
        <v>1890</v>
      </c>
      <c r="V3179" s="2" t="s">
        <v>36</v>
      </c>
      <c r="W3179" s="2" t="s">
        <v>37</v>
      </c>
      <c r="X3179" s="2">
        <v>73.465000000000003</v>
      </c>
    </row>
    <row r="3180" spans="1:24" x14ac:dyDescent="0.3">
      <c r="A3180">
        <v>21034</v>
      </c>
      <c r="B3180" t="s">
        <v>8101</v>
      </c>
      <c r="C3180" s="3">
        <v>41765</v>
      </c>
      <c r="D3180" t="s">
        <v>25</v>
      </c>
      <c r="E3180">
        <v>13</v>
      </c>
      <c r="F3180" s="3">
        <f ca="1">41772+(RANDBETWEEN(1,10))</f>
        <v>41779</v>
      </c>
      <c r="G3180" t="s">
        <v>26</v>
      </c>
      <c r="H3180" t="s">
        <v>27</v>
      </c>
      <c r="I3180" t="s">
        <v>97</v>
      </c>
      <c r="J3180">
        <v>673.75</v>
      </c>
      <c r="K3180">
        <v>0.1</v>
      </c>
      <c r="L3180">
        <v>0.38</v>
      </c>
      <c r="M3180">
        <v>4.8650000000000002</v>
      </c>
      <c r="N3180">
        <v>464.88749999999999</v>
      </c>
      <c r="O3180" s="1" t="s">
        <v>29</v>
      </c>
      <c r="P3180" s="1" t="s">
        <v>8102</v>
      </c>
      <c r="Q3180" s="1" t="s">
        <v>8103</v>
      </c>
      <c r="R3180" s="1" t="s">
        <v>32</v>
      </c>
      <c r="S3180" s="1" t="s">
        <v>8104</v>
      </c>
      <c r="T3180" s="1" t="s">
        <v>8105</v>
      </c>
      <c r="U3180" s="2" t="s">
        <v>2854</v>
      </c>
      <c r="V3180" s="2" t="s">
        <v>47</v>
      </c>
      <c r="W3180" s="2" t="s">
        <v>48</v>
      </c>
      <c r="X3180" s="2">
        <v>54.844999999999999</v>
      </c>
    </row>
    <row r="3181" spans="1:24" x14ac:dyDescent="0.3">
      <c r="A3181">
        <v>21035</v>
      </c>
      <c r="B3181" t="s">
        <v>8101</v>
      </c>
      <c r="C3181" s="3">
        <v>41765</v>
      </c>
      <c r="D3181" t="s">
        <v>25</v>
      </c>
      <c r="E3181">
        <v>10</v>
      </c>
      <c r="F3181" s="3">
        <f ca="1">41770+(RANDBETWEEN(1,10))</f>
        <v>41771</v>
      </c>
      <c r="G3181" t="s">
        <v>26</v>
      </c>
      <c r="H3181" t="s">
        <v>96</v>
      </c>
      <c r="I3181" t="s">
        <v>97</v>
      </c>
      <c r="J3181">
        <v>38.64</v>
      </c>
      <c r="K3181">
        <v>7.0000000000000007E-2</v>
      </c>
      <c r="L3181">
        <v>0.38</v>
      </c>
      <c r="M3181">
        <v>2.4500000000000002</v>
      </c>
      <c r="N3181">
        <v>-11.164999999999999</v>
      </c>
      <c r="O3181" s="1" t="s">
        <v>29</v>
      </c>
      <c r="P3181" s="1" t="s">
        <v>8102</v>
      </c>
      <c r="Q3181" s="1" t="s">
        <v>8103</v>
      </c>
      <c r="R3181" s="1" t="s">
        <v>32</v>
      </c>
      <c r="S3181" s="1" t="s">
        <v>8104</v>
      </c>
      <c r="T3181" s="1" t="s">
        <v>8105</v>
      </c>
      <c r="U3181" s="2" t="s">
        <v>293</v>
      </c>
      <c r="V3181" s="2" t="s">
        <v>47</v>
      </c>
      <c r="W3181" s="2" t="s">
        <v>176</v>
      </c>
      <c r="X3181" s="2">
        <v>3.99</v>
      </c>
    </row>
    <row r="3182" spans="1:24" x14ac:dyDescent="0.3">
      <c r="A3182">
        <v>21036</v>
      </c>
      <c r="B3182" t="s">
        <v>8106</v>
      </c>
      <c r="C3182" s="3">
        <v>41383</v>
      </c>
      <c r="D3182" t="s">
        <v>50</v>
      </c>
      <c r="E3182">
        <v>12</v>
      </c>
      <c r="F3182" s="3">
        <f ca="1">41384+(RANDBETWEEN(1,10))</f>
        <v>41392</v>
      </c>
      <c r="G3182" t="s">
        <v>156</v>
      </c>
      <c r="H3182" t="s">
        <v>96</v>
      </c>
      <c r="I3182" t="s">
        <v>28</v>
      </c>
      <c r="J3182">
        <v>115.99</v>
      </c>
      <c r="K3182">
        <v>0.05</v>
      </c>
      <c r="L3182">
        <v>0.57999999999999996</v>
      </c>
      <c r="M3182">
        <v>8.4</v>
      </c>
      <c r="N3182">
        <v>341.94299999999998</v>
      </c>
      <c r="O3182" s="1" t="s">
        <v>225</v>
      </c>
      <c r="P3182" s="1" t="s">
        <v>2490</v>
      </c>
      <c r="Q3182" s="1" t="s">
        <v>2491</v>
      </c>
      <c r="R3182" s="1" t="s">
        <v>228</v>
      </c>
      <c r="S3182" s="1" t="s">
        <v>2492</v>
      </c>
      <c r="T3182" s="1" t="s">
        <v>2493</v>
      </c>
      <c r="U3182" s="2" t="s">
        <v>6328</v>
      </c>
      <c r="V3182" s="2" t="s">
        <v>47</v>
      </c>
      <c r="W3182" s="2" t="s">
        <v>104</v>
      </c>
      <c r="X3182" s="2">
        <v>9.1</v>
      </c>
    </row>
    <row r="3183" spans="1:24" x14ac:dyDescent="0.3">
      <c r="A3183">
        <v>21037</v>
      </c>
      <c r="B3183" t="s">
        <v>8107</v>
      </c>
      <c r="C3183" s="3">
        <v>41312</v>
      </c>
      <c r="D3183" t="s">
        <v>25</v>
      </c>
      <c r="E3183">
        <v>10</v>
      </c>
      <c r="F3183" s="3">
        <f ca="1">41319+(RANDBETWEEN(1,10))</f>
        <v>41323</v>
      </c>
      <c r="G3183" t="s">
        <v>156</v>
      </c>
      <c r="H3183" t="s">
        <v>281</v>
      </c>
      <c r="I3183" t="s">
        <v>97</v>
      </c>
      <c r="J3183">
        <v>3170.37</v>
      </c>
      <c r="K3183">
        <v>0.04</v>
      </c>
      <c r="L3183">
        <v>0.74</v>
      </c>
      <c r="M3183">
        <v>196.7</v>
      </c>
      <c r="N3183">
        <v>-3629.22</v>
      </c>
      <c r="O3183" s="1" t="s">
        <v>87</v>
      </c>
      <c r="P3183" s="1" t="s">
        <v>5700</v>
      </c>
      <c r="Q3183" s="1" t="s">
        <v>5701</v>
      </c>
      <c r="R3183" s="1" t="s">
        <v>398</v>
      </c>
      <c r="S3183" s="1" t="s">
        <v>5702</v>
      </c>
      <c r="T3183" s="1" t="s">
        <v>5703</v>
      </c>
      <c r="U3183" s="2" t="s">
        <v>3131</v>
      </c>
      <c r="V3183" s="2" t="s">
        <v>83</v>
      </c>
      <c r="W3183" s="2" t="s">
        <v>178</v>
      </c>
      <c r="X3183" s="2">
        <v>318.43</v>
      </c>
    </row>
    <row r="3184" spans="1:24" x14ac:dyDescent="0.3">
      <c r="A3184">
        <v>21038</v>
      </c>
      <c r="B3184" t="s">
        <v>8108</v>
      </c>
      <c r="C3184" s="3">
        <v>41952</v>
      </c>
      <c r="D3184" t="s">
        <v>50</v>
      </c>
      <c r="E3184">
        <v>23</v>
      </c>
      <c r="F3184" s="3">
        <f ca="1">41954+(RANDBETWEEN(1,10))</f>
        <v>41963</v>
      </c>
      <c r="G3184" t="s">
        <v>26</v>
      </c>
      <c r="H3184" t="s">
        <v>27</v>
      </c>
      <c r="I3184" t="s">
        <v>28</v>
      </c>
      <c r="J3184">
        <v>4352.74</v>
      </c>
      <c r="K3184">
        <v>0.06</v>
      </c>
      <c r="L3184">
        <v>0.56000000000000005</v>
      </c>
      <c r="M3184">
        <v>46.27</v>
      </c>
      <c r="N3184">
        <v>947.95007999999996</v>
      </c>
      <c r="O3184" s="1" t="s">
        <v>40</v>
      </c>
      <c r="P3184" s="1" t="s">
        <v>7265</v>
      </c>
      <c r="Q3184" s="1" t="s">
        <v>7266</v>
      </c>
      <c r="R3184" s="1" t="s">
        <v>220</v>
      </c>
      <c r="S3184" s="1" t="s">
        <v>7267</v>
      </c>
      <c r="T3184" s="1" t="s">
        <v>7268</v>
      </c>
      <c r="U3184" s="2" t="s">
        <v>2644</v>
      </c>
      <c r="V3184" s="2" t="s">
        <v>47</v>
      </c>
      <c r="W3184" s="2" t="s">
        <v>71</v>
      </c>
      <c r="X3184" s="2">
        <v>199.36</v>
      </c>
    </row>
    <row r="3185" spans="1:24" x14ac:dyDescent="0.3">
      <c r="A3185">
        <v>21039</v>
      </c>
      <c r="B3185" t="s">
        <v>8108</v>
      </c>
      <c r="C3185" s="3">
        <v>41952</v>
      </c>
      <c r="D3185" t="s">
        <v>50</v>
      </c>
      <c r="E3185">
        <v>19</v>
      </c>
      <c r="F3185" s="3">
        <f ca="1">41953+(RANDBETWEEN(1,10))</f>
        <v>41963</v>
      </c>
      <c r="G3185" t="s">
        <v>156</v>
      </c>
      <c r="H3185" t="s">
        <v>27</v>
      </c>
      <c r="I3185" t="s">
        <v>28</v>
      </c>
      <c r="J3185">
        <v>4943.05</v>
      </c>
      <c r="K3185">
        <v>7.0000000000000007E-2</v>
      </c>
      <c r="L3185">
        <v>0.79</v>
      </c>
      <c r="M3185">
        <v>14</v>
      </c>
      <c r="N3185">
        <v>195.31847999999999</v>
      </c>
      <c r="O3185" s="1" t="s">
        <v>40</v>
      </c>
      <c r="P3185" s="1" t="s">
        <v>7265</v>
      </c>
      <c r="Q3185" s="1" t="s">
        <v>7266</v>
      </c>
      <c r="R3185" s="1" t="s">
        <v>220</v>
      </c>
      <c r="S3185" s="1" t="s">
        <v>7267</v>
      </c>
      <c r="T3185" s="1" t="s">
        <v>7268</v>
      </c>
      <c r="U3185" s="2" t="s">
        <v>2448</v>
      </c>
      <c r="V3185" s="2" t="s">
        <v>36</v>
      </c>
      <c r="W3185" s="2" t="s">
        <v>60</v>
      </c>
      <c r="X3185" s="2">
        <v>258.93</v>
      </c>
    </row>
    <row r="3186" spans="1:24" x14ac:dyDescent="0.3">
      <c r="A3186">
        <v>21040</v>
      </c>
      <c r="B3186" t="s">
        <v>8109</v>
      </c>
      <c r="C3186" s="3">
        <v>40554</v>
      </c>
      <c r="D3186" t="s">
        <v>25</v>
      </c>
      <c r="E3186">
        <v>5</v>
      </c>
      <c r="F3186" s="3">
        <f ca="1">40561+(RANDBETWEEN(1,10))</f>
        <v>40567</v>
      </c>
      <c r="G3186" t="s">
        <v>76</v>
      </c>
      <c r="H3186" t="s">
        <v>258</v>
      </c>
      <c r="I3186" t="s">
        <v>52</v>
      </c>
      <c r="J3186">
        <v>6439.6850000000004</v>
      </c>
      <c r="K3186">
        <v>0.08</v>
      </c>
      <c r="L3186">
        <v>0.56000000000000005</v>
      </c>
      <c r="M3186">
        <v>42.21</v>
      </c>
      <c r="N3186">
        <v>99.799350000000004</v>
      </c>
      <c r="O3186" s="1" t="s">
        <v>29</v>
      </c>
      <c r="P3186" s="1" t="s">
        <v>3844</v>
      </c>
      <c r="Q3186" s="1" t="s">
        <v>3845</v>
      </c>
      <c r="R3186" s="1" t="s">
        <v>675</v>
      </c>
      <c r="S3186" s="1" t="s">
        <v>3846</v>
      </c>
      <c r="T3186" s="1" t="s">
        <v>3847</v>
      </c>
      <c r="U3186" s="2" t="s">
        <v>1633</v>
      </c>
      <c r="V3186" s="2" t="s">
        <v>36</v>
      </c>
      <c r="W3186" s="2" t="s">
        <v>142</v>
      </c>
      <c r="X3186" s="2">
        <v>1399.93</v>
      </c>
    </row>
    <row r="3187" spans="1:24" x14ac:dyDescent="0.3">
      <c r="A3187">
        <v>21041</v>
      </c>
      <c r="B3187" t="s">
        <v>8110</v>
      </c>
      <c r="C3187" s="3">
        <v>40805</v>
      </c>
      <c r="D3187" t="s">
        <v>50</v>
      </c>
      <c r="E3187">
        <v>3</v>
      </c>
      <c r="F3187" s="3">
        <f ca="1">40805+(RANDBETWEEN(1,10))</f>
        <v>40815</v>
      </c>
      <c r="G3187" t="s">
        <v>26</v>
      </c>
      <c r="H3187" t="s">
        <v>27</v>
      </c>
      <c r="I3187" t="s">
        <v>52</v>
      </c>
      <c r="J3187">
        <v>49.7</v>
      </c>
      <c r="K3187">
        <v>0.05</v>
      </c>
      <c r="L3187">
        <v>0.39</v>
      </c>
      <c r="M3187">
        <v>1.7150000000000001</v>
      </c>
      <c r="N3187">
        <v>13.44</v>
      </c>
      <c r="O3187" s="1" t="s">
        <v>87</v>
      </c>
      <c r="P3187" s="1" t="s">
        <v>6952</v>
      </c>
      <c r="Q3187" s="1" t="s">
        <v>6953</v>
      </c>
      <c r="R3187" s="1" t="s">
        <v>497</v>
      </c>
      <c r="S3187" s="1" t="s">
        <v>5554</v>
      </c>
      <c r="T3187" s="1" t="s">
        <v>5555</v>
      </c>
      <c r="U3187" s="2" t="s">
        <v>892</v>
      </c>
      <c r="V3187" s="2" t="s">
        <v>47</v>
      </c>
      <c r="W3187" s="2" t="s">
        <v>203</v>
      </c>
      <c r="X3187" s="2">
        <v>17.43</v>
      </c>
    </row>
    <row r="3188" spans="1:24" x14ac:dyDescent="0.3">
      <c r="A3188">
        <v>21042</v>
      </c>
      <c r="B3188" t="s">
        <v>8111</v>
      </c>
      <c r="C3188" s="3">
        <v>41734</v>
      </c>
      <c r="D3188" t="s">
        <v>50</v>
      </c>
      <c r="E3188">
        <v>12</v>
      </c>
      <c r="F3188" s="3">
        <f ca="1">41736+(RANDBETWEEN(1,10))</f>
        <v>41745</v>
      </c>
      <c r="G3188" t="s">
        <v>26</v>
      </c>
      <c r="H3188" t="s">
        <v>27</v>
      </c>
      <c r="I3188" t="s">
        <v>28</v>
      </c>
      <c r="J3188">
        <v>150.60499999999999</v>
      </c>
      <c r="K3188">
        <v>0.05</v>
      </c>
      <c r="L3188">
        <v>0.38</v>
      </c>
      <c r="M3188">
        <v>1.75</v>
      </c>
      <c r="N3188">
        <v>103.91745</v>
      </c>
      <c r="O3188" s="1" t="s">
        <v>29</v>
      </c>
      <c r="P3188" s="1" t="s">
        <v>6679</v>
      </c>
      <c r="Q3188" s="1" t="s">
        <v>6680</v>
      </c>
      <c r="R3188" s="1" t="s">
        <v>32</v>
      </c>
      <c r="S3188" s="1" t="s">
        <v>6681</v>
      </c>
      <c r="T3188" s="1" t="s">
        <v>6682</v>
      </c>
      <c r="U3188" s="2" t="s">
        <v>312</v>
      </c>
      <c r="V3188" s="2" t="s">
        <v>47</v>
      </c>
      <c r="W3188" s="2" t="s">
        <v>203</v>
      </c>
      <c r="X3188" s="2">
        <v>12.914999999999999</v>
      </c>
    </row>
    <row r="3189" spans="1:24" x14ac:dyDescent="0.3">
      <c r="A3189">
        <v>21043</v>
      </c>
      <c r="B3189" t="s">
        <v>8111</v>
      </c>
      <c r="C3189" s="3">
        <v>41734</v>
      </c>
      <c r="D3189" t="s">
        <v>50</v>
      </c>
      <c r="E3189">
        <v>7</v>
      </c>
      <c r="F3189" s="3">
        <f ca="1">41734+(RANDBETWEEN(1,10))</f>
        <v>41737</v>
      </c>
      <c r="G3189" t="s">
        <v>26</v>
      </c>
      <c r="H3189" t="s">
        <v>96</v>
      </c>
      <c r="I3189" t="s">
        <v>28</v>
      </c>
      <c r="J3189">
        <v>72.59</v>
      </c>
      <c r="K3189">
        <v>0.08</v>
      </c>
      <c r="L3189">
        <v>0.84</v>
      </c>
      <c r="M3189">
        <v>6.72</v>
      </c>
      <c r="N3189">
        <v>-167.125</v>
      </c>
      <c r="O3189" s="1" t="s">
        <v>29</v>
      </c>
      <c r="P3189" s="1" t="s">
        <v>6679</v>
      </c>
      <c r="Q3189" s="1" t="s">
        <v>6680</v>
      </c>
      <c r="R3189" s="1" t="s">
        <v>32</v>
      </c>
      <c r="S3189" s="1" t="s">
        <v>6681</v>
      </c>
      <c r="T3189" s="1" t="s">
        <v>6682</v>
      </c>
      <c r="U3189" s="2" t="s">
        <v>524</v>
      </c>
      <c r="V3189" s="2" t="s">
        <v>47</v>
      </c>
      <c r="W3189" s="2" t="s">
        <v>94</v>
      </c>
      <c r="X3189" s="2">
        <v>10.99</v>
      </c>
    </row>
    <row r="3190" spans="1:24" x14ac:dyDescent="0.3">
      <c r="A3190">
        <v>21044</v>
      </c>
      <c r="B3190" t="s">
        <v>8112</v>
      </c>
      <c r="C3190" s="3">
        <v>41596</v>
      </c>
      <c r="D3190" t="s">
        <v>39</v>
      </c>
      <c r="E3190">
        <v>36</v>
      </c>
      <c r="F3190" s="3">
        <f ca="1">41597+(RANDBETWEEN(1,10))</f>
        <v>41604</v>
      </c>
      <c r="G3190" t="s">
        <v>26</v>
      </c>
      <c r="H3190" t="s">
        <v>27</v>
      </c>
      <c r="I3190" t="s">
        <v>28</v>
      </c>
      <c r="J3190">
        <v>1204.105</v>
      </c>
      <c r="K3190">
        <v>7.0000000000000007E-2</v>
      </c>
      <c r="L3190">
        <v>0.41</v>
      </c>
      <c r="M3190">
        <v>19.984999999999999</v>
      </c>
      <c r="N3190">
        <v>102.48699999999999</v>
      </c>
      <c r="O3190" s="1" t="s">
        <v>40</v>
      </c>
      <c r="P3190" s="1" t="s">
        <v>5197</v>
      </c>
      <c r="Q3190" s="1" t="s">
        <v>5198</v>
      </c>
      <c r="R3190" s="1" t="s">
        <v>43</v>
      </c>
      <c r="S3190" s="1" t="s">
        <v>802</v>
      </c>
      <c r="T3190" s="1" t="s">
        <v>803</v>
      </c>
      <c r="U3190" s="2" t="s">
        <v>4323</v>
      </c>
      <c r="V3190" s="2" t="s">
        <v>83</v>
      </c>
      <c r="W3190" s="2" t="s">
        <v>178</v>
      </c>
      <c r="X3190" s="2">
        <v>34.090000000000003</v>
      </c>
    </row>
    <row r="3191" spans="1:24" x14ac:dyDescent="0.3">
      <c r="A3191">
        <v>21045</v>
      </c>
      <c r="B3191" t="s">
        <v>8113</v>
      </c>
      <c r="C3191" s="3">
        <v>41757</v>
      </c>
      <c r="D3191" t="s">
        <v>62</v>
      </c>
      <c r="E3191">
        <v>2</v>
      </c>
      <c r="F3191" s="3">
        <f ca="1">41758+(RANDBETWEEN(1,10))</f>
        <v>41761</v>
      </c>
      <c r="G3191" t="s">
        <v>156</v>
      </c>
      <c r="H3191" t="s">
        <v>96</v>
      </c>
      <c r="I3191" t="s">
        <v>52</v>
      </c>
      <c r="J3191">
        <v>57.33</v>
      </c>
      <c r="K3191">
        <v>0.06</v>
      </c>
      <c r="L3191">
        <v>0.42</v>
      </c>
      <c r="M3191">
        <v>14</v>
      </c>
      <c r="N3191">
        <v>-1150.471</v>
      </c>
      <c r="O3191" s="1" t="s">
        <v>53</v>
      </c>
      <c r="P3191" s="1" t="s">
        <v>8114</v>
      </c>
      <c r="Q3191" s="1" t="s">
        <v>8115</v>
      </c>
      <c r="R3191" s="1" t="s">
        <v>100</v>
      </c>
      <c r="S3191" s="1" t="s">
        <v>8116</v>
      </c>
      <c r="T3191" s="1" t="s">
        <v>6127</v>
      </c>
      <c r="U3191" s="2" t="s">
        <v>2801</v>
      </c>
      <c r="V3191" s="2" t="s">
        <v>83</v>
      </c>
      <c r="W3191" s="2" t="s">
        <v>178</v>
      </c>
      <c r="X3191" s="2">
        <v>26.565000000000001</v>
      </c>
    </row>
    <row r="3192" spans="1:24" x14ac:dyDescent="0.3">
      <c r="A3192">
        <v>21046</v>
      </c>
      <c r="B3192" t="s">
        <v>8117</v>
      </c>
      <c r="C3192" s="3">
        <v>40773</v>
      </c>
      <c r="D3192" t="s">
        <v>62</v>
      </c>
      <c r="E3192">
        <v>2</v>
      </c>
      <c r="F3192" s="3">
        <f ca="1">40775+(RANDBETWEEN(1,10))</f>
        <v>40785</v>
      </c>
      <c r="G3192" t="s">
        <v>26</v>
      </c>
      <c r="H3192" t="s">
        <v>51</v>
      </c>
      <c r="I3192" t="s">
        <v>97</v>
      </c>
      <c r="J3192">
        <v>342.86</v>
      </c>
      <c r="K3192">
        <v>0.06</v>
      </c>
      <c r="L3192">
        <v>0.71</v>
      </c>
      <c r="M3192">
        <v>12.635</v>
      </c>
      <c r="N3192">
        <v>2088.828</v>
      </c>
      <c r="O3192" s="1" t="s">
        <v>225</v>
      </c>
      <c r="P3192" s="1" t="s">
        <v>8118</v>
      </c>
      <c r="Q3192" s="1" t="s">
        <v>8119</v>
      </c>
      <c r="R3192" s="1" t="s">
        <v>391</v>
      </c>
      <c r="S3192" s="1" t="s">
        <v>509</v>
      </c>
      <c r="T3192" s="1" t="s">
        <v>510</v>
      </c>
      <c r="U3192" s="2" t="s">
        <v>267</v>
      </c>
      <c r="V3192" s="2" t="s">
        <v>36</v>
      </c>
      <c r="W3192" s="2" t="s">
        <v>60</v>
      </c>
      <c r="X3192" s="2">
        <v>167.93</v>
      </c>
    </row>
    <row r="3193" spans="1:24" x14ac:dyDescent="0.3">
      <c r="A3193">
        <v>21047</v>
      </c>
      <c r="B3193" t="s">
        <v>8120</v>
      </c>
      <c r="C3193" s="3">
        <v>41164</v>
      </c>
      <c r="D3193" t="s">
        <v>50</v>
      </c>
      <c r="E3193">
        <v>1</v>
      </c>
      <c r="F3193" s="3">
        <f ca="1">41164+(RANDBETWEEN(1,10))</f>
        <v>41170</v>
      </c>
      <c r="G3193" t="s">
        <v>156</v>
      </c>
      <c r="H3193" t="s">
        <v>27</v>
      </c>
      <c r="I3193" t="s">
        <v>52</v>
      </c>
      <c r="J3193">
        <v>100.625</v>
      </c>
      <c r="K3193">
        <v>0.09</v>
      </c>
      <c r="L3193">
        <v>0.38</v>
      </c>
      <c r="M3193">
        <v>25.445</v>
      </c>
      <c r="N3193">
        <v>-50.231999999999999</v>
      </c>
      <c r="O3193" s="1" t="s">
        <v>87</v>
      </c>
      <c r="P3193" s="1" t="s">
        <v>3981</v>
      </c>
      <c r="Q3193" s="1" t="s">
        <v>3982</v>
      </c>
      <c r="R3193" s="1" t="s">
        <v>90</v>
      </c>
      <c r="S3193" s="1" t="s">
        <v>1492</v>
      </c>
      <c r="T3193" s="1" t="s">
        <v>1493</v>
      </c>
      <c r="U3193" s="2" t="s">
        <v>3821</v>
      </c>
      <c r="V3193" s="2" t="s">
        <v>47</v>
      </c>
      <c r="W3193" s="2" t="s">
        <v>111</v>
      </c>
      <c r="X3193" s="2">
        <v>49.945</v>
      </c>
    </row>
    <row r="3194" spans="1:24" x14ac:dyDescent="0.3">
      <c r="A3194">
        <v>21048</v>
      </c>
      <c r="B3194" t="s">
        <v>8120</v>
      </c>
      <c r="C3194" s="3">
        <v>41164</v>
      </c>
      <c r="D3194" t="s">
        <v>50</v>
      </c>
      <c r="E3194">
        <v>2</v>
      </c>
      <c r="F3194" s="3">
        <f ca="1">41166+(RANDBETWEEN(1,10))</f>
        <v>41170</v>
      </c>
      <c r="G3194" t="s">
        <v>26</v>
      </c>
      <c r="H3194" t="s">
        <v>63</v>
      </c>
      <c r="I3194" t="s">
        <v>52</v>
      </c>
      <c r="J3194">
        <v>33274.92</v>
      </c>
      <c r="K3194">
        <v>0.06</v>
      </c>
      <c r="L3194">
        <v>0.39</v>
      </c>
      <c r="M3194">
        <v>85.715000000000003</v>
      </c>
      <c r="N3194">
        <v>-35922.808949999999</v>
      </c>
      <c r="O3194" s="1" t="s">
        <v>87</v>
      </c>
      <c r="P3194" s="1" t="s">
        <v>3981</v>
      </c>
      <c r="Q3194" s="1" t="s">
        <v>3982</v>
      </c>
      <c r="R3194" s="1" t="s">
        <v>90</v>
      </c>
      <c r="S3194" s="1" t="s">
        <v>1492</v>
      </c>
      <c r="T3194" s="1" t="s">
        <v>1493</v>
      </c>
      <c r="U3194" s="2" t="s">
        <v>2167</v>
      </c>
      <c r="V3194" s="2" t="s">
        <v>36</v>
      </c>
      <c r="W3194" s="2" t="s">
        <v>142</v>
      </c>
      <c r="X3194" s="2">
        <v>23740.57</v>
      </c>
    </row>
    <row r="3195" spans="1:24" x14ac:dyDescent="0.3">
      <c r="A3195">
        <v>21049</v>
      </c>
      <c r="B3195" t="s">
        <v>8120</v>
      </c>
      <c r="C3195" s="3">
        <v>41164</v>
      </c>
      <c r="D3195" t="s">
        <v>50</v>
      </c>
      <c r="E3195">
        <v>21</v>
      </c>
      <c r="F3195" s="3">
        <f ca="1">41165+(RANDBETWEEN(1,10))</f>
        <v>41175</v>
      </c>
      <c r="G3195" t="s">
        <v>26</v>
      </c>
      <c r="H3195" t="s">
        <v>96</v>
      </c>
      <c r="I3195" t="s">
        <v>52</v>
      </c>
      <c r="J3195">
        <v>615.23</v>
      </c>
      <c r="K3195">
        <v>0</v>
      </c>
      <c r="L3195">
        <v>0.45</v>
      </c>
      <c r="M3195">
        <v>10.92</v>
      </c>
      <c r="N3195">
        <v>198.625</v>
      </c>
      <c r="O3195" s="1" t="s">
        <v>87</v>
      </c>
      <c r="P3195" s="1" t="s">
        <v>3981</v>
      </c>
      <c r="Q3195" s="1" t="s">
        <v>3982</v>
      </c>
      <c r="R3195" s="1" t="s">
        <v>90</v>
      </c>
      <c r="S3195" s="1" t="s">
        <v>1492</v>
      </c>
      <c r="T3195" s="1" t="s">
        <v>1493</v>
      </c>
      <c r="U3195" s="2" t="s">
        <v>6753</v>
      </c>
      <c r="V3195" s="2" t="s">
        <v>47</v>
      </c>
      <c r="W3195" s="2" t="s">
        <v>104</v>
      </c>
      <c r="X3195" s="2">
        <v>28.49</v>
      </c>
    </row>
    <row r="3196" spans="1:24" x14ac:dyDescent="0.3">
      <c r="A3196">
        <v>21050</v>
      </c>
      <c r="B3196" t="s">
        <v>8121</v>
      </c>
      <c r="C3196" s="3">
        <v>41234</v>
      </c>
      <c r="D3196" t="s">
        <v>50</v>
      </c>
      <c r="E3196">
        <v>23</v>
      </c>
      <c r="F3196" s="3">
        <f ca="1">41235+(RANDBETWEEN(1,10))</f>
        <v>41241</v>
      </c>
      <c r="G3196" t="s">
        <v>26</v>
      </c>
      <c r="H3196" t="s">
        <v>27</v>
      </c>
      <c r="I3196" t="s">
        <v>86</v>
      </c>
      <c r="J3196">
        <v>255.71</v>
      </c>
      <c r="K3196">
        <v>0.03</v>
      </c>
      <c r="L3196">
        <v>0.36</v>
      </c>
      <c r="M3196">
        <v>19.04</v>
      </c>
      <c r="N3196">
        <v>71.411550000000005</v>
      </c>
      <c r="O3196" s="1" t="s">
        <v>40</v>
      </c>
      <c r="P3196" s="1" t="s">
        <v>2656</v>
      </c>
      <c r="Q3196" s="1" t="s">
        <v>2657</v>
      </c>
      <c r="R3196" s="1" t="s">
        <v>43</v>
      </c>
      <c r="S3196" s="1" t="s">
        <v>2658</v>
      </c>
      <c r="T3196" s="1" t="s">
        <v>2659</v>
      </c>
      <c r="U3196" s="2" t="s">
        <v>1853</v>
      </c>
      <c r="V3196" s="2" t="s">
        <v>47</v>
      </c>
      <c r="W3196" s="2" t="s">
        <v>111</v>
      </c>
      <c r="X3196" s="2">
        <v>9.94</v>
      </c>
    </row>
    <row r="3197" spans="1:24" x14ac:dyDescent="0.3">
      <c r="A3197">
        <v>21051</v>
      </c>
      <c r="B3197" t="s">
        <v>8121</v>
      </c>
      <c r="C3197" s="3">
        <v>41234</v>
      </c>
      <c r="D3197" t="s">
        <v>50</v>
      </c>
      <c r="E3197">
        <v>11</v>
      </c>
      <c r="F3197" s="3">
        <f ca="1">41235+(RANDBETWEEN(1,10))</f>
        <v>41245</v>
      </c>
      <c r="G3197" t="s">
        <v>26</v>
      </c>
      <c r="H3197" t="s">
        <v>27</v>
      </c>
      <c r="I3197" t="s">
        <v>86</v>
      </c>
      <c r="J3197">
        <v>442.19</v>
      </c>
      <c r="K3197">
        <v>0</v>
      </c>
      <c r="L3197">
        <v>0.36</v>
      </c>
      <c r="M3197">
        <v>17.989999999999998</v>
      </c>
      <c r="N3197">
        <v>59.821300000000001</v>
      </c>
      <c r="O3197" s="1" t="s">
        <v>40</v>
      </c>
      <c r="P3197" s="1" t="s">
        <v>2656</v>
      </c>
      <c r="Q3197" s="1" t="s">
        <v>2657</v>
      </c>
      <c r="R3197" s="1" t="s">
        <v>43</v>
      </c>
      <c r="S3197" s="1" t="s">
        <v>2658</v>
      </c>
      <c r="T3197" s="1" t="s">
        <v>2659</v>
      </c>
      <c r="U3197" s="2" t="s">
        <v>5285</v>
      </c>
      <c r="V3197" s="2" t="s">
        <v>47</v>
      </c>
      <c r="W3197" s="2" t="s">
        <v>111</v>
      </c>
      <c r="X3197" s="2">
        <v>38.43</v>
      </c>
    </row>
    <row r="3198" spans="1:24" x14ac:dyDescent="0.3">
      <c r="A3198">
        <v>21052</v>
      </c>
      <c r="B3198" t="s">
        <v>8122</v>
      </c>
      <c r="C3198" s="3">
        <v>41000</v>
      </c>
      <c r="D3198" t="s">
        <v>25</v>
      </c>
      <c r="E3198">
        <v>5</v>
      </c>
      <c r="F3198" s="3">
        <f ca="1">41007+(RANDBETWEEN(1,10))</f>
        <v>41016</v>
      </c>
      <c r="G3198" t="s">
        <v>26</v>
      </c>
      <c r="H3198" t="s">
        <v>27</v>
      </c>
      <c r="I3198" t="s">
        <v>52</v>
      </c>
      <c r="J3198">
        <v>874.82500000000005</v>
      </c>
      <c r="K3198">
        <v>0.08</v>
      </c>
      <c r="L3198">
        <v>0.55000000000000004</v>
      </c>
      <c r="M3198">
        <v>69.965000000000003</v>
      </c>
      <c r="N3198">
        <v>475.26499999999999</v>
      </c>
      <c r="O3198" s="1" t="s">
        <v>53</v>
      </c>
      <c r="P3198" s="1" t="s">
        <v>7077</v>
      </c>
      <c r="Q3198" s="1" t="s">
        <v>7078</v>
      </c>
      <c r="R3198" s="1" t="s">
        <v>100</v>
      </c>
      <c r="S3198" s="1" t="s">
        <v>4035</v>
      </c>
      <c r="T3198" s="1" t="s">
        <v>4036</v>
      </c>
      <c r="U3198" s="2" t="s">
        <v>8123</v>
      </c>
      <c r="V3198" s="2" t="s">
        <v>83</v>
      </c>
      <c r="W3198" s="2" t="s">
        <v>178</v>
      </c>
      <c r="X3198" s="2">
        <v>181.125</v>
      </c>
    </row>
    <row r="3199" spans="1:24" x14ac:dyDescent="0.3">
      <c r="A3199">
        <v>21053</v>
      </c>
      <c r="B3199" t="s">
        <v>8122</v>
      </c>
      <c r="C3199" s="3">
        <v>41000</v>
      </c>
      <c r="D3199" t="s">
        <v>25</v>
      </c>
      <c r="E3199">
        <v>4</v>
      </c>
      <c r="F3199" s="3">
        <f ca="1">41002+(RANDBETWEEN(1,10))</f>
        <v>41008</v>
      </c>
      <c r="G3199" t="s">
        <v>26</v>
      </c>
      <c r="H3199" t="s">
        <v>27</v>
      </c>
      <c r="I3199" t="s">
        <v>52</v>
      </c>
      <c r="J3199">
        <v>715.05</v>
      </c>
      <c r="K3199">
        <v>0.1</v>
      </c>
      <c r="L3199">
        <v>0.59</v>
      </c>
      <c r="M3199">
        <v>17.78</v>
      </c>
      <c r="N3199">
        <v>361.83</v>
      </c>
      <c r="O3199" s="1" t="s">
        <v>53</v>
      </c>
      <c r="P3199" s="1" t="s">
        <v>7077</v>
      </c>
      <c r="Q3199" s="1" t="s">
        <v>7078</v>
      </c>
      <c r="R3199" s="1" t="s">
        <v>100</v>
      </c>
      <c r="S3199" s="1" t="s">
        <v>4035</v>
      </c>
      <c r="T3199" s="1" t="s">
        <v>4036</v>
      </c>
      <c r="U3199" s="2" t="s">
        <v>3832</v>
      </c>
      <c r="V3199" s="2" t="s">
        <v>47</v>
      </c>
      <c r="W3199" s="2" t="s">
        <v>119</v>
      </c>
      <c r="X3199" s="2">
        <v>193.51499999999999</v>
      </c>
    </row>
    <row r="3200" spans="1:24" x14ac:dyDescent="0.3">
      <c r="A3200">
        <v>21054</v>
      </c>
      <c r="B3200" t="s">
        <v>8124</v>
      </c>
      <c r="C3200" s="3">
        <v>41298</v>
      </c>
      <c r="D3200" t="s">
        <v>50</v>
      </c>
      <c r="E3200">
        <v>8</v>
      </c>
      <c r="F3200" s="3">
        <f ca="1">41300+(RANDBETWEEN(1,10))</f>
        <v>41307</v>
      </c>
      <c r="G3200" t="s">
        <v>26</v>
      </c>
      <c r="H3200" t="s">
        <v>96</v>
      </c>
      <c r="I3200" t="s">
        <v>86</v>
      </c>
      <c r="J3200">
        <v>84.944999999999993</v>
      </c>
      <c r="K3200">
        <v>0.01</v>
      </c>
      <c r="L3200">
        <v>0.57999999999999996</v>
      </c>
      <c r="M3200">
        <v>3.36</v>
      </c>
      <c r="N3200">
        <v>10.7996</v>
      </c>
      <c r="O3200" s="1" t="s">
        <v>225</v>
      </c>
      <c r="P3200" s="1" t="s">
        <v>8125</v>
      </c>
      <c r="Q3200" s="1" t="s">
        <v>8126</v>
      </c>
      <c r="R3200" s="1" t="s">
        <v>228</v>
      </c>
      <c r="S3200" s="1" t="s">
        <v>1285</v>
      </c>
      <c r="T3200" s="1" t="s">
        <v>1286</v>
      </c>
      <c r="U3200" s="2" t="s">
        <v>154</v>
      </c>
      <c r="V3200" s="2" t="s">
        <v>47</v>
      </c>
      <c r="W3200" s="2" t="s">
        <v>104</v>
      </c>
      <c r="X3200" s="2">
        <v>10.29</v>
      </c>
    </row>
    <row r="3201" spans="1:24" x14ac:dyDescent="0.3">
      <c r="A3201">
        <v>21055</v>
      </c>
      <c r="B3201" t="s">
        <v>8124</v>
      </c>
      <c r="C3201" s="3">
        <v>41298</v>
      </c>
      <c r="D3201" t="s">
        <v>50</v>
      </c>
      <c r="E3201">
        <v>12</v>
      </c>
      <c r="F3201" s="3">
        <f ca="1">41300+(RANDBETWEEN(1,10))</f>
        <v>41310</v>
      </c>
      <c r="G3201" t="s">
        <v>26</v>
      </c>
      <c r="H3201" t="s">
        <v>27</v>
      </c>
      <c r="I3201" t="s">
        <v>86</v>
      </c>
      <c r="J3201">
        <v>472.99</v>
      </c>
      <c r="K3201">
        <v>0.06</v>
      </c>
      <c r="L3201">
        <v>0.35</v>
      </c>
      <c r="M3201">
        <v>24.395</v>
      </c>
      <c r="N3201">
        <v>-54.9878</v>
      </c>
      <c r="O3201" s="1" t="s">
        <v>29</v>
      </c>
      <c r="P3201" s="1" t="s">
        <v>7443</v>
      </c>
      <c r="Q3201" s="1" t="s">
        <v>7444</v>
      </c>
      <c r="R3201" s="1" t="s">
        <v>32</v>
      </c>
      <c r="S3201" s="1" t="s">
        <v>7445</v>
      </c>
      <c r="T3201" s="1" t="s">
        <v>6825</v>
      </c>
      <c r="U3201" s="2" t="s">
        <v>2886</v>
      </c>
      <c r="V3201" s="2" t="s">
        <v>47</v>
      </c>
      <c r="W3201" s="2" t="s">
        <v>48</v>
      </c>
      <c r="X3201" s="2">
        <v>40.53</v>
      </c>
    </row>
    <row r="3202" spans="1:24" x14ac:dyDescent="0.3">
      <c r="A3202">
        <v>21056</v>
      </c>
      <c r="B3202" t="s">
        <v>8127</v>
      </c>
      <c r="C3202" s="3">
        <v>41094</v>
      </c>
      <c r="D3202" t="s">
        <v>39</v>
      </c>
      <c r="E3202">
        <v>2</v>
      </c>
      <c r="F3202" s="3">
        <f ca="1">41096+(RANDBETWEEN(1,10))</f>
        <v>41100</v>
      </c>
      <c r="G3202" t="s">
        <v>26</v>
      </c>
      <c r="H3202" t="s">
        <v>27</v>
      </c>
      <c r="I3202" t="s">
        <v>28</v>
      </c>
      <c r="J3202">
        <v>40.704999999999998</v>
      </c>
      <c r="K3202">
        <v>0.06</v>
      </c>
      <c r="L3202">
        <v>0.38</v>
      </c>
      <c r="M3202">
        <v>17.395</v>
      </c>
      <c r="N3202">
        <v>-64.198750000000004</v>
      </c>
      <c r="O3202" s="1" t="s">
        <v>87</v>
      </c>
      <c r="P3202" s="1" t="s">
        <v>7171</v>
      </c>
      <c r="Q3202" s="1" t="s">
        <v>7172</v>
      </c>
      <c r="R3202" s="1" t="s">
        <v>497</v>
      </c>
      <c r="S3202" s="1" t="s">
        <v>7173</v>
      </c>
      <c r="T3202" s="1" t="s">
        <v>7174</v>
      </c>
      <c r="U3202" s="2" t="s">
        <v>8128</v>
      </c>
      <c r="V3202" s="2" t="s">
        <v>47</v>
      </c>
      <c r="W3202" s="2" t="s">
        <v>111</v>
      </c>
      <c r="X3202" s="2">
        <v>17.184999999999999</v>
      </c>
    </row>
    <row r="3203" spans="1:24" x14ac:dyDescent="0.3">
      <c r="A3203">
        <v>21057</v>
      </c>
      <c r="B3203" t="s">
        <v>8129</v>
      </c>
      <c r="C3203" s="3">
        <v>41571</v>
      </c>
      <c r="D3203" t="s">
        <v>62</v>
      </c>
      <c r="E3203">
        <v>15</v>
      </c>
      <c r="F3203" s="3">
        <f ca="1">41572+(RANDBETWEEN(1,10))</f>
        <v>41579</v>
      </c>
      <c r="G3203" t="s">
        <v>156</v>
      </c>
      <c r="H3203" t="s">
        <v>27</v>
      </c>
      <c r="I3203" t="s">
        <v>97</v>
      </c>
      <c r="J3203">
        <v>931.21</v>
      </c>
      <c r="K3203">
        <v>0.01</v>
      </c>
      <c r="L3203">
        <v>0.38</v>
      </c>
      <c r="M3203">
        <v>28.454999999999998</v>
      </c>
      <c r="N3203">
        <v>191.49340000000001</v>
      </c>
      <c r="O3203" s="1" t="s">
        <v>53</v>
      </c>
      <c r="P3203" s="1" t="s">
        <v>2306</v>
      </c>
      <c r="Q3203" s="1" t="s">
        <v>2307</v>
      </c>
      <c r="R3203" s="1" t="s">
        <v>100</v>
      </c>
      <c r="S3203" s="1" t="s">
        <v>2308</v>
      </c>
      <c r="T3203" s="1" t="s">
        <v>2309</v>
      </c>
      <c r="U3203" s="2" t="s">
        <v>8130</v>
      </c>
      <c r="V3203" s="2" t="s">
        <v>47</v>
      </c>
      <c r="W3203" s="2" t="s">
        <v>48</v>
      </c>
      <c r="X3203" s="2">
        <v>59.744999999999997</v>
      </c>
    </row>
    <row r="3204" spans="1:24" x14ac:dyDescent="0.3">
      <c r="A3204">
        <v>21058</v>
      </c>
      <c r="B3204" t="s">
        <v>8131</v>
      </c>
      <c r="C3204" s="3">
        <v>41626</v>
      </c>
      <c r="D3204" t="s">
        <v>62</v>
      </c>
      <c r="E3204">
        <v>3</v>
      </c>
      <c r="F3204" s="3">
        <f ca="1">41628+(RANDBETWEEN(1,10))</f>
        <v>41633</v>
      </c>
      <c r="G3204" t="s">
        <v>26</v>
      </c>
      <c r="H3204" t="s">
        <v>96</v>
      </c>
      <c r="I3204" t="s">
        <v>52</v>
      </c>
      <c r="J3204">
        <v>95.025000000000006</v>
      </c>
      <c r="K3204">
        <v>0.1</v>
      </c>
      <c r="L3204">
        <v>0.37</v>
      </c>
      <c r="M3204">
        <v>7.1050000000000004</v>
      </c>
      <c r="N3204">
        <v>6.6675000000000004</v>
      </c>
      <c r="O3204" s="1" t="s">
        <v>29</v>
      </c>
      <c r="P3204" s="1" t="s">
        <v>8132</v>
      </c>
      <c r="Q3204" s="1" t="s">
        <v>8133</v>
      </c>
      <c r="R3204" s="1" t="s">
        <v>675</v>
      </c>
      <c r="S3204" s="1" t="s">
        <v>8134</v>
      </c>
      <c r="T3204" s="1" t="s">
        <v>3517</v>
      </c>
      <c r="U3204" s="2" t="s">
        <v>3218</v>
      </c>
      <c r="V3204" s="2" t="s">
        <v>47</v>
      </c>
      <c r="W3204" s="2" t="s">
        <v>74</v>
      </c>
      <c r="X3204" s="2">
        <v>33.880000000000003</v>
      </c>
    </row>
    <row r="3205" spans="1:24" x14ac:dyDescent="0.3">
      <c r="A3205">
        <v>21059</v>
      </c>
      <c r="B3205" t="s">
        <v>8135</v>
      </c>
      <c r="C3205" s="3">
        <v>40858</v>
      </c>
      <c r="D3205" t="s">
        <v>39</v>
      </c>
      <c r="E3205">
        <v>14</v>
      </c>
      <c r="F3205" s="3">
        <f ca="1">40859+(RANDBETWEEN(1,10))</f>
        <v>40868</v>
      </c>
      <c r="G3205" t="s">
        <v>76</v>
      </c>
      <c r="H3205" t="s">
        <v>77</v>
      </c>
      <c r="I3205" t="s">
        <v>28</v>
      </c>
      <c r="J3205">
        <v>25760.7</v>
      </c>
      <c r="K3205">
        <v>0.01</v>
      </c>
      <c r="L3205">
        <v>0.6</v>
      </c>
      <c r="M3205">
        <v>91</v>
      </c>
      <c r="N3205">
        <v>17774.883000000002</v>
      </c>
      <c r="O3205" s="1" t="s">
        <v>225</v>
      </c>
      <c r="P3205" s="1" t="s">
        <v>8136</v>
      </c>
      <c r="Q3205" s="1" t="s">
        <v>8137</v>
      </c>
      <c r="R3205" s="1" t="s">
        <v>228</v>
      </c>
      <c r="S3205" s="1" t="s">
        <v>8138</v>
      </c>
      <c r="T3205" s="1" t="s">
        <v>8139</v>
      </c>
      <c r="U3205" s="2" t="s">
        <v>1670</v>
      </c>
      <c r="V3205" s="2" t="s">
        <v>83</v>
      </c>
      <c r="W3205" s="2" t="s">
        <v>84</v>
      </c>
      <c r="X3205" s="2">
        <v>1753.43</v>
      </c>
    </row>
    <row r="3206" spans="1:24" x14ac:dyDescent="0.3">
      <c r="A3206">
        <v>21060</v>
      </c>
      <c r="B3206" t="s">
        <v>8135</v>
      </c>
      <c r="C3206" s="3">
        <v>40858</v>
      </c>
      <c r="D3206" t="s">
        <v>39</v>
      </c>
      <c r="E3206">
        <v>9</v>
      </c>
      <c r="F3206" s="3">
        <f ca="1">40859+(RANDBETWEEN(1,10))</f>
        <v>40867</v>
      </c>
      <c r="G3206" t="s">
        <v>26</v>
      </c>
      <c r="H3206" t="s">
        <v>281</v>
      </c>
      <c r="I3206" t="s">
        <v>28</v>
      </c>
      <c r="J3206">
        <v>311.70999999999998</v>
      </c>
      <c r="K3206">
        <v>0.08</v>
      </c>
      <c r="L3206">
        <v>0.48</v>
      </c>
      <c r="M3206">
        <v>21.07</v>
      </c>
      <c r="N3206">
        <v>81.465999999999994</v>
      </c>
      <c r="O3206" s="1" t="s">
        <v>225</v>
      </c>
      <c r="P3206" s="1" t="s">
        <v>8136</v>
      </c>
      <c r="Q3206" s="1" t="s">
        <v>8137</v>
      </c>
      <c r="R3206" s="1" t="s">
        <v>228</v>
      </c>
      <c r="S3206" s="1" t="s">
        <v>8138</v>
      </c>
      <c r="T3206" s="1" t="s">
        <v>8139</v>
      </c>
      <c r="U3206" s="2" t="s">
        <v>3578</v>
      </c>
      <c r="V3206" s="2" t="s">
        <v>83</v>
      </c>
      <c r="W3206" s="2" t="s">
        <v>178</v>
      </c>
      <c r="X3206" s="2">
        <v>34.195</v>
      </c>
    </row>
    <row r="3207" spans="1:24" x14ac:dyDescent="0.3">
      <c r="A3207">
        <v>21061</v>
      </c>
      <c r="B3207" t="s">
        <v>8135</v>
      </c>
      <c r="C3207" s="3">
        <v>40858</v>
      </c>
      <c r="D3207" t="s">
        <v>39</v>
      </c>
      <c r="E3207">
        <v>42</v>
      </c>
      <c r="F3207" s="3">
        <f ca="1">40860+(RANDBETWEEN(1,10))</f>
        <v>40864</v>
      </c>
      <c r="G3207" t="s">
        <v>26</v>
      </c>
      <c r="H3207" t="s">
        <v>96</v>
      </c>
      <c r="I3207" t="s">
        <v>28</v>
      </c>
      <c r="J3207">
        <v>472.39499999999998</v>
      </c>
      <c r="K3207">
        <v>0.09</v>
      </c>
      <c r="L3207">
        <v>0.59</v>
      </c>
      <c r="M3207">
        <v>3.43</v>
      </c>
      <c r="N3207">
        <v>62.139000000000003</v>
      </c>
      <c r="O3207" s="1" t="s">
        <v>225</v>
      </c>
      <c r="P3207" s="1" t="s">
        <v>8136</v>
      </c>
      <c r="Q3207" s="1" t="s">
        <v>8137</v>
      </c>
      <c r="R3207" s="1" t="s">
        <v>228</v>
      </c>
      <c r="S3207" s="1" t="s">
        <v>8138</v>
      </c>
      <c r="T3207" s="1" t="s">
        <v>8139</v>
      </c>
      <c r="U3207" s="2" t="s">
        <v>321</v>
      </c>
      <c r="V3207" s="2" t="s">
        <v>47</v>
      </c>
      <c r="W3207" s="2" t="s">
        <v>104</v>
      </c>
      <c r="X3207" s="2">
        <v>11.48</v>
      </c>
    </row>
    <row r="3208" spans="1:24" x14ac:dyDescent="0.3">
      <c r="A3208">
        <v>21062</v>
      </c>
      <c r="B3208" t="s">
        <v>8140</v>
      </c>
      <c r="C3208" s="3">
        <v>41832</v>
      </c>
      <c r="D3208" t="s">
        <v>50</v>
      </c>
      <c r="E3208">
        <v>1</v>
      </c>
      <c r="F3208" s="3">
        <f ca="1">41834+(RANDBETWEEN(1,10))</f>
        <v>41838</v>
      </c>
      <c r="G3208" t="s">
        <v>26</v>
      </c>
      <c r="H3208" t="s">
        <v>27</v>
      </c>
      <c r="I3208" t="s">
        <v>97</v>
      </c>
      <c r="J3208">
        <v>275.69499999999999</v>
      </c>
      <c r="K3208">
        <v>0.03</v>
      </c>
      <c r="L3208">
        <v>0.76</v>
      </c>
      <c r="M3208">
        <v>14</v>
      </c>
      <c r="N3208">
        <v>-538.55899999999997</v>
      </c>
      <c r="O3208" s="1" t="s">
        <v>87</v>
      </c>
      <c r="P3208" s="1" t="s">
        <v>8141</v>
      </c>
      <c r="Q3208" s="1" t="s">
        <v>8142</v>
      </c>
      <c r="R3208" s="1" t="s">
        <v>90</v>
      </c>
      <c r="S3208" s="1" t="s">
        <v>8143</v>
      </c>
      <c r="T3208" s="1" t="s">
        <v>8144</v>
      </c>
      <c r="U3208" s="2" t="s">
        <v>8145</v>
      </c>
      <c r="V3208" s="2" t="s">
        <v>36</v>
      </c>
      <c r="W3208" s="2" t="s">
        <v>60</v>
      </c>
      <c r="X3208" s="2">
        <v>271.28500000000003</v>
      </c>
    </row>
    <row r="3209" spans="1:24" x14ac:dyDescent="0.3">
      <c r="A3209">
        <v>21063</v>
      </c>
      <c r="B3209" t="s">
        <v>8146</v>
      </c>
      <c r="C3209" s="3">
        <v>41618</v>
      </c>
      <c r="D3209" t="s">
        <v>39</v>
      </c>
      <c r="E3209">
        <v>12</v>
      </c>
      <c r="F3209" s="3">
        <f ca="1">41619+(RANDBETWEEN(1,10))</f>
        <v>41625</v>
      </c>
      <c r="G3209" t="s">
        <v>76</v>
      </c>
      <c r="H3209" t="s">
        <v>77</v>
      </c>
      <c r="I3209" t="s">
        <v>97</v>
      </c>
      <c r="J3209">
        <v>15020.004999999999</v>
      </c>
      <c r="K3209">
        <v>0.06</v>
      </c>
      <c r="L3209">
        <v>0.61</v>
      </c>
      <c r="M3209">
        <v>105</v>
      </c>
      <c r="N3209">
        <v>10022.407499999999</v>
      </c>
      <c r="O3209" s="1" t="s">
        <v>40</v>
      </c>
      <c r="P3209" s="1" t="s">
        <v>3919</v>
      </c>
      <c r="Q3209" s="1" t="s">
        <v>3920</v>
      </c>
      <c r="R3209" s="1" t="s">
        <v>43</v>
      </c>
      <c r="S3209" s="1" t="s">
        <v>80</v>
      </c>
      <c r="T3209" s="1" t="s">
        <v>3921</v>
      </c>
      <c r="U3209" s="2" t="s">
        <v>8147</v>
      </c>
      <c r="V3209" s="2" t="s">
        <v>83</v>
      </c>
      <c r="W3209" s="2" t="s">
        <v>84</v>
      </c>
      <c r="X3209" s="2">
        <v>1228.43</v>
      </c>
    </row>
    <row r="3210" spans="1:24" x14ac:dyDescent="0.3">
      <c r="A3210">
        <v>21064</v>
      </c>
      <c r="B3210" t="s">
        <v>8148</v>
      </c>
      <c r="C3210" s="3">
        <v>41306</v>
      </c>
      <c r="D3210" t="s">
        <v>39</v>
      </c>
      <c r="E3210">
        <v>1</v>
      </c>
      <c r="F3210" s="3">
        <f ca="1">41308+(RANDBETWEEN(1,10))</f>
        <v>41314</v>
      </c>
      <c r="G3210" t="s">
        <v>26</v>
      </c>
      <c r="H3210" t="s">
        <v>27</v>
      </c>
      <c r="I3210" t="s">
        <v>52</v>
      </c>
      <c r="J3210">
        <v>219.24</v>
      </c>
      <c r="K3210">
        <v>0.02</v>
      </c>
      <c r="L3210">
        <v>0.56000000000000005</v>
      </c>
      <c r="M3210">
        <v>31.465</v>
      </c>
      <c r="N3210">
        <v>43.722000000000001</v>
      </c>
      <c r="O3210" s="1" t="s">
        <v>225</v>
      </c>
      <c r="P3210" s="1" t="s">
        <v>6358</v>
      </c>
      <c r="Q3210" s="1" t="s">
        <v>6359</v>
      </c>
      <c r="R3210" s="1" t="s">
        <v>228</v>
      </c>
      <c r="S3210" s="1" t="s">
        <v>6360</v>
      </c>
      <c r="T3210" s="1" t="s">
        <v>886</v>
      </c>
      <c r="U3210" s="2">
        <v>5180</v>
      </c>
      <c r="V3210" s="2" t="s">
        <v>36</v>
      </c>
      <c r="W3210" s="2" t="s">
        <v>37</v>
      </c>
      <c r="X3210" s="2">
        <v>230.965</v>
      </c>
    </row>
    <row r="3211" spans="1:24" x14ac:dyDescent="0.3">
      <c r="A3211">
        <v>21065</v>
      </c>
      <c r="B3211" t="s">
        <v>8149</v>
      </c>
      <c r="C3211" s="3">
        <v>40699</v>
      </c>
      <c r="D3211" t="s">
        <v>39</v>
      </c>
      <c r="E3211">
        <v>5</v>
      </c>
      <c r="F3211" s="3">
        <f ca="1">40700+(RANDBETWEEN(1,10))</f>
        <v>40707</v>
      </c>
      <c r="G3211" t="s">
        <v>26</v>
      </c>
      <c r="H3211" t="s">
        <v>27</v>
      </c>
      <c r="I3211" t="s">
        <v>52</v>
      </c>
      <c r="J3211">
        <v>6247.5349999999999</v>
      </c>
      <c r="K3211">
        <v>0.09</v>
      </c>
      <c r="L3211">
        <v>0.56999999999999995</v>
      </c>
      <c r="M3211">
        <v>69.965000000000003</v>
      </c>
      <c r="N3211">
        <v>4310.7991499999998</v>
      </c>
      <c r="O3211" s="1" t="s">
        <v>53</v>
      </c>
      <c r="P3211" s="1" t="s">
        <v>4915</v>
      </c>
      <c r="Q3211" s="1" t="s">
        <v>4916</v>
      </c>
      <c r="R3211" s="1" t="s">
        <v>100</v>
      </c>
      <c r="S3211" s="1" t="s">
        <v>4917</v>
      </c>
      <c r="T3211" s="1" t="s">
        <v>4918</v>
      </c>
      <c r="U3211" s="2" t="s">
        <v>572</v>
      </c>
      <c r="V3211" s="2" t="s">
        <v>47</v>
      </c>
      <c r="W3211" s="2" t="s">
        <v>71</v>
      </c>
      <c r="X3211" s="2">
        <v>1271.375</v>
      </c>
    </row>
    <row r="3212" spans="1:24" x14ac:dyDescent="0.3">
      <c r="A3212">
        <v>21066</v>
      </c>
      <c r="B3212" t="s">
        <v>8150</v>
      </c>
      <c r="C3212" s="3">
        <v>40781</v>
      </c>
      <c r="D3212" t="s">
        <v>62</v>
      </c>
      <c r="E3212">
        <v>1</v>
      </c>
      <c r="F3212" s="3">
        <f ca="1">40782+(RANDBETWEEN(1,10))</f>
        <v>40788</v>
      </c>
      <c r="G3212" t="s">
        <v>76</v>
      </c>
      <c r="H3212" t="s">
        <v>77</v>
      </c>
      <c r="I3212" t="s">
        <v>28</v>
      </c>
      <c r="J3212">
        <v>895.40499999999997</v>
      </c>
      <c r="K3212">
        <v>7.0000000000000007E-2</v>
      </c>
      <c r="L3212">
        <v>0.59</v>
      </c>
      <c r="M3212">
        <v>98.56</v>
      </c>
      <c r="N3212">
        <v>185.90039999999999</v>
      </c>
      <c r="O3212" s="1" t="s">
        <v>225</v>
      </c>
      <c r="P3212" s="1" t="s">
        <v>2490</v>
      </c>
      <c r="Q3212" s="1" t="s">
        <v>2491</v>
      </c>
      <c r="R3212" s="1" t="s">
        <v>228</v>
      </c>
      <c r="S3212" s="1" t="s">
        <v>2492</v>
      </c>
      <c r="T3212" s="1" t="s">
        <v>2493</v>
      </c>
      <c r="U3212" s="2" t="s">
        <v>5590</v>
      </c>
      <c r="V3212" s="2" t="s">
        <v>83</v>
      </c>
      <c r="W3212" s="2" t="s">
        <v>84</v>
      </c>
      <c r="X3212" s="2">
        <v>793.34500000000003</v>
      </c>
    </row>
    <row r="3213" spans="1:24" x14ac:dyDescent="0.3">
      <c r="A3213">
        <v>21067</v>
      </c>
      <c r="B3213" t="s">
        <v>8150</v>
      </c>
      <c r="C3213" s="3">
        <v>40781</v>
      </c>
      <c r="D3213" t="s">
        <v>62</v>
      </c>
      <c r="E3213">
        <v>20</v>
      </c>
      <c r="F3213" s="3">
        <f ca="1">40783+(RANDBETWEEN(1,10))</f>
        <v>40793</v>
      </c>
      <c r="G3213" t="s">
        <v>76</v>
      </c>
      <c r="H3213" t="s">
        <v>77</v>
      </c>
      <c r="I3213" t="s">
        <v>28</v>
      </c>
      <c r="J3213">
        <v>1474.13</v>
      </c>
      <c r="K3213">
        <v>0.08</v>
      </c>
      <c r="L3213">
        <v>0.78</v>
      </c>
      <c r="M3213">
        <v>185.60499999999999</v>
      </c>
      <c r="N3213">
        <v>30.597000000000001</v>
      </c>
      <c r="O3213" s="1" t="s">
        <v>225</v>
      </c>
      <c r="P3213" s="1" t="s">
        <v>2490</v>
      </c>
      <c r="Q3213" s="1" t="s">
        <v>2491</v>
      </c>
      <c r="R3213" s="1" t="s">
        <v>228</v>
      </c>
      <c r="S3213" s="1" t="s">
        <v>2492</v>
      </c>
      <c r="T3213" s="1" t="s">
        <v>2493</v>
      </c>
      <c r="U3213" s="2" t="s">
        <v>583</v>
      </c>
      <c r="V3213" s="2" t="s">
        <v>47</v>
      </c>
      <c r="W3213" s="2" t="s">
        <v>119</v>
      </c>
      <c r="X3213" s="2">
        <v>73.430000000000007</v>
      </c>
    </row>
    <row r="3214" spans="1:24" x14ac:dyDescent="0.3">
      <c r="A3214">
        <v>21068</v>
      </c>
      <c r="B3214" t="s">
        <v>8151</v>
      </c>
      <c r="C3214" s="3">
        <v>40996</v>
      </c>
      <c r="D3214" t="s">
        <v>148</v>
      </c>
      <c r="E3214">
        <v>1</v>
      </c>
      <c r="F3214" s="3">
        <f ca="1">40998+(RANDBETWEEN(1,10))</f>
        <v>41000</v>
      </c>
      <c r="G3214" t="s">
        <v>76</v>
      </c>
      <c r="H3214" t="s">
        <v>77</v>
      </c>
      <c r="I3214" t="s">
        <v>28</v>
      </c>
      <c r="J3214">
        <v>1170.05</v>
      </c>
      <c r="K3214">
        <v>0.06</v>
      </c>
      <c r="L3214">
        <v>0.56999999999999995</v>
      </c>
      <c r="M3214">
        <v>318.67500000000001</v>
      </c>
      <c r="N3214">
        <v>-1510.075</v>
      </c>
      <c r="O3214" s="1" t="s">
        <v>87</v>
      </c>
      <c r="P3214" s="1" t="s">
        <v>4509</v>
      </c>
      <c r="Q3214" s="1" t="s">
        <v>4510</v>
      </c>
      <c r="R3214" s="1" t="s">
        <v>646</v>
      </c>
      <c r="S3214" s="1" t="s">
        <v>4511</v>
      </c>
      <c r="T3214" s="1" t="s">
        <v>4512</v>
      </c>
      <c r="U3214" s="2" t="s">
        <v>1589</v>
      </c>
      <c r="V3214" s="2" t="s">
        <v>47</v>
      </c>
      <c r="W3214" s="2" t="s">
        <v>71</v>
      </c>
      <c r="X3214" s="2">
        <v>1148.49</v>
      </c>
    </row>
    <row r="3215" spans="1:24" x14ac:dyDescent="0.3">
      <c r="A3215">
        <v>21069</v>
      </c>
      <c r="B3215" t="s">
        <v>8152</v>
      </c>
      <c r="C3215" s="3">
        <v>41315</v>
      </c>
      <c r="D3215" t="s">
        <v>25</v>
      </c>
      <c r="E3215">
        <v>3</v>
      </c>
      <c r="F3215" s="3">
        <f ca="1">41315+(RANDBETWEEN(1,10))</f>
        <v>41319</v>
      </c>
      <c r="G3215" t="s">
        <v>26</v>
      </c>
      <c r="H3215" t="s">
        <v>96</v>
      </c>
      <c r="I3215" t="s">
        <v>97</v>
      </c>
      <c r="J3215">
        <v>138.77500000000001</v>
      </c>
      <c r="K3215">
        <v>0.03</v>
      </c>
      <c r="L3215">
        <v>0.52</v>
      </c>
      <c r="M3215">
        <v>21.7</v>
      </c>
      <c r="N3215">
        <v>95.754750000000001</v>
      </c>
      <c r="O3215" s="1" t="s">
        <v>225</v>
      </c>
      <c r="P3215" s="1" t="s">
        <v>6401</v>
      </c>
      <c r="Q3215" s="1" t="s">
        <v>6402</v>
      </c>
      <c r="R3215" s="1" t="s">
        <v>228</v>
      </c>
      <c r="S3215" s="1" t="s">
        <v>6403</v>
      </c>
      <c r="T3215" s="1" t="s">
        <v>6404</v>
      </c>
      <c r="U3215" s="2" t="s">
        <v>2413</v>
      </c>
      <c r="V3215" s="2" t="s">
        <v>83</v>
      </c>
      <c r="W3215" s="2" t="s">
        <v>178</v>
      </c>
      <c r="X3215" s="2">
        <v>42.244999999999997</v>
      </c>
    </row>
    <row r="3216" spans="1:24" x14ac:dyDescent="0.3">
      <c r="A3216">
        <v>21070</v>
      </c>
      <c r="B3216" t="s">
        <v>8152</v>
      </c>
      <c r="C3216" s="3">
        <v>41315</v>
      </c>
      <c r="D3216" t="s">
        <v>25</v>
      </c>
      <c r="E3216">
        <v>10</v>
      </c>
      <c r="F3216" s="3">
        <f ca="1">41315+(RANDBETWEEN(1,10))</f>
        <v>41320</v>
      </c>
      <c r="G3216" t="s">
        <v>26</v>
      </c>
      <c r="H3216" t="s">
        <v>27</v>
      </c>
      <c r="I3216" t="s">
        <v>97</v>
      </c>
      <c r="J3216">
        <v>3814.16</v>
      </c>
      <c r="K3216">
        <v>0.04</v>
      </c>
      <c r="L3216">
        <v>0.56999999999999995</v>
      </c>
      <c r="M3216">
        <v>14.7</v>
      </c>
      <c r="N3216">
        <v>2631.7703999999999</v>
      </c>
      <c r="O3216" s="1" t="s">
        <v>225</v>
      </c>
      <c r="P3216" s="1" t="s">
        <v>6401</v>
      </c>
      <c r="Q3216" s="1" t="s">
        <v>6402</v>
      </c>
      <c r="R3216" s="1" t="s">
        <v>228</v>
      </c>
      <c r="S3216" s="1" t="s">
        <v>6403</v>
      </c>
      <c r="T3216" s="1" t="s">
        <v>6404</v>
      </c>
      <c r="U3216" s="2" t="s">
        <v>4401</v>
      </c>
      <c r="V3216" s="2" t="s">
        <v>36</v>
      </c>
      <c r="W3216" s="2" t="s">
        <v>37</v>
      </c>
      <c r="X3216" s="2">
        <v>440.96499999999997</v>
      </c>
    </row>
    <row r="3217" spans="1:24" x14ac:dyDescent="0.3">
      <c r="A3217">
        <v>21071</v>
      </c>
      <c r="B3217" t="s">
        <v>8153</v>
      </c>
      <c r="C3217" s="3">
        <v>41046</v>
      </c>
      <c r="D3217" t="s">
        <v>62</v>
      </c>
      <c r="E3217">
        <v>13</v>
      </c>
      <c r="F3217" s="3">
        <f ca="1">41047+(RANDBETWEEN(1,10))</f>
        <v>41053</v>
      </c>
      <c r="G3217" t="s">
        <v>26</v>
      </c>
      <c r="H3217" t="s">
        <v>27</v>
      </c>
      <c r="I3217" t="s">
        <v>28</v>
      </c>
      <c r="J3217">
        <v>612.745</v>
      </c>
      <c r="K3217">
        <v>0.01</v>
      </c>
      <c r="L3217">
        <v>0.59</v>
      </c>
      <c r="M3217">
        <v>15.785</v>
      </c>
      <c r="N3217">
        <v>35.630000000000003</v>
      </c>
      <c r="O3217" s="1" t="s">
        <v>40</v>
      </c>
      <c r="P3217" s="1" t="s">
        <v>8154</v>
      </c>
      <c r="Q3217" s="1" t="s">
        <v>8155</v>
      </c>
      <c r="R3217" s="1" t="s">
        <v>220</v>
      </c>
      <c r="S3217" s="1" t="s">
        <v>8156</v>
      </c>
      <c r="T3217" s="1" t="s">
        <v>8157</v>
      </c>
      <c r="U3217" s="2" t="s">
        <v>1495</v>
      </c>
      <c r="V3217" s="2" t="s">
        <v>47</v>
      </c>
      <c r="W3217" s="2" t="s">
        <v>119</v>
      </c>
      <c r="X3217" s="2">
        <v>47.18</v>
      </c>
    </row>
    <row r="3218" spans="1:24" x14ac:dyDescent="0.3">
      <c r="A3218">
        <v>21072</v>
      </c>
      <c r="B3218" t="s">
        <v>8158</v>
      </c>
      <c r="C3218" s="3">
        <v>41002</v>
      </c>
      <c r="D3218" t="s">
        <v>62</v>
      </c>
      <c r="E3218">
        <v>1</v>
      </c>
      <c r="F3218" s="3">
        <f ca="1">41003+(RANDBETWEEN(1,10))</f>
        <v>41005</v>
      </c>
      <c r="G3218" t="s">
        <v>76</v>
      </c>
      <c r="H3218" t="s">
        <v>77</v>
      </c>
      <c r="I3218" t="s">
        <v>86</v>
      </c>
      <c r="J3218">
        <v>4934.51</v>
      </c>
      <c r="K3218">
        <v>7.0000000000000007E-2</v>
      </c>
      <c r="L3218">
        <v>0.56999999999999995</v>
      </c>
      <c r="M3218">
        <v>103.95</v>
      </c>
      <c r="N3218">
        <v>-12113.923500000001</v>
      </c>
      <c r="O3218" s="1" t="s">
        <v>87</v>
      </c>
      <c r="P3218" s="1" t="s">
        <v>1708</v>
      </c>
      <c r="Q3218" s="1" t="s">
        <v>1709</v>
      </c>
      <c r="R3218" s="1" t="s">
        <v>398</v>
      </c>
      <c r="S3218" s="1" t="s">
        <v>1710</v>
      </c>
      <c r="T3218" s="1" t="s">
        <v>1711</v>
      </c>
      <c r="U3218" s="2" t="s">
        <v>141</v>
      </c>
      <c r="V3218" s="2" t="s">
        <v>36</v>
      </c>
      <c r="W3218" s="2" t="s">
        <v>142</v>
      </c>
      <c r="X3218" s="2">
        <v>5253.3950000000004</v>
      </c>
    </row>
    <row r="3219" spans="1:24" x14ac:dyDescent="0.3">
      <c r="A3219">
        <v>21073</v>
      </c>
      <c r="B3219" t="s">
        <v>8159</v>
      </c>
      <c r="C3219" s="3">
        <v>41638</v>
      </c>
      <c r="D3219" t="s">
        <v>50</v>
      </c>
      <c r="E3219">
        <v>20</v>
      </c>
      <c r="F3219" s="3">
        <f ca="1">41640+(RANDBETWEEN(1,10))</f>
        <v>41650</v>
      </c>
      <c r="G3219" t="s">
        <v>26</v>
      </c>
      <c r="H3219" t="s">
        <v>27</v>
      </c>
      <c r="I3219" t="s">
        <v>28</v>
      </c>
      <c r="J3219">
        <v>375.72500000000002</v>
      </c>
      <c r="K3219">
        <v>0.01</v>
      </c>
      <c r="L3219">
        <v>0.36</v>
      </c>
      <c r="M3219">
        <v>26.04</v>
      </c>
      <c r="N3219">
        <v>828.3492</v>
      </c>
      <c r="O3219" s="1" t="s">
        <v>40</v>
      </c>
      <c r="P3219" s="1" t="s">
        <v>8160</v>
      </c>
      <c r="Q3219" s="1" t="s">
        <v>8161</v>
      </c>
      <c r="R3219" s="1" t="s">
        <v>43</v>
      </c>
      <c r="S3219" s="1" t="s">
        <v>8162</v>
      </c>
      <c r="T3219" s="1" t="s">
        <v>8163</v>
      </c>
      <c r="U3219" s="2" t="s">
        <v>131</v>
      </c>
      <c r="V3219" s="2" t="s">
        <v>47</v>
      </c>
      <c r="W3219" s="2" t="s">
        <v>74</v>
      </c>
      <c r="X3219" s="2">
        <v>17.43</v>
      </c>
    </row>
    <row r="3220" spans="1:24" x14ac:dyDescent="0.3">
      <c r="A3220">
        <v>21074</v>
      </c>
      <c r="B3220" t="s">
        <v>8164</v>
      </c>
      <c r="C3220" s="3">
        <v>41142</v>
      </c>
      <c r="D3220" t="s">
        <v>62</v>
      </c>
      <c r="E3220">
        <v>14</v>
      </c>
      <c r="F3220" s="3">
        <f ca="1">41144+(RANDBETWEEN(1,10))</f>
        <v>41149</v>
      </c>
      <c r="G3220" t="s">
        <v>26</v>
      </c>
      <c r="H3220" t="s">
        <v>27</v>
      </c>
      <c r="I3220" t="s">
        <v>28</v>
      </c>
      <c r="J3220">
        <v>862.22500000000002</v>
      </c>
      <c r="K3220">
        <v>0.1</v>
      </c>
      <c r="L3220">
        <v>0.37</v>
      </c>
      <c r="M3220">
        <v>18.305</v>
      </c>
      <c r="N3220">
        <v>585.15869999999995</v>
      </c>
      <c r="O3220" s="1" t="s">
        <v>225</v>
      </c>
      <c r="P3220" s="1" t="s">
        <v>8165</v>
      </c>
      <c r="Q3220" s="1" t="s">
        <v>8166</v>
      </c>
      <c r="R3220" s="1" t="s">
        <v>228</v>
      </c>
      <c r="S3220" s="1" t="s">
        <v>8167</v>
      </c>
      <c r="T3220" s="1" t="s">
        <v>8168</v>
      </c>
      <c r="U3220" s="2" t="s">
        <v>8169</v>
      </c>
      <c r="V3220" s="2" t="s">
        <v>47</v>
      </c>
      <c r="W3220" s="2" t="s">
        <v>111</v>
      </c>
      <c r="X3220" s="2">
        <v>66.465000000000003</v>
      </c>
    </row>
    <row r="3221" spans="1:24" x14ac:dyDescent="0.3">
      <c r="A3221">
        <v>21075</v>
      </c>
      <c r="B3221" t="s">
        <v>8170</v>
      </c>
      <c r="C3221" s="3">
        <v>41119</v>
      </c>
      <c r="D3221" t="s">
        <v>148</v>
      </c>
      <c r="E3221">
        <v>10</v>
      </c>
      <c r="F3221" s="3">
        <f ca="1">41121+(RANDBETWEEN(1,10))</f>
        <v>41131</v>
      </c>
      <c r="G3221" t="s">
        <v>26</v>
      </c>
      <c r="H3221" t="s">
        <v>51</v>
      </c>
      <c r="I3221" t="s">
        <v>28</v>
      </c>
      <c r="J3221">
        <v>237.125</v>
      </c>
      <c r="K3221">
        <v>7.0000000000000007E-2</v>
      </c>
      <c r="L3221">
        <v>0.37</v>
      </c>
      <c r="M3221">
        <v>9.9049999999999994</v>
      </c>
      <c r="N3221">
        <v>163.61625000000001</v>
      </c>
      <c r="O3221" s="1" t="s">
        <v>87</v>
      </c>
      <c r="P3221" s="1" t="s">
        <v>732</v>
      </c>
      <c r="Q3221" s="1" t="s">
        <v>733</v>
      </c>
      <c r="R3221" s="1" t="s">
        <v>398</v>
      </c>
      <c r="S3221" s="1" t="s">
        <v>734</v>
      </c>
      <c r="T3221" s="1" t="s">
        <v>735</v>
      </c>
      <c r="U3221" s="2" t="s">
        <v>7020</v>
      </c>
      <c r="V3221" s="2" t="s">
        <v>83</v>
      </c>
      <c r="W3221" s="2" t="s">
        <v>178</v>
      </c>
      <c r="X3221" s="2">
        <v>24.43</v>
      </c>
    </row>
    <row r="3222" spans="1:24" x14ac:dyDescent="0.3">
      <c r="A3222">
        <v>21076</v>
      </c>
      <c r="B3222" t="s">
        <v>8171</v>
      </c>
      <c r="C3222" s="3">
        <v>41905</v>
      </c>
      <c r="D3222" t="s">
        <v>148</v>
      </c>
      <c r="E3222">
        <v>21</v>
      </c>
      <c r="F3222" s="3">
        <f ca="1">41907+(RANDBETWEEN(1,10))</f>
        <v>41916</v>
      </c>
      <c r="G3222" t="s">
        <v>76</v>
      </c>
      <c r="H3222" t="s">
        <v>77</v>
      </c>
      <c r="I3222" t="s">
        <v>28</v>
      </c>
      <c r="J3222">
        <v>11295.55</v>
      </c>
      <c r="K3222">
        <v>0.05</v>
      </c>
      <c r="L3222">
        <v>0.62</v>
      </c>
      <c r="M3222">
        <v>105</v>
      </c>
      <c r="N3222">
        <v>2392.6644000000001</v>
      </c>
      <c r="O3222" s="1" t="s">
        <v>225</v>
      </c>
      <c r="P3222" s="1" t="s">
        <v>6770</v>
      </c>
      <c r="Q3222" s="1" t="s">
        <v>6771</v>
      </c>
      <c r="R3222" s="1" t="s">
        <v>228</v>
      </c>
      <c r="S3222" s="1" t="s">
        <v>6772</v>
      </c>
      <c r="T3222" s="1" t="s">
        <v>6773</v>
      </c>
      <c r="U3222" s="2" t="s">
        <v>2089</v>
      </c>
      <c r="V3222" s="2" t="s">
        <v>83</v>
      </c>
      <c r="W3222" s="2" t="s">
        <v>84</v>
      </c>
      <c r="X3222" s="2">
        <v>563.42999999999995</v>
      </c>
    </row>
    <row r="3223" spans="1:24" x14ac:dyDescent="0.3">
      <c r="A3223">
        <v>21077</v>
      </c>
      <c r="B3223" t="s">
        <v>8172</v>
      </c>
      <c r="C3223" s="3">
        <v>40591</v>
      </c>
      <c r="D3223" t="s">
        <v>62</v>
      </c>
      <c r="E3223">
        <v>1</v>
      </c>
      <c r="F3223" s="3">
        <f ca="1">40593+(RANDBETWEEN(1,10))</f>
        <v>40598</v>
      </c>
      <c r="G3223" t="s">
        <v>156</v>
      </c>
      <c r="H3223" t="s">
        <v>96</v>
      </c>
      <c r="I3223" t="s">
        <v>28</v>
      </c>
      <c r="J3223">
        <v>29.434999999999999</v>
      </c>
      <c r="K3223">
        <v>0.05</v>
      </c>
      <c r="L3223">
        <v>0.38</v>
      </c>
      <c r="M3223">
        <v>7.49</v>
      </c>
      <c r="N3223">
        <v>-14.49</v>
      </c>
      <c r="O3223" s="1" t="s">
        <v>40</v>
      </c>
      <c r="P3223" s="1" t="s">
        <v>5784</v>
      </c>
      <c r="Q3223" s="1" t="s">
        <v>5785</v>
      </c>
      <c r="R3223" s="1" t="s">
        <v>43</v>
      </c>
      <c r="S3223" s="1" t="s">
        <v>5786</v>
      </c>
      <c r="T3223" s="1" t="s">
        <v>5787</v>
      </c>
      <c r="U3223" s="2" t="s">
        <v>8173</v>
      </c>
      <c r="V3223" s="2" t="s">
        <v>47</v>
      </c>
      <c r="W3223" s="2" t="s">
        <v>74</v>
      </c>
      <c r="X3223" s="2">
        <v>21.14</v>
      </c>
    </row>
    <row r="3224" spans="1:24" x14ac:dyDescent="0.3">
      <c r="A3224">
        <v>21078</v>
      </c>
      <c r="B3224" t="s">
        <v>8174</v>
      </c>
      <c r="C3224" s="3">
        <v>41707</v>
      </c>
      <c r="D3224" t="s">
        <v>25</v>
      </c>
      <c r="E3224">
        <v>10</v>
      </c>
      <c r="F3224" s="3">
        <f ca="1">41709+(RANDBETWEEN(1,10))</f>
        <v>41711</v>
      </c>
      <c r="G3224" t="s">
        <v>26</v>
      </c>
      <c r="H3224" t="s">
        <v>27</v>
      </c>
      <c r="I3224" t="s">
        <v>97</v>
      </c>
      <c r="J3224">
        <v>226.73</v>
      </c>
      <c r="K3224">
        <v>0.1</v>
      </c>
      <c r="L3224">
        <v>0.37</v>
      </c>
      <c r="M3224">
        <v>25.795000000000002</v>
      </c>
      <c r="N3224">
        <v>-1097.08305</v>
      </c>
      <c r="O3224" s="1" t="s">
        <v>40</v>
      </c>
      <c r="P3224" s="1" t="s">
        <v>7669</v>
      </c>
      <c r="Q3224" s="1" t="s">
        <v>7670</v>
      </c>
      <c r="R3224" s="1" t="s">
        <v>43</v>
      </c>
      <c r="S3224" s="1" t="s">
        <v>7671</v>
      </c>
      <c r="T3224" s="1" t="s">
        <v>7672</v>
      </c>
      <c r="U3224" s="2" t="s">
        <v>2975</v>
      </c>
      <c r="V3224" s="2" t="s">
        <v>47</v>
      </c>
      <c r="W3224" s="2" t="s">
        <v>74</v>
      </c>
      <c r="X3224" s="2">
        <v>22.68</v>
      </c>
    </row>
    <row r="3225" spans="1:24" x14ac:dyDescent="0.3">
      <c r="A3225">
        <v>21079</v>
      </c>
      <c r="B3225" t="s">
        <v>8174</v>
      </c>
      <c r="C3225" s="3">
        <v>41707</v>
      </c>
      <c r="D3225" t="s">
        <v>25</v>
      </c>
      <c r="E3225">
        <v>7</v>
      </c>
      <c r="F3225" s="3">
        <f ca="1">41707+(RANDBETWEEN(1,10))</f>
        <v>41711</v>
      </c>
      <c r="G3225" t="s">
        <v>26</v>
      </c>
      <c r="H3225" t="s">
        <v>27</v>
      </c>
      <c r="I3225" t="s">
        <v>97</v>
      </c>
      <c r="J3225">
        <v>440.125</v>
      </c>
      <c r="K3225">
        <v>7.0000000000000007E-2</v>
      </c>
      <c r="L3225">
        <v>0.59</v>
      </c>
      <c r="M3225">
        <v>33.145000000000003</v>
      </c>
      <c r="N3225">
        <v>-3059.0210000000002</v>
      </c>
      <c r="O3225" s="1" t="s">
        <v>40</v>
      </c>
      <c r="P3225" s="1" t="s">
        <v>7669</v>
      </c>
      <c r="Q3225" s="1" t="s">
        <v>7670</v>
      </c>
      <c r="R3225" s="1" t="s">
        <v>43</v>
      </c>
      <c r="S3225" s="1" t="s">
        <v>7671</v>
      </c>
      <c r="T3225" s="1" t="s">
        <v>7672</v>
      </c>
      <c r="U3225" s="2" t="s">
        <v>811</v>
      </c>
      <c r="V3225" s="2" t="s">
        <v>47</v>
      </c>
      <c r="W3225" s="2" t="s">
        <v>119</v>
      </c>
      <c r="X3225" s="2">
        <v>61.95</v>
      </c>
    </row>
    <row r="3226" spans="1:24" x14ac:dyDescent="0.3">
      <c r="A3226">
        <v>21080</v>
      </c>
      <c r="B3226" t="s">
        <v>8175</v>
      </c>
      <c r="C3226" s="3">
        <v>41623</v>
      </c>
      <c r="D3226" t="s">
        <v>148</v>
      </c>
      <c r="E3226">
        <v>11</v>
      </c>
      <c r="F3226" s="3">
        <f ca="1">41624+(RANDBETWEEN(1,10))</f>
        <v>41631</v>
      </c>
      <c r="G3226" t="s">
        <v>76</v>
      </c>
      <c r="H3226" t="s">
        <v>77</v>
      </c>
      <c r="I3226" t="s">
        <v>86</v>
      </c>
      <c r="J3226">
        <v>3738.77</v>
      </c>
      <c r="K3226">
        <v>0.08</v>
      </c>
      <c r="L3226">
        <v>0.56999999999999995</v>
      </c>
      <c r="M3226">
        <v>260.22500000000002</v>
      </c>
      <c r="N3226">
        <v>863.31</v>
      </c>
      <c r="O3226" s="1" t="s">
        <v>29</v>
      </c>
      <c r="P3226" s="1" t="s">
        <v>8176</v>
      </c>
      <c r="Q3226" s="1" t="s">
        <v>8177</v>
      </c>
      <c r="R3226" s="1" t="s">
        <v>675</v>
      </c>
      <c r="S3226" s="1" t="s">
        <v>8178</v>
      </c>
      <c r="T3226" s="1" t="s">
        <v>8179</v>
      </c>
      <c r="U3226" s="2" t="s">
        <v>1560</v>
      </c>
      <c r="V3226" s="2" t="s">
        <v>83</v>
      </c>
      <c r="W3226" s="2" t="s">
        <v>84</v>
      </c>
      <c r="X3226" s="2">
        <v>335.82499999999999</v>
      </c>
    </row>
    <row r="3227" spans="1:24" x14ac:dyDescent="0.3">
      <c r="A3227">
        <v>21081</v>
      </c>
      <c r="B3227" t="s">
        <v>8180</v>
      </c>
      <c r="C3227" s="3">
        <v>41075</v>
      </c>
      <c r="D3227" t="s">
        <v>25</v>
      </c>
      <c r="E3227">
        <v>2</v>
      </c>
      <c r="F3227" s="3">
        <f ca="1">41075+(RANDBETWEEN(1,10))</f>
        <v>41076</v>
      </c>
      <c r="G3227" t="s">
        <v>76</v>
      </c>
      <c r="H3227" t="s">
        <v>77</v>
      </c>
      <c r="I3227" t="s">
        <v>52</v>
      </c>
      <c r="J3227">
        <v>1052.73</v>
      </c>
      <c r="K3227">
        <v>0.02</v>
      </c>
      <c r="L3227">
        <v>0.56000000000000005</v>
      </c>
      <c r="M3227">
        <v>62.475000000000001</v>
      </c>
      <c r="N3227">
        <v>-795.03732000000002</v>
      </c>
      <c r="O3227" s="1" t="s">
        <v>64</v>
      </c>
      <c r="P3227" s="1" t="s">
        <v>4490</v>
      </c>
      <c r="Q3227" s="1" t="s">
        <v>4491</v>
      </c>
      <c r="R3227" s="1" t="s">
        <v>128</v>
      </c>
      <c r="S3227" s="1" t="s">
        <v>2332</v>
      </c>
      <c r="T3227" s="1" t="s">
        <v>2333</v>
      </c>
      <c r="U3227" s="2" t="s">
        <v>881</v>
      </c>
      <c r="V3227" s="2" t="s">
        <v>36</v>
      </c>
      <c r="W3227" s="2" t="s">
        <v>142</v>
      </c>
      <c r="X3227" s="2">
        <v>509.07499999999999</v>
      </c>
    </row>
    <row r="3228" spans="1:24" x14ac:dyDescent="0.3">
      <c r="A3228">
        <v>21082</v>
      </c>
      <c r="B3228" t="s">
        <v>8181</v>
      </c>
      <c r="C3228" s="3">
        <v>41133</v>
      </c>
      <c r="D3228" t="s">
        <v>62</v>
      </c>
      <c r="E3228">
        <v>7</v>
      </c>
      <c r="F3228" s="3">
        <f ca="1">41134+(RANDBETWEEN(1,10))</f>
        <v>41137</v>
      </c>
      <c r="G3228" t="s">
        <v>156</v>
      </c>
      <c r="H3228" t="s">
        <v>27</v>
      </c>
      <c r="I3228" t="s">
        <v>97</v>
      </c>
      <c r="J3228">
        <v>890.47</v>
      </c>
      <c r="K3228">
        <v>0.03</v>
      </c>
      <c r="L3228">
        <v>0.38</v>
      </c>
      <c r="M3228">
        <v>26.25</v>
      </c>
      <c r="N3228">
        <v>18729.344550000002</v>
      </c>
      <c r="O3228" s="1" t="s">
        <v>53</v>
      </c>
      <c r="P3228" s="1" t="s">
        <v>8182</v>
      </c>
      <c r="Q3228" s="1" t="s">
        <v>8183</v>
      </c>
      <c r="R3228" s="1" t="s">
        <v>100</v>
      </c>
      <c r="S3228" s="1" t="s">
        <v>8184</v>
      </c>
      <c r="T3228" s="1" t="s">
        <v>8185</v>
      </c>
      <c r="U3228" s="2" t="s">
        <v>5854</v>
      </c>
      <c r="V3228" s="2" t="s">
        <v>47</v>
      </c>
      <c r="W3228" s="2" t="s">
        <v>74</v>
      </c>
      <c r="X3228" s="2">
        <v>124.04</v>
      </c>
    </row>
    <row r="3229" spans="1:24" x14ac:dyDescent="0.3">
      <c r="A3229">
        <v>21083</v>
      </c>
      <c r="B3229" t="s">
        <v>8181</v>
      </c>
      <c r="C3229" s="3">
        <v>41133</v>
      </c>
      <c r="D3229" t="s">
        <v>62</v>
      </c>
      <c r="E3229">
        <v>2</v>
      </c>
      <c r="F3229" s="3">
        <f ca="1">41136+(RANDBETWEEN(1,10))</f>
        <v>41138</v>
      </c>
      <c r="G3229" t="s">
        <v>26</v>
      </c>
      <c r="H3229" t="s">
        <v>96</v>
      </c>
      <c r="I3229" t="s">
        <v>97</v>
      </c>
      <c r="J3229">
        <v>26.844999999999999</v>
      </c>
      <c r="K3229">
        <v>0.1</v>
      </c>
      <c r="L3229">
        <v>0.56000000000000005</v>
      </c>
      <c r="M3229">
        <v>13.895</v>
      </c>
      <c r="N3229">
        <v>-1156.9880000000001</v>
      </c>
      <c r="O3229" s="1" t="s">
        <v>53</v>
      </c>
      <c r="P3229" s="1" t="s">
        <v>8182</v>
      </c>
      <c r="Q3229" s="1" t="s">
        <v>8183</v>
      </c>
      <c r="R3229" s="1" t="s">
        <v>100</v>
      </c>
      <c r="S3229" s="1" t="s">
        <v>8184</v>
      </c>
      <c r="T3229" s="1" t="s">
        <v>8185</v>
      </c>
      <c r="U3229" s="2" t="s">
        <v>5622</v>
      </c>
      <c r="V3229" s="2" t="s">
        <v>47</v>
      </c>
      <c r="W3229" s="2" t="s">
        <v>104</v>
      </c>
      <c r="X3229" s="2">
        <v>11.48</v>
      </c>
    </row>
    <row r="3230" spans="1:24" x14ac:dyDescent="0.3">
      <c r="A3230">
        <v>21084</v>
      </c>
      <c r="B3230" t="s">
        <v>8186</v>
      </c>
      <c r="C3230" s="3">
        <v>40561</v>
      </c>
      <c r="D3230" t="s">
        <v>39</v>
      </c>
      <c r="E3230">
        <v>13</v>
      </c>
      <c r="F3230" s="3">
        <f ca="1">40561+(RANDBETWEEN(1,10))</f>
        <v>40570</v>
      </c>
      <c r="G3230" t="s">
        <v>26</v>
      </c>
      <c r="H3230" t="s">
        <v>27</v>
      </c>
      <c r="I3230" t="s">
        <v>28</v>
      </c>
      <c r="J3230">
        <v>2586.71</v>
      </c>
      <c r="K3230">
        <v>0.05</v>
      </c>
      <c r="L3230">
        <v>0.38</v>
      </c>
      <c r="M3230">
        <v>5.2149999999999999</v>
      </c>
      <c r="N3230">
        <v>5718.951</v>
      </c>
      <c r="O3230" s="1" t="s">
        <v>64</v>
      </c>
      <c r="P3230" s="1" t="s">
        <v>8187</v>
      </c>
      <c r="Q3230" s="1" t="s">
        <v>8188</v>
      </c>
      <c r="R3230" s="1" t="s">
        <v>67</v>
      </c>
      <c r="S3230" s="1" t="s">
        <v>254</v>
      </c>
      <c r="T3230" s="1" t="s">
        <v>8189</v>
      </c>
      <c r="U3230" s="2" t="s">
        <v>3367</v>
      </c>
      <c r="V3230" s="2" t="s">
        <v>47</v>
      </c>
      <c r="W3230" s="2" t="s">
        <v>111</v>
      </c>
      <c r="X3230" s="2">
        <v>203.35</v>
      </c>
    </row>
    <row r="3231" spans="1:24" x14ac:dyDescent="0.3">
      <c r="A3231">
        <v>21085</v>
      </c>
      <c r="B3231" t="s">
        <v>8190</v>
      </c>
      <c r="C3231" s="3">
        <v>40748</v>
      </c>
      <c r="D3231" t="s">
        <v>25</v>
      </c>
      <c r="E3231">
        <v>6</v>
      </c>
      <c r="F3231" s="3">
        <f ca="1">40753+(RANDBETWEEN(1,10))</f>
        <v>40754</v>
      </c>
      <c r="G3231" t="s">
        <v>26</v>
      </c>
      <c r="H3231" t="s">
        <v>27</v>
      </c>
      <c r="I3231" t="s">
        <v>28</v>
      </c>
      <c r="J3231">
        <v>986.37</v>
      </c>
      <c r="K3231">
        <v>7.0000000000000007E-2</v>
      </c>
      <c r="L3231">
        <v>0.56999999999999995</v>
      </c>
      <c r="M3231">
        <v>69.965000000000003</v>
      </c>
      <c r="N3231">
        <v>-429.69499999999999</v>
      </c>
      <c r="O3231" s="1" t="s">
        <v>40</v>
      </c>
      <c r="P3231" s="1" t="s">
        <v>7882</v>
      </c>
      <c r="Q3231" s="1" t="s">
        <v>7883</v>
      </c>
      <c r="R3231" s="1" t="s">
        <v>220</v>
      </c>
      <c r="S3231" s="1" t="s">
        <v>1544</v>
      </c>
      <c r="T3231" s="1" t="s">
        <v>1545</v>
      </c>
      <c r="U3231" s="2" t="s">
        <v>3665</v>
      </c>
      <c r="V3231" s="2" t="s">
        <v>47</v>
      </c>
      <c r="W3231" s="2" t="s">
        <v>71</v>
      </c>
      <c r="X3231" s="2">
        <v>173.005</v>
      </c>
    </row>
    <row r="3232" spans="1:24" x14ac:dyDescent="0.3">
      <c r="A3232">
        <v>21086</v>
      </c>
      <c r="B3232" t="s">
        <v>8191</v>
      </c>
      <c r="C3232" s="3">
        <v>40559</v>
      </c>
      <c r="D3232" t="s">
        <v>25</v>
      </c>
      <c r="E3232">
        <v>9</v>
      </c>
      <c r="F3232" s="3">
        <f ca="1">40563+(RANDBETWEEN(1,10))</f>
        <v>40565</v>
      </c>
      <c r="G3232" t="s">
        <v>26</v>
      </c>
      <c r="H3232" t="s">
        <v>51</v>
      </c>
      <c r="I3232" t="s">
        <v>28</v>
      </c>
      <c r="J3232">
        <v>708.43499999999995</v>
      </c>
      <c r="K3232">
        <v>0.04</v>
      </c>
      <c r="L3232">
        <v>0.44</v>
      </c>
      <c r="M3232">
        <v>31.465</v>
      </c>
      <c r="N3232">
        <v>-2374.7359999999999</v>
      </c>
      <c r="O3232" s="1" t="s">
        <v>53</v>
      </c>
      <c r="P3232" s="1" t="s">
        <v>2890</v>
      </c>
      <c r="Q3232" s="1" t="s">
        <v>2891</v>
      </c>
      <c r="R3232" s="1" t="s">
        <v>440</v>
      </c>
      <c r="S3232" s="1" t="s">
        <v>2892</v>
      </c>
      <c r="T3232" s="1" t="s">
        <v>2893</v>
      </c>
      <c r="U3232" s="2" t="s">
        <v>2721</v>
      </c>
      <c r="V3232" s="2" t="s">
        <v>83</v>
      </c>
      <c r="W3232" s="2" t="s">
        <v>178</v>
      </c>
      <c r="X3232" s="2">
        <v>79.52</v>
      </c>
    </row>
    <row r="3233" spans="1:24" x14ac:dyDescent="0.3">
      <c r="A3233">
        <v>21087</v>
      </c>
      <c r="B3233" t="s">
        <v>8192</v>
      </c>
      <c r="C3233" s="3">
        <v>41540</v>
      </c>
      <c r="D3233" t="s">
        <v>25</v>
      </c>
      <c r="E3233">
        <v>23</v>
      </c>
      <c r="F3233" s="3">
        <f ca="1">41542+(RANDBETWEEN(1,10))</f>
        <v>41546</v>
      </c>
      <c r="G3233" t="s">
        <v>26</v>
      </c>
      <c r="H3233" t="s">
        <v>96</v>
      </c>
      <c r="I3233" t="s">
        <v>86</v>
      </c>
      <c r="J3233">
        <v>327.35500000000002</v>
      </c>
      <c r="K3233">
        <v>7.0000000000000007E-2</v>
      </c>
      <c r="L3233">
        <v>0.44</v>
      </c>
      <c r="M3233">
        <v>4.2</v>
      </c>
      <c r="N3233">
        <v>133.38499999999999</v>
      </c>
      <c r="O3233" s="1" t="s">
        <v>225</v>
      </c>
      <c r="P3233" s="1" t="s">
        <v>8193</v>
      </c>
      <c r="Q3233" s="1" t="s">
        <v>8194</v>
      </c>
      <c r="R3233" s="1" t="s">
        <v>228</v>
      </c>
      <c r="S3233" s="1" t="s">
        <v>6525</v>
      </c>
      <c r="T3233" s="1" t="s">
        <v>6526</v>
      </c>
      <c r="U3233" s="2" t="s">
        <v>103</v>
      </c>
      <c r="V3233" s="2" t="s">
        <v>47</v>
      </c>
      <c r="W3233" s="2" t="s">
        <v>104</v>
      </c>
      <c r="X3233" s="2">
        <v>14.91</v>
      </c>
    </row>
    <row r="3234" spans="1:24" x14ac:dyDescent="0.3">
      <c r="A3234">
        <v>21088</v>
      </c>
      <c r="B3234" t="s">
        <v>8192</v>
      </c>
      <c r="C3234" s="3">
        <v>41540</v>
      </c>
      <c r="D3234" t="s">
        <v>25</v>
      </c>
      <c r="E3234">
        <v>8</v>
      </c>
      <c r="F3234" s="3">
        <f ca="1">41545+(RANDBETWEEN(1,10))</f>
        <v>41546</v>
      </c>
      <c r="G3234" t="s">
        <v>26</v>
      </c>
      <c r="H3234" t="s">
        <v>96</v>
      </c>
      <c r="I3234" t="s">
        <v>86</v>
      </c>
      <c r="J3234">
        <v>79.45</v>
      </c>
      <c r="K3234">
        <v>0.09</v>
      </c>
      <c r="L3234">
        <v>0.55000000000000004</v>
      </c>
      <c r="M3234">
        <v>3.5350000000000001</v>
      </c>
      <c r="N3234">
        <v>-5.67</v>
      </c>
      <c r="O3234" s="1" t="s">
        <v>225</v>
      </c>
      <c r="P3234" s="1" t="s">
        <v>8195</v>
      </c>
      <c r="Q3234" s="1" t="s">
        <v>8196</v>
      </c>
      <c r="R3234" s="1" t="s">
        <v>391</v>
      </c>
      <c r="S3234" s="1" t="s">
        <v>2285</v>
      </c>
      <c r="T3234" s="1" t="s">
        <v>2286</v>
      </c>
      <c r="U3234" s="2" t="s">
        <v>4714</v>
      </c>
      <c r="V3234" s="2" t="s">
        <v>47</v>
      </c>
      <c r="W3234" s="2" t="s">
        <v>104</v>
      </c>
      <c r="X3234" s="2">
        <v>10.08</v>
      </c>
    </row>
    <row r="3235" spans="1:24" x14ac:dyDescent="0.3">
      <c r="A3235">
        <v>21089</v>
      </c>
      <c r="B3235" t="s">
        <v>8197</v>
      </c>
      <c r="C3235" s="3">
        <v>41121</v>
      </c>
      <c r="D3235" t="s">
        <v>39</v>
      </c>
      <c r="E3235">
        <v>15</v>
      </c>
      <c r="F3235" s="3">
        <f ca="1">41121+(RANDBETWEEN(1,10))</f>
        <v>41125</v>
      </c>
      <c r="G3235" t="s">
        <v>26</v>
      </c>
      <c r="H3235" t="s">
        <v>27</v>
      </c>
      <c r="I3235" t="s">
        <v>28</v>
      </c>
      <c r="J3235">
        <v>499.1</v>
      </c>
      <c r="K3235">
        <v>0.1</v>
      </c>
      <c r="L3235">
        <v>0.55000000000000004</v>
      </c>
      <c r="M3235">
        <v>21.77</v>
      </c>
      <c r="N3235">
        <v>-279.02</v>
      </c>
      <c r="O3235" s="1" t="s">
        <v>53</v>
      </c>
      <c r="P3235" s="1" t="s">
        <v>3204</v>
      </c>
      <c r="Q3235" s="1" t="s">
        <v>3205</v>
      </c>
      <c r="R3235" s="1" t="s">
        <v>100</v>
      </c>
      <c r="S3235" s="1" t="s">
        <v>3206</v>
      </c>
      <c r="T3235" s="1" t="s">
        <v>3207</v>
      </c>
      <c r="U3235" s="2" t="s">
        <v>1422</v>
      </c>
      <c r="V3235" s="2" t="s">
        <v>83</v>
      </c>
      <c r="W3235" s="2" t="s">
        <v>178</v>
      </c>
      <c r="X3235" s="2">
        <v>33.774999999999999</v>
      </c>
    </row>
    <row r="3236" spans="1:24" x14ac:dyDescent="0.3">
      <c r="A3236">
        <v>21090</v>
      </c>
      <c r="B3236" t="s">
        <v>8197</v>
      </c>
      <c r="C3236" s="3">
        <v>41121</v>
      </c>
      <c r="D3236" t="s">
        <v>39</v>
      </c>
      <c r="E3236">
        <v>6</v>
      </c>
      <c r="F3236" s="3">
        <f ca="1">41122+(RANDBETWEEN(1,10))</f>
        <v>41127</v>
      </c>
      <c r="G3236" t="s">
        <v>26</v>
      </c>
      <c r="H3236" t="s">
        <v>27</v>
      </c>
      <c r="I3236" t="s">
        <v>28</v>
      </c>
      <c r="J3236">
        <v>541.13499999999999</v>
      </c>
      <c r="K3236">
        <v>0.04</v>
      </c>
      <c r="L3236">
        <v>0.39</v>
      </c>
      <c r="M3236">
        <v>45.43</v>
      </c>
      <c r="N3236">
        <v>34.361249999999998</v>
      </c>
      <c r="O3236" s="1" t="s">
        <v>40</v>
      </c>
      <c r="P3236" s="1" t="s">
        <v>8198</v>
      </c>
      <c r="Q3236" s="1" t="s">
        <v>8199</v>
      </c>
      <c r="R3236" s="1" t="s">
        <v>220</v>
      </c>
      <c r="S3236" s="1" t="s">
        <v>6206</v>
      </c>
      <c r="T3236" s="1" t="s">
        <v>6207</v>
      </c>
      <c r="U3236" s="2" t="s">
        <v>559</v>
      </c>
      <c r="V3236" s="2" t="s">
        <v>47</v>
      </c>
      <c r="W3236" s="2" t="s">
        <v>111</v>
      </c>
      <c r="X3236" s="2">
        <v>87.22</v>
      </c>
    </row>
    <row r="3237" spans="1:24" x14ac:dyDescent="0.3">
      <c r="A3237">
        <v>21091</v>
      </c>
      <c r="B3237" t="s">
        <v>8200</v>
      </c>
      <c r="C3237" s="3">
        <v>41554</v>
      </c>
      <c r="D3237" t="s">
        <v>25</v>
      </c>
      <c r="E3237">
        <v>20</v>
      </c>
      <c r="F3237" s="3">
        <f ca="1">41563+(RANDBETWEEN(1,10))</f>
        <v>41566</v>
      </c>
      <c r="G3237" t="s">
        <v>26</v>
      </c>
      <c r="H3237" t="s">
        <v>96</v>
      </c>
      <c r="I3237" t="s">
        <v>28</v>
      </c>
      <c r="J3237">
        <v>440.72</v>
      </c>
      <c r="K3237">
        <v>0.03</v>
      </c>
      <c r="L3237">
        <v>0.35</v>
      </c>
      <c r="M3237">
        <v>6.37</v>
      </c>
      <c r="N3237">
        <v>270.80200000000002</v>
      </c>
      <c r="O3237" s="1" t="s">
        <v>87</v>
      </c>
      <c r="P3237" s="1" t="s">
        <v>8201</v>
      </c>
      <c r="Q3237" s="1" t="s">
        <v>8202</v>
      </c>
      <c r="R3237" s="1" t="s">
        <v>398</v>
      </c>
      <c r="S3237" s="1" t="s">
        <v>8203</v>
      </c>
      <c r="T3237" s="1" t="s">
        <v>8204</v>
      </c>
      <c r="U3237" s="2" t="s">
        <v>748</v>
      </c>
      <c r="V3237" s="2" t="s">
        <v>47</v>
      </c>
      <c r="W3237" s="2" t="s">
        <v>176</v>
      </c>
      <c r="X3237" s="2">
        <v>21.28</v>
      </c>
    </row>
    <row r="3238" spans="1:24" x14ac:dyDescent="0.3">
      <c r="A3238">
        <v>21092</v>
      </c>
      <c r="B3238" t="s">
        <v>8205</v>
      </c>
      <c r="C3238" s="3">
        <v>41887</v>
      </c>
      <c r="D3238" t="s">
        <v>148</v>
      </c>
      <c r="E3238">
        <v>2</v>
      </c>
      <c r="F3238" s="3">
        <f ca="1">41888+(RANDBETWEEN(1,10))</f>
        <v>41896</v>
      </c>
      <c r="G3238" t="s">
        <v>26</v>
      </c>
      <c r="H3238" t="s">
        <v>27</v>
      </c>
      <c r="I3238" t="s">
        <v>86</v>
      </c>
      <c r="J3238">
        <v>97.965000000000003</v>
      </c>
      <c r="K3238">
        <v>0.09</v>
      </c>
      <c r="L3238">
        <v>0.38</v>
      </c>
      <c r="M3238">
        <v>25.094999999999999</v>
      </c>
      <c r="N3238">
        <v>2655.9749999999999</v>
      </c>
      <c r="O3238" s="1" t="s">
        <v>29</v>
      </c>
      <c r="P3238" s="1" t="s">
        <v>7371</v>
      </c>
      <c r="Q3238" s="1" t="s">
        <v>7372</v>
      </c>
      <c r="R3238" s="1" t="s">
        <v>675</v>
      </c>
      <c r="S3238" s="1" t="s">
        <v>7373</v>
      </c>
      <c r="T3238" s="1" t="s">
        <v>7374</v>
      </c>
      <c r="U3238" s="2" t="s">
        <v>966</v>
      </c>
      <c r="V3238" s="2" t="s">
        <v>47</v>
      </c>
      <c r="W3238" s="2" t="s">
        <v>111</v>
      </c>
      <c r="X3238" s="2">
        <v>43.854999999999997</v>
      </c>
    </row>
    <row r="3239" spans="1:24" x14ac:dyDescent="0.3">
      <c r="A3239">
        <v>21093</v>
      </c>
      <c r="B3239" t="s">
        <v>8205</v>
      </c>
      <c r="C3239" s="3">
        <v>41887</v>
      </c>
      <c r="D3239" t="s">
        <v>148</v>
      </c>
      <c r="E3239">
        <v>5</v>
      </c>
      <c r="F3239" s="3">
        <f ca="1">41890+(RANDBETWEEN(1,10))</f>
        <v>41898</v>
      </c>
      <c r="G3239" t="s">
        <v>26</v>
      </c>
      <c r="H3239" t="s">
        <v>27</v>
      </c>
      <c r="I3239" t="s">
        <v>86</v>
      </c>
      <c r="J3239">
        <v>339.745</v>
      </c>
      <c r="K3239">
        <v>0.06</v>
      </c>
      <c r="L3239">
        <v>0.68</v>
      </c>
      <c r="M3239">
        <v>14</v>
      </c>
      <c r="N3239">
        <v>260.904</v>
      </c>
      <c r="O3239" s="1" t="s">
        <v>29</v>
      </c>
      <c r="P3239" s="1" t="s">
        <v>7371</v>
      </c>
      <c r="Q3239" s="1" t="s">
        <v>7372</v>
      </c>
      <c r="R3239" s="1" t="s">
        <v>675</v>
      </c>
      <c r="S3239" s="1" t="s">
        <v>7373</v>
      </c>
      <c r="T3239" s="1" t="s">
        <v>7374</v>
      </c>
      <c r="U3239" s="2" t="s">
        <v>2334</v>
      </c>
      <c r="V3239" s="2" t="s">
        <v>36</v>
      </c>
      <c r="W3239" s="2" t="s">
        <v>60</v>
      </c>
      <c r="X3239" s="2">
        <v>69.930000000000007</v>
      </c>
    </row>
    <row r="3240" spans="1:24" x14ac:dyDescent="0.3">
      <c r="A3240">
        <v>21094</v>
      </c>
      <c r="B3240" t="s">
        <v>8205</v>
      </c>
      <c r="C3240" s="3">
        <v>41887</v>
      </c>
      <c r="D3240" t="s">
        <v>148</v>
      </c>
      <c r="E3240">
        <v>25</v>
      </c>
      <c r="F3240" s="3">
        <f ca="1">41889+(RANDBETWEEN(1,10))</f>
        <v>41895</v>
      </c>
      <c r="G3240" t="s">
        <v>156</v>
      </c>
      <c r="H3240" t="s">
        <v>63</v>
      </c>
      <c r="I3240" t="s">
        <v>86</v>
      </c>
      <c r="J3240">
        <v>4140.5349999999999</v>
      </c>
      <c r="K3240">
        <v>0.09</v>
      </c>
      <c r="L3240">
        <v>0.56999999999999995</v>
      </c>
      <c r="M3240">
        <v>35.875</v>
      </c>
      <c r="N3240">
        <v>1161.2370000000001</v>
      </c>
      <c r="O3240" s="1" t="s">
        <v>29</v>
      </c>
      <c r="P3240" s="1" t="s">
        <v>7371</v>
      </c>
      <c r="Q3240" s="1" t="s">
        <v>7372</v>
      </c>
      <c r="R3240" s="1" t="s">
        <v>675</v>
      </c>
      <c r="S3240" s="1" t="s">
        <v>7373</v>
      </c>
      <c r="T3240" s="1" t="s">
        <v>7374</v>
      </c>
      <c r="U3240" s="2" t="s">
        <v>4011</v>
      </c>
      <c r="V3240" s="2" t="s">
        <v>83</v>
      </c>
      <c r="W3240" s="2" t="s">
        <v>178</v>
      </c>
      <c r="X3240" s="2">
        <v>172.69</v>
      </c>
    </row>
    <row r="3241" spans="1:24" x14ac:dyDescent="0.3">
      <c r="A3241">
        <v>21095</v>
      </c>
      <c r="B3241" t="s">
        <v>8206</v>
      </c>
      <c r="C3241" s="3">
        <v>41752</v>
      </c>
      <c r="D3241" t="s">
        <v>148</v>
      </c>
      <c r="E3241">
        <v>8</v>
      </c>
      <c r="F3241" s="3">
        <f ca="1">41753+(RANDBETWEEN(1,10))</f>
        <v>41759</v>
      </c>
      <c r="G3241" t="s">
        <v>26</v>
      </c>
      <c r="H3241" t="s">
        <v>96</v>
      </c>
      <c r="I3241" t="s">
        <v>28</v>
      </c>
      <c r="J3241">
        <v>165.41</v>
      </c>
      <c r="K3241">
        <v>0.06</v>
      </c>
      <c r="L3241">
        <v>0.38</v>
      </c>
      <c r="M3241">
        <v>3.5</v>
      </c>
      <c r="N3241">
        <v>114.13290000000001</v>
      </c>
      <c r="O3241" s="1" t="s">
        <v>29</v>
      </c>
      <c r="P3241" s="1" t="s">
        <v>8207</v>
      </c>
      <c r="Q3241" s="1" t="s">
        <v>8208</v>
      </c>
      <c r="R3241" s="1" t="s">
        <v>32</v>
      </c>
      <c r="S3241" s="1" t="s">
        <v>8209</v>
      </c>
      <c r="T3241" s="1" t="s">
        <v>8210</v>
      </c>
      <c r="U3241" s="2" t="s">
        <v>3510</v>
      </c>
      <c r="V3241" s="2" t="s">
        <v>47</v>
      </c>
      <c r="W3241" s="2" t="s">
        <v>104</v>
      </c>
      <c r="X3241" s="2">
        <v>20.440000000000001</v>
      </c>
    </row>
    <row r="3242" spans="1:24" x14ac:dyDescent="0.3">
      <c r="A3242">
        <v>21096</v>
      </c>
      <c r="B3242" t="s">
        <v>8211</v>
      </c>
      <c r="C3242" s="3">
        <v>40829</v>
      </c>
      <c r="D3242" t="s">
        <v>39</v>
      </c>
      <c r="E3242">
        <v>17</v>
      </c>
      <c r="F3242" s="3">
        <f ca="1">40831+(RANDBETWEEN(1,10))</f>
        <v>40834</v>
      </c>
      <c r="G3242" t="s">
        <v>26</v>
      </c>
      <c r="H3242" t="s">
        <v>27</v>
      </c>
      <c r="I3242" t="s">
        <v>97</v>
      </c>
      <c r="J3242">
        <v>1830.71</v>
      </c>
      <c r="K3242">
        <v>0.01</v>
      </c>
      <c r="L3242">
        <v>0.74</v>
      </c>
      <c r="M3242">
        <v>14</v>
      </c>
      <c r="N3242">
        <v>59.8598</v>
      </c>
      <c r="O3242" s="1" t="s">
        <v>29</v>
      </c>
      <c r="P3242" s="1" t="s">
        <v>7990</v>
      </c>
      <c r="Q3242" s="1" t="s">
        <v>7991</v>
      </c>
      <c r="R3242" s="1" t="s">
        <v>32</v>
      </c>
      <c r="S3242" s="1" t="s">
        <v>7992</v>
      </c>
      <c r="T3242" s="1" t="s">
        <v>7993</v>
      </c>
      <c r="U3242" s="2" t="s">
        <v>2704</v>
      </c>
      <c r="V3242" s="2" t="s">
        <v>36</v>
      </c>
      <c r="W3242" s="2" t="s">
        <v>60</v>
      </c>
      <c r="X3242" s="2">
        <v>108.395</v>
      </c>
    </row>
    <row r="3243" spans="1:24" x14ac:dyDescent="0.3">
      <c r="A3243">
        <v>21097</v>
      </c>
      <c r="B3243" t="s">
        <v>8211</v>
      </c>
      <c r="C3243" s="3">
        <v>40829</v>
      </c>
      <c r="D3243" t="s">
        <v>39</v>
      </c>
      <c r="E3243">
        <v>23</v>
      </c>
      <c r="F3243" s="3">
        <f ca="1">40831+(RANDBETWEEN(1,10))</f>
        <v>40833</v>
      </c>
      <c r="G3243" t="s">
        <v>26</v>
      </c>
      <c r="H3243" t="s">
        <v>27</v>
      </c>
      <c r="I3243" t="s">
        <v>97</v>
      </c>
      <c r="J3243">
        <v>8486.3799999999992</v>
      </c>
      <c r="K3243">
        <v>0.08</v>
      </c>
      <c r="L3243">
        <v>0.57999999999999996</v>
      </c>
      <c r="M3243">
        <v>26.914999999999999</v>
      </c>
      <c r="N3243">
        <v>4442.8368600000003</v>
      </c>
      <c r="O3243" s="1" t="s">
        <v>29</v>
      </c>
      <c r="P3243" s="1" t="s">
        <v>7990</v>
      </c>
      <c r="Q3243" s="1" t="s">
        <v>7991</v>
      </c>
      <c r="R3243" s="1" t="s">
        <v>32</v>
      </c>
      <c r="S3243" s="1" t="s">
        <v>7992</v>
      </c>
      <c r="T3243" s="1" t="s">
        <v>7993</v>
      </c>
      <c r="U3243" s="2" t="s">
        <v>2511</v>
      </c>
      <c r="V3243" s="2" t="s">
        <v>36</v>
      </c>
      <c r="W3243" s="2" t="s">
        <v>37</v>
      </c>
      <c r="X3243" s="2">
        <v>440.96499999999997</v>
      </c>
    </row>
    <row r="3244" spans="1:24" x14ac:dyDescent="0.3">
      <c r="A3244">
        <v>21098</v>
      </c>
      <c r="B3244" t="s">
        <v>8212</v>
      </c>
      <c r="C3244" s="3">
        <v>41536</v>
      </c>
      <c r="D3244" t="s">
        <v>62</v>
      </c>
      <c r="E3244">
        <v>18</v>
      </c>
      <c r="F3244" s="3">
        <f ca="1">41538+(RANDBETWEEN(1,10))</f>
        <v>41545</v>
      </c>
      <c r="G3244" t="s">
        <v>26</v>
      </c>
      <c r="H3244" t="s">
        <v>96</v>
      </c>
      <c r="I3244" t="s">
        <v>28</v>
      </c>
      <c r="J3244">
        <v>1759.625</v>
      </c>
      <c r="K3244">
        <v>0.1</v>
      </c>
      <c r="L3244">
        <v>0.38</v>
      </c>
      <c r="M3244">
        <v>17.010000000000002</v>
      </c>
      <c r="N3244">
        <v>-208.005</v>
      </c>
      <c r="O3244" s="1" t="s">
        <v>40</v>
      </c>
      <c r="P3244" s="1" t="s">
        <v>6837</v>
      </c>
      <c r="Q3244" s="1" t="s">
        <v>6838</v>
      </c>
      <c r="R3244" s="1" t="s">
        <v>43</v>
      </c>
      <c r="S3244" s="1" t="s">
        <v>6839</v>
      </c>
      <c r="T3244" s="1" t="s">
        <v>6840</v>
      </c>
      <c r="U3244" s="2" t="s">
        <v>8213</v>
      </c>
      <c r="V3244" s="2" t="s">
        <v>47</v>
      </c>
      <c r="W3244" s="2" t="s">
        <v>74</v>
      </c>
      <c r="X3244" s="2">
        <v>101.99</v>
      </c>
    </row>
    <row r="3245" spans="1:24" x14ac:dyDescent="0.3">
      <c r="A3245">
        <v>21099</v>
      </c>
      <c r="B3245" t="s">
        <v>8214</v>
      </c>
      <c r="C3245" s="3">
        <v>41550</v>
      </c>
      <c r="D3245" t="s">
        <v>50</v>
      </c>
      <c r="E3245">
        <v>15</v>
      </c>
      <c r="F3245" s="3">
        <f ca="1">41552+(RANDBETWEEN(1,10))</f>
        <v>41554</v>
      </c>
      <c r="G3245" t="s">
        <v>26</v>
      </c>
      <c r="H3245" t="s">
        <v>27</v>
      </c>
      <c r="I3245" t="s">
        <v>52</v>
      </c>
      <c r="J3245">
        <v>1651.02</v>
      </c>
      <c r="K3245">
        <v>0.08</v>
      </c>
      <c r="L3245">
        <v>0.4</v>
      </c>
      <c r="M3245">
        <v>69.965000000000003</v>
      </c>
      <c r="N3245">
        <v>51.113999999999997</v>
      </c>
      <c r="O3245" s="1" t="s">
        <v>225</v>
      </c>
      <c r="P3245" s="1" t="s">
        <v>557</v>
      </c>
      <c r="Q3245" s="1" t="s">
        <v>558</v>
      </c>
      <c r="R3245" s="1" t="s">
        <v>228</v>
      </c>
      <c r="S3245" s="1" t="s">
        <v>349</v>
      </c>
      <c r="T3245" s="1" t="s">
        <v>350</v>
      </c>
      <c r="U3245" s="2" t="s">
        <v>8215</v>
      </c>
      <c r="V3245" s="2" t="s">
        <v>47</v>
      </c>
      <c r="W3245" s="2" t="s">
        <v>74</v>
      </c>
      <c r="X3245" s="2">
        <v>108.43</v>
      </c>
    </row>
    <row r="3246" spans="1:24" x14ac:dyDescent="0.3">
      <c r="A3246">
        <v>21100</v>
      </c>
      <c r="B3246" t="s">
        <v>8214</v>
      </c>
      <c r="C3246" s="3">
        <v>41550</v>
      </c>
      <c r="D3246" t="s">
        <v>50</v>
      </c>
      <c r="E3246">
        <v>23</v>
      </c>
      <c r="F3246" s="3">
        <f ca="1">41551+(RANDBETWEEN(1,10))</f>
        <v>41555</v>
      </c>
      <c r="G3246" t="s">
        <v>76</v>
      </c>
      <c r="H3246" t="s">
        <v>258</v>
      </c>
      <c r="I3246" t="s">
        <v>52</v>
      </c>
      <c r="J3246">
        <v>24824.555</v>
      </c>
      <c r="K3246">
        <v>0</v>
      </c>
      <c r="L3246">
        <v>0.74</v>
      </c>
      <c r="M3246">
        <v>299.70499999999998</v>
      </c>
      <c r="N3246">
        <v>-574.09379999999999</v>
      </c>
      <c r="O3246" s="1" t="s">
        <v>225</v>
      </c>
      <c r="P3246" s="1" t="s">
        <v>557</v>
      </c>
      <c r="Q3246" s="1" t="s">
        <v>558</v>
      </c>
      <c r="R3246" s="1" t="s">
        <v>228</v>
      </c>
      <c r="S3246" s="1" t="s">
        <v>349</v>
      </c>
      <c r="T3246" s="1" t="s">
        <v>350</v>
      </c>
      <c r="U3246" s="2" t="s">
        <v>3542</v>
      </c>
      <c r="V3246" s="2" t="s">
        <v>83</v>
      </c>
      <c r="W3246" s="2" t="s">
        <v>263</v>
      </c>
      <c r="X3246" s="2">
        <v>1316.4549999999999</v>
      </c>
    </row>
    <row r="3247" spans="1:24" x14ac:dyDescent="0.3">
      <c r="A3247">
        <v>21101</v>
      </c>
      <c r="B3247" t="s">
        <v>8216</v>
      </c>
      <c r="C3247" s="3">
        <v>41169</v>
      </c>
      <c r="D3247" t="s">
        <v>148</v>
      </c>
      <c r="E3247">
        <v>9</v>
      </c>
      <c r="F3247" s="3">
        <f ca="1">41170+(RANDBETWEEN(1,10))</f>
        <v>41179</v>
      </c>
      <c r="G3247" t="s">
        <v>26</v>
      </c>
      <c r="H3247" t="s">
        <v>27</v>
      </c>
      <c r="I3247" t="s">
        <v>97</v>
      </c>
      <c r="J3247">
        <v>192.67500000000001</v>
      </c>
      <c r="K3247">
        <v>0.01</v>
      </c>
      <c r="L3247">
        <v>0.39</v>
      </c>
      <c r="M3247">
        <v>5.2149999999999999</v>
      </c>
      <c r="N3247">
        <v>94.129000000000005</v>
      </c>
      <c r="O3247" s="1" t="s">
        <v>64</v>
      </c>
      <c r="P3247" s="1" t="s">
        <v>8217</v>
      </c>
      <c r="Q3247" s="1" t="s">
        <v>8218</v>
      </c>
      <c r="R3247" s="1" t="s">
        <v>67</v>
      </c>
      <c r="S3247" s="1" t="s">
        <v>7405</v>
      </c>
      <c r="T3247" s="1" t="s">
        <v>8219</v>
      </c>
      <c r="U3247" s="2" t="s">
        <v>1062</v>
      </c>
      <c r="V3247" s="2" t="s">
        <v>47</v>
      </c>
      <c r="W3247" s="2" t="s">
        <v>111</v>
      </c>
      <c r="X3247" s="2">
        <v>20.93</v>
      </c>
    </row>
    <row r="3248" spans="1:24" x14ac:dyDescent="0.3">
      <c r="A3248">
        <v>21102</v>
      </c>
      <c r="B3248" t="s">
        <v>8220</v>
      </c>
      <c r="C3248" s="3">
        <v>40709</v>
      </c>
      <c r="D3248" t="s">
        <v>50</v>
      </c>
      <c r="E3248">
        <v>19</v>
      </c>
      <c r="F3248" s="3">
        <f ca="1">40711+(RANDBETWEEN(1,10))</f>
        <v>40715</v>
      </c>
      <c r="G3248" t="s">
        <v>26</v>
      </c>
      <c r="H3248" t="s">
        <v>27</v>
      </c>
      <c r="I3248" t="s">
        <v>97</v>
      </c>
      <c r="J3248">
        <v>438.79500000000002</v>
      </c>
      <c r="K3248">
        <v>0.04</v>
      </c>
      <c r="L3248">
        <v>0.37</v>
      </c>
      <c r="M3248">
        <v>33.39</v>
      </c>
      <c r="N3248">
        <v>-783.80399999999997</v>
      </c>
      <c r="O3248" s="1" t="s">
        <v>29</v>
      </c>
      <c r="P3248" s="1" t="s">
        <v>8221</v>
      </c>
      <c r="Q3248" s="1" t="s">
        <v>8222</v>
      </c>
      <c r="R3248" s="1" t="s">
        <v>32</v>
      </c>
      <c r="S3248" s="1" t="s">
        <v>8223</v>
      </c>
      <c r="T3248" s="1" t="s">
        <v>8224</v>
      </c>
      <c r="U3248" s="2" t="s">
        <v>272</v>
      </c>
      <c r="V3248" s="2" t="s">
        <v>47</v>
      </c>
      <c r="W3248" s="2" t="s">
        <v>74</v>
      </c>
      <c r="X3248" s="2">
        <v>22.68</v>
      </c>
    </row>
    <row r="3249" spans="1:24" x14ac:dyDescent="0.3">
      <c r="A3249">
        <v>21103</v>
      </c>
      <c r="B3249" t="s">
        <v>8225</v>
      </c>
      <c r="C3249" s="3">
        <v>40558</v>
      </c>
      <c r="D3249" t="s">
        <v>62</v>
      </c>
      <c r="E3249">
        <v>2</v>
      </c>
      <c r="F3249" s="3">
        <f ca="1">40559+(RANDBETWEEN(1,10))</f>
        <v>40564</v>
      </c>
      <c r="G3249" t="s">
        <v>26</v>
      </c>
      <c r="H3249" t="s">
        <v>96</v>
      </c>
      <c r="I3249" t="s">
        <v>52</v>
      </c>
      <c r="J3249">
        <v>19.25</v>
      </c>
      <c r="K3249">
        <v>0.09</v>
      </c>
      <c r="L3249">
        <v>0.56000000000000005</v>
      </c>
      <c r="M3249">
        <v>2.4500000000000002</v>
      </c>
      <c r="N3249">
        <v>-604.51300000000003</v>
      </c>
      <c r="O3249" s="1" t="s">
        <v>40</v>
      </c>
      <c r="P3249" s="1" t="s">
        <v>8226</v>
      </c>
      <c r="Q3249" s="1" t="s">
        <v>8227</v>
      </c>
      <c r="R3249" s="1" t="s">
        <v>43</v>
      </c>
      <c r="S3249" s="1" t="s">
        <v>8228</v>
      </c>
      <c r="T3249" s="1" t="s">
        <v>8229</v>
      </c>
      <c r="U3249" s="2" t="s">
        <v>1393</v>
      </c>
      <c r="V3249" s="2" t="s">
        <v>47</v>
      </c>
      <c r="W3249" s="2" t="s">
        <v>104</v>
      </c>
      <c r="X3249" s="2">
        <v>10.08</v>
      </c>
    </row>
    <row r="3250" spans="1:24" x14ac:dyDescent="0.3">
      <c r="A3250">
        <v>21104</v>
      </c>
      <c r="B3250" t="s">
        <v>8230</v>
      </c>
      <c r="C3250" s="3">
        <v>41765</v>
      </c>
      <c r="D3250" t="s">
        <v>39</v>
      </c>
      <c r="E3250">
        <v>12</v>
      </c>
      <c r="F3250" s="3">
        <f ca="1">41767+(RANDBETWEEN(1,10))</f>
        <v>41773</v>
      </c>
      <c r="G3250" t="s">
        <v>26</v>
      </c>
      <c r="H3250" t="s">
        <v>27</v>
      </c>
      <c r="I3250" t="s">
        <v>97</v>
      </c>
      <c r="J3250">
        <v>6109.5649999999996</v>
      </c>
      <c r="K3250">
        <v>0.1</v>
      </c>
      <c r="L3250">
        <v>0.79</v>
      </c>
      <c r="M3250">
        <v>14</v>
      </c>
      <c r="N3250">
        <v>51.975000000000001</v>
      </c>
      <c r="O3250" s="1" t="s">
        <v>40</v>
      </c>
      <c r="P3250" s="1" t="s">
        <v>7478</v>
      </c>
      <c r="Q3250" s="1" t="s">
        <v>7479</v>
      </c>
      <c r="R3250" s="1" t="s">
        <v>43</v>
      </c>
      <c r="S3250" s="1" t="s">
        <v>7480</v>
      </c>
      <c r="T3250" s="1" t="s">
        <v>7481</v>
      </c>
      <c r="U3250" s="2" t="s">
        <v>192</v>
      </c>
      <c r="V3250" s="2" t="s">
        <v>36</v>
      </c>
      <c r="W3250" s="2" t="s">
        <v>60</v>
      </c>
      <c r="X3250" s="2">
        <v>533.67999999999995</v>
      </c>
    </row>
    <row r="3251" spans="1:24" x14ac:dyDescent="0.3">
      <c r="A3251">
        <v>21105</v>
      </c>
      <c r="B3251" t="s">
        <v>8230</v>
      </c>
      <c r="C3251" s="3">
        <v>41765</v>
      </c>
      <c r="D3251" t="s">
        <v>39</v>
      </c>
      <c r="E3251">
        <v>10</v>
      </c>
      <c r="F3251" s="3">
        <f ca="1">41767+(RANDBETWEEN(1,10))</f>
        <v>41774</v>
      </c>
      <c r="G3251" t="s">
        <v>26</v>
      </c>
      <c r="H3251" t="s">
        <v>51</v>
      </c>
      <c r="I3251" t="s">
        <v>97</v>
      </c>
      <c r="J3251">
        <v>1208.6199999999999</v>
      </c>
      <c r="K3251">
        <v>0.08</v>
      </c>
      <c r="L3251">
        <v>0.43</v>
      </c>
      <c r="M3251">
        <v>6.9649999999999999</v>
      </c>
      <c r="N3251">
        <v>833.94780000000003</v>
      </c>
      <c r="O3251" s="1" t="s">
        <v>40</v>
      </c>
      <c r="P3251" s="1" t="s">
        <v>7478</v>
      </c>
      <c r="Q3251" s="1" t="s">
        <v>7479</v>
      </c>
      <c r="R3251" s="1" t="s">
        <v>43</v>
      </c>
      <c r="S3251" s="1" t="s">
        <v>7480</v>
      </c>
      <c r="T3251" s="1" t="s">
        <v>7481</v>
      </c>
      <c r="U3251" s="2" t="s">
        <v>2995</v>
      </c>
      <c r="V3251" s="2" t="s">
        <v>36</v>
      </c>
      <c r="W3251" s="2" t="s">
        <v>60</v>
      </c>
      <c r="X3251" s="2">
        <v>123.935</v>
      </c>
    </row>
    <row r="3252" spans="1:24" x14ac:dyDescent="0.3">
      <c r="A3252">
        <v>21106</v>
      </c>
      <c r="B3252" t="s">
        <v>8231</v>
      </c>
      <c r="C3252" s="3">
        <v>41995</v>
      </c>
      <c r="D3252" t="s">
        <v>50</v>
      </c>
      <c r="E3252">
        <v>22</v>
      </c>
      <c r="F3252" s="3">
        <f ca="1">41998+(RANDBETWEEN(1,10))</f>
        <v>42002</v>
      </c>
      <c r="G3252" t="s">
        <v>26</v>
      </c>
      <c r="H3252" t="s">
        <v>27</v>
      </c>
      <c r="I3252" t="s">
        <v>86</v>
      </c>
      <c r="J3252">
        <v>4411.5749999999998</v>
      </c>
      <c r="K3252">
        <v>0.03</v>
      </c>
      <c r="L3252">
        <v>0.36</v>
      </c>
      <c r="M3252">
        <v>37.625</v>
      </c>
      <c r="N3252">
        <v>3043.98675</v>
      </c>
      <c r="O3252" s="1" t="s">
        <v>53</v>
      </c>
      <c r="P3252" s="1" t="s">
        <v>1406</v>
      </c>
      <c r="Q3252" s="1" t="s">
        <v>1407</v>
      </c>
      <c r="R3252" s="1" t="s">
        <v>440</v>
      </c>
      <c r="S3252" s="1" t="s">
        <v>1408</v>
      </c>
      <c r="T3252" s="1" t="s">
        <v>1409</v>
      </c>
      <c r="U3252" s="2" t="s">
        <v>5401</v>
      </c>
      <c r="V3252" s="2" t="s">
        <v>47</v>
      </c>
      <c r="W3252" s="2" t="s">
        <v>74</v>
      </c>
      <c r="X3252" s="2">
        <v>192.36</v>
      </c>
    </row>
    <row r="3253" spans="1:24" x14ac:dyDescent="0.3">
      <c r="A3253">
        <v>21107</v>
      </c>
      <c r="B3253" t="s">
        <v>8232</v>
      </c>
      <c r="C3253" s="3">
        <v>41603</v>
      </c>
      <c r="D3253" t="s">
        <v>25</v>
      </c>
      <c r="E3253">
        <v>20</v>
      </c>
      <c r="F3253" s="3">
        <f ca="1">41607+(RANDBETWEEN(1,10))</f>
        <v>41609</v>
      </c>
      <c r="G3253" t="s">
        <v>26</v>
      </c>
      <c r="H3253" t="s">
        <v>96</v>
      </c>
      <c r="I3253" t="s">
        <v>52</v>
      </c>
      <c r="J3253">
        <v>117.355</v>
      </c>
      <c r="K3253">
        <v>0.1</v>
      </c>
      <c r="L3253">
        <v>0.56000000000000005</v>
      </c>
      <c r="M3253">
        <v>2.4500000000000002</v>
      </c>
      <c r="N3253">
        <v>36.015000000000001</v>
      </c>
      <c r="O3253" s="1" t="s">
        <v>87</v>
      </c>
      <c r="P3253" s="1" t="s">
        <v>4329</v>
      </c>
      <c r="Q3253" s="1" t="s">
        <v>4330</v>
      </c>
      <c r="R3253" s="1" t="s">
        <v>646</v>
      </c>
      <c r="S3253" s="1" t="s">
        <v>4331</v>
      </c>
      <c r="T3253" s="1" t="s">
        <v>4332</v>
      </c>
      <c r="U3253" s="2" t="s">
        <v>384</v>
      </c>
      <c r="V3253" s="2" t="s">
        <v>47</v>
      </c>
      <c r="W3253" s="2" t="s">
        <v>104</v>
      </c>
      <c r="X3253" s="2">
        <v>6.16</v>
      </c>
    </row>
    <row r="3254" spans="1:24" x14ac:dyDescent="0.3">
      <c r="A3254">
        <v>21108</v>
      </c>
      <c r="B3254" t="s">
        <v>8233</v>
      </c>
      <c r="C3254" s="3">
        <v>41043</v>
      </c>
      <c r="D3254" t="s">
        <v>148</v>
      </c>
      <c r="E3254">
        <v>13</v>
      </c>
      <c r="F3254" s="3">
        <f ca="1">41044+(RANDBETWEEN(1,10))</f>
        <v>41051</v>
      </c>
      <c r="G3254" t="s">
        <v>26</v>
      </c>
      <c r="H3254" t="s">
        <v>27</v>
      </c>
      <c r="I3254" t="s">
        <v>52</v>
      </c>
      <c r="J3254">
        <v>252.875</v>
      </c>
      <c r="K3254">
        <v>0.05</v>
      </c>
      <c r="L3254">
        <v>0.37</v>
      </c>
      <c r="M3254">
        <v>17.71</v>
      </c>
      <c r="N3254">
        <v>-220.39500000000001</v>
      </c>
      <c r="O3254" s="1" t="s">
        <v>29</v>
      </c>
      <c r="P3254" s="1" t="s">
        <v>8234</v>
      </c>
      <c r="Q3254" s="1" t="s">
        <v>8235</v>
      </c>
      <c r="R3254" s="1" t="s">
        <v>675</v>
      </c>
      <c r="S3254" s="1" t="s">
        <v>1324</v>
      </c>
      <c r="T3254" s="1" t="s">
        <v>1325</v>
      </c>
      <c r="U3254" s="2" t="s">
        <v>6427</v>
      </c>
      <c r="V3254" s="2" t="s">
        <v>47</v>
      </c>
      <c r="W3254" s="2" t="s">
        <v>74</v>
      </c>
      <c r="X3254" s="2">
        <v>18.48</v>
      </c>
    </row>
    <row r="3255" spans="1:24" x14ac:dyDescent="0.3">
      <c r="A3255">
        <v>21109</v>
      </c>
      <c r="B3255" t="s">
        <v>8233</v>
      </c>
      <c r="C3255" s="3">
        <v>41043</v>
      </c>
      <c r="D3255" t="s">
        <v>148</v>
      </c>
      <c r="E3255">
        <v>9</v>
      </c>
      <c r="F3255" s="3">
        <f ca="1">41044+(RANDBETWEEN(1,10))</f>
        <v>41054</v>
      </c>
      <c r="G3255" t="s">
        <v>26</v>
      </c>
      <c r="H3255" t="s">
        <v>27</v>
      </c>
      <c r="I3255" t="s">
        <v>52</v>
      </c>
      <c r="J3255">
        <v>1037.19</v>
      </c>
      <c r="K3255">
        <v>0.09</v>
      </c>
      <c r="L3255">
        <v>0.75</v>
      </c>
      <c r="M3255">
        <v>31.57</v>
      </c>
      <c r="N3255">
        <v>-746.13</v>
      </c>
      <c r="O3255" s="1" t="s">
        <v>87</v>
      </c>
      <c r="P3255" s="1" t="s">
        <v>8236</v>
      </c>
      <c r="Q3255" s="1" t="s">
        <v>8237</v>
      </c>
      <c r="R3255" s="1" t="s">
        <v>497</v>
      </c>
      <c r="S3255" s="1" t="s">
        <v>8238</v>
      </c>
      <c r="T3255" s="1" t="s">
        <v>8239</v>
      </c>
      <c r="U3255" s="2" t="s">
        <v>6246</v>
      </c>
      <c r="V3255" s="2" t="s">
        <v>36</v>
      </c>
      <c r="W3255" s="2" t="s">
        <v>60</v>
      </c>
      <c r="X3255" s="2">
        <v>125.19499999999999</v>
      </c>
    </row>
    <row r="3256" spans="1:24" x14ac:dyDescent="0.3">
      <c r="A3256">
        <v>21110</v>
      </c>
      <c r="B3256" t="s">
        <v>8240</v>
      </c>
      <c r="C3256" s="3">
        <v>40692</v>
      </c>
      <c r="D3256" t="s">
        <v>25</v>
      </c>
      <c r="E3256">
        <v>5</v>
      </c>
      <c r="F3256" s="3">
        <f ca="1">40699+(RANDBETWEEN(1,10))</f>
        <v>40702</v>
      </c>
      <c r="G3256" t="s">
        <v>26</v>
      </c>
      <c r="H3256" t="s">
        <v>51</v>
      </c>
      <c r="I3256" t="s">
        <v>86</v>
      </c>
      <c r="J3256">
        <v>325.36</v>
      </c>
      <c r="K3256">
        <v>0</v>
      </c>
      <c r="L3256">
        <v>0.81</v>
      </c>
      <c r="M3256">
        <v>11.55</v>
      </c>
      <c r="N3256">
        <v>-325.36349999999999</v>
      </c>
      <c r="O3256" s="1" t="s">
        <v>40</v>
      </c>
      <c r="P3256" s="1" t="s">
        <v>1037</v>
      </c>
      <c r="Q3256" s="1" t="s">
        <v>1038</v>
      </c>
      <c r="R3256" s="1" t="s">
        <v>220</v>
      </c>
      <c r="S3256" s="1" t="s">
        <v>1039</v>
      </c>
      <c r="T3256" s="1" t="s">
        <v>1040</v>
      </c>
      <c r="U3256" s="2" t="s">
        <v>2224</v>
      </c>
      <c r="V3256" s="2" t="s">
        <v>36</v>
      </c>
      <c r="W3256" s="2" t="s">
        <v>37</v>
      </c>
      <c r="X3256" s="2">
        <v>73.465000000000003</v>
      </c>
    </row>
    <row r="3257" spans="1:24" x14ac:dyDescent="0.3">
      <c r="A3257">
        <v>21111</v>
      </c>
      <c r="B3257" t="s">
        <v>8241</v>
      </c>
      <c r="C3257" s="3">
        <v>40958</v>
      </c>
      <c r="D3257" t="s">
        <v>148</v>
      </c>
      <c r="E3257">
        <v>1</v>
      </c>
      <c r="F3257" s="3">
        <f ca="1">40959+(RANDBETWEEN(1,10))</f>
        <v>40960</v>
      </c>
      <c r="G3257" t="s">
        <v>26</v>
      </c>
      <c r="H3257" t="s">
        <v>51</v>
      </c>
      <c r="I3257" t="s">
        <v>52</v>
      </c>
      <c r="J3257">
        <v>134.47</v>
      </c>
      <c r="K3257">
        <v>0.04</v>
      </c>
      <c r="L3257">
        <v>0.51</v>
      </c>
      <c r="M3257">
        <v>6.9649999999999999</v>
      </c>
      <c r="N3257">
        <v>-261.97500000000002</v>
      </c>
      <c r="O3257" s="1" t="s">
        <v>29</v>
      </c>
      <c r="P3257" s="1" t="s">
        <v>869</v>
      </c>
      <c r="Q3257" s="1" t="s">
        <v>870</v>
      </c>
      <c r="R3257" s="1" t="s">
        <v>32</v>
      </c>
      <c r="S3257" s="1" t="s">
        <v>871</v>
      </c>
      <c r="T3257" s="1" t="s">
        <v>872</v>
      </c>
      <c r="U3257" s="2" t="s">
        <v>7488</v>
      </c>
      <c r="V3257" s="2" t="s">
        <v>36</v>
      </c>
      <c r="W3257" s="2" t="s">
        <v>60</v>
      </c>
      <c r="X3257" s="2">
        <v>137.34</v>
      </c>
    </row>
    <row r="3258" spans="1:24" x14ac:dyDescent="0.3">
      <c r="A3258">
        <v>21112</v>
      </c>
      <c r="B3258" t="s">
        <v>8241</v>
      </c>
      <c r="C3258" s="3">
        <v>40958</v>
      </c>
      <c r="D3258" t="s">
        <v>148</v>
      </c>
      <c r="E3258">
        <v>8</v>
      </c>
      <c r="F3258" s="3">
        <f ca="1">40960+(RANDBETWEEN(1,10))</f>
        <v>40965</v>
      </c>
      <c r="G3258" t="s">
        <v>76</v>
      </c>
      <c r="H3258" t="s">
        <v>258</v>
      </c>
      <c r="I3258" t="s">
        <v>52</v>
      </c>
      <c r="J3258">
        <v>3324.02</v>
      </c>
      <c r="K3258">
        <v>0.08</v>
      </c>
      <c r="L3258">
        <v>0.39</v>
      </c>
      <c r="M3258">
        <v>196.49</v>
      </c>
      <c r="N3258">
        <v>142.66</v>
      </c>
      <c r="O3258" s="1" t="s">
        <v>29</v>
      </c>
      <c r="P3258" s="1" t="s">
        <v>869</v>
      </c>
      <c r="Q3258" s="1" t="s">
        <v>870</v>
      </c>
      <c r="R3258" s="1" t="s">
        <v>32</v>
      </c>
      <c r="S3258" s="1" t="s">
        <v>871</v>
      </c>
      <c r="T3258" s="1" t="s">
        <v>872</v>
      </c>
      <c r="U3258" s="2" t="s">
        <v>5088</v>
      </c>
      <c r="V3258" s="2" t="s">
        <v>36</v>
      </c>
      <c r="W3258" s="2" t="s">
        <v>142</v>
      </c>
      <c r="X3258" s="2">
        <v>419.96499999999997</v>
      </c>
    </row>
    <row r="3259" spans="1:24" x14ac:dyDescent="0.3">
      <c r="A3259">
        <v>21113</v>
      </c>
      <c r="B3259" t="s">
        <v>8241</v>
      </c>
      <c r="C3259" s="3">
        <v>40958</v>
      </c>
      <c r="D3259" t="s">
        <v>148</v>
      </c>
      <c r="E3259">
        <v>9</v>
      </c>
      <c r="F3259" s="3">
        <f ca="1">40959+(RANDBETWEEN(1,10))</f>
        <v>40964</v>
      </c>
      <c r="G3259" t="s">
        <v>26</v>
      </c>
      <c r="H3259" t="s">
        <v>63</v>
      </c>
      <c r="I3259" t="s">
        <v>52</v>
      </c>
      <c r="J3259">
        <v>2583.0349999999999</v>
      </c>
      <c r="K3259">
        <v>0.01</v>
      </c>
      <c r="L3259">
        <v>0.83</v>
      </c>
      <c r="M3259">
        <v>122.5</v>
      </c>
      <c r="N3259">
        <v>-2972.13</v>
      </c>
      <c r="O3259" s="1" t="s">
        <v>29</v>
      </c>
      <c r="P3259" s="1" t="s">
        <v>869</v>
      </c>
      <c r="Q3259" s="1" t="s">
        <v>870</v>
      </c>
      <c r="R3259" s="1" t="s">
        <v>32</v>
      </c>
      <c r="S3259" s="1" t="s">
        <v>871</v>
      </c>
      <c r="T3259" s="1" t="s">
        <v>872</v>
      </c>
      <c r="U3259" s="2" t="s">
        <v>6492</v>
      </c>
      <c r="V3259" s="2" t="s">
        <v>47</v>
      </c>
      <c r="W3259" s="2" t="s">
        <v>119</v>
      </c>
      <c r="X3259" s="2">
        <v>283.43</v>
      </c>
    </row>
    <row r="3260" spans="1:24" x14ac:dyDescent="0.3">
      <c r="A3260">
        <v>21114</v>
      </c>
      <c r="B3260" t="s">
        <v>8242</v>
      </c>
      <c r="C3260" s="3">
        <v>40637</v>
      </c>
      <c r="D3260" t="s">
        <v>39</v>
      </c>
      <c r="E3260">
        <v>2</v>
      </c>
      <c r="F3260" s="3">
        <f ca="1">40638+(RANDBETWEEN(1,10))</f>
        <v>40640</v>
      </c>
      <c r="G3260" t="s">
        <v>26</v>
      </c>
      <c r="H3260" t="s">
        <v>27</v>
      </c>
      <c r="I3260" t="s">
        <v>86</v>
      </c>
      <c r="J3260">
        <v>61.74</v>
      </c>
      <c r="K3260">
        <v>0</v>
      </c>
      <c r="L3260">
        <v>0.36</v>
      </c>
      <c r="M3260">
        <v>40.284999999999997</v>
      </c>
      <c r="N3260">
        <v>-231.5985</v>
      </c>
      <c r="O3260" s="1" t="s">
        <v>87</v>
      </c>
      <c r="P3260" s="1" t="s">
        <v>3444</v>
      </c>
      <c r="Q3260" s="1" t="s">
        <v>3445</v>
      </c>
      <c r="R3260" s="1" t="s">
        <v>646</v>
      </c>
      <c r="S3260" s="1" t="s">
        <v>3446</v>
      </c>
      <c r="T3260" s="1" t="s">
        <v>3447</v>
      </c>
      <c r="U3260" s="2" t="s">
        <v>5565</v>
      </c>
      <c r="V3260" s="2" t="s">
        <v>47</v>
      </c>
      <c r="W3260" s="2" t="s">
        <v>111</v>
      </c>
      <c r="X3260" s="2">
        <v>25.83</v>
      </c>
    </row>
    <row r="3261" spans="1:24" x14ac:dyDescent="0.3">
      <c r="A3261">
        <v>21115</v>
      </c>
      <c r="B3261" t="s">
        <v>8243</v>
      </c>
      <c r="C3261" s="3">
        <v>41726</v>
      </c>
      <c r="D3261" t="s">
        <v>39</v>
      </c>
      <c r="E3261">
        <v>7</v>
      </c>
      <c r="F3261" s="3">
        <f ca="1">41727+(RANDBETWEEN(1,10))</f>
        <v>41731</v>
      </c>
      <c r="G3261" t="s">
        <v>156</v>
      </c>
      <c r="H3261" t="s">
        <v>27</v>
      </c>
      <c r="I3261" t="s">
        <v>28</v>
      </c>
      <c r="J3261">
        <v>219.59</v>
      </c>
      <c r="K3261">
        <v>0.05</v>
      </c>
      <c r="L3261">
        <v>0.38</v>
      </c>
      <c r="M3261">
        <v>29.015000000000001</v>
      </c>
      <c r="N3261">
        <v>-302.19</v>
      </c>
      <c r="O3261" s="1" t="s">
        <v>87</v>
      </c>
      <c r="P3261" s="1" t="s">
        <v>732</v>
      </c>
      <c r="Q3261" s="1" t="s">
        <v>733</v>
      </c>
      <c r="R3261" s="1" t="s">
        <v>398</v>
      </c>
      <c r="S3261" s="1" t="s">
        <v>734</v>
      </c>
      <c r="T3261" s="1" t="s">
        <v>735</v>
      </c>
      <c r="U3261" s="2" t="s">
        <v>1682</v>
      </c>
      <c r="V3261" s="2" t="s">
        <v>47</v>
      </c>
      <c r="W3261" s="2" t="s">
        <v>48</v>
      </c>
      <c r="X3261" s="2">
        <v>30.59</v>
      </c>
    </row>
    <row r="3262" spans="1:24" x14ac:dyDescent="0.3">
      <c r="A3262">
        <v>21116</v>
      </c>
      <c r="B3262" t="s">
        <v>8244</v>
      </c>
      <c r="C3262" s="3">
        <v>41371</v>
      </c>
      <c r="D3262" t="s">
        <v>50</v>
      </c>
      <c r="E3262">
        <v>12</v>
      </c>
      <c r="F3262" s="3">
        <f ca="1">41372+(RANDBETWEEN(1,10))</f>
        <v>41377</v>
      </c>
      <c r="G3262" t="s">
        <v>26</v>
      </c>
      <c r="H3262" t="s">
        <v>27</v>
      </c>
      <c r="I3262" t="s">
        <v>28</v>
      </c>
      <c r="J3262">
        <v>797.125</v>
      </c>
      <c r="K3262">
        <v>0.04</v>
      </c>
      <c r="L3262">
        <v>0.37</v>
      </c>
      <c r="M3262">
        <v>33.39</v>
      </c>
      <c r="N3262">
        <v>231.49</v>
      </c>
      <c r="O3262" s="1" t="s">
        <v>87</v>
      </c>
      <c r="P3262" s="1" t="s">
        <v>5178</v>
      </c>
      <c r="Q3262" s="1" t="s">
        <v>5179</v>
      </c>
      <c r="R3262" s="1" t="s">
        <v>646</v>
      </c>
      <c r="S3262" s="1" t="s">
        <v>5180</v>
      </c>
      <c r="T3262" s="1" t="s">
        <v>5181</v>
      </c>
      <c r="U3262" s="2" t="s">
        <v>838</v>
      </c>
      <c r="V3262" s="2" t="s">
        <v>47</v>
      </c>
      <c r="W3262" s="2" t="s">
        <v>74</v>
      </c>
      <c r="X3262" s="2">
        <v>66.394999999999996</v>
      </c>
    </row>
    <row r="3263" spans="1:24" x14ac:dyDescent="0.3">
      <c r="A3263">
        <v>21117</v>
      </c>
      <c r="B3263" t="s">
        <v>8245</v>
      </c>
      <c r="C3263" s="3">
        <v>40690</v>
      </c>
      <c r="D3263" t="s">
        <v>62</v>
      </c>
      <c r="E3263">
        <v>12</v>
      </c>
      <c r="F3263" s="3">
        <f ca="1">40691+(RANDBETWEEN(1,10))</f>
        <v>40699</v>
      </c>
      <c r="G3263" t="s">
        <v>26</v>
      </c>
      <c r="H3263" t="s">
        <v>27</v>
      </c>
      <c r="I3263" t="s">
        <v>97</v>
      </c>
      <c r="J3263">
        <v>1520.085</v>
      </c>
      <c r="K3263">
        <v>0.04</v>
      </c>
      <c r="L3263">
        <v>0.35</v>
      </c>
      <c r="M3263">
        <v>10.465</v>
      </c>
      <c r="N3263">
        <v>1048.8586499999999</v>
      </c>
      <c r="O3263" s="1" t="s">
        <v>29</v>
      </c>
      <c r="P3263" s="1" t="s">
        <v>2477</v>
      </c>
      <c r="Q3263" s="1" t="s">
        <v>2478</v>
      </c>
      <c r="R3263" s="1" t="s">
        <v>32</v>
      </c>
      <c r="S3263" s="1" t="s">
        <v>2479</v>
      </c>
      <c r="T3263" s="1" t="s">
        <v>2480</v>
      </c>
      <c r="U3263" s="2" t="s">
        <v>1132</v>
      </c>
      <c r="V3263" s="2" t="s">
        <v>47</v>
      </c>
      <c r="W3263" s="2" t="s">
        <v>111</v>
      </c>
      <c r="X3263" s="2">
        <v>131.94999999999999</v>
      </c>
    </row>
    <row r="3264" spans="1:24" x14ac:dyDescent="0.3">
      <c r="A3264">
        <v>21118</v>
      </c>
      <c r="B3264" t="s">
        <v>8245</v>
      </c>
      <c r="C3264" s="3">
        <v>40690</v>
      </c>
      <c r="D3264" t="s">
        <v>62</v>
      </c>
      <c r="E3264">
        <v>1</v>
      </c>
      <c r="F3264" s="3">
        <f ca="1">40691+(RANDBETWEEN(1,10))</f>
        <v>40696</v>
      </c>
      <c r="G3264" t="s">
        <v>26</v>
      </c>
      <c r="H3264" t="s">
        <v>51</v>
      </c>
      <c r="I3264" t="s">
        <v>97</v>
      </c>
      <c r="J3264">
        <v>181.405</v>
      </c>
      <c r="K3264">
        <v>0.01</v>
      </c>
      <c r="L3264">
        <v>0.83</v>
      </c>
      <c r="M3264">
        <v>17.5</v>
      </c>
      <c r="N3264">
        <v>-825.63250000000005</v>
      </c>
      <c r="O3264" s="1" t="s">
        <v>29</v>
      </c>
      <c r="P3264" s="1" t="s">
        <v>8246</v>
      </c>
      <c r="Q3264" s="1" t="s">
        <v>8247</v>
      </c>
      <c r="R3264" s="1" t="s">
        <v>460</v>
      </c>
      <c r="S3264" s="1" t="s">
        <v>8248</v>
      </c>
      <c r="T3264" s="1" t="s">
        <v>8249</v>
      </c>
      <c r="U3264" s="2" t="s">
        <v>4376</v>
      </c>
      <c r="V3264" s="2" t="s">
        <v>36</v>
      </c>
      <c r="W3264" s="2" t="s">
        <v>37</v>
      </c>
      <c r="X3264" s="2">
        <v>195.965</v>
      </c>
    </row>
    <row r="3265" spans="1:24" x14ac:dyDescent="0.3">
      <c r="A3265">
        <v>21119</v>
      </c>
      <c r="B3265" t="s">
        <v>8250</v>
      </c>
      <c r="C3265" s="3">
        <v>41229</v>
      </c>
      <c r="D3265" t="s">
        <v>25</v>
      </c>
      <c r="E3265">
        <v>30</v>
      </c>
      <c r="F3265" s="3">
        <f ca="1">41236+(RANDBETWEEN(1,10))</f>
        <v>41237</v>
      </c>
      <c r="G3265" t="s">
        <v>26</v>
      </c>
      <c r="H3265" t="s">
        <v>63</v>
      </c>
      <c r="I3265" t="s">
        <v>97</v>
      </c>
      <c r="J3265">
        <v>21793.904999999999</v>
      </c>
      <c r="K3265">
        <v>0.06</v>
      </c>
      <c r="L3265">
        <v>0.56999999999999995</v>
      </c>
      <c r="M3265">
        <v>63.21</v>
      </c>
      <c r="N3265">
        <v>-462.36399999999998</v>
      </c>
      <c r="O3265" s="1" t="s">
        <v>29</v>
      </c>
      <c r="P3265" s="1" t="s">
        <v>3536</v>
      </c>
      <c r="Q3265" s="1" t="s">
        <v>3537</v>
      </c>
      <c r="R3265" s="1" t="s">
        <v>675</v>
      </c>
      <c r="S3265" s="1" t="s">
        <v>3538</v>
      </c>
      <c r="T3265" s="1" t="s">
        <v>3539</v>
      </c>
      <c r="U3265" s="2" t="s">
        <v>773</v>
      </c>
      <c r="V3265" s="2" t="s">
        <v>83</v>
      </c>
      <c r="W3265" s="2" t="s">
        <v>84</v>
      </c>
      <c r="X3265" s="2">
        <v>763.28</v>
      </c>
    </row>
    <row r="3266" spans="1:24" x14ac:dyDescent="0.3">
      <c r="A3266">
        <v>21120</v>
      </c>
      <c r="B3266" t="s">
        <v>8251</v>
      </c>
      <c r="C3266" s="3">
        <v>40864</v>
      </c>
      <c r="D3266" t="s">
        <v>50</v>
      </c>
      <c r="E3266">
        <v>17</v>
      </c>
      <c r="F3266" s="3">
        <f ca="1">40865+(RANDBETWEEN(1,10))</f>
        <v>40867</v>
      </c>
      <c r="G3266" t="s">
        <v>26</v>
      </c>
      <c r="H3266" t="s">
        <v>27</v>
      </c>
      <c r="I3266" t="s">
        <v>28</v>
      </c>
      <c r="J3266">
        <v>2012.395</v>
      </c>
      <c r="K3266">
        <v>7.0000000000000007E-2</v>
      </c>
      <c r="L3266">
        <v>0.37</v>
      </c>
      <c r="M3266">
        <v>51.52</v>
      </c>
      <c r="N3266">
        <v>-70.637910000000005</v>
      </c>
      <c r="O3266" s="1" t="s">
        <v>53</v>
      </c>
      <c r="P3266" s="1" t="s">
        <v>5663</v>
      </c>
      <c r="Q3266" s="1" t="s">
        <v>5664</v>
      </c>
      <c r="R3266" s="1" t="s">
        <v>100</v>
      </c>
      <c r="S3266" s="1" t="s">
        <v>5665</v>
      </c>
      <c r="T3266" s="1" t="s">
        <v>5666</v>
      </c>
      <c r="U3266" s="2" t="s">
        <v>4073</v>
      </c>
      <c r="V3266" s="2" t="s">
        <v>47</v>
      </c>
      <c r="W3266" s="2" t="s">
        <v>111</v>
      </c>
      <c r="X3266" s="2">
        <v>120.89</v>
      </c>
    </row>
    <row r="3267" spans="1:24" x14ac:dyDescent="0.3">
      <c r="A3267">
        <v>21121</v>
      </c>
      <c r="B3267" t="s">
        <v>8251</v>
      </c>
      <c r="C3267" s="3">
        <v>40864</v>
      </c>
      <c r="D3267" t="s">
        <v>50</v>
      </c>
      <c r="E3267">
        <v>9</v>
      </c>
      <c r="F3267" s="3">
        <f ca="1">40864+(RANDBETWEEN(1,10))</f>
        <v>40868</v>
      </c>
      <c r="G3267" t="s">
        <v>26</v>
      </c>
      <c r="H3267" t="s">
        <v>27</v>
      </c>
      <c r="I3267" t="s">
        <v>28</v>
      </c>
      <c r="J3267">
        <v>403.27</v>
      </c>
      <c r="K3267">
        <v>0.02</v>
      </c>
      <c r="L3267">
        <v>0.38</v>
      </c>
      <c r="M3267">
        <v>22.645</v>
      </c>
      <c r="N3267">
        <v>-549.40269999999998</v>
      </c>
      <c r="O3267" s="1" t="s">
        <v>53</v>
      </c>
      <c r="P3267" s="1" t="s">
        <v>5663</v>
      </c>
      <c r="Q3267" s="1" t="s">
        <v>5664</v>
      </c>
      <c r="R3267" s="1" t="s">
        <v>100</v>
      </c>
      <c r="S3267" s="1" t="s">
        <v>5665</v>
      </c>
      <c r="T3267" s="1" t="s">
        <v>5666</v>
      </c>
      <c r="U3267" s="2" t="s">
        <v>2420</v>
      </c>
      <c r="V3267" s="2" t="s">
        <v>47</v>
      </c>
      <c r="W3267" s="2" t="s">
        <v>74</v>
      </c>
      <c r="X3267" s="2">
        <v>42.98</v>
      </c>
    </row>
    <row r="3268" spans="1:24" x14ac:dyDescent="0.3">
      <c r="A3268">
        <v>21122</v>
      </c>
      <c r="B3268" t="s">
        <v>8251</v>
      </c>
      <c r="C3268" s="3">
        <v>40864</v>
      </c>
      <c r="D3268" t="s">
        <v>50</v>
      </c>
      <c r="E3268">
        <v>13</v>
      </c>
      <c r="F3268" s="3">
        <f ca="1">40866+(RANDBETWEEN(1,10))</f>
        <v>40867</v>
      </c>
      <c r="G3268" t="s">
        <v>156</v>
      </c>
      <c r="H3268" t="s">
        <v>51</v>
      </c>
      <c r="I3268" t="s">
        <v>28</v>
      </c>
      <c r="J3268">
        <v>1598.03</v>
      </c>
      <c r="K3268">
        <v>0.06</v>
      </c>
      <c r="L3268">
        <v>0.56000000000000005</v>
      </c>
      <c r="M3268">
        <v>31.465</v>
      </c>
      <c r="N3268">
        <v>1345.76505</v>
      </c>
      <c r="O3268" s="1" t="s">
        <v>53</v>
      </c>
      <c r="P3268" s="1" t="s">
        <v>5663</v>
      </c>
      <c r="Q3268" s="1" t="s">
        <v>5664</v>
      </c>
      <c r="R3268" s="1" t="s">
        <v>100</v>
      </c>
      <c r="S3268" s="1" t="s">
        <v>5665</v>
      </c>
      <c r="T3268" s="1" t="s">
        <v>5666</v>
      </c>
      <c r="U3268" s="2" t="s">
        <v>741</v>
      </c>
      <c r="V3268" s="2" t="s">
        <v>47</v>
      </c>
      <c r="W3268" s="2" t="s">
        <v>104</v>
      </c>
      <c r="X3268" s="2">
        <v>121.03</v>
      </c>
    </row>
    <row r="3269" spans="1:24" x14ac:dyDescent="0.3">
      <c r="A3269">
        <v>21123</v>
      </c>
      <c r="B3269" t="s">
        <v>8252</v>
      </c>
      <c r="C3269" s="3">
        <v>41971</v>
      </c>
      <c r="D3269" t="s">
        <v>50</v>
      </c>
      <c r="E3269">
        <v>41</v>
      </c>
      <c r="F3269" s="3">
        <f ca="1">41972+(RANDBETWEEN(1,10))</f>
        <v>41978</v>
      </c>
      <c r="G3269" t="s">
        <v>26</v>
      </c>
      <c r="H3269" t="s">
        <v>27</v>
      </c>
      <c r="I3269" t="s">
        <v>86</v>
      </c>
      <c r="J3269">
        <v>8700.6149999999998</v>
      </c>
      <c r="K3269">
        <v>0.06</v>
      </c>
      <c r="L3269">
        <v>0.38</v>
      </c>
      <c r="M3269">
        <v>69.965000000000003</v>
      </c>
      <c r="N3269">
        <v>325.47899999999998</v>
      </c>
      <c r="O3269" s="1" t="s">
        <v>53</v>
      </c>
      <c r="P3269" s="1" t="s">
        <v>3394</v>
      </c>
      <c r="Q3269" s="1" t="s">
        <v>3395</v>
      </c>
      <c r="R3269" s="1" t="s">
        <v>440</v>
      </c>
      <c r="S3269" s="1" t="s">
        <v>3396</v>
      </c>
      <c r="T3269" s="1" t="s">
        <v>3397</v>
      </c>
      <c r="U3269" s="2" t="s">
        <v>3909</v>
      </c>
      <c r="V3269" s="2" t="s">
        <v>47</v>
      </c>
      <c r="W3269" s="2" t="s">
        <v>48</v>
      </c>
      <c r="X3269" s="2">
        <v>213.43</v>
      </c>
    </row>
    <row r="3270" spans="1:24" x14ac:dyDescent="0.3">
      <c r="A3270">
        <v>21124</v>
      </c>
      <c r="B3270" t="s">
        <v>8253</v>
      </c>
      <c r="C3270" s="3">
        <v>41336</v>
      </c>
      <c r="D3270" t="s">
        <v>62</v>
      </c>
      <c r="E3270">
        <v>12</v>
      </c>
      <c r="F3270" s="3">
        <f ca="1">41338+(RANDBETWEEN(1,10))</f>
        <v>41344</v>
      </c>
      <c r="G3270" t="s">
        <v>26</v>
      </c>
      <c r="H3270" t="s">
        <v>96</v>
      </c>
      <c r="I3270" t="s">
        <v>97</v>
      </c>
      <c r="J3270">
        <v>761.70500000000004</v>
      </c>
      <c r="K3270">
        <v>0.05</v>
      </c>
      <c r="L3270">
        <v>0.56999999999999995</v>
      </c>
      <c r="M3270">
        <v>3.4649999999999999</v>
      </c>
      <c r="N3270">
        <v>525.57645000000002</v>
      </c>
      <c r="O3270" s="1" t="s">
        <v>29</v>
      </c>
      <c r="P3270" s="1" t="s">
        <v>2271</v>
      </c>
      <c r="Q3270" s="1" t="s">
        <v>2272</v>
      </c>
      <c r="R3270" s="1" t="s">
        <v>32</v>
      </c>
      <c r="S3270" s="1" t="s">
        <v>2273</v>
      </c>
      <c r="T3270" s="1" t="s">
        <v>2274</v>
      </c>
      <c r="U3270" s="2" t="s">
        <v>5426</v>
      </c>
      <c r="V3270" s="2" t="s">
        <v>36</v>
      </c>
      <c r="W3270" s="2" t="s">
        <v>37</v>
      </c>
      <c r="X3270" s="2">
        <v>73.465000000000003</v>
      </c>
    </row>
    <row r="3271" spans="1:24" x14ac:dyDescent="0.3">
      <c r="A3271">
        <v>21125</v>
      </c>
      <c r="B3271" t="s">
        <v>8254</v>
      </c>
      <c r="C3271" s="3">
        <v>41880</v>
      </c>
      <c r="D3271" t="s">
        <v>62</v>
      </c>
      <c r="E3271">
        <v>2</v>
      </c>
      <c r="F3271" s="3">
        <f ca="1">41882+(RANDBETWEEN(1,10))</f>
        <v>41892</v>
      </c>
      <c r="G3271" t="s">
        <v>26</v>
      </c>
      <c r="H3271" t="s">
        <v>27</v>
      </c>
      <c r="I3271" t="s">
        <v>52</v>
      </c>
      <c r="J3271">
        <v>43.645000000000003</v>
      </c>
      <c r="K3271">
        <v>0.1</v>
      </c>
      <c r="L3271">
        <v>0.36</v>
      </c>
      <c r="M3271">
        <v>20.405000000000001</v>
      </c>
      <c r="N3271">
        <v>-21.793282000000001</v>
      </c>
      <c r="O3271" s="1" t="s">
        <v>87</v>
      </c>
      <c r="P3271" s="1" t="s">
        <v>2689</v>
      </c>
      <c r="Q3271" s="1" t="s">
        <v>2690</v>
      </c>
      <c r="R3271" s="1" t="s">
        <v>398</v>
      </c>
      <c r="S3271" s="1" t="s">
        <v>2691</v>
      </c>
      <c r="T3271" s="1" t="s">
        <v>2692</v>
      </c>
      <c r="U3271" s="2" t="s">
        <v>6429</v>
      </c>
      <c r="V3271" s="2" t="s">
        <v>47</v>
      </c>
      <c r="W3271" s="2" t="s">
        <v>111</v>
      </c>
      <c r="X3271" s="2">
        <v>15.89</v>
      </c>
    </row>
    <row r="3272" spans="1:24" x14ac:dyDescent="0.3">
      <c r="A3272">
        <v>21126</v>
      </c>
      <c r="B3272" t="s">
        <v>8254</v>
      </c>
      <c r="C3272" s="3">
        <v>41880</v>
      </c>
      <c r="D3272" t="s">
        <v>62</v>
      </c>
      <c r="E3272">
        <v>20</v>
      </c>
      <c r="F3272" s="3">
        <f ca="1">41882+(RANDBETWEEN(1,10))</f>
        <v>41889</v>
      </c>
      <c r="G3272" t="s">
        <v>26</v>
      </c>
      <c r="H3272" t="s">
        <v>96</v>
      </c>
      <c r="I3272" t="s">
        <v>52</v>
      </c>
      <c r="J3272">
        <v>252.595</v>
      </c>
      <c r="K3272">
        <v>0.01</v>
      </c>
      <c r="L3272">
        <v>0.56000000000000005</v>
      </c>
      <c r="M3272">
        <v>13.895</v>
      </c>
      <c r="N3272">
        <v>-136.95836</v>
      </c>
      <c r="O3272" s="1" t="s">
        <v>53</v>
      </c>
      <c r="P3272" s="1" t="s">
        <v>8255</v>
      </c>
      <c r="Q3272" s="1" t="s">
        <v>8256</v>
      </c>
      <c r="R3272" s="1" t="s">
        <v>100</v>
      </c>
      <c r="S3272" s="1" t="s">
        <v>8257</v>
      </c>
      <c r="T3272" s="1" t="s">
        <v>8258</v>
      </c>
      <c r="U3272" s="2" t="s">
        <v>4166</v>
      </c>
      <c r="V3272" s="2" t="s">
        <v>47</v>
      </c>
      <c r="W3272" s="2" t="s">
        <v>104</v>
      </c>
      <c r="X3272" s="2">
        <v>11.48</v>
      </c>
    </row>
    <row r="3273" spans="1:24" x14ac:dyDescent="0.3">
      <c r="A3273">
        <v>21127</v>
      </c>
      <c r="B3273" t="s">
        <v>8259</v>
      </c>
      <c r="C3273" s="3">
        <v>41841</v>
      </c>
      <c r="D3273" t="s">
        <v>50</v>
      </c>
      <c r="E3273">
        <v>1</v>
      </c>
      <c r="F3273" s="3">
        <f ca="1">41842+(RANDBETWEEN(1,10))</f>
        <v>41852</v>
      </c>
      <c r="G3273" t="s">
        <v>76</v>
      </c>
      <c r="H3273" t="s">
        <v>77</v>
      </c>
      <c r="I3273" t="s">
        <v>97</v>
      </c>
      <c r="J3273">
        <v>981.57500000000005</v>
      </c>
      <c r="K3273">
        <v>0.04</v>
      </c>
      <c r="L3273">
        <v>0.77</v>
      </c>
      <c r="M3273">
        <v>175</v>
      </c>
      <c r="N3273">
        <v>-1451.7216000000001</v>
      </c>
      <c r="O3273" s="1" t="s">
        <v>87</v>
      </c>
      <c r="P3273" s="1" t="s">
        <v>2842</v>
      </c>
      <c r="Q3273" s="1" t="s">
        <v>2843</v>
      </c>
      <c r="R3273" s="1" t="s">
        <v>398</v>
      </c>
      <c r="S3273" s="1" t="s">
        <v>2733</v>
      </c>
      <c r="T3273" s="1" t="s">
        <v>2844</v>
      </c>
      <c r="U3273" s="2" t="s">
        <v>5741</v>
      </c>
      <c r="V3273" s="2" t="s">
        <v>83</v>
      </c>
      <c r="W3273" s="2" t="s">
        <v>84</v>
      </c>
      <c r="X3273" s="2">
        <v>948.43</v>
      </c>
    </row>
    <row r="3274" spans="1:24" x14ac:dyDescent="0.3">
      <c r="A3274">
        <v>21128</v>
      </c>
      <c r="B3274" t="s">
        <v>8260</v>
      </c>
      <c r="C3274" s="3">
        <v>41726</v>
      </c>
      <c r="D3274" t="s">
        <v>25</v>
      </c>
      <c r="E3274">
        <v>8</v>
      </c>
      <c r="F3274" s="3">
        <f ca="1">41733+(RANDBETWEEN(1,10))</f>
        <v>41738</v>
      </c>
      <c r="G3274" t="s">
        <v>76</v>
      </c>
      <c r="H3274" t="s">
        <v>77</v>
      </c>
      <c r="I3274" t="s">
        <v>28</v>
      </c>
      <c r="J3274">
        <v>4881.2049999999999</v>
      </c>
      <c r="K3274">
        <v>7.0000000000000007E-2</v>
      </c>
      <c r="L3274">
        <v>0.69</v>
      </c>
      <c r="M3274">
        <v>105</v>
      </c>
      <c r="N3274">
        <v>843.71</v>
      </c>
      <c r="O3274" s="1" t="s">
        <v>87</v>
      </c>
      <c r="P3274" s="1" t="s">
        <v>2731</v>
      </c>
      <c r="Q3274" s="1" t="s">
        <v>2732</v>
      </c>
      <c r="R3274" s="1" t="s">
        <v>398</v>
      </c>
      <c r="S3274" s="1" t="s">
        <v>2733</v>
      </c>
      <c r="T3274" s="1" t="s">
        <v>735</v>
      </c>
      <c r="U3274" s="2" t="s">
        <v>5090</v>
      </c>
      <c r="V3274" s="2" t="s">
        <v>83</v>
      </c>
      <c r="W3274" s="2" t="s">
        <v>84</v>
      </c>
      <c r="X3274" s="2">
        <v>633.42999999999995</v>
      </c>
    </row>
    <row r="3275" spans="1:24" x14ac:dyDescent="0.3">
      <c r="A3275">
        <v>21129</v>
      </c>
      <c r="B3275" t="s">
        <v>8260</v>
      </c>
      <c r="C3275" s="3">
        <v>41726</v>
      </c>
      <c r="D3275" t="s">
        <v>25</v>
      </c>
      <c r="E3275">
        <v>10</v>
      </c>
      <c r="F3275" s="3">
        <f ca="1">41733+(RANDBETWEEN(1,10))</f>
        <v>41736</v>
      </c>
      <c r="G3275" t="s">
        <v>26</v>
      </c>
      <c r="H3275" t="s">
        <v>96</v>
      </c>
      <c r="I3275" t="s">
        <v>28</v>
      </c>
      <c r="J3275">
        <v>376.42500000000001</v>
      </c>
      <c r="K3275">
        <v>0.02</v>
      </c>
      <c r="L3275">
        <v>0.38</v>
      </c>
      <c r="M3275">
        <v>6.2649999999999997</v>
      </c>
      <c r="N3275">
        <v>259.73325</v>
      </c>
      <c r="O3275" s="1" t="s">
        <v>87</v>
      </c>
      <c r="P3275" s="1" t="s">
        <v>2731</v>
      </c>
      <c r="Q3275" s="1" t="s">
        <v>2732</v>
      </c>
      <c r="R3275" s="1" t="s">
        <v>398</v>
      </c>
      <c r="S3275" s="1" t="s">
        <v>2733</v>
      </c>
      <c r="T3275" s="1" t="s">
        <v>735</v>
      </c>
      <c r="U3275" s="2" t="s">
        <v>3017</v>
      </c>
      <c r="V3275" s="2" t="s">
        <v>47</v>
      </c>
      <c r="W3275" s="2" t="s">
        <v>74</v>
      </c>
      <c r="X3275" s="2">
        <v>36.085000000000001</v>
      </c>
    </row>
    <row r="3276" spans="1:24" x14ac:dyDescent="0.3">
      <c r="A3276">
        <v>21130</v>
      </c>
      <c r="B3276" t="s">
        <v>8261</v>
      </c>
      <c r="C3276" s="3">
        <v>41070</v>
      </c>
      <c r="D3276" t="s">
        <v>50</v>
      </c>
      <c r="E3276">
        <v>5</v>
      </c>
      <c r="F3276" s="3">
        <f ca="1">41070+(RANDBETWEEN(1,10))</f>
        <v>41075</v>
      </c>
      <c r="G3276" t="s">
        <v>26</v>
      </c>
      <c r="H3276" t="s">
        <v>27</v>
      </c>
      <c r="I3276" t="s">
        <v>86</v>
      </c>
      <c r="J3276">
        <v>403.9</v>
      </c>
      <c r="K3276">
        <v>0</v>
      </c>
      <c r="L3276">
        <v>0.37</v>
      </c>
      <c r="M3276">
        <v>30.905000000000001</v>
      </c>
      <c r="N3276">
        <v>174.39449999999999</v>
      </c>
      <c r="O3276" s="1" t="s">
        <v>40</v>
      </c>
      <c r="P3276" s="1" t="s">
        <v>2358</v>
      </c>
      <c r="Q3276" s="1" t="s">
        <v>2359</v>
      </c>
      <c r="R3276" s="1" t="s">
        <v>220</v>
      </c>
      <c r="S3276" s="1" t="s">
        <v>2360</v>
      </c>
      <c r="T3276" s="1" t="s">
        <v>2361</v>
      </c>
      <c r="U3276" s="2" t="s">
        <v>7151</v>
      </c>
      <c r="V3276" s="2" t="s">
        <v>47</v>
      </c>
      <c r="W3276" s="2" t="s">
        <v>111</v>
      </c>
      <c r="X3276" s="2">
        <v>73.430000000000007</v>
      </c>
    </row>
    <row r="3277" spans="1:24" x14ac:dyDescent="0.3">
      <c r="A3277">
        <v>21131</v>
      </c>
      <c r="B3277" t="s">
        <v>8261</v>
      </c>
      <c r="C3277" s="3">
        <v>41070</v>
      </c>
      <c r="D3277" t="s">
        <v>50</v>
      </c>
      <c r="E3277">
        <v>4</v>
      </c>
      <c r="F3277" s="3">
        <f ca="1">41071+(RANDBETWEEN(1,10))</f>
        <v>41081</v>
      </c>
      <c r="G3277" t="s">
        <v>26</v>
      </c>
      <c r="H3277" t="s">
        <v>96</v>
      </c>
      <c r="I3277" t="s">
        <v>86</v>
      </c>
      <c r="J3277">
        <v>82.844999999999999</v>
      </c>
      <c r="K3277">
        <v>0.03</v>
      </c>
      <c r="L3277">
        <v>0.39</v>
      </c>
      <c r="M3277">
        <v>5.1100000000000003</v>
      </c>
      <c r="N3277">
        <v>55.902000000000001</v>
      </c>
      <c r="O3277" s="1" t="s">
        <v>40</v>
      </c>
      <c r="P3277" s="1" t="s">
        <v>2358</v>
      </c>
      <c r="Q3277" s="1" t="s">
        <v>2359</v>
      </c>
      <c r="R3277" s="1" t="s">
        <v>220</v>
      </c>
      <c r="S3277" s="1" t="s">
        <v>2360</v>
      </c>
      <c r="T3277" s="1" t="s">
        <v>2361</v>
      </c>
      <c r="U3277" s="2" t="s">
        <v>8262</v>
      </c>
      <c r="V3277" s="2" t="s">
        <v>47</v>
      </c>
      <c r="W3277" s="2" t="s">
        <v>74</v>
      </c>
      <c r="X3277" s="2">
        <v>19.88</v>
      </c>
    </row>
    <row r="3278" spans="1:24" x14ac:dyDescent="0.3">
      <c r="A3278">
        <v>21132</v>
      </c>
      <c r="B3278" t="s">
        <v>8261</v>
      </c>
      <c r="C3278" s="3">
        <v>41070</v>
      </c>
      <c r="D3278" t="s">
        <v>50</v>
      </c>
      <c r="E3278">
        <v>7</v>
      </c>
      <c r="F3278" s="3">
        <f ca="1">41072+(RANDBETWEEN(1,10))</f>
        <v>41077</v>
      </c>
      <c r="G3278" t="s">
        <v>26</v>
      </c>
      <c r="H3278" t="s">
        <v>27</v>
      </c>
      <c r="I3278" t="s">
        <v>86</v>
      </c>
      <c r="J3278">
        <v>211.155</v>
      </c>
      <c r="K3278">
        <v>0</v>
      </c>
      <c r="L3278">
        <v>0.41</v>
      </c>
      <c r="M3278">
        <v>17.324999999999999</v>
      </c>
      <c r="N3278">
        <v>99.162000000000006</v>
      </c>
      <c r="O3278" s="1" t="s">
        <v>87</v>
      </c>
      <c r="P3278" s="1" t="s">
        <v>8263</v>
      </c>
      <c r="Q3278" s="1" t="s">
        <v>8264</v>
      </c>
      <c r="R3278" s="1" t="s">
        <v>646</v>
      </c>
      <c r="S3278" s="1" t="s">
        <v>8265</v>
      </c>
      <c r="T3278" s="1" t="s">
        <v>1527</v>
      </c>
      <c r="U3278" s="2" t="s">
        <v>3405</v>
      </c>
      <c r="V3278" s="2" t="s">
        <v>83</v>
      </c>
      <c r="W3278" s="2" t="s">
        <v>178</v>
      </c>
      <c r="X3278" s="2">
        <v>27.86</v>
      </c>
    </row>
    <row r="3279" spans="1:24" x14ac:dyDescent="0.3">
      <c r="A3279">
        <v>21133</v>
      </c>
      <c r="B3279" t="s">
        <v>8266</v>
      </c>
      <c r="C3279" s="3">
        <v>41193</v>
      </c>
      <c r="D3279" t="s">
        <v>39</v>
      </c>
      <c r="E3279">
        <v>11</v>
      </c>
      <c r="F3279" s="3">
        <f ca="1">41195+(RANDBETWEEN(1,10))</f>
        <v>41204</v>
      </c>
      <c r="G3279" t="s">
        <v>26</v>
      </c>
      <c r="H3279" t="s">
        <v>63</v>
      </c>
      <c r="I3279" t="s">
        <v>28</v>
      </c>
      <c r="J3279">
        <v>2378.67</v>
      </c>
      <c r="K3279">
        <v>0.03</v>
      </c>
      <c r="L3279">
        <v>0.59</v>
      </c>
      <c r="M3279">
        <v>171.5</v>
      </c>
      <c r="N3279">
        <v>-2565.2213999999999</v>
      </c>
      <c r="O3279" s="1" t="s">
        <v>64</v>
      </c>
      <c r="P3279" s="1" t="s">
        <v>7957</v>
      </c>
      <c r="Q3279" s="1" t="s">
        <v>7958</v>
      </c>
      <c r="R3279" s="1" t="s">
        <v>128</v>
      </c>
      <c r="S3279" s="1" t="s">
        <v>7959</v>
      </c>
      <c r="T3279" s="1" t="s">
        <v>7960</v>
      </c>
      <c r="U3279" s="2" t="s">
        <v>1546</v>
      </c>
      <c r="V3279" s="2" t="s">
        <v>47</v>
      </c>
      <c r="W3279" s="2" t="s">
        <v>71</v>
      </c>
      <c r="X3279" s="2">
        <v>213.43</v>
      </c>
    </row>
    <row r="3280" spans="1:24" x14ac:dyDescent="0.3">
      <c r="A3280">
        <v>21134</v>
      </c>
      <c r="B3280" t="s">
        <v>8266</v>
      </c>
      <c r="C3280" s="3">
        <v>41193</v>
      </c>
      <c r="D3280" t="s">
        <v>39</v>
      </c>
      <c r="E3280">
        <v>10</v>
      </c>
      <c r="F3280" s="3">
        <f ca="1">41195+(RANDBETWEEN(1,10))</f>
        <v>41201</v>
      </c>
      <c r="G3280" t="s">
        <v>26</v>
      </c>
      <c r="H3280" t="s">
        <v>63</v>
      </c>
      <c r="I3280" t="s">
        <v>28</v>
      </c>
      <c r="J3280">
        <v>10185.42</v>
      </c>
      <c r="K3280">
        <v>0.02</v>
      </c>
      <c r="L3280">
        <v>0.67</v>
      </c>
      <c r="M3280">
        <v>241.5</v>
      </c>
      <c r="N3280">
        <v>129.8304</v>
      </c>
      <c r="O3280" s="1" t="s">
        <v>64</v>
      </c>
      <c r="P3280" s="1" t="s">
        <v>7957</v>
      </c>
      <c r="Q3280" s="1" t="s">
        <v>7958</v>
      </c>
      <c r="R3280" s="1" t="s">
        <v>128</v>
      </c>
      <c r="S3280" s="1" t="s">
        <v>7959</v>
      </c>
      <c r="T3280" s="1" t="s">
        <v>7960</v>
      </c>
      <c r="U3280" s="2" t="s">
        <v>8267</v>
      </c>
      <c r="V3280" s="2" t="s">
        <v>83</v>
      </c>
      <c r="W3280" s="2" t="s">
        <v>263</v>
      </c>
      <c r="X3280" s="2">
        <v>1018.43</v>
      </c>
    </row>
    <row r="3281" spans="1:24" x14ac:dyDescent="0.3">
      <c r="A3281">
        <v>21135</v>
      </c>
      <c r="B3281" t="s">
        <v>8266</v>
      </c>
      <c r="C3281" s="3">
        <v>41193</v>
      </c>
      <c r="D3281" t="s">
        <v>39</v>
      </c>
      <c r="E3281">
        <v>20</v>
      </c>
      <c r="F3281" s="3">
        <f ca="1">41195+(RANDBETWEEN(1,10))</f>
        <v>41196</v>
      </c>
      <c r="G3281" t="s">
        <v>26</v>
      </c>
      <c r="H3281" t="s">
        <v>281</v>
      </c>
      <c r="I3281" t="s">
        <v>28</v>
      </c>
      <c r="J3281">
        <v>438.935</v>
      </c>
      <c r="K3281">
        <v>0.1</v>
      </c>
      <c r="L3281">
        <v>0.6</v>
      </c>
      <c r="M3281">
        <v>17.605</v>
      </c>
      <c r="N3281">
        <v>-613.76238000000001</v>
      </c>
      <c r="O3281" s="1" t="s">
        <v>29</v>
      </c>
      <c r="P3281" s="1" t="s">
        <v>8268</v>
      </c>
      <c r="Q3281" s="1" t="s">
        <v>8269</v>
      </c>
      <c r="R3281" s="1" t="s">
        <v>32</v>
      </c>
      <c r="S3281" s="1" t="s">
        <v>8270</v>
      </c>
      <c r="T3281" s="1" t="s">
        <v>8271</v>
      </c>
      <c r="U3281" s="2" t="s">
        <v>408</v>
      </c>
      <c r="V3281" s="2" t="s">
        <v>36</v>
      </c>
      <c r="W3281" s="2" t="s">
        <v>37</v>
      </c>
      <c r="X3281" s="2">
        <v>27.965</v>
      </c>
    </row>
    <row r="3282" spans="1:24" x14ac:dyDescent="0.3">
      <c r="A3282">
        <v>21136</v>
      </c>
      <c r="B3282" t="s">
        <v>8272</v>
      </c>
      <c r="C3282" s="3">
        <v>41757</v>
      </c>
      <c r="D3282" t="s">
        <v>148</v>
      </c>
      <c r="E3282">
        <v>9</v>
      </c>
      <c r="F3282" s="3">
        <f ca="1">41758+(RANDBETWEEN(1,10))</f>
        <v>41761</v>
      </c>
      <c r="G3282" t="s">
        <v>76</v>
      </c>
      <c r="H3282" t="s">
        <v>77</v>
      </c>
      <c r="I3282" t="s">
        <v>28</v>
      </c>
      <c r="J3282">
        <v>2774.7649999999999</v>
      </c>
      <c r="K3282">
        <v>0.04</v>
      </c>
      <c r="L3282">
        <v>0.38</v>
      </c>
      <c r="M3282">
        <v>98</v>
      </c>
      <c r="N3282">
        <v>1914.5878499999999</v>
      </c>
      <c r="O3282" s="1" t="s">
        <v>29</v>
      </c>
      <c r="P3282" s="1" t="s">
        <v>7381</v>
      </c>
      <c r="Q3282" s="1" t="s">
        <v>7382</v>
      </c>
      <c r="R3282" s="1" t="s">
        <v>675</v>
      </c>
      <c r="S3282" s="1" t="s">
        <v>7383</v>
      </c>
      <c r="T3282" s="1" t="s">
        <v>7384</v>
      </c>
      <c r="U3282" s="2" t="s">
        <v>4632</v>
      </c>
      <c r="V3282" s="2" t="s">
        <v>36</v>
      </c>
      <c r="W3282" s="2" t="s">
        <v>142</v>
      </c>
      <c r="X3282" s="2">
        <v>318.39499999999998</v>
      </c>
    </row>
    <row r="3283" spans="1:24" x14ac:dyDescent="0.3">
      <c r="A3283">
        <v>21137</v>
      </c>
      <c r="B3283" t="s">
        <v>8273</v>
      </c>
      <c r="C3283" s="3">
        <v>41222</v>
      </c>
      <c r="D3283" t="s">
        <v>62</v>
      </c>
      <c r="E3283">
        <v>17</v>
      </c>
      <c r="F3283" s="3">
        <f ca="1">41223+(RANDBETWEEN(1,10))</f>
        <v>41229</v>
      </c>
      <c r="G3283" t="s">
        <v>26</v>
      </c>
      <c r="H3283" t="s">
        <v>51</v>
      </c>
      <c r="I3283" t="s">
        <v>52</v>
      </c>
      <c r="J3283">
        <v>103.95</v>
      </c>
      <c r="K3283">
        <v>0.05</v>
      </c>
      <c r="L3283">
        <v>0.51</v>
      </c>
      <c r="M3283">
        <v>6.9649999999999999</v>
      </c>
      <c r="N3283">
        <v>21.49</v>
      </c>
      <c r="O3283" s="1" t="s">
        <v>29</v>
      </c>
      <c r="P3283" s="1" t="s">
        <v>8274</v>
      </c>
      <c r="Q3283" s="1" t="s">
        <v>8275</v>
      </c>
      <c r="R3283" s="1" t="s">
        <v>32</v>
      </c>
      <c r="S3283" s="1" t="s">
        <v>8276</v>
      </c>
      <c r="T3283" s="1" t="s">
        <v>8277</v>
      </c>
      <c r="U3283" s="2" t="s">
        <v>6841</v>
      </c>
      <c r="V3283" s="2" t="s">
        <v>36</v>
      </c>
      <c r="W3283" s="2" t="s">
        <v>60</v>
      </c>
      <c r="X3283" s="2">
        <v>5.95</v>
      </c>
    </row>
    <row r="3284" spans="1:24" x14ac:dyDescent="0.3">
      <c r="A3284">
        <v>21138</v>
      </c>
      <c r="B3284" t="s">
        <v>8278</v>
      </c>
      <c r="C3284" s="3">
        <v>41047</v>
      </c>
      <c r="D3284" t="s">
        <v>39</v>
      </c>
      <c r="E3284">
        <v>1</v>
      </c>
      <c r="F3284" s="3">
        <f ca="1">41048+(RANDBETWEEN(1,10))</f>
        <v>41055</v>
      </c>
      <c r="G3284" t="s">
        <v>156</v>
      </c>
      <c r="H3284" t="s">
        <v>27</v>
      </c>
      <c r="I3284" t="s">
        <v>28</v>
      </c>
      <c r="J3284">
        <v>53.97</v>
      </c>
      <c r="K3284">
        <v>0.04</v>
      </c>
      <c r="L3284">
        <v>0.36</v>
      </c>
      <c r="M3284">
        <v>4.8650000000000002</v>
      </c>
      <c r="N3284">
        <v>25.445</v>
      </c>
      <c r="O3284" s="1" t="s">
        <v>40</v>
      </c>
      <c r="P3284" s="1" t="s">
        <v>7490</v>
      </c>
      <c r="Q3284" s="1" t="s">
        <v>7491</v>
      </c>
      <c r="R3284" s="1" t="s">
        <v>43</v>
      </c>
      <c r="S3284" s="1" t="s">
        <v>7492</v>
      </c>
      <c r="T3284" s="1" t="s">
        <v>7493</v>
      </c>
      <c r="U3284" s="2" t="s">
        <v>3975</v>
      </c>
      <c r="V3284" s="2" t="s">
        <v>47</v>
      </c>
      <c r="W3284" s="2" t="s">
        <v>48</v>
      </c>
      <c r="X3284" s="2">
        <v>26.74</v>
      </c>
    </row>
    <row r="3285" spans="1:24" x14ac:dyDescent="0.3">
      <c r="A3285">
        <v>21139</v>
      </c>
      <c r="B3285" t="s">
        <v>8279</v>
      </c>
      <c r="C3285" s="3">
        <v>41036</v>
      </c>
      <c r="D3285" t="s">
        <v>148</v>
      </c>
      <c r="E3285">
        <v>10</v>
      </c>
      <c r="F3285" s="3">
        <f ca="1">41036+(RANDBETWEEN(1,10))</f>
        <v>41043</v>
      </c>
      <c r="G3285" t="s">
        <v>26</v>
      </c>
      <c r="H3285" t="s">
        <v>27</v>
      </c>
      <c r="I3285" t="s">
        <v>97</v>
      </c>
      <c r="J3285">
        <v>2028.88</v>
      </c>
      <c r="K3285">
        <v>0.02</v>
      </c>
      <c r="L3285">
        <v>0.56000000000000005</v>
      </c>
      <c r="M3285">
        <v>46.27</v>
      </c>
      <c r="N3285">
        <v>860.58</v>
      </c>
      <c r="O3285" s="1" t="s">
        <v>29</v>
      </c>
      <c r="P3285" s="1" t="s">
        <v>5050</v>
      </c>
      <c r="Q3285" s="1" t="s">
        <v>5051</v>
      </c>
      <c r="R3285" s="1" t="s">
        <v>675</v>
      </c>
      <c r="S3285" s="1" t="s">
        <v>5052</v>
      </c>
      <c r="T3285" s="1" t="s">
        <v>5053</v>
      </c>
      <c r="U3285" s="2" t="s">
        <v>2644</v>
      </c>
      <c r="V3285" s="2" t="s">
        <v>47</v>
      </c>
      <c r="W3285" s="2" t="s">
        <v>71</v>
      </c>
      <c r="X3285" s="2">
        <v>199.36</v>
      </c>
    </row>
    <row r="3286" spans="1:24" x14ac:dyDescent="0.3">
      <c r="A3286">
        <v>21140</v>
      </c>
      <c r="B3286" t="s">
        <v>8280</v>
      </c>
      <c r="C3286" s="3">
        <v>41313</v>
      </c>
      <c r="D3286" t="s">
        <v>62</v>
      </c>
      <c r="E3286">
        <v>4</v>
      </c>
      <c r="F3286" s="3">
        <f ca="1">41313+(RANDBETWEEN(1,10))</f>
        <v>41317</v>
      </c>
      <c r="G3286" t="s">
        <v>26</v>
      </c>
      <c r="H3286" t="s">
        <v>27</v>
      </c>
      <c r="I3286" t="s">
        <v>52</v>
      </c>
      <c r="J3286">
        <v>131.005</v>
      </c>
      <c r="K3286">
        <v>0.03</v>
      </c>
      <c r="L3286">
        <v>0.36</v>
      </c>
      <c r="M3286">
        <v>19.600000000000001</v>
      </c>
      <c r="N3286">
        <v>-41.296500000000002</v>
      </c>
      <c r="O3286" s="1" t="s">
        <v>87</v>
      </c>
      <c r="P3286" s="1" t="s">
        <v>5676</v>
      </c>
      <c r="Q3286" s="1" t="s">
        <v>5677</v>
      </c>
      <c r="R3286" s="1" t="s">
        <v>398</v>
      </c>
      <c r="S3286" s="1" t="s">
        <v>5678</v>
      </c>
      <c r="T3286" s="1" t="s">
        <v>5679</v>
      </c>
      <c r="U3286" s="2" t="s">
        <v>3792</v>
      </c>
      <c r="V3286" s="2" t="s">
        <v>47</v>
      </c>
      <c r="W3286" s="2" t="s">
        <v>111</v>
      </c>
      <c r="X3286" s="2">
        <v>30.975000000000001</v>
      </c>
    </row>
    <row r="3287" spans="1:24" x14ac:dyDescent="0.3">
      <c r="A3287">
        <v>21141</v>
      </c>
      <c r="B3287" t="s">
        <v>8281</v>
      </c>
      <c r="C3287" s="3">
        <v>41473</v>
      </c>
      <c r="D3287" t="s">
        <v>148</v>
      </c>
      <c r="E3287">
        <v>1</v>
      </c>
      <c r="F3287" s="3">
        <f ca="1">41475+(RANDBETWEEN(1,10))</f>
        <v>41477</v>
      </c>
      <c r="G3287" t="s">
        <v>26</v>
      </c>
      <c r="H3287" t="s">
        <v>27</v>
      </c>
      <c r="I3287" t="s">
        <v>28</v>
      </c>
      <c r="J3287">
        <v>325.88499999999999</v>
      </c>
      <c r="K3287">
        <v>0</v>
      </c>
      <c r="L3287">
        <v>0.38</v>
      </c>
      <c r="M3287">
        <v>69.965000000000003</v>
      </c>
      <c r="N3287">
        <v>-154.63</v>
      </c>
      <c r="O3287" s="1" t="s">
        <v>87</v>
      </c>
      <c r="P3287" s="1" t="s">
        <v>4737</v>
      </c>
      <c r="Q3287" s="1" t="s">
        <v>4738</v>
      </c>
      <c r="R3287" s="1" t="s">
        <v>398</v>
      </c>
      <c r="S3287" s="1" t="s">
        <v>4739</v>
      </c>
      <c r="T3287" s="1" t="s">
        <v>4740</v>
      </c>
      <c r="U3287" s="2" t="s">
        <v>6175</v>
      </c>
      <c r="V3287" s="2" t="s">
        <v>47</v>
      </c>
      <c r="W3287" s="2" t="s">
        <v>48</v>
      </c>
      <c r="X3287" s="2">
        <v>293.755</v>
      </c>
    </row>
    <row r="3288" spans="1:24" x14ac:dyDescent="0.3">
      <c r="A3288">
        <v>21142</v>
      </c>
      <c r="B3288" t="s">
        <v>8282</v>
      </c>
      <c r="C3288" s="3">
        <v>41294</v>
      </c>
      <c r="D3288" t="s">
        <v>62</v>
      </c>
      <c r="E3288">
        <v>2</v>
      </c>
      <c r="F3288" s="3">
        <f ca="1">41296+(RANDBETWEEN(1,10))</f>
        <v>41301</v>
      </c>
      <c r="G3288" t="s">
        <v>26</v>
      </c>
      <c r="H3288" t="s">
        <v>51</v>
      </c>
      <c r="I3288" t="s">
        <v>52</v>
      </c>
      <c r="J3288">
        <v>128.625</v>
      </c>
      <c r="K3288">
        <v>7.0000000000000007E-2</v>
      </c>
      <c r="L3288">
        <v>0.47</v>
      </c>
      <c r="M3288">
        <v>31.465</v>
      </c>
      <c r="N3288">
        <v>-120.5652</v>
      </c>
      <c r="O3288" s="1" t="s">
        <v>29</v>
      </c>
      <c r="P3288" s="1" t="s">
        <v>2175</v>
      </c>
      <c r="Q3288" s="1" t="s">
        <v>2176</v>
      </c>
      <c r="R3288" s="1" t="s">
        <v>675</v>
      </c>
      <c r="S3288" s="1" t="s">
        <v>2177</v>
      </c>
      <c r="T3288" s="1" t="s">
        <v>2178</v>
      </c>
      <c r="U3288" s="2" t="s">
        <v>1320</v>
      </c>
      <c r="V3288" s="2" t="s">
        <v>83</v>
      </c>
      <c r="W3288" s="2" t="s">
        <v>178</v>
      </c>
      <c r="X3288" s="2">
        <v>61.844999999999999</v>
      </c>
    </row>
    <row r="3289" spans="1:24" x14ac:dyDescent="0.3">
      <c r="A3289">
        <v>21143</v>
      </c>
      <c r="B3289" t="s">
        <v>8282</v>
      </c>
      <c r="C3289" s="3">
        <v>41294</v>
      </c>
      <c r="D3289" t="s">
        <v>62</v>
      </c>
      <c r="E3289">
        <v>14</v>
      </c>
      <c r="F3289" s="3">
        <f ca="1">41296+(RANDBETWEEN(1,10))</f>
        <v>41305</v>
      </c>
      <c r="G3289" t="s">
        <v>26</v>
      </c>
      <c r="H3289" t="s">
        <v>27</v>
      </c>
      <c r="I3289" t="s">
        <v>52</v>
      </c>
      <c r="J3289">
        <v>415.52</v>
      </c>
      <c r="K3289">
        <v>0.03</v>
      </c>
      <c r="L3289">
        <v>0.57999999999999996</v>
      </c>
      <c r="M3289">
        <v>12.25</v>
      </c>
      <c r="N3289">
        <v>-85.8018</v>
      </c>
      <c r="O3289" s="1" t="s">
        <v>87</v>
      </c>
      <c r="P3289" s="1" t="s">
        <v>8283</v>
      </c>
      <c r="Q3289" s="1" t="s">
        <v>8284</v>
      </c>
      <c r="R3289" s="1" t="s">
        <v>646</v>
      </c>
      <c r="S3289" s="1" t="s">
        <v>1761</v>
      </c>
      <c r="T3289" s="1" t="s">
        <v>1762</v>
      </c>
      <c r="U3289" s="2" t="s">
        <v>2447</v>
      </c>
      <c r="V3289" s="2" t="s">
        <v>47</v>
      </c>
      <c r="W3289" s="2" t="s">
        <v>71</v>
      </c>
      <c r="X3289" s="2">
        <v>30.344999999999999</v>
      </c>
    </row>
    <row r="3290" spans="1:24" x14ac:dyDescent="0.3">
      <c r="A3290">
        <v>21144</v>
      </c>
      <c r="B3290" t="s">
        <v>8282</v>
      </c>
      <c r="C3290" s="3">
        <v>41294</v>
      </c>
      <c r="D3290" t="s">
        <v>62</v>
      </c>
      <c r="E3290">
        <v>1</v>
      </c>
      <c r="F3290" s="3">
        <f ca="1">41296+(RANDBETWEEN(1,10))</f>
        <v>41304</v>
      </c>
      <c r="G3290" t="s">
        <v>156</v>
      </c>
      <c r="H3290" t="s">
        <v>27</v>
      </c>
      <c r="I3290" t="s">
        <v>52</v>
      </c>
      <c r="J3290">
        <v>353.36</v>
      </c>
      <c r="K3290">
        <v>0.03</v>
      </c>
      <c r="L3290">
        <v>0.5</v>
      </c>
      <c r="M3290">
        <v>69.965000000000003</v>
      </c>
      <c r="N3290">
        <v>-1063.6905999999999</v>
      </c>
      <c r="O3290" s="1" t="s">
        <v>87</v>
      </c>
      <c r="P3290" s="1" t="s">
        <v>8283</v>
      </c>
      <c r="Q3290" s="1" t="s">
        <v>8284</v>
      </c>
      <c r="R3290" s="1" t="s">
        <v>646</v>
      </c>
      <c r="S3290" s="1" t="s">
        <v>1761</v>
      </c>
      <c r="T3290" s="1" t="s">
        <v>1762</v>
      </c>
      <c r="U3290" s="2" t="s">
        <v>6456</v>
      </c>
      <c r="V3290" s="2" t="s">
        <v>36</v>
      </c>
      <c r="W3290" s="2" t="s">
        <v>60</v>
      </c>
      <c r="X3290" s="2">
        <v>349.96499999999997</v>
      </c>
    </row>
    <row r="3291" spans="1:24" x14ac:dyDescent="0.3">
      <c r="A3291">
        <v>21145</v>
      </c>
      <c r="B3291" t="s">
        <v>8285</v>
      </c>
      <c r="C3291" s="3">
        <v>40629</v>
      </c>
      <c r="D3291" t="s">
        <v>148</v>
      </c>
      <c r="E3291">
        <v>12</v>
      </c>
      <c r="F3291" s="3">
        <f ca="1">40631+(RANDBETWEEN(1,10))</f>
        <v>40641</v>
      </c>
      <c r="G3291" t="s">
        <v>76</v>
      </c>
      <c r="H3291" t="s">
        <v>77</v>
      </c>
      <c r="I3291" t="s">
        <v>97</v>
      </c>
      <c r="J3291">
        <v>8495.1299999999992</v>
      </c>
      <c r="K3291">
        <v>0.08</v>
      </c>
      <c r="L3291">
        <v>0.59</v>
      </c>
      <c r="M3291">
        <v>51.45</v>
      </c>
      <c r="N3291">
        <v>5861.6396999999997</v>
      </c>
      <c r="O3291" s="1" t="s">
        <v>64</v>
      </c>
      <c r="P3291" s="1" t="s">
        <v>5814</v>
      </c>
      <c r="Q3291" s="1" t="s">
        <v>5815</v>
      </c>
      <c r="R3291" s="1" t="s">
        <v>128</v>
      </c>
      <c r="S3291" s="1" t="s">
        <v>5816</v>
      </c>
      <c r="T3291" s="1" t="s">
        <v>5817</v>
      </c>
      <c r="U3291" s="2" t="s">
        <v>5448</v>
      </c>
      <c r="V3291" s="2" t="s">
        <v>36</v>
      </c>
      <c r="W3291" s="2" t="s">
        <v>142</v>
      </c>
      <c r="X3291" s="2">
        <v>747.07500000000005</v>
      </c>
    </row>
    <row r="3292" spans="1:24" x14ac:dyDescent="0.3">
      <c r="A3292">
        <v>21146</v>
      </c>
      <c r="B3292" t="s">
        <v>8285</v>
      </c>
      <c r="C3292" s="3">
        <v>40629</v>
      </c>
      <c r="D3292" t="s">
        <v>148</v>
      </c>
      <c r="E3292">
        <v>8</v>
      </c>
      <c r="F3292" s="3">
        <f ca="1">40631+(RANDBETWEEN(1,10))</f>
        <v>40640</v>
      </c>
      <c r="G3292" t="s">
        <v>26</v>
      </c>
      <c r="H3292" t="s">
        <v>27</v>
      </c>
      <c r="I3292" t="s">
        <v>97</v>
      </c>
      <c r="J3292">
        <v>1521.9749999999999</v>
      </c>
      <c r="K3292">
        <v>0.1</v>
      </c>
      <c r="L3292">
        <v>0.36</v>
      </c>
      <c r="M3292">
        <v>48.58</v>
      </c>
      <c r="N3292">
        <v>1050.16275</v>
      </c>
      <c r="O3292" s="1" t="s">
        <v>64</v>
      </c>
      <c r="P3292" s="1" t="s">
        <v>5814</v>
      </c>
      <c r="Q3292" s="1" t="s">
        <v>5815</v>
      </c>
      <c r="R3292" s="1" t="s">
        <v>128</v>
      </c>
      <c r="S3292" s="1" t="s">
        <v>5816</v>
      </c>
      <c r="T3292" s="1" t="s">
        <v>5817</v>
      </c>
      <c r="U3292" s="2" t="s">
        <v>3437</v>
      </c>
      <c r="V3292" s="2" t="s">
        <v>47</v>
      </c>
      <c r="W3292" s="2" t="s">
        <v>74</v>
      </c>
      <c r="X3292" s="2">
        <v>195.93</v>
      </c>
    </row>
    <row r="3293" spans="1:24" x14ac:dyDescent="0.3">
      <c r="A3293">
        <v>21147</v>
      </c>
      <c r="B3293" t="s">
        <v>8285</v>
      </c>
      <c r="C3293" s="3">
        <v>40629</v>
      </c>
      <c r="D3293" t="s">
        <v>148</v>
      </c>
      <c r="E3293">
        <v>1</v>
      </c>
      <c r="F3293" s="3">
        <f ca="1">40630+(RANDBETWEEN(1,10))</f>
        <v>40637</v>
      </c>
      <c r="G3293" t="s">
        <v>26</v>
      </c>
      <c r="H3293" t="s">
        <v>27</v>
      </c>
      <c r="I3293" t="s">
        <v>97</v>
      </c>
      <c r="J3293">
        <v>67.06</v>
      </c>
      <c r="K3293">
        <v>0</v>
      </c>
      <c r="L3293">
        <v>0.59</v>
      </c>
      <c r="M3293">
        <v>29.19</v>
      </c>
      <c r="N3293">
        <v>-98.314999999999998</v>
      </c>
      <c r="O3293" s="1" t="s">
        <v>64</v>
      </c>
      <c r="P3293" s="1" t="s">
        <v>5814</v>
      </c>
      <c r="Q3293" s="1" t="s">
        <v>5815</v>
      </c>
      <c r="R3293" s="1" t="s">
        <v>128</v>
      </c>
      <c r="S3293" s="1" t="s">
        <v>5816</v>
      </c>
      <c r="T3293" s="1" t="s">
        <v>5817</v>
      </c>
      <c r="U3293" s="2" t="s">
        <v>379</v>
      </c>
      <c r="V3293" s="2" t="s">
        <v>47</v>
      </c>
      <c r="W3293" s="2" t="s">
        <v>119</v>
      </c>
      <c r="X3293" s="2">
        <v>56.21</v>
      </c>
    </row>
    <row r="3294" spans="1:24" x14ac:dyDescent="0.3">
      <c r="A3294">
        <v>21148</v>
      </c>
      <c r="B3294" t="s">
        <v>8286</v>
      </c>
      <c r="C3294" s="3">
        <v>41779</v>
      </c>
      <c r="D3294" t="s">
        <v>62</v>
      </c>
      <c r="E3294">
        <v>10</v>
      </c>
      <c r="F3294" s="3">
        <f ca="1">41782+(RANDBETWEEN(1,10))</f>
        <v>41787</v>
      </c>
      <c r="G3294" t="s">
        <v>26</v>
      </c>
      <c r="H3294" t="s">
        <v>96</v>
      </c>
      <c r="I3294" t="s">
        <v>97</v>
      </c>
      <c r="J3294">
        <v>275.10000000000002</v>
      </c>
      <c r="K3294">
        <v>0.06</v>
      </c>
      <c r="L3294">
        <v>0.52</v>
      </c>
      <c r="M3294">
        <v>12.88</v>
      </c>
      <c r="N3294">
        <v>-34.229999999999997</v>
      </c>
      <c r="O3294" s="1" t="s">
        <v>29</v>
      </c>
      <c r="P3294" s="1" t="s">
        <v>8287</v>
      </c>
      <c r="Q3294" s="1" t="s">
        <v>8288</v>
      </c>
      <c r="R3294" s="1" t="s">
        <v>32</v>
      </c>
      <c r="S3294" s="1" t="s">
        <v>3689</v>
      </c>
      <c r="T3294" s="1" t="s">
        <v>3690</v>
      </c>
      <c r="U3294" s="2" t="s">
        <v>2888</v>
      </c>
      <c r="V3294" s="2" t="s">
        <v>83</v>
      </c>
      <c r="W3294" s="2" t="s">
        <v>178</v>
      </c>
      <c r="X3294" s="2">
        <v>26.95</v>
      </c>
    </row>
    <row r="3295" spans="1:24" x14ac:dyDescent="0.3">
      <c r="A3295">
        <v>21149</v>
      </c>
      <c r="B3295" t="s">
        <v>8289</v>
      </c>
      <c r="C3295" s="3">
        <v>41089</v>
      </c>
      <c r="D3295" t="s">
        <v>62</v>
      </c>
      <c r="E3295">
        <v>6</v>
      </c>
      <c r="F3295" s="3">
        <f ca="1">41091+(RANDBETWEEN(1,10))</f>
        <v>41101</v>
      </c>
      <c r="G3295" t="s">
        <v>26</v>
      </c>
      <c r="H3295" t="s">
        <v>96</v>
      </c>
      <c r="I3295" t="s">
        <v>86</v>
      </c>
      <c r="J3295">
        <v>112.315</v>
      </c>
      <c r="K3295">
        <v>0.02</v>
      </c>
      <c r="L3295">
        <v>0.36</v>
      </c>
      <c r="M3295">
        <v>7.14</v>
      </c>
      <c r="N3295">
        <v>59.597999999999999</v>
      </c>
      <c r="O3295" s="1" t="s">
        <v>29</v>
      </c>
      <c r="P3295" s="1" t="s">
        <v>4613</v>
      </c>
      <c r="Q3295" s="1" t="s">
        <v>4614</v>
      </c>
      <c r="R3295" s="1" t="s">
        <v>32</v>
      </c>
      <c r="S3295" s="1" t="s">
        <v>4615</v>
      </c>
      <c r="T3295" s="1" t="s">
        <v>4616</v>
      </c>
      <c r="U3295" s="2" t="s">
        <v>204</v>
      </c>
      <c r="V3295" s="2" t="s">
        <v>47</v>
      </c>
      <c r="W3295" s="2" t="s">
        <v>74</v>
      </c>
      <c r="X3295" s="2">
        <v>18.13</v>
      </c>
    </row>
    <row r="3296" spans="1:24" x14ac:dyDescent="0.3">
      <c r="A3296">
        <v>21150</v>
      </c>
      <c r="B3296" t="s">
        <v>8289</v>
      </c>
      <c r="C3296" s="3">
        <v>41089</v>
      </c>
      <c r="D3296" t="s">
        <v>62</v>
      </c>
      <c r="E3296">
        <v>13</v>
      </c>
      <c r="F3296" s="3">
        <f ca="1">41091+(RANDBETWEEN(1,10))</f>
        <v>41096</v>
      </c>
      <c r="G3296" t="s">
        <v>76</v>
      </c>
      <c r="H3296" t="s">
        <v>258</v>
      </c>
      <c r="I3296" t="s">
        <v>86</v>
      </c>
      <c r="J3296">
        <v>8022.1750000000002</v>
      </c>
      <c r="K3296">
        <v>0.04</v>
      </c>
      <c r="L3296">
        <v>0.77</v>
      </c>
      <c r="M3296">
        <v>243.74</v>
      </c>
      <c r="N3296">
        <v>-1480.22875</v>
      </c>
      <c r="O3296" s="1" t="s">
        <v>29</v>
      </c>
      <c r="P3296" s="1" t="s">
        <v>4613</v>
      </c>
      <c r="Q3296" s="1" t="s">
        <v>4614</v>
      </c>
      <c r="R3296" s="1" t="s">
        <v>32</v>
      </c>
      <c r="S3296" s="1" t="s">
        <v>4615</v>
      </c>
      <c r="T3296" s="1" t="s">
        <v>4616</v>
      </c>
      <c r="U3296" s="2" t="s">
        <v>1233</v>
      </c>
      <c r="V3296" s="2" t="s">
        <v>83</v>
      </c>
      <c r="W3296" s="2" t="s">
        <v>263</v>
      </c>
      <c r="X3296" s="2">
        <v>765.625</v>
      </c>
    </row>
    <row r="3297" spans="1:24" x14ac:dyDescent="0.3">
      <c r="A3297">
        <v>21151</v>
      </c>
      <c r="B3297" t="s">
        <v>8290</v>
      </c>
      <c r="C3297" s="3">
        <v>41002</v>
      </c>
      <c r="D3297" t="s">
        <v>25</v>
      </c>
      <c r="E3297">
        <v>8</v>
      </c>
      <c r="F3297" s="3">
        <f ca="1">41007+(RANDBETWEEN(1,10))</f>
        <v>41010</v>
      </c>
      <c r="G3297" t="s">
        <v>26</v>
      </c>
      <c r="H3297" t="s">
        <v>27</v>
      </c>
      <c r="I3297" t="s">
        <v>86</v>
      </c>
      <c r="J3297">
        <v>1641.4649999999999</v>
      </c>
      <c r="K3297">
        <v>0.09</v>
      </c>
      <c r="L3297">
        <v>0.46</v>
      </c>
      <c r="M3297">
        <v>50.68</v>
      </c>
      <c r="N3297">
        <v>1132.61085</v>
      </c>
      <c r="O3297" s="1" t="s">
        <v>29</v>
      </c>
      <c r="P3297" s="1" t="s">
        <v>8291</v>
      </c>
      <c r="Q3297" s="1" t="s">
        <v>8292</v>
      </c>
      <c r="R3297" s="1" t="s">
        <v>675</v>
      </c>
      <c r="S3297" s="1" t="s">
        <v>1324</v>
      </c>
      <c r="T3297" s="1" t="s">
        <v>1325</v>
      </c>
      <c r="U3297" s="2" t="s">
        <v>6357</v>
      </c>
      <c r="V3297" s="2" t="s">
        <v>83</v>
      </c>
      <c r="W3297" s="2" t="s">
        <v>178</v>
      </c>
      <c r="X3297" s="2">
        <v>223.79</v>
      </c>
    </row>
    <row r="3298" spans="1:24" x14ac:dyDescent="0.3">
      <c r="A3298">
        <v>21152</v>
      </c>
      <c r="B3298" t="s">
        <v>8290</v>
      </c>
      <c r="C3298" s="3">
        <v>41002</v>
      </c>
      <c r="D3298" t="s">
        <v>25</v>
      </c>
      <c r="E3298">
        <v>12</v>
      </c>
      <c r="F3298" s="3">
        <f ca="1">41002+(RANDBETWEEN(1,10))</f>
        <v>41003</v>
      </c>
      <c r="G3298" t="s">
        <v>76</v>
      </c>
      <c r="H3298" t="s">
        <v>258</v>
      </c>
      <c r="I3298" t="s">
        <v>86</v>
      </c>
      <c r="J3298">
        <v>6211.45</v>
      </c>
      <c r="K3298">
        <v>0.03</v>
      </c>
      <c r="L3298">
        <v>0.65</v>
      </c>
      <c r="M3298">
        <v>231.94499999999999</v>
      </c>
      <c r="N3298">
        <v>-3715.88</v>
      </c>
      <c r="O3298" s="1" t="s">
        <v>53</v>
      </c>
      <c r="P3298" s="1" t="s">
        <v>1972</v>
      </c>
      <c r="Q3298" s="1" t="s">
        <v>1973</v>
      </c>
      <c r="R3298" s="1" t="s">
        <v>100</v>
      </c>
      <c r="S3298" s="1" t="s">
        <v>1974</v>
      </c>
      <c r="T3298" s="1" t="s">
        <v>1975</v>
      </c>
      <c r="U3298" s="2" t="s">
        <v>3398</v>
      </c>
      <c r="V3298" s="2" t="s">
        <v>83</v>
      </c>
      <c r="W3298" s="2" t="s">
        <v>298</v>
      </c>
      <c r="X3298" s="2">
        <v>528.42999999999995</v>
      </c>
    </row>
    <row r="3299" spans="1:24" x14ac:dyDescent="0.3">
      <c r="A3299">
        <v>21153</v>
      </c>
      <c r="B3299" t="s">
        <v>8293</v>
      </c>
      <c r="C3299" s="3">
        <v>40845</v>
      </c>
      <c r="D3299" t="s">
        <v>148</v>
      </c>
      <c r="E3299">
        <v>14</v>
      </c>
      <c r="F3299" s="3">
        <f ca="1">40848+(RANDBETWEEN(1,10))</f>
        <v>40852</v>
      </c>
      <c r="G3299" t="s">
        <v>76</v>
      </c>
      <c r="H3299" t="s">
        <v>77</v>
      </c>
      <c r="I3299" t="s">
        <v>28</v>
      </c>
      <c r="J3299">
        <v>4821.1099999999997</v>
      </c>
      <c r="K3299">
        <v>0.02</v>
      </c>
      <c r="L3299">
        <v>0.56999999999999995</v>
      </c>
      <c r="M3299">
        <v>260.22500000000002</v>
      </c>
      <c r="N3299">
        <v>2227.8270000000002</v>
      </c>
      <c r="O3299" s="1" t="s">
        <v>40</v>
      </c>
      <c r="P3299" s="1" t="s">
        <v>8294</v>
      </c>
      <c r="Q3299" s="1" t="s">
        <v>8295</v>
      </c>
      <c r="R3299" s="1" t="s">
        <v>43</v>
      </c>
      <c r="S3299" s="1" t="s">
        <v>1136</v>
      </c>
      <c r="T3299" s="1" t="s">
        <v>1137</v>
      </c>
      <c r="U3299" s="2" t="s">
        <v>1560</v>
      </c>
      <c r="V3299" s="2" t="s">
        <v>83</v>
      </c>
      <c r="W3299" s="2" t="s">
        <v>84</v>
      </c>
      <c r="X3299" s="2">
        <v>335.82499999999999</v>
      </c>
    </row>
    <row r="3300" spans="1:24" x14ac:dyDescent="0.3">
      <c r="A3300">
        <v>21154</v>
      </c>
      <c r="B3300" t="s">
        <v>8296</v>
      </c>
      <c r="C3300" s="3">
        <v>41014</v>
      </c>
      <c r="D3300" t="s">
        <v>25</v>
      </c>
      <c r="E3300">
        <v>1</v>
      </c>
      <c r="F3300" s="3">
        <f ca="1">41019+(RANDBETWEEN(1,10))</f>
        <v>41022</v>
      </c>
      <c r="G3300" t="s">
        <v>26</v>
      </c>
      <c r="H3300" t="s">
        <v>27</v>
      </c>
      <c r="I3300" t="s">
        <v>86</v>
      </c>
      <c r="J3300">
        <v>256.16500000000002</v>
      </c>
      <c r="K3300">
        <v>0.05</v>
      </c>
      <c r="L3300">
        <v>0.65</v>
      </c>
      <c r="M3300">
        <v>50.82</v>
      </c>
      <c r="N3300">
        <v>-850.57</v>
      </c>
      <c r="O3300" s="1" t="s">
        <v>29</v>
      </c>
      <c r="P3300" s="1" t="s">
        <v>6679</v>
      </c>
      <c r="Q3300" s="1" t="s">
        <v>6680</v>
      </c>
      <c r="R3300" s="1" t="s">
        <v>32</v>
      </c>
      <c r="S3300" s="1" t="s">
        <v>6681</v>
      </c>
      <c r="T3300" s="1" t="s">
        <v>6682</v>
      </c>
      <c r="U3300" s="2" t="s">
        <v>2448</v>
      </c>
      <c r="V3300" s="2" t="s">
        <v>36</v>
      </c>
      <c r="W3300" s="2" t="s">
        <v>60</v>
      </c>
      <c r="X3300" s="2">
        <v>258.93</v>
      </c>
    </row>
    <row r="3301" spans="1:24" x14ac:dyDescent="0.3">
      <c r="A3301">
        <v>21155</v>
      </c>
      <c r="B3301" t="s">
        <v>8297</v>
      </c>
      <c r="C3301" s="3">
        <v>41265</v>
      </c>
      <c r="D3301" t="s">
        <v>50</v>
      </c>
      <c r="E3301">
        <v>5</v>
      </c>
      <c r="F3301" s="3">
        <f ca="1">41267+(RANDBETWEEN(1,10))</f>
        <v>41273</v>
      </c>
      <c r="G3301" t="s">
        <v>156</v>
      </c>
      <c r="H3301" t="s">
        <v>27</v>
      </c>
      <c r="I3301" t="s">
        <v>28</v>
      </c>
      <c r="J3301">
        <v>541.27499999999998</v>
      </c>
      <c r="K3301">
        <v>0.05</v>
      </c>
      <c r="L3301">
        <v>0.64</v>
      </c>
      <c r="M3301">
        <v>22.75</v>
      </c>
      <c r="N3301">
        <v>-136.3075</v>
      </c>
      <c r="O3301" s="1" t="s">
        <v>225</v>
      </c>
      <c r="P3301" s="1" t="s">
        <v>6460</v>
      </c>
      <c r="Q3301" s="1" t="s">
        <v>6461</v>
      </c>
      <c r="R3301" s="1" t="s">
        <v>228</v>
      </c>
      <c r="S3301" s="1" t="s">
        <v>6462</v>
      </c>
      <c r="T3301" s="1" t="s">
        <v>6463</v>
      </c>
      <c r="U3301" s="2" t="s">
        <v>2033</v>
      </c>
      <c r="V3301" s="2" t="s">
        <v>36</v>
      </c>
      <c r="W3301" s="2" t="s">
        <v>60</v>
      </c>
      <c r="X3301" s="2">
        <v>108.43</v>
      </c>
    </row>
    <row r="3302" spans="1:24" x14ac:dyDescent="0.3">
      <c r="A3302">
        <v>21156</v>
      </c>
      <c r="B3302" t="s">
        <v>8298</v>
      </c>
      <c r="C3302" s="3">
        <v>41576</v>
      </c>
      <c r="D3302" t="s">
        <v>39</v>
      </c>
      <c r="E3302">
        <v>18</v>
      </c>
      <c r="F3302" s="3">
        <f ca="1">41577+(RANDBETWEEN(1,10))</f>
        <v>41583</v>
      </c>
      <c r="G3302" t="s">
        <v>156</v>
      </c>
      <c r="H3302" t="s">
        <v>27</v>
      </c>
      <c r="I3302" t="s">
        <v>28</v>
      </c>
      <c r="J3302">
        <v>16702.314999999999</v>
      </c>
      <c r="K3302">
        <v>0</v>
      </c>
      <c r="L3302">
        <v>0.51</v>
      </c>
      <c r="M3302">
        <v>39.375</v>
      </c>
      <c r="N3302">
        <v>10925.0736</v>
      </c>
      <c r="O3302" s="1" t="s">
        <v>87</v>
      </c>
      <c r="P3302" s="1" t="s">
        <v>7952</v>
      </c>
      <c r="Q3302" s="1" t="s">
        <v>7953</v>
      </c>
      <c r="R3302" s="1" t="s">
        <v>497</v>
      </c>
      <c r="S3302" s="1" t="s">
        <v>7954</v>
      </c>
      <c r="T3302" s="1" t="s">
        <v>7955</v>
      </c>
      <c r="U3302" s="2" t="s">
        <v>8299</v>
      </c>
      <c r="V3302" s="2" t="s">
        <v>36</v>
      </c>
      <c r="W3302" s="2" t="s">
        <v>60</v>
      </c>
      <c r="X3302" s="2">
        <v>899.46500000000003</v>
      </c>
    </row>
    <row r="3303" spans="1:24" x14ac:dyDescent="0.3">
      <c r="A3303">
        <v>21157</v>
      </c>
      <c r="B3303" t="s">
        <v>8298</v>
      </c>
      <c r="C3303" s="3">
        <v>41576</v>
      </c>
      <c r="D3303" t="s">
        <v>39</v>
      </c>
      <c r="E3303">
        <v>4</v>
      </c>
      <c r="F3303" s="3">
        <f ca="1">41577+(RANDBETWEEN(1,10))</f>
        <v>41585</v>
      </c>
      <c r="G3303" t="s">
        <v>26</v>
      </c>
      <c r="H3303" t="s">
        <v>96</v>
      </c>
      <c r="I3303" t="s">
        <v>28</v>
      </c>
      <c r="J3303">
        <v>57.61</v>
      </c>
      <c r="K3303">
        <v>0.05</v>
      </c>
      <c r="L3303">
        <v>0.53</v>
      </c>
      <c r="M3303">
        <v>7</v>
      </c>
      <c r="N3303">
        <v>-29.2194</v>
      </c>
      <c r="O3303" s="1" t="s">
        <v>87</v>
      </c>
      <c r="P3303" s="1" t="s">
        <v>7952</v>
      </c>
      <c r="Q3303" s="1" t="s">
        <v>7953</v>
      </c>
      <c r="R3303" s="1" t="s">
        <v>497</v>
      </c>
      <c r="S3303" s="1" t="s">
        <v>7954</v>
      </c>
      <c r="T3303" s="1" t="s">
        <v>7955</v>
      </c>
      <c r="U3303" s="2" t="s">
        <v>955</v>
      </c>
      <c r="V3303" s="2" t="s">
        <v>47</v>
      </c>
      <c r="W3303" s="2" t="s">
        <v>176</v>
      </c>
      <c r="X3303" s="2">
        <v>13.824999999999999</v>
      </c>
    </row>
    <row r="3304" spans="1:24" x14ac:dyDescent="0.3">
      <c r="A3304">
        <v>21158</v>
      </c>
      <c r="B3304" t="s">
        <v>8300</v>
      </c>
      <c r="C3304" s="3">
        <v>41178</v>
      </c>
      <c r="D3304" t="s">
        <v>50</v>
      </c>
      <c r="E3304">
        <v>5</v>
      </c>
      <c r="F3304" s="3">
        <f ca="1">41181+(RANDBETWEEN(1,10))</f>
        <v>41187</v>
      </c>
      <c r="G3304" t="s">
        <v>26</v>
      </c>
      <c r="H3304" t="s">
        <v>96</v>
      </c>
      <c r="I3304" t="s">
        <v>28</v>
      </c>
      <c r="J3304">
        <v>29.05</v>
      </c>
      <c r="K3304">
        <v>0.05</v>
      </c>
      <c r="L3304">
        <v>0.6</v>
      </c>
      <c r="M3304">
        <v>2.4500000000000002</v>
      </c>
      <c r="N3304">
        <v>-13.615</v>
      </c>
      <c r="O3304" s="1" t="s">
        <v>40</v>
      </c>
      <c r="P3304" s="1" t="s">
        <v>7532</v>
      </c>
      <c r="Q3304" s="1" t="s">
        <v>7533</v>
      </c>
      <c r="R3304" s="1" t="s">
        <v>43</v>
      </c>
      <c r="S3304" s="1" t="s">
        <v>7534</v>
      </c>
      <c r="T3304" s="1" t="s">
        <v>7535</v>
      </c>
      <c r="U3304" s="2" t="s">
        <v>450</v>
      </c>
      <c r="V3304" s="2" t="s">
        <v>47</v>
      </c>
      <c r="W3304" s="2" t="s">
        <v>104</v>
      </c>
      <c r="X3304" s="2">
        <v>5.88</v>
      </c>
    </row>
    <row r="3305" spans="1:24" x14ac:dyDescent="0.3">
      <c r="A3305">
        <v>21159</v>
      </c>
      <c r="B3305" t="s">
        <v>8301</v>
      </c>
      <c r="C3305" s="3">
        <v>41650</v>
      </c>
      <c r="D3305" t="s">
        <v>25</v>
      </c>
      <c r="E3305">
        <v>10</v>
      </c>
      <c r="F3305" s="3">
        <f ca="1">41650+(RANDBETWEEN(1,10))</f>
        <v>41651</v>
      </c>
      <c r="G3305" t="s">
        <v>76</v>
      </c>
      <c r="H3305" t="s">
        <v>77</v>
      </c>
      <c r="I3305" t="s">
        <v>28</v>
      </c>
      <c r="J3305">
        <v>9843.1200000000008</v>
      </c>
      <c r="K3305">
        <v>7.0000000000000007E-2</v>
      </c>
      <c r="L3305">
        <v>0.78</v>
      </c>
      <c r="M3305">
        <v>199.5</v>
      </c>
      <c r="N3305">
        <v>-1669.164</v>
      </c>
      <c r="O3305" s="1" t="s">
        <v>64</v>
      </c>
      <c r="P3305" s="1" t="s">
        <v>6432</v>
      </c>
      <c r="Q3305" s="1" t="s">
        <v>6433</v>
      </c>
      <c r="R3305" s="1" t="s">
        <v>67</v>
      </c>
      <c r="S3305" s="1" t="s">
        <v>6434</v>
      </c>
      <c r="T3305" s="1" t="s">
        <v>6435</v>
      </c>
      <c r="U3305" s="2" t="s">
        <v>3811</v>
      </c>
      <c r="V3305" s="2" t="s">
        <v>83</v>
      </c>
      <c r="W3305" s="2" t="s">
        <v>84</v>
      </c>
      <c r="X3305" s="2">
        <v>983.43</v>
      </c>
    </row>
    <row r="3306" spans="1:24" x14ac:dyDescent="0.3">
      <c r="A3306">
        <v>21160</v>
      </c>
      <c r="B3306" t="s">
        <v>8301</v>
      </c>
      <c r="C3306" s="3">
        <v>41650</v>
      </c>
      <c r="D3306" t="s">
        <v>25</v>
      </c>
      <c r="E3306">
        <v>4</v>
      </c>
      <c r="F3306" s="3">
        <f ca="1">41655+(RANDBETWEEN(1,10))</f>
        <v>41659</v>
      </c>
      <c r="G3306" t="s">
        <v>76</v>
      </c>
      <c r="H3306" t="s">
        <v>77</v>
      </c>
      <c r="I3306" t="s">
        <v>28</v>
      </c>
      <c r="J3306">
        <v>6710.7250000000004</v>
      </c>
      <c r="K3306">
        <v>0.08</v>
      </c>
      <c r="L3306">
        <v>0.38</v>
      </c>
      <c r="M3306">
        <v>98.49</v>
      </c>
      <c r="N3306">
        <v>4630.4002499999997</v>
      </c>
      <c r="O3306" s="1" t="s">
        <v>64</v>
      </c>
      <c r="P3306" s="1" t="s">
        <v>6432</v>
      </c>
      <c r="Q3306" s="1" t="s">
        <v>6433</v>
      </c>
      <c r="R3306" s="1" t="s">
        <v>67</v>
      </c>
      <c r="S3306" s="1" t="s">
        <v>6434</v>
      </c>
      <c r="T3306" s="1" t="s">
        <v>6435</v>
      </c>
      <c r="U3306" s="2" t="s">
        <v>720</v>
      </c>
      <c r="V3306" s="2" t="s">
        <v>36</v>
      </c>
      <c r="W3306" s="2" t="s">
        <v>142</v>
      </c>
      <c r="X3306" s="2">
        <v>1753.43</v>
      </c>
    </row>
    <row r="3307" spans="1:24" x14ac:dyDescent="0.3">
      <c r="A3307">
        <v>21161</v>
      </c>
      <c r="B3307" t="s">
        <v>8302</v>
      </c>
      <c r="C3307" s="3">
        <v>41746</v>
      </c>
      <c r="D3307" t="s">
        <v>148</v>
      </c>
      <c r="E3307">
        <v>10</v>
      </c>
      <c r="F3307" s="3">
        <f ca="1">41747+(RANDBETWEEN(1,10))</f>
        <v>41751</v>
      </c>
      <c r="G3307" t="s">
        <v>26</v>
      </c>
      <c r="H3307" t="s">
        <v>27</v>
      </c>
      <c r="I3307" t="s">
        <v>28</v>
      </c>
      <c r="J3307">
        <v>1788.7449999999999</v>
      </c>
      <c r="K3307">
        <v>0.1</v>
      </c>
      <c r="L3307">
        <v>0.56000000000000005</v>
      </c>
      <c r="M3307">
        <v>19.704999999999998</v>
      </c>
      <c r="N3307">
        <v>1170.855</v>
      </c>
      <c r="O3307" s="1" t="s">
        <v>29</v>
      </c>
      <c r="P3307" s="1" t="s">
        <v>3451</v>
      </c>
      <c r="Q3307" s="1" t="s">
        <v>3452</v>
      </c>
      <c r="R3307" s="1" t="s">
        <v>675</v>
      </c>
      <c r="S3307" s="1" t="s">
        <v>3453</v>
      </c>
      <c r="T3307" s="1" t="s">
        <v>3454</v>
      </c>
      <c r="U3307" s="2">
        <v>2190</v>
      </c>
      <c r="V3307" s="2" t="s">
        <v>36</v>
      </c>
      <c r="W3307" s="2" t="s">
        <v>37</v>
      </c>
      <c r="X3307" s="2">
        <v>230.965</v>
      </c>
    </row>
    <row r="3308" spans="1:24" x14ac:dyDescent="0.3">
      <c r="A3308">
        <v>21162</v>
      </c>
      <c r="B3308" t="s">
        <v>8303</v>
      </c>
      <c r="C3308" s="3">
        <v>41556</v>
      </c>
      <c r="D3308" t="s">
        <v>25</v>
      </c>
      <c r="E3308">
        <v>19</v>
      </c>
      <c r="F3308" s="3">
        <f ca="1">41558+(RANDBETWEEN(1,10))</f>
        <v>41562</v>
      </c>
      <c r="G3308" t="s">
        <v>26</v>
      </c>
      <c r="H3308" t="s">
        <v>27</v>
      </c>
      <c r="I3308" t="s">
        <v>97</v>
      </c>
      <c r="J3308">
        <v>4100.8450000000003</v>
      </c>
      <c r="K3308">
        <v>0.1</v>
      </c>
      <c r="L3308">
        <v>0.57999999999999996</v>
      </c>
      <c r="M3308">
        <v>3.4649999999999999</v>
      </c>
      <c r="N3308">
        <v>2241.6673999999998</v>
      </c>
      <c r="O3308" s="1" t="s">
        <v>87</v>
      </c>
      <c r="P3308" s="1" t="s">
        <v>7785</v>
      </c>
      <c r="Q3308" s="1" t="s">
        <v>7786</v>
      </c>
      <c r="R3308" s="1" t="s">
        <v>497</v>
      </c>
      <c r="S3308" s="1" t="s">
        <v>7787</v>
      </c>
      <c r="T3308" s="1" t="s">
        <v>7788</v>
      </c>
      <c r="U3308" s="2" t="s">
        <v>8304</v>
      </c>
      <c r="V3308" s="2" t="s">
        <v>47</v>
      </c>
      <c r="W3308" s="2" t="s">
        <v>71</v>
      </c>
      <c r="X3308" s="2">
        <v>237.44</v>
      </c>
    </row>
    <row r="3309" spans="1:24" x14ac:dyDescent="0.3">
      <c r="A3309">
        <v>21163</v>
      </c>
      <c r="B3309" t="s">
        <v>8305</v>
      </c>
      <c r="C3309" s="3">
        <v>40727</v>
      </c>
      <c r="D3309" t="s">
        <v>25</v>
      </c>
      <c r="E3309">
        <v>13</v>
      </c>
      <c r="F3309" s="3">
        <f ca="1">40732+(RANDBETWEEN(1,10))</f>
        <v>40734</v>
      </c>
      <c r="G3309" t="s">
        <v>26</v>
      </c>
      <c r="H3309" t="s">
        <v>96</v>
      </c>
      <c r="I3309" t="s">
        <v>52</v>
      </c>
      <c r="J3309">
        <v>459.69</v>
      </c>
      <c r="K3309">
        <v>0.02</v>
      </c>
      <c r="L3309">
        <v>0.39</v>
      </c>
      <c r="M3309">
        <v>7.21</v>
      </c>
      <c r="N3309">
        <v>317.18610000000001</v>
      </c>
      <c r="O3309" s="1" t="s">
        <v>64</v>
      </c>
      <c r="P3309" s="1" t="s">
        <v>6904</v>
      </c>
      <c r="Q3309" s="1" t="s">
        <v>6905</v>
      </c>
      <c r="R3309" s="1" t="s">
        <v>67</v>
      </c>
      <c r="S3309" s="1" t="s">
        <v>6906</v>
      </c>
      <c r="T3309" s="1" t="s">
        <v>6907</v>
      </c>
      <c r="U3309" s="2" t="s">
        <v>2438</v>
      </c>
      <c r="V3309" s="2" t="s">
        <v>47</v>
      </c>
      <c r="W3309" s="2" t="s">
        <v>74</v>
      </c>
      <c r="X3309" s="2">
        <v>35.21</v>
      </c>
    </row>
    <row r="3310" spans="1:24" x14ac:dyDescent="0.3">
      <c r="A3310">
        <v>21164</v>
      </c>
      <c r="B3310" t="s">
        <v>8306</v>
      </c>
      <c r="C3310" s="3">
        <v>41458</v>
      </c>
      <c r="D3310" t="s">
        <v>50</v>
      </c>
      <c r="E3310">
        <v>15</v>
      </c>
      <c r="F3310" s="3">
        <f ca="1">41458+(RANDBETWEEN(1,10))</f>
        <v>41465</v>
      </c>
      <c r="G3310" t="s">
        <v>26</v>
      </c>
      <c r="H3310" t="s">
        <v>27</v>
      </c>
      <c r="I3310" t="s">
        <v>28</v>
      </c>
      <c r="J3310">
        <v>346.29</v>
      </c>
      <c r="K3310">
        <v>7.0000000000000007E-2</v>
      </c>
      <c r="L3310">
        <v>0.36</v>
      </c>
      <c r="M3310">
        <v>23.274999999999999</v>
      </c>
      <c r="N3310">
        <v>-13.867000000000001</v>
      </c>
      <c r="O3310" s="1" t="s">
        <v>29</v>
      </c>
      <c r="P3310" s="1" t="s">
        <v>3094</v>
      </c>
      <c r="Q3310" s="1" t="s">
        <v>3095</v>
      </c>
      <c r="R3310" s="1" t="s">
        <v>675</v>
      </c>
      <c r="S3310" s="1" t="s">
        <v>3096</v>
      </c>
      <c r="T3310" s="1" t="s">
        <v>3097</v>
      </c>
      <c r="U3310" s="2" t="s">
        <v>3190</v>
      </c>
      <c r="V3310" s="2" t="s">
        <v>47</v>
      </c>
      <c r="W3310" s="2" t="s">
        <v>74</v>
      </c>
      <c r="X3310" s="2">
        <v>22.68</v>
      </c>
    </row>
    <row r="3311" spans="1:24" x14ac:dyDescent="0.3">
      <c r="A3311">
        <v>21165</v>
      </c>
      <c r="B3311" t="s">
        <v>8307</v>
      </c>
      <c r="C3311" s="3">
        <v>41980</v>
      </c>
      <c r="D3311" t="s">
        <v>25</v>
      </c>
      <c r="E3311">
        <v>1</v>
      </c>
      <c r="F3311" s="3">
        <f ca="1">41985+(RANDBETWEEN(1,10))</f>
        <v>41987</v>
      </c>
      <c r="G3311" t="s">
        <v>26</v>
      </c>
      <c r="H3311" t="s">
        <v>63</v>
      </c>
      <c r="I3311" t="s">
        <v>28</v>
      </c>
      <c r="J3311">
        <v>417.83</v>
      </c>
      <c r="K3311">
        <v>0.1</v>
      </c>
      <c r="L3311">
        <v>0.82</v>
      </c>
      <c r="M3311">
        <v>122.5</v>
      </c>
      <c r="N3311">
        <v>-276.60696000000002</v>
      </c>
      <c r="O3311" s="1" t="s">
        <v>225</v>
      </c>
      <c r="P3311" s="1" t="s">
        <v>8308</v>
      </c>
      <c r="Q3311" s="1" t="s">
        <v>8309</v>
      </c>
      <c r="R3311" s="1" t="s">
        <v>228</v>
      </c>
      <c r="S3311" s="1" t="s">
        <v>8310</v>
      </c>
      <c r="T3311" s="1" t="s">
        <v>8311</v>
      </c>
      <c r="U3311" s="2" t="s">
        <v>5442</v>
      </c>
      <c r="V3311" s="2" t="s">
        <v>47</v>
      </c>
      <c r="W3311" s="2" t="s">
        <v>119</v>
      </c>
      <c r="X3311" s="2">
        <v>388.43</v>
      </c>
    </row>
    <row r="3312" spans="1:24" x14ac:dyDescent="0.3">
      <c r="A3312">
        <v>21166</v>
      </c>
      <c r="B3312" t="s">
        <v>8312</v>
      </c>
      <c r="C3312" s="3">
        <v>40632</v>
      </c>
      <c r="D3312" t="s">
        <v>148</v>
      </c>
      <c r="E3312">
        <v>9</v>
      </c>
      <c r="F3312" s="3">
        <f ca="1">40633+(RANDBETWEEN(1,10))</f>
        <v>40642</v>
      </c>
      <c r="G3312" t="s">
        <v>26</v>
      </c>
      <c r="H3312" t="s">
        <v>27</v>
      </c>
      <c r="I3312" t="s">
        <v>97</v>
      </c>
      <c r="J3312">
        <v>169.05</v>
      </c>
      <c r="K3312">
        <v>0</v>
      </c>
      <c r="L3312">
        <v>0.36</v>
      </c>
      <c r="M3312">
        <v>19.88</v>
      </c>
      <c r="N3312">
        <v>-332.66624999999999</v>
      </c>
      <c r="O3312" s="1" t="s">
        <v>53</v>
      </c>
      <c r="P3312" s="1" t="s">
        <v>1819</v>
      </c>
      <c r="Q3312" s="1" t="s">
        <v>1820</v>
      </c>
      <c r="R3312" s="1" t="s">
        <v>56</v>
      </c>
      <c r="S3312" s="1" t="s">
        <v>1821</v>
      </c>
      <c r="T3312" s="1" t="s">
        <v>1822</v>
      </c>
      <c r="U3312" s="2" t="s">
        <v>4013</v>
      </c>
      <c r="V3312" s="2" t="s">
        <v>47</v>
      </c>
      <c r="W3312" s="2" t="s">
        <v>111</v>
      </c>
      <c r="X3312" s="2">
        <v>17.184999999999999</v>
      </c>
    </row>
    <row r="3313" spans="1:24" x14ac:dyDescent="0.3">
      <c r="A3313">
        <v>21167</v>
      </c>
      <c r="B3313" t="s">
        <v>8312</v>
      </c>
      <c r="C3313" s="3">
        <v>40632</v>
      </c>
      <c r="D3313" t="s">
        <v>148</v>
      </c>
      <c r="E3313">
        <v>11</v>
      </c>
      <c r="F3313" s="3">
        <f ca="1">40634+(RANDBETWEEN(1,10))</f>
        <v>40641</v>
      </c>
      <c r="G3313" t="s">
        <v>26</v>
      </c>
      <c r="H3313" t="s">
        <v>27</v>
      </c>
      <c r="I3313" t="s">
        <v>97</v>
      </c>
      <c r="J3313">
        <v>205.83500000000001</v>
      </c>
      <c r="K3313">
        <v>0.04</v>
      </c>
      <c r="L3313">
        <v>0.38</v>
      </c>
      <c r="M3313">
        <v>10.465</v>
      </c>
      <c r="N3313">
        <v>12.0785</v>
      </c>
      <c r="O3313" s="1" t="s">
        <v>87</v>
      </c>
      <c r="P3313" s="1" t="s">
        <v>8313</v>
      </c>
      <c r="Q3313" s="1" t="s">
        <v>8314</v>
      </c>
      <c r="R3313" s="1" t="s">
        <v>646</v>
      </c>
      <c r="S3313" s="1" t="s">
        <v>8315</v>
      </c>
      <c r="T3313" s="1" t="s">
        <v>8316</v>
      </c>
      <c r="U3313" s="2" t="s">
        <v>1125</v>
      </c>
      <c r="V3313" s="2" t="s">
        <v>47</v>
      </c>
      <c r="W3313" s="2" t="s">
        <v>111</v>
      </c>
      <c r="X3313" s="2">
        <v>18.690000000000001</v>
      </c>
    </row>
    <row r="3314" spans="1:24" x14ac:dyDescent="0.3">
      <c r="A3314">
        <v>21168</v>
      </c>
      <c r="B3314" t="s">
        <v>8312</v>
      </c>
      <c r="C3314" s="3">
        <v>40632</v>
      </c>
      <c r="D3314" t="s">
        <v>148</v>
      </c>
      <c r="E3314">
        <v>1</v>
      </c>
      <c r="F3314" s="3">
        <f ca="1">40634+(RANDBETWEEN(1,10))</f>
        <v>40642</v>
      </c>
      <c r="G3314" t="s">
        <v>26</v>
      </c>
      <c r="H3314" t="s">
        <v>51</v>
      </c>
      <c r="I3314" t="s">
        <v>97</v>
      </c>
      <c r="J3314">
        <v>165.83</v>
      </c>
      <c r="K3314">
        <v>0.06</v>
      </c>
      <c r="L3314">
        <v>0.8</v>
      </c>
      <c r="M3314">
        <v>17.5</v>
      </c>
      <c r="N3314">
        <v>-963.38549999999998</v>
      </c>
      <c r="O3314" s="1" t="s">
        <v>87</v>
      </c>
      <c r="P3314" s="1" t="s">
        <v>8313</v>
      </c>
      <c r="Q3314" s="1" t="s">
        <v>8314</v>
      </c>
      <c r="R3314" s="1" t="s">
        <v>646</v>
      </c>
      <c r="S3314" s="1" t="s">
        <v>8315</v>
      </c>
      <c r="T3314" s="1" t="s">
        <v>8316</v>
      </c>
      <c r="U3314" s="2" t="s">
        <v>2876</v>
      </c>
      <c r="V3314" s="2" t="s">
        <v>36</v>
      </c>
      <c r="W3314" s="2" t="s">
        <v>37</v>
      </c>
      <c r="X3314" s="2">
        <v>195.965</v>
      </c>
    </row>
    <row r="3315" spans="1:24" x14ac:dyDescent="0.3">
      <c r="A3315">
        <v>21169</v>
      </c>
      <c r="B3315" t="s">
        <v>8317</v>
      </c>
      <c r="C3315" s="3">
        <v>41369</v>
      </c>
      <c r="D3315" t="s">
        <v>148</v>
      </c>
      <c r="E3315">
        <v>10</v>
      </c>
      <c r="F3315" s="3">
        <f ca="1">41369+(RANDBETWEEN(1,10))</f>
        <v>41370</v>
      </c>
      <c r="G3315" t="s">
        <v>156</v>
      </c>
      <c r="H3315" t="s">
        <v>96</v>
      </c>
      <c r="I3315" t="s">
        <v>28</v>
      </c>
      <c r="J3315">
        <v>46.445</v>
      </c>
      <c r="K3315">
        <v>0.06</v>
      </c>
      <c r="L3315">
        <v>0.81</v>
      </c>
      <c r="M3315">
        <v>2.4500000000000002</v>
      </c>
      <c r="N3315">
        <v>-57.05</v>
      </c>
      <c r="O3315" s="1" t="s">
        <v>87</v>
      </c>
      <c r="P3315" s="1" t="s">
        <v>680</v>
      </c>
      <c r="Q3315" s="1" t="s">
        <v>681</v>
      </c>
      <c r="R3315" s="1" t="s">
        <v>497</v>
      </c>
      <c r="S3315" s="1" t="s">
        <v>682</v>
      </c>
      <c r="T3315" s="1" t="s">
        <v>683</v>
      </c>
      <c r="U3315" s="2" t="s">
        <v>925</v>
      </c>
      <c r="V3315" s="2" t="s">
        <v>47</v>
      </c>
      <c r="W3315" s="2" t="s">
        <v>176</v>
      </c>
      <c r="X3315" s="2">
        <v>4.41</v>
      </c>
    </row>
    <row r="3316" spans="1:24" x14ac:dyDescent="0.3">
      <c r="A3316">
        <v>21170</v>
      </c>
      <c r="B3316" t="s">
        <v>8318</v>
      </c>
      <c r="C3316" s="3">
        <v>41964</v>
      </c>
      <c r="D3316" t="s">
        <v>62</v>
      </c>
      <c r="E3316">
        <v>24</v>
      </c>
      <c r="F3316" s="3">
        <f ca="1">41966+(RANDBETWEEN(1,10))</f>
        <v>41969</v>
      </c>
      <c r="G3316" t="s">
        <v>76</v>
      </c>
      <c r="H3316" t="s">
        <v>258</v>
      </c>
      <c r="I3316" t="s">
        <v>97</v>
      </c>
      <c r="J3316">
        <v>21111.58</v>
      </c>
      <c r="K3316">
        <v>0.05</v>
      </c>
      <c r="L3316">
        <v>0.75</v>
      </c>
      <c r="M3316">
        <v>219.59</v>
      </c>
      <c r="N3316">
        <v>1201.8736799999999</v>
      </c>
      <c r="O3316" s="1" t="s">
        <v>40</v>
      </c>
      <c r="P3316" s="1" t="s">
        <v>4644</v>
      </c>
      <c r="Q3316" s="1" t="s">
        <v>4645</v>
      </c>
      <c r="R3316" s="1" t="s">
        <v>43</v>
      </c>
      <c r="S3316" s="1" t="s">
        <v>2543</v>
      </c>
      <c r="T3316" s="1" t="s">
        <v>2544</v>
      </c>
      <c r="U3316" s="2" t="s">
        <v>4957</v>
      </c>
      <c r="V3316" s="2" t="s">
        <v>83</v>
      </c>
      <c r="W3316" s="2" t="s">
        <v>263</v>
      </c>
      <c r="X3316" s="2">
        <v>917.38499999999999</v>
      </c>
    </row>
    <row r="3317" spans="1:24" x14ac:dyDescent="0.3">
      <c r="A3317">
        <v>21171</v>
      </c>
      <c r="B3317" t="s">
        <v>8319</v>
      </c>
      <c r="C3317" s="3">
        <v>40685</v>
      </c>
      <c r="D3317" t="s">
        <v>62</v>
      </c>
      <c r="E3317">
        <v>18</v>
      </c>
      <c r="F3317" s="3">
        <f ca="1">40687+(RANDBETWEEN(1,10))</f>
        <v>40696</v>
      </c>
      <c r="G3317" t="s">
        <v>76</v>
      </c>
      <c r="H3317" t="s">
        <v>77</v>
      </c>
      <c r="I3317" t="s">
        <v>86</v>
      </c>
      <c r="J3317">
        <v>7909.9650000000001</v>
      </c>
      <c r="K3317">
        <v>0.1</v>
      </c>
      <c r="L3317">
        <v>0.78</v>
      </c>
      <c r="M3317">
        <v>105</v>
      </c>
      <c r="N3317">
        <v>-2073.5050000000001</v>
      </c>
      <c r="O3317" s="1" t="s">
        <v>225</v>
      </c>
      <c r="P3317" s="1" t="s">
        <v>8320</v>
      </c>
      <c r="Q3317" s="1" t="s">
        <v>8321</v>
      </c>
      <c r="R3317" s="1" t="s">
        <v>391</v>
      </c>
      <c r="S3317" s="1" t="s">
        <v>8322</v>
      </c>
      <c r="T3317" s="1" t="s">
        <v>8323</v>
      </c>
      <c r="U3317" s="2" t="s">
        <v>2894</v>
      </c>
      <c r="V3317" s="2" t="s">
        <v>83</v>
      </c>
      <c r="W3317" s="2" t="s">
        <v>84</v>
      </c>
      <c r="X3317" s="2">
        <v>458.43</v>
      </c>
    </row>
    <row r="3318" spans="1:24" x14ac:dyDescent="0.3">
      <c r="A3318">
        <v>21172</v>
      </c>
      <c r="B3318" t="s">
        <v>8324</v>
      </c>
      <c r="C3318" s="3">
        <v>41781</v>
      </c>
      <c r="D3318" t="s">
        <v>25</v>
      </c>
      <c r="E3318">
        <v>6</v>
      </c>
      <c r="F3318" s="3">
        <f ca="1">41785+(RANDBETWEEN(1,10))</f>
        <v>41792</v>
      </c>
      <c r="G3318" t="s">
        <v>26</v>
      </c>
      <c r="H3318" t="s">
        <v>27</v>
      </c>
      <c r="I3318" t="s">
        <v>86</v>
      </c>
      <c r="J3318">
        <v>398.16</v>
      </c>
      <c r="K3318">
        <v>0.08</v>
      </c>
      <c r="L3318">
        <v>0.68</v>
      </c>
      <c r="M3318">
        <v>14</v>
      </c>
      <c r="N3318">
        <v>-188.37</v>
      </c>
      <c r="O3318" s="1" t="s">
        <v>225</v>
      </c>
      <c r="P3318" s="1" t="s">
        <v>8320</v>
      </c>
      <c r="Q3318" s="1" t="s">
        <v>8321</v>
      </c>
      <c r="R3318" s="1" t="s">
        <v>391</v>
      </c>
      <c r="S3318" s="1" t="s">
        <v>8322</v>
      </c>
      <c r="T3318" s="1" t="s">
        <v>8323</v>
      </c>
      <c r="U3318" s="2" t="s">
        <v>2334</v>
      </c>
      <c r="V3318" s="2" t="s">
        <v>36</v>
      </c>
      <c r="W3318" s="2" t="s">
        <v>60</v>
      </c>
      <c r="X3318" s="2">
        <v>69.930000000000007</v>
      </c>
    </row>
    <row r="3319" spans="1:24" x14ac:dyDescent="0.3">
      <c r="A3319">
        <v>21173</v>
      </c>
      <c r="B3319" t="s">
        <v>8325</v>
      </c>
      <c r="C3319" s="3">
        <v>41953</v>
      </c>
      <c r="D3319" t="s">
        <v>39</v>
      </c>
      <c r="E3319">
        <v>1</v>
      </c>
      <c r="F3319" s="3">
        <f ca="1">41955+(RANDBETWEEN(1,10))</f>
        <v>41958</v>
      </c>
      <c r="G3319" t="s">
        <v>26</v>
      </c>
      <c r="H3319" t="s">
        <v>96</v>
      </c>
      <c r="I3319" t="s">
        <v>97</v>
      </c>
      <c r="J3319">
        <v>23.695</v>
      </c>
      <c r="K3319">
        <v>0.06</v>
      </c>
      <c r="L3319">
        <v>0.44</v>
      </c>
      <c r="M3319">
        <v>14.98</v>
      </c>
      <c r="N3319">
        <v>685.41899999999998</v>
      </c>
      <c r="O3319" s="1" t="s">
        <v>87</v>
      </c>
      <c r="P3319" s="1" t="s">
        <v>8141</v>
      </c>
      <c r="Q3319" s="1" t="s">
        <v>8142</v>
      </c>
      <c r="R3319" s="1" t="s">
        <v>90</v>
      </c>
      <c r="S3319" s="1" t="s">
        <v>8143</v>
      </c>
      <c r="T3319" s="1" t="s">
        <v>8144</v>
      </c>
      <c r="U3319" s="2" t="s">
        <v>5200</v>
      </c>
      <c r="V3319" s="2" t="s">
        <v>47</v>
      </c>
      <c r="W3319" s="2" t="s">
        <v>104</v>
      </c>
      <c r="X3319" s="2">
        <v>8.82</v>
      </c>
    </row>
    <row r="3320" spans="1:24" x14ac:dyDescent="0.3">
      <c r="A3320">
        <v>21174</v>
      </c>
      <c r="B3320" t="s">
        <v>8326</v>
      </c>
      <c r="C3320" s="3">
        <v>41138</v>
      </c>
      <c r="D3320" t="s">
        <v>39</v>
      </c>
      <c r="E3320">
        <v>15</v>
      </c>
      <c r="F3320" s="3">
        <f ca="1">41140+(RANDBETWEEN(1,10))</f>
        <v>41147</v>
      </c>
      <c r="G3320" t="s">
        <v>26</v>
      </c>
      <c r="H3320" t="s">
        <v>51</v>
      </c>
      <c r="I3320" t="s">
        <v>52</v>
      </c>
      <c r="J3320">
        <v>322.91000000000003</v>
      </c>
      <c r="K3320">
        <v>0.05</v>
      </c>
      <c r="L3320">
        <v>0.75</v>
      </c>
      <c r="M3320">
        <v>15.33</v>
      </c>
      <c r="N3320">
        <v>-211.50219999999999</v>
      </c>
      <c r="O3320" s="1" t="s">
        <v>29</v>
      </c>
      <c r="P3320" s="1" t="s">
        <v>8327</v>
      </c>
      <c r="Q3320" s="1" t="s">
        <v>8328</v>
      </c>
      <c r="R3320" s="1" t="s">
        <v>32</v>
      </c>
      <c r="S3320" s="1" t="s">
        <v>3276</v>
      </c>
      <c r="T3320" s="1" t="s">
        <v>3277</v>
      </c>
      <c r="U3320" s="2" t="s">
        <v>1783</v>
      </c>
      <c r="V3320" s="2" t="s">
        <v>36</v>
      </c>
      <c r="W3320" s="2" t="s">
        <v>60</v>
      </c>
      <c r="X3320" s="2">
        <v>20.93</v>
      </c>
    </row>
    <row r="3321" spans="1:24" x14ac:dyDescent="0.3">
      <c r="A3321">
        <v>21175</v>
      </c>
      <c r="B3321" t="s">
        <v>8326</v>
      </c>
      <c r="C3321" s="3">
        <v>41138</v>
      </c>
      <c r="D3321" t="s">
        <v>39</v>
      </c>
      <c r="E3321">
        <v>8</v>
      </c>
      <c r="F3321" s="3">
        <f ca="1">41141+(RANDBETWEEN(1,10))</f>
        <v>41149</v>
      </c>
      <c r="G3321" t="s">
        <v>26</v>
      </c>
      <c r="H3321" t="s">
        <v>96</v>
      </c>
      <c r="I3321" t="s">
        <v>52</v>
      </c>
      <c r="J3321">
        <v>225.29499999999999</v>
      </c>
      <c r="K3321">
        <v>0</v>
      </c>
      <c r="L3321">
        <v>0.4</v>
      </c>
      <c r="M3321">
        <v>9.8699999999999992</v>
      </c>
      <c r="N3321">
        <v>111.3182</v>
      </c>
      <c r="O3321" s="1" t="s">
        <v>40</v>
      </c>
      <c r="P3321" s="1" t="s">
        <v>8329</v>
      </c>
      <c r="Q3321" s="1" t="s">
        <v>8330</v>
      </c>
      <c r="R3321" s="1" t="s">
        <v>220</v>
      </c>
      <c r="S3321" s="1" t="s">
        <v>2425</v>
      </c>
      <c r="T3321" s="1" t="s">
        <v>2426</v>
      </c>
      <c r="U3321" s="2" t="s">
        <v>8331</v>
      </c>
      <c r="V3321" s="2" t="s">
        <v>47</v>
      </c>
      <c r="W3321" s="2" t="s">
        <v>176</v>
      </c>
      <c r="X3321" s="2">
        <v>27.614999999999998</v>
      </c>
    </row>
    <row r="3322" spans="1:24" x14ac:dyDescent="0.3">
      <c r="A3322">
        <v>21176</v>
      </c>
      <c r="B3322" t="s">
        <v>8332</v>
      </c>
      <c r="C3322" s="3">
        <v>41618</v>
      </c>
      <c r="D3322" t="s">
        <v>50</v>
      </c>
      <c r="E3322">
        <v>10</v>
      </c>
      <c r="F3322" s="3">
        <f ca="1">41619+(RANDBETWEEN(1,10))</f>
        <v>41621</v>
      </c>
      <c r="G3322" t="s">
        <v>26</v>
      </c>
      <c r="H3322" t="s">
        <v>63</v>
      </c>
      <c r="I3322" t="s">
        <v>97</v>
      </c>
      <c r="J3322">
        <v>245.66499999999999</v>
      </c>
      <c r="K3322">
        <v>0.01</v>
      </c>
      <c r="L3322">
        <v>0.6</v>
      </c>
      <c r="M3322">
        <v>171.5</v>
      </c>
      <c r="N3322">
        <v>-1563.4324999999999</v>
      </c>
      <c r="O3322" s="1" t="s">
        <v>64</v>
      </c>
      <c r="P3322" s="1" t="s">
        <v>7251</v>
      </c>
      <c r="Q3322" s="1" t="s">
        <v>7252</v>
      </c>
      <c r="R3322" s="1" t="s">
        <v>128</v>
      </c>
      <c r="S3322" s="1" t="s">
        <v>7253</v>
      </c>
      <c r="T3322" s="1" t="s">
        <v>7254</v>
      </c>
      <c r="U3322" s="2" t="s">
        <v>919</v>
      </c>
      <c r="V3322" s="2" t="s">
        <v>47</v>
      </c>
      <c r="W3322" s="2" t="s">
        <v>71</v>
      </c>
      <c r="X3322" s="2">
        <v>15.68</v>
      </c>
    </row>
    <row r="3323" spans="1:24" x14ac:dyDescent="0.3">
      <c r="A3323">
        <v>21177</v>
      </c>
      <c r="B3323" t="s">
        <v>8332</v>
      </c>
      <c r="C3323" s="3">
        <v>41618</v>
      </c>
      <c r="D3323" t="s">
        <v>50</v>
      </c>
      <c r="E3323">
        <v>23</v>
      </c>
      <c r="F3323" s="3">
        <f ca="1">41620+(RANDBETWEEN(1,10))</f>
        <v>41621</v>
      </c>
      <c r="G3323" t="s">
        <v>76</v>
      </c>
      <c r="H3323" t="s">
        <v>77</v>
      </c>
      <c r="I3323" t="s">
        <v>97</v>
      </c>
      <c r="J3323">
        <v>10593.344999999999</v>
      </c>
      <c r="K3323">
        <v>0.02</v>
      </c>
      <c r="L3323">
        <v>0.78</v>
      </c>
      <c r="M3323">
        <v>105</v>
      </c>
      <c r="N3323">
        <v>-503.33499999999998</v>
      </c>
      <c r="O3323" s="1" t="s">
        <v>64</v>
      </c>
      <c r="P3323" s="1" t="s">
        <v>7251</v>
      </c>
      <c r="Q3323" s="1" t="s">
        <v>7252</v>
      </c>
      <c r="R3323" s="1" t="s">
        <v>128</v>
      </c>
      <c r="S3323" s="1" t="s">
        <v>7253</v>
      </c>
      <c r="T3323" s="1" t="s">
        <v>7254</v>
      </c>
      <c r="U3323" s="2" t="s">
        <v>2894</v>
      </c>
      <c r="V3323" s="2" t="s">
        <v>83</v>
      </c>
      <c r="W3323" s="2" t="s">
        <v>84</v>
      </c>
      <c r="X3323" s="2">
        <v>458.43</v>
      </c>
    </row>
    <row r="3324" spans="1:24" x14ac:dyDescent="0.3">
      <c r="A3324">
        <v>21178</v>
      </c>
      <c r="B3324" t="s">
        <v>8332</v>
      </c>
      <c r="C3324" s="3">
        <v>41618</v>
      </c>
      <c r="D3324" t="s">
        <v>50</v>
      </c>
      <c r="E3324">
        <v>2</v>
      </c>
      <c r="F3324" s="3">
        <f ca="1">41620+(RANDBETWEEN(1,10))</f>
        <v>41628</v>
      </c>
      <c r="G3324" t="s">
        <v>26</v>
      </c>
      <c r="H3324" t="s">
        <v>27</v>
      </c>
      <c r="I3324" t="s">
        <v>97</v>
      </c>
      <c r="J3324">
        <v>119.28</v>
      </c>
      <c r="K3324">
        <v>0.09</v>
      </c>
      <c r="L3324">
        <v>0.48</v>
      </c>
      <c r="M3324">
        <v>22.75</v>
      </c>
      <c r="N3324">
        <v>-91.77</v>
      </c>
      <c r="O3324" s="1" t="s">
        <v>64</v>
      </c>
      <c r="P3324" s="1" t="s">
        <v>7251</v>
      </c>
      <c r="Q3324" s="1" t="s">
        <v>7252</v>
      </c>
      <c r="R3324" s="1" t="s">
        <v>128</v>
      </c>
      <c r="S3324" s="1" t="s">
        <v>7253</v>
      </c>
      <c r="T3324" s="1" t="s">
        <v>7254</v>
      </c>
      <c r="U3324" s="2" t="s">
        <v>1006</v>
      </c>
      <c r="V3324" s="2" t="s">
        <v>36</v>
      </c>
      <c r="W3324" s="2" t="s">
        <v>60</v>
      </c>
      <c r="X3324" s="2">
        <v>55.93</v>
      </c>
    </row>
    <row r="3325" spans="1:24" x14ac:dyDescent="0.3">
      <c r="A3325">
        <v>21179</v>
      </c>
      <c r="B3325" t="s">
        <v>8333</v>
      </c>
      <c r="C3325" s="3">
        <v>41319</v>
      </c>
      <c r="D3325" t="s">
        <v>50</v>
      </c>
      <c r="E3325">
        <v>8</v>
      </c>
      <c r="F3325" s="3">
        <f ca="1">41320+(RANDBETWEEN(1,10))</f>
        <v>41326</v>
      </c>
      <c r="G3325" t="s">
        <v>26</v>
      </c>
      <c r="H3325" t="s">
        <v>27</v>
      </c>
      <c r="I3325" t="s">
        <v>28</v>
      </c>
      <c r="J3325">
        <v>316.26</v>
      </c>
      <c r="K3325">
        <v>0.08</v>
      </c>
      <c r="L3325">
        <v>0.4</v>
      </c>
      <c r="M3325">
        <v>19.704999999999998</v>
      </c>
      <c r="N3325">
        <v>9.5497499999999995</v>
      </c>
      <c r="O3325" s="1" t="s">
        <v>29</v>
      </c>
      <c r="P3325" s="1" t="s">
        <v>7220</v>
      </c>
      <c r="Q3325" s="1" t="s">
        <v>7221</v>
      </c>
      <c r="R3325" s="1" t="s">
        <v>32</v>
      </c>
      <c r="S3325" s="1" t="s">
        <v>7222</v>
      </c>
      <c r="T3325" s="1" t="s">
        <v>7223</v>
      </c>
      <c r="U3325" s="2" t="s">
        <v>941</v>
      </c>
      <c r="V3325" s="2" t="s">
        <v>47</v>
      </c>
      <c r="W3325" s="2" t="s">
        <v>111</v>
      </c>
      <c r="X3325" s="2">
        <v>40.950000000000003</v>
      </c>
    </row>
    <row r="3326" spans="1:24" x14ac:dyDescent="0.3">
      <c r="A3326">
        <v>21180</v>
      </c>
      <c r="B3326" t="s">
        <v>8333</v>
      </c>
      <c r="C3326" s="3">
        <v>41319</v>
      </c>
      <c r="D3326" t="s">
        <v>50</v>
      </c>
      <c r="E3326">
        <v>10</v>
      </c>
      <c r="F3326" s="3">
        <f ca="1">41321+(RANDBETWEEN(1,10))</f>
        <v>41322</v>
      </c>
      <c r="G3326" t="s">
        <v>156</v>
      </c>
      <c r="H3326" t="s">
        <v>96</v>
      </c>
      <c r="I3326" t="s">
        <v>28</v>
      </c>
      <c r="J3326">
        <v>107.31</v>
      </c>
      <c r="K3326">
        <v>0</v>
      </c>
      <c r="L3326">
        <v>0.45</v>
      </c>
      <c r="M3326">
        <v>4.6900000000000004</v>
      </c>
      <c r="N3326">
        <v>37.064999999999998</v>
      </c>
      <c r="O3326" s="1" t="s">
        <v>29</v>
      </c>
      <c r="P3326" s="1" t="s">
        <v>7220</v>
      </c>
      <c r="Q3326" s="1" t="s">
        <v>7221</v>
      </c>
      <c r="R3326" s="1" t="s">
        <v>32</v>
      </c>
      <c r="S3326" s="1" t="s">
        <v>7222</v>
      </c>
      <c r="T3326" s="1" t="s">
        <v>7223</v>
      </c>
      <c r="U3326" s="2" t="s">
        <v>1227</v>
      </c>
      <c r="V3326" s="2" t="s">
        <v>47</v>
      </c>
      <c r="W3326" s="2" t="s">
        <v>104</v>
      </c>
      <c r="X3326" s="2">
        <v>9.73</v>
      </c>
    </row>
    <row r="3327" spans="1:24" x14ac:dyDescent="0.3">
      <c r="A3327">
        <v>21181</v>
      </c>
      <c r="B3327" t="s">
        <v>8333</v>
      </c>
      <c r="C3327" s="3">
        <v>41319</v>
      </c>
      <c r="D3327" t="s">
        <v>50</v>
      </c>
      <c r="E3327">
        <v>8</v>
      </c>
      <c r="F3327" s="3">
        <f ca="1">41321+(RANDBETWEEN(1,10))</f>
        <v>41322</v>
      </c>
      <c r="G3327" t="s">
        <v>26</v>
      </c>
      <c r="H3327" t="s">
        <v>27</v>
      </c>
      <c r="I3327" t="s">
        <v>28</v>
      </c>
      <c r="J3327">
        <v>205.48500000000001</v>
      </c>
      <c r="K3327">
        <v>0.01</v>
      </c>
      <c r="L3327">
        <v>0.83</v>
      </c>
      <c r="M3327">
        <v>33.914999999999999</v>
      </c>
      <c r="N3327">
        <v>-769.72</v>
      </c>
      <c r="O3327" s="1" t="s">
        <v>29</v>
      </c>
      <c r="P3327" s="1" t="s">
        <v>7220</v>
      </c>
      <c r="Q3327" s="1" t="s">
        <v>7221</v>
      </c>
      <c r="R3327" s="1" t="s">
        <v>32</v>
      </c>
      <c r="S3327" s="1" t="s">
        <v>7222</v>
      </c>
      <c r="T3327" s="1" t="s">
        <v>7223</v>
      </c>
      <c r="U3327" s="2" t="s">
        <v>6865</v>
      </c>
      <c r="V3327" s="2" t="s">
        <v>47</v>
      </c>
      <c r="W3327" s="2" t="s">
        <v>119</v>
      </c>
      <c r="X3327" s="2">
        <v>24.43</v>
      </c>
    </row>
    <row r="3328" spans="1:24" x14ac:dyDescent="0.3">
      <c r="A3328">
        <v>21182</v>
      </c>
      <c r="B3328" t="s">
        <v>8333</v>
      </c>
      <c r="C3328" s="3">
        <v>41319</v>
      </c>
      <c r="D3328" t="s">
        <v>50</v>
      </c>
      <c r="E3328">
        <v>7</v>
      </c>
      <c r="F3328" s="3">
        <f ca="1">41321+(RANDBETWEEN(1,10))</f>
        <v>41326</v>
      </c>
      <c r="G3328" t="s">
        <v>26</v>
      </c>
      <c r="H3328" t="s">
        <v>27</v>
      </c>
      <c r="I3328" t="s">
        <v>28</v>
      </c>
      <c r="J3328">
        <v>4279.03</v>
      </c>
      <c r="K3328">
        <v>0.05</v>
      </c>
      <c r="L3328">
        <v>0.57999999999999996</v>
      </c>
      <c r="M3328">
        <v>10.5</v>
      </c>
      <c r="N3328">
        <v>2952.5306999999998</v>
      </c>
      <c r="O3328" s="1" t="s">
        <v>29</v>
      </c>
      <c r="P3328" s="1" t="s">
        <v>7220</v>
      </c>
      <c r="Q3328" s="1" t="s">
        <v>7221</v>
      </c>
      <c r="R3328" s="1" t="s">
        <v>32</v>
      </c>
      <c r="S3328" s="1" t="s">
        <v>7222</v>
      </c>
      <c r="T3328" s="1" t="s">
        <v>7223</v>
      </c>
      <c r="U3328" s="2">
        <v>6185</v>
      </c>
      <c r="V3328" s="2" t="s">
        <v>36</v>
      </c>
      <c r="W3328" s="2" t="s">
        <v>37</v>
      </c>
      <c r="X3328" s="2">
        <v>720.96500000000003</v>
      </c>
    </row>
    <row r="3329" spans="1:24" x14ac:dyDescent="0.3">
      <c r="A3329">
        <v>21183</v>
      </c>
      <c r="B3329" t="s">
        <v>8334</v>
      </c>
      <c r="C3329" s="3">
        <v>41394</v>
      </c>
      <c r="D3329" t="s">
        <v>148</v>
      </c>
      <c r="E3329">
        <v>1</v>
      </c>
      <c r="F3329" s="3">
        <f ca="1">41395+(RANDBETWEEN(1,10))</f>
        <v>41403</v>
      </c>
      <c r="G3329" t="s">
        <v>26</v>
      </c>
      <c r="H3329" t="s">
        <v>27</v>
      </c>
      <c r="I3329" t="s">
        <v>97</v>
      </c>
      <c r="J3329">
        <v>91.98</v>
      </c>
      <c r="K3329">
        <v>0.08</v>
      </c>
      <c r="L3329">
        <v>0.75</v>
      </c>
      <c r="M3329">
        <v>14</v>
      </c>
      <c r="N3329">
        <v>-361.30500000000001</v>
      </c>
      <c r="O3329" s="1" t="s">
        <v>29</v>
      </c>
      <c r="P3329" s="1" t="s">
        <v>8335</v>
      </c>
      <c r="Q3329" s="1" t="s">
        <v>8336</v>
      </c>
      <c r="R3329" s="1" t="s">
        <v>32</v>
      </c>
      <c r="S3329" s="1" t="s">
        <v>7445</v>
      </c>
      <c r="T3329" s="1" t="s">
        <v>6825</v>
      </c>
      <c r="U3329" s="2" t="s">
        <v>4155</v>
      </c>
      <c r="V3329" s="2" t="s">
        <v>36</v>
      </c>
      <c r="W3329" s="2" t="s">
        <v>60</v>
      </c>
      <c r="X3329" s="2">
        <v>96.18</v>
      </c>
    </row>
    <row r="3330" spans="1:24" x14ac:dyDescent="0.3">
      <c r="A3330">
        <v>21184</v>
      </c>
      <c r="B3330" t="s">
        <v>8337</v>
      </c>
      <c r="C3330" s="3">
        <v>40603</v>
      </c>
      <c r="D3330" t="s">
        <v>62</v>
      </c>
      <c r="E3330">
        <v>6</v>
      </c>
      <c r="F3330" s="3">
        <f ca="1">40604+(RANDBETWEEN(1,10))</f>
        <v>40613</v>
      </c>
      <c r="G3330" t="s">
        <v>26</v>
      </c>
      <c r="H3330" t="s">
        <v>51</v>
      </c>
      <c r="I3330" t="s">
        <v>97</v>
      </c>
      <c r="J3330">
        <v>560.59500000000003</v>
      </c>
      <c r="K3330">
        <v>0.09</v>
      </c>
      <c r="L3330">
        <v>0.4</v>
      </c>
      <c r="M3330">
        <v>6.9649999999999999</v>
      </c>
      <c r="N3330">
        <v>-60.024999999999999</v>
      </c>
      <c r="O3330" s="1" t="s">
        <v>225</v>
      </c>
      <c r="P3330" s="1" t="s">
        <v>7829</v>
      </c>
      <c r="Q3330" s="1" t="s">
        <v>7830</v>
      </c>
      <c r="R3330" s="1" t="s">
        <v>228</v>
      </c>
      <c r="S3330" s="1" t="s">
        <v>7831</v>
      </c>
      <c r="T3330" s="1" t="s">
        <v>7832</v>
      </c>
      <c r="U3330" s="2" t="s">
        <v>1109</v>
      </c>
      <c r="V3330" s="2" t="s">
        <v>36</v>
      </c>
      <c r="W3330" s="2" t="s">
        <v>60</v>
      </c>
      <c r="X3330" s="2">
        <v>99.68</v>
      </c>
    </row>
    <row r="3331" spans="1:24" x14ac:dyDescent="0.3">
      <c r="A3331">
        <v>21185</v>
      </c>
      <c r="B3331" t="s">
        <v>8337</v>
      </c>
      <c r="C3331" s="3">
        <v>40603</v>
      </c>
      <c r="D3331" t="s">
        <v>62</v>
      </c>
      <c r="E3331">
        <v>3</v>
      </c>
      <c r="F3331" s="3">
        <f ca="1">40605+(RANDBETWEEN(1,10))</f>
        <v>40612</v>
      </c>
      <c r="G3331" t="s">
        <v>26</v>
      </c>
      <c r="H3331" t="s">
        <v>27</v>
      </c>
      <c r="I3331" t="s">
        <v>97</v>
      </c>
      <c r="J3331">
        <v>26.145</v>
      </c>
      <c r="K3331">
        <v>0</v>
      </c>
      <c r="L3331">
        <v>0.43</v>
      </c>
      <c r="M3331">
        <v>18.655000000000001</v>
      </c>
      <c r="N3331">
        <v>-103.39</v>
      </c>
      <c r="O3331" s="1" t="s">
        <v>225</v>
      </c>
      <c r="P3331" s="1" t="s">
        <v>7829</v>
      </c>
      <c r="Q3331" s="1" t="s">
        <v>7830</v>
      </c>
      <c r="R3331" s="1" t="s">
        <v>228</v>
      </c>
      <c r="S3331" s="1" t="s">
        <v>7831</v>
      </c>
      <c r="T3331" s="1" t="s">
        <v>7832</v>
      </c>
      <c r="U3331" s="2" t="s">
        <v>2500</v>
      </c>
      <c r="V3331" s="2" t="s">
        <v>83</v>
      </c>
      <c r="W3331" s="2" t="s">
        <v>178</v>
      </c>
      <c r="X3331" s="2">
        <v>7.28</v>
      </c>
    </row>
    <row r="3332" spans="1:24" x14ac:dyDescent="0.3">
      <c r="A3332">
        <v>21186</v>
      </c>
      <c r="B3332" t="s">
        <v>8337</v>
      </c>
      <c r="C3332" s="3">
        <v>40603</v>
      </c>
      <c r="D3332" t="s">
        <v>62</v>
      </c>
      <c r="E3332">
        <v>10</v>
      </c>
      <c r="F3332" s="3">
        <f ca="1">40604+(RANDBETWEEN(1,10))</f>
        <v>40612</v>
      </c>
      <c r="G3332" t="s">
        <v>156</v>
      </c>
      <c r="H3332" t="s">
        <v>27</v>
      </c>
      <c r="I3332" t="s">
        <v>97</v>
      </c>
      <c r="J3332">
        <v>1297.835</v>
      </c>
      <c r="K3332">
        <v>0.06</v>
      </c>
      <c r="L3332">
        <v>0.56000000000000005</v>
      </c>
      <c r="M3332">
        <v>17.465</v>
      </c>
      <c r="N3332">
        <v>-1154.2439999999999</v>
      </c>
      <c r="O3332" s="1" t="s">
        <v>225</v>
      </c>
      <c r="P3332" s="1" t="s">
        <v>7829</v>
      </c>
      <c r="Q3332" s="1" t="s">
        <v>7830</v>
      </c>
      <c r="R3332" s="1" t="s">
        <v>228</v>
      </c>
      <c r="S3332" s="1" t="s">
        <v>7831</v>
      </c>
      <c r="T3332" s="1" t="s">
        <v>7832</v>
      </c>
      <c r="U3332" s="2" t="s">
        <v>3202</v>
      </c>
      <c r="V3332" s="2" t="s">
        <v>36</v>
      </c>
      <c r="W3332" s="2" t="s">
        <v>37</v>
      </c>
      <c r="X3332" s="2">
        <v>160.965</v>
      </c>
    </row>
    <row r="3333" spans="1:24" x14ac:dyDescent="0.3">
      <c r="A3333">
        <v>21187</v>
      </c>
      <c r="B3333" t="s">
        <v>8338</v>
      </c>
      <c r="C3333" s="3">
        <v>41059</v>
      </c>
      <c r="D3333" t="s">
        <v>148</v>
      </c>
      <c r="E3333">
        <v>5</v>
      </c>
      <c r="F3333" s="3">
        <f ca="1">41062+(RANDBETWEEN(1,10))</f>
        <v>41072</v>
      </c>
      <c r="G3333" t="s">
        <v>26</v>
      </c>
      <c r="H3333" t="s">
        <v>51</v>
      </c>
      <c r="I3333" t="s">
        <v>86</v>
      </c>
      <c r="J3333">
        <v>33.6</v>
      </c>
      <c r="K3333">
        <v>0.01</v>
      </c>
      <c r="L3333">
        <v>0.51</v>
      </c>
      <c r="M3333">
        <v>6.9649999999999999</v>
      </c>
      <c r="N3333">
        <v>-72.38</v>
      </c>
      <c r="O3333" s="1" t="s">
        <v>225</v>
      </c>
      <c r="P3333" s="1" t="s">
        <v>8339</v>
      </c>
      <c r="Q3333" s="1" t="s">
        <v>8340</v>
      </c>
      <c r="R3333" s="1" t="s">
        <v>391</v>
      </c>
      <c r="S3333" s="1" t="s">
        <v>2285</v>
      </c>
      <c r="T3333" s="1" t="s">
        <v>2286</v>
      </c>
      <c r="U3333" s="2" t="s">
        <v>6841</v>
      </c>
      <c r="V3333" s="2" t="s">
        <v>36</v>
      </c>
      <c r="W3333" s="2" t="s">
        <v>60</v>
      </c>
      <c r="X3333" s="2">
        <v>5.95</v>
      </c>
    </row>
    <row r="3334" spans="1:24" x14ac:dyDescent="0.3">
      <c r="A3334">
        <v>21188</v>
      </c>
      <c r="B3334" t="s">
        <v>8341</v>
      </c>
      <c r="C3334" s="3">
        <v>41005</v>
      </c>
      <c r="D3334" t="s">
        <v>148</v>
      </c>
      <c r="E3334">
        <v>8</v>
      </c>
      <c r="F3334" s="3">
        <f ca="1">41006+(RANDBETWEEN(1,10))</f>
        <v>41007</v>
      </c>
      <c r="G3334" t="s">
        <v>26</v>
      </c>
      <c r="H3334" t="s">
        <v>27</v>
      </c>
      <c r="I3334" t="s">
        <v>28</v>
      </c>
      <c r="J3334">
        <v>403.935</v>
      </c>
      <c r="K3334">
        <v>0.04</v>
      </c>
      <c r="L3334">
        <v>0.56000000000000005</v>
      </c>
      <c r="M3334">
        <v>32.795000000000002</v>
      </c>
      <c r="N3334">
        <v>-421.68</v>
      </c>
      <c r="O3334" s="1" t="s">
        <v>64</v>
      </c>
      <c r="P3334" s="1" t="s">
        <v>5397</v>
      </c>
      <c r="Q3334" s="1" t="s">
        <v>5398</v>
      </c>
      <c r="R3334" s="1" t="s">
        <v>67</v>
      </c>
      <c r="S3334" s="1" t="s">
        <v>5399</v>
      </c>
      <c r="T3334" s="1" t="s">
        <v>5400</v>
      </c>
      <c r="U3334" s="2" t="s">
        <v>2863</v>
      </c>
      <c r="V3334" s="2" t="s">
        <v>47</v>
      </c>
      <c r="W3334" s="2" t="s">
        <v>119</v>
      </c>
      <c r="X3334" s="2">
        <v>49.104999999999997</v>
      </c>
    </row>
    <row r="3335" spans="1:24" x14ac:dyDescent="0.3">
      <c r="A3335">
        <v>21189</v>
      </c>
      <c r="B3335" t="s">
        <v>8342</v>
      </c>
      <c r="C3335" s="3">
        <v>41165</v>
      </c>
      <c r="D3335" t="s">
        <v>62</v>
      </c>
      <c r="E3335">
        <v>5</v>
      </c>
      <c r="F3335" s="3">
        <f ca="1">41167+(RANDBETWEEN(1,10))</f>
        <v>41176</v>
      </c>
      <c r="G3335" t="s">
        <v>26</v>
      </c>
      <c r="H3335" t="s">
        <v>96</v>
      </c>
      <c r="I3335" t="s">
        <v>97</v>
      </c>
      <c r="J3335">
        <v>124.67</v>
      </c>
      <c r="K3335">
        <v>0.03</v>
      </c>
      <c r="L3335">
        <v>0.36</v>
      </c>
      <c r="M3335">
        <v>10.85</v>
      </c>
      <c r="N3335">
        <v>-875.65940000000001</v>
      </c>
      <c r="O3335" s="1" t="s">
        <v>87</v>
      </c>
      <c r="P3335" s="1" t="s">
        <v>2075</v>
      </c>
      <c r="Q3335" s="1" t="s">
        <v>2076</v>
      </c>
      <c r="R3335" s="1" t="s">
        <v>398</v>
      </c>
      <c r="S3335" s="1" t="s">
        <v>2077</v>
      </c>
      <c r="T3335" s="1" t="s">
        <v>2078</v>
      </c>
      <c r="U3335" s="2" t="s">
        <v>8343</v>
      </c>
      <c r="V3335" s="2" t="s">
        <v>47</v>
      </c>
      <c r="W3335" s="2" t="s">
        <v>74</v>
      </c>
      <c r="X3335" s="2">
        <v>23.414999999999999</v>
      </c>
    </row>
    <row r="3336" spans="1:24" x14ac:dyDescent="0.3">
      <c r="A3336">
        <v>21190</v>
      </c>
      <c r="B3336" t="s">
        <v>8344</v>
      </c>
      <c r="C3336" s="3">
        <v>40870</v>
      </c>
      <c r="D3336" t="s">
        <v>148</v>
      </c>
      <c r="E3336">
        <v>3</v>
      </c>
      <c r="F3336" s="3">
        <f ca="1">40872+(RANDBETWEEN(1,10))</f>
        <v>40876</v>
      </c>
      <c r="G3336" t="s">
        <v>26</v>
      </c>
      <c r="H3336" t="s">
        <v>96</v>
      </c>
      <c r="I3336" t="s">
        <v>97</v>
      </c>
      <c r="J3336">
        <v>148.22499999999999</v>
      </c>
      <c r="K3336">
        <v>0.05</v>
      </c>
      <c r="L3336">
        <v>0.82</v>
      </c>
      <c r="M3336">
        <v>16.065000000000001</v>
      </c>
      <c r="N3336">
        <v>20.93</v>
      </c>
      <c r="O3336" s="1" t="s">
        <v>53</v>
      </c>
      <c r="P3336" s="1" t="s">
        <v>8345</v>
      </c>
      <c r="Q3336" s="1" t="s">
        <v>8346</v>
      </c>
      <c r="R3336" s="1" t="s">
        <v>56</v>
      </c>
      <c r="S3336" s="1" t="s">
        <v>8347</v>
      </c>
      <c r="T3336" s="1" t="s">
        <v>8348</v>
      </c>
      <c r="U3336" s="2" t="s">
        <v>5077</v>
      </c>
      <c r="V3336" s="2" t="s">
        <v>47</v>
      </c>
      <c r="W3336" s="2" t="s">
        <v>94</v>
      </c>
      <c r="X3336" s="2">
        <v>45.08</v>
      </c>
    </row>
    <row r="3337" spans="1:24" x14ac:dyDescent="0.3">
      <c r="A3337">
        <v>21191</v>
      </c>
      <c r="B3337" t="s">
        <v>8349</v>
      </c>
      <c r="C3337" s="3">
        <v>41231</v>
      </c>
      <c r="D3337" t="s">
        <v>50</v>
      </c>
      <c r="E3337">
        <v>29</v>
      </c>
      <c r="F3337" s="3">
        <f ca="1">41232+(RANDBETWEEN(1,10))</f>
        <v>41236</v>
      </c>
      <c r="G3337" t="s">
        <v>26</v>
      </c>
      <c r="H3337" t="s">
        <v>63</v>
      </c>
      <c r="I3337" t="s">
        <v>97</v>
      </c>
      <c r="J3337">
        <v>27187.895</v>
      </c>
      <c r="K3337">
        <v>7.0000000000000007E-2</v>
      </c>
      <c r="L3337" t="s">
        <v>182</v>
      </c>
      <c r="M3337">
        <v>85.715000000000003</v>
      </c>
      <c r="N3337">
        <v>23.015999999999998</v>
      </c>
      <c r="O3337" s="1" t="s">
        <v>64</v>
      </c>
      <c r="P3337" s="1" t="s">
        <v>7841</v>
      </c>
      <c r="Q3337" s="1" t="s">
        <v>7842</v>
      </c>
      <c r="R3337" s="1" t="s">
        <v>128</v>
      </c>
      <c r="S3337" s="1" t="s">
        <v>4272</v>
      </c>
      <c r="T3337" s="1" t="s">
        <v>4273</v>
      </c>
      <c r="U3337" s="2" t="s">
        <v>1520</v>
      </c>
      <c r="V3337" s="2" t="s">
        <v>83</v>
      </c>
      <c r="W3337" s="2" t="s">
        <v>84</v>
      </c>
      <c r="X3337" s="2">
        <v>966.7</v>
      </c>
    </row>
    <row r="3338" spans="1:24" x14ac:dyDescent="0.3">
      <c r="A3338">
        <v>21192</v>
      </c>
      <c r="B3338" t="s">
        <v>8350</v>
      </c>
      <c r="C3338" s="3">
        <v>41198</v>
      </c>
      <c r="D3338" t="s">
        <v>25</v>
      </c>
      <c r="E3338">
        <v>15</v>
      </c>
      <c r="F3338" s="3">
        <f ca="1">41202+(RANDBETWEEN(1,10))</f>
        <v>41206</v>
      </c>
      <c r="G3338" t="s">
        <v>156</v>
      </c>
      <c r="H3338" t="s">
        <v>27</v>
      </c>
      <c r="I3338" t="s">
        <v>28</v>
      </c>
      <c r="J3338">
        <v>16176.72</v>
      </c>
      <c r="K3338">
        <v>0.03</v>
      </c>
      <c r="L3338">
        <v>0.4</v>
      </c>
      <c r="M3338">
        <v>69.965000000000003</v>
      </c>
      <c r="N3338">
        <v>11161.936799999999</v>
      </c>
      <c r="O3338" s="1" t="s">
        <v>40</v>
      </c>
      <c r="P3338" s="1" t="s">
        <v>6292</v>
      </c>
      <c r="Q3338" s="1" t="s">
        <v>6293</v>
      </c>
      <c r="R3338" s="1" t="s">
        <v>43</v>
      </c>
      <c r="S3338" s="1" t="s">
        <v>80</v>
      </c>
      <c r="T3338" s="1" t="s">
        <v>6294</v>
      </c>
      <c r="U3338" s="2" t="s">
        <v>2149</v>
      </c>
      <c r="V3338" s="2" t="s">
        <v>47</v>
      </c>
      <c r="W3338" s="2" t="s">
        <v>111</v>
      </c>
      <c r="X3338" s="2">
        <v>1067.4649999999999</v>
      </c>
    </row>
    <row r="3339" spans="1:24" x14ac:dyDescent="0.3">
      <c r="A3339">
        <v>21193</v>
      </c>
      <c r="B3339" t="s">
        <v>8351</v>
      </c>
      <c r="C3339" s="3">
        <v>41085</v>
      </c>
      <c r="D3339" t="s">
        <v>62</v>
      </c>
      <c r="E3339">
        <v>12</v>
      </c>
      <c r="F3339" s="3">
        <f ca="1">41086+(RANDBETWEEN(1,10))</f>
        <v>41095</v>
      </c>
      <c r="G3339" t="s">
        <v>156</v>
      </c>
      <c r="H3339" t="s">
        <v>27</v>
      </c>
      <c r="I3339" t="s">
        <v>28</v>
      </c>
      <c r="J3339">
        <v>232.01499999999999</v>
      </c>
      <c r="K3339">
        <v>0.06</v>
      </c>
      <c r="L3339">
        <v>0.36</v>
      </c>
      <c r="M3339">
        <v>16.52</v>
      </c>
      <c r="N3339">
        <v>-116.48</v>
      </c>
      <c r="O3339" s="1" t="s">
        <v>40</v>
      </c>
      <c r="P3339" s="1" t="s">
        <v>6323</v>
      </c>
      <c r="Q3339" s="1" t="s">
        <v>6324</v>
      </c>
      <c r="R3339" s="1" t="s">
        <v>43</v>
      </c>
      <c r="S3339" s="1" t="s">
        <v>6325</v>
      </c>
      <c r="T3339" s="1" t="s">
        <v>6326</v>
      </c>
      <c r="U3339" s="2" t="s">
        <v>904</v>
      </c>
      <c r="V3339" s="2" t="s">
        <v>47</v>
      </c>
      <c r="W3339" s="2" t="s">
        <v>74</v>
      </c>
      <c r="X3339" s="2">
        <v>17.43</v>
      </c>
    </row>
    <row r="3340" spans="1:24" x14ac:dyDescent="0.3">
      <c r="A3340">
        <v>21194</v>
      </c>
      <c r="B3340" t="s">
        <v>8351</v>
      </c>
      <c r="C3340" s="3">
        <v>41085</v>
      </c>
      <c r="D3340" t="s">
        <v>62</v>
      </c>
      <c r="E3340">
        <v>9</v>
      </c>
      <c r="F3340" s="3">
        <f ca="1">41088+(RANDBETWEEN(1,10))</f>
        <v>41098</v>
      </c>
      <c r="G3340" t="s">
        <v>76</v>
      </c>
      <c r="H3340" t="s">
        <v>258</v>
      </c>
      <c r="I3340" t="s">
        <v>28</v>
      </c>
      <c r="J3340">
        <v>8620.5349999999999</v>
      </c>
      <c r="K3340">
        <v>0.06</v>
      </c>
      <c r="L3340">
        <v>0.62</v>
      </c>
      <c r="M3340">
        <v>140.66499999999999</v>
      </c>
      <c r="N3340">
        <v>5948.1691499999997</v>
      </c>
      <c r="O3340" s="1" t="s">
        <v>40</v>
      </c>
      <c r="P3340" s="1" t="s">
        <v>8352</v>
      </c>
      <c r="Q3340" s="1" t="s">
        <v>8353</v>
      </c>
      <c r="R3340" s="1" t="s">
        <v>43</v>
      </c>
      <c r="S3340" s="1" t="s">
        <v>6018</v>
      </c>
      <c r="T3340" s="1" t="s">
        <v>6019</v>
      </c>
      <c r="U3340" s="2" t="s">
        <v>3482</v>
      </c>
      <c r="V3340" s="2" t="s">
        <v>83</v>
      </c>
      <c r="W3340" s="2" t="s">
        <v>263</v>
      </c>
      <c r="X3340" s="2">
        <v>1218.7349999999999</v>
      </c>
    </row>
    <row r="3341" spans="1:24" x14ac:dyDescent="0.3">
      <c r="A3341">
        <v>21195</v>
      </c>
      <c r="B3341" t="s">
        <v>8351</v>
      </c>
      <c r="C3341" s="3">
        <v>41085</v>
      </c>
      <c r="D3341" t="s">
        <v>62</v>
      </c>
      <c r="E3341">
        <v>19</v>
      </c>
      <c r="F3341" s="3">
        <f ca="1">41086+(RANDBETWEEN(1,10))</f>
        <v>41090</v>
      </c>
      <c r="G3341" t="s">
        <v>26</v>
      </c>
      <c r="H3341" t="s">
        <v>96</v>
      </c>
      <c r="I3341" t="s">
        <v>28</v>
      </c>
      <c r="J3341">
        <v>2100.105</v>
      </c>
      <c r="K3341">
        <v>0.02</v>
      </c>
      <c r="L3341">
        <v>0.38</v>
      </c>
      <c r="M3341">
        <v>20.965</v>
      </c>
      <c r="N3341">
        <v>1449.0724499999999</v>
      </c>
      <c r="O3341" s="1" t="s">
        <v>40</v>
      </c>
      <c r="P3341" s="1" t="s">
        <v>8352</v>
      </c>
      <c r="Q3341" s="1" t="s">
        <v>8353</v>
      </c>
      <c r="R3341" s="1" t="s">
        <v>43</v>
      </c>
      <c r="S3341" s="1" t="s">
        <v>6018</v>
      </c>
      <c r="T3341" s="1" t="s">
        <v>6019</v>
      </c>
      <c r="U3341" s="2" t="s">
        <v>5234</v>
      </c>
      <c r="V3341" s="2" t="s">
        <v>36</v>
      </c>
      <c r="W3341" s="2" t="s">
        <v>37</v>
      </c>
      <c r="X3341" s="2">
        <v>125.965</v>
      </c>
    </row>
    <row r="3342" spans="1:24" x14ac:dyDescent="0.3">
      <c r="A3342">
        <v>21196</v>
      </c>
      <c r="B3342" t="s">
        <v>8354</v>
      </c>
      <c r="C3342" s="3">
        <v>41652</v>
      </c>
      <c r="D3342" t="s">
        <v>62</v>
      </c>
      <c r="E3342">
        <v>8</v>
      </c>
      <c r="F3342" s="3">
        <f ca="1">41653+(RANDBETWEEN(1,10))</f>
        <v>41658</v>
      </c>
      <c r="G3342" t="s">
        <v>26</v>
      </c>
      <c r="H3342" t="s">
        <v>281</v>
      </c>
      <c r="I3342" t="s">
        <v>28</v>
      </c>
      <c r="J3342">
        <v>314.19499999999999</v>
      </c>
      <c r="K3342">
        <v>7.0000000000000007E-2</v>
      </c>
      <c r="L3342">
        <v>0.5</v>
      </c>
      <c r="M3342">
        <v>24.36</v>
      </c>
      <c r="N3342">
        <v>-308.35700000000003</v>
      </c>
      <c r="O3342" s="1" t="s">
        <v>64</v>
      </c>
      <c r="P3342" s="1" t="s">
        <v>6776</v>
      </c>
      <c r="Q3342" s="1" t="s">
        <v>6777</v>
      </c>
      <c r="R3342" s="1" t="s">
        <v>67</v>
      </c>
      <c r="S3342" s="1" t="s">
        <v>6778</v>
      </c>
      <c r="T3342" s="1" t="s">
        <v>6779</v>
      </c>
      <c r="U3342" s="2" t="s">
        <v>709</v>
      </c>
      <c r="V3342" s="2" t="s">
        <v>47</v>
      </c>
      <c r="W3342" s="2" t="s">
        <v>71</v>
      </c>
      <c r="X3342" s="2">
        <v>40.950000000000003</v>
      </c>
    </row>
    <row r="3343" spans="1:24" x14ac:dyDescent="0.3">
      <c r="A3343">
        <v>21197</v>
      </c>
      <c r="B3343" t="s">
        <v>8355</v>
      </c>
      <c r="C3343" s="3">
        <v>41672</v>
      </c>
      <c r="D3343" t="s">
        <v>148</v>
      </c>
      <c r="E3343">
        <v>5</v>
      </c>
      <c r="F3343" s="3">
        <f ca="1">41673+(RANDBETWEEN(1,10))</f>
        <v>41679</v>
      </c>
      <c r="G3343" t="s">
        <v>26</v>
      </c>
      <c r="H3343" t="s">
        <v>27</v>
      </c>
      <c r="I3343" t="s">
        <v>28</v>
      </c>
      <c r="J3343">
        <v>118.61499999999999</v>
      </c>
      <c r="K3343">
        <v>0.04</v>
      </c>
      <c r="L3343">
        <v>0.37</v>
      </c>
      <c r="M3343">
        <v>35.174999999999997</v>
      </c>
      <c r="N3343">
        <v>-402.5</v>
      </c>
      <c r="O3343" s="1" t="s">
        <v>53</v>
      </c>
      <c r="P3343" s="1" t="s">
        <v>8356</v>
      </c>
      <c r="Q3343" s="1" t="s">
        <v>8357</v>
      </c>
      <c r="R3343" s="1" t="s">
        <v>56</v>
      </c>
      <c r="S3343" s="1" t="s">
        <v>8358</v>
      </c>
      <c r="T3343" s="1" t="s">
        <v>8359</v>
      </c>
      <c r="U3343" s="2" t="s">
        <v>635</v>
      </c>
      <c r="V3343" s="2" t="s">
        <v>47</v>
      </c>
      <c r="W3343" s="2" t="s">
        <v>74</v>
      </c>
      <c r="X3343" s="2">
        <v>22.68</v>
      </c>
    </row>
    <row r="3344" spans="1:24" x14ac:dyDescent="0.3">
      <c r="A3344">
        <v>21198</v>
      </c>
      <c r="B3344" t="s">
        <v>8360</v>
      </c>
      <c r="C3344" s="3">
        <v>40603</v>
      </c>
      <c r="D3344" t="s">
        <v>148</v>
      </c>
      <c r="E3344">
        <v>1</v>
      </c>
      <c r="F3344" s="3">
        <f ca="1">40606+(RANDBETWEEN(1,10))</f>
        <v>40610</v>
      </c>
      <c r="G3344" t="s">
        <v>156</v>
      </c>
      <c r="H3344" t="s">
        <v>63</v>
      </c>
      <c r="I3344" t="s">
        <v>28</v>
      </c>
      <c r="J3344">
        <v>12425.98</v>
      </c>
      <c r="K3344">
        <v>0.06</v>
      </c>
      <c r="L3344">
        <v>0.37</v>
      </c>
      <c r="M3344">
        <v>85.715000000000003</v>
      </c>
      <c r="N3344">
        <v>-239.512</v>
      </c>
      <c r="O3344" s="1" t="s">
        <v>29</v>
      </c>
      <c r="P3344" s="1" t="s">
        <v>8361</v>
      </c>
      <c r="Q3344" s="1" t="s">
        <v>8362</v>
      </c>
      <c r="R3344" s="1" t="s">
        <v>460</v>
      </c>
      <c r="S3344" s="1" t="s">
        <v>8363</v>
      </c>
      <c r="T3344" s="1" t="s">
        <v>8364</v>
      </c>
      <c r="U3344" s="2" t="s">
        <v>6194</v>
      </c>
      <c r="V3344" s="2" t="s">
        <v>36</v>
      </c>
      <c r="W3344" s="2" t="s">
        <v>1327</v>
      </c>
      <c r="X3344" s="2">
        <v>12249.965</v>
      </c>
    </row>
    <row r="3345" spans="1:24" x14ac:dyDescent="0.3">
      <c r="A3345">
        <v>21199</v>
      </c>
      <c r="B3345" t="s">
        <v>8365</v>
      </c>
      <c r="C3345" s="3">
        <v>40741</v>
      </c>
      <c r="D3345" t="s">
        <v>62</v>
      </c>
      <c r="E3345">
        <v>6</v>
      </c>
      <c r="F3345" s="3">
        <f ca="1">40742+(RANDBETWEEN(1,10))</f>
        <v>40746</v>
      </c>
      <c r="G3345" t="s">
        <v>26</v>
      </c>
      <c r="H3345" t="s">
        <v>27</v>
      </c>
      <c r="I3345" t="s">
        <v>52</v>
      </c>
      <c r="J3345">
        <v>98.77</v>
      </c>
      <c r="K3345">
        <v>7.0000000000000007E-2</v>
      </c>
      <c r="L3345">
        <v>0.36</v>
      </c>
      <c r="M3345">
        <v>1.75</v>
      </c>
      <c r="N3345">
        <v>-551.93600000000004</v>
      </c>
      <c r="O3345" s="1" t="s">
        <v>225</v>
      </c>
      <c r="P3345" s="1" t="s">
        <v>3116</v>
      </c>
      <c r="Q3345" s="1" t="s">
        <v>3117</v>
      </c>
      <c r="R3345" s="1" t="s">
        <v>228</v>
      </c>
      <c r="S3345" s="1" t="s">
        <v>1879</v>
      </c>
      <c r="T3345" s="1" t="s">
        <v>1880</v>
      </c>
      <c r="U3345" s="2" t="s">
        <v>2281</v>
      </c>
      <c r="V3345" s="2" t="s">
        <v>47</v>
      </c>
      <c r="W3345" s="2" t="s">
        <v>203</v>
      </c>
      <c r="X3345" s="2">
        <v>17.184999999999999</v>
      </c>
    </row>
    <row r="3346" spans="1:24" x14ac:dyDescent="0.3">
      <c r="A3346">
        <v>21200</v>
      </c>
      <c r="B3346" t="s">
        <v>8366</v>
      </c>
      <c r="C3346" s="3">
        <v>40895</v>
      </c>
      <c r="D3346" t="s">
        <v>25</v>
      </c>
      <c r="E3346">
        <v>9</v>
      </c>
      <c r="F3346" s="3">
        <f ca="1">40902+(RANDBETWEEN(1,10))</f>
        <v>40903</v>
      </c>
      <c r="G3346" t="s">
        <v>26</v>
      </c>
      <c r="H3346" t="s">
        <v>51</v>
      </c>
      <c r="I3346" t="s">
        <v>52</v>
      </c>
      <c r="J3346">
        <v>358.505</v>
      </c>
      <c r="K3346">
        <v>0.09</v>
      </c>
      <c r="L3346">
        <v>0.55000000000000004</v>
      </c>
      <c r="M3346">
        <v>9.9749999999999996</v>
      </c>
      <c r="N3346">
        <v>247.36845</v>
      </c>
      <c r="O3346" s="1" t="s">
        <v>29</v>
      </c>
      <c r="P3346" s="1" t="s">
        <v>869</v>
      </c>
      <c r="Q3346" s="1" t="s">
        <v>870</v>
      </c>
      <c r="R3346" s="1" t="s">
        <v>32</v>
      </c>
      <c r="S3346" s="1" t="s">
        <v>871</v>
      </c>
      <c r="T3346" s="1" t="s">
        <v>872</v>
      </c>
      <c r="U3346" s="2" t="s">
        <v>3256</v>
      </c>
      <c r="V3346" s="2" t="s">
        <v>83</v>
      </c>
      <c r="W3346" s="2" t="s">
        <v>178</v>
      </c>
      <c r="X3346" s="2">
        <v>42.77</v>
      </c>
    </row>
    <row r="3347" spans="1:24" x14ac:dyDescent="0.3">
      <c r="A3347">
        <v>21201</v>
      </c>
      <c r="B3347" t="s">
        <v>8367</v>
      </c>
      <c r="C3347" s="3">
        <v>41629</v>
      </c>
      <c r="D3347" t="s">
        <v>25</v>
      </c>
      <c r="E3347">
        <v>15</v>
      </c>
      <c r="F3347" s="3">
        <f ca="1">41636+(RANDBETWEEN(1,10))</f>
        <v>41642</v>
      </c>
      <c r="G3347" t="s">
        <v>26</v>
      </c>
      <c r="H3347" t="s">
        <v>63</v>
      </c>
      <c r="I3347" t="s">
        <v>28</v>
      </c>
      <c r="J3347">
        <v>3179.1550000000002</v>
      </c>
      <c r="K3347">
        <v>0.1</v>
      </c>
      <c r="L3347">
        <v>0.8</v>
      </c>
      <c r="M3347">
        <v>122.5</v>
      </c>
      <c r="N3347">
        <v>-1554.1224999999999</v>
      </c>
      <c r="O3347" s="1" t="s">
        <v>225</v>
      </c>
      <c r="P3347" s="1" t="s">
        <v>8368</v>
      </c>
      <c r="Q3347" s="1" t="s">
        <v>8369</v>
      </c>
      <c r="R3347" s="1" t="s">
        <v>228</v>
      </c>
      <c r="S3347" s="1" t="s">
        <v>229</v>
      </c>
      <c r="T3347" s="1" t="s">
        <v>8370</v>
      </c>
      <c r="U3347" s="2" t="s">
        <v>3893</v>
      </c>
      <c r="V3347" s="2" t="s">
        <v>47</v>
      </c>
      <c r="W3347" s="2" t="s">
        <v>119</v>
      </c>
      <c r="X3347" s="2">
        <v>226.27500000000001</v>
      </c>
    </row>
    <row r="3348" spans="1:24" x14ac:dyDescent="0.3">
      <c r="A3348">
        <v>21202</v>
      </c>
      <c r="B3348" t="s">
        <v>8371</v>
      </c>
      <c r="C3348" s="3">
        <v>41762</v>
      </c>
      <c r="D3348" t="s">
        <v>148</v>
      </c>
      <c r="E3348">
        <v>8</v>
      </c>
      <c r="F3348" s="3">
        <f ca="1">41762+(RANDBETWEEN(1,10))</f>
        <v>41770</v>
      </c>
      <c r="G3348" t="s">
        <v>26</v>
      </c>
      <c r="H3348" t="s">
        <v>27</v>
      </c>
      <c r="I3348" t="s">
        <v>28</v>
      </c>
      <c r="J3348">
        <v>1521.38</v>
      </c>
      <c r="K3348">
        <v>0.1</v>
      </c>
      <c r="L3348">
        <v>0.6</v>
      </c>
      <c r="M3348">
        <v>31.465</v>
      </c>
      <c r="N3348">
        <v>120.267</v>
      </c>
      <c r="O3348" s="1" t="s">
        <v>225</v>
      </c>
      <c r="P3348" s="1" t="s">
        <v>6401</v>
      </c>
      <c r="Q3348" s="1" t="s">
        <v>6402</v>
      </c>
      <c r="R3348" s="1" t="s">
        <v>228</v>
      </c>
      <c r="S3348" s="1" t="s">
        <v>6403</v>
      </c>
      <c r="T3348" s="1" t="s">
        <v>6404</v>
      </c>
      <c r="U3348" s="2" t="s">
        <v>8372</v>
      </c>
      <c r="V3348" s="2" t="s">
        <v>36</v>
      </c>
      <c r="W3348" s="2" t="s">
        <v>37</v>
      </c>
      <c r="X3348" s="2">
        <v>230.965</v>
      </c>
    </row>
    <row r="3349" spans="1:24" x14ac:dyDescent="0.3">
      <c r="A3349">
        <v>21203</v>
      </c>
      <c r="B3349" t="s">
        <v>8373</v>
      </c>
      <c r="C3349" s="3">
        <v>40635</v>
      </c>
      <c r="D3349" t="s">
        <v>148</v>
      </c>
      <c r="E3349">
        <v>7</v>
      </c>
      <c r="F3349" s="3">
        <f ca="1">40636+(RANDBETWEEN(1,10))</f>
        <v>40642</v>
      </c>
      <c r="G3349" t="s">
        <v>76</v>
      </c>
      <c r="H3349" t="s">
        <v>77</v>
      </c>
      <c r="I3349" t="s">
        <v>86</v>
      </c>
      <c r="J3349">
        <v>1576.7149999999999</v>
      </c>
      <c r="K3349">
        <v>0.03</v>
      </c>
      <c r="L3349">
        <v>0.56000000000000005</v>
      </c>
      <c r="M3349">
        <v>113.435</v>
      </c>
      <c r="N3349">
        <v>127.239</v>
      </c>
      <c r="O3349" s="1" t="s">
        <v>87</v>
      </c>
      <c r="P3349" s="1" t="s">
        <v>7060</v>
      </c>
      <c r="Q3349" s="1" t="s">
        <v>7061</v>
      </c>
      <c r="R3349" s="1" t="s">
        <v>646</v>
      </c>
      <c r="S3349" s="1" t="s">
        <v>7062</v>
      </c>
      <c r="T3349" s="1" t="s">
        <v>7063</v>
      </c>
      <c r="U3349" s="2" t="s">
        <v>1410</v>
      </c>
      <c r="V3349" s="2" t="s">
        <v>83</v>
      </c>
      <c r="W3349" s="2" t="s">
        <v>84</v>
      </c>
      <c r="X3349" s="2">
        <v>213.11500000000001</v>
      </c>
    </row>
    <row r="3350" spans="1:24" x14ac:dyDescent="0.3">
      <c r="A3350">
        <v>21204</v>
      </c>
      <c r="B3350" t="s">
        <v>8374</v>
      </c>
      <c r="C3350" s="3">
        <v>41913</v>
      </c>
      <c r="D3350" t="s">
        <v>50</v>
      </c>
      <c r="E3350">
        <v>9</v>
      </c>
      <c r="F3350" s="3">
        <f ca="1">41914+(RANDBETWEEN(1,10))</f>
        <v>41919</v>
      </c>
      <c r="G3350" t="s">
        <v>26</v>
      </c>
      <c r="H3350" t="s">
        <v>281</v>
      </c>
      <c r="I3350" t="s">
        <v>52</v>
      </c>
      <c r="J3350">
        <v>415.24</v>
      </c>
      <c r="K3350">
        <v>0</v>
      </c>
      <c r="L3350">
        <v>0.56999999999999995</v>
      </c>
      <c r="M3350">
        <v>21.945</v>
      </c>
      <c r="N3350">
        <v>-97.72</v>
      </c>
      <c r="O3350" s="1" t="s">
        <v>87</v>
      </c>
      <c r="P3350" s="1" t="s">
        <v>5028</v>
      </c>
      <c r="Q3350" s="1" t="s">
        <v>5029</v>
      </c>
      <c r="R3350" s="1" t="s">
        <v>497</v>
      </c>
      <c r="S3350" s="1" t="s">
        <v>5030</v>
      </c>
      <c r="T3350" s="1" t="s">
        <v>5031</v>
      </c>
      <c r="U3350" s="2" t="s">
        <v>517</v>
      </c>
      <c r="V3350" s="2" t="s">
        <v>47</v>
      </c>
      <c r="W3350" s="2" t="s">
        <v>119</v>
      </c>
      <c r="X3350" s="2">
        <v>43.54</v>
      </c>
    </row>
    <row r="3351" spans="1:24" x14ac:dyDescent="0.3">
      <c r="A3351">
        <v>21205</v>
      </c>
      <c r="B3351" t="s">
        <v>8374</v>
      </c>
      <c r="C3351" s="3">
        <v>41913</v>
      </c>
      <c r="D3351" t="s">
        <v>50</v>
      </c>
      <c r="E3351">
        <v>5</v>
      </c>
      <c r="F3351" s="3">
        <f ca="1">41914+(RANDBETWEEN(1,10))</f>
        <v>41920</v>
      </c>
      <c r="G3351" t="s">
        <v>26</v>
      </c>
      <c r="H3351" t="s">
        <v>27</v>
      </c>
      <c r="I3351" t="s">
        <v>52</v>
      </c>
      <c r="J3351">
        <v>98.105000000000004</v>
      </c>
      <c r="K3351">
        <v>0.06</v>
      </c>
      <c r="L3351">
        <v>0.38</v>
      </c>
      <c r="M3351">
        <v>19.215</v>
      </c>
      <c r="N3351">
        <v>-97.055000000000007</v>
      </c>
      <c r="O3351" s="1" t="s">
        <v>87</v>
      </c>
      <c r="P3351" s="1" t="s">
        <v>8375</v>
      </c>
      <c r="Q3351" s="1" t="s">
        <v>8376</v>
      </c>
      <c r="R3351" s="1" t="s">
        <v>646</v>
      </c>
      <c r="S3351" s="1" t="s">
        <v>8377</v>
      </c>
      <c r="T3351" s="1" t="s">
        <v>8378</v>
      </c>
      <c r="U3351" s="2" t="s">
        <v>236</v>
      </c>
      <c r="V3351" s="2" t="s">
        <v>47</v>
      </c>
      <c r="W3351" s="2" t="s">
        <v>74</v>
      </c>
      <c r="X3351" s="2">
        <v>17.43</v>
      </c>
    </row>
    <row r="3352" spans="1:24" x14ac:dyDescent="0.3">
      <c r="A3352">
        <v>21206</v>
      </c>
      <c r="B3352" t="s">
        <v>8379</v>
      </c>
      <c r="C3352" s="3">
        <v>40825</v>
      </c>
      <c r="D3352" t="s">
        <v>62</v>
      </c>
      <c r="E3352">
        <v>5</v>
      </c>
      <c r="F3352" s="3">
        <f ca="1">40827+(RANDBETWEEN(1,10))</f>
        <v>40830</v>
      </c>
      <c r="G3352" t="s">
        <v>156</v>
      </c>
      <c r="H3352" t="s">
        <v>27</v>
      </c>
      <c r="I3352" t="s">
        <v>52</v>
      </c>
      <c r="J3352">
        <v>1988.84</v>
      </c>
      <c r="K3352">
        <v>0.1</v>
      </c>
      <c r="L3352">
        <v>0.35</v>
      </c>
      <c r="M3352">
        <v>31.745000000000001</v>
      </c>
      <c r="N3352">
        <v>1041.10006</v>
      </c>
      <c r="O3352" s="1" t="s">
        <v>87</v>
      </c>
      <c r="P3352" s="1" t="s">
        <v>3751</v>
      </c>
      <c r="Q3352" s="1" t="s">
        <v>3752</v>
      </c>
      <c r="R3352" s="1" t="s">
        <v>90</v>
      </c>
      <c r="S3352" s="1" t="s">
        <v>3753</v>
      </c>
      <c r="T3352" s="1" t="s">
        <v>3754</v>
      </c>
      <c r="U3352" s="2" t="s">
        <v>4646</v>
      </c>
      <c r="V3352" s="2" t="s">
        <v>47</v>
      </c>
      <c r="W3352" s="2" t="s">
        <v>111</v>
      </c>
      <c r="X3352" s="2">
        <v>423.43</v>
      </c>
    </row>
    <row r="3353" spans="1:24" x14ac:dyDescent="0.3">
      <c r="A3353">
        <v>21207</v>
      </c>
      <c r="B3353" t="s">
        <v>8379</v>
      </c>
      <c r="C3353" s="3">
        <v>40825</v>
      </c>
      <c r="D3353" t="s">
        <v>62</v>
      </c>
      <c r="E3353">
        <v>1</v>
      </c>
      <c r="F3353" s="3">
        <f ca="1">40827+(RANDBETWEEN(1,10))</f>
        <v>40832</v>
      </c>
      <c r="G3353" t="s">
        <v>156</v>
      </c>
      <c r="H3353" t="s">
        <v>27</v>
      </c>
      <c r="I3353" t="s">
        <v>52</v>
      </c>
      <c r="J3353">
        <v>570.18499999999995</v>
      </c>
      <c r="K3353">
        <v>0.02</v>
      </c>
      <c r="L3353">
        <v>0.74</v>
      </c>
      <c r="M3353">
        <v>22.75</v>
      </c>
      <c r="N3353">
        <v>-1976.1084000000001</v>
      </c>
      <c r="O3353" s="1" t="s">
        <v>87</v>
      </c>
      <c r="P3353" s="1" t="s">
        <v>3751</v>
      </c>
      <c r="Q3353" s="1" t="s">
        <v>3752</v>
      </c>
      <c r="R3353" s="1" t="s">
        <v>90</v>
      </c>
      <c r="S3353" s="1" t="s">
        <v>3753</v>
      </c>
      <c r="T3353" s="1" t="s">
        <v>3754</v>
      </c>
      <c r="U3353" s="2" t="s">
        <v>192</v>
      </c>
      <c r="V3353" s="2" t="s">
        <v>36</v>
      </c>
      <c r="W3353" s="2" t="s">
        <v>60</v>
      </c>
      <c r="X3353" s="2">
        <v>533.67999999999995</v>
      </c>
    </row>
    <row r="3354" spans="1:24" x14ac:dyDescent="0.3">
      <c r="A3354">
        <v>21208</v>
      </c>
      <c r="B3354" t="s">
        <v>8380</v>
      </c>
      <c r="C3354" s="3">
        <v>41075</v>
      </c>
      <c r="D3354" t="s">
        <v>25</v>
      </c>
      <c r="E3354">
        <v>1</v>
      </c>
      <c r="F3354" s="3">
        <f ca="1">41082+(RANDBETWEEN(1,10))</f>
        <v>41086</v>
      </c>
      <c r="G3354" t="s">
        <v>26</v>
      </c>
      <c r="H3354" t="s">
        <v>51</v>
      </c>
      <c r="I3354" t="s">
        <v>28</v>
      </c>
      <c r="J3354">
        <v>42.7</v>
      </c>
      <c r="K3354">
        <v>0.01</v>
      </c>
      <c r="L3354">
        <v>0.41</v>
      </c>
      <c r="M3354">
        <v>6.9649999999999999</v>
      </c>
      <c r="N3354">
        <v>-95.004000000000005</v>
      </c>
      <c r="O3354" s="1" t="s">
        <v>87</v>
      </c>
      <c r="P3354" s="1" t="s">
        <v>4737</v>
      </c>
      <c r="Q3354" s="1" t="s">
        <v>4738</v>
      </c>
      <c r="R3354" s="1" t="s">
        <v>398</v>
      </c>
      <c r="S3354" s="1" t="s">
        <v>4739</v>
      </c>
      <c r="T3354" s="1" t="s">
        <v>4740</v>
      </c>
      <c r="U3354" s="2" t="s">
        <v>1365</v>
      </c>
      <c r="V3354" s="2" t="s">
        <v>36</v>
      </c>
      <c r="W3354" s="2" t="s">
        <v>60</v>
      </c>
      <c r="X3354" s="2">
        <v>35.034999999999997</v>
      </c>
    </row>
    <row r="3355" spans="1:24" x14ac:dyDescent="0.3">
      <c r="A3355">
        <v>21209</v>
      </c>
      <c r="B3355" t="s">
        <v>8381</v>
      </c>
      <c r="C3355" s="3">
        <v>41110</v>
      </c>
      <c r="D3355" t="s">
        <v>25</v>
      </c>
      <c r="E3355">
        <v>6</v>
      </c>
      <c r="F3355" s="3">
        <f ca="1">41117+(RANDBETWEEN(1,10))</f>
        <v>41125</v>
      </c>
      <c r="G3355" t="s">
        <v>26</v>
      </c>
      <c r="H3355" t="s">
        <v>27</v>
      </c>
      <c r="I3355" t="s">
        <v>52</v>
      </c>
      <c r="J3355">
        <v>173.70500000000001</v>
      </c>
      <c r="K3355">
        <v>0.02</v>
      </c>
      <c r="L3355">
        <v>0.35</v>
      </c>
      <c r="M3355">
        <v>21.56</v>
      </c>
      <c r="N3355">
        <v>997.26900000000001</v>
      </c>
      <c r="O3355" s="1" t="s">
        <v>87</v>
      </c>
      <c r="P3355" s="1" t="s">
        <v>2151</v>
      </c>
      <c r="Q3355" s="1" t="s">
        <v>2152</v>
      </c>
      <c r="R3355" s="1" t="s">
        <v>646</v>
      </c>
      <c r="S3355" s="1" t="s">
        <v>2153</v>
      </c>
      <c r="T3355" s="1" t="s">
        <v>2154</v>
      </c>
      <c r="U3355" s="2" t="s">
        <v>3717</v>
      </c>
      <c r="V3355" s="2" t="s">
        <v>47</v>
      </c>
      <c r="W3355" s="2" t="s">
        <v>111</v>
      </c>
      <c r="X3355" s="2">
        <v>26.88</v>
      </c>
    </row>
    <row r="3356" spans="1:24" x14ac:dyDescent="0.3">
      <c r="A3356">
        <v>21210</v>
      </c>
      <c r="B3356" t="s">
        <v>8381</v>
      </c>
      <c r="C3356" s="3">
        <v>41110</v>
      </c>
      <c r="D3356" t="s">
        <v>25</v>
      </c>
      <c r="E3356">
        <v>2</v>
      </c>
      <c r="F3356" s="3">
        <f ca="1">41112+(RANDBETWEEN(1,10))</f>
        <v>41118</v>
      </c>
      <c r="G3356" t="s">
        <v>26</v>
      </c>
      <c r="H3356" t="s">
        <v>27</v>
      </c>
      <c r="I3356" t="s">
        <v>52</v>
      </c>
      <c r="J3356">
        <v>2535.75</v>
      </c>
      <c r="K3356">
        <v>0.08</v>
      </c>
      <c r="L3356">
        <v>0.4</v>
      </c>
      <c r="M3356">
        <v>69.965000000000003</v>
      </c>
      <c r="N3356">
        <v>-50.225000000000001</v>
      </c>
      <c r="O3356" s="1" t="s">
        <v>87</v>
      </c>
      <c r="P3356" s="1" t="s">
        <v>2151</v>
      </c>
      <c r="Q3356" s="1" t="s">
        <v>2152</v>
      </c>
      <c r="R3356" s="1" t="s">
        <v>646</v>
      </c>
      <c r="S3356" s="1" t="s">
        <v>2153</v>
      </c>
      <c r="T3356" s="1" t="s">
        <v>2154</v>
      </c>
      <c r="U3356" s="2" t="s">
        <v>8382</v>
      </c>
      <c r="V3356" s="2" t="s">
        <v>47</v>
      </c>
      <c r="W3356" s="2" t="s">
        <v>111</v>
      </c>
      <c r="X3356" s="2">
        <v>1287.9649999999999</v>
      </c>
    </row>
    <row r="3357" spans="1:24" x14ac:dyDescent="0.3">
      <c r="A3357">
        <v>21211</v>
      </c>
      <c r="B3357" t="s">
        <v>8381</v>
      </c>
      <c r="C3357" s="3">
        <v>41110</v>
      </c>
      <c r="D3357" t="s">
        <v>25</v>
      </c>
      <c r="E3357">
        <v>3</v>
      </c>
      <c r="F3357" s="3">
        <f ca="1">41117+(RANDBETWEEN(1,10))</f>
        <v>41118</v>
      </c>
      <c r="G3357" t="s">
        <v>76</v>
      </c>
      <c r="H3357" t="s">
        <v>258</v>
      </c>
      <c r="I3357" t="s">
        <v>52</v>
      </c>
      <c r="J3357">
        <v>2775.1149999999998</v>
      </c>
      <c r="K3357">
        <v>0.08</v>
      </c>
      <c r="L3357">
        <v>0.75</v>
      </c>
      <c r="M3357">
        <v>219.59</v>
      </c>
      <c r="N3357">
        <v>78.393000000000001</v>
      </c>
      <c r="O3357" s="1" t="s">
        <v>87</v>
      </c>
      <c r="P3357" s="1" t="s">
        <v>2151</v>
      </c>
      <c r="Q3357" s="1" t="s">
        <v>2152</v>
      </c>
      <c r="R3357" s="1" t="s">
        <v>646</v>
      </c>
      <c r="S3357" s="1" t="s">
        <v>2153</v>
      </c>
      <c r="T3357" s="1" t="s">
        <v>2154</v>
      </c>
      <c r="U3357" s="2" t="s">
        <v>4957</v>
      </c>
      <c r="V3357" s="2" t="s">
        <v>83</v>
      </c>
      <c r="W3357" s="2" t="s">
        <v>263</v>
      </c>
      <c r="X3357" s="2">
        <v>917.38499999999999</v>
      </c>
    </row>
    <row r="3358" spans="1:24" x14ac:dyDescent="0.3">
      <c r="A3358">
        <v>21212</v>
      </c>
      <c r="B3358" t="s">
        <v>5352</v>
      </c>
      <c r="C3358" s="3">
        <v>40659</v>
      </c>
      <c r="D3358" t="s">
        <v>148</v>
      </c>
      <c r="E3358">
        <v>5</v>
      </c>
      <c r="F3358" s="3">
        <f ca="1">40660+(RANDBETWEEN(1,10))</f>
        <v>40664</v>
      </c>
      <c r="G3358" t="s">
        <v>26</v>
      </c>
      <c r="H3358" t="s">
        <v>27</v>
      </c>
      <c r="I3358" t="s">
        <v>97</v>
      </c>
      <c r="J3358">
        <v>7042.3850000000002</v>
      </c>
      <c r="K3358">
        <v>0.04</v>
      </c>
      <c r="L3358">
        <v>0.57999999999999996</v>
      </c>
      <c r="M3358">
        <v>69.965000000000003</v>
      </c>
      <c r="N3358">
        <v>4859.2456499999998</v>
      </c>
      <c r="O3358" s="1" t="s">
        <v>64</v>
      </c>
      <c r="P3358" s="1" t="s">
        <v>7251</v>
      </c>
      <c r="Q3358" s="1" t="s">
        <v>7252</v>
      </c>
      <c r="R3358" s="1" t="s">
        <v>128</v>
      </c>
      <c r="S3358" s="1" t="s">
        <v>7253</v>
      </c>
      <c r="T3358" s="1" t="s">
        <v>7254</v>
      </c>
      <c r="U3358" s="2" t="s">
        <v>3569</v>
      </c>
      <c r="V3358" s="2" t="s">
        <v>47</v>
      </c>
      <c r="W3358" s="2" t="s">
        <v>119</v>
      </c>
      <c r="X3358" s="2">
        <v>1467.165</v>
      </c>
    </row>
    <row r="3359" spans="1:24" x14ac:dyDescent="0.3">
      <c r="A3359">
        <v>21213</v>
      </c>
      <c r="B3359" t="s">
        <v>8383</v>
      </c>
      <c r="C3359" s="3">
        <v>41188</v>
      </c>
      <c r="D3359" t="s">
        <v>62</v>
      </c>
      <c r="E3359">
        <v>15</v>
      </c>
      <c r="F3359" s="3">
        <f ca="1">41190+(RANDBETWEEN(1,10))</f>
        <v>41197</v>
      </c>
      <c r="G3359" t="s">
        <v>26</v>
      </c>
      <c r="H3359" t="s">
        <v>96</v>
      </c>
      <c r="I3359" t="s">
        <v>28</v>
      </c>
      <c r="J3359">
        <v>465.745</v>
      </c>
      <c r="K3359">
        <v>0.08</v>
      </c>
      <c r="L3359">
        <v>0.39</v>
      </c>
      <c r="M3359">
        <v>7.0350000000000001</v>
      </c>
      <c r="N3359">
        <v>300.52260000000001</v>
      </c>
      <c r="O3359" s="1" t="s">
        <v>29</v>
      </c>
      <c r="P3359" s="1" t="s">
        <v>4731</v>
      </c>
      <c r="Q3359" s="1" t="s">
        <v>4732</v>
      </c>
      <c r="R3359" s="1" t="s">
        <v>32</v>
      </c>
      <c r="S3359" s="1" t="s">
        <v>4733</v>
      </c>
      <c r="T3359" s="1" t="s">
        <v>4734</v>
      </c>
      <c r="U3359" s="2" t="s">
        <v>7728</v>
      </c>
      <c r="V3359" s="2" t="s">
        <v>47</v>
      </c>
      <c r="W3359" s="2" t="s">
        <v>74</v>
      </c>
      <c r="X3359" s="2">
        <v>31.324999999999999</v>
      </c>
    </row>
    <row r="3360" spans="1:24" x14ac:dyDescent="0.3">
      <c r="A3360">
        <v>21214</v>
      </c>
      <c r="B3360" t="s">
        <v>8384</v>
      </c>
      <c r="C3360" s="3">
        <v>40690</v>
      </c>
      <c r="D3360" t="s">
        <v>62</v>
      </c>
      <c r="E3360">
        <v>18</v>
      </c>
      <c r="F3360" s="3">
        <f ca="1">40691+(RANDBETWEEN(1,10))</f>
        <v>40698</v>
      </c>
      <c r="G3360" t="s">
        <v>26</v>
      </c>
      <c r="H3360" t="s">
        <v>96</v>
      </c>
      <c r="I3360" t="s">
        <v>28</v>
      </c>
      <c r="J3360">
        <v>935.2</v>
      </c>
      <c r="K3360">
        <v>0.03</v>
      </c>
      <c r="L3360">
        <v>0.46</v>
      </c>
      <c r="M3360">
        <v>18.55</v>
      </c>
      <c r="N3360">
        <v>427.73500000000001</v>
      </c>
      <c r="O3360" s="1" t="s">
        <v>87</v>
      </c>
      <c r="P3360" s="1" t="s">
        <v>6022</v>
      </c>
      <c r="Q3360" s="1" t="s">
        <v>6023</v>
      </c>
      <c r="R3360" s="1" t="s">
        <v>646</v>
      </c>
      <c r="S3360" s="1" t="s">
        <v>6024</v>
      </c>
      <c r="T3360" s="1" t="s">
        <v>6025</v>
      </c>
      <c r="U3360" s="2" t="s">
        <v>2729</v>
      </c>
      <c r="V3360" s="2" t="s">
        <v>83</v>
      </c>
      <c r="W3360" s="2" t="s">
        <v>178</v>
      </c>
      <c r="X3360" s="2">
        <v>49.7</v>
      </c>
    </row>
    <row r="3361" spans="1:24" x14ac:dyDescent="0.3">
      <c r="A3361">
        <v>21215</v>
      </c>
      <c r="B3361" t="s">
        <v>8385</v>
      </c>
      <c r="C3361" s="3">
        <v>41532</v>
      </c>
      <c r="D3361" t="s">
        <v>148</v>
      </c>
      <c r="E3361">
        <v>4</v>
      </c>
      <c r="F3361" s="3">
        <f ca="1">41534+(RANDBETWEEN(1,10))</f>
        <v>41544</v>
      </c>
      <c r="G3361" t="s">
        <v>26</v>
      </c>
      <c r="H3361" t="s">
        <v>27</v>
      </c>
      <c r="I3361" t="s">
        <v>52</v>
      </c>
      <c r="J3361">
        <v>598.99</v>
      </c>
      <c r="K3361">
        <v>0.09</v>
      </c>
      <c r="L3361">
        <v>0.36</v>
      </c>
      <c r="M3361">
        <v>69.965000000000003</v>
      </c>
      <c r="N3361">
        <v>-61.88</v>
      </c>
      <c r="O3361" s="1" t="s">
        <v>225</v>
      </c>
      <c r="P3361" s="1" t="s">
        <v>8386</v>
      </c>
      <c r="Q3361" s="1" t="s">
        <v>8387</v>
      </c>
      <c r="R3361" s="1" t="s">
        <v>228</v>
      </c>
      <c r="S3361" s="1" t="s">
        <v>8388</v>
      </c>
      <c r="T3361" s="1" t="s">
        <v>8389</v>
      </c>
      <c r="U3361" s="2" t="s">
        <v>1784</v>
      </c>
      <c r="V3361" s="2" t="s">
        <v>47</v>
      </c>
      <c r="W3361" s="2" t="s">
        <v>74</v>
      </c>
      <c r="X3361" s="2">
        <v>143.465</v>
      </c>
    </row>
    <row r="3362" spans="1:24" x14ac:dyDescent="0.3">
      <c r="A3362">
        <v>21216</v>
      </c>
      <c r="B3362" t="s">
        <v>8385</v>
      </c>
      <c r="C3362" s="3">
        <v>41532</v>
      </c>
      <c r="D3362" t="s">
        <v>148</v>
      </c>
      <c r="E3362">
        <v>9</v>
      </c>
      <c r="F3362" s="3">
        <f ca="1">41532+(RANDBETWEEN(1,10))</f>
        <v>41538</v>
      </c>
      <c r="G3362" t="s">
        <v>26</v>
      </c>
      <c r="H3362" t="s">
        <v>27</v>
      </c>
      <c r="I3362" t="s">
        <v>52</v>
      </c>
      <c r="J3362">
        <v>295.68</v>
      </c>
      <c r="K3362">
        <v>0.1</v>
      </c>
      <c r="L3362">
        <v>0.35</v>
      </c>
      <c r="M3362">
        <v>20.16</v>
      </c>
      <c r="N3362">
        <v>-55.65</v>
      </c>
      <c r="O3362" s="1" t="s">
        <v>225</v>
      </c>
      <c r="P3362" s="1" t="s">
        <v>8390</v>
      </c>
      <c r="Q3362" s="1" t="s">
        <v>8391</v>
      </c>
      <c r="R3362" s="1" t="s">
        <v>228</v>
      </c>
      <c r="S3362" s="1" t="s">
        <v>1285</v>
      </c>
      <c r="T3362" s="1" t="s">
        <v>1286</v>
      </c>
      <c r="U3362" s="2" t="s">
        <v>2681</v>
      </c>
      <c r="V3362" s="2" t="s">
        <v>47</v>
      </c>
      <c r="W3362" s="2" t="s">
        <v>48</v>
      </c>
      <c r="X3362" s="2">
        <v>34.229999999999997</v>
      </c>
    </row>
    <row r="3363" spans="1:24" x14ac:dyDescent="0.3">
      <c r="A3363">
        <v>21217</v>
      </c>
      <c r="B3363" t="s">
        <v>8385</v>
      </c>
      <c r="C3363" s="3">
        <v>41532</v>
      </c>
      <c r="D3363" t="s">
        <v>148</v>
      </c>
      <c r="E3363">
        <v>19</v>
      </c>
      <c r="F3363" s="3">
        <f ca="1">41534+(RANDBETWEEN(1,10))</f>
        <v>41543</v>
      </c>
      <c r="G3363" t="s">
        <v>26</v>
      </c>
      <c r="H3363" t="s">
        <v>51</v>
      </c>
      <c r="I3363" t="s">
        <v>52</v>
      </c>
      <c r="J3363">
        <v>985.495</v>
      </c>
      <c r="K3363">
        <v>7.0000000000000007E-2</v>
      </c>
      <c r="L3363">
        <v>0.56000000000000005</v>
      </c>
      <c r="M3363">
        <v>25.97</v>
      </c>
      <c r="N3363">
        <v>-302.505</v>
      </c>
      <c r="O3363" s="1" t="s">
        <v>53</v>
      </c>
      <c r="P3363" s="1" t="s">
        <v>8392</v>
      </c>
      <c r="Q3363" s="1" t="s">
        <v>8393</v>
      </c>
      <c r="R3363" s="1" t="s">
        <v>56</v>
      </c>
      <c r="S3363" s="1" t="s">
        <v>3216</v>
      </c>
      <c r="T3363" s="1" t="s">
        <v>3217</v>
      </c>
      <c r="U3363" s="2" t="s">
        <v>4913</v>
      </c>
      <c r="V3363" s="2" t="s">
        <v>47</v>
      </c>
      <c r="W3363" s="2" t="s">
        <v>94</v>
      </c>
      <c r="X3363" s="2">
        <v>55.055</v>
      </c>
    </row>
    <row r="3364" spans="1:24" x14ac:dyDescent="0.3">
      <c r="A3364">
        <v>21218</v>
      </c>
      <c r="B3364" t="s">
        <v>8394</v>
      </c>
      <c r="C3364" s="3">
        <v>41373</v>
      </c>
      <c r="D3364" t="s">
        <v>148</v>
      </c>
      <c r="E3364">
        <v>1</v>
      </c>
      <c r="F3364" s="3">
        <f ca="1">41374+(RANDBETWEEN(1,10))</f>
        <v>41377</v>
      </c>
      <c r="G3364" t="s">
        <v>156</v>
      </c>
      <c r="H3364" t="s">
        <v>51</v>
      </c>
      <c r="I3364" t="s">
        <v>86</v>
      </c>
      <c r="J3364">
        <v>36.085000000000001</v>
      </c>
      <c r="K3364">
        <v>0.02</v>
      </c>
      <c r="L3364">
        <v>0.37</v>
      </c>
      <c r="M3364">
        <v>9.9049999999999994</v>
      </c>
      <c r="N3364">
        <v>5.7960000000000003</v>
      </c>
      <c r="O3364" s="1" t="s">
        <v>87</v>
      </c>
      <c r="P3364" s="1" t="s">
        <v>6542</v>
      </c>
      <c r="Q3364" s="1" t="s">
        <v>6543</v>
      </c>
      <c r="R3364" s="1" t="s">
        <v>398</v>
      </c>
      <c r="S3364" s="1" t="s">
        <v>6544</v>
      </c>
      <c r="T3364" s="1" t="s">
        <v>6545</v>
      </c>
      <c r="U3364" s="2" t="s">
        <v>7020</v>
      </c>
      <c r="V3364" s="2" t="s">
        <v>83</v>
      </c>
      <c r="W3364" s="2" t="s">
        <v>178</v>
      </c>
      <c r="X3364" s="2">
        <v>24.43</v>
      </c>
    </row>
    <row r="3365" spans="1:24" x14ac:dyDescent="0.3">
      <c r="A3365">
        <v>21219</v>
      </c>
      <c r="B3365" t="s">
        <v>8394</v>
      </c>
      <c r="C3365" s="3">
        <v>41373</v>
      </c>
      <c r="D3365" t="s">
        <v>148</v>
      </c>
      <c r="E3365">
        <v>7</v>
      </c>
      <c r="F3365" s="3">
        <f ca="1">41376+(RANDBETWEEN(1,10))</f>
        <v>41384</v>
      </c>
      <c r="G3365" t="s">
        <v>26</v>
      </c>
      <c r="H3365" t="s">
        <v>96</v>
      </c>
      <c r="I3365" t="s">
        <v>86</v>
      </c>
      <c r="J3365">
        <v>145.77500000000001</v>
      </c>
      <c r="K3365">
        <v>0.01</v>
      </c>
      <c r="L3365">
        <v>0.54</v>
      </c>
      <c r="M3365">
        <v>11.795</v>
      </c>
      <c r="N3365">
        <v>-943.21079999999995</v>
      </c>
      <c r="O3365" s="1" t="s">
        <v>64</v>
      </c>
      <c r="P3365" s="1" t="s">
        <v>8395</v>
      </c>
      <c r="Q3365" s="1" t="s">
        <v>8396</v>
      </c>
      <c r="R3365" s="1" t="s">
        <v>128</v>
      </c>
      <c r="S3365" s="1" t="s">
        <v>8397</v>
      </c>
      <c r="T3365" s="1" t="s">
        <v>8398</v>
      </c>
      <c r="U3365" s="2" t="s">
        <v>665</v>
      </c>
      <c r="V3365" s="2" t="s">
        <v>47</v>
      </c>
      <c r="W3365" s="2" t="s">
        <v>176</v>
      </c>
      <c r="X3365" s="2">
        <v>20.335000000000001</v>
      </c>
    </row>
    <row r="3366" spans="1:24" x14ac:dyDescent="0.3">
      <c r="A3366">
        <v>21220</v>
      </c>
      <c r="B3366" t="s">
        <v>8399</v>
      </c>
      <c r="C3366" s="3">
        <v>41202</v>
      </c>
      <c r="D3366" t="s">
        <v>148</v>
      </c>
      <c r="E3366">
        <v>16</v>
      </c>
      <c r="F3366" s="3">
        <f ca="1">41204+(RANDBETWEEN(1,10))</f>
        <v>41205</v>
      </c>
      <c r="G3366" t="s">
        <v>76</v>
      </c>
      <c r="H3366" t="s">
        <v>77</v>
      </c>
      <c r="I3366" t="s">
        <v>28</v>
      </c>
      <c r="J3366">
        <v>40501.334999999999</v>
      </c>
      <c r="K3366">
        <v>0.05</v>
      </c>
      <c r="L3366">
        <v>0.56000000000000005</v>
      </c>
      <c r="M3366">
        <v>56.21</v>
      </c>
      <c r="N3366">
        <v>7446.3774000000003</v>
      </c>
      <c r="O3366" s="1" t="s">
        <v>64</v>
      </c>
      <c r="P3366" s="1" t="s">
        <v>7746</v>
      </c>
      <c r="Q3366" s="1" t="s">
        <v>7747</v>
      </c>
      <c r="R3366" s="1" t="s">
        <v>67</v>
      </c>
      <c r="S3366" s="1" t="s">
        <v>7748</v>
      </c>
      <c r="T3366" s="1" t="s">
        <v>7749</v>
      </c>
      <c r="U3366" s="2" t="s">
        <v>6873</v>
      </c>
      <c r="V3366" s="2" t="s">
        <v>36</v>
      </c>
      <c r="W3366" s="2" t="s">
        <v>142</v>
      </c>
      <c r="X3366" s="2">
        <v>2838.43</v>
      </c>
    </row>
    <row r="3367" spans="1:24" x14ac:dyDescent="0.3">
      <c r="A3367">
        <v>21221</v>
      </c>
      <c r="B3367" t="s">
        <v>8400</v>
      </c>
      <c r="C3367" s="3">
        <v>41436</v>
      </c>
      <c r="D3367" t="s">
        <v>148</v>
      </c>
      <c r="E3367">
        <v>3</v>
      </c>
      <c r="F3367" s="3">
        <f ca="1">41439+(RANDBETWEEN(1,10))</f>
        <v>41443</v>
      </c>
      <c r="G3367" t="s">
        <v>26</v>
      </c>
      <c r="H3367" t="s">
        <v>27</v>
      </c>
      <c r="I3367" t="s">
        <v>52</v>
      </c>
      <c r="J3367">
        <v>64.924999999999997</v>
      </c>
      <c r="K3367">
        <v>7.0000000000000007E-2</v>
      </c>
      <c r="L3367">
        <v>0.36</v>
      </c>
      <c r="M3367">
        <v>26.495000000000001</v>
      </c>
      <c r="N3367">
        <v>161.74199999999999</v>
      </c>
      <c r="O3367" s="1" t="s">
        <v>29</v>
      </c>
      <c r="P3367" s="1" t="s">
        <v>1714</v>
      </c>
      <c r="Q3367" s="1" t="s">
        <v>1715</v>
      </c>
      <c r="R3367" s="1" t="s">
        <v>460</v>
      </c>
      <c r="S3367" s="1" t="s">
        <v>1716</v>
      </c>
      <c r="T3367" s="1" t="s">
        <v>1717</v>
      </c>
      <c r="U3367" s="2" t="s">
        <v>8401</v>
      </c>
      <c r="V3367" s="2" t="s">
        <v>47</v>
      </c>
      <c r="W3367" s="2" t="s">
        <v>111</v>
      </c>
      <c r="X3367" s="2">
        <v>18.829999999999998</v>
      </c>
    </row>
    <row r="3368" spans="1:24" x14ac:dyDescent="0.3">
      <c r="A3368">
        <v>21222</v>
      </c>
      <c r="B3368" t="s">
        <v>8402</v>
      </c>
      <c r="C3368" s="3">
        <v>41907</v>
      </c>
      <c r="D3368" t="s">
        <v>50</v>
      </c>
      <c r="E3368">
        <v>22</v>
      </c>
      <c r="F3368" s="3">
        <f ca="1">41908+(RANDBETWEEN(1,10))</f>
        <v>41911</v>
      </c>
      <c r="G3368" t="s">
        <v>26</v>
      </c>
      <c r="H3368" t="s">
        <v>63</v>
      </c>
      <c r="I3368" t="s">
        <v>86</v>
      </c>
      <c r="J3368">
        <v>17489.36</v>
      </c>
      <c r="K3368">
        <v>0.01</v>
      </c>
      <c r="L3368">
        <v>0.56999999999999995</v>
      </c>
      <c r="M3368">
        <v>63.21</v>
      </c>
      <c r="N3368">
        <v>11488.818600000001</v>
      </c>
      <c r="O3368" s="1" t="s">
        <v>64</v>
      </c>
      <c r="P3368" s="1" t="s">
        <v>6517</v>
      </c>
      <c r="Q3368" s="1" t="s">
        <v>6518</v>
      </c>
      <c r="R3368" s="1" t="s">
        <v>128</v>
      </c>
      <c r="S3368" s="1" t="s">
        <v>6519</v>
      </c>
      <c r="T3368" s="1" t="s">
        <v>6520</v>
      </c>
      <c r="U3368" s="2" t="s">
        <v>773</v>
      </c>
      <c r="V3368" s="2" t="s">
        <v>83</v>
      </c>
      <c r="W3368" s="2" t="s">
        <v>84</v>
      </c>
      <c r="X3368" s="2">
        <v>763.28</v>
      </c>
    </row>
    <row r="3369" spans="1:24" x14ac:dyDescent="0.3">
      <c r="A3369">
        <v>21223</v>
      </c>
      <c r="B3369" t="s">
        <v>8403</v>
      </c>
      <c r="C3369" s="3">
        <v>40811</v>
      </c>
      <c r="D3369" t="s">
        <v>50</v>
      </c>
      <c r="E3369">
        <v>20</v>
      </c>
      <c r="F3369" s="3">
        <f ca="1">40812+(RANDBETWEEN(1,10))</f>
        <v>40813</v>
      </c>
      <c r="G3369" t="s">
        <v>26</v>
      </c>
      <c r="H3369" t="s">
        <v>51</v>
      </c>
      <c r="I3369" t="s">
        <v>86</v>
      </c>
      <c r="J3369">
        <v>358.89</v>
      </c>
      <c r="K3369">
        <v>0.04</v>
      </c>
      <c r="L3369">
        <v>0.64</v>
      </c>
      <c r="M3369">
        <v>16.170000000000002</v>
      </c>
      <c r="N3369">
        <v>-473.06</v>
      </c>
      <c r="O3369" s="1" t="s">
        <v>64</v>
      </c>
      <c r="P3369" s="1" t="s">
        <v>6517</v>
      </c>
      <c r="Q3369" s="1" t="s">
        <v>6518</v>
      </c>
      <c r="R3369" s="1" t="s">
        <v>128</v>
      </c>
      <c r="S3369" s="1" t="s">
        <v>6519</v>
      </c>
      <c r="T3369" s="1" t="s">
        <v>6520</v>
      </c>
      <c r="U3369" s="2" t="s">
        <v>505</v>
      </c>
      <c r="V3369" s="2" t="s">
        <v>36</v>
      </c>
      <c r="W3369" s="2" t="s">
        <v>60</v>
      </c>
      <c r="X3369" s="2">
        <v>17.43</v>
      </c>
    </row>
    <row r="3370" spans="1:24" x14ac:dyDescent="0.3">
      <c r="A3370">
        <v>21224</v>
      </c>
      <c r="B3370" t="s">
        <v>8404</v>
      </c>
      <c r="C3370" s="3">
        <v>41678</v>
      </c>
      <c r="D3370" t="s">
        <v>39</v>
      </c>
      <c r="E3370">
        <v>5</v>
      </c>
      <c r="F3370" s="3">
        <f ca="1">41680+(RANDBETWEEN(1,10))</f>
        <v>41690</v>
      </c>
      <c r="G3370" t="s">
        <v>26</v>
      </c>
      <c r="H3370" t="s">
        <v>51</v>
      </c>
      <c r="I3370" t="s">
        <v>97</v>
      </c>
      <c r="J3370">
        <v>1666.21</v>
      </c>
      <c r="K3370">
        <v>0.05</v>
      </c>
      <c r="L3370">
        <v>0.35</v>
      </c>
      <c r="M3370">
        <v>31.465</v>
      </c>
      <c r="N3370">
        <v>318.90600000000001</v>
      </c>
      <c r="O3370" s="1" t="s">
        <v>29</v>
      </c>
      <c r="P3370" s="1" t="s">
        <v>6039</v>
      </c>
      <c r="Q3370" s="1" t="s">
        <v>6040</v>
      </c>
      <c r="R3370" s="1" t="s">
        <v>460</v>
      </c>
      <c r="S3370" s="1" t="s">
        <v>6041</v>
      </c>
      <c r="T3370" s="1" t="s">
        <v>6042</v>
      </c>
      <c r="U3370" s="2" t="s">
        <v>177</v>
      </c>
      <c r="V3370" s="2" t="s">
        <v>83</v>
      </c>
      <c r="W3370" s="2" t="s">
        <v>178</v>
      </c>
      <c r="X3370" s="2">
        <v>347.30500000000001</v>
      </c>
    </row>
    <row r="3371" spans="1:24" x14ac:dyDescent="0.3">
      <c r="A3371">
        <v>21225</v>
      </c>
      <c r="B3371" t="s">
        <v>8404</v>
      </c>
      <c r="C3371" s="3">
        <v>41678</v>
      </c>
      <c r="D3371" t="s">
        <v>39</v>
      </c>
      <c r="E3371">
        <v>4</v>
      </c>
      <c r="F3371" s="3">
        <f ca="1">41678+(RANDBETWEEN(1,10))</f>
        <v>41682</v>
      </c>
      <c r="G3371" t="s">
        <v>26</v>
      </c>
      <c r="H3371" t="s">
        <v>96</v>
      </c>
      <c r="I3371" t="s">
        <v>97</v>
      </c>
      <c r="J3371">
        <v>102.095</v>
      </c>
      <c r="K3371">
        <v>0.02</v>
      </c>
      <c r="L3371">
        <v>0.47</v>
      </c>
      <c r="M3371">
        <v>8.2249999999999996</v>
      </c>
      <c r="N3371">
        <v>2.4990000000000001</v>
      </c>
      <c r="O3371" s="1" t="s">
        <v>29</v>
      </c>
      <c r="P3371" s="1" t="s">
        <v>6039</v>
      </c>
      <c r="Q3371" s="1" t="s">
        <v>6040</v>
      </c>
      <c r="R3371" s="1" t="s">
        <v>460</v>
      </c>
      <c r="S3371" s="1" t="s">
        <v>6041</v>
      </c>
      <c r="T3371" s="1" t="s">
        <v>6042</v>
      </c>
      <c r="U3371" s="2" t="s">
        <v>6690</v>
      </c>
      <c r="V3371" s="2" t="s">
        <v>47</v>
      </c>
      <c r="W3371" s="2" t="s">
        <v>104</v>
      </c>
      <c r="X3371" s="2">
        <v>24.78</v>
      </c>
    </row>
    <row r="3372" spans="1:24" x14ac:dyDescent="0.3">
      <c r="A3372">
        <v>21226</v>
      </c>
      <c r="B3372" t="s">
        <v>8405</v>
      </c>
      <c r="C3372" s="3">
        <v>41167</v>
      </c>
      <c r="D3372" t="s">
        <v>25</v>
      </c>
      <c r="E3372">
        <v>21</v>
      </c>
      <c r="F3372" s="3">
        <f ca="1">41174+(RANDBETWEEN(1,10))</f>
        <v>41182</v>
      </c>
      <c r="G3372" t="s">
        <v>156</v>
      </c>
      <c r="H3372" t="s">
        <v>63</v>
      </c>
      <c r="I3372" t="s">
        <v>97</v>
      </c>
      <c r="J3372">
        <v>38267.144999999997</v>
      </c>
      <c r="K3372">
        <v>0</v>
      </c>
      <c r="L3372">
        <v>0.36</v>
      </c>
      <c r="M3372">
        <v>85.715000000000003</v>
      </c>
      <c r="N3372">
        <v>-4594.9399999999996</v>
      </c>
      <c r="O3372" s="1" t="s">
        <v>225</v>
      </c>
      <c r="P3372" s="1" t="s">
        <v>6988</v>
      </c>
      <c r="Q3372" s="1" t="s">
        <v>6989</v>
      </c>
      <c r="R3372" s="1" t="s">
        <v>228</v>
      </c>
      <c r="S3372" s="1" t="s">
        <v>6990</v>
      </c>
      <c r="T3372" s="1" t="s">
        <v>6991</v>
      </c>
      <c r="U3372" s="2" t="s">
        <v>3414</v>
      </c>
      <c r="V3372" s="2" t="s">
        <v>36</v>
      </c>
      <c r="W3372" s="2" t="s">
        <v>1327</v>
      </c>
      <c r="X3372" s="2">
        <v>1749.9649999999999</v>
      </c>
    </row>
    <row r="3373" spans="1:24" x14ac:dyDescent="0.3">
      <c r="A3373">
        <v>21227</v>
      </c>
      <c r="B3373" t="s">
        <v>8406</v>
      </c>
      <c r="C3373" s="3">
        <v>41448</v>
      </c>
      <c r="D3373" t="s">
        <v>62</v>
      </c>
      <c r="E3373">
        <v>11</v>
      </c>
      <c r="F3373" s="3">
        <f ca="1">41450+(RANDBETWEEN(1,10))</f>
        <v>41459</v>
      </c>
      <c r="G3373" t="s">
        <v>26</v>
      </c>
      <c r="H3373" t="s">
        <v>27</v>
      </c>
      <c r="I3373" t="s">
        <v>97</v>
      </c>
      <c r="J3373">
        <v>246.26</v>
      </c>
      <c r="K3373">
        <v>7.0000000000000007E-2</v>
      </c>
      <c r="L3373">
        <v>0.37</v>
      </c>
      <c r="M3373">
        <v>17.885000000000002</v>
      </c>
      <c r="N3373">
        <v>-120.316</v>
      </c>
      <c r="O3373" s="1" t="s">
        <v>87</v>
      </c>
      <c r="P3373" s="1" t="s">
        <v>8407</v>
      </c>
      <c r="Q3373" s="1" t="s">
        <v>8408</v>
      </c>
      <c r="R3373" s="1" t="s">
        <v>90</v>
      </c>
      <c r="S3373" s="1" t="s">
        <v>1330</v>
      </c>
      <c r="T3373" s="1" t="s">
        <v>1331</v>
      </c>
      <c r="U3373" s="2" t="s">
        <v>5609</v>
      </c>
      <c r="V3373" s="2" t="s">
        <v>47</v>
      </c>
      <c r="W3373" s="2" t="s">
        <v>74</v>
      </c>
      <c r="X3373" s="2">
        <v>22.68</v>
      </c>
    </row>
    <row r="3374" spans="1:24" x14ac:dyDescent="0.3">
      <c r="A3374">
        <v>21228</v>
      </c>
      <c r="B3374" t="s">
        <v>8406</v>
      </c>
      <c r="C3374" s="3">
        <v>41448</v>
      </c>
      <c r="D3374" t="s">
        <v>62</v>
      </c>
      <c r="E3374">
        <v>9</v>
      </c>
      <c r="F3374" s="3">
        <f ca="1">41450+(RANDBETWEEN(1,10))</f>
        <v>41456</v>
      </c>
      <c r="G3374" t="s">
        <v>26</v>
      </c>
      <c r="H3374" t="s">
        <v>27</v>
      </c>
      <c r="I3374" t="s">
        <v>97</v>
      </c>
      <c r="J3374">
        <v>2410.5549999999998</v>
      </c>
      <c r="K3374">
        <v>0.1</v>
      </c>
      <c r="L3374">
        <v>0.48</v>
      </c>
      <c r="M3374">
        <v>25.13</v>
      </c>
      <c r="N3374">
        <v>1455.4680000000001</v>
      </c>
      <c r="O3374" s="1" t="s">
        <v>64</v>
      </c>
      <c r="P3374" s="1" t="s">
        <v>8409</v>
      </c>
      <c r="Q3374" s="1" t="s">
        <v>8410</v>
      </c>
      <c r="R3374" s="1" t="s">
        <v>128</v>
      </c>
      <c r="S3374" s="1" t="s">
        <v>8411</v>
      </c>
      <c r="T3374" s="1" t="s">
        <v>8412</v>
      </c>
      <c r="U3374" s="2" t="s">
        <v>5548</v>
      </c>
      <c r="V3374" s="2" t="s">
        <v>36</v>
      </c>
      <c r="W3374" s="2" t="s">
        <v>60</v>
      </c>
      <c r="X3374" s="2">
        <v>283.43</v>
      </c>
    </row>
    <row r="3375" spans="1:24" x14ac:dyDescent="0.3">
      <c r="A3375">
        <v>21229</v>
      </c>
      <c r="B3375" t="s">
        <v>8413</v>
      </c>
      <c r="C3375" s="3">
        <v>40684</v>
      </c>
      <c r="D3375" t="s">
        <v>50</v>
      </c>
      <c r="E3375">
        <v>7</v>
      </c>
      <c r="F3375" s="3">
        <f ca="1">40686+(RANDBETWEEN(1,10))</f>
        <v>40688</v>
      </c>
      <c r="G3375" t="s">
        <v>156</v>
      </c>
      <c r="H3375" t="s">
        <v>63</v>
      </c>
      <c r="I3375" t="s">
        <v>52</v>
      </c>
      <c r="J3375">
        <v>5209.7849999999999</v>
      </c>
      <c r="K3375">
        <v>0.06</v>
      </c>
      <c r="L3375">
        <v>0.56999999999999995</v>
      </c>
      <c r="M3375">
        <v>63.21</v>
      </c>
      <c r="N3375">
        <v>3392.97</v>
      </c>
      <c r="O3375" s="1" t="s">
        <v>40</v>
      </c>
      <c r="P3375" s="1" t="s">
        <v>2107</v>
      </c>
      <c r="Q3375" s="1" t="s">
        <v>2108</v>
      </c>
      <c r="R3375" s="1" t="s">
        <v>43</v>
      </c>
      <c r="S3375" s="1" t="s">
        <v>2109</v>
      </c>
      <c r="T3375" s="1" t="s">
        <v>2110</v>
      </c>
      <c r="U3375" s="2" t="s">
        <v>773</v>
      </c>
      <c r="V3375" s="2" t="s">
        <v>83</v>
      </c>
      <c r="W3375" s="2" t="s">
        <v>84</v>
      </c>
      <c r="X3375" s="2">
        <v>763.28</v>
      </c>
    </row>
    <row r="3376" spans="1:24" x14ac:dyDescent="0.3">
      <c r="A3376">
        <v>21230</v>
      </c>
      <c r="B3376" t="s">
        <v>8414</v>
      </c>
      <c r="C3376" s="3">
        <v>41753</v>
      </c>
      <c r="D3376" t="s">
        <v>25</v>
      </c>
      <c r="E3376">
        <v>3</v>
      </c>
      <c r="F3376" s="3">
        <f ca="1">41758+(RANDBETWEEN(1,10))</f>
        <v>41767</v>
      </c>
      <c r="G3376" t="s">
        <v>26</v>
      </c>
      <c r="H3376" t="s">
        <v>281</v>
      </c>
      <c r="I3376" t="s">
        <v>97</v>
      </c>
      <c r="J3376">
        <v>962.53499999999997</v>
      </c>
      <c r="K3376">
        <v>7.0000000000000007E-2</v>
      </c>
      <c r="L3376">
        <v>0.38</v>
      </c>
      <c r="M3376">
        <v>48.965000000000003</v>
      </c>
      <c r="N3376">
        <v>516.6</v>
      </c>
      <c r="O3376" s="1" t="s">
        <v>64</v>
      </c>
      <c r="P3376" s="1" t="s">
        <v>7524</v>
      </c>
      <c r="Q3376" s="1" t="s">
        <v>7525</v>
      </c>
      <c r="R3376" s="1" t="s">
        <v>128</v>
      </c>
      <c r="S3376" s="1" t="s">
        <v>7526</v>
      </c>
      <c r="T3376" s="1" t="s">
        <v>7527</v>
      </c>
      <c r="U3376" s="2" t="s">
        <v>8415</v>
      </c>
      <c r="V3376" s="2" t="s">
        <v>36</v>
      </c>
      <c r="W3376" s="2" t="s">
        <v>142</v>
      </c>
      <c r="X3376" s="2">
        <v>337.57499999999999</v>
      </c>
    </row>
    <row r="3377" spans="1:24" x14ac:dyDescent="0.3">
      <c r="A3377">
        <v>21231</v>
      </c>
      <c r="B3377" t="s">
        <v>8416</v>
      </c>
      <c r="C3377" s="3">
        <v>41846</v>
      </c>
      <c r="D3377" t="s">
        <v>25</v>
      </c>
      <c r="E3377">
        <v>6</v>
      </c>
      <c r="F3377" s="3">
        <f ca="1">41848+(RANDBETWEEN(1,10))</f>
        <v>41849</v>
      </c>
      <c r="G3377" t="s">
        <v>76</v>
      </c>
      <c r="H3377" t="s">
        <v>77</v>
      </c>
      <c r="I3377" t="s">
        <v>52</v>
      </c>
      <c r="J3377">
        <v>4659.2349999999997</v>
      </c>
      <c r="K3377">
        <v>0.06</v>
      </c>
      <c r="L3377">
        <v>0.59</v>
      </c>
      <c r="M3377">
        <v>224.7</v>
      </c>
      <c r="N3377">
        <v>170.5984</v>
      </c>
      <c r="O3377" s="1" t="s">
        <v>53</v>
      </c>
      <c r="P3377" s="1" t="s">
        <v>7978</v>
      </c>
      <c r="Q3377" s="1" t="s">
        <v>7979</v>
      </c>
      <c r="R3377" s="1" t="s">
        <v>440</v>
      </c>
      <c r="S3377" s="1" t="s">
        <v>7980</v>
      </c>
      <c r="T3377" s="1" t="s">
        <v>7981</v>
      </c>
      <c r="U3377" s="2" t="s">
        <v>2488</v>
      </c>
      <c r="V3377" s="2" t="s">
        <v>83</v>
      </c>
      <c r="W3377" s="2" t="s">
        <v>84</v>
      </c>
      <c r="X3377" s="2">
        <v>758.1</v>
      </c>
    </row>
    <row r="3378" spans="1:24" x14ac:dyDescent="0.3">
      <c r="A3378">
        <v>21232</v>
      </c>
      <c r="B3378" t="s">
        <v>8416</v>
      </c>
      <c r="C3378" s="3">
        <v>41846</v>
      </c>
      <c r="D3378" t="s">
        <v>25</v>
      </c>
      <c r="E3378">
        <v>3</v>
      </c>
      <c r="F3378" s="3">
        <f ca="1">41853+(RANDBETWEEN(1,10))</f>
        <v>41855</v>
      </c>
      <c r="G3378" t="s">
        <v>26</v>
      </c>
      <c r="H3378" t="s">
        <v>27</v>
      </c>
      <c r="I3378" t="s">
        <v>52</v>
      </c>
      <c r="J3378">
        <v>181.44</v>
      </c>
      <c r="K3378">
        <v>0.03</v>
      </c>
      <c r="L3378">
        <v>0.81</v>
      </c>
      <c r="M3378">
        <v>24.64</v>
      </c>
      <c r="N3378">
        <v>-191.64768000000001</v>
      </c>
      <c r="O3378" s="1" t="s">
        <v>53</v>
      </c>
      <c r="P3378" s="1" t="s">
        <v>7978</v>
      </c>
      <c r="Q3378" s="1" t="s">
        <v>7979</v>
      </c>
      <c r="R3378" s="1" t="s">
        <v>440</v>
      </c>
      <c r="S3378" s="1" t="s">
        <v>7980</v>
      </c>
      <c r="T3378" s="1" t="s">
        <v>7981</v>
      </c>
      <c r="U3378" s="2" t="s">
        <v>5325</v>
      </c>
      <c r="V3378" s="2" t="s">
        <v>47</v>
      </c>
      <c r="W3378" s="2" t="s">
        <v>119</v>
      </c>
      <c r="X3378" s="2">
        <v>58.59</v>
      </c>
    </row>
    <row r="3379" spans="1:24" x14ac:dyDescent="0.3">
      <c r="A3379">
        <v>21233</v>
      </c>
      <c r="B3379" t="s">
        <v>8417</v>
      </c>
      <c r="C3379" s="3">
        <v>41485</v>
      </c>
      <c r="D3379" t="s">
        <v>39</v>
      </c>
      <c r="E3379">
        <v>13</v>
      </c>
      <c r="F3379" s="3">
        <f ca="1">41487+(RANDBETWEEN(1,10))</f>
        <v>41495</v>
      </c>
      <c r="G3379" t="s">
        <v>26</v>
      </c>
      <c r="H3379" t="s">
        <v>96</v>
      </c>
      <c r="I3379" t="s">
        <v>86</v>
      </c>
      <c r="J3379">
        <v>358.64499999999998</v>
      </c>
      <c r="K3379">
        <v>0.05</v>
      </c>
      <c r="L3379">
        <v>0.38</v>
      </c>
      <c r="M3379">
        <v>5.915</v>
      </c>
      <c r="N3379">
        <v>247.46504999999999</v>
      </c>
      <c r="O3379" s="1" t="s">
        <v>87</v>
      </c>
      <c r="P3379" s="1" t="s">
        <v>6572</v>
      </c>
      <c r="Q3379" s="1" t="s">
        <v>6573</v>
      </c>
      <c r="R3379" s="1" t="s">
        <v>497</v>
      </c>
      <c r="S3379" s="1" t="s">
        <v>6574</v>
      </c>
      <c r="T3379" s="1" t="s">
        <v>6575</v>
      </c>
      <c r="U3379" s="2" t="s">
        <v>3010</v>
      </c>
      <c r="V3379" s="2" t="s">
        <v>47</v>
      </c>
      <c r="W3379" s="2" t="s">
        <v>74</v>
      </c>
      <c r="X3379" s="2">
        <v>28.594999999999999</v>
      </c>
    </row>
    <row r="3380" spans="1:24" x14ac:dyDescent="0.3">
      <c r="A3380">
        <v>21234</v>
      </c>
      <c r="B3380" t="s">
        <v>8417</v>
      </c>
      <c r="C3380" s="3">
        <v>41485</v>
      </c>
      <c r="D3380" t="s">
        <v>39</v>
      </c>
      <c r="E3380">
        <v>16</v>
      </c>
      <c r="F3380" s="3">
        <f ca="1">41487+(RANDBETWEEN(1,10))</f>
        <v>41492</v>
      </c>
      <c r="G3380" t="s">
        <v>26</v>
      </c>
      <c r="H3380" t="s">
        <v>51</v>
      </c>
      <c r="I3380" t="s">
        <v>86</v>
      </c>
      <c r="J3380">
        <v>709.66</v>
      </c>
      <c r="K3380">
        <v>0.02</v>
      </c>
      <c r="L3380">
        <v>0.6</v>
      </c>
      <c r="M3380">
        <v>20.335000000000001</v>
      </c>
      <c r="N3380">
        <v>-137.44499999999999</v>
      </c>
      <c r="O3380" s="1" t="s">
        <v>87</v>
      </c>
      <c r="P3380" s="1" t="s">
        <v>6572</v>
      </c>
      <c r="Q3380" s="1" t="s">
        <v>6573</v>
      </c>
      <c r="R3380" s="1" t="s">
        <v>497</v>
      </c>
      <c r="S3380" s="1" t="s">
        <v>6574</v>
      </c>
      <c r="T3380" s="1" t="s">
        <v>6575</v>
      </c>
      <c r="U3380" s="2" t="s">
        <v>1353</v>
      </c>
      <c r="V3380" s="2" t="s">
        <v>47</v>
      </c>
      <c r="W3380" s="2" t="s">
        <v>104</v>
      </c>
      <c r="X3380" s="2">
        <v>41.895000000000003</v>
      </c>
    </row>
    <row r="3381" spans="1:24" x14ac:dyDescent="0.3">
      <c r="A3381">
        <v>21235</v>
      </c>
      <c r="B3381" t="s">
        <v>8418</v>
      </c>
      <c r="C3381" s="3">
        <v>40687</v>
      </c>
      <c r="D3381" t="s">
        <v>39</v>
      </c>
      <c r="E3381">
        <v>3</v>
      </c>
      <c r="F3381" s="3">
        <f ca="1">40688+(RANDBETWEEN(1,10))</f>
        <v>40694</v>
      </c>
      <c r="G3381" t="s">
        <v>156</v>
      </c>
      <c r="H3381" t="s">
        <v>27</v>
      </c>
      <c r="I3381" t="s">
        <v>52</v>
      </c>
      <c r="J3381">
        <v>419.51</v>
      </c>
      <c r="K3381">
        <v>0.08</v>
      </c>
      <c r="L3381">
        <v>0.6</v>
      </c>
      <c r="M3381">
        <v>25.2</v>
      </c>
      <c r="N3381">
        <v>-58.24</v>
      </c>
      <c r="O3381" s="1" t="s">
        <v>64</v>
      </c>
      <c r="P3381" s="1" t="s">
        <v>8419</v>
      </c>
      <c r="Q3381" s="1" t="s">
        <v>8420</v>
      </c>
      <c r="R3381" s="1" t="s">
        <v>67</v>
      </c>
      <c r="S3381" s="1" t="s">
        <v>1449</v>
      </c>
      <c r="T3381" s="1" t="s">
        <v>1450</v>
      </c>
      <c r="U3381" s="2" t="s">
        <v>5598</v>
      </c>
      <c r="V3381" s="2" t="s">
        <v>47</v>
      </c>
      <c r="W3381" s="2" t="s">
        <v>71</v>
      </c>
      <c r="X3381" s="2">
        <v>143.43</v>
      </c>
    </row>
    <row r="3382" spans="1:24" x14ac:dyDescent="0.3">
      <c r="A3382">
        <v>21236</v>
      </c>
      <c r="B3382" t="s">
        <v>8418</v>
      </c>
      <c r="C3382" s="3">
        <v>40687</v>
      </c>
      <c r="D3382" t="s">
        <v>39</v>
      </c>
      <c r="E3382">
        <v>12</v>
      </c>
      <c r="F3382" s="3">
        <f ca="1">40688+(RANDBETWEEN(1,10))</f>
        <v>40694</v>
      </c>
      <c r="G3382" t="s">
        <v>156</v>
      </c>
      <c r="H3382" t="s">
        <v>51</v>
      </c>
      <c r="I3382" t="s">
        <v>52</v>
      </c>
      <c r="J3382">
        <v>345.69499999999999</v>
      </c>
      <c r="K3382">
        <v>0.08</v>
      </c>
      <c r="L3382">
        <v>0.77</v>
      </c>
      <c r="M3382">
        <v>9.9049999999999994</v>
      </c>
      <c r="N3382">
        <v>-209.05500000000001</v>
      </c>
      <c r="O3382" s="1" t="s">
        <v>64</v>
      </c>
      <c r="P3382" s="1" t="s">
        <v>8419</v>
      </c>
      <c r="Q3382" s="1" t="s">
        <v>8420</v>
      </c>
      <c r="R3382" s="1" t="s">
        <v>67</v>
      </c>
      <c r="S3382" s="1" t="s">
        <v>1449</v>
      </c>
      <c r="T3382" s="1" t="s">
        <v>1450</v>
      </c>
      <c r="U3382" s="2" t="s">
        <v>2563</v>
      </c>
      <c r="V3382" s="2" t="s">
        <v>36</v>
      </c>
      <c r="W3382" s="2" t="s">
        <v>60</v>
      </c>
      <c r="X3382" s="2">
        <v>28.42</v>
      </c>
    </row>
    <row r="3383" spans="1:24" x14ac:dyDescent="0.3">
      <c r="A3383">
        <v>21237</v>
      </c>
      <c r="B3383" t="s">
        <v>8418</v>
      </c>
      <c r="C3383" s="3">
        <v>40687</v>
      </c>
      <c r="D3383" t="s">
        <v>39</v>
      </c>
      <c r="E3383">
        <v>9</v>
      </c>
      <c r="F3383" s="3">
        <f ca="1">40688+(RANDBETWEEN(1,10))</f>
        <v>40690</v>
      </c>
      <c r="G3383" t="s">
        <v>76</v>
      </c>
      <c r="H3383" t="s">
        <v>258</v>
      </c>
      <c r="I3383" t="s">
        <v>52</v>
      </c>
      <c r="J3383">
        <v>8733.7250000000004</v>
      </c>
      <c r="K3383">
        <v>0.02</v>
      </c>
      <c r="L3383">
        <v>0.75</v>
      </c>
      <c r="M3383">
        <v>219.59</v>
      </c>
      <c r="N3383">
        <v>-2217.0443295</v>
      </c>
      <c r="O3383" s="1" t="s">
        <v>64</v>
      </c>
      <c r="P3383" s="1" t="s">
        <v>8419</v>
      </c>
      <c r="Q3383" s="1" t="s">
        <v>8420</v>
      </c>
      <c r="R3383" s="1" t="s">
        <v>67</v>
      </c>
      <c r="S3383" s="1" t="s">
        <v>1449</v>
      </c>
      <c r="T3383" s="1" t="s">
        <v>1450</v>
      </c>
      <c r="U3383" s="2" t="s">
        <v>4957</v>
      </c>
      <c r="V3383" s="2" t="s">
        <v>83</v>
      </c>
      <c r="W3383" s="2" t="s">
        <v>263</v>
      </c>
      <c r="X3383" s="2">
        <v>917.38499999999999</v>
      </c>
    </row>
    <row r="3384" spans="1:24" x14ac:dyDescent="0.3">
      <c r="A3384">
        <v>21238</v>
      </c>
      <c r="B3384" t="s">
        <v>8421</v>
      </c>
      <c r="C3384" s="3">
        <v>41204</v>
      </c>
      <c r="D3384" t="s">
        <v>62</v>
      </c>
      <c r="E3384">
        <v>5</v>
      </c>
      <c r="F3384" s="3">
        <f ca="1">41205+(RANDBETWEEN(1,10))</f>
        <v>41209</v>
      </c>
      <c r="G3384" t="s">
        <v>26</v>
      </c>
      <c r="H3384" t="s">
        <v>27</v>
      </c>
      <c r="I3384" t="s">
        <v>28</v>
      </c>
      <c r="J3384">
        <v>535.99</v>
      </c>
      <c r="K3384">
        <v>0.1</v>
      </c>
      <c r="L3384">
        <v>0.4</v>
      </c>
      <c r="M3384">
        <v>30.59</v>
      </c>
      <c r="N3384">
        <v>136.85</v>
      </c>
      <c r="O3384" s="1" t="s">
        <v>87</v>
      </c>
      <c r="P3384" s="1" t="s">
        <v>7952</v>
      </c>
      <c r="Q3384" s="1" t="s">
        <v>7953</v>
      </c>
      <c r="R3384" s="1" t="s">
        <v>497</v>
      </c>
      <c r="S3384" s="1" t="s">
        <v>7954</v>
      </c>
      <c r="T3384" s="1" t="s">
        <v>7955</v>
      </c>
      <c r="U3384" s="2" t="s">
        <v>1346</v>
      </c>
      <c r="V3384" s="2" t="s">
        <v>47</v>
      </c>
      <c r="W3384" s="2" t="s">
        <v>74</v>
      </c>
      <c r="X3384" s="2">
        <v>108.43</v>
      </c>
    </row>
    <row r="3385" spans="1:24" x14ac:dyDescent="0.3">
      <c r="A3385">
        <v>21239</v>
      </c>
      <c r="B3385" t="s">
        <v>8422</v>
      </c>
      <c r="C3385" s="3">
        <v>41015</v>
      </c>
      <c r="D3385" t="s">
        <v>39</v>
      </c>
      <c r="E3385">
        <v>4</v>
      </c>
      <c r="F3385" s="3">
        <f ca="1">41016+(RANDBETWEEN(1,10))</f>
        <v>41023</v>
      </c>
      <c r="G3385" t="s">
        <v>156</v>
      </c>
      <c r="H3385" t="s">
        <v>27</v>
      </c>
      <c r="I3385" t="s">
        <v>97</v>
      </c>
      <c r="J3385">
        <v>573.19500000000005</v>
      </c>
      <c r="K3385">
        <v>0.03</v>
      </c>
      <c r="L3385">
        <v>0.67</v>
      </c>
      <c r="M3385">
        <v>24.92</v>
      </c>
      <c r="N3385">
        <v>636.77880000000005</v>
      </c>
      <c r="O3385" s="1" t="s">
        <v>87</v>
      </c>
      <c r="P3385" s="1" t="s">
        <v>532</v>
      </c>
      <c r="Q3385" s="1" t="s">
        <v>533</v>
      </c>
      <c r="R3385" s="1" t="s">
        <v>90</v>
      </c>
      <c r="S3385" s="1" t="s">
        <v>534</v>
      </c>
      <c r="T3385" s="1" t="s">
        <v>535</v>
      </c>
      <c r="U3385" s="2" t="s">
        <v>3979</v>
      </c>
      <c r="V3385" s="2" t="s">
        <v>36</v>
      </c>
      <c r="W3385" s="2" t="s">
        <v>60</v>
      </c>
      <c r="X3385" s="2">
        <v>139.93</v>
      </c>
    </row>
    <row r="3386" spans="1:24" x14ac:dyDescent="0.3">
      <c r="A3386">
        <v>21240</v>
      </c>
      <c r="B3386" t="s">
        <v>8422</v>
      </c>
      <c r="C3386" s="3">
        <v>41015</v>
      </c>
      <c r="D3386" t="s">
        <v>39</v>
      </c>
      <c r="E3386">
        <v>8</v>
      </c>
      <c r="F3386" s="3">
        <f ca="1">41016+(RANDBETWEEN(1,10))</f>
        <v>41020</v>
      </c>
      <c r="G3386" t="s">
        <v>26</v>
      </c>
      <c r="H3386" t="s">
        <v>27</v>
      </c>
      <c r="I3386" t="s">
        <v>97</v>
      </c>
      <c r="J3386">
        <v>139.30000000000001</v>
      </c>
      <c r="K3386">
        <v>0.03</v>
      </c>
      <c r="L3386">
        <v>0.39</v>
      </c>
      <c r="M3386">
        <v>1.7150000000000001</v>
      </c>
      <c r="N3386">
        <v>672.77700000000004</v>
      </c>
      <c r="O3386" s="1" t="s">
        <v>87</v>
      </c>
      <c r="P3386" s="1" t="s">
        <v>532</v>
      </c>
      <c r="Q3386" s="1" t="s">
        <v>533</v>
      </c>
      <c r="R3386" s="1" t="s">
        <v>90</v>
      </c>
      <c r="S3386" s="1" t="s">
        <v>534</v>
      </c>
      <c r="T3386" s="1" t="s">
        <v>535</v>
      </c>
      <c r="U3386" s="2" t="s">
        <v>892</v>
      </c>
      <c r="V3386" s="2" t="s">
        <v>47</v>
      </c>
      <c r="W3386" s="2" t="s">
        <v>203</v>
      </c>
      <c r="X3386" s="2">
        <v>17.43</v>
      </c>
    </row>
    <row r="3387" spans="1:24" x14ac:dyDescent="0.3">
      <c r="A3387">
        <v>21241</v>
      </c>
      <c r="B3387" t="s">
        <v>8422</v>
      </c>
      <c r="C3387" s="3">
        <v>41015</v>
      </c>
      <c r="D3387" t="s">
        <v>39</v>
      </c>
      <c r="E3387">
        <v>5</v>
      </c>
      <c r="F3387" s="3">
        <f ca="1">41015+(RANDBETWEEN(1,10))</f>
        <v>41017</v>
      </c>
      <c r="G3387" t="s">
        <v>26</v>
      </c>
      <c r="H3387" t="s">
        <v>27</v>
      </c>
      <c r="I3387" t="s">
        <v>97</v>
      </c>
      <c r="J3387">
        <v>122.78</v>
      </c>
      <c r="K3387">
        <v>0.06</v>
      </c>
      <c r="L3387">
        <v>0.36</v>
      </c>
      <c r="M3387">
        <v>30.59</v>
      </c>
      <c r="N3387">
        <v>-1040.4317000000001</v>
      </c>
      <c r="O3387" s="1" t="s">
        <v>87</v>
      </c>
      <c r="P3387" s="1" t="s">
        <v>532</v>
      </c>
      <c r="Q3387" s="1" t="s">
        <v>533</v>
      </c>
      <c r="R3387" s="1" t="s">
        <v>90</v>
      </c>
      <c r="S3387" s="1" t="s">
        <v>534</v>
      </c>
      <c r="T3387" s="1" t="s">
        <v>535</v>
      </c>
      <c r="U3387" s="2" t="s">
        <v>578</v>
      </c>
      <c r="V3387" s="2" t="s">
        <v>47</v>
      </c>
      <c r="W3387" s="2" t="s">
        <v>74</v>
      </c>
      <c r="X3387" s="2">
        <v>22.68</v>
      </c>
    </row>
    <row r="3388" spans="1:24" x14ac:dyDescent="0.3">
      <c r="A3388">
        <v>21242</v>
      </c>
      <c r="B3388" t="s">
        <v>8423</v>
      </c>
      <c r="C3388" s="3">
        <v>41460</v>
      </c>
      <c r="D3388" t="s">
        <v>39</v>
      </c>
      <c r="E3388">
        <v>2</v>
      </c>
      <c r="F3388" s="3">
        <f ca="1">41462+(RANDBETWEEN(1,10))</f>
        <v>41467</v>
      </c>
      <c r="G3388" t="s">
        <v>26</v>
      </c>
      <c r="H3388" t="s">
        <v>258</v>
      </c>
      <c r="I3388" t="s">
        <v>97</v>
      </c>
      <c r="J3388">
        <v>20.335000000000001</v>
      </c>
      <c r="K3388">
        <v>0.02</v>
      </c>
      <c r="L3388">
        <v>0.71</v>
      </c>
      <c r="M3388">
        <v>1.75</v>
      </c>
      <c r="N3388">
        <v>8.5749999999999993</v>
      </c>
      <c r="O3388" s="1" t="s">
        <v>225</v>
      </c>
      <c r="P3388" s="1" t="s">
        <v>6988</v>
      </c>
      <c r="Q3388" s="1" t="s">
        <v>6989</v>
      </c>
      <c r="R3388" s="1" t="s">
        <v>228</v>
      </c>
      <c r="S3388" s="1" t="s">
        <v>6990</v>
      </c>
      <c r="T3388" s="1" t="s">
        <v>6991</v>
      </c>
      <c r="U3388" s="2" t="s">
        <v>2984</v>
      </c>
      <c r="V3388" s="2" t="s">
        <v>83</v>
      </c>
      <c r="W3388" s="2" t="s">
        <v>263</v>
      </c>
      <c r="X3388" s="2">
        <v>10.08</v>
      </c>
    </row>
    <row r="3389" spans="1:24" x14ac:dyDescent="0.3">
      <c r="A3389">
        <v>21243</v>
      </c>
      <c r="B3389" t="s">
        <v>8424</v>
      </c>
      <c r="C3389" s="3">
        <v>40999</v>
      </c>
      <c r="D3389" t="s">
        <v>50</v>
      </c>
      <c r="E3389">
        <v>6</v>
      </c>
      <c r="F3389" s="3">
        <f ca="1">41001+(RANDBETWEEN(1,10))</f>
        <v>41011</v>
      </c>
      <c r="G3389" t="s">
        <v>76</v>
      </c>
      <c r="H3389" t="s">
        <v>77</v>
      </c>
      <c r="I3389" t="s">
        <v>86</v>
      </c>
      <c r="J3389">
        <v>2500.0149999999999</v>
      </c>
      <c r="K3389">
        <v>0.05</v>
      </c>
      <c r="L3389">
        <v>0.4</v>
      </c>
      <c r="M3389">
        <v>196.49</v>
      </c>
      <c r="N3389">
        <v>-155.81264999999999</v>
      </c>
      <c r="O3389" s="1" t="s">
        <v>87</v>
      </c>
      <c r="P3389" s="1" t="s">
        <v>2226</v>
      </c>
      <c r="Q3389" s="1" t="s">
        <v>2227</v>
      </c>
      <c r="R3389" s="1" t="s">
        <v>646</v>
      </c>
      <c r="S3389" s="1" t="s">
        <v>2228</v>
      </c>
      <c r="T3389" s="1" t="s">
        <v>2229</v>
      </c>
      <c r="U3389" s="2" t="s">
        <v>898</v>
      </c>
      <c r="V3389" s="2" t="s">
        <v>36</v>
      </c>
      <c r="W3389" s="2" t="s">
        <v>142</v>
      </c>
      <c r="X3389" s="2">
        <v>405.96499999999997</v>
      </c>
    </row>
    <row r="3390" spans="1:24" x14ac:dyDescent="0.3">
      <c r="A3390">
        <v>21244</v>
      </c>
      <c r="B3390" t="s">
        <v>8425</v>
      </c>
      <c r="C3390" s="3">
        <v>41250</v>
      </c>
      <c r="D3390" t="s">
        <v>62</v>
      </c>
      <c r="E3390">
        <v>7</v>
      </c>
      <c r="F3390" s="3">
        <f ca="1">41252+(RANDBETWEEN(1,10))</f>
        <v>41262</v>
      </c>
      <c r="G3390" t="s">
        <v>26</v>
      </c>
      <c r="H3390" t="s">
        <v>27</v>
      </c>
      <c r="I3390" t="s">
        <v>28</v>
      </c>
      <c r="J3390">
        <v>166.005</v>
      </c>
      <c r="K3390">
        <v>0.02</v>
      </c>
      <c r="L3390">
        <v>0.36</v>
      </c>
      <c r="M3390">
        <v>23.835000000000001</v>
      </c>
      <c r="N3390">
        <v>-88.935000000000002</v>
      </c>
      <c r="O3390" s="1" t="s">
        <v>29</v>
      </c>
      <c r="P3390" s="1" t="s">
        <v>757</v>
      </c>
      <c r="Q3390" s="1" t="s">
        <v>758</v>
      </c>
      <c r="R3390" s="1" t="s">
        <v>675</v>
      </c>
      <c r="S3390" s="1" t="s">
        <v>759</v>
      </c>
      <c r="T3390" s="1" t="s">
        <v>760</v>
      </c>
      <c r="U3390" s="2" t="s">
        <v>2113</v>
      </c>
      <c r="V3390" s="2" t="s">
        <v>47</v>
      </c>
      <c r="W3390" s="2" t="s">
        <v>74</v>
      </c>
      <c r="X3390" s="2">
        <v>22.68</v>
      </c>
    </row>
    <row r="3391" spans="1:24" x14ac:dyDescent="0.3">
      <c r="A3391">
        <v>21245</v>
      </c>
      <c r="B3391" t="s">
        <v>8425</v>
      </c>
      <c r="C3391" s="3">
        <v>41250</v>
      </c>
      <c r="D3391" t="s">
        <v>62</v>
      </c>
      <c r="E3391">
        <v>12</v>
      </c>
      <c r="F3391" s="3">
        <f ca="1">41252+(RANDBETWEEN(1,10))</f>
        <v>41256</v>
      </c>
      <c r="G3391" t="s">
        <v>26</v>
      </c>
      <c r="H3391" t="s">
        <v>27</v>
      </c>
      <c r="I3391" t="s">
        <v>28</v>
      </c>
      <c r="J3391">
        <v>122.08</v>
      </c>
      <c r="K3391">
        <v>0.06</v>
      </c>
      <c r="L3391">
        <v>0.36</v>
      </c>
      <c r="M3391">
        <v>3.4649999999999999</v>
      </c>
      <c r="N3391">
        <v>84.235200000000006</v>
      </c>
      <c r="O3391" s="1" t="s">
        <v>225</v>
      </c>
      <c r="P3391" s="1" t="s">
        <v>8426</v>
      </c>
      <c r="Q3391" s="1" t="s">
        <v>8427</v>
      </c>
      <c r="R3391" s="1" t="s">
        <v>228</v>
      </c>
      <c r="S3391" s="1" t="s">
        <v>865</v>
      </c>
      <c r="T3391" s="1" t="s">
        <v>866</v>
      </c>
      <c r="U3391" s="2" t="s">
        <v>3527</v>
      </c>
      <c r="V3391" s="2" t="s">
        <v>47</v>
      </c>
      <c r="W3391" s="2" t="s">
        <v>203</v>
      </c>
      <c r="X3391" s="2">
        <v>10.08</v>
      </c>
    </row>
    <row r="3392" spans="1:24" x14ac:dyDescent="0.3">
      <c r="A3392">
        <v>21246</v>
      </c>
      <c r="B3392" t="s">
        <v>8428</v>
      </c>
      <c r="C3392" s="3">
        <v>41655</v>
      </c>
      <c r="D3392" t="s">
        <v>39</v>
      </c>
      <c r="E3392">
        <v>1</v>
      </c>
      <c r="F3392" s="3">
        <f ca="1">41657+(RANDBETWEEN(1,10))</f>
        <v>41665</v>
      </c>
      <c r="G3392" t="s">
        <v>26</v>
      </c>
      <c r="H3392" t="s">
        <v>27</v>
      </c>
      <c r="I3392" t="s">
        <v>97</v>
      </c>
      <c r="J3392">
        <v>178.71</v>
      </c>
      <c r="K3392">
        <v>0.02</v>
      </c>
      <c r="L3392">
        <v>0.37</v>
      </c>
      <c r="M3392">
        <v>20.265000000000001</v>
      </c>
      <c r="N3392">
        <v>110.1506</v>
      </c>
      <c r="O3392" s="1" t="s">
        <v>64</v>
      </c>
      <c r="P3392" s="1" t="s">
        <v>8429</v>
      </c>
      <c r="Q3392" s="1" t="s">
        <v>8430</v>
      </c>
      <c r="R3392" s="1" t="s">
        <v>128</v>
      </c>
      <c r="S3392" s="1" t="s">
        <v>2332</v>
      </c>
      <c r="T3392" s="1" t="s">
        <v>2333</v>
      </c>
      <c r="U3392" s="2" t="s">
        <v>8002</v>
      </c>
      <c r="V3392" s="2" t="s">
        <v>47</v>
      </c>
      <c r="W3392" s="2" t="s">
        <v>74</v>
      </c>
      <c r="X3392" s="2">
        <v>168.14</v>
      </c>
    </row>
    <row r="3393" spans="1:24" x14ac:dyDescent="0.3">
      <c r="A3393">
        <v>21247</v>
      </c>
      <c r="B3393" t="s">
        <v>8428</v>
      </c>
      <c r="C3393" s="3">
        <v>41655</v>
      </c>
      <c r="D3393" t="s">
        <v>39</v>
      </c>
      <c r="E3393">
        <v>4</v>
      </c>
      <c r="F3393" s="3">
        <f ca="1">41657+(RANDBETWEEN(1,10))</f>
        <v>41659</v>
      </c>
      <c r="G3393" t="s">
        <v>156</v>
      </c>
      <c r="H3393" t="s">
        <v>96</v>
      </c>
      <c r="I3393" t="s">
        <v>97</v>
      </c>
      <c r="J3393">
        <v>50.854999999999997</v>
      </c>
      <c r="K3393">
        <v>0.09</v>
      </c>
      <c r="L3393">
        <v>0.39</v>
      </c>
      <c r="M3393">
        <v>7.7</v>
      </c>
      <c r="N3393">
        <v>-29.555399999999999</v>
      </c>
      <c r="O3393" s="1" t="s">
        <v>64</v>
      </c>
      <c r="P3393" s="1" t="s">
        <v>8431</v>
      </c>
      <c r="Q3393" s="1" t="s">
        <v>8432</v>
      </c>
      <c r="R3393" s="1" t="s">
        <v>128</v>
      </c>
      <c r="S3393" s="1" t="s">
        <v>4293</v>
      </c>
      <c r="T3393" s="1" t="s">
        <v>4294</v>
      </c>
      <c r="U3393" s="2" t="s">
        <v>7440</v>
      </c>
      <c r="V3393" s="2" t="s">
        <v>47</v>
      </c>
      <c r="W3393" s="2" t="s">
        <v>74</v>
      </c>
      <c r="X3393" s="2">
        <v>12.6</v>
      </c>
    </row>
    <row r="3394" spans="1:24" x14ac:dyDescent="0.3">
      <c r="A3394">
        <v>21248</v>
      </c>
      <c r="B3394" t="s">
        <v>8433</v>
      </c>
      <c r="C3394" s="3">
        <v>41346</v>
      </c>
      <c r="D3394" t="s">
        <v>25</v>
      </c>
      <c r="E3394">
        <v>6</v>
      </c>
      <c r="F3394" s="3">
        <f ca="1">41350+(RANDBETWEEN(1,10))</f>
        <v>41360</v>
      </c>
      <c r="G3394" t="s">
        <v>76</v>
      </c>
      <c r="H3394" t="s">
        <v>77</v>
      </c>
      <c r="I3394" t="s">
        <v>97</v>
      </c>
      <c r="J3394">
        <v>1533.4549999999999</v>
      </c>
      <c r="K3394">
        <v>0.04</v>
      </c>
      <c r="L3394">
        <v>0.41</v>
      </c>
      <c r="M3394">
        <v>210</v>
      </c>
      <c r="N3394">
        <v>-110.495</v>
      </c>
      <c r="O3394" s="1" t="s">
        <v>53</v>
      </c>
      <c r="P3394" s="1" t="s">
        <v>2376</v>
      </c>
      <c r="Q3394" s="1" t="s">
        <v>2377</v>
      </c>
      <c r="R3394" s="1" t="s">
        <v>440</v>
      </c>
      <c r="S3394" s="1" t="s">
        <v>2378</v>
      </c>
      <c r="T3394" s="1" t="s">
        <v>2379</v>
      </c>
      <c r="U3394" s="2" t="s">
        <v>287</v>
      </c>
      <c r="V3394" s="2" t="s">
        <v>47</v>
      </c>
      <c r="W3394" s="2" t="s">
        <v>71</v>
      </c>
      <c r="X3394" s="2">
        <v>240.83500000000001</v>
      </c>
    </row>
    <row r="3395" spans="1:24" x14ac:dyDescent="0.3">
      <c r="A3395">
        <v>21249</v>
      </c>
      <c r="B3395" t="s">
        <v>8433</v>
      </c>
      <c r="C3395" s="3">
        <v>41346</v>
      </c>
      <c r="D3395" t="s">
        <v>25</v>
      </c>
      <c r="E3395">
        <v>12</v>
      </c>
      <c r="F3395" s="3">
        <f ca="1">41351+(RANDBETWEEN(1,10))</f>
        <v>41354</v>
      </c>
      <c r="G3395" t="s">
        <v>156</v>
      </c>
      <c r="H3395" t="s">
        <v>27</v>
      </c>
      <c r="I3395" t="s">
        <v>97</v>
      </c>
      <c r="J3395">
        <v>6659.73</v>
      </c>
      <c r="K3395">
        <v>0.05</v>
      </c>
      <c r="L3395">
        <v>0.59</v>
      </c>
      <c r="M3395">
        <v>13.965</v>
      </c>
      <c r="N3395">
        <v>490.98</v>
      </c>
      <c r="O3395" s="1" t="s">
        <v>53</v>
      </c>
      <c r="P3395" s="1" t="s">
        <v>2376</v>
      </c>
      <c r="Q3395" s="1" t="s">
        <v>2377</v>
      </c>
      <c r="R3395" s="1" t="s">
        <v>440</v>
      </c>
      <c r="S3395" s="1" t="s">
        <v>2378</v>
      </c>
      <c r="T3395" s="1" t="s">
        <v>2379</v>
      </c>
      <c r="U3395" s="2" t="s">
        <v>8434</v>
      </c>
      <c r="V3395" s="2" t="s">
        <v>36</v>
      </c>
      <c r="W3395" s="2" t="s">
        <v>37</v>
      </c>
      <c r="X3395" s="2">
        <v>685.96500000000003</v>
      </c>
    </row>
    <row r="3396" spans="1:24" x14ac:dyDescent="0.3">
      <c r="A3396">
        <v>21250</v>
      </c>
      <c r="B3396" t="s">
        <v>8435</v>
      </c>
      <c r="C3396" s="3">
        <v>41216</v>
      </c>
      <c r="D3396" t="s">
        <v>39</v>
      </c>
      <c r="E3396">
        <v>1</v>
      </c>
      <c r="F3396" s="3">
        <f ca="1">41217+(RANDBETWEEN(1,10))</f>
        <v>41219</v>
      </c>
      <c r="G3396" t="s">
        <v>76</v>
      </c>
      <c r="H3396" t="s">
        <v>77</v>
      </c>
      <c r="I3396" t="s">
        <v>86</v>
      </c>
      <c r="J3396">
        <v>2781.03</v>
      </c>
      <c r="K3396">
        <v>0.09</v>
      </c>
      <c r="L3396">
        <v>0.4</v>
      </c>
      <c r="M3396">
        <v>193.55</v>
      </c>
      <c r="N3396">
        <v>1223.84031</v>
      </c>
      <c r="O3396" s="1" t="s">
        <v>87</v>
      </c>
      <c r="P3396" s="1" t="s">
        <v>8436</v>
      </c>
      <c r="Q3396" s="1" t="s">
        <v>8437</v>
      </c>
      <c r="R3396" s="1" t="s">
        <v>398</v>
      </c>
      <c r="S3396" s="1" t="s">
        <v>8438</v>
      </c>
      <c r="T3396" s="1" t="s">
        <v>8439</v>
      </c>
      <c r="U3396" s="2" t="s">
        <v>8440</v>
      </c>
      <c r="V3396" s="2" t="s">
        <v>36</v>
      </c>
      <c r="W3396" s="2" t="s">
        <v>142</v>
      </c>
      <c r="X3396" s="2">
        <v>2829.7150000000001</v>
      </c>
    </row>
    <row r="3397" spans="1:24" x14ac:dyDescent="0.3">
      <c r="A3397">
        <v>21251</v>
      </c>
      <c r="B3397" t="s">
        <v>8441</v>
      </c>
      <c r="C3397" s="3">
        <v>41822</v>
      </c>
      <c r="D3397" t="s">
        <v>62</v>
      </c>
      <c r="E3397">
        <v>7</v>
      </c>
      <c r="F3397" s="3">
        <f ca="1">41824+(RANDBETWEEN(1,10))</f>
        <v>41828</v>
      </c>
      <c r="G3397" t="s">
        <v>26</v>
      </c>
      <c r="H3397" t="s">
        <v>281</v>
      </c>
      <c r="I3397" t="s">
        <v>28</v>
      </c>
      <c r="J3397">
        <v>610.89</v>
      </c>
      <c r="K3397">
        <v>0.06</v>
      </c>
      <c r="L3397">
        <v>0.5</v>
      </c>
      <c r="M3397">
        <v>18.795000000000002</v>
      </c>
      <c r="N3397">
        <v>302.81216000000001</v>
      </c>
      <c r="O3397" s="1" t="s">
        <v>64</v>
      </c>
      <c r="P3397" s="1" t="s">
        <v>8442</v>
      </c>
      <c r="Q3397" s="1" t="s">
        <v>8443</v>
      </c>
      <c r="R3397" s="1" t="s">
        <v>67</v>
      </c>
      <c r="S3397" s="1" t="s">
        <v>8444</v>
      </c>
      <c r="T3397" s="1" t="s">
        <v>8445</v>
      </c>
      <c r="U3397" s="2" t="s">
        <v>3418</v>
      </c>
      <c r="V3397" s="2" t="s">
        <v>47</v>
      </c>
      <c r="W3397" s="2" t="s">
        <v>71</v>
      </c>
      <c r="X3397" s="2">
        <v>90.93</v>
      </c>
    </row>
    <row r="3398" spans="1:24" x14ac:dyDescent="0.3">
      <c r="A3398">
        <v>21252</v>
      </c>
      <c r="B3398" t="s">
        <v>8441</v>
      </c>
      <c r="C3398" s="3">
        <v>41822</v>
      </c>
      <c r="D3398" t="s">
        <v>62</v>
      </c>
      <c r="E3398">
        <v>12</v>
      </c>
      <c r="F3398" s="3">
        <f ca="1">41824+(RANDBETWEEN(1,10))</f>
        <v>41825</v>
      </c>
      <c r="G3398" t="s">
        <v>26</v>
      </c>
      <c r="H3398" t="s">
        <v>27</v>
      </c>
      <c r="I3398" t="s">
        <v>28</v>
      </c>
      <c r="J3398">
        <v>6434.3649999999998</v>
      </c>
      <c r="K3398">
        <v>0.05</v>
      </c>
      <c r="L3398">
        <v>0.59</v>
      </c>
      <c r="M3398">
        <v>24.745000000000001</v>
      </c>
      <c r="N3398">
        <v>4439.7118499999997</v>
      </c>
      <c r="O3398" s="1" t="s">
        <v>64</v>
      </c>
      <c r="P3398" s="1" t="s">
        <v>8442</v>
      </c>
      <c r="Q3398" s="1" t="s">
        <v>8443</v>
      </c>
      <c r="R3398" s="1" t="s">
        <v>67</v>
      </c>
      <c r="S3398" s="1" t="s">
        <v>8444</v>
      </c>
      <c r="T3398" s="1" t="s">
        <v>8445</v>
      </c>
      <c r="U3398" s="2" t="s">
        <v>3378</v>
      </c>
      <c r="V3398" s="2" t="s">
        <v>47</v>
      </c>
      <c r="W3398" s="2" t="s">
        <v>119</v>
      </c>
      <c r="X3398" s="2">
        <v>542.71</v>
      </c>
    </row>
    <row r="3399" spans="1:24" x14ac:dyDescent="0.3">
      <c r="A3399">
        <v>21253</v>
      </c>
      <c r="B3399" t="s">
        <v>8446</v>
      </c>
      <c r="C3399" s="3">
        <v>41382</v>
      </c>
      <c r="D3399" t="s">
        <v>39</v>
      </c>
      <c r="E3399">
        <v>1</v>
      </c>
      <c r="F3399" s="3">
        <f ca="1">41384+(RANDBETWEEN(1,10))</f>
        <v>41385</v>
      </c>
      <c r="G3399" t="s">
        <v>26</v>
      </c>
      <c r="H3399" t="s">
        <v>51</v>
      </c>
      <c r="I3399" t="s">
        <v>28</v>
      </c>
      <c r="J3399">
        <v>24.92</v>
      </c>
      <c r="K3399">
        <v>0.02</v>
      </c>
      <c r="L3399">
        <v>0.68</v>
      </c>
      <c r="M3399">
        <v>13.475</v>
      </c>
      <c r="N3399">
        <v>-94.954999999999998</v>
      </c>
      <c r="O3399" s="1" t="s">
        <v>64</v>
      </c>
      <c r="P3399" s="1" t="s">
        <v>8442</v>
      </c>
      <c r="Q3399" s="1" t="s">
        <v>8443</v>
      </c>
      <c r="R3399" s="1" t="s">
        <v>67</v>
      </c>
      <c r="S3399" s="1" t="s">
        <v>8444</v>
      </c>
      <c r="T3399" s="1" t="s">
        <v>8445</v>
      </c>
      <c r="U3399" s="2" t="s">
        <v>3286</v>
      </c>
      <c r="V3399" s="2" t="s">
        <v>36</v>
      </c>
      <c r="W3399" s="2" t="s">
        <v>60</v>
      </c>
      <c r="X3399" s="2">
        <v>20.93</v>
      </c>
    </row>
    <row r="3400" spans="1:24" x14ac:dyDescent="0.3">
      <c r="A3400">
        <v>21254</v>
      </c>
      <c r="B3400" t="s">
        <v>8446</v>
      </c>
      <c r="C3400" s="3">
        <v>41382</v>
      </c>
      <c r="D3400" t="s">
        <v>39</v>
      </c>
      <c r="E3400">
        <v>1</v>
      </c>
      <c r="F3400" s="3">
        <f ca="1">41384+(RANDBETWEEN(1,10))</f>
        <v>41385</v>
      </c>
      <c r="G3400" t="s">
        <v>26</v>
      </c>
      <c r="H3400" t="s">
        <v>27</v>
      </c>
      <c r="I3400" t="s">
        <v>28</v>
      </c>
      <c r="J3400">
        <v>27.335000000000001</v>
      </c>
      <c r="K3400">
        <v>0.05</v>
      </c>
      <c r="L3400">
        <v>0.36</v>
      </c>
      <c r="M3400">
        <v>18.2</v>
      </c>
      <c r="N3400">
        <v>-37.03</v>
      </c>
      <c r="O3400" s="1" t="s">
        <v>64</v>
      </c>
      <c r="P3400" s="1" t="s">
        <v>8442</v>
      </c>
      <c r="Q3400" s="1" t="s">
        <v>8443</v>
      </c>
      <c r="R3400" s="1" t="s">
        <v>67</v>
      </c>
      <c r="S3400" s="1" t="s">
        <v>8444</v>
      </c>
      <c r="T3400" s="1" t="s">
        <v>8445</v>
      </c>
      <c r="U3400" s="2" t="s">
        <v>2553</v>
      </c>
      <c r="V3400" s="2" t="s">
        <v>47</v>
      </c>
      <c r="W3400" s="2" t="s">
        <v>74</v>
      </c>
      <c r="X3400" s="2">
        <v>20.93</v>
      </c>
    </row>
    <row r="3401" spans="1:24" x14ac:dyDescent="0.3">
      <c r="A3401">
        <v>21255</v>
      </c>
      <c r="B3401" t="s">
        <v>8447</v>
      </c>
      <c r="C3401" s="3">
        <v>41810</v>
      </c>
      <c r="D3401" t="s">
        <v>50</v>
      </c>
      <c r="E3401">
        <v>15</v>
      </c>
      <c r="F3401" s="3">
        <f ca="1">41812+(RANDBETWEEN(1,10))</f>
        <v>41816</v>
      </c>
      <c r="G3401" t="s">
        <v>26</v>
      </c>
      <c r="H3401" t="s">
        <v>27</v>
      </c>
      <c r="I3401" t="s">
        <v>52</v>
      </c>
      <c r="J3401">
        <v>321.05500000000001</v>
      </c>
      <c r="K3401">
        <v>0.09</v>
      </c>
      <c r="L3401">
        <v>0.37</v>
      </c>
      <c r="M3401">
        <v>21.77</v>
      </c>
      <c r="N3401">
        <v>-309.56799999999998</v>
      </c>
      <c r="O3401" s="1" t="s">
        <v>64</v>
      </c>
      <c r="P3401" s="1" t="s">
        <v>4161</v>
      </c>
      <c r="Q3401" s="1" t="s">
        <v>4162</v>
      </c>
      <c r="R3401" s="1" t="s">
        <v>67</v>
      </c>
      <c r="S3401" s="1" t="s">
        <v>4163</v>
      </c>
      <c r="T3401" s="1" t="s">
        <v>4164</v>
      </c>
      <c r="U3401" s="2" t="s">
        <v>4158</v>
      </c>
      <c r="V3401" s="2" t="s">
        <v>47</v>
      </c>
      <c r="W3401" s="2" t="s">
        <v>74</v>
      </c>
      <c r="X3401" s="2">
        <v>22.68</v>
      </c>
    </row>
    <row r="3402" spans="1:24" x14ac:dyDescent="0.3">
      <c r="A3402">
        <v>21256</v>
      </c>
      <c r="B3402" t="s">
        <v>8448</v>
      </c>
      <c r="C3402" s="3">
        <v>41167</v>
      </c>
      <c r="D3402" t="s">
        <v>39</v>
      </c>
      <c r="E3402">
        <v>18</v>
      </c>
      <c r="F3402" s="3">
        <f ca="1">41168+(RANDBETWEEN(1,10))</f>
        <v>41177</v>
      </c>
      <c r="G3402" t="s">
        <v>76</v>
      </c>
      <c r="H3402" t="s">
        <v>77</v>
      </c>
      <c r="I3402" t="s">
        <v>86</v>
      </c>
      <c r="J3402">
        <v>9272.83</v>
      </c>
      <c r="K3402">
        <v>0.03</v>
      </c>
      <c r="L3402">
        <v>0.56000000000000005</v>
      </c>
      <c r="M3402">
        <v>62.475000000000001</v>
      </c>
      <c r="N3402">
        <v>4500.09</v>
      </c>
      <c r="O3402" s="1" t="s">
        <v>29</v>
      </c>
      <c r="P3402" s="1" t="s">
        <v>6107</v>
      </c>
      <c r="Q3402" s="1" t="s">
        <v>6108</v>
      </c>
      <c r="R3402" s="1" t="s">
        <v>32</v>
      </c>
      <c r="S3402" s="1" t="s">
        <v>6109</v>
      </c>
      <c r="T3402" s="1" t="s">
        <v>6110</v>
      </c>
      <c r="U3402" s="2" t="s">
        <v>881</v>
      </c>
      <c r="V3402" s="2" t="s">
        <v>36</v>
      </c>
      <c r="W3402" s="2" t="s">
        <v>142</v>
      </c>
      <c r="X3402" s="2">
        <v>509.07499999999999</v>
      </c>
    </row>
    <row r="3403" spans="1:24" x14ac:dyDescent="0.3">
      <c r="A3403">
        <v>21257</v>
      </c>
      <c r="B3403" t="s">
        <v>8449</v>
      </c>
      <c r="C3403" s="3">
        <v>41269</v>
      </c>
      <c r="D3403" t="s">
        <v>25</v>
      </c>
      <c r="E3403">
        <v>2</v>
      </c>
      <c r="F3403" s="3">
        <f ca="1">41293+(RANDBETWEEN(1,10))</f>
        <v>41298</v>
      </c>
      <c r="G3403" t="s">
        <v>26</v>
      </c>
      <c r="H3403" t="s">
        <v>281</v>
      </c>
      <c r="I3403" t="s">
        <v>97</v>
      </c>
      <c r="J3403">
        <v>54.46</v>
      </c>
      <c r="K3403">
        <v>0.05</v>
      </c>
      <c r="L3403">
        <v>0.6</v>
      </c>
      <c r="M3403">
        <v>17.605</v>
      </c>
      <c r="N3403">
        <v>-82.081999999999994</v>
      </c>
      <c r="O3403" s="1" t="s">
        <v>53</v>
      </c>
      <c r="P3403" s="1" t="s">
        <v>8450</v>
      </c>
      <c r="Q3403" s="1" t="s">
        <v>8451</v>
      </c>
      <c r="R3403" s="1" t="s">
        <v>440</v>
      </c>
      <c r="S3403" s="1" t="s">
        <v>3068</v>
      </c>
      <c r="T3403" s="1" t="s">
        <v>3069</v>
      </c>
      <c r="U3403" s="2" t="s">
        <v>408</v>
      </c>
      <c r="V3403" s="2" t="s">
        <v>36</v>
      </c>
      <c r="W3403" s="2" t="s">
        <v>37</v>
      </c>
      <c r="X3403" s="2">
        <v>27.965</v>
      </c>
    </row>
    <row r="3404" spans="1:24" x14ac:dyDescent="0.3">
      <c r="A3404">
        <v>21258</v>
      </c>
      <c r="B3404" t="s">
        <v>8449</v>
      </c>
      <c r="C3404" s="3">
        <v>41269</v>
      </c>
      <c r="D3404" t="s">
        <v>25</v>
      </c>
      <c r="E3404">
        <v>22</v>
      </c>
      <c r="F3404" s="3">
        <f ca="1">41273+(RANDBETWEEN(1,10))</f>
        <v>41277</v>
      </c>
      <c r="G3404" t="s">
        <v>26</v>
      </c>
      <c r="H3404" t="s">
        <v>27</v>
      </c>
      <c r="I3404" t="s">
        <v>97</v>
      </c>
      <c r="J3404">
        <v>7912.1</v>
      </c>
      <c r="K3404">
        <v>0.05</v>
      </c>
      <c r="L3404">
        <v>0.55000000000000004</v>
      </c>
      <c r="M3404">
        <v>31.465</v>
      </c>
      <c r="N3404">
        <v>5459.3490000000002</v>
      </c>
      <c r="O3404" s="1" t="s">
        <v>53</v>
      </c>
      <c r="P3404" s="1" t="s">
        <v>8450</v>
      </c>
      <c r="Q3404" s="1" t="s">
        <v>8451</v>
      </c>
      <c r="R3404" s="1" t="s">
        <v>440</v>
      </c>
      <c r="S3404" s="1" t="s">
        <v>3068</v>
      </c>
      <c r="T3404" s="1" t="s">
        <v>3069</v>
      </c>
      <c r="U3404" s="2" t="s">
        <v>187</v>
      </c>
      <c r="V3404" s="2" t="s">
        <v>36</v>
      </c>
      <c r="W3404" s="2" t="s">
        <v>37</v>
      </c>
      <c r="X3404" s="2">
        <v>440.96499999999997</v>
      </c>
    </row>
    <row r="3405" spans="1:24" x14ac:dyDescent="0.3">
      <c r="A3405">
        <v>21259</v>
      </c>
      <c r="B3405" t="s">
        <v>8452</v>
      </c>
      <c r="C3405" s="3">
        <v>41856</v>
      </c>
      <c r="D3405" t="s">
        <v>148</v>
      </c>
      <c r="E3405">
        <v>22</v>
      </c>
      <c r="F3405" s="3">
        <f ca="1">41857+(RANDBETWEEN(1,10))</f>
        <v>41859</v>
      </c>
      <c r="G3405" t="s">
        <v>26</v>
      </c>
      <c r="H3405" t="s">
        <v>281</v>
      </c>
      <c r="I3405" t="s">
        <v>97</v>
      </c>
      <c r="J3405">
        <v>1109.71</v>
      </c>
      <c r="K3405">
        <v>0.04</v>
      </c>
      <c r="L3405">
        <v>0.52</v>
      </c>
      <c r="M3405">
        <v>23.625</v>
      </c>
      <c r="N3405">
        <v>-32.128599999999999</v>
      </c>
      <c r="O3405" s="1" t="s">
        <v>225</v>
      </c>
      <c r="P3405" s="1" t="s">
        <v>8453</v>
      </c>
      <c r="Q3405" s="1" t="s">
        <v>8454</v>
      </c>
      <c r="R3405" s="1" t="s">
        <v>228</v>
      </c>
      <c r="S3405" s="1" t="s">
        <v>8455</v>
      </c>
      <c r="T3405" s="1" t="s">
        <v>8456</v>
      </c>
      <c r="U3405" s="2" t="s">
        <v>1196</v>
      </c>
      <c r="V3405" s="2" t="s">
        <v>47</v>
      </c>
      <c r="W3405" s="2" t="s">
        <v>71</v>
      </c>
      <c r="X3405" s="2">
        <v>50.47</v>
      </c>
    </row>
    <row r="3406" spans="1:24" x14ac:dyDescent="0.3">
      <c r="A3406">
        <v>21260</v>
      </c>
      <c r="B3406" t="s">
        <v>8457</v>
      </c>
      <c r="C3406" s="3">
        <v>40760</v>
      </c>
      <c r="D3406" t="s">
        <v>148</v>
      </c>
      <c r="E3406">
        <v>14</v>
      </c>
      <c r="F3406" s="3">
        <f ca="1">40762+(RANDBETWEEN(1,10))</f>
        <v>40769</v>
      </c>
      <c r="G3406" t="s">
        <v>26</v>
      </c>
      <c r="H3406" t="s">
        <v>27</v>
      </c>
      <c r="I3406" t="s">
        <v>97</v>
      </c>
      <c r="J3406">
        <v>301.42</v>
      </c>
      <c r="K3406">
        <v>0.04</v>
      </c>
      <c r="L3406">
        <v>0.36</v>
      </c>
      <c r="M3406">
        <v>20.265000000000001</v>
      </c>
      <c r="N3406">
        <v>-126.1078</v>
      </c>
      <c r="O3406" s="1" t="s">
        <v>225</v>
      </c>
      <c r="P3406" s="1" t="s">
        <v>8453</v>
      </c>
      <c r="Q3406" s="1" t="s">
        <v>8454</v>
      </c>
      <c r="R3406" s="1" t="s">
        <v>228</v>
      </c>
      <c r="S3406" s="1" t="s">
        <v>8455</v>
      </c>
      <c r="T3406" s="1" t="s">
        <v>8456</v>
      </c>
      <c r="U3406" s="2" t="s">
        <v>2545</v>
      </c>
      <c r="V3406" s="2" t="s">
        <v>47</v>
      </c>
      <c r="W3406" s="2" t="s">
        <v>74</v>
      </c>
      <c r="X3406" s="2">
        <v>20.93</v>
      </c>
    </row>
    <row r="3407" spans="1:24" x14ac:dyDescent="0.3">
      <c r="A3407">
        <v>21261</v>
      </c>
      <c r="B3407" t="s">
        <v>8452</v>
      </c>
      <c r="C3407" s="3">
        <v>41856</v>
      </c>
      <c r="D3407" t="s">
        <v>148</v>
      </c>
      <c r="E3407">
        <v>8</v>
      </c>
      <c r="F3407" s="3">
        <f ca="1">41857+(RANDBETWEEN(1,10))</f>
        <v>41864</v>
      </c>
      <c r="G3407" t="s">
        <v>26</v>
      </c>
      <c r="H3407" t="s">
        <v>27</v>
      </c>
      <c r="I3407" t="s">
        <v>97</v>
      </c>
      <c r="J3407">
        <v>1552.075</v>
      </c>
      <c r="K3407">
        <v>0.03</v>
      </c>
      <c r="L3407">
        <v>0.56000000000000005</v>
      </c>
      <c r="M3407">
        <v>31.465</v>
      </c>
      <c r="N3407">
        <v>-35.357784000000002</v>
      </c>
      <c r="O3407" s="1" t="s">
        <v>225</v>
      </c>
      <c r="P3407" s="1" t="s">
        <v>8453</v>
      </c>
      <c r="Q3407" s="1" t="s">
        <v>8454</v>
      </c>
      <c r="R3407" s="1" t="s">
        <v>228</v>
      </c>
      <c r="S3407" s="1" t="s">
        <v>8455</v>
      </c>
      <c r="T3407" s="1" t="s">
        <v>8456</v>
      </c>
      <c r="U3407" s="2" t="s">
        <v>164</v>
      </c>
      <c r="V3407" s="2" t="s">
        <v>36</v>
      </c>
      <c r="W3407" s="2" t="s">
        <v>37</v>
      </c>
      <c r="X3407" s="2">
        <v>230.965</v>
      </c>
    </row>
    <row r="3408" spans="1:24" x14ac:dyDescent="0.3">
      <c r="A3408">
        <v>21262</v>
      </c>
      <c r="B3408" t="s">
        <v>8458</v>
      </c>
      <c r="C3408" s="3">
        <v>40674</v>
      </c>
      <c r="D3408" t="s">
        <v>25</v>
      </c>
      <c r="E3408">
        <v>11</v>
      </c>
      <c r="F3408" s="3">
        <f ca="1">40674+(RANDBETWEEN(1,10))</f>
        <v>40680</v>
      </c>
      <c r="G3408" t="s">
        <v>156</v>
      </c>
      <c r="H3408" t="s">
        <v>27</v>
      </c>
      <c r="I3408" t="s">
        <v>52</v>
      </c>
      <c r="J3408">
        <v>658.31500000000005</v>
      </c>
      <c r="K3408">
        <v>0.01</v>
      </c>
      <c r="L3408">
        <v>0.38</v>
      </c>
      <c r="M3408">
        <v>4.8650000000000002</v>
      </c>
      <c r="N3408">
        <v>-958.93</v>
      </c>
      <c r="O3408" s="1" t="s">
        <v>87</v>
      </c>
      <c r="P3408" s="1" t="s">
        <v>5015</v>
      </c>
      <c r="Q3408" s="1" t="s">
        <v>5016</v>
      </c>
      <c r="R3408" s="1" t="s">
        <v>398</v>
      </c>
      <c r="S3408" s="1" t="s">
        <v>1674</v>
      </c>
      <c r="T3408" s="1" t="s">
        <v>1675</v>
      </c>
      <c r="U3408" s="2" t="s">
        <v>2854</v>
      </c>
      <c r="V3408" s="2" t="s">
        <v>47</v>
      </c>
      <c r="W3408" s="2" t="s">
        <v>48</v>
      </c>
      <c r="X3408" s="2">
        <v>54.844999999999999</v>
      </c>
    </row>
    <row r="3409" spans="1:24" x14ac:dyDescent="0.3">
      <c r="A3409">
        <v>21263</v>
      </c>
      <c r="B3409" t="s">
        <v>8459</v>
      </c>
      <c r="C3409" s="3">
        <v>41093</v>
      </c>
      <c r="D3409" t="s">
        <v>62</v>
      </c>
      <c r="E3409">
        <v>1</v>
      </c>
      <c r="F3409" s="3">
        <f ca="1">41094+(RANDBETWEEN(1,10))</f>
        <v>41102</v>
      </c>
      <c r="G3409" t="s">
        <v>26</v>
      </c>
      <c r="H3409" t="s">
        <v>96</v>
      </c>
      <c r="I3409" t="s">
        <v>28</v>
      </c>
      <c r="J3409">
        <v>5.67</v>
      </c>
      <c r="K3409">
        <v>0.06</v>
      </c>
      <c r="L3409">
        <v>0.81</v>
      </c>
      <c r="M3409">
        <v>2.4500000000000002</v>
      </c>
      <c r="N3409">
        <v>-9.5549999999999997</v>
      </c>
      <c r="O3409" s="1" t="s">
        <v>29</v>
      </c>
      <c r="P3409" s="1" t="s">
        <v>7560</v>
      </c>
      <c r="Q3409" s="1" t="s">
        <v>7561</v>
      </c>
      <c r="R3409" s="1" t="s">
        <v>32</v>
      </c>
      <c r="S3409" s="1" t="s">
        <v>7562</v>
      </c>
      <c r="T3409" s="1" t="s">
        <v>7563</v>
      </c>
      <c r="U3409" s="2" t="s">
        <v>925</v>
      </c>
      <c r="V3409" s="2" t="s">
        <v>47</v>
      </c>
      <c r="W3409" s="2" t="s">
        <v>176</v>
      </c>
      <c r="X3409" s="2">
        <v>4.41</v>
      </c>
    </row>
    <row r="3410" spans="1:24" x14ac:dyDescent="0.3">
      <c r="A3410">
        <v>21264</v>
      </c>
      <c r="B3410" t="s">
        <v>8459</v>
      </c>
      <c r="C3410" s="3">
        <v>41093</v>
      </c>
      <c r="D3410" t="s">
        <v>62</v>
      </c>
      <c r="E3410">
        <v>11</v>
      </c>
      <c r="F3410" s="3">
        <f ca="1">41094+(RANDBETWEEN(1,10))</f>
        <v>41103</v>
      </c>
      <c r="G3410" t="s">
        <v>26</v>
      </c>
      <c r="H3410" t="s">
        <v>63</v>
      </c>
      <c r="I3410" t="s">
        <v>28</v>
      </c>
      <c r="J3410">
        <v>3060.4</v>
      </c>
      <c r="K3410">
        <v>0.04</v>
      </c>
      <c r="L3410">
        <v>0.81</v>
      </c>
      <c r="M3410">
        <v>122.5</v>
      </c>
      <c r="N3410">
        <v>-3225.88</v>
      </c>
      <c r="O3410" s="1" t="s">
        <v>29</v>
      </c>
      <c r="P3410" s="1" t="s">
        <v>7560</v>
      </c>
      <c r="Q3410" s="1" t="s">
        <v>7561</v>
      </c>
      <c r="R3410" s="1" t="s">
        <v>32</v>
      </c>
      <c r="S3410" s="1" t="s">
        <v>7562</v>
      </c>
      <c r="T3410" s="1" t="s">
        <v>7563</v>
      </c>
      <c r="U3410" s="2" t="s">
        <v>166</v>
      </c>
      <c r="V3410" s="2" t="s">
        <v>47</v>
      </c>
      <c r="W3410" s="2" t="s">
        <v>119</v>
      </c>
      <c r="X3410" s="2">
        <v>283.43</v>
      </c>
    </row>
    <row r="3411" spans="1:24" x14ac:dyDescent="0.3">
      <c r="A3411">
        <v>21265</v>
      </c>
      <c r="B3411" t="s">
        <v>8459</v>
      </c>
      <c r="C3411" s="3">
        <v>41093</v>
      </c>
      <c r="D3411" t="s">
        <v>62</v>
      </c>
      <c r="E3411">
        <v>2</v>
      </c>
      <c r="F3411" s="3">
        <f ca="1">41093+(RANDBETWEEN(1,10))</f>
        <v>41095</v>
      </c>
      <c r="G3411" t="s">
        <v>26</v>
      </c>
      <c r="H3411" t="s">
        <v>27</v>
      </c>
      <c r="I3411" t="s">
        <v>28</v>
      </c>
      <c r="J3411">
        <v>373.27499999999998</v>
      </c>
      <c r="K3411">
        <v>7.0000000000000007E-2</v>
      </c>
      <c r="L3411">
        <v>0.56000000000000005</v>
      </c>
      <c r="M3411">
        <v>18.41</v>
      </c>
      <c r="N3411">
        <v>-717.255</v>
      </c>
      <c r="O3411" s="1" t="s">
        <v>29</v>
      </c>
      <c r="P3411" s="1" t="s">
        <v>7560</v>
      </c>
      <c r="Q3411" s="1" t="s">
        <v>7561</v>
      </c>
      <c r="R3411" s="1" t="s">
        <v>32</v>
      </c>
      <c r="S3411" s="1" t="s">
        <v>7562</v>
      </c>
      <c r="T3411" s="1" t="s">
        <v>7563</v>
      </c>
      <c r="U3411" s="2">
        <v>8860</v>
      </c>
      <c r="V3411" s="2" t="s">
        <v>36</v>
      </c>
      <c r="W3411" s="2" t="s">
        <v>37</v>
      </c>
      <c r="X3411" s="2">
        <v>230.965</v>
      </c>
    </row>
    <row r="3412" spans="1:24" x14ac:dyDescent="0.3">
      <c r="A3412">
        <v>21266</v>
      </c>
      <c r="B3412" t="s">
        <v>8460</v>
      </c>
      <c r="C3412" s="3">
        <v>41148</v>
      </c>
      <c r="D3412" t="s">
        <v>148</v>
      </c>
      <c r="E3412">
        <v>20</v>
      </c>
      <c r="F3412" s="3">
        <f ca="1">41150+(RANDBETWEEN(1,10))</f>
        <v>41154</v>
      </c>
      <c r="G3412" t="s">
        <v>26</v>
      </c>
      <c r="H3412" t="s">
        <v>27</v>
      </c>
      <c r="I3412" t="s">
        <v>86</v>
      </c>
      <c r="J3412">
        <v>1325.415</v>
      </c>
      <c r="K3412">
        <v>0.1</v>
      </c>
      <c r="L3412">
        <v>0.49</v>
      </c>
      <c r="M3412">
        <v>36.715000000000003</v>
      </c>
      <c r="N3412">
        <v>2820.81765</v>
      </c>
      <c r="O3412" s="1" t="s">
        <v>29</v>
      </c>
      <c r="P3412" s="1" t="s">
        <v>3051</v>
      </c>
      <c r="Q3412" s="1" t="s">
        <v>3052</v>
      </c>
      <c r="R3412" s="1" t="s">
        <v>460</v>
      </c>
      <c r="S3412" s="1" t="s">
        <v>3053</v>
      </c>
      <c r="T3412" s="1" t="s">
        <v>3054</v>
      </c>
      <c r="U3412" s="2" t="s">
        <v>2586</v>
      </c>
      <c r="V3412" s="2" t="s">
        <v>83</v>
      </c>
      <c r="W3412" s="2" t="s">
        <v>178</v>
      </c>
      <c r="X3412" s="2">
        <v>69.930000000000007</v>
      </c>
    </row>
    <row r="3413" spans="1:24" x14ac:dyDescent="0.3">
      <c r="A3413">
        <v>21267</v>
      </c>
      <c r="B3413" t="s">
        <v>8461</v>
      </c>
      <c r="C3413" s="3">
        <v>41788</v>
      </c>
      <c r="D3413" t="s">
        <v>25</v>
      </c>
      <c r="E3413">
        <v>15</v>
      </c>
      <c r="F3413" s="3">
        <f ca="1">41795+(RANDBETWEEN(1,10))</f>
        <v>41797</v>
      </c>
      <c r="G3413" t="s">
        <v>26</v>
      </c>
      <c r="H3413" t="s">
        <v>27</v>
      </c>
      <c r="I3413" t="s">
        <v>28</v>
      </c>
      <c r="J3413">
        <v>275.97500000000002</v>
      </c>
      <c r="K3413">
        <v>0.02</v>
      </c>
      <c r="L3413">
        <v>0.38</v>
      </c>
      <c r="M3413">
        <v>17.395</v>
      </c>
      <c r="N3413">
        <v>-198.107</v>
      </c>
      <c r="O3413" s="1" t="s">
        <v>29</v>
      </c>
      <c r="P3413" s="1" t="s">
        <v>3099</v>
      </c>
      <c r="Q3413" s="1" t="s">
        <v>3100</v>
      </c>
      <c r="R3413" s="1" t="s">
        <v>32</v>
      </c>
      <c r="S3413" s="1" t="s">
        <v>3101</v>
      </c>
      <c r="T3413" s="1" t="s">
        <v>3102</v>
      </c>
      <c r="U3413" s="2" t="s">
        <v>8128</v>
      </c>
      <c r="V3413" s="2" t="s">
        <v>47</v>
      </c>
      <c r="W3413" s="2" t="s">
        <v>111</v>
      </c>
      <c r="X3413" s="2">
        <v>17.184999999999999</v>
      </c>
    </row>
    <row r="3414" spans="1:24" x14ac:dyDescent="0.3">
      <c r="A3414">
        <v>21268</v>
      </c>
      <c r="B3414" t="s">
        <v>8462</v>
      </c>
      <c r="C3414" s="3">
        <v>41232</v>
      </c>
      <c r="D3414" t="s">
        <v>50</v>
      </c>
      <c r="E3414">
        <v>10</v>
      </c>
      <c r="F3414" s="3">
        <f ca="1">41234+(RANDBETWEEN(1,10))</f>
        <v>41235</v>
      </c>
      <c r="G3414" t="s">
        <v>26</v>
      </c>
      <c r="H3414" t="s">
        <v>51</v>
      </c>
      <c r="I3414" t="s">
        <v>28</v>
      </c>
      <c r="J3414">
        <v>396.97</v>
      </c>
      <c r="K3414">
        <v>0.06</v>
      </c>
      <c r="L3414">
        <v>0.52</v>
      </c>
      <c r="M3414">
        <v>27.79</v>
      </c>
      <c r="N3414">
        <v>2.6459999999999999</v>
      </c>
      <c r="O3414" s="1" t="s">
        <v>87</v>
      </c>
      <c r="P3414" s="1" t="s">
        <v>6189</v>
      </c>
      <c r="Q3414" s="1" t="s">
        <v>6190</v>
      </c>
      <c r="R3414" s="1" t="s">
        <v>646</v>
      </c>
      <c r="S3414" s="1" t="s">
        <v>6191</v>
      </c>
      <c r="T3414" s="1" t="s">
        <v>6192</v>
      </c>
      <c r="U3414" s="2" t="s">
        <v>7715</v>
      </c>
      <c r="V3414" s="2" t="s">
        <v>83</v>
      </c>
      <c r="W3414" s="2" t="s">
        <v>178</v>
      </c>
      <c r="X3414" s="2">
        <v>36.82</v>
      </c>
    </row>
    <row r="3415" spans="1:24" x14ac:dyDescent="0.3">
      <c r="A3415">
        <v>21269</v>
      </c>
      <c r="B3415" t="s">
        <v>8462</v>
      </c>
      <c r="C3415" s="3">
        <v>41232</v>
      </c>
      <c r="D3415" t="s">
        <v>50</v>
      </c>
      <c r="E3415">
        <v>4</v>
      </c>
      <c r="F3415" s="3">
        <f ca="1">41232+(RANDBETWEEN(1,10))</f>
        <v>41236</v>
      </c>
      <c r="G3415" t="s">
        <v>26</v>
      </c>
      <c r="H3415" t="s">
        <v>27</v>
      </c>
      <c r="I3415" t="s">
        <v>28</v>
      </c>
      <c r="J3415">
        <v>833.98</v>
      </c>
      <c r="K3415">
        <v>0.04</v>
      </c>
      <c r="L3415">
        <v>0.59</v>
      </c>
      <c r="M3415">
        <v>69.965000000000003</v>
      </c>
      <c r="N3415">
        <v>48.923000000000002</v>
      </c>
      <c r="O3415" s="1" t="s">
        <v>87</v>
      </c>
      <c r="P3415" s="1" t="s">
        <v>6189</v>
      </c>
      <c r="Q3415" s="1" t="s">
        <v>6190</v>
      </c>
      <c r="R3415" s="1" t="s">
        <v>646</v>
      </c>
      <c r="S3415" s="1" t="s">
        <v>6191</v>
      </c>
      <c r="T3415" s="1" t="s">
        <v>6192</v>
      </c>
      <c r="U3415" s="2" t="s">
        <v>8463</v>
      </c>
      <c r="V3415" s="2" t="s">
        <v>47</v>
      </c>
      <c r="W3415" s="2" t="s">
        <v>119</v>
      </c>
      <c r="X3415" s="2">
        <v>189.35</v>
      </c>
    </row>
    <row r="3416" spans="1:24" x14ac:dyDescent="0.3">
      <c r="A3416">
        <v>21270</v>
      </c>
      <c r="B3416" t="s">
        <v>8464</v>
      </c>
      <c r="C3416" s="3">
        <v>40771</v>
      </c>
      <c r="D3416" t="s">
        <v>148</v>
      </c>
      <c r="E3416">
        <v>11</v>
      </c>
      <c r="F3416" s="3">
        <f ca="1">40773+(RANDBETWEEN(1,10))</f>
        <v>40776</v>
      </c>
      <c r="G3416" t="s">
        <v>26</v>
      </c>
      <c r="H3416" t="s">
        <v>63</v>
      </c>
      <c r="I3416" t="s">
        <v>97</v>
      </c>
      <c r="J3416">
        <v>6859.58</v>
      </c>
      <c r="K3416">
        <v>0</v>
      </c>
      <c r="L3416">
        <v>0.79</v>
      </c>
      <c r="M3416">
        <v>241.5</v>
      </c>
      <c r="N3416">
        <v>-920.89175184999999</v>
      </c>
      <c r="O3416" s="1" t="s">
        <v>64</v>
      </c>
      <c r="P3416" s="1" t="s">
        <v>5814</v>
      </c>
      <c r="Q3416" s="1" t="s">
        <v>5815</v>
      </c>
      <c r="R3416" s="1" t="s">
        <v>128</v>
      </c>
      <c r="S3416" s="1" t="s">
        <v>5816</v>
      </c>
      <c r="T3416" s="1" t="s">
        <v>5817</v>
      </c>
      <c r="U3416" s="2" t="s">
        <v>3449</v>
      </c>
      <c r="V3416" s="2" t="s">
        <v>83</v>
      </c>
      <c r="W3416" s="2" t="s">
        <v>263</v>
      </c>
      <c r="X3416" s="2">
        <v>732.79499999999996</v>
      </c>
    </row>
    <row r="3417" spans="1:24" x14ac:dyDescent="0.3">
      <c r="A3417">
        <v>21271</v>
      </c>
      <c r="B3417" t="s">
        <v>8465</v>
      </c>
      <c r="C3417" s="3">
        <v>41028</v>
      </c>
      <c r="D3417" t="s">
        <v>39</v>
      </c>
      <c r="E3417">
        <v>11</v>
      </c>
      <c r="F3417" s="3">
        <f ca="1">41029+(RANDBETWEEN(1,10))</f>
        <v>41032</v>
      </c>
      <c r="G3417" t="s">
        <v>26</v>
      </c>
      <c r="H3417" t="s">
        <v>27</v>
      </c>
      <c r="I3417" t="s">
        <v>86</v>
      </c>
      <c r="J3417">
        <v>86.905000000000001</v>
      </c>
      <c r="K3417">
        <v>0.01</v>
      </c>
      <c r="L3417">
        <v>0.38</v>
      </c>
      <c r="M3417">
        <v>5.2149999999999999</v>
      </c>
      <c r="N3417">
        <v>-20.97025</v>
      </c>
      <c r="O3417" s="1" t="s">
        <v>225</v>
      </c>
      <c r="P3417" s="1" t="s">
        <v>3971</v>
      </c>
      <c r="Q3417" s="1" t="s">
        <v>3972</v>
      </c>
      <c r="R3417" s="1" t="s">
        <v>228</v>
      </c>
      <c r="S3417" s="1" t="s">
        <v>3973</v>
      </c>
      <c r="T3417" s="1" t="s">
        <v>3974</v>
      </c>
      <c r="U3417" s="2" t="s">
        <v>7281</v>
      </c>
      <c r="V3417" s="2" t="s">
        <v>47</v>
      </c>
      <c r="W3417" s="2" t="s">
        <v>111</v>
      </c>
      <c r="X3417" s="2">
        <v>7.28</v>
      </c>
    </row>
    <row r="3418" spans="1:24" x14ac:dyDescent="0.3">
      <c r="A3418">
        <v>21272</v>
      </c>
      <c r="B3418" t="s">
        <v>8466</v>
      </c>
      <c r="C3418" s="3">
        <v>41939</v>
      </c>
      <c r="D3418" t="s">
        <v>148</v>
      </c>
      <c r="E3418">
        <v>16</v>
      </c>
      <c r="F3418" s="3">
        <f ca="1">41941+(RANDBETWEEN(1,10))</f>
        <v>41949</v>
      </c>
      <c r="G3418" t="s">
        <v>26</v>
      </c>
      <c r="H3418" t="s">
        <v>51</v>
      </c>
      <c r="I3418" t="s">
        <v>28</v>
      </c>
      <c r="J3418">
        <v>2341.9899999999998</v>
      </c>
      <c r="K3418">
        <v>0.01</v>
      </c>
      <c r="L3418">
        <v>0.54</v>
      </c>
      <c r="M3418">
        <v>6.9649999999999999</v>
      </c>
      <c r="N3418">
        <v>1317.645</v>
      </c>
      <c r="O3418" s="1" t="s">
        <v>225</v>
      </c>
      <c r="P3418" s="1" t="s">
        <v>6859</v>
      </c>
      <c r="Q3418" s="1" t="s">
        <v>6860</v>
      </c>
      <c r="R3418" s="1" t="s">
        <v>228</v>
      </c>
      <c r="S3418" s="1" t="s">
        <v>6861</v>
      </c>
      <c r="T3418" s="1" t="s">
        <v>6862</v>
      </c>
      <c r="U3418" s="2" t="s">
        <v>685</v>
      </c>
      <c r="V3418" s="2" t="s">
        <v>36</v>
      </c>
      <c r="W3418" s="2" t="s">
        <v>60</v>
      </c>
      <c r="X3418" s="2">
        <v>138.18</v>
      </c>
    </row>
    <row r="3419" spans="1:24" x14ac:dyDescent="0.3">
      <c r="A3419">
        <v>21273</v>
      </c>
      <c r="B3419" t="s">
        <v>8467</v>
      </c>
      <c r="C3419" s="3">
        <v>41078</v>
      </c>
      <c r="D3419" t="s">
        <v>25</v>
      </c>
      <c r="E3419">
        <v>11</v>
      </c>
      <c r="F3419" s="3">
        <f ca="1">41080+(RANDBETWEEN(1,10))</f>
        <v>41082</v>
      </c>
      <c r="G3419" t="s">
        <v>76</v>
      </c>
      <c r="H3419" t="s">
        <v>258</v>
      </c>
      <c r="I3419" t="s">
        <v>97</v>
      </c>
      <c r="J3419">
        <v>14733.985000000001</v>
      </c>
      <c r="K3419">
        <v>0.08</v>
      </c>
      <c r="L3419">
        <v>0.56000000000000005</v>
      </c>
      <c r="M3419">
        <v>42.21</v>
      </c>
      <c r="N3419">
        <v>10166.44965</v>
      </c>
      <c r="O3419" s="1" t="s">
        <v>53</v>
      </c>
      <c r="P3419" s="1" t="s">
        <v>6818</v>
      </c>
      <c r="Q3419" s="1" t="s">
        <v>6819</v>
      </c>
      <c r="R3419" s="1" t="s">
        <v>100</v>
      </c>
      <c r="S3419" s="1" t="s">
        <v>6820</v>
      </c>
      <c r="T3419" s="1" t="s">
        <v>6821</v>
      </c>
      <c r="U3419" s="2" t="s">
        <v>1633</v>
      </c>
      <c r="V3419" s="2" t="s">
        <v>36</v>
      </c>
      <c r="W3419" s="2" t="s">
        <v>142</v>
      </c>
      <c r="X3419" s="2">
        <v>1399.93</v>
      </c>
    </row>
    <row r="3420" spans="1:24" x14ac:dyDescent="0.3">
      <c r="A3420">
        <v>21274</v>
      </c>
      <c r="B3420" t="s">
        <v>8468</v>
      </c>
      <c r="C3420" s="3">
        <v>40615</v>
      </c>
      <c r="D3420" t="s">
        <v>148</v>
      </c>
      <c r="E3420">
        <v>5</v>
      </c>
      <c r="F3420" s="3">
        <f ca="1">40616+(RANDBETWEEN(1,10))</f>
        <v>40617</v>
      </c>
      <c r="G3420" t="s">
        <v>26</v>
      </c>
      <c r="H3420" t="s">
        <v>27</v>
      </c>
      <c r="I3420" t="s">
        <v>28</v>
      </c>
      <c r="J3420">
        <v>113.36499999999999</v>
      </c>
      <c r="K3420">
        <v>0.06</v>
      </c>
      <c r="L3420">
        <v>0.37</v>
      </c>
      <c r="M3420">
        <v>25.795000000000002</v>
      </c>
      <c r="N3420">
        <v>-264.04000000000002</v>
      </c>
      <c r="O3420" s="1" t="s">
        <v>87</v>
      </c>
      <c r="P3420" s="1" t="s">
        <v>8469</v>
      </c>
      <c r="Q3420" s="1" t="s">
        <v>8470</v>
      </c>
      <c r="R3420" s="1" t="s">
        <v>90</v>
      </c>
      <c r="S3420" s="1" t="s">
        <v>8471</v>
      </c>
      <c r="T3420" s="1" t="s">
        <v>8472</v>
      </c>
      <c r="U3420" s="2" t="s">
        <v>2975</v>
      </c>
      <c r="V3420" s="2" t="s">
        <v>47</v>
      </c>
      <c r="W3420" s="2" t="s">
        <v>74</v>
      </c>
      <c r="X3420" s="2">
        <v>22.68</v>
      </c>
    </row>
    <row r="3421" spans="1:24" x14ac:dyDescent="0.3">
      <c r="A3421">
        <v>21275</v>
      </c>
      <c r="B3421" t="s">
        <v>8473</v>
      </c>
      <c r="C3421" s="3">
        <v>41272</v>
      </c>
      <c r="D3421" t="s">
        <v>39</v>
      </c>
      <c r="E3421">
        <v>6</v>
      </c>
      <c r="F3421" s="3">
        <f ca="1">41272+(RANDBETWEEN(1,10))</f>
        <v>41274</v>
      </c>
      <c r="G3421" t="s">
        <v>156</v>
      </c>
      <c r="H3421" t="s">
        <v>27</v>
      </c>
      <c r="I3421" t="s">
        <v>86</v>
      </c>
      <c r="J3421">
        <v>313.95</v>
      </c>
      <c r="K3421">
        <v>0.01</v>
      </c>
      <c r="L3421">
        <v>0.59</v>
      </c>
      <c r="M3421">
        <v>15.785</v>
      </c>
      <c r="N3421">
        <v>358.19279999999998</v>
      </c>
      <c r="O3421" s="1" t="s">
        <v>29</v>
      </c>
      <c r="P3421" s="1" t="s">
        <v>3051</v>
      </c>
      <c r="Q3421" s="1" t="s">
        <v>3052</v>
      </c>
      <c r="R3421" s="1" t="s">
        <v>460</v>
      </c>
      <c r="S3421" s="1" t="s">
        <v>3053</v>
      </c>
      <c r="T3421" s="1" t="s">
        <v>3054</v>
      </c>
      <c r="U3421" s="2" t="s">
        <v>1495</v>
      </c>
      <c r="V3421" s="2" t="s">
        <v>47</v>
      </c>
      <c r="W3421" s="2" t="s">
        <v>119</v>
      </c>
      <c r="X3421" s="2">
        <v>47.18</v>
      </c>
    </row>
    <row r="3422" spans="1:24" x14ac:dyDescent="0.3">
      <c r="A3422">
        <v>21276</v>
      </c>
      <c r="B3422" t="s">
        <v>8474</v>
      </c>
      <c r="C3422" s="3">
        <v>41321</v>
      </c>
      <c r="D3422" t="s">
        <v>62</v>
      </c>
      <c r="E3422">
        <v>13</v>
      </c>
      <c r="F3422" s="3">
        <f ca="1">41323+(RANDBETWEEN(1,10))</f>
        <v>41325</v>
      </c>
      <c r="G3422" t="s">
        <v>26</v>
      </c>
      <c r="H3422" t="s">
        <v>51</v>
      </c>
      <c r="I3422" t="s">
        <v>52</v>
      </c>
      <c r="J3422">
        <v>1021.02</v>
      </c>
      <c r="K3422">
        <v>7.0000000000000007E-2</v>
      </c>
      <c r="L3422">
        <v>0.46</v>
      </c>
      <c r="M3422">
        <v>6.9649999999999999</v>
      </c>
      <c r="N3422">
        <v>704.50379999999996</v>
      </c>
      <c r="O3422" s="1" t="s">
        <v>87</v>
      </c>
      <c r="P3422" s="1" t="s">
        <v>8475</v>
      </c>
      <c r="Q3422" s="1" t="s">
        <v>8476</v>
      </c>
      <c r="R3422" s="1" t="s">
        <v>497</v>
      </c>
      <c r="S3422" s="1" t="s">
        <v>3254</v>
      </c>
      <c r="T3422" s="1" t="s">
        <v>8477</v>
      </c>
      <c r="U3422" s="2" t="s">
        <v>1595</v>
      </c>
      <c r="V3422" s="2" t="s">
        <v>36</v>
      </c>
      <c r="W3422" s="2" t="s">
        <v>60</v>
      </c>
      <c r="X3422" s="2">
        <v>80.430000000000007</v>
      </c>
    </row>
    <row r="3423" spans="1:24" x14ac:dyDescent="0.3">
      <c r="A3423">
        <v>21277</v>
      </c>
      <c r="B3423" t="s">
        <v>8474</v>
      </c>
      <c r="C3423" s="3">
        <v>41321</v>
      </c>
      <c r="D3423" t="s">
        <v>62</v>
      </c>
      <c r="E3423">
        <v>3</v>
      </c>
      <c r="F3423" s="3">
        <f ca="1">41322+(RANDBETWEEN(1,10))</f>
        <v>41332</v>
      </c>
      <c r="G3423" t="s">
        <v>26</v>
      </c>
      <c r="H3423" t="s">
        <v>96</v>
      </c>
      <c r="I3423" t="s">
        <v>52</v>
      </c>
      <c r="J3423">
        <v>26.004999999999999</v>
      </c>
      <c r="K3423">
        <v>0.09</v>
      </c>
      <c r="L3423">
        <v>0.82</v>
      </c>
      <c r="M3423">
        <v>6.72</v>
      </c>
      <c r="N3423">
        <v>-81.094999999999999</v>
      </c>
      <c r="O3423" s="1" t="s">
        <v>87</v>
      </c>
      <c r="P3423" s="1" t="s">
        <v>8475</v>
      </c>
      <c r="Q3423" s="1" t="s">
        <v>8476</v>
      </c>
      <c r="R3423" s="1" t="s">
        <v>497</v>
      </c>
      <c r="S3423" s="1" t="s">
        <v>3254</v>
      </c>
      <c r="T3423" s="1" t="s">
        <v>8477</v>
      </c>
      <c r="U3423" s="2" t="s">
        <v>2977</v>
      </c>
      <c r="V3423" s="2" t="s">
        <v>47</v>
      </c>
      <c r="W3423" s="2" t="s">
        <v>94</v>
      </c>
      <c r="X3423" s="2">
        <v>8.82</v>
      </c>
    </row>
    <row r="3424" spans="1:24" x14ac:dyDescent="0.3">
      <c r="A3424">
        <v>21278</v>
      </c>
      <c r="B3424" t="s">
        <v>8478</v>
      </c>
      <c r="C3424" s="3">
        <v>41494</v>
      </c>
      <c r="D3424" t="s">
        <v>25</v>
      </c>
      <c r="E3424">
        <v>15</v>
      </c>
      <c r="F3424" s="3">
        <f ca="1">41501+(RANDBETWEEN(1,10))</f>
        <v>41506</v>
      </c>
      <c r="G3424" t="s">
        <v>26</v>
      </c>
      <c r="H3424" t="s">
        <v>27</v>
      </c>
      <c r="I3424" t="s">
        <v>28</v>
      </c>
      <c r="J3424">
        <v>774.83</v>
      </c>
      <c r="K3424">
        <v>0.09</v>
      </c>
      <c r="L3424">
        <v>0.39</v>
      </c>
      <c r="M3424">
        <v>29.4</v>
      </c>
      <c r="N3424">
        <v>-31.143840000000001</v>
      </c>
      <c r="O3424" s="1" t="s">
        <v>87</v>
      </c>
      <c r="P3424" s="1" t="s">
        <v>5403</v>
      </c>
      <c r="Q3424" s="1" t="s">
        <v>5404</v>
      </c>
      <c r="R3424" s="1" t="s">
        <v>90</v>
      </c>
      <c r="S3424" s="1" t="s">
        <v>5405</v>
      </c>
      <c r="T3424" s="1" t="s">
        <v>5406</v>
      </c>
      <c r="U3424" s="2" t="s">
        <v>110</v>
      </c>
      <c r="V3424" s="2" t="s">
        <v>47</v>
      </c>
      <c r="W3424" s="2" t="s">
        <v>111</v>
      </c>
      <c r="X3424" s="2">
        <v>52.534999999999997</v>
      </c>
    </row>
    <row r="3425" spans="1:24" x14ac:dyDescent="0.3">
      <c r="A3425">
        <v>21279</v>
      </c>
      <c r="B3425" t="s">
        <v>8478</v>
      </c>
      <c r="C3425" s="3">
        <v>41494</v>
      </c>
      <c r="D3425" t="s">
        <v>25</v>
      </c>
      <c r="E3425">
        <v>11</v>
      </c>
      <c r="F3425" s="3">
        <f ca="1">41503+(RANDBETWEEN(1,10))</f>
        <v>41506</v>
      </c>
      <c r="G3425" t="s">
        <v>26</v>
      </c>
      <c r="H3425" t="s">
        <v>27</v>
      </c>
      <c r="I3425" t="s">
        <v>28</v>
      </c>
      <c r="J3425">
        <v>4698.7150000000001</v>
      </c>
      <c r="K3425">
        <v>0.03</v>
      </c>
      <c r="L3425">
        <v>0.35</v>
      </c>
      <c r="M3425">
        <v>31.745000000000001</v>
      </c>
      <c r="N3425">
        <v>3242.1133500000001</v>
      </c>
      <c r="O3425" s="1" t="s">
        <v>87</v>
      </c>
      <c r="P3425" s="1" t="s">
        <v>5403</v>
      </c>
      <c r="Q3425" s="1" t="s">
        <v>5404</v>
      </c>
      <c r="R3425" s="1" t="s">
        <v>90</v>
      </c>
      <c r="S3425" s="1" t="s">
        <v>5405</v>
      </c>
      <c r="T3425" s="1" t="s">
        <v>5406</v>
      </c>
      <c r="U3425" s="2" t="s">
        <v>4646</v>
      </c>
      <c r="V3425" s="2" t="s">
        <v>47</v>
      </c>
      <c r="W3425" s="2" t="s">
        <v>111</v>
      </c>
      <c r="X3425" s="2">
        <v>423.43</v>
      </c>
    </row>
    <row r="3426" spans="1:24" x14ac:dyDescent="0.3">
      <c r="A3426">
        <v>21280</v>
      </c>
      <c r="B3426" t="s">
        <v>8479</v>
      </c>
      <c r="C3426" s="3">
        <v>41940</v>
      </c>
      <c r="D3426" t="s">
        <v>39</v>
      </c>
      <c r="E3426">
        <v>22</v>
      </c>
      <c r="F3426" s="3">
        <f ca="1">41942+(RANDBETWEEN(1,10))</f>
        <v>41948</v>
      </c>
      <c r="G3426" t="s">
        <v>26</v>
      </c>
      <c r="H3426" t="s">
        <v>27</v>
      </c>
      <c r="I3426" t="s">
        <v>86</v>
      </c>
      <c r="J3426">
        <v>1842.26</v>
      </c>
      <c r="K3426">
        <v>0.02</v>
      </c>
      <c r="L3426">
        <v>0.39</v>
      </c>
      <c r="M3426">
        <v>28.63</v>
      </c>
      <c r="N3426">
        <v>821.38</v>
      </c>
      <c r="O3426" s="1" t="s">
        <v>40</v>
      </c>
      <c r="P3426" s="1" t="s">
        <v>8480</v>
      </c>
      <c r="Q3426" s="1" t="s">
        <v>8481</v>
      </c>
      <c r="R3426" s="1" t="s">
        <v>43</v>
      </c>
      <c r="S3426" s="1" t="s">
        <v>8482</v>
      </c>
      <c r="T3426" s="1" t="s">
        <v>8483</v>
      </c>
      <c r="U3426" s="2" t="s">
        <v>4870</v>
      </c>
      <c r="V3426" s="2" t="s">
        <v>47</v>
      </c>
      <c r="W3426" s="2" t="s">
        <v>74</v>
      </c>
      <c r="X3426" s="2">
        <v>79.94</v>
      </c>
    </row>
    <row r="3427" spans="1:24" x14ac:dyDescent="0.3">
      <c r="A3427">
        <v>21281</v>
      </c>
      <c r="B3427" t="s">
        <v>8484</v>
      </c>
      <c r="C3427" s="3">
        <v>40621</v>
      </c>
      <c r="D3427" t="s">
        <v>62</v>
      </c>
      <c r="E3427">
        <v>7</v>
      </c>
      <c r="F3427" s="3">
        <f ca="1">40621+(RANDBETWEEN(1,10))</f>
        <v>40629</v>
      </c>
      <c r="G3427" t="s">
        <v>26</v>
      </c>
      <c r="H3427" t="s">
        <v>27</v>
      </c>
      <c r="I3427" t="s">
        <v>28</v>
      </c>
      <c r="J3427">
        <v>135.27500000000001</v>
      </c>
      <c r="K3427">
        <v>0.06</v>
      </c>
      <c r="L3427">
        <v>0.39</v>
      </c>
      <c r="M3427">
        <v>19.704999999999998</v>
      </c>
      <c r="N3427">
        <v>-289.88049999999998</v>
      </c>
      <c r="O3427" s="1" t="s">
        <v>40</v>
      </c>
      <c r="P3427" s="1" t="s">
        <v>8198</v>
      </c>
      <c r="Q3427" s="1" t="s">
        <v>8199</v>
      </c>
      <c r="R3427" s="1" t="s">
        <v>220</v>
      </c>
      <c r="S3427" s="1" t="s">
        <v>6206</v>
      </c>
      <c r="T3427" s="1" t="s">
        <v>6207</v>
      </c>
      <c r="U3427" s="2" t="s">
        <v>2773</v>
      </c>
      <c r="V3427" s="2" t="s">
        <v>47</v>
      </c>
      <c r="W3427" s="2" t="s">
        <v>111</v>
      </c>
      <c r="X3427" s="2">
        <v>18.690000000000001</v>
      </c>
    </row>
    <row r="3428" spans="1:24" x14ac:dyDescent="0.3">
      <c r="A3428">
        <v>21282</v>
      </c>
      <c r="B3428" t="s">
        <v>8484</v>
      </c>
      <c r="C3428" s="3">
        <v>40621</v>
      </c>
      <c r="D3428" t="s">
        <v>62</v>
      </c>
      <c r="E3428">
        <v>5</v>
      </c>
      <c r="F3428" s="3">
        <f ca="1">40623+(RANDBETWEEN(1,10))</f>
        <v>40624</v>
      </c>
      <c r="G3428" t="s">
        <v>156</v>
      </c>
      <c r="H3428" t="s">
        <v>27</v>
      </c>
      <c r="I3428" t="s">
        <v>28</v>
      </c>
      <c r="J3428">
        <v>979.40499999999997</v>
      </c>
      <c r="K3428">
        <v>7.0000000000000007E-2</v>
      </c>
      <c r="L3428">
        <v>0.56000000000000005</v>
      </c>
      <c r="M3428">
        <v>18.41</v>
      </c>
      <c r="N3428">
        <v>374.78699999999998</v>
      </c>
      <c r="O3428" s="1" t="s">
        <v>40</v>
      </c>
      <c r="P3428" s="1" t="s">
        <v>8198</v>
      </c>
      <c r="Q3428" s="1" t="s">
        <v>8199</v>
      </c>
      <c r="R3428" s="1" t="s">
        <v>220</v>
      </c>
      <c r="S3428" s="1" t="s">
        <v>6206</v>
      </c>
      <c r="T3428" s="1" t="s">
        <v>6207</v>
      </c>
      <c r="U3428" s="2">
        <v>8860</v>
      </c>
      <c r="V3428" s="2" t="s">
        <v>36</v>
      </c>
      <c r="W3428" s="2" t="s">
        <v>37</v>
      </c>
      <c r="X3428" s="2">
        <v>230.965</v>
      </c>
    </row>
    <row r="3429" spans="1:24" x14ac:dyDescent="0.3">
      <c r="A3429">
        <v>21283</v>
      </c>
      <c r="B3429" t="s">
        <v>8485</v>
      </c>
      <c r="C3429" s="3">
        <v>40549</v>
      </c>
      <c r="D3429" t="s">
        <v>39</v>
      </c>
      <c r="E3429">
        <v>7</v>
      </c>
      <c r="F3429" s="3">
        <f ca="1">40551+(RANDBETWEEN(1,10))</f>
        <v>40556</v>
      </c>
      <c r="G3429" t="s">
        <v>26</v>
      </c>
      <c r="H3429" t="s">
        <v>96</v>
      </c>
      <c r="I3429" t="s">
        <v>97</v>
      </c>
      <c r="J3429">
        <v>85.995000000000005</v>
      </c>
      <c r="K3429">
        <v>0.03</v>
      </c>
      <c r="L3429">
        <v>0.56000000000000005</v>
      </c>
      <c r="M3429">
        <v>13.895</v>
      </c>
      <c r="N3429">
        <v>-317.64460000000003</v>
      </c>
      <c r="O3429" s="1" t="s">
        <v>225</v>
      </c>
      <c r="P3429" s="1" t="s">
        <v>5630</v>
      </c>
      <c r="Q3429" s="1" t="s">
        <v>5631</v>
      </c>
      <c r="R3429" s="1" t="s">
        <v>391</v>
      </c>
      <c r="S3429" s="1" t="s">
        <v>5632</v>
      </c>
      <c r="T3429" s="1" t="s">
        <v>5633</v>
      </c>
      <c r="U3429" s="2" t="s">
        <v>5622</v>
      </c>
      <c r="V3429" s="2" t="s">
        <v>47</v>
      </c>
      <c r="W3429" s="2" t="s">
        <v>104</v>
      </c>
      <c r="X3429" s="2">
        <v>11.48</v>
      </c>
    </row>
    <row r="3430" spans="1:24" x14ac:dyDescent="0.3">
      <c r="A3430">
        <v>21284</v>
      </c>
      <c r="B3430" t="s">
        <v>8486</v>
      </c>
      <c r="C3430" s="3">
        <v>40549</v>
      </c>
      <c r="D3430" t="s">
        <v>62</v>
      </c>
      <c r="E3430">
        <v>8</v>
      </c>
      <c r="F3430" s="3">
        <f ca="1">40550+(RANDBETWEEN(1,10))</f>
        <v>40558</v>
      </c>
      <c r="G3430" t="s">
        <v>76</v>
      </c>
      <c r="H3430" t="s">
        <v>258</v>
      </c>
      <c r="I3430" t="s">
        <v>97</v>
      </c>
      <c r="J3430">
        <v>24391.15</v>
      </c>
      <c r="K3430">
        <v>0.04</v>
      </c>
      <c r="L3430">
        <v>0.62</v>
      </c>
      <c r="M3430">
        <v>155.92500000000001</v>
      </c>
      <c r="N3430">
        <v>-47972.624000000003</v>
      </c>
      <c r="O3430" s="1" t="s">
        <v>87</v>
      </c>
      <c r="P3430" s="1" t="s">
        <v>8487</v>
      </c>
      <c r="Q3430" s="1" t="s">
        <v>8488</v>
      </c>
      <c r="R3430" s="1" t="s">
        <v>90</v>
      </c>
      <c r="S3430" s="1" t="s">
        <v>8489</v>
      </c>
      <c r="T3430" s="1" t="s">
        <v>8490</v>
      </c>
      <c r="U3430" s="2" t="s">
        <v>1930</v>
      </c>
      <c r="V3430" s="2" t="s">
        <v>83</v>
      </c>
      <c r="W3430" s="2" t="s">
        <v>298</v>
      </c>
      <c r="X3430" s="2">
        <v>3083.43</v>
      </c>
    </row>
    <row r="3431" spans="1:24" x14ac:dyDescent="0.3">
      <c r="A3431">
        <v>21285</v>
      </c>
      <c r="B3431" t="s">
        <v>8491</v>
      </c>
      <c r="C3431" s="3">
        <v>41879</v>
      </c>
      <c r="D3431" t="s">
        <v>39</v>
      </c>
      <c r="E3431">
        <v>21</v>
      </c>
      <c r="F3431" s="3">
        <f ca="1">41879+(RANDBETWEEN(1,10))</f>
        <v>41880</v>
      </c>
      <c r="G3431" t="s">
        <v>156</v>
      </c>
      <c r="H3431" t="s">
        <v>51</v>
      </c>
      <c r="I3431" t="s">
        <v>28</v>
      </c>
      <c r="J3431">
        <v>3508.05</v>
      </c>
      <c r="K3431">
        <v>0.02</v>
      </c>
      <c r="L3431">
        <v>0.71</v>
      </c>
      <c r="M3431">
        <v>12.635</v>
      </c>
      <c r="N3431">
        <v>1270.3348000000001</v>
      </c>
      <c r="O3431" s="1" t="s">
        <v>40</v>
      </c>
      <c r="P3431" s="1" t="s">
        <v>5506</v>
      </c>
      <c r="Q3431" s="1" t="s">
        <v>5507</v>
      </c>
      <c r="R3431" s="1" t="s">
        <v>220</v>
      </c>
      <c r="S3431" s="1" t="s">
        <v>5508</v>
      </c>
      <c r="T3431" s="1" t="s">
        <v>5509</v>
      </c>
      <c r="U3431" s="2" t="s">
        <v>267</v>
      </c>
      <c r="V3431" s="2" t="s">
        <v>36</v>
      </c>
      <c r="W3431" s="2" t="s">
        <v>60</v>
      </c>
      <c r="X3431" s="2">
        <v>167.93</v>
      </c>
    </row>
    <row r="3432" spans="1:24" x14ac:dyDescent="0.3">
      <c r="A3432">
        <v>21286</v>
      </c>
      <c r="B3432" t="s">
        <v>8492</v>
      </c>
      <c r="C3432" s="3">
        <v>41375</v>
      </c>
      <c r="D3432" t="s">
        <v>62</v>
      </c>
      <c r="E3432">
        <v>2</v>
      </c>
      <c r="F3432" s="3">
        <f ca="1">41376+(RANDBETWEEN(1,10))</f>
        <v>41380</v>
      </c>
      <c r="G3432" t="s">
        <v>26</v>
      </c>
      <c r="H3432" t="s">
        <v>63</v>
      </c>
      <c r="I3432" t="s">
        <v>86</v>
      </c>
      <c r="J3432">
        <v>157.88499999999999</v>
      </c>
      <c r="K3432">
        <v>0.02</v>
      </c>
      <c r="L3432">
        <v>0.6</v>
      </c>
      <c r="M3432">
        <v>39.094999999999999</v>
      </c>
      <c r="N3432">
        <v>-157.01</v>
      </c>
      <c r="O3432" s="1" t="s">
        <v>40</v>
      </c>
      <c r="P3432" s="1" t="s">
        <v>8493</v>
      </c>
      <c r="Q3432" s="1" t="s">
        <v>8494</v>
      </c>
      <c r="R3432" s="1" t="s">
        <v>220</v>
      </c>
      <c r="S3432" s="1" t="s">
        <v>3859</v>
      </c>
      <c r="T3432" s="1" t="s">
        <v>3860</v>
      </c>
      <c r="U3432" s="2" t="s">
        <v>7243</v>
      </c>
      <c r="V3432" s="2" t="s">
        <v>83</v>
      </c>
      <c r="W3432" s="2" t="s">
        <v>178</v>
      </c>
      <c r="X3432" s="2">
        <v>69.965000000000003</v>
      </c>
    </row>
    <row r="3433" spans="1:24" x14ac:dyDescent="0.3">
      <c r="A3433">
        <v>21287</v>
      </c>
      <c r="B3433" t="s">
        <v>8492</v>
      </c>
      <c r="C3433" s="3">
        <v>41375</v>
      </c>
      <c r="D3433" t="s">
        <v>62</v>
      </c>
      <c r="E3433">
        <v>6</v>
      </c>
      <c r="F3433" s="3">
        <f ca="1">41377+(RANDBETWEEN(1,10))</f>
        <v>41385</v>
      </c>
      <c r="G3433" t="s">
        <v>156</v>
      </c>
      <c r="H3433" t="s">
        <v>27</v>
      </c>
      <c r="I3433" t="s">
        <v>86</v>
      </c>
      <c r="J3433">
        <v>1131.69</v>
      </c>
      <c r="K3433">
        <v>0.06</v>
      </c>
      <c r="L3433">
        <v>0.56000000000000005</v>
      </c>
      <c r="M3433">
        <v>31.465</v>
      </c>
      <c r="N3433">
        <v>60.3855</v>
      </c>
      <c r="O3433" s="1" t="s">
        <v>64</v>
      </c>
      <c r="P3433" s="1" t="s">
        <v>8495</v>
      </c>
      <c r="Q3433" s="1" t="s">
        <v>8496</v>
      </c>
      <c r="R3433" s="1" t="s">
        <v>128</v>
      </c>
      <c r="S3433" s="1" t="s">
        <v>3089</v>
      </c>
      <c r="T3433" s="1" t="s">
        <v>3090</v>
      </c>
      <c r="U3433" s="2">
        <v>5180</v>
      </c>
      <c r="V3433" s="2" t="s">
        <v>36</v>
      </c>
      <c r="W3433" s="2" t="s">
        <v>37</v>
      </c>
      <c r="X3433" s="2">
        <v>230.965</v>
      </c>
    </row>
    <row r="3434" spans="1:24" x14ac:dyDescent="0.3">
      <c r="A3434">
        <v>21288</v>
      </c>
      <c r="B3434" t="s">
        <v>8492</v>
      </c>
      <c r="C3434" s="3">
        <v>41375</v>
      </c>
      <c r="D3434" t="s">
        <v>62</v>
      </c>
      <c r="E3434">
        <v>5</v>
      </c>
      <c r="F3434" s="3">
        <f ca="1">41376+(RANDBETWEEN(1,10))</f>
        <v>41386</v>
      </c>
      <c r="G3434" t="s">
        <v>26</v>
      </c>
      <c r="H3434" t="s">
        <v>27</v>
      </c>
      <c r="I3434" t="s">
        <v>86</v>
      </c>
      <c r="J3434">
        <v>2671.0250000000001</v>
      </c>
      <c r="K3434">
        <v>0.1</v>
      </c>
      <c r="L3434">
        <v>0.49</v>
      </c>
      <c r="M3434">
        <v>19.25</v>
      </c>
      <c r="N3434">
        <v>1843.0072500000001</v>
      </c>
      <c r="O3434" s="1" t="s">
        <v>87</v>
      </c>
      <c r="P3434" s="1" t="s">
        <v>8497</v>
      </c>
      <c r="Q3434" s="1" t="s">
        <v>8498</v>
      </c>
      <c r="R3434" s="1" t="s">
        <v>90</v>
      </c>
      <c r="S3434" s="1" t="s">
        <v>8499</v>
      </c>
      <c r="T3434" s="1" t="s">
        <v>8500</v>
      </c>
      <c r="U3434" s="2" t="s">
        <v>3822</v>
      </c>
      <c r="V3434" s="2" t="s">
        <v>36</v>
      </c>
      <c r="W3434" s="2" t="s">
        <v>60</v>
      </c>
      <c r="X3434" s="2">
        <v>559.96500000000003</v>
      </c>
    </row>
    <row r="3435" spans="1:24" x14ac:dyDescent="0.3">
      <c r="A3435">
        <v>21289</v>
      </c>
      <c r="B3435" t="s">
        <v>8492</v>
      </c>
      <c r="C3435" s="3">
        <v>41375</v>
      </c>
      <c r="D3435" t="s">
        <v>62</v>
      </c>
      <c r="E3435">
        <v>10</v>
      </c>
      <c r="F3435" s="3">
        <f ca="1">41377+(RANDBETWEEN(1,10))</f>
        <v>41385</v>
      </c>
      <c r="G3435" t="s">
        <v>26</v>
      </c>
      <c r="H3435" t="s">
        <v>27</v>
      </c>
      <c r="I3435" t="s">
        <v>86</v>
      </c>
      <c r="J3435">
        <v>226.905</v>
      </c>
      <c r="K3435">
        <v>0.1</v>
      </c>
      <c r="L3435">
        <v>0.37</v>
      </c>
      <c r="M3435">
        <v>30.555</v>
      </c>
      <c r="N3435">
        <v>-630.59500000000003</v>
      </c>
      <c r="O3435" s="1" t="s">
        <v>64</v>
      </c>
      <c r="P3435" s="1" t="s">
        <v>8501</v>
      </c>
      <c r="Q3435" s="1" t="s">
        <v>8502</v>
      </c>
      <c r="R3435" s="1" t="s">
        <v>128</v>
      </c>
      <c r="S3435" s="1" t="s">
        <v>8503</v>
      </c>
      <c r="T3435" s="1" t="s">
        <v>8504</v>
      </c>
      <c r="U3435" s="2" t="s">
        <v>2564</v>
      </c>
      <c r="V3435" s="2" t="s">
        <v>47</v>
      </c>
      <c r="W3435" s="2" t="s">
        <v>74</v>
      </c>
      <c r="X3435" s="2">
        <v>22.68</v>
      </c>
    </row>
    <row r="3436" spans="1:24" x14ac:dyDescent="0.3">
      <c r="A3436">
        <v>21290</v>
      </c>
      <c r="B3436" t="s">
        <v>8505</v>
      </c>
      <c r="C3436" s="3">
        <v>40661</v>
      </c>
      <c r="D3436" t="s">
        <v>39</v>
      </c>
      <c r="E3436">
        <v>7</v>
      </c>
      <c r="F3436" s="3">
        <f ca="1">40663+(RANDBETWEEN(1,10))</f>
        <v>40670</v>
      </c>
      <c r="G3436" t="s">
        <v>156</v>
      </c>
      <c r="H3436" t="s">
        <v>27</v>
      </c>
      <c r="I3436" t="s">
        <v>97</v>
      </c>
      <c r="J3436">
        <v>113.155</v>
      </c>
      <c r="K3436">
        <v>0.04</v>
      </c>
      <c r="L3436">
        <v>0.39</v>
      </c>
      <c r="M3436">
        <v>3.4649999999999999</v>
      </c>
      <c r="N3436">
        <v>78.076949999999997</v>
      </c>
      <c r="O3436" s="1" t="s">
        <v>225</v>
      </c>
      <c r="P3436" s="1" t="s">
        <v>8506</v>
      </c>
      <c r="Q3436" s="1" t="s">
        <v>8507</v>
      </c>
      <c r="R3436" s="1" t="s">
        <v>228</v>
      </c>
      <c r="S3436" s="1" t="s">
        <v>8508</v>
      </c>
      <c r="T3436" s="1" t="s">
        <v>8509</v>
      </c>
      <c r="U3436" s="2" t="s">
        <v>2720</v>
      </c>
      <c r="V3436" s="2" t="s">
        <v>47</v>
      </c>
      <c r="W3436" s="2" t="s">
        <v>203</v>
      </c>
      <c r="X3436" s="2">
        <v>14.455</v>
      </c>
    </row>
    <row r="3437" spans="1:24" x14ac:dyDescent="0.3">
      <c r="A3437">
        <v>21291</v>
      </c>
      <c r="B3437" t="s">
        <v>8505</v>
      </c>
      <c r="C3437" s="3">
        <v>40661</v>
      </c>
      <c r="D3437" t="s">
        <v>39</v>
      </c>
      <c r="E3437">
        <v>12</v>
      </c>
      <c r="F3437" s="3">
        <f ca="1">40663+(RANDBETWEEN(1,10))</f>
        <v>40672</v>
      </c>
      <c r="G3437" t="s">
        <v>26</v>
      </c>
      <c r="H3437" t="s">
        <v>27</v>
      </c>
      <c r="I3437" t="s">
        <v>97</v>
      </c>
      <c r="J3437">
        <v>2247.21</v>
      </c>
      <c r="K3437">
        <v>0.06</v>
      </c>
      <c r="L3437">
        <v>0.37</v>
      </c>
      <c r="M3437">
        <v>50.05</v>
      </c>
      <c r="N3437">
        <v>1550.5749000000001</v>
      </c>
      <c r="O3437" s="1" t="s">
        <v>225</v>
      </c>
      <c r="P3437" s="1" t="s">
        <v>8506</v>
      </c>
      <c r="Q3437" s="1" t="s">
        <v>8507</v>
      </c>
      <c r="R3437" s="1" t="s">
        <v>228</v>
      </c>
      <c r="S3437" s="1" t="s">
        <v>8508</v>
      </c>
      <c r="T3437" s="1" t="s">
        <v>8509</v>
      </c>
      <c r="U3437" s="2" t="s">
        <v>1168</v>
      </c>
      <c r="V3437" s="2" t="s">
        <v>47</v>
      </c>
      <c r="W3437" s="2" t="s">
        <v>74</v>
      </c>
      <c r="X3437" s="2">
        <v>194.18</v>
      </c>
    </row>
    <row r="3438" spans="1:24" x14ac:dyDescent="0.3">
      <c r="A3438">
        <v>21292</v>
      </c>
      <c r="B3438" t="s">
        <v>8510</v>
      </c>
      <c r="C3438" s="3">
        <v>41984</v>
      </c>
      <c r="D3438" t="s">
        <v>39</v>
      </c>
      <c r="E3438">
        <v>15</v>
      </c>
      <c r="F3438" s="3">
        <f ca="1">41985+(RANDBETWEEN(1,10))</f>
        <v>41988</v>
      </c>
      <c r="G3438" t="s">
        <v>26</v>
      </c>
      <c r="H3438" t="s">
        <v>27</v>
      </c>
      <c r="I3438" t="s">
        <v>28</v>
      </c>
      <c r="J3438">
        <v>189.56</v>
      </c>
      <c r="K3438">
        <v>0.09</v>
      </c>
      <c r="L3438">
        <v>0.38</v>
      </c>
      <c r="M3438">
        <v>1.75</v>
      </c>
      <c r="N3438">
        <v>130.79640000000001</v>
      </c>
      <c r="O3438" s="1" t="s">
        <v>29</v>
      </c>
      <c r="P3438" s="1" t="s">
        <v>8511</v>
      </c>
      <c r="Q3438" s="1" t="s">
        <v>8512</v>
      </c>
      <c r="R3438" s="1" t="s">
        <v>460</v>
      </c>
      <c r="S3438" s="1" t="s">
        <v>8513</v>
      </c>
      <c r="T3438" s="1" t="s">
        <v>3646</v>
      </c>
      <c r="U3438" s="2" t="s">
        <v>1307</v>
      </c>
      <c r="V3438" s="2" t="s">
        <v>47</v>
      </c>
      <c r="W3438" s="2" t="s">
        <v>203</v>
      </c>
      <c r="X3438" s="2">
        <v>12.914999999999999</v>
      </c>
    </row>
    <row r="3439" spans="1:24" x14ac:dyDescent="0.3">
      <c r="A3439">
        <v>21293</v>
      </c>
      <c r="B3439" t="s">
        <v>8510</v>
      </c>
      <c r="C3439" s="3">
        <v>41984</v>
      </c>
      <c r="D3439" t="s">
        <v>39</v>
      </c>
      <c r="E3439">
        <v>3</v>
      </c>
      <c r="F3439" s="3">
        <f ca="1">41985+(RANDBETWEEN(1,10))</f>
        <v>41994</v>
      </c>
      <c r="G3439" t="s">
        <v>26</v>
      </c>
      <c r="H3439" t="s">
        <v>27</v>
      </c>
      <c r="I3439" t="s">
        <v>28</v>
      </c>
      <c r="J3439">
        <v>597.34500000000003</v>
      </c>
      <c r="K3439">
        <v>0.06</v>
      </c>
      <c r="L3439">
        <v>0.57999999999999996</v>
      </c>
      <c r="M3439">
        <v>31.465</v>
      </c>
      <c r="N3439">
        <v>-299.62363199999999</v>
      </c>
      <c r="O3439" s="1" t="s">
        <v>29</v>
      </c>
      <c r="P3439" s="1" t="s">
        <v>8511</v>
      </c>
      <c r="Q3439" s="1" t="s">
        <v>8512</v>
      </c>
      <c r="R3439" s="1" t="s">
        <v>460</v>
      </c>
      <c r="S3439" s="1" t="s">
        <v>8513</v>
      </c>
      <c r="T3439" s="1" t="s">
        <v>3646</v>
      </c>
      <c r="U3439" s="2" t="s">
        <v>4501</v>
      </c>
      <c r="V3439" s="2" t="s">
        <v>36</v>
      </c>
      <c r="W3439" s="2" t="s">
        <v>37</v>
      </c>
      <c r="X3439" s="2">
        <v>230.965</v>
      </c>
    </row>
    <row r="3440" spans="1:24" x14ac:dyDescent="0.3">
      <c r="A3440">
        <v>21294</v>
      </c>
      <c r="B3440" t="s">
        <v>8514</v>
      </c>
      <c r="C3440" s="3">
        <v>41283</v>
      </c>
      <c r="D3440" t="s">
        <v>148</v>
      </c>
      <c r="E3440">
        <v>10</v>
      </c>
      <c r="F3440" s="3">
        <f ca="1">41284+(RANDBETWEEN(1,10))</f>
        <v>41288</v>
      </c>
      <c r="G3440" t="s">
        <v>156</v>
      </c>
      <c r="H3440" t="s">
        <v>27</v>
      </c>
      <c r="I3440" t="s">
        <v>52</v>
      </c>
      <c r="J3440">
        <v>12093.514999999999</v>
      </c>
      <c r="K3440">
        <v>0.05</v>
      </c>
      <c r="L3440">
        <v>0.56999999999999995</v>
      </c>
      <c r="M3440">
        <v>69.965000000000003</v>
      </c>
      <c r="N3440">
        <v>91.412999999999997</v>
      </c>
      <c r="O3440" s="1" t="s">
        <v>29</v>
      </c>
      <c r="P3440" s="1" t="s">
        <v>4850</v>
      </c>
      <c r="Q3440" s="1" t="s">
        <v>4851</v>
      </c>
      <c r="R3440" s="1" t="s">
        <v>460</v>
      </c>
      <c r="S3440" s="1" t="s">
        <v>4852</v>
      </c>
      <c r="T3440" s="1" t="s">
        <v>4853</v>
      </c>
      <c r="U3440" s="2" t="s">
        <v>572</v>
      </c>
      <c r="V3440" s="2" t="s">
        <v>47</v>
      </c>
      <c r="W3440" s="2" t="s">
        <v>71</v>
      </c>
      <c r="X3440" s="2">
        <v>1271.375</v>
      </c>
    </row>
    <row r="3441" spans="1:24" x14ac:dyDescent="0.3">
      <c r="A3441">
        <v>21295</v>
      </c>
      <c r="B3441" t="s">
        <v>8515</v>
      </c>
      <c r="C3441" s="3">
        <v>41425</v>
      </c>
      <c r="D3441" t="s">
        <v>50</v>
      </c>
      <c r="E3441">
        <v>3</v>
      </c>
      <c r="F3441" s="3">
        <f ca="1">41426+(RANDBETWEEN(1,10))</f>
        <v>41430</v>
      </c>
      <c r="G3441" t="s">
        <v>26</v>
      </c>
      <c r="H3441" t="s">
        <v>63</v>
      </c>
      <c r="I3441" t="s">
        <v>97</v>
      </c>
      <c r="J3441">
        <v>1516.7249999999999</v>
      </c>
      <c r="K3441">
        <v>0.02</v>
      </c>
      <c r="L3441">
        <v>0.59</v>
      </c>
      <c r="M3441">
        <v>85.715000000000003</v>
      </c>
      <c r="N3441">
        <v>251.76689999999999</v>
      </c>
      <c r="O3441" s="1" t="s">
        <v>40</v>
      </c>
      <c r="P3441" s="1" t="s">
        <v>8516</v>
      </c>
      <c r="Q3441" s="1" t="s">
        <v>8517</v>
      </c>
      <c r="R3441" s="1" t="s">
        <v>43</v>
      </c>
      <c r="S3441" s="1" t="s">
        <v>8518</v>
      </c>
      <c r="T3441" s="1" t="s">
        <v>8519</v>
      </c>
      <c r="U3441" s="2" t="s">
        <v>1632</v>
      </c>
      <c r="V3441" s="2" t="s">
        <v>83</v>
      </c>
      <c r="W3441" s="2" t="s">
        <v>178</v>
      </c>
      <c r="X3441" s="2">
        <v>479.43</v>
      </c>
    </row>
    <row r="3442" spans="1:24" x14ac:dyDescent="0.3">
      <c r="A3442">
        <v>21296</v>
      </c>
      <c r="B3442" t="s">
        <v>8520</v>
      </c>
      <c r="C3442" s="3">
        <v>41495</v>
      </c>
      <c r="D3442" t="s">
        <v>25</v>
      </c>
      <c r="E3442">
        <v>2</v>
      </c>
      <c r="F3442" s="3">
        <f ca="1">41497+(RANDBETWEEN(1,10))</f>
        <v>41501</v>
      </c>
      <c r="G3442" t="s">
        <v>26</v>
      </c>
      <c r="H3442" t="s">
        <v>27</v>
      </c>
      <c r="I3442" t="s">
        <v>97</v>
      </c>
      <c r="J3442">
        <v>45.185000000000002</v>
      </c>
      <c r="K3442">
        <v>0.01</v>
      </c>
      <c r="L3442">
        <v>0.36</v>
      </c>
      <c r="M3442">
        <v>16.52</v>
      </c>
      <c r="N3442">
        <v>-18.5458</v>
      </c>
      <c r="O3442" s="1" t="s">
        <v>87</v>
      </c>
      <c r="P3442" s="1" t="s">
        <v>3588</v>
      </c>
      <c r="Q3442" s="1" t="s">
        <v>3589</v>
      </c>
      <c r="R3442" s="1" t="s">
        <v>398</v>
      </c>
      <c r="S3442" s="1" t="s">
        <v>3590</v>
      </c>
      <c r="T3442" s="1" t="s">
        <v>3591</v>
      </c>
      <c r="U3442" s="2" t="s">
        <v>904</v>
      </c>
      <c r="V3442" s="2" t="s">
        <v>47</v>
      </c>
      <c r="W3442" s="2" t="s">
        <v>74</v>
      </c>
      <c r="X3442" s="2">
        <v>17.43</v>
      </c>
    </row>
    <row r="3443" spans="1:24" x14ac:dyDescent="0.3">
      <c r="A3443">
        <v>21297</v>
      </c>
      <c r="B3443" t="s">
        <v>8520</v>
      </c>
      <c r="C3443" s="3">
        <v>41495</v>
      </c>
      <c r="D3443" t="s">
        <v>25</v>
      </c>
      <c r="E3443">
        <v>8</v>
      </c>
      <c r="F3443" s="3">
        <f ca="1">41500+(RANDBETWEEN(1,10))</f>
        <v>41503</v>
      </c>
      <c r="G3443" t="s">
        <v>76</v>
      </c>
      <c r="H3443" t="s">
        <v>258</v>
      </c>
      <c r="I3443" t="s">
        <v>97</v>
      </c>
      <c r="J3443">
        <v>954.8</v>
      </c>
      <c r="K3443">
        <v>0.03</v>
      </c>
      <c r="L3443">
        <v>0.65</v>
      </c>
      <c r="M3443">
        <v>159.285</v>
      </c>
      <c r="N3443">
        <v>125.855352</v>
      </c>
      <c r="O3443" s="1" t="s">
        <v>87</v>
      </c>
      <c r="P3443" s="1" t="s">
        <v>3588</v>
      </c>
      <c r="Q3443" s="1" t="s">
        <v>3589</v>
      </c>
      <c r="R3443" s="1" t="s">
        <v>398</v>
      </c>
      <c r="S3443" s="1" t="s">
        <v>3590</v>
      </c>
      <c r="T3443" s="1" t="s">
        <v>3591</v>
      </c>
      <c r="U3443" s="2" t="s">
        <v>1566</v>
      </c>
      <c r="V3443" s="2" t="s">
        <v>83</v>
      </c>
      <c r="W3443" s="2" t="s">
        <v>263</v>
      </c>
      <c r="X3443" s="2">
        <v>111.16</v>
      </c>
    </row>
    <row r="3444" spans="1:24" x14ac:dyDescent="0.3">
      <c r="A3444">
        <v>21298</v>
      </c>
      <c r="B3444" t="s">
        <v>8521</v>
      </c>
      <c r="C3444" s="3">
        <v>41108</v>
      </c>
      <c r="D3444" t="s">
        <v>25</v>
      </c>
      <c r="E3444">
        <v>4</v>
      </c>
      <c r="F3444" s="3">
        <f ca="1">41115+(RANDBETWEEN(1,10))</f>
        <v>41119</v>
      </c>
      <c r="G3444" t="s">
        <v>156</v>
      </c>
      <c r="H3444" t="s">
        <v>27</v>
      </c>
      <c r="I3444" t="s">
        <v>97</v>
      </c>
      <c r="J3444">
        <v>425.67</v>
      </c>
      <c r="K3444">
        <v>0.03</v>
      </c>
      <c r="L3444">
        <v>0.38</v>
      </c>
      <c r="M3444">
        <v>5.2149999999999999</v>
      </c>
      <c r="N3444">
        <v>-182.29225</v>
      </c>
      <c r="O3444" s="1" t="s">
        <v>29</v>
      </c>
      <c r="P3444" s="1" t="s">
        <v>7371</v>
      </c>
      <c r="Q3444" s="1" t="s">
        <v>7372</v>
      </c>
      <c r="R3444" s="1" t="s">
        <v>675</v>
      </c>
      <c r="S3444" s="1" t="s">
        <v>7373</v>
      </c>
      <c r="T3444" s="1" t="s">
        <v>7374</v>
      </c>
      <c r="U3444" s="2" t="s">
        <v>301</v>
      </c>
      <c r="V3444" s="2" t="s">
        <v>47</v>
      </c>
      <c r="W3444" s="2" t="s">
        <v>111</v>
      </c>
      <c r="X3444" s="2">
        <v>99.855000000000004</v>
      </c>
    </row>
    <row r="3445" spans="1:24" x14ac:dyDescent="0.3">
      <c r="A3445">
        <v>21299</v>
      </c>
      <c r="B3445" t="s">
        <v>8521</v>
      </c>
      <c r="C3445" s="3">
        <v>41108</v>
      </c>
      <c r="D3445" t="s">
        <v>25</v>
      </c>
      <c r="E3445">
        <v>3</v>
      </c>
      <c r="F3445" s="3">
        <f ca="1">41113+(RANDBETWEEN(1,10))</f>
        <v>41116</v>
      </c>
      <c r="G3445" t="s">
        <v>26</v>
      </c>
      <c r="H3445" t="s">
        <v>281</v>
      </c>
      <c r="I3445" t="s">
        <v>97</v>
      </c>
      <c r="J3445">
        <v>202.33500000000001</v>
      </c>
      <c r="K3445">
        <v>0.02</v>
      </c>
      <c r="L3445">
        <v>0.4</v>
      </c>
      <c r="M3445">
        <v>29.785</v>
      </c>
      <c r="N3445">
        <v>-721.62300000000005</v>
      </c>
      <c r="O3445" s="1" t="s">
        <v>29</v>
      </c>
      <c r="P3445" s="1" t="s">
        <v>7371</v>
      </c>
      <c r="Q3445" s="1" t="s">
        <v>7372</v>
      </c>
      <c r="R3445" s="1" t="s">
        <v>675</v>
      </c>
      <c r="S3445" s="1" t="s">
        <v>7373</v>
      </c>
      <c r="T3445" s="1" t="s">
        <v>7374</v>
      </c>
      <c r="U3445" s="2" t="s">
        <v>282</v>
      </c>
      <c r="V3445" s="2" t="s">
        <v>36</v>
      </c>
      <c r="W3445" s="2" t="s">
        <v>142</v>
      </c>
      <c r="X3445" s="2">
        <v>62.93</v>
      </c>
    </row>
    <row r="3446" spans="1:24" x14ac:dyDescent="0.3">
      <c r="A3446">
        <v>21300</v>
      </c>
      <c r="B3446" t="s">
        <v>8522</v>
      </c>
      <c r="C3446" s="3">
        <v>41710</v>
      </c>
      <c r="D3446" t="s">
        <v>62</v>
      </c>
      <c r="E3446">
        <v>4</v>
      </c>
      <c r="F3446" s="3">
        <f ca="1">41712+(RANDBETWEEN(1,10))</f>
        <v>41719</v>
      </c>
      <c r="G3446" t="s">
        <v>76</v>
      </c>
      <c r="H3446" t="s">
        <v>77</v>
      </c>
      <c r="I3446" t="s">
        <v>28</v>
      </c>
      <c r="J3446">
        <v>2671.2</v>
      </c>
      <c r="K3446">
        <v>0.06</v>
      </c>
      <c r="L3446">
        <v>0.36</v>
      </c>
      <c r="M3446">
        <v>54.564999999999998</v>
      </c>
      <c r="N3446">
        <v>1843.1279999999999</v>
      </c>
      <c r="O3446" s="1" t="s">
        <v>40</v>
      </c>
      <c r="P3446" s="1" t="s">
        <v>7490</v>
      </c>
      <c r="Q3446" s="1" t="s">
        <v>7491</v>
      </c>
      <c r="R3446" s="1" t="s">
        <v>43</v>
      </c>
      <c r="S3446" s="1" t="s">
        <v>7492</v>
      </c>
      <c r="T3446" s="1" t="s">
        <v>7493</v>
      </c>
      <c r="U3446" s="2" t="s">
        <v>6020</v>
      </c>
      <c r="V3446" s="2" t="s">
        <v>36</v>
      </c>
      <c r="W3446" s="2" t="s">
        <v>142</v>
      </c>
      <c r="X3446" s="2">
        <v>703.39499999999998</v>
      </c>
    </row>
    <row r="3447" spans="1:24" x14ac:dyDescent="0.3">
      <c r="A3447">
        <v>21301</v>
      </c>
      <c r="B3447" t="s">
        <v>8523</v>
      </c>
      <c r="C3447" s="3">
        <v>41943</v>
      </c>
      <c r="D3447" t="s">
        <v>62</v>
      </c>
      <c r="E3447">
        <v>23</v>
      </c>
      <c r="F3447" s="3">
        <f ca="1">41944+(RANDBETWEEN(1,10))</f>
        <v>41954</v>
      </c>
      <c r="G3447" t="s">
        <v>26</v>
      </c>
      <c r="H3447" t="s">
        <v>96</v>
      </c>
      <c r="I3447" t="s">
        <v>97</v>
      </c>
      <c r="J3447">
        <v>352.69499999999999</v>
      </c>
      <c r="K3447">
        <v>0.06</v>
      </c>
      <c r="L3447">
        <v>0.57999999999999996</v>
      </c>
      <c r="M3447">
        <v>5.6</v>
      </c>
      <c r="N3447">
        <v>16.065000000000001</v>
      </c>
      <c r="O3447" s="1" t="s">
        <v>64</v>
      </c>
      <c r="P3447" s="1" t="s">
        <v>8217</v>
      </c>
      <c r="Q3447" s="1" t="s">
        <v>8218</v>
      </c>
      <c r="R3447" s="1" t="s">
        <v>67</v>
      </c>
      <c r="S3447" s="1" t="s">
        <v>7405</v>
      </c>
      <c r="T3447" s="1" t="s">
        <v>8219</v>
      </c>
      <c r="U3447" s="2" t="s">
        <v>145</v>
      </c>
      <c r="V3447" s="2" t="s">
        <v>47</v>
      </c>
      <c r="W3447" s="2" t="s">
        <v>104</v>
      </c>
      <c r="X3447" s="2">
        <v>14.98</v>
      </c>
    </row>
    <row r="3448" spans="1:24" x14ac:dyDescent="0.3">
      <c r="A3448">
        <v>21302</v>
      </c>
      <c r="B3448" t="s">
        <v>8524</v>
      </c>
      <c r="C3448" s="3">
        <v>40922</v>
      </c>
      <c r="D3448" t="s">
        <v>148</v>
      </c>
      <c r="E3448">
        <v>8</v>
      </c>
      <c r="F3448" s="3">
        <f ca="1">40925+(RANDBETWEEN(1,10))</f>
        <v>40930</v>
      </c>
      <c r="G3448" t="s">
        <v>26</v>
      </c>
      <c r="H3448" t="s">
        <v>27</v>
      </c>
      <c r="I3448" t="s">
        <v>86</v>
      </c>
      <c r="J3448">
        <v>184.55500000000001</v>
      </c>
      <c r="K3448">
        <v>0.03</v>
      </c>
      <c r="L3448">
        <v>0.37</v>
      </c>
      <c r="M3448">
        <v>20.09</v>
      </c>
      <c r="N3448">
        <v>-78.938999999999993</v>
      </c>
      <c r="O3448" s="1" t="s">
        <v>87</v>
      </c>
      <c r="P3448" s="1" t="s">
        <v>7060</v>
      </c>
      <c r="Q3448" s="1" t="s">
        <v>7061</v>
      </c>
      <c r="R3448" s="1" t="s">
        <v>646</v>
      </c>
      <c r="S3448" s="1" t="s">
        <v>7062</v>
      </c>
      <c r="T3448" s="1" t="s">
        <v>7063</v>
      </c>
      <c r="U3448" s="2" t="s">
        <v>5165</v>
      </c>
      <c r="V3448" s="2" t="s">
        <v>47</v>
      </c>
      <c r="W3448" s="2" t="s">
        <v>74</v>
      </c>
      <c r="X3448" s="2">
        <v>22.68</v>
      </c>
    </row>
    <row r="3449" spans="1:24" x14ac:dyDescent="0.3">
      <c r="A3449">
        <v>21303</v>
      </c>
      <c r="B3449" t="s">
        <v>8525</v>
      </c>
      <c r="C3449" s="3">
        <v>41879</v>
      </c>
      <c r="D3449" t="s">
        <v>50</v>
      </c>
      <c r="E3449">
        <v>24</v>
      </c>
      <c r="F3449" s="3">
        <f ca="1">41879+(RANDBETWEEN(1,10))</f>
        <v>41881</v>
      </c>
      <c r="G3449" t="s">
        <v>26</v>
      </c>
      <c r="H3449" t="s">
        <v>63</v>
      </c>
      <c r="I3449" t="s">
        <v>97</v>
      </c>
      <c r="J3449">
        <v>16553.985000000001</v>
      </c>
      <c r="K3449">
        <v>0.09</v>
      </c>
      <c r="L3449">
        <v>0.46</v>
      </c>
      <c r="M3449">
        <v>85.715000000000003</v>
      </c>
      <c r="N3449">
        <v>11422.24965</v>
      </c>
      <c r="O3449" s="1" t="s">
        <v>40</v>
      </c>
      <c r="P3449" s="1" t="s">
        <v>8526</v>
      </c>
      <c r="Q3449" s="1" t="s">
        <v>8527</v>
      </c>
      <c r="R3449" s="1" t="s">
        <v>43</v>
      </c>
      <c r="S3449" s="1" t="s">
        <v>5804</v>
      </c>
      <c r="T3449" s="1" t="s">
        <v>5805</v>
      </c>
      <c r="U3449" s="2" t="s">
        <v>7870</v>
      </c>
      <c r="V3449" s="2" t="s">
        <v>36</v>
      </c>
      <c r="W3449" s="2" t="s">
        <v>1327</v>
      </c>
      <c r="X3449" s="2">
        <v>699.96500000000003</v>
      </c>
    </row>
    <row r="3450" spans="1:24" x14ac:dyDescent="0.3">
      <c r="A3450">
        <v>21304</v>
      </c>
      <c r="B3450" t="s">
        <v>8528</v>
      </c>
      <c r="C3450" s="3">
        <v>41399</v>
      </c>
      <c r="D3450" t="s">
        <v>50</v>
      </c>
      <c r="E3450">
        <v>2</v>
      </c>
      <c r="F3450" s="3">
        <f ca="1">41401+(RANDBETWEEN(1,10))</f>
        <v>41407</v>
      </c>
      <c r="G3450" t="s">
        <v>156</v>
      </c>
      <c r="H3450" t="s">
        <v>27</v>
      </c>
      <c r="I3450" t="s">
        <v>52</v>
      </c>
      <c r="J3450">
        <v>288.57499999999999</v>
      </c>
      <c r="K3450">
        <v>0.04</v>
      </c>
      <c r="L3450">
        <v>0.35</v>
      </c>
      <c r="M3450">
        <v>10.465</v>
      </c>
      <c r="N3450">
        <v>199.11675</v>
      </c>
      <c r="O3450" s="1" t="s">
        <v>64</v>
      </c>
      <c r="P3450" s="1" t="s">
        <v>2937</v>
      </c>
      <c r="Q3450" s="1" t="s">
        <v>2938</v>
      </c>
      <c r="R3450" s="1" t="s">
        <v>67</v>
      </c>
      <c r="S3450" s="1" t="s">
        <v>2939</v>
      </c>
      <c r="T3450" s="1" t="s">
        <v>2940</v>
      </c>
      <c r="U3450" s="2" t="s">
        <v>1132</v>
      </c>
      <c r="V3450" s="2" t="s">
        <v>47</v>
      </c>
      <c r="W3450" s="2" t="s">
        <v>111</v>
      </c>
      <c r="X3450" s="2">
        <v>131.94999999999999</v>
      </c>
    </row>
    <row r="3451" spans="1:24" x14ac:dyDescent="0.3">
      <c r="A3451">
        <v>21305</v>
      </c>
      <c r="B3451" t="s">
        <v>8529</v>
      </c>
      <c r="C3451" s="3">
        <v>41970</v>
      </c>
      <c r="D3451" t="s">
        <v>148</v>
      </c>
      <c r="E3451">
        <v>41</v>
      </c>
      <c r="F3451" s="3">
        <f ca="1">41972+(RANDBETWEEN(1,10))</f>
        <v>41978</v>
      </c>
      <c r="G3451" t="s">
        <v>26</v>
      </c>
      <c r="H3451" t="s">
        <v>27</v>
      </c>
      <c r="I3451" t="s">
        <v>52</v>
      </c>
      <c r="J3451">
        <v>8296.82</v>
      </c>
      <c r="K3451">
        <v>0.02</v>
      </c>
      <c r="L3451">
        <v>0.56000000000000005</v>
      </c>
      <c r="M3451">
        <v>18.41</v>
      </c>
      <c r="N3451">
        <v>9.2609999999999992</v>
      </c>
      <c r="O3451" s="1" t="s">
        <v>225</v>
      </c>
      <c r="P3451" s="1" t="s">
        <v>3956</v>
      </c>
      <c r="Q3451" s="1" t="s">
        <v>3957</v>
      </c>
      <c r="R3451" s="1" t="s">
        <v>391</v>
      </c>
      <c r="S3451" s="1" t="s">
        <v>3958</v>
      </c>
      <c r="T3451" s="1" t="s">
        <v>3959</v>
      </c>
      <c r="U3451" s="2">
        <v>8860</v>
      </c>
      <c r="V3451" s="2" t="s">
        <v>36</v>
      </c>
      <c r="W3451" s="2" t="s">
        <v>37</v>
      </c>
      <c r="X3451" s="2">
        <v>230.965</v>
      </c>
    </row>
    <row r="3452" spans="1:24" x14ac:dyDescent="0.3">
      <c r="A3452">
        <v>21306</v>
      </c>
      <c r="B3452" t="s">
        <v>8530</v>
      </c>
      <c r="C3452" s="3">
        <v>41994</v>
      </c>
      <c r="D3452" t="s">
        <v>148</v>
      </c>
      <c r="E3452">
        <v>4</v>
      </c>
      <c r="F3452" s="3">
        <f ca="1">41995+(RANDBETWEEN(1,10))</f>
        <v>42003</v>
      </c>
      <c r="G3452" t="s">
        <v>26</v>
      </c>
      <c r="H3452" t="s">
        <v>281</v>
      </c>
      <c r="I3452" t="s">
        <v>86</v>
      </c>
      <c r="J3452">
        <v>2086.2449999999999</v>
      </c>
      <c r="K3452">
        <v>0.06</v>
      </c>
      <c r="L3452">
        <v>0.38</v>
      </c>
      <c r="M3452">
        <v>48.965000000000003</v>
      </c>
      <c r="N3452">
        <v>-61.735060799999999</v>
      </c>
      <c r="O3452" s="1" t="s">
        <v>225</v>
      </c>
      <c r="P3452" s="1" t="s">
        <v>8531</v>
      </c>
      <c r="Q3452" s="1" t="s">
        <v>8532</v>
      </c>
      <c r="R3452" s="1" t="s">
        <v>391</v>
      </c>
      <c r="S3452" s="1" t="s">
        <v>2880</v>
      </c>
      <c r="T3452" s="1" t="s">
        <v>2881</v>
      </c>
      <c r="U3452" s="2" t="s">
        <v>480</v>
      </c>
      <c r="V3452" s="2" t="s">
        <v>36</v>
      </c>
      <c r="W3452" s="2" t="s">
        <v>142</v>
      </c>
      <c r="X3452" s="2">
        <v>528.42999999999995</v>
      </c>
    </row>
    <row r="3453" spans="1:24" x14ac:dyDescent="0.3">
      <c r="A3453">
        <v>21307</v>
      </c>
      <c r="B3453" t="s">
        <v>8530</v>
      </c>
      <c r="C3453" s="3">
        <v>41994</v>
      </c>
      <c r="D3453" t="s">
        <v>148</v>
      </c>
      <c r="E3453">
        <v>23</v>
      </c>
      <c r="F3453" s="3">
        <f ca="1">41996+(RANDBETWEEN(1,10))</f>
        <v>42001</v>
      </c>
      <c r="G3453" t="s">
        <v>26</v>
      </c>
      <c r="H3453" t="s">
        <v>27</v>
      </c>
      <c r="I3453" t="s">
        <v>86</v>
      </c>
      <c r="J3453">
        <v>511.45499999999998</v>
      </c>
      <c r="K3453">
        <v>0.02</v>
      </c>
      <c r="L3453">
        <v>0.6</v>
      </c>
      <c r="M3453">
        <v>18.27</v>
      </c>
      <c r="N3453">
        <v>-123.46823999999999</v>
      </c>
      <c r="O3453" s="1" t="s">
        <v>53</v>
      </c>
      <c r="P3453" s="1" t="s">
        <v>8533</v>
      </c>
      <c r="Q3453" s="1" t="s">
        <v>8534</v>
      </c>
      <c r="R3453" s="1" t="s">
        <v>440</v>
      </c>
      <c r="S3453" s="1" t="s">
        <v>8535</v>
      </c>
      <c r="T3453" s="1" t="s">
        <v>8536</v>
      </c>
      <c r="U3453" s="2" t="s">
        <v>995</v>
      </c>
      <c r="V3453" s="2" t="s">
        <v>83</v>
      </c>
      <c r="W3453" s="2" t="s">
        <v>178</v>
      </c>
      <c r="X3453" s="2">
        <v>21.84</v>
      </c>
    </row>
    <row r="3454" spans="1:24" x14ac:dyDescent="0.3">
      <c r="A3454">
        <v>21308</v>
      </c>
      <c r="B3454" t="s">
        <v>8530</v>
      </c>
      <c r="C3454" s="3">
        <v>41994</v>
      </c>
      <c r="D3454" t="s">
        <v>148</v>
      </c>
      <c r="E3454">
        <v>24</v>
      </c>
      <c r="F3454" s="3">
        <f ca="1">41997+(RANDBETWEEN(1,10))</f>
        <v>42007</v>
      </c>
      <c r="G3454" t="s">
        <v>26</v>
      </c>
      <c r="H3454" t="s">
        <v>27</v>
      </c>
      <c r="I3454" t="s">
        <v>86</v>
      </c>
      <c r="J3454">
        <v>4570.6499999999996</v>
      </c>
      <c r="K3454">
        <v>0.06</v>
      </c>
      <c r="L3454">
        <v>0.55000000000000004</v>
      </c>
      <c r="M3454">
        <v>20.72</v>
      </c>
      <c r="N3454">
        <v>3153.7485000000001</v>
      </c>
      <c r="O3454" s="1" t="s">
        <v>87</v>
      </c>
      <c r="P3454" s="1" t="s">
        <v>8537</v>
      </c>
      <c r="Q3454" s="1" t="s">
        <v>8538</v>
      </c>
      <c r="R3454" s="1" t="s">
        <v>398</v>
      </c>
      <c r="S3454" s="1" t="s">
        <v>8539</v>
      </c>
      <c r="T3454" s="1" t="s">
        <v>8540</v>
      </c>
      <c r="U3454" s="2">
        <v>252</v>
      </c>
      <c r="V3454" s="2" t="s">
        <v>36</v>
      </c>
      <c r="W3454" s="2" t="s">
        <v>37</v>
      </c>
      <c r="X3454" s="2">
        <v>230.965</v>
      </c>
    </row>
    <row r="3455" spans="1:24" x14ac:dyDescent="0.3">
      <c r="A3455">
        <v>21309</v>
      </c>
      <c r="B3455" t="s">
        <v>8541</v>
      </c>
      <c r="C3455" s="3">
        <v>41906</v>
      </c>
      <c r="D3455" t="s">
        <v>62</v>
      </c>
      <c r="E3455">
        <v>23</v>
      </c>
      <c r="F3455" s="3">
        <f ca="1">41907+(RANDBETWEEN(1,10))</f>
        <v>41917</v>
      </c>
      <c r="G3455" t="s">
        <v>26</v>
      </c>
      <c r="H3455" t="s">
        <v>27</v>
      </c>
      <c r="I3455" t="s">
        <v>28</v>
      </c>
      <c r="J3455">
        <v>12382.65</v>
      </c>
      <c r="K3455">
        <v>0.03</v>
      </c>
      <c r="L3455">
        <v>0.74</v>
      </c>
      <c r="M3455">
        <v>22.75</v>
      </c>
      <c r="N3455">
        <v>-34.103999999999999</v>
      </c>
      <c r="O3455" s="1" t="s">
        <v>40</v>
      </c>
      <c r="P3455" s="1" t="s">
        <v>2215</v>
      </c>
      <c r="Q3455" s="1" t="s">
        <v>2216</v>
      </c>
      <c r="R3455" s="1" t="s">
        <v>43</v>
      </c>
      <c r="S3455" s="1" t="s">
        <v>2217</v>
      </c>
      <c r="T3455" s="1" t="s">
        <v>2218</v>
      </c>
      <c r="U3455" s="2" t="s">
        <v>192</v>
      </c>
      <c r="V3455" s="2" t="s">
        <v>36</v>
      </c>
      <c r="W3455" s="2" t="s">
        <v>60</v>
      </c>
      <c r="X3455" s="2">
        <v>533.67999999999995</v>
      </c>
    </row>
    <row r="3456" spans="1:24" x14ac:dyDescent="0.3">
      <c r="A3456">
        <v>21310</v>
      </c>
      <c r="B3456" t="s">
        <v>8541</v>
      </c>
      <c r="C3456" s="3">
        <v>41906</v>
      </c>
      <c r="D3456" t="s">
        <v>62</v>
      </c>
      <c r="E3456">
        <v>2</v>
      </c>
      <c r="F3456" s="3">
        <f ca="1">41907+(RANDBETWEEN(1,10))</f>
        <v>41913</v>
      </c>
      <c r="G3456" t="s">
        <v>26</v>
      </c>
      <c r="H3456" t="s">
        <v>27</v>
      </c>
      <c r="I3456" t="s">
        <v>28</v>
      </c>
      <c r="J3456">
        <v>18.655000000000001</v>
      </c>
      <c r="K3456">
        <v>0.1</v>
      </c>
      <c r="L3456">
        <v>0.39</v>
      </c>
      <c r="M3456">
        <v>1.75</v>
      </c>
      <c r="N3456">
        <v>572.04</v>
      </c>
      <c r="O3456" s="1" t="s">
        <v>40</v>
      </c>
      <c r="P3456" s="1" t="s">
        <v>2215</v>
      </c>
      <c r="Q3456" s="1" t="s">
        <v>2216</v>
      </c>
      <c r="R3456" s="1" t="s">
        <v>43</v>
      </c>
      <c r="S3456" s="1" t="s">
        <v>2217</v>
      </c>
      <c r="T3456" s="1" t="s">
        <v>2218</v>
      </c>
      <c r="U3456" s="2" t="s">
        <v>1726</v>
      </c>
      <c r="V3456" s="2" t="s">
        <v>47</v>
      </c>
      <c r="W3456" s="2" t="s">
        <v>203</v>
      </c>
      <c r="X3456" s="2">
        <v>9.1349999999999998</v>
      </c>
    </row>
    <row r="3457" spans="1:24" x14ac:dyDescent="0.3">
      <c r="A3457">
        <v>21311</v>
      </c>
      <c r="B3457" t="s">
        <v>8542</v>
      </c>
      <c r="C3457" s="3">
        <v>41887</v>
      </c>
      <c r="D3457" t="s">
        <v>50</v>
      </c>
      <c r="E3457">
        <v>16</v>
      </c>
      <c r="F3457" s="3">
        <f ca="1">41890+(RANDBETWEEN(1,10))</f>
        <v>41895</v>
      </c>
      <c r="G3457" t="s">
        <v>26</v>
      </c>
      <c r="H3457" t="s">
        <v>27</v>
      </c>
      <c r="I3457" t="s">
        <v>28</v>
      </c>
      <c r="J3457">
        <v>8564.1149999999998</v>
      </c>
      <c r="K3457">
        <v>0.1</v>
      </c>
      <c r="L3457">
        <v>0.6</v>
      </c>
      <c r="M3457">
        <v>14.7</v>
      </c>
      <c r="N3457">
        <v>2598.4135799999999</v>
      </c>
      <c r="O3457" s="1" t="s">
        <v>53</v>
      </c>
      <c r="P3457" s="1" t="s">
        <v>8543</v>
      </c>
      <c r="Q3457" s="1" t="s">
        <v>8544</v>
      </c>
      <c r="R3457" s="1" t="s">
        <v>100</v>
      </c>
      <c r="S3457" s="1" t="s">
        <v>4132</v>
      </c>
      <c r="T3457" s="1" t="s">
        <v>492</v>
      </c>
      <c r="U3457" s="2">
        <v>688</v>
      </c>
      <c r="V3457" s="2" t="s">
        <v>36</v>
      </c>
      <c r="W3457" s="2" t="s">
        <v>37</v>
      </c>
      <c r="X3457" s="2">
        <v>685.96500000000003</v>
      </c>
    </row>
    <row r="3458" spans="1:24" x14ac:dyDescent="0.3">
      <c r="A3458">
        <v>21312</v>
      </c>
      <c r="B3458" t="s">
        <v>8542</v>
      </c>
      <c r="C3458" s="3">
        <v>41887</v>
      </c>
      <c r="D3458" t="s">
        <v>50</v>
      </c>
      <c r="E3458">
        <v>22</v>
      </c>
      <c r="F3458" s="3">
        <f ca="1">41888+(RANDBETWEEN(1,10))</f>
        <v>41897</v>
      </c>
      <c r="G3458" t="s">
        <v>26</v>
      </c>
      <c r="H3458" t="s">
        <v>27</v>
      </c>
      <c r="I3458" t="s">
        <v>28</v>
      </c>
      <c r="J3458">
        <v>8326.85</v>
      </c>
      <c r="K3458">
        <v>0.01</v>
      </c>
      <c r="L3458">
        <v>0.56999999999999995</v>
      </c>
      <c r="M3458">
        <v>28.28</v>
      </c>
      <c r="N3458">
        <v>4619.6778599999998</v>
      </c>
      <c r="O3458" s="1" t="s">
        <v>53</v>
      </c>
      <c r="P3458" s="1" t="s">
        <v>8543</v>
      </c>
      <c r="Q3458" s="1" t="s">
        <v>8544</v>
      </c>
      <c r="R3458" s="1" t="s">
        <v>100</v>
      </c>
      <c r="S3458" s="1" t="s">
        <v>4132</v>
      </c>
      <c r="T3458" s="1" t="s">
        <v>492</v>
      </c>
      <c r="U3458" s="2" t="s">
        <v>1547</v>
      </c>
      <c r="V3458" s="2" t="s">
        <v>36</v>
      </c>
      <c r="W3458" s="2" t="s">
        <v>37</v>
      </c>
      <c r="X3458" s="2">
        <v>440.96499999999997</v>
      </c>
    </row>
    <row r="3459" spans="1:24" x14ac:dyDescent="0.3">
      <c r="A3459">
        <v>21313</v>
      </c>
      <c r="B3459" t="s">
        <v>8545</v>
      </c>
      <c r="C3459" s="3">
        <v>40785</v>
      </c>
      <c r="D3459" t="s">
        <v>50</v>
      </c>
      <c r="E3459">
        <v>12</v>
      </c>
      <c r="F3459" s="3">
        <f ca="1">40785+(RANDBETWEEN(1,10))</f>
        <v>40793</v>
      </c>
      <c r="G3459" t="s">
        <v>26</v>
      </c>
      <c r="H3459" t="s">
        <v>96</v>
      </c>
      <c r="I3459" t="s">
        <v>86</v>
      </c>
      <c r="J3459">
        <v>475.19499999999999</v>
      </c>
      <c r="K3459">
        <v>0.1</v>
      </c>
      <c r="L3459">
        <v>0.55000000000000004</v>
      </c>
      <c r="M3459">
        <v>8.26</v>
      </c>
      <c r="N3459">
        <v>244.18520000000001</v>
      </c>
      <c r="O3459" s="1" t="s">
        <v>29</v>
      </c>
      <c r="P3459" s="1" t="s">
        <v>7699</v>
      </c>
      <c r="Q3459" s="1" t="s">
        <v>7700</v>
      </c>
      <c r="R3459" s="1" t="s">
        <v>32</v>
      </c>
      <c r="S3459" s="1" t="s">
        <v>7701</v>
      </c>
      <c r="T3459" s="1" t="s">
        <v>7702</v>
      </c>
      <c r="U3459" s="2" t="s">
        <v>2967</v>
      </c>
      <c r="V3459" s="2" t="s">
        <v>47</v>
      </c>
      <c r="W3459" s="2" t="s">
        <v>104</v>
      </c>
      <c r="X3459" s="2">
        <v>40.424999999999997</v>
      </c>
    </row>
    <row r="3460" spans="1:24" x14ac:dyDescent="0.3">
      <c r="A3460">
        <v>21314</v>
      </c>
      <c r="B3460" t="s">
        <v>8546</v>
      </c>
      <c r="C3460" s="3">
        <v>41219</v>
      </c>
      <c r="D3460" t="s">
        <v>50</v>
      </c>
      <c r="E3460">
        <v>7</v>
      </c>
      <c r="F3460" s="3">
        <f ca="1">41220+(RANDBETWEEN(1,10))</f>
        <v>41227</v>
      </c>
      <c r="G3460" t="s">
        <v>76</v>
      </c>
      <c r="H3460" t="s">
        <v>258</v>
      </c>
      <c r="I3460" t="s">
        <v>52</v>
      </c>
      <c r="J3460">
        <v>6215.335</v>
      </c>
      <c r="K3460">
        <v>0.1</v>
      </c>
      <c r="L3460">
        <v>0.63</v>
      </c>
      <c r="M3460">
        <v>152.495</v>
      </c>
      <c r="N3460">
        <v>1937.6279999999999</v>
      </c>
      <c r="O3460" s="1" t="s">
        <v>225</v>
      </c>
      <c r="P3460" s="1" t="s">
        <v>7377</v>
      </c>
      <c r="Q3460" s="1" t="s">
        <v>7378</v>
      </c>
      <c r="R3460" s="1" t="s">
        <v>228</v>
      </c>
      <c r="S3460" s="1" t="s">
        <v>6861</v>
      </c>
      <c r="T3460" s="1" t="s">
        <v>6862</v>
      </c>
      <c r="U3460" s="2" t="s">
        <v>3999</v>
      </c>
      <c r="V3460" s="2" t="s">
        <v>83</v>
      </c>
      <c r="W3460" s="2" t="s">
        <v>263</v>
      </c>
      <c r="X3460" s="2">
        <v>1122.24</v>
      </c>
    </row>
    <row r="3461" spans="1:24" x14ac:dyDescent="0.3">
      <c r="A3461">
        <v>21315</v>
      </c>
      <c r="B3461" t="s">
        <v>8547</v>
      </c>
      <c r="C3461" s="3">
        <v>41778</v>
      </c>
      <c r="D3461" t="s">
        <v>39</v>
      </c>
      <c r="E3461">
        <v>14</v>
      </c>
      <c r="F3461" s="3">
        <f ca="1">41780+(RANDBETWEEN(1,10))</f>
        <v>41785</v>
      </c>
      <c r="G3461" t="s">
        <v>156</v>
      </c>
      <c r="H3461" t="s">
        <v>63</v>
      </c>
      <c r="I3461" t="s">
        <v>52</v>
      </c>
      <c r="J3461">
        <v>4879.5950000000003</v>
      </c>
      <c r="K3461">
        <v>0</v>
      </c>
      <c r="L3461" t="s">
        <v>182</v>
      </c>
      <c r="M3461">
        <v>122.5</v>
      </c>
      <c r="N3461">
        <v>-2748.76</v>
      </c>
      <c r="O3461" s="1" t="s">
        <v>64</v>
      </c>
      <c r="P3461" s="1" t="s">
        <v>5078</v>
      </c>
      <c r="Q3461" s="1" t="s">
        <v>5079</v>
      </c>
      <c r="R3461" s="1" t="s">
        <v>128</v>
      </c>
      <c r="S3461" s="1" t="s">
        <v>5080</v>
      </c>
      <c r="T3461" s="1" t="s">
        <v>5081</v>
      </c>
      <c r="U3461" s="2" t="s">
        <v>186</v>
      </c>
      <c r="V3461" s="2" t="s">
        <v>47</v>
      </c>
      <c r="W3461" s="2" t="s">
        <v>119</v>
      </c>
      <c r="X3461" s="2">
        <v>335.96499999999997</v>
      </c>
    </row>
    <row r="3462" spans="1:24" x14ac:dyDescent="0.3">
      <c r="A3462">
        <v>21316</v>
      </c>
      <c r="B3462" t="s">
        <v>8548</v>
      </c>
      <c r="C3462" s="3">
        <v>41819</v>
      </c>
      <c r="D3462" t="s">
        <v>50</v>
      </c>
      <c r="E3462">
        <v>17</v>
      </c>
      <c r="F3462" s="3">
        <f ca="1">41820+(RANDBETWEEN(1,10))</f>
        <v>41828</v>
      </c>
      <c r="G3462" t="s">
        <v>26</v>
      </c>
      <c r="H3462" t="s">
        <v>27</v>
      </c>
      <c r="I3462" t="s">
        <v>28</v>
      </c>
      <c r="J3462">
        <v>10255.42</v>
      </c>
      <c r="K3462">
        <v>0.08</v>
      </c>
      <c r="L3462">
        <v>0.59</v>
      </c>
      <c r="M3462">
        <v>17.5</v>
      </c>
      <c r="N3462">
        <v>7076.2398000000003</v>
      </c>
      <c r="O3462" s="1" t="s">
        <v>40</v>
      </c>
      <c r="P3462" s="1" t="s">
        <v>5150</v>
      </c>
      <c r="Q3462" s="1" t="s">
        <v>5151</v>
      </c>
      <c r="R3462" s="1" t="s">
        <v>43</v>
      </c>
      <c r="S3462" s="1" t="s">
        <v>5152</v>
      </c>
      <c r="T3462" s="1" t="s">
        <v>5153</v>
      </c>
      <c r="U3462" s="2" t="s">
        <v>6973</v>
      </c>
      <c r="V3462" s="2" t="s">
        <v>36</v>
      </c>
      <c r="W3462" s="2" t="s">
        <v>37</v>
      </c>
      <c r="X3462" s="2">
        <v>720.96500000000003</v>
      </c>
    </row>
    <row r="3463" spans="1:24" x14ac:dyDescent="0.3">
      <c r="A3463">
        <v>21317</v>
      </c>
      <c r="B3463" t="s">
        <v>8549</v>
      </c>
      <c r="C3463" s="3">
        <v>41971</v>
      </c>
      <c r="D3463" t="s">
        <v>50</v>
      </c>
      <c r="E3463">
        <v>34</v>
      </c>
      <c r="F3463" s="3">
        <f ca="1">41974+(RANDBETWEEN(1,10))</f>
        <v>41975</v>
      </c>
      <c r="G3463" t="s">
        <v>26</v>
      </c>
      <c r="H3463" t="s">
        <v>27</v>
      </c>
      <c r="I3463" t="s">
        <v>52</v>
      </c>
      <c r="J3463">
        <v>11591.615</v>
      </c>
      <c r="K3463">
        <v>0.05</v>
      </c>
      <c r="L3463">
        <v>0.57999999999999996</v>
      </c>
      <c r="M3463">
        <v>20.72</v>
      </c>
      <c r="N3463">
        <v>7710.3734400000003</v>
      </c>
      <c r="O3463" s="1" t="s">
        <v>29</v>
      </c>
      <c r="P3463" s="1" t="s">
        <v>8132</v>
      </c>
      <c r="Q3463" s="1" t="s">
        <v>8133</v>
      </c>
      <c r="R3463" s="1" t="s">
        <v>675</v>
      </c>
      <c r="S3463" s="1" t="s">
        <v>8134</v>
      </c>
      <c r="T3463" s="1" t="s">
        <v>3517</v>
      </c>
      <c r="U3463" s="2">
        <v>8890</v>
      </c>
      <c r="V3463" s="2" t="s">
        <v>36</v>
      </c>
      <c r="W3463" s="2" t="s">
        <v>37</v>
      </c>
      <c r="X3463" s="2">
        <v>405.96499999999997</v>
      </c>
    </row>
    <row r="3464" spans="1:24" x14ac:dyDescent="0.3">
      <c r="A3464">
        <v>21318</v>
      </c>
      <c r="B3464" t="s">
        <v>8550</v>
      </c>
      <c r="C3464" s="3">
        <v>41115</v>
      </c>
      <c r="D3464" t="s">
        <v>62</v>
      </c>
      <c r="E3464">
        <v>5</v>
      </c>
      <c r="F3464" s="3">
        <f ca="1">41117+(RANDBETWEEN(1,10))</f>
        <v>41121</v>
      </c>
      <c r="G3464" t="s">
        <v>26</v>
      </c>
      <c r="H3464" t="s">
        <v>27</v>
      </c>
      <c r="I3464" t="s">
        <v>52</v>
      </c>
      <c r="J3464">
        <v>126.35</v>
      </c>
      <c r="K3464">
        <v>0.08</v>
      </c>
      <c r="L3464">
        <v>0.35</v>
      </c>
      <c r="M3464">
        <v>19.145</v>
      </c>
      <c r="N3464">
        <v>-98.454999999999998</v>
      </c>
      <c r="O3464" s="1" t="s">
        <v>225</v>
      </c>
      <c r="P3464" s="1" t="s">
        <v>4819</v>
      </c>
      <c r="Q3464" s="1" t="s">
        <v>4820</v>
      </c>
      <c r="R3464" s="1" t="s">
        <v>228</v>
      </c>
      <c r="S3464" s="1" t="s">
        <v>4821</v>
      </c>
      <c r="T3464" s="1" t="s">
        <v>4822</v>
      </c>
      <c r="U3464" s="2" t="s">
        <v>5381</v>
      </c>
      <c r="V3464" s="2" t="s">
        <v>47</v>
      </c>
      <c r="W3464" s="2" t="s">
        <v>74</v>
      </c>
      <c r="X3464" s="2">
        <v>25.48</v>
      </c>
    </row>
    <row r="3465" spans="1:24" x14ac:dyDescent="0.3">
      <c r="A3465">
        <v>21319</v>
      </c>
      <c r="B3465" t="s">
        <v>8551</v>
      </c>
      <c r="C3465" s="3">
        <v>41978</v>
      </c>
      <c r="D3465" t="s">
        <v>25</v>
      </c>
      <c r="E3465">
        <v>6</v>
      </c>
      <c r="F3465" s="3">
        <f ca="1">41978+(RANDBETWEEN(1,10))</f>
        <v>41988</v>
      </c>
      <c r="G3465" t="s">
        <v>26</v>
      </c>
      <c r="H3465" t="s">
        <v>281</v>
      </c>
      <c r="I3465" t="s">
        <v>28</v>
      </c>
      <c r="J3465">
        <v>1252.6500000000001</v>
      </c>
      <c r="K3465">
        <v>0.06</v>
      </c>
      <c r="L3465">
        <v>0.72</v>
      </c>
      <c r="M3465">
        <v>182.7</v>
      </c>
      <c r="N3465">
        <v>-328.24511999999999</v>
      </c>
      <c r="O3465" s="1" t="s">
        <v>53</v>
      </c>
      <c r="P3465" s="1" t="s">
        <v>8552</v>
      </c>
      <c r="Q3465" s="1" t="s">
        <v>8553</v>
      </c>
      <c r="R3465" s="1" t="s">
        <v>100</v>
      </c>
      <c r="S3465" s="1" t="s">
        <v>8554</v>
      </c>
      <c r="T3465" s="1" t="s">
        <v>8555</v>
      </c>
      <c r="U3465" s="2" t="s">
        <v>7095</v>
      </c>
      <c r="V3465" s="2" t="s">
        <v>83</v>
      </c>
      <c r="W3465" s="2" t="s">
        <v>178</v>
      </c>
      <c r="X3465" s="2">
        <v>194.25</v>
      </c>
    </row>
    <row r="3466" spans="1:24" x14ac:dyDescent="0.3">
      <c r="A3466">
        <v>21320</v>
      </c>
      <c r="B3466" t="s">
        <v>8551</v>
      </c>
      <c r="C3466" s="3">
        <v>41978</v>
      </c>
      <c r="D3466" t="s">
        <v>25</v>
      </c>
      <c r="E3466">
        <v>24</v>
      </c>
      <c r="F3466" s="3">
        <f ca="1">41982+(RANDBETWEEN(1,10))</f>
        <v>41990</v>
      </c>
      <c r="G3466" t="s">
        <v>76</v>
      </c>
      <c r="H3466" t="s">
        <v>258</v>
      </c>
      <c r="I3466" t="s">
        <v>28</v>
      </c>
      <c r="J3466">
        <v>19554.535</v>
      </c>
      <c r="K3466">
        <v>0</v>
      </c>
      <c r="L3466">
        <v>0.68</v>
      </c>
      <c r="M3466">
        <v>113.68</v>
      </c>
      <c r="N3466">
        <v>9825.49568</v>
      </c>
      <c r="O3466" s="1" t="s">
        <v>53</v>
      </c>
      <c r="P3466" s="1" t="s">
        <v>8552</v>
      </c>
      <c r="Q3466" s="1" t="s">
        <v>8553</v>
      </c>
      <c r="R3466" s="1" t="s">
        <v>100</v>
      </c>
      <c r="S3466" s="1" t="s">
        <v>8554</v>
      </c>
      <c r="T3466" s="1" t="s">
        <v>8555</v>
      </c>
      <c r="U3466" s="2" t="s">
        <v>1081</v>
      </c>
      <c r="V3466" s="2" t="s">
        <v>83</v>
      </c>
      <c r="W3466" s="2" t="s">
        <v>263</v>
      </c>
      <c r="X3466" s="2">
        <v>796.42499999999995</v>
      </c>
    </row>
    <row r="3467" spans="1:24" x14ac:dyDescent="0.3">
      <c r="A3467">
        <v>21321</v>
      </c>
      <c r="B3467" t="s">
        <v>8556</v>
      </c>
      <c r="C3467" s="3">
        <v>41258</v>
      </c>
      <c r="D3467" t="s">
        <v>39</v>
      </c>
      <c r="E3467">
        <v>5</v>
      </c>
      <c r="F3467" s="3">
        <f ca="1">41259+(RANDBETWEEN(1,10))</f>
        <v>41265</v>
      </c>
      <c r="G3467" t="s">
        <v>26</v>
      </c>
      <c r="H3467" t="s">
        <v>51</v>
      </c>
      <c r="I3467" t="s">
        <v>97</v>
      </c>
      <c r="J3467">
        <v>714.42</v>
      </c>
      <c r="K3467">
        <v>0.06</v>
      </c>
      <c r="L3467">
        <v>0.42</v>
      </c>
      <c r="M3467">
        <v>6.9649999999999999</v>
      </c>
      <c r="N3467">
        <v>274.995</v>
      </c>
      <c r="O3467" s="1" t="s">
        <v>40</v>
      </c>
      <c r="P3467" s="1" t="s">
        <v>8557</v>
      </c>
      <c r="Q3467" s="1" t="s">
        <v>8558</v>
      </c>
      <c r="R3467" s="1" t="s">
        <v>43</v>
      </c>
      <c r="S3467" s="1" t="s">
        <v>8559</v>
      </c>
      <c r="T3467" s="1" t="s">
        <v>8560</v>
      </c>
      <c r="U3467" s="2" t="s">
        <v>1997</v>
      </c>
      <c r="V3467" s="2" t="s">
        <v>36</v>
      </c>
      <c r="W3467" s="2" t="s">
        <v>60</v>
      </c>
      <c r="X3467" s="2">
        <v>143.39500000000001</v>
      </c>
    </row>
    <row r="3468" spans="1:24" x14ac:dyDescent="0.3">
      <c r="A3468">
        <v>21322</v>
      </c>
      <c r="B3468" t="s">
        <v>8561</v>
      </c>
      <c r="C3468" s="3">
        <v>41861</v>
      </c>
      <c r="D3468" t="s">
        <v>39</v>
      </c>
      <c r="E3468">
        <v>13</v>
      </c>
      <c r="F3468" s="3">
        <f ca="1">41863+(RANDBETWEEN(1,10))</f>
        <v>41865</v>
      </c>
      <c r="G3468" t="s">
        <v>76</v>
      </c>
      <c r="H3468" t="s">
        <v>77</v>
      </c>
      <c r="I3468" t="s">
        <v>86</v>
      </c>
      <c r="J3468">
        <v>10786.16</v>
      </c>
      <c r="K3468">
        <v>0.02</v>
      </c>
      <c r="L3468">
        <v>0.72</v>
      </c>
      <c r="M3468">
        <v>100.31</v>
      </c>
      <c r="N3468">
        <v>4169.8202000000001</v>
      </c>
      <c r="O3468" s="1" t="s">
        <v>87</v>
      </c>
      <c r="P3468" s="1" t="s">
        <v>6572</v>
      </c>
      <c r="Q3468" s="1" t="s">
        <v>6573</v>
      </c>
      <c r="R3468" s="1" t="s">
        <v>497</v>
      </c>
      <c r="S3468" s="1" t="s">
        <v>6574</v>
      </c>
      <c r="T3468" s="1" t="s">
        <v>6575</v>
      </c>
      <c r="U3468" s="2" t="s">
        <v>2071</v>
      </c>
      <c r="V3468" s="2" t="s">
        <v>47</v>
      </c>
      <c r="W3468" s="2" t="s">
        <v>119</v>
      </c>
      <c r="X3468" s="2">
        <v>787.57</v>
      </c>
    </row>
    <row r="3469" spans="1:24" x14ac:dyDescent="0.3">
      <c r="A3469">
        <v>21323</v>
      </c>
      <c r="B3469" t="s">
        <v>8562</v>
      </c>
      <c r="C3469" s="3">
        <v>40620</v>
      </c>
      <c r="D3469" t="s">
        <v>148</v>
      </c>
      <c r="E3469">
        <v>11</v>
      </c>
      <c r="F3469" s="3">
        <f ca="1">40621+(RANDBETWEEN(1,10))</f>
        <v>40631</v>
      </c>
      <c r="G3469" t="s">
        <v>76</v>
      </c>
      <c r="H3469" t="s">
        <v>258</v>
      </c>
      <c r="I3469" t="s">
        <v>28</v>
      </c>
      <c r="J3469">
        <v>9068.8150000000005</v>
      </c>
      <c r="K3469">
        <v>0.01</v>
      </c>
      <c r="L3469">
        <v>0.62</v>
      </c>
      <c r="M3469">
        <v>226.31</v>
      </c>
      <c r="N3469">
        <v>3671.605</v>
      </c>
      <c r="O3469" s="1" t="s">
        <v>53</v>
      </c>
      <c r="P3469" s="1" t="s">
        <v>8563</v>
      </c>
      <c r="Q3469" s="1" t="s">
        <v>8564</v>
      </c>
      <c r="R3469" s="1" t="s">
        <v>440</v>
      </c>
      <c r="S3469" s="1" t="s">
        <v>7286</v>
      </c>
      <c r="T3469" s="1" t="s">
        <v>2516</v>
      </c>
      <c r="U3469" s="2" t="s">
        <v>1292</v>
      </c>
      <c r="V3469" s="2" t="s">
        <v>83</v>
      </c>
      <c r="W3469" s="2" t="s">
        <v>298</v>
      </c>
      <c r="X3469" s="2">
        <v>773.43</v>
      </c>
    </row>
    <row r="3470" spans="1:24" x14ac:dyDescent="0.3">
      <c r="A3470">
        <v>21324</v>
      </c>
      <c r="B3470" t="s">
        <v>8565</v>
      </c>
      <c r="C3470" s="3">
        <v>41969</v>
      </c>
      <c r="D3470" t="s">
        <v>50</v>
      </c>
      <c r="E3470">
        <v>14</v>
      </c>
      <c r="F3470" s="3">
        <f ca="1">41970+(RANDBETWEEN(1,10))</f>
        <v>41980</v>
      </c>
      <c r="G3470" t="s">
        <v>26</v>
      </c>
      <c r="H3470" t="s">
        <v>27</v>
      </c>
      <c r="I3470" t="s">
        <v>52</v>
      </c>
      <c r="J3470">
        <v>1493.59</v>
      </c>
      <c r="K3470">
        <v>0.06</v>
      </c>
      <c r="L3470">
        <v>0.75</v>
      </c>
      <c r="M3470">
        <v>23.52</v>
      </c>
      <c r="N3470">
        <v>-756.80499999999995</v>
      </c>
      <c r="O3470" s="1" t="s">
        <v>29</v>
      </c>
      <c r="P3470" s="1" t="s">
        <v>7567</v>
      </c>
      <c r="Q3470" s="1" t="s">
        <v>7568</v>
      </c>
      <c r="R3470" s="1" t="s">
        <v>675</v>
      </c>
      <c r="S3470" s="1" t="s">
        <v>7569</v>
      </c>
      <c r="T3470" s="1" t="s">
        <v>7570</v>
      </c>
      <c r="U3470" s="2" t="s">
        <v>1219</v>
      </c>
      <c r="V3470" s="2" t="s">
        <v>47</v>
      </c>
      <c r="W3470" s="2" t="s">
        <v>119</v>
      </c>
      <c r="X3470" s="2">
        <v>111.93</v>
      </c>
    </row>
    <row r="3471" spans="1:24" x14ac:dyDescent="0.3">
      <c r="A3471">
        <v>21325</v>
      </c>
      <c r="B3471" t="s">
        <v>8566</v>
      </c>
      <c r="C3471" s="3">
        <v>40737</v>
      </c>
      <c r="D3471" t="s">
        <v>25</v>
      </c>
      <c r="E3471">
        <v>4</v>
      </c>
      <c r="F3471" s="3">
        <f ca="1">40741+(RANDBETWEEN(1,10))</f>
        <v>40747</v>
      </c>
      <c r="G3471" t="s">
        <v>26</v>
      </c>
      <c r="H3471" t="s">
        <v>63</v>
      </c>
      <c r="I3471" t="s">
        <v>28</v>
      </c>
      <c r="J3471">
        <v>114.1</v>
      </c>
      <c r="K3471">
        <v>0.06</v>
      </c>
      <c r="L3471">
        <v>0.6</v>
      </c>
      <c r="M3471">
        <v>171.5</v>
      </c>
      <c r="N3471">
        <v>-1981</v>
      </c>
      <c r="O3471" s="1" t="s">
        <v>64</v>
      </c>
      <c r="P3471" s="1" t="s">
        <v>4058</v>
      </c>
      <c r="Q3471" s="1" t="s">
        <v>4059</v>
      </c>
      <c r="R3471" s="1" t="s">
        <v>67</v>
      </c>
      <c r="S3471" s="1" t="s">
        <v>4060</v>
      </c>
      <c r="T3471" s="1" t="s">
        <v>4061</v>
      </c>
      <c r="U3471" s="2" t="s">
        <v>919</v>
      </c>
      <c r="V3471" s="2" t="s">
        <v>47</v>
      </c>
      <c r="W3471" s="2" t="s">
        <v>71</v>
      </c>
      <c r="X3471" s="2">
        <v>15.68</v>
      </c>
    </row>
    <row r="3472" spans="1:24" x14ac:dyDescent="0.3">
      <c r="A3472">
        <v>21326</v>
      </c>
      <c r="B3472" t="s">
        <v>8567</v>
      </c>
      <c r="C3472" s="3">
        <v>41578</v>
      </c>
      <c r="D3472" t="s">
        <v>62</v>
      </c>
      <c r="E3472">
        <v>15</v>
      </c>
      <c r="F3472" s="3">
        <f ca="1">41580+(RANDBETWEEN(1,10))</f>
        <v>41587</v>
      </c>
      <c r="G3472" t="s">
        <v>26</v>
      </c>
      <c r="H3472" t="s">
        <v>27</v>
      </c>
      <c r="I3472" t="s">
        <v>97</v>
      </c>
      <c r="J3472">
        <v>350.42</v>
      </c>
      <c r="K3472">
        <v>0</v>
      </c>
      <c r="L3472">
        <v>0.37</v>
      </c>
      <c r="M3472">
        <v>20.440000000000001</v>
      </c>
      <c r="N3472">
        <v>26.25</v>
      </c>
      <c r="O3472" s="1" t="s">
        <v>53</v>
      </c>
      <c r="P3472" s="1" t="s">
        <v>5104</v>
      </c>
      <c r="Q3472" s="1" t="s">
        <v>5105</v>
      </c>
      <c r="R3472" s="1" t="s">
        <v>440</v>
      </c>
      <c r="S3472" s="1" t="s">
        <v>5106</v>
      </c>
      <c r="T3472" s="1" t="s">
        <v>5107</v>
      </c>
      <c r="U3472" s="2" t="s">
        <v>8568</v>
      </c>
      <c r="V3472" s="2" t="s">
        <v>47</v>
      </c>
      <c r="W3472" s="2" t="s">
        <v>74</v>
      </c>
      <c r="X3472" s="2">
        <v>22.68</v>
      </c>
    </row>
    <row r="3473" spans="1:24" x14ac:dyDescent="0.3">
      <c r="A3473">
        <v>21327</v>
      </c>
      <c r="B3473" t="s">
        <v>8569</v>
      </c>
      <c r="C3473" s="3">
        <v>40918</v>
      </c>
      <c r="D3473" t="s">
        <v>25</v>
      </c>
      <c r="E3473">
        <v>12</v>
      </c>
      <c r="F3473" s="3">
        <f ca="1">40918+(RANDBETWEEN(1,10))</f>
        <v>40923</v>
      </c>
      <c r="G3473" t="s">
        <v>76</v>
      </c>
      <c r="H3473" t="s">
        <v>77</v>
      </c>
      <c r="I3473" t="s">
        <v>28</v>
      </c>
      <c r="J3473">
        <v>19530.384999999998</v>
      </c>
      <c r="K3473">
        <v>0.09</v>
      </c>
      <c r="L3473">
        <v>0.6</v>
      </c>
      <c r="M3473">
        <v>91</v>
      </c>
      <c r="N3473">
        <v>13475.96565</v>
      </c>
      <c r="O3473" s="1" t="s">
        <v>29</v>
      </c>
      <c r="P3473" s="1" t="s">
        <v>8570</v>
      </c>
      <c r="Q3473" s="1" t="s">
        <v>8571</v>
      </c>
      <c r="R3473" s="1" t="s">
        <v>32</v>
      </c>
      <c r="S3473" s="1" t="s">
        <v>8572</v>
      </c>
      <c r="T3473" s="1" t="s">
        <v>8573</v>
      </c>
      <c r="U3473" s="2" t="s">
        <v>1670</v>
      </c>
      <c r="V3473" s="2" t="s">
        <v>83</v>
      </c>
      <c r="W3473" s="2" t="s">
        <v>84</v>
      </c>
      <c r="X3473" s="2">
        <v>1753.43</v>
      </c>
    </row>
    <row r="3474" spans="1:24" x14ac:dyDescent="0.3">
      <c r="A3474">
        <v>21328</v>
      </c>
      <c r="B3474" t="s">
        <v>8569</v>
      </c>
      <c r="C3474" s="3">
        <v>40918</v>
      </c>
      <c r="D3474" t="s">
        <v>25</v>
      </c>
      <c r="E3474">
        <v>2</v>
      </c>
      <c r="F3474" s="3">
        <f ca="1">40923+(RANDBETWEEN(1,10))</f>
        <v>40933</v>
      </c>
      <c r="G3474" t="s">
        <v>26</v>
      </c>
      <c r="H3474" t="s">
        <v>63</v>
      </c>
      <c r="I3474" t="s">
        <v>28</v>
      </c>
      <c r="J3474">
        <v>169.75</v>
      </c>
      <c r="K3474">
        <v>0.09</v>
      </c>
      <c r="L3474">
        <v>0.84</v>
      </c>
      <c r="M3474">
        <v>122.5</v>
      </c>
      <c r="N3474">
        <v>-845.649</v>
      </c>
      <c r="O3474" s="1" t="s">
        <v>29</v>
      </c>
      <c r="P3474" s="1" t="s">
        <v>8570</v>
      </c>
      <c r="Q3474" s="1" t="s">
        <v>8571</v>
      </c>
      <c r="R3474" s="1" t="s">
        <v>32</v>
      </c>
      <c r="S3474" s="1" t="s">
        <v>8572</v>
      </c>
      <c r="T3474" s="1" t="s">
        <v>8573</v>
      </c>
      <c r="U3474" s="2" t="s">
        <v>2742</v>
      </c>
      <c r="V3474" s="2" t="s">
        <v>47</v>
      </c>
      <c r="W3474" s="2" t="s">
        <v>119</v>
      </c>
      <c r="X3474" s="2">
        <v>71.19</v>
      </c>
    </row>
    <row r="3475" spans="1:24" x14ac:dyDescent="0.3">
      <c r="A3475">
        <v>21329</v>
      </c>
      <c r="B3475" t="s">
        <v>8574</v>
      </c>
      <c r="C3475" s="3">
        <v>40581</v>
      </c>
      <c r="D3475" t="s">
        <v>25</v>
      </c>
      <c r="E3475">
        <v>8</v>
      </c>
      <c r="F3475" s="3">
        <f ca="1">40588+(RANDBETWEEN(1,10))</f>
        <v>40590</v>
      </c>
      <c r="G3475" t="s">
        <v>26</v>
      </c>
      <c r="H3475" t="s">
        <v>27</v>
      </c>
      <c r="I3475" t="s">
        <v>52</v>
      </c>
      <c r="J3475">
        <v>588.14</v>
      </c>
      <c r="K3475">
        <v>0.04</v>
      </c>
      <c r="L3475">
        <v>0.37</v>
      </c>
      <c r="M3475">
        <v>30.38</v>
      </c>
      <c r="N3475">
        <v>378</v>
      </c>
      <c r="O3475" s="1" t="s">
        <v>40</v>
      </c>
      <c r="P3475" s="1" t="s">
        <v>6016</v>
      </c>
      <c r="Q3475" s="1" t="s">
        <v>6017</v>
      </c>
      <c r="R3475" s="1" t="s">
        <v>43</v>
      </c>
      <c r="S3475" s="1" t="s">
        <v>6018</v>
      </c>
      <c r="T3475" s="1" t="s">
        <v>6019</v>
      </c>
      <c r="U3475" s="2" t="s">
        <v>3983</v>
      </c>
      <c r="V3475" s="2" t="s">
        <v>47</v>
      </c>
      <c r="W3475" s="2" t="s">
        <v>74</v>
      </c>
      <c r="X3475" s="2">
        <v>69.930000000000007</v>
      </c>
    </row>
    <row r="3476" spans="1:24" x14ac:dyDescent="0.3">
      <c r="A3476">
        <v>21330</v>
      </c>
      <c r="B3476" t="s">
        <v>8574</v>
      </c>
      <c r="C3476" s="3">
        <v>40581</v>
      </c>
      <c r="D3476" t="s">
        <v>25</v>
      </c>
      <c r="E3476">
        <v>7</v>
      </c>
      <c r="F3476" s="3">
        <f ca="1">40583+(RANDBETWEEN(1,10))</f>
        <v>40587</v>
      </c>
      <c r="G3476" t="s">
        <v>26</v>
      </c>
      <c r="H3476" t="s">
        <v>27</v>
      </c>
      <c r="I3476" t="s">
        <v>52</v>
      </c>
      <c r="J3476">
        <v>2462.11</v>
      </c>
      <c r="K3476">
        <v>0.08</v>
      </c>
      <c r="L3476">
        <v>0.57999999999999996</v>
      </c>
      <c r="M3476">
        <v>26.914999999999999</v>
      </c>
      <c r="N3476">
        <v>1320.039</v>
      </c>
      <c r="O3476" s="1" t="s">
        <v>40</v>
      </c>
      <c r="P3476" s="1" t="s">
        <v>6016</v>
      </c>
      <c r="Q3476" s="1" t="s">
        <v>6017</v>
      </c>
      <c r="R3476" s="1" t="s">
        <v>43</v>
      </c>
      <c r="S3476" s="1" t="s">
        <v>6018</v>
      </c>
      <c r="T3476" s="1" t="s">
        <v>6019</v>
      </c>
      <c r="U3476" s="2" t="s">
        <v>2511</v>
      </c>
      <c r="V3476" s="2" t="s">
        <v>36</v>
      </c>
      <c r="W3476" s="2" t="s">
        <v>37</v>
      </c>
      <c r="X3476" s="2">
        <v>440.96499999999997</v>
      </c>
    </row>
    <row r="3477" spans="1:24" x14ac:dyDescent="0.3">
      <c r="A3477">
        <v>21331</v>
      </c>
      <c r="B3477" t="s">
        <v>8575</v>
      </c>
      <c r="C3477" s="3">
        <v>41794</v>
      </c>
      <c r="D3477" t="s">
        <v>50</v>
      </c>
      <c r="E3477">
        <v>3</v>
      </c>
      <c r="F3477" s="3">
        <f ca="1">41796+(RANDBETWEEN(1,10))</f>
        <v>41798</v>
      </c>
      <c r="G3477" t="s">
        <v>26</v>
      </c>
      <c r="H3477" t="s">
        <v>27</v>
      </c>
      <c r="I3477" t="s">
        <v>97</v>
      </c>
      <c r="J3477">
        <v>129.91999999999999</v>
      </c>
      <c r="K3477">
        <v>0.1</v>
      </c>
      <c r="L3477">
        <v>0.35</v>
      </c>
      <c r="M3477">
        <v>5.2149999999999999</v>
      </c>
      <c r="N3477">
        <v>-2000.4446</v>
      </c>
      <c r="O3477" s="1" t="s">
        <v>87</v>
      </c>
      <c r="P3477" s="1" t="s">
        <v>5275</v>
      </c>
      <c r="Q3477" s="1" t="s">
        <v>5276</v>
      </c>
      <c r="R3477" s="1" t="s">
        <v>646</v>
      </c>
      <c r="S3477" s="1" t="s">
        <v>5277</v>
      </c>
      <c r="T3477" s="1" t="s">
        <v>5278</v>
      </c>
      <c r="U3477" s="2" t="s">
        <v>2551</v>
      </c>
      <c r="V3477" s="2" t="s">
        <v>47</v>
      </c>
      <c r="W3477" s="2" t="s">
        <v>111</v>
      </c>
      <c r="X3477" s="2">
        <v>45.395000000000003</v>
      </c>
    </row>
    <row r="3478" spans="1:24" x14ac:dyDescent="0.3">
      <c r="A3478">
        <v>21332</v>
      </c>
      <c r="B3478" t="s">
        <v>8576</v>
      </c>
      <c r="C3478" s="3">
        <v>41847</v>
      </c>
      <c r="D3478" t="s">
        <v>62</v>
      </c>
      <c r="E3478">
        <v>11</v>
      </c>
      <c r="F3478" s="3">
        <f ca="1">41847+(RANDBETWEEN(1,10))</f>
        <v>41851</v>
      </c>
      <c r="G3478" t="s">
        <v>76</v>
      </c>
      <c r="H3478" t="s">
        <v>77</v>
      </c>
      <c r="I3478" t="s">
        <v>97</v>
      </c>
      <c r="J3478">
        <v>7033.25</v>
      </c>
      <c r="K3478">
        <v>0.1</v>
      </c>
      <c r="L3478">
        <v>0.36</v>
      </c>
      <c r="M3478">
        <v>54.564999999999998</v>
      </c>
      <c r="N3478">
        <v>4289.4179999999997</v>
      </c>
      <c r="O3478" s="1" t="s">
        <v>40</v>
      </c>
      <c r="P3478" s="1" t="s">
        <v>3435</v>
      </c>
      <c r="Q3478" s="1" t="s">
        <v>3436</v>
      </c>
      <c r="R3478" s="1" t="s">
        <v>43</v>
      </c>
      <c r="S3478" s="1" t="s">
        <v>3113</v>
      </c>
      <c r="T3478" s="1" t="s">
        <v>3114</v>
      </c>
      <c r="U3478" s="2" t="s">
        <v>6020</v>
      </c>
      <c r="V3478" s="2" t="s">
        <v>36</v>
      </c>
      <c r="W3478" s="2" t="s">
        <v>142</v>
      </c>
      <c r="X3478" s="2">
        <v>703.39499999999998</v>
      </c>
    </row>
    <row r="3479" spans="1:24" x14ac:dyDescent="0.3">
      <c r="A3479">
        <v>21333</v>
      </c>
      <c r="B3479" t="s">
        <v>8577</v>
      </c>
      <c r="C3479" s="3">
        <v>41169</v>
      </c>
      <c r="D3479" t="s">
        <v>25</v>
      </c>
      <c r="E3479">
        <v>9</v>
      </c>
      <c r="F3479" s="3">
        <f ca="1">41176+(RANDBETWEEN(1,10))</f>
        <v>41186</v>
      </c>
      <c r="G3479" t="s">
        <v>26</v>
      </c>
      <c r="H3479" t="s">
        <v>27</v>
      </c>
      <c r="I3479" t="s">
        <v>52</v>
      </c>
      <c r="J3479">
        <v>200.27</v>
      </c>
      <c r="K3479">
        <v>0.1</v>
      </c>
      <c r="L3479">
        <v>0.37</v>
      </c>
      <c r="M3479">
        <v>24.22</v>
      </c>
      <c r="N3479">
        <v>-259.10500000000002</v>
      </c>
      <c r="O3479" s="1" t="s">
        <v>53</v>
      </c>
      <c r="P3479" s="1" t="s">
        <v>8578</v>
      </c>
      <c r="Q3479" s="1" t="s">
        <v>8579</v>
      </c>
      <c r="R3479" s="1" t="s">
        <v>100</v>
      </c>
      <c r="S3479" s="1" t="s">
        <v>2539</v>
      </c>
      <c r="T3479" s="1" t="s">
        <v>2540</v>
      </c>
      <c r="U3479" s="2" t="s">
        <v>2561</v>
      </c>
      <c r="V3479" s="2" t="s">
        <v>47</v>
      </c>
      <c r="W3479" s="2" t="s">
        <v>74</v>
      </c>
      <c r="X3479" s="2">
        <v>23.38</v>
      </c>
    </row>
    <row r="3480" spans="1:24" x14ac:dyDescent="0.3">
      <c r="A3480">
        <v>21334</v>
      </c>
      <c r="B3480" t="s">
        <v>8580</v>
      </c>
      <c r="C3480" s="3">
        <v>40730</v>
      </c>
      <c r="D3480" t="s">
        <v>50</v>
      </c>
      <c r="E3480">
        <v>12</v>
      </c>
      <c r="F3480" s="3">
        <f ca="1">40732+(RANDBETWEEN(1,10))</f>
        <v>40739</v>
      </c>
      <c r="G3480" t="s">
        <v>26</v>
      </c>
      <c r="H3480" t="s">
        <v>27</v>
      </c>
      <c r="I3480" t="s">
        <v>97</v>
      </c>
      <c r="J3480">
        <v>1954.4349999999999</v>
      </c>
      <c r="K3480">
        <v>0</v>
      </c>
      <c r="L3480">
        <v>0.56000000000000005</v>
      </c>
      <c r="M3480">
        <v>16.170000000000002</v>
      </c>
      <c r="N3480">
        <v>1348.56015</v>
      </c>
      <c r="O3480" s="1" t="s">
        <v>53</v>
      </c>
      <c r="P3480" s="1" t="s">
        <v>5544</v>
      </c>
      <c r="Q3480" s="1" t="s">
        <v>5545</v>
      </c>
      <c r="R3480" s="1" t="s">
        <v>56</v>
      </c>
      <c r="S3480" s="1" t="s">
        <v>5546</v>
      </c>
      <c r="T3480" s="1" t="s">
        <v>5547</v>
      </c>
      <c r="U3480" s="2" t="s">
        <v>5674</v>
      </c>
      <c r="V3480" s="2" t="s">
        <v>47</v>
      </c>
      <c r="W3480" s="2" t="s">
        <v>71</v>
      </c>
      <c r="X3480" s="2">
        <v>150.43</v>
      </c>
    </row>
    <row r="3481" spans="1:24" x14ac:dyDescent="0.3">
      <c r="A3481">
        <v>21335</v>
      </c>
      <c r="B3481" t="s">
        <v>8580</v>
      </c>
      <c r="C3481" s="3">
        <v>40730</v>
      </c>
      <c r="D3481" t="s">
        <v>50</v>
      </c>
      <c r="E3481">
        <v>13</v>
      </c>
      <c r="F3481" s="3">
        <f ca="1">40732+(RANDBETWEEN(1,10))</f>
        <v>40734</v>
      </c>
      <c r="G3481" t="s">
        <v>26</v>
      </c>
      <c r="H3481" t="s">
        <v>281</v>
      </c>
      <c r="I3481" t="s">
        <v>97</v>
      </c>
      <c r="J3481">
        <v>1015.77</v>
      </c>
      <c r="K3481">
        <v>0.03</v>
      </c>
      <c r="L3481">
        <v>0.5</v>
      </c>
      <c r="M3481">
        <v>20.79</v>
      </c>
      <c r="N3481">
        <v>655.20000000000005</v>
      </c>
      <c r="O3481" s="1" t="s">
        <v>53</v>
      </c>
      <c r="P3481" s="1" t="s">
        <v>5544</v>
      </c>
      <c r="Q3481" s="1" t="s">
        <v>5545</v>
      </c>
      <c r="R3481" s="1" t="s">
        <v>56</v>
      </c>
      <c r="S3481" s="1" t="s">
        <v>5546</v>
      </c>
      <c r="T3481" s="1" t="s">
        <v>5547</v>
      </c>
      <c r="U3481" s="2" t="s">
        <v>785</v>
      </c>
      <c r="V3481" s="2" t="s">
        <v>47</v>
      </c>
      <c r="W3481" s="2" t="s">
        <v>71</v>
      </c>
      <c r="X3481" s="2">
        <v>76.23</v>
      </c>
    </row>
    <row r="3482" spans="1:24" x14ac:dyDescent="0.3">
      <c r="A3482">
        <v>21336</v>
      </c>
      <c r="B3482" t="s">
        <v>8581</v>
      </c>
      <c r="C3482" s="3">
        <v>41826</v>
      </c>
      <c r="D3482" t="s">
        <v>50</v>
      </c>
      <c r="E3482">
        <v>4</v>
      </c>
      <c r="F3482" s="3">
        <f ca="1">41827+(RANDBETWEEN(1,10))</f>
        <v>41828</v>
      </c>
      <c r="G3482" t="s">
        <v>26</v>
      </c>
      <c r="H3482" t="s">
        <v>27</v>
      </c>
      <c r="I3482" t="s">
        <v>97</v>
      </c>
      <c r="J3482">
        <v>42.034999999999997</v>
      </c>
      <c r="K3482">
        <v>0.08</v>
      </c>
      <c r="L3482">
        <v>0.37</v>
      </c>
      <c r="M3482">
        <v>1.75</v>
      </c>
      <c r="N3482">
        <v>29.004149999999999</v>
      </c>
      <c r="O3482" s="1" t="s">
        <v>53</v>
      </c>
      <c r="P3482" s="1" t="s">
        <v>5544</v>
      </c>
      <c r="Q3482" s="1" t="s">
        <v>5545</v>
      </c>
      <c r="R3482" s="1" t="s">
        <v>56</v>
      </c>
      <c r="S3482" s="1" t="s">
        <v>5546</v>
      </c>
      <c r="T3482" s="1" t="s">
        <v>5547</v>
      </c>
      <c r="U3482" s="2" t="s">
        <v>5970</v>
      </c>
      <c r="V3482" s="2" t="s">
        <v>47</v>
      </c>
      <c r="W3482" s="2" t="s">
        <v>203</v>
      </c>
      <c r="X3482" s="2">
        <v>11.025</v>
      </c>
    </row>
    <row r="3483" spans="1:24" x14ac:dyDescent="0.3">
      <c r="A3483">
        <v>21337</v>
      </c>
      <c r="B3483" t="s">
        <v>8582</v>
      </c>
      <c r="C3483" s="3">
        <v>41952</v>
      </c>
      <c r="D3483" t="s">
        <v>50</v>
      </c>
      <c r="E3483">
        <v>6</v>
      </c>
      <c r="F3483" s="3">
        <f ca="1">41954+(RANDBETWEEN(1,10))</f>
        <v>41964</v>
      </c>
      <c r="G3483" t="s">
        <v>26</v>
      </c>
      <c r="H3483" t="s">
        <v>27</v>
      </c>
      <c r="I3483" t="s">
        <v>97</v>
      </c>
      <c r="J3483">
        <v>3835.93</v>
      </c>
      <c r="K3483">
        <v>0.01</v>
      </c>
      <c r="L3483">
        <v>0.59</v>
      </c>
      <c r="M3483">
        <v>14.7</v>
      </c>
      <c r="N3483">
        <v>643.37195999999994</v>
      </c>
      <c r="O3483" s="1" t="s">
        <v>87</v>
      </c>
      <c r="P3483" s="1" t="s">
        <v>8583</v>
      </c>
      <c r="Q3483" s="1" t="s">
        <v>8584</v>
      </c>
      <c r="R3483" s="1" t="s">
        <v>646</v>
      </c>
      <c r="S3483" s="1" t="s">
        <v>8585</v>
      </c>
      <c r="T3483" s="1" t="s">
        <v>8586</v>
      </c>
      <c r="U3483" s="2" t="s">
        <v>2133</v>
      </c>
      <c r="V3483" s="2" t="s">
        <v>36</v>
      </c>
      <c r="W3483" s="2" t="s">
        <v>37</v>
      </c>
      <c r="X3483" s="2">
        <v>703.46500000000003</v>
      </c>
    </row>
    <row r="3484" spans="1:24" x14ac:dyDescent="0.3">
      <c r="A3484">
        <v>21338</v>
      </c>
      <c r="B3484" t="s">
        <v>8587</v>
      </c>
      <c r="C3484" s="3">
        <v>40736</v>
      </c>
      <c r="D3484" t="s">
        <v>50</v>
      </c>
      <c r="E3484">
        <v>9</v>
      </c>
      <c r="F3484" s="3">
        <f ca="1">40736+(RANDBETWEEN(1,10))</f>
        <v>40737</v>
      </c>
      <c r="G3484" t="s">
        <v>26</v>
      </c>
      <c r="H3484" t="s">
        <v>27</v>
      </c>
      <c r="I3484" t="s">
        <v>97</v>
      </c>
      <c r="J3484">
        <v>1650.81</v>
      </c>
      <c r="K3484">
        <v>7.0000000000000007E-2</v>
      </c>
      <c r="L3484">
        <v>0.57999999999999996</v>
      </c>
      <c r="M3484">
        <v>30.8</v>
      </c>
      <c r="N3484">
        <v>384.42599999999999</v>
      </c>
      <c r="O3484" s="1" t="s">
        <v>64</v>
      </c>
      <c r="P3484" s="1" t="s">
        <v>7251</v>
      </c>
      <c r="Q3484" s="1" t="s">
        <v>7252</v>
      </c>
      <c r="R3484" s="1" t="s">
        <v>128</v>
      </c>
      <c r="S3484" s="1" t="s">
        <v>7253</v>
      </c>
      <c r="T3484" s="1" t="s">
        <v>7254</v>
      </c>
      <c r="U3484" s="2">
        <v>6120</v>
      </c>
      <c r="V3484" s="2" t="s">
        <v>36</v>
      </c>
      <c r="W3484" s="2" t="s">
        <v>37</v>
      </c>
      <c r="X3484" s="2">
        <v>230.965</v>
      </c>
    </row>
    <row r="3485" spans="1:24" x14ac:dyDescent="0.3">
      <c r="A3485">
        <v>21339</v>
      </c>
      <c r="B3485" t="s">
        <v>8587</v>
      </c>
      <c r="C3485" s="3">
        <v>40736</v>
      </c>
      <c r="D3485" t="s">
        <v>50</v>
      </c>
      <c r="E3485">
        <v>11</v>
      </c>
      <c r="F3485" s="3">
        <f ca="1">40738+(RANDBETWEEN(1,10))</f>
        <v>40739</v>
      </c>
      <c r="G3485" t="s">
        <v>156</v>
      </c>
      <c r="H3485" t="s">
        <v>51</v>
      </c>
      <c r="I3485" t="s">
        <v>97</v>
      </c>
      <c r="J3485">
        <v>419.51</v>
      </c>
      <c r="K3485">
        <v>0</v>
      </c>
      <c r="L3485">
        <v>0.41</v>
      </c>
      <c r="M3485">
        <v>6.9649999999999999</v>
      </c>
      <c r="N3485">
        <v>289.46190000000001</v>
      </c>
      <c r="O3485" s="1" t="s">
        <v>64</v>
      </c>
      <c r="P3485" s="1" t="s">
        <v>8588</v>
      </c>
      <c r="Q3485" s="1" t="s">
        <v>8589</v>
      </c>
      <c r="R3485" s="1" t="s">
        <v>67</v>
      </c>
      <c r="S3485" s="1" t="s">
        <v>8590</v>
      </c>
      <c r="T3485" s="1" t="s">
        <v>8591</v>
      </c>
      <c r="U3485" s="2" t="s">
        <v>1365</v>
      </c>
      <c r="V3485" s="2" t="s">
        <v>36</v>
      </c>
      <c r="W3485" s="2" t="s">
        <v>60</v>
      </c>
      <c r="X3485" s="2">
        <v>35.034999999999997</v>
      </c>
    </row>
    <row r="3486" spans="1:24" x14ac:dyDescent="0.3">
      <c r="A3486">
        <v>21340</v>
      </c>
      <c r="B3486" t="s">
        <v>8592</v>
      </c>
      <c r="C3486" s="3">
        <v>41172</v>
      </c>
      <c r="D3486" t="s">
        <v>62</v>
      </c>
      <c r="E3486">
        <v>17</v>
      </c>
      <c r="F3486" s="3">
        <f ca="1">41173+(RANDBETWEEN(1,10))</f>
        <v>41177</v>
      </c>
      <c r="G3486" t="s">
        <v>156</v>
      </c>
      <c r="H3486" t="s">
        <v>27</v>
      </c>
      <c r="I3486" t="s">
        <v>28</v>
      </c>
      <c r="J3486">
        <v>516.25</v>
      </c>
      <c r="K3486">
        <v>0.1</v>
      </c>
      <c r="L3486">
        <v>0.57999999999999996</v>
      </c>
      <c r="M3486">
        <v>12.25</v>
      </c>
      <c r="N3486">
        <v>-41.58</v>
      </c>
      <c r="O3486" s="1" t="s">
        <v>53</v>
      </c>
      <c r="P3486" s="1" t="s">
        <v>7131</v>
      </c>
      <c r="Q3486" s="1" t="s">
        <v>7132</v>
      </c>
      <c r="R3486" s="1" t="s">
        <v>100</v>
      </c>
      <c r="S3486" s="1" t="s">
        <v>4040</v>
      </c>
      <c r="T3486" s="1" t="s">
        <v>4041</v>
      </c>
      <c r="U3486" s="2" t="s">
        <v>2447</v>
      </c>
      <c r="V3486" s="2" t="s">
        <v>47</v>
      </c>
      <c r="W3486" s="2" t="s">
        <v>71</v>
      </c>
      <c r="X3486" s="2">
        <v>30.344999999999999</v>
      </c>
    </row>
    <row r="3487" spans="1:24" x14ac:dyDescent="0.3">
      <c r="A3487">
        <v>21341</v>
      </c>
      <c r="B3487" t="s">
        <v>8593</v>
      </c>
      <c r="C3487" s="3">
        <v>41469</v>
      </c>
      <c r="D3487" t="s">
        <v>50</v>
      </c>
      <c r="E3487">
        <v>2</v>
      </c>
      <c r="F3487" s="3">
        <f ca="1">41469+(RANDBETWEEN(1,10))</f>
        <v>41477</v>
      </c>
      <c r="G3487" t="s">
        <v>26</v>
      </c>
      <c r="H3487" t="s">
        <v>27</v>
      </c>
      <c r="I3487" t="s">
        <v>28</v>
      </c>
      <c r="J3487">
        <v>384.19499999999999</v>
      </c>
      <c r="K3487">
        <v>0.05</v>
      </c>
      <c r="L3487">
        <v>0.55000000000000004</v>
      </c>
      <c r="M3487">
        <v>8.75</v>
      </c>
      <c r="N3487">
        <v>-575.61350000000004</v>
      </c>
      <c r="O3487" s="1" t="s">
        <v>40</v>
      </c>
      <c r="P3487" s="1" t="s">
        <v>8594</v>
      </c>
      <c r="Q3487" s="1" t="s">
        <v>8595</v>
      </c>
      <c r="R3487" s="1" t="s">
        <v>43</v>
      </c>
      <c r="S3487" s="1" t="s">
        <v>8596</v>
      </c>
      <c r="T3487" s="1" t="s">
        <v>8597</v>
      </c>
      <c r="U3487" s="2">
        <v>6190</v>
      </c>
      <c r="V3487" s="2" t="s">
        <v>36</v>
      </c>
      <c r="W3487" s="2" t="s">
        <v>37</v>
      </c>
      <c r="X3487" s="2">
        <v>230.965</v>
      </c>
    </row>
    <row r="3488" spans="1:24" x14ac:dyDescent="0.3">
      <c r="A3488">
        <v>21342</v>
      </c>
      <c r="B3488" t="s">
        <v>8598</v>
      </c>
      <c r="C3488" s="3">
        <v>41791</v>
      </c>
      <c r="D3488" t="s">
        <v>62</v>
      </c>
      <c r="E3488">
        <v>8</v>
      </c>
      <c r="F3488" s="3">
        <f ca="1">41792+(RANDBETWEEN(1,10))</f>
        <v>41795</v>
      </c>
      <c r="G3488" t="s">
        <v>76</v>
      </c>
      <c r="H3488" t="s">
        <v>77</v>
      </c>
      <c r="I3488" t="s">
        <v>97</v>
      </c>
      <c r="J3488">
        <v>3440.8850000000002</v>
      </c>
      <c r="K3488">
        <v>0.1</v>
      </c>
      <c r="L3488">
        <v>0.74</v>
      </c>
      <c r="M3488">
        <v>245.7</v>
      </c>
      <c r="N3488">
        <v>-2942.1559999999999</v>
      </c>
      <c r="O3488" s="1" t="s">
        <v>53</v>
      </c>
      <c r="P3488" s="1" t="s">
        <v>4550</v>
      </c>
      <c r="Q3488" s="1" t="s">
        <v>4551</v>
      </c>
      <c r="R3488" s="1" t="s">
        <v>440</v>
      </c>
      <c r="S3488" s="1" t="s">
        <v>4552</v>
      </c>
      <c r="T3488" s="1" t="s">
        <v>4553</v>
      </c>
      <c r="U3488" s="2" t="s">
        <v>358</v>
      </c>
      <c r="V3488" s="2" t="s">
        <v>83</v>
      </c>
      <c r="W3488" s="2" t="s">
        <v>84</v>
      </c>
      <c r="X3488" s="2">
        <v>430.46499999999997</v>
      </c>
    </row>
    <row r="3489" spans="1:24" x14ac:dyDescent="0.3">
      <c r="A3489">
        <v>21343</v>
      </c>
      <c r="B3489" t="s">
        <v>8598</v>
      </c>
      <c r="C3489" s="3">
        <v>41791</v>
      </c>
      <c r="D3489" t="s">
        <v>62</v>
      </c>
      <c r="E3489">
        <v>7</v>
      </c>
      <c r="F3489" s="3">
        <f ca="1">41792+(RANDBETWEEN(1,10))</f>
        <v>41795</v>
      </c>
      <c r="G3489" t="s">
        <v>26</v>
      </c>
      <c r="H3489" t="s">
        <v>27</v>
      </c>
      <c r="I3489" t="s">
        <v>97</v>
      </c>
      <c r="J3489">
        <v>1232.0350000000001</v>
      </c>
      <c r="K3489">
        <v>0.03</v>
      </c>
      <c r="L3489">
        <v>0.73</v>
      </c>
      <c r="M3489">
        <v>22.75</v>
      </c>
      <c r="N3489">
        <v>-221.34</v>
      </c>
      <c r="O3489" s="1" t="s">
        <v>53</v>
      </c>
      <c r="P3489" s="1" t="s">
        <v>4550</v>
      </c>
      <c r="Q3489" s="1" t="s">
        <v>4551</v>
      </c>
      <c r="R3489" s="1" t="s">
        <v>440</v>
      </c>
      <c r="S3489" s="1" t="s">
        <v>4552</v>
      </c>
      <c r="T3489" s="1" t="s">
        <v>4553</v>
      </c>
      <c r="U3489" s="2" t="s">
        <v>4548</v>
      </c>
      <c r="V3489" s="2" t="s">
        <v>36</v>
      </c>
      <c r="W3489" s="2" t="s">
        <v>60</v>
      </c>
      <c r="X3489" s="2">
        <v>178.43</v>
      </c>
    </row>
    <row r="3490" spans="1:24" x14ac:dyDescent="0.3">
      <c r="A3490">
        <v>21344</v>
      </c>
      <c r="B3490" t="s">
        <v>8598</v>
      </c>
      <c r="C3490" s="3">
        <v>41791</v>
      </c>
      <c r="D3490" t="s">
        <v>62</v>
      </c>
      <c r="E3490">
        <v>1</v>
      </c>
      <c r="F3490" s="3">
        <f ca="1">41792+(RANDBETWEEN(1,10))</f>
        <v>41802</v>
      </c>
      <c r="G3490" t="s">
        <v>26</v>
      </c>
      <c r="H3490" t="s">
        <v>27</v>
      </c>
      <c r="I3490" t="s">
        <v>97</v>
      </c>
      <c r="J3490">
        <v>141.47</v>
      </c>
      <c r="K3490">
        <v>0</v>
      </c>
      <c r="L3490">
        <v>0.38</v>
      </c>
      <c r="M3490">
        <v>26.25</v>
      </c>
      <c r="N3490">
        <v>-35.055999999999997</v>
      </c>
      <c r="O3490" s="1" t="s">
        <v>53</v>
      </c>
      <c r="P3490" s="1" t="s">
        <v>4550</v>
      </c>
      <c r="Q3490" s="1" t="s">
        <v>4551</v>
      </c>
      <c r="R3490" s="1" t="s">
        <v>440</v>
      </c>
      <c r="S3490" s="1" t="s">
        <v>4552</v>
      </c>
      <c r="T3490" s="1" t="s">
        <v>4553</v>
      </c>
      <c r="U3490" s="2" t="s">
        <v>5854</v>
      </c>
      <c r="V3490" s="2" t="s">
        <v>47</v>
      </c>
      <c r="W3490" s="2" t="s">
        <v>74</v>
      </c>
      <c r="X3490" s="2">
        <v>124.04</v>
      </c>
    </row>
    <row r="3491" spans="1:24" x14ac:dyDescent="0.3">
      <c r="A3491">
        <v>21345</v>
      </c>
      <c r="B3491" t="s">
        <v>8599</v>
      </c>
      <c r="C3491" s="3">
        <v>40894</v>
      </c>
      <c r="D3491" t="s">
        <v>148</v>
      </c>
      <c r="E3491">
        <v>12</v>
      </c>
      <c r="F3491" s="3">
        <f ca="1">40896+(RANDBETWEEN(1,10))</f>
        <v>40904</v>
      </c>
      <c r="G3491" t="s">
        <v>26</v>
      </c>
      <c r="H3491" t="s">
        <v>96</v>
      </c>
      <c r="I3491" t="s">
        <v>97</v>
      </c>
      <c r="J3491">
        <v>111.05500000000001</v>
      </c>
      <c r="K3491">
        <v>0.09</v>
      </c>
      <c r="L3491">
        <v>0.57999999999999996</v>
      </c>
      <c r="M3491">
        <v>8.4</v>
      </c>
      <c r="N3491">
        <v>3875.9279999999999</v>
      </c>
      <c r="O3491" s="1" t="s">
        <v>87</v>
      </c>
      <c r="P3491" s="1" t="s">
        <v>900</v>
      </c>
      <c r="Q3491" s="1" t="s">
        <v>901</v>
      </c>
      <c r="R3491" s="1" t="s">
        <v>497</v>
      </c>
      <c r="S3491" s="1" t="s">
        <v>902</v>
      </c>
      <c r="T3491" s="1" t="s">
        <v>903</v>
      </c>
      <c r="U3491" s="2" t="s">
        <v>6328</v>
      </c>
      <c r="V3491" s="2" t="s">
        <v>47</v>
      </c>
      <c r="W3491" s="2" t="s">
        <v>104</v>
      </c>
      <c r="X3491" s="2">
        <v>9.1</v>
      </c>
    </row>
    <row r="3492" spans="1:24" x14ac:dyDescent="0.3">
      <c r="A3492">
        <v>21346</v>
      </c>
      <c r="B3492" t="s">
        <v>8600</v>
      </c>
      <c r="C3492" s="3">
        <v>41372</v>
      </c>
      <c r="D3492" t="s">
        <v>148</v>
      </c>
      <c r="E3492">
        <v>6</v>
      </c>
      <c r="F3492" s="3">
        <f ca="1">41373+(RANDBETWEEN(1,10))</f>
        <v>41379</v>
      </c>
      <c r="G3492" t="s">
        <v>26</v>
      </c>
      <c r="H3492" t="s">
        <v>63</v>
      </c>
      <c r="I3492" t="s">
        <v>97</v>
      </c>
      <c r="J3492">
        <v>145.46</v>
      </c>
      <c r="K3492">
        <v>0.03</v>
      </c>
      <c r="L3492">
        <v>0.6</v>
      </c>
      <c r="M3492">
        <v>171.5</v>
      </c>
      <c r="N3492">
        <v>-3133.34</v>
      </c>
      <c r="O3492" s="1" t="s">
        <v>87</v>
      </c>
      <c r="P3492" s="1" t="s">
        <v>3132</v>
      </c>
      <c r="Q3492" s="1" t="s">
        <v>3133</v>
      </c>
      <c r="R3492" s="1" t="s">
        <v>497</v>
      </c>
      <c r="S3492" s="1" t="s">
        <v>3134</v>
      </c>
      <c r="T3492" s="1" t="s">
        <v>3135</v>
      </c>
      <c r="U3492" s="2" t="s">
        <v>919</v>
      </c>
      <c r="V3492" s="2" t="s">
        <v>47</v>
      </c>
      <c r="W3492" s="2" t="s">
        <v>71</v>
      </c>
      <c r="X3492" s="2">
        <v>15.68</v>
      </c>
    </row>
    <row r="3493" spans="1:24" x14ac:dyDescent="0.3">
      <c r="A3493">
        <v>21347</v>
      </c>
      <c r="B3493" t="s">
        <v>8600</v>
      </c>
      <c r="C3493" s="3">
        <v>41372</v>
      </c>
      <c r="D3493" t="s">
        <v>148</v>
      </c>
      <c r="E3493">
        <v>3</v>
      </c>
      <c r="F3493" s="3">
        <f ca="1">41375+(RANDBETWEEN(1,10))</f>
        <v>41382</v>
      </c>
      <c r="G3493" t="s">
        <v>76</v>
      </c>
      <c r="H3493" t="s">
        <v>77</v>
      </c>
      <c r="I3493" t="s">
        <v>97</v>
      </c>
      <c r="J3493">
        <v>1656.69</v>
      </c>
      <c r="K3493">
        <v>0.02</v>
      </c>
      <c r="L3493">
        <v>0.77</v>
      </c>
      <c r="M3493">
        <v>210.7</v>
      </c>
      <c r="N3493">
        <v>-1772.5050000000001</v>
      </c>
      <c r="O3493" s="1" t="s">
        <v>87</v>
      </c>
      <c r="P3493" s="1" t="s">
        <v>3132</v>
      </c>
      <c r="Q3493" s="1" t="s">
        <v>3133</v>
      </c>
      <c r="R3493" s="1" t="s">
        <v>497</v>
      </c>
      <c r="S3493" s="1" t="s">
        <v>3134</v>
      </c>
      <c r="T3493" s="1" t="s">
        <v>3135</v>
      </c>
      <c r="U3493" s="2" t="s">
        <v>779</v>
      </c>
      <c r="V3493" s="2" t="s">
        <v>83</v>
      </c>
      <c r="W3493" s="2" t="s">
        <v>84</v>
      </c>
      <c r="X3493" s="2">
        <v>528.11500000000001</v>
      </c>
    </row>
    <row r="3494" spans="1:24" x14ac:dyDescent="0.3">
      <c r="A3494">
        <v>21348</v>
      </c>
      <c r="B3494" t="s">
        <v>8601</v>
      </c>
      <c r="C3494" s="3">
        <v>41448</v>
      </c>
      <c r="D3494" t="s">
        <v>62</v>
      </c>
      <c r="E3494">
        <v>10</v>
      </c>
      <c r="F3494" s="3">
        <f ca="1">41450+(RANDBETWEEN(1,10))</f>
        <v>41457</v>
      </c>
      <c r="G3494" t="s">
        <v>26</v>
      </c>
      <c r="H3494" t="s">
        <v>51</v>
      </c>
      <c r="I3494" t="s">
        <v>28</v>
      </c>
      <c r="J3494">
        <v>549.11500000000001</v>
      </c>
      <c r="K3494">
        <v>0.03</v>
      </c>
      <c r="L3494">
        <v>0.55000000000000004</v>
      </c>
      <c r="M3494">
        <v>19.074999999999999</v>
      </c>
      <c r="N3494">
        <v>14.448</v>
      </c>
      <c r="O3494" s="1" t="s">
        <v>29</v>
      </c>
      <c r="P3494" s="1" t="s">
        <v>5472</v>
      </c>
      <c r="Q3494" s="1" t="s">
        <v>5473</v>
      </c>
      <c r="R3494" s="1" t="s">
        <v>675</v>
      </c>
      <c r="S3494" s="1" t="s">
        <v>5474</v>
      </c>
      <c r="T3494" s="1" t="s">
        <v>5475</v>
      </c>
      <c r="U3494" s="2" t="s">
        <v>2180</v>
      </c>
      <c r="V3494" s="2" t="s">
        <v>47</v>
      </c>
      <c r="W3494" s="2" t="s">
        <v>104</v>
      </c>
      <c r="X3494" s="2">
        <v>55.79</v>
      </c>
    </row>
    <row r="3495" spans="1:24" x14ac:dyDescent="0.3">
      <c r="A3495">
        <v>21349</v>
      </c>
      <c r="B3495" t="s">
        <v>8602</v>
      </c>
      <c r="C3495" s="3">
        <v>41337</v>
      </c>
      <c r="D3495" t="s">
        <v>62</v>
      </c>
      <c r="E3495">
        <v>5</v>
      </c>
      <c r="F3495" s="3">
        <f ca="1">41340+(RANDBETWEEN(1,10))</f>
        <v>41341</v>
      </c>
      <c r="G3495" t="s">
        <v>26</v>
      </c>
      <c r="H3495" t="s">
        <v>27</v>
      </c>
      <c r="I3495" t="s">
        <v>28</v>
      </c>
      <c r="J3495">
        <v>117.425</v>
      </c>
      <c r="K3495">
        <v>0.05</v>
      </c>
      <c r="L3495">
        <v>0.37</v>
      </c>
      <c r="M3495">
        <v>20.440000000000001</v>
      </c>
      <c r="N3495">
        <v>-146.965</v>
      </c>
      <c r="O3495" s="1" t="s">
        <v>29</v>
      </c>
      <c r="P3495" s="1" t="s">
        <v>8603</v>
      </c>
      <c r="Q3495" s="1" t="s">
        <v>8604</v>
      </c>
      <c r="R3495" s="1" t="s">
        <v>460</v>
      </c>
      <c r="S3495" s="1" t="s">
        <v>8605</v>
      </c>
      <c r="T3495" s="1" t="s">
        <v>8606</v>
      </c>
      <c r="U3495" s="2" t="s">
        <v>8568</v>
      </c>
      <c r="V3495" s="2" t="s">
        <v>47</v>
      </c>
      <c r="W3495" s="2" t="s">
        <v>74</v>
      </c>
      <c r="X3495" s="2">
        <v>22.68</v>
      </c>
    </row>
    <row r="3496" spans="1:24" x14ac:dyDescent="0.3">
      <c r="A3496">
        <v>21350</v>
      </c>
      <c r="B3496" t="s">
        <v>8607</v>
      </c>
      <c r="C3496" s="3">
        <v>40868</v>
      </c>
      <c r="D3496" t="s">
        <v>62</v>
      </c>
      <c r="E3496">
        <v>4</v>
      </c>
      <c r="F3496" s="3">
        <f ca="1">40871+(RANDBETWEEN(1,10))</f>
        <v>40873</v>
      </c>
      <c r="G3496" t="s">
        <v>26</v>
      </c>
      <c r="H3496" t="s">
        <v>27</v>
      </c>
      <c r="I3496" t="s">
        <v>97</v>
      </c>
      <c r="J3496">
        <v>186.55</v>
      </c>
      <c r="K3496">
        <v>0</v>
      </c>
      <c r="L3496">
        <v>0.57999999999999996</v>
      </c>
      <c r="M3496">
        <v>17.43</v>
      </c>
      <c r="N3496">
        <v>11.843999999999999</v>
      </c>
      <c r="O3496" s="1" t="s">
        <v>40</v>
      </c>
      <c r="P3496" s="1" t="s">
        <v>8608</v>
      </c>
      <c r="Q3496" s="1" t="s">
        <v>8609</v>
      </c>
      <c r="R3496" s="1" t="s">
        <v>43</v>
      </c>
      <c r="S3496" s="1" t="s">
        <v>8610</v>
      </c>
      <c r="T3496" s="1" t="s">
        <v>8611</v>
      </c>
      <c r="U3496" s="2" t="s">
        <v>5213</v>
      </c>
      <c r="V3496" s="2" t="s">
        <v>47</v>
      </c>
      <c r="W3496" s="2" t="s">
        <v>71</v>
      </c>
      <c r="X3496" s="2">
        <v>41.895000000000003</v>
      </c>
    </row>
    <row r="3497" spans="1:24" x14ac:dyDescent="0.3">
      <c r="A3497">
        <v>21351</v>
      </c>
      <c r="B3497" t="s">
        <v>8612</v>
      </c>
      <c r="C3497" s="3">
        <v>40847</v>
      </c>
      <c r="D3497" t="s">
        <v>62</v>
      </c>
      <c r="E3497">
        <v>22</v>
      </c>
      <c r="F3497" s="3">
        <f ca="1">40849+(RANDBETWEEN(1,10))</f>
        <v>40851</v>
      </c>
      <c r="G3497" t="s">
        <v>26</v>
      </c>
      <c r="H3497" t="s">
        <v>96</v>
      </c>
      <c r="I3497" t="s">
        <v>28</v>
      </c>
      <c r="J3497">
        <v>137.41</v>
      </c>
      <c r="K3497">
        <v>0.06</v>
      </c>
      <c r="L3497">
        <v>0.56000000000000005</v>
      </c>
      <c r="M3497">
        <v>2.4500000000000002</v>
      </c>
      <c r="N3497">
        <v>4.2826000000000004</v>
      </c>
      <c r="O3497" s="1" t="s">
        <v>87</v>
      </c>
      <c r="P3497" s="1" t="s">
        <v>8613</v>
      </c>
      <c r="Q3497" s="1" t="s">
        <v>8614</v>
      </c>
      <c r="R3497" s="1" t="s">
        <v>90</v>
      </c>
      <c r="S3497" s="1" t="s">
        <v>8615</v>
      </c>
      <c r="T3497" s="1" t="s">
        <v>8616</v>
      </c>
      <c r="U3497" s="2" t="s">
        <v>384</v>
      </c>
      <c r="V3497" s="2" t="s">
        <v>47</v>
      </c>
      <c r="W3497" s="2" t="s">
        <v>104</v>
      </c>
      <c r="X3497" s="2">
        <v>6.16</v>
      </c>
    </row>
    <row r="3498" spans="1:24" x14ac:dyDescent="0.3">
      <c r="A3498">
        <v>21352</v>
      </c>
      <c r="B3498" t="s">
        <v>8612</v>
      </c>
      <c r="C3498" s="3">
        <v>40847</v>
      </c>
      <c r="D3498" t="s">
        <v>62</v>
      </c>
      <c r="E3498">
        <v>23</v>
      </c>
      <c r="F3498" s="3">
        <f ca="1">40848+(RANDBETWEEN(1,10))</f>
        <v>40854</v>
      </c>
      <c r="G3498" t="s">
        <v>26</v>
      </c>
      <c r="H3498" t="s">
        <v>27</v>
      </c>
      <c r="I3498" t="s">
        <v>28</v>
      </c>
      <c r="J3498">
        <v>2122.7849999999999</v>
      </c>
      <c r="K3498">
        <v>0.02</v>
      </c>
      <c r="L3498">
        <v>0.66</v>
      </c>
      <c r="M3498">
        <v>30.765000000000001</v>
      </c>
      <c r="N3498">
        <v>15.101800000000001</v>
      </c>
      <c r="O3498" s="1" t="s">
        <v>29</v>
      </c>
      <c r="P3498" s="1" t="s">
        <v>8617</v>
      </c>
      <c r="Q3498" s="1" t="s">
        <v>8618</v>
      </c>
      <c r="R3498" s="1" t="s">
        <v>460</v>
      </c>
      <c r="S3498" s="1" t="s">
        <v>8619</v>
      </c>
      <c r="T3498" s="1" t="s">
        <v>8620</v>
      </c>
      <c r="U3498" s="2" t="s">
        <v>5412</v>
      </c>
      <c r="V3498" s="2" t="s">
        <v>47</v>
      </c>
      <c r="W3498" s="2" t="s">
        <v>119</v>
      </c>
      <c r="X3498" s="2">
        <v>87.43</v>
      </c>
    </row>
    <row r="3499" spans="1:24" x14ac:dyDescent="0.3">
      <c r="A3499">
        <v>21353</v>
      </c>
      <c r="B3499" t="s">
        <v>8612</v>
      </c>
      <c r="C3499" s="3">
        <v>40847</v>
      </c>
      <c r="D3499" t="s">
        <v>62</v>
      </c>
      <c r="E3499">
        <v>4</v>
      </c>
      <c r="F3499" s="3">
        <f ca="1">40847+(RANDBETWEEN(1,10))</f>
        <v>40857</v>
      </c>
      <c r="G3499" t="s">
        <v>26</v>
      </c>
      <c r="H3499" t="s">
        <v>96</v>
      </c>
      <c r="I3499" t="s">
        <v>28</v>
      </c>
      <c r="J3499">
        <v>18.48</v>
      </c>
      <c r="K3499">
        <v>0.06</v>
      </c>
      <c r="L3499">
        <v>0.81</v>
      </c>
      <c r="M3499">
        <v>2.4500000000000002</v>
      </c>
      <c r="N3499">
        <v>-23.133600000000001</v>
      </c>
      <c r="O3499" s="1" t="s">
        <v>40</v>
      </c>
      <c r="P3499" s="1" t="s">
        <v>4794</v>
      </c>
      <c r="Q3499" s="1" t="s">
        <v>4795</v>
      </c>
      <c r="R3499" s="1" t="s">
        <v>220</v>
      </c>
      <c r="S3499" s="1" t="s">
        <v>4517</v>
      </c>
      <c r="T3499" s="1" t="s">
        <v>4518</v>
      </c>
      <c r="U3499" s="2" t="s">
        <v>925</v>
      </c>
      <c r="V3499" s="2" t="s">
        <v>47</v>
      </c>
      <c r="W3499" s="2" t="s">
        <v>176</v>
      </c>
      <c r="X3499" s="2">
        <v>4.41</v>
      </c>
    </row>
    <row r="3500" spans="1:24" x14ac:dyDescent="0.3">
      <c r="A3500">
        <v>21354</v>
      </c>
      <c r="B3500" t="s">
        <v>8612</v>
      </c>
      <c r="C3500" s="3">
        <v>40847</v>
      </c>
      <c r="D3500" t="s">
        <v>62</v>
      </c>
      <c r="E3500">
        <v>2</v>
      </c>
      <c r="F3500" s="3">
        <f ca="1">40849+(RANDBETWEEN(1,10))</f>
        <v>40851</v>
      </c>
      <c r="G3500" t="s">
        <v>156</v>
      </c>
      <c r="H3500" t="s">
        <v>96</v>
      </c>
      <c r="I3500" t="s">
        <v>28</v>
      </c>
      <c r="J3500">
        <v>227.11500000000001</v>
      </c>
      <c r="K3500">
        <v>0.05</v>
      </c>
      <c r="L3500">
        <v>0.38</v>
      </c>
      <c r="M3500">
        <v>20.965</v>
      </c>
      <c r="N3500">
        <v>-440.41536000000002</v>
      </c>
      <c r="O3500" s="1" t="s">
        <v>53</v>
      </c>
      <c r="P3500" s="1" t="s">
        <v>8621</v>
      </c>
      <c r="Q3500" s="1" t="s">
        <v>8622</v>
      </c>
      <c r="R3500" s="1" t="s">
        <v>100</v>
      </c>
      <c r="S3500" s="1" t="s">
        <v>491</v>
      </c>
      <c r="T3500" s="1" t="s">
        <v>492</v>
      </c>
      <c r="U3500" s="2" t="s">
        <v>5234</v>
      </c>
      <c r="V3500" s="2" t="s">
        <v>36</v>
      </c>
      <c r="W3500" s="2" t="s">
        <v>37</v>
      </c>
      <c r="X3500" s="2">
        <v>125.965</v>
      </c>
    </row>
    <row r="3501" spans="1:24" x14ac:dyDescent="0.3">
      <c r="A3501">
        <v>21355</v>
      </c>
      <c r="B3501" t="s">
        <v>8623</v>
      </c>
      <c r="C3501" s="3">
        <v>41147</v>
      </c>
      <c r="D3501" t="s">
        <v>25</v>
      </c>
      <c r="E3501">
        <v>12</v>
      </c>
      <c r="F3501" s="3">
        <f ca="1">41154+(RANDBETWEEN(1,10))</f>
        <v>41158</v>
      </c>
      <c r="G3501" t="s">
        <v>26</v>
      </c>
      <c r="H3501" t="s">
        <v>51</v>
      </c>
      <c r="I3501" t="s">
        <v>97</v>
      </c>
      <c r="J3501">
        <v>858.83</v>
      </c>
      <c r="K3501">
        <v>0.08</v>
      </c>
      <c r="L3501">
        <v>0.48</v>
      </c>
      <c r="M3501">
        <v>6.9649999999999999</v>
      </c>
      <c r="N3501">
        <v>592.59270000000004</v>
      </c>
      <c r="O3501" s="1" t="s">
        <v>64</v>
      </c>
      <c r="P3501" s="1" t="s">
        <v>8624</v>
      </c>
      <c r="Q3501" s="1" t="s">
        <v>8625</v>
      </c>
      <c r="R3501" s="1" t="s">
        <v>128</v>
      </c>
      <c r="S3501" s="1" t="s">
        <v>8626</v>
      </c>
      <c r="T3501" s="1" t="s">
        <v>8627</v>
      </c>
      <c r="U3501" s="2" t="s">
        <v>5583</v>
      </c>
      <c r="V3501" s="2" t="s">
        <v>36</v>
      </c>
      <c r="W3501" s="2" t="s">
        <v>60</v>
      </c>
      <c r="X3501" s="2">
        <v>73.114999999999995</v>
      </c>
    </row>
    <row r="3502" spans="1:24" x14ac:dyDescent="0.3">
      <c r="A3502">
        <v>21356</v>
      </c>
      <c r="B3502" t="s">
        <v>8623</v>
      </c>
      <c r="C3502" s="3">
        <v>41147</v>
      </c>
      <c r="D3502" t="s">
        <v>25</v>
      </c>
      <c r="E3502">
        <v>13</v>
      </c>
      <c r="F3502" s="3">
        <f ca="1">41154+(RANDBETWEEN(1,10))</f>
        <v>41163</v>
      </c>
      <c r="G3502" t="s">
        <v>26</v>
      </c>
      <c r="H3502" t="s">
        <v>27</v>
      </c>
      <c r="I3502" t="s">
        <v>97</v>
      </c>
      <c r="J3502">
        <v>516.495</v>
      </c>
      <c r="K3502">
        <v>0.06</v>
      </c>
      <c r="L3502">
        <v>0.35</v>
      </c>
      <c r="M3502">
        <v>24.395</v>
      </c>
      <c r="N3502">
        <v>-25.388999999999999</v>
      </c>
      <c r="O3502" s="1" t="s">
        <v>64</v>
      </c>
      <c r="P3502" s="1" t="s">
        <v>8624</v>
      </c>
      <c r="Q3502" s="1" t="s">
        <v>8625</v>
      </c>
      <c r="R3502" s="1" t="s">
        <v>128</v>
      </c>
      <c r="S3502" s="1" t="s">
        <v>8626</v>
      </c>
      <c r="T3502" s="1" t="s">
        <v>8627</v>
      </c>
      <c r="U3502" s="2" t="s">
        <v>2886</v>
      </c>
      <c r="V3502" s="2" t="s">
        <v>47</v>
      </c>
      <c r="W3502" s="2" t="s">
        <v>48</v>
      </c>
      <c r="X3502" s="2">
        <v>40.53</v>
      </c>
    </row>
    <row r="3503" spans="1:24" x14ac:dyDescent="0.3">
      <c r="A3503">
        <v>21357</v>
      </c>
      <c r="B3503" t="s">
        <v>8623</v>
      </c>
      <c r="C3503" s="3">
        <v>41147</v>
      </c>
      <c r="D3503" t="s">
        <v>25</v>
      </c>
      <c r="E3503">
        <v>19</v>
      </c>
      <c r="F3503" s="3">
        <f ca="1">41151+(RANDBETWEEN(1,10))</f>
        <v>41155</v>
      </c>
      <c r="G3503" t="s">
        <v>26</v>
      </c>
      <c r="H3503" t="s">
        <v>27</v>
      </c>
      <c r="I3503" t="s">
        <v>97</v>
      </c>
      <c r="J3503">
        <v>258.19499999999999</v>
      </c>
      <c r="K3503">
        <v>0.09</v>
      </c>
      <c r="L3503">
        <v>0.39</v>
      </c>
      <c r="M3503">
        <v>1.75</v>
      </c>
      <c r="N3503">
        <v>178.15455</v>
      </c>
      <c r="O3503" s="1" t="s">
        <v>64</v>
      </c>
      <c r="P3503" s="1" t="s">
        <v>8624</v>
      </c>
      <c r="Q3503" s="1" t="s">
        <v>8625</v>
      </c>
      <c r="R3503" s="1" t="s">
        <v>128</v>
      </c>
      <c r="S3503" s="1" t="s">
        <v>8626</v>
      </c>
      <c r="T3503" s="1" t="s">
        <v>8627</v>
      </c>
      <c r="U3503" s="2" t="s">
        <v>1889</v>
      </c>
      <c r="V3503" s="2" t="s">
        <v>47</v>
      </c>
      <c r="W3503" s="2" t="s">
        <v>203</v>
      </c>
      <c r="X3503" s="2">
        <v>14.455</v>
      </c>
    </row>
    <row r="3504" spans="1:24" x14ac:dyDescent="0.3">
      <c r="A3504">
        <v>21358</v>
      </c>
      <c r="B3504" t="s">
        <v>8628</v>
      </c>
      <c r="C3504" s="3">
        <v>41276</v>
      </c>
      <c r="D3504" t="s">
        <v>39</v>
      </c>
      <c r="E3504">
        <v>14</v>
      </c>
      <c r="F3504" s="3">
        <f ca="1">41278+(RANDBETWEEN(1,10))</f>
        <v>41282</v>
      </c>
      <c r="G3504" t="s">
        <v>76</v>
      </c>
      <c r="H3504" t="s">
        <v>77</v>
      </c>
      <c r="I3504" t="s">
        <v>52</v>
      </c>
      <c r="J3504">
        <v>1202.635</v>
      </c>
      <c r="K3504">
        <v>0</v>
      </c>
      <c r="L3504">
        <v>0.62</v>
      </c>
      <c r="M3504">
        <v>54.88</v>
      </c>
      <c r="N3504">
        <v>116.508</v>
      </c>
      <c r="O3504" s="1" t="s">
        <v>64</v>
      </c>
      <c r="P3504" s="1" t="s">
        <v>8629</v>
      </c>
      <c r="Q3504" s="1" t="s">
        <v>8630</v>
      </c>
      <c r="R3504" s="1" t="s">
        <v>128</v>
      </c>
      <c r="S3504" s="1" t="s">
        <v>4685</v>
      </c>
      <c r="T3504" s="1" t="s">
        <v>4686</v>
      </c>
      <c r="U3504" s="2" t="s">
        <v>7937</v>
      </c>
      <c r="V3504" s="2" t="s">
        <v>83</v>
      </c>
      <c r="W3504" s="2" t="s">
        <v>178</v>
      </c>
      <c r="X3504" s="2">
        <v>83.965000000000003</v>
      </c>
    </row>
    <row r="3505" spans="1:24" x14ac:dyDescent="0.3">
      <c r="A3505">
        <v>21359</v>
      </c>
      <c r="B3505" t="s">
        <v>8631</v>
      </c>
      <c r="C3505" s="3">
        <v>41445</v>
      </c>
      <c r="D3505" t="s">
        <v>39</v>
      </c>
      <c r="E3505">
        <v>16</v>
      </c>
      <c r="F3505" s="3">
        <f ca="1">41447+(RANDBETWEEN(1,10))</f>
        <v>41448</v>
      </c>
      <c r="G3505" t="s">
        <v>26</v>
      </c>
      <c r="H3505" t="s">
        <v>96</v>
      </c>
      <c r="I3505" t="s">
        <v>28</v>
      </c>
      <c r="J3505">
        <v>151.9</v>
      </c>
      <c r="K3505">
        <v>0.1</v>
      </c>
      <c r="L3505">
        <v>0.45</v>
      </c>
      <c r="M3505">
        <v>4.6900000000000004</v>
      </c>
      <c r="N3505">
        <v>-2.66</v>
      </c>
      <c r="O3505" s="1" t="s">
        <v>29</v>
      </c>
      <c r="P3505" s="1" t="s">
        <v>8268</v>
      </c>
      <c r="Q3505" s="1" t="s">
        <v>8269</v>
      </c>
      <c r="R3505" s="1" t="s">
        <v>32</v>
      </c>
      <c r="S3505" s="1" t="s">
        <v>8270</v>
      </c>
      <c r="T3505" s="1" t="s">
        <v>8271</v>
      </c>
      <c r="U3505" s="2" t="s">
        <v>1227</v>
      </c>
      <c r="V3505" s="2" t="s">
        <v>47</v>
      </c>
      <c r="W3505" s="2" t="s">
        <v>104</v>
      </c>
      <c r="X3505" s="2">
        <v>9.73</v>
      </c>
    </row>
    <row r="3506" spans="1:24" x14ac:dyDescent="0.3">
      <c r="A3506">
        <v>2136</v>
      </c>
      <c r="B3506" t="s">
        <v>8632</v>
      </c>
      <c r="C3506" s="3">
        <v>41595</v>
      </c>
      <c r="D3506" t="s">
        <v>148</v>
      </c>
      <c r="E3506">
        <v>10</v>
      </c>
      <c r="F3506" s="3">
        <f ca="1">41597+(RANDBETWEEN(1,10))</f>
        <v>41606</v>
      </c>
      <c r="G3506" t="s">
        <v>26</v>
      </c>
      <c r="H3506" t="s">
        <v>27</v>
      </c>
      <c r="I3506" t="s">
        <v>97</v>
      </c>
      <c r="J3506">
        <v>41784.400000000001</v>
      </c>
      <c r="K3506">
        <v>7.0000000000000007E-2</v>
      </c>
      <c r="L3506">
        <v>0.35</v>
      </c>
      <c r="M3506">
        <v>69.965000000000003</v>
      </c>
      <c r="N3506">
        <v>-1900.2431525</v>
      </c>
      <c r="O3506" s="1" t="s">
        <v>64</v>
      </c>
      <c r="P3506" s="1" t="s">
        <v>314</v>
      </c>
      <c r="Q3506" s="1" t="s">
        <v>315</v>
      </c>
      <c r="R3506" s="1" t="s">
        <v>67</v>
      </c>
      <c r="S3506" s="1" t="s">
        <v>254</v>
      </c>
      <c r="T3506" s="1" t="s">
        <v>316</v>
      </c>
      <c r="U3506" s="2" t="s">
        <v>2579</v>
      </c>
      <c r="V3506" s="2" t="s">
        <v>47</v>
      </c>
      <c r="W3506" s="2" t="s">
        <v>111</v>
      </c>
      <c r="X3506" s="2">
        <v>4448.4650000000001</v>
      </c>
    </row>
    <row r="3507" spans="1:24" x14ac:dyDescent="0.3">
      <c r="A3507">
        <v>21360</v>
      </c>
      <c r="B3507" t="s">
        <v>8631</v>
      </c>
      <c r="C3507" s="3">
        <v>41445</v>
      </c>
      <c r="D3507" t="s">
        <v>39</v>
      </c>
      <c r="E3507">
        <v>6</v>
      </c>
      <c r="F3507" s="3">
        <f ca="1">41447+(RANDBETWEEN(1,10))</f>
        <v>41451</v>
      </c>
      <c r="G3507" t="s">
        <v>156</v>
      </c>
      <c r="H3507" t="s">
        <v>27</v>
      </c>
      <c r="I3507" t="s">
        <v>28</v>
      </c>
      <c r="J3507">
        <v>1254.645</v>
      </c>
      <c r="K3507">
        <v>0</v>
      </c>
      <c r="L3507">
        <v>0.56000000000000005</v>
      </c>
      <c r="M3507">
        <v>18.41</v>
      </c>
      <c r="N3507">
        <v>344.58479999999997</v>
      </c>
      <c r="O3507" s="1" t="s">
        <v>53</v>
      </c>
      <c r="P3507" s="1" t="s">
        <v>8633</v>
      </c>
      <c r="Q3507" s="1" t="s">
        <v>8634</v>
      </c>
      <c r="R3507" s="1" t="s">
        <v>100</v>
      </c>
      <c r="S3507" s="1" t="s">
        <v>8635</v>
      </c>
      <c r="T3507" s="1" t="s">
        <v>8636</v>
      </c>
      <c r="U3507" s="2">
        <v>8860</v>
      </c>
      <c r="V3507" s="2" t="s">
        <v>36</v>
      </c>
      <c r="W3507" s="2" t="s">
        <v>37</v>
      </c>
      <c r="X3507" s="2">
        <v>230.965</v>
      </c>
    </row>
    <row r="3508" spans="1:24" x14ac:dyDescent="0.3">
      <c r="A3508">
        <v>21361</v>
      </c>
      <c r="B3508" t="s">
        <v>8637</v>
      </c>
      <c r="C3508" s="3">
        <v>41837</v>
      </c>
      <c r="D3508" t="s">
        <v>50</v>
      </c>
      <c r="E3508">
        <v>2</v>
      </c>
      <c r="F3508" s="3">
        <f ca="1">41839+(RANDBETWEEN(1,10))</f>
        <v>41844</v>
      </c>
      <c r="G3508" t="s">
        <v>26</v>
      </c>
      <c r="H3508" t="s">
        <v>51</v>
      </c>
      <c r="I3508" t="s">
        <v>28</v>
      </c>
      <c r="J3508">
        <v>278.81</v>
      </c>
      <c r="K3508">
        <v>0.1</v>
      </c>
      <c r="L3508">
        <v>0.44</v>
      </c>
      <c r="M3508">
        <v>6.9649999999999999</v>
      </c>
      <c r="N3508">
        <v>-207.06504000000001</v>
      </c>
      <c r="O3508" s="1" t="s">
        <v>225</v>
      </c>
      <c r="P3508" s="1" t="s">
        <v>8165</v>
      </c>
      <c r="Q3508" s="1" t="s">
        <v>8166</v>
      </c>
      <c r="R3508" s="1" t="s">
        <v>228</v>
      </c>
      <c r="S3508" s="1" t="s">
        <v>8167</v>
      </c>
      <c r="T3508" s="1" t="s">
        <v>8168</v>
      </c>
      <c r="U3508" s="2" t="s">
        <v>1469</v>
      </c>
      <c r="V3508" s="2" t="s">
        <v>36</v>
      </c>
      <c r="W3508" s="2" t="s">
        <v>60</v>
      </c>
      <c r="X3508" s="2">
        <v>143.43</v>
      </c>
    </row>
    <row r="3509" spans="1:24" x14ac:dyDescent="0.3">
      <c r="A3509">
        <v>21362</v>
      </c>
      <c r="B3509" t="s">
        <v>8638</v>
      </c>
      <c r="C3509" s="3">
        <v>41115</v>
      </c>
      <c r="D3509" t="s">
        <v>148</v>
      </c>
      <c r="E3509">
        <v>7</v>
      </c>
      <c r="F3509" s="3">
        <f ca="1">41118+(RANDBETWEEN(1,10))</f>
        <v>41120</v>
      </c>
      <c r="G3509" t="s">
        <v>76</v>
      </c>
      <c r="H3509" t="s">
        <v>77</v>
      </c>
      <c r="I3509" t="s">
        <v>97</v>
      </c>
      <c r="J3509">
        <v>6781.74</v>
      </c>
      <c r="K3509">
        <v>7.0000000000000007E-2</v>
      </c>
      <c r="L3509">
        <v>0.56999999999999995</v>
      </c>
      <c r="M3509">
        <v>51.45</v>
      </c>
      <c r="N3509">
        <v>3275.3</v>
      </c>
      <c r="O3509" s="1" t="s">
        <v>64</v>
      </c>
      <c r="P3509" s="1" t="s">
        <v>620</v>
      </c>
      <c r="Q3509" s="1" t="s">
        <v>621</v>
      </c>
      <c r="R3509" s="1" t="s">
        <v>128</v>
      </c>
      <c r="S3509" s="1" t="s">
        <v>622</v>
      </c>
      <c r="T3509" s="1" t="s">
        <v>623</v>
      </c>
      <c r="U3509" s="2" t="s">
        <v>7593</v>
      </c>
      <c r="V3509" s="2" t="s">
        <v>36</v>
      </c>
      <c r="W3509" s="2" t="s">
        <v>142</v>
      </c>
      <c r="X3509" s="2">
        <v>1041.74</v>
      </c>
    </row>
    <row r="3510" spans="1:24" x14ac:dyDescent="0.3">
      <c r="A3510">
        <v>21363</v>
      </c>
      <c r="B3510" t="s">
        <v>8639</v>
      </c>
      <c r="C3510" s="3">
        <v>41742</v>
      </c>
      <c r="D3510" t="s">
        <v>39</v>
      </c>
      <c r="E3510">
        <v>8</v>
      </c>
      <c r="F3510" s="3">
        <f ca="1">41744+(RANDBETWEEN(1,10))</f>
        <v>41750</v>
      </c>
      <c r="G3510" t="s">
        <v>76</v>
      </c>
      <c r="H3510" t="s">
        <v>258</v>
      </c>
      <c r="I3510" t="s">
        <v>97</v>
      </c>
      <c r="J3510">
        <v>3993.36</v>
      </c>
      <c r="K3510">
        <v>7.0000000000000007E-2</v>
      </c>
      <c r="L3510">
        <v>0.65</v>
      </c>
      <c r="M3510">
        <v>231.94499999999999</v>
      </c>
      <c r="N3510">
        <v>-1772.9179999999999</v>
      </c>
      <c r="O3510" s="1" t="s">
        <v>40</v>
      </c>
      <c r="P3510" s="1" t="s">
        <v>7669</v>
      </c>
      <c r="Q3510" s="1" t="s">
        <v>7670</v>
      </c>
      <c r="R3510" s="1" t="s">
        <v>43</v>
      </c>
      <c r="S3510" s="1" t="s">
        <v>7671</v>
      </c>
      <c r="T3510" s="1" t="s">
        <v>7672</v>
      </c>
      <c r="U3510" s="2" t="s">
        <v>3398</v>
      </c>
      <c r="V3510" s="2" t="s">
        <v>83</v>
      </c>
      <c r="W3510" s="2" t="s">
        <v>298</v>
      </c>
      <c r="X3510" s="2">
        <v>528.42999999999995</v>
      </c>
    </row>
    <row r="3511" spans="1:24" x14ac:dyDescent="0.3">
      <c r="A3511">
        <v>21364</v>
      </c>
      <c r="B3511" t="s">
        <v>8640</v>
      </c>
      <c r="C3511" s="3">
        <v>41873</v>
      </c>
      <c r="D3511" t="s">
        <v>39</v>
      </c>
      <c r="E3511">
        <v>15</v>
      </c>
      <c r="F3511" s="3">
        <f ca="1">41875+(RANDBETWEEN(1,10))</f>
        <v>41882</v>
      </c>
      <c r="G3511" t="s">
        <v>156</v>
      </c>
      <c r="H3511" t="s">
        <v>27</v>
      </c>
      <c r="I3511" t="s">
        <v>28</v>
      </c>
      <c r="J3511">
        <v>224.45500000000001</v>
      </c>
      <c r="K3511">
        <v>7.0000000000000007E-2</v>
      </c>
      <c r="L3511">
        <v>0.38</v>
      </c>
      <c r="M3511">
        <v>18.41</v>
      </c>
      <c r="N3511">
        <v>-141.44300799999999</v>
      </c>
      <c r="O3511" s="1" t="s">
        <v>53</v>
      </c>
      <c r="P3511" s="1" t="s">
        <v>8641</v>
      </c>
      <c r="Q3511" s="1" t="s">
        <v>8642</v>
      </c>
      <c r="R3511" s="1" t="s">
        <v>100</v>
      </c>
      <c r="S3511" s="1" t="s">
        <v>8643</v>
      </c>
      <c r="T3511" s="1" t="s">
        <v>8644</v>
      </c>
      <c r="U3511" s="2" t="s">
        <v>1287</v>
      </c>
      <c r="V3511" s="2" t="s">
        <v>47</v>
      </c>
      <c r="W3511" s="2" t="s">
        <v>111</v>
      </c>
      <c r="X3511" s="2">
        <v>13.93</v>
      </c>
    </row>
    <row r="3512" spans="1:24" x14ac:dyDescent="0.3">
      <c r="A3512">
        <v>21365</v>
      </c>
      <c r="B3512" t="s">
        <v>8640</v>
      </c>
      <c r="C3512" s="3">
        <v>41873</v>
      </c>
      <c r="D3512" t="s">
        <v>39</v>
      </c>
      <c r="E3512">
        <v>10</v>
      </c>
      <c r="F3512" s="3">
        <f ca="1">41874+(RANDBETWEEN(1,10))</f>
        <v>41880</v>
      </c>
      <c r="G3512" t="s">
        <v>26</v>
      </c>
      <c r="H3512" t="s">
        <v>27</v>
      </c>
      <c r="I3512" t="s">
        <v>28</v>
      </c>
      <c r="J3512">
        <v>222.07499999999999</v>
      </c>
      <c r="K3512">
        <v>7.0000000000000007E-2</v>
      </c>
      <c r="L3512">
        <v>0.4</v>
      </c>
      <c r="M3512">
        <v>26.25</v>
      </c>
      <c r="N3512">
        <v>-117.75539999999999</v>
      </c>
      <c r="O3512" s="1" t="s">
        <v>64</v>
      </c>
      <c r="P3512" s="1" t="s">
        <v>8018</v>
      </c>
      <c r="Q3512" s="1" t="s">
        <v>8019</v>
      </c>
      <c r="R3512" s="1" t="s">
        <v>128</v>
      </c>
      <c r="S3512" s="1" t="s">
        <v>8020</v>
      </c>
      <c r="T3512" s="1" t="s">
        <v>8021</v>
      </c>
      <c r="U3512" s="2" t="s">
        <v>6464</v>
      </c>
      <c r="V3512" s="2" t="s">
        <v>47</v>
      </c>
      <c r="W3512" s="2" t="s">
        <v>74</v>
      </c>
      <c r="X3512" s="2">
        <v>20.93</v>
      </c>
    </row>
    <row r="3513" spans="1:24" x14ac:dyDescent="0.3">
      <c r="A3513">
        <v>21366</v>
      </c>
      <c r="B3513" t="s">
        <v>8640</v>
      </c>
      <c r="C3513" s="3">
        <v>41873</v>
      </c>
      <c r="D3513" t="s">
        <v>39</v>
      </c>
      <c r="E3513">
        <v>23</v>
      </c>
      <c r="F3513" s="3">
        <f ca="1">41874+(RANDBETWEEN(1,10))</f>
        <v>41881</v>
      </c>
      <c r="G3513" t="s">
        <v>156</v>
      </c>
      <c r="H3513" t="s">
        <v>27</v>
      </c>
      <c r="I3513" t="s">
        <v>28</v>
      </c>
      <c r="J3513">
        <v>4621.1899999999996</v>
      </c>
      <c r="K3513">
        <v>0.03</v>
      </c>
      <c r="L3513">
        <v>0.55000000000000004</v>
      </c>
      <c r="M3513">
        <v>20.72</v>
      </c>
      <c r="N3513">
        <v>3188.6210999999998</v>
      </c>
      <c r="O3513" s="1" t="s">
        <v>64</v>
      </c>
      <c r="P3513" s="1" t="s">
        <v>8018</v>
      </c>
      <c r="Q3513" s="1" t="s">
        <v>8019</v>
      </c>
      <c r="R3513" s="1" t="s">
        <v>128</v>
      </c>
      <c r="S3513" s="1" t="s">
        <v>8020</v>
      </c>
      <c r="T3513" s="1" t="s">
        <v>8021</v>
      </c>
      <c r="U3513" s="2">
        <v>252</v>
      </c>
      <c r="V3513" s="2" t="s">
        <v>36</v>
      </c>
      <c r="W3513" s="2" t="s">
        <v>37</v>
      </c>
      <c r="X3513" s="2">
        <v>230.965</v>
      </c>
    </row>
    <row r="3514" spans="1:24" x14ac:dyDescent="0.3">
      <c r="A3514">
        <v>21367</v>
      </c>
      <c r="B3514" t="s">
        <v>8645</v>
      </c>
      <c r="C3514" s="3">
        <v>41106</v>
      </c>
      <c r="D3514" t="s">
        <v>25</v>
      </c>
      <c r="E3514">
        <v>6</v>
      </c>
      <c r="F3514" s="3">
        <f ca="1">41113+(RANDBETWEEN(1,10))</f>
        <v>41120</v>
      </c>
      <c r="G3514" t="s">
        <v>76</v>
      </c>
      <c r="H3514" t="s">
        <v>258</v>
      </c>
      <c r="I3514" t="s">
        <v>97</v>
      </c>
      <c r="J3514">
        <v>7981.19</v>
      </c>
      <c r="K3514">
        <v>0.02</v>
      </c>
      <c r="L3514">
        <v>0.74</v>
      </c>
      <c r="M3514">
        <v>299.70499999999998</v>
      </c>
      <c r="N3514">
        <v>-2073.8217500000001</v>
      </c>
      <c r="O3514" s="1" t="s">
        <v>64</v>
      </c>
      <c r="P3514" s="1" t="s">
        <v>501</v>
      </c>
      <c r="Q3514" s="1" t="s">
        <v>502</v>
      </c>
      <c r="R3514" s="1" t="s">
        <v>128</v>
      </c>
      <c r="S3514" s="1" t="s">
        <v>503</v>
      </c>
      <c r="T3514" s="1" t="s">
        <v>504</v>
      </c>
      <c r="U3514" s="2" t="s">
        <v>3542</v>
      </c>
      <c r="V3514" s="2" t="s">
        <v>83</v>
      </c>
      <c r="W3514" s="2" t="s">
        <v>263</v>
      </c>
      <c r="X3514" s="2">
        <v>1316.4549999999999</v>
      </c>
    </row>
    <row r="3515" spans="1:24" x14ac:dyDescent="0.3">
      <c r="A3515">
        <v>21368</v>
      </c>
      <c r="B3515" t="s">
        <v>8646</v>
      </c>
      <c r="C3515" s="3">
        <v>41348</v>
      </c>
      <c r="D3515" t="s">
        <v>39</v>
      </c>
      <c r="E3515">
        <v>10</v>
      </c>
      <c r="F3515" s="3">
        <f ca="1">41349+(RANDBETWEEN(1,10))</f>
        <v>41358</v>
      </c>
      <c r="G3515" t="s">
        <v>26</v>
      </c>
      <c r="H3515" t="s">
        <v>27</v>
      </c>
      <c r="I3515" t="s">
        <v>28</v>
      </c>
      <c r="J3515">
        <v>165.69</v>
      </c>
      <c r="K3515">
        <v>0.1</v>
      </c>
      <c r="L3515">
        <v>0.38</v>
      </c>
      <c r="M3515">
        <v>17.395</v>
      </c>
      <c r="N3515">
        <v>-344.09724999999997</v>
      </c>
      <c r="O3515" s="1" t="s">
        <v>225</v>
      </c>
      <c r="P3515" s="1" t="s">
        <v>8647</v>
      </c>
      <c r="Q3515" s="1" t="s">
        <v>8648</v>
      </c>
      <c r="R3515" s="1" t="s">
        <v>391</v>
      </c>
      <c r="S3515" s="1" t="s">
        <v>8649</v>
      </c>
      <c r="T3515" s="1" t="s">
        <v>1131</v>
      </c>
      <c r="U3515" s="2" t="s">
        <v>8128</v>
      </c>
      <c r="V3515" s="2" t="s">
        <v>47</v>
      </c>
      <c r="W3515" s="2" t="s">
        <v>111</v>
      </c>
      <c r="X3515" s="2">
        <v>17.184999999999999</v>
      </c>
    </row>
    <row r="3516" spans="1:24" x14ac:dyDescent="0.3">
      <c r="A3516">
        <v>21369</v>
      </c>
      <c r="B3516" t="s">
        <v>8646</v>
      </c>
      <c r="C3516" s="3">
        <v>41348</v>
      </c>
      <c r="D3516" t="s">
        <v>39</v>
      </c>
      <c r="E3516">
        <v>1</v>
      </c>
      <c r="F3516" s="3">
        <f ca="1">41349+(RANDBETWEEN(1,10))</f>
        <v>41357</v>
      </c>
      <c r="G3516" t="s">
        <v>26</v>
      </c>
      <c r="H3516" t="s">
        <v>63</v>
      </c>
      <c r="I3516" t="s">
        <v>28</v>
      </c>
      <c r="J3516">
        <v>503.16</v>
      </c>
      <c r="K3516">
        <v>0.1</v>
      </c>
      <c r="L3516">
        <v>0.56999999999999995</v>
      </c>
      <c r="M3516">
        <v>85.715000000000003</v>
      </c>
      <c r="N3516">
        <v>-576.06500000000005</v>
      </c>
      <c r="O3516" s="1" t="s">
        <v>225</v>
      </c>
      <c r="P3516" s="1" t="s">
        <v>8647</v>
      </c>
      <c r="Q3516" s="1" t="s">
        <v>8648</v>
      </c>
      <c r="R3516" s="1" t="s">
        <v>391</v>
      </c>
      <c r="S3516" s="1" t="s">
        <v>8649</v>
      </c>
      <c r="T3516" s="1" t="s">
        <v>1131</v>
      </c>
      <c r="U3516" s="2" t="s">
        <v>4440</v>
      </c>
      <c r="V3516" s="2" t="s">
        <v>83</v>
      </c>
      <c r="W3516" s="2" t="s">
        <v>84</v>
      </c>
      <c r="X3516" s="2">
        <v>492.83499999999998</v>
      </c>
    </row>
    <row r="3517" spans="1:24" x14ac:dyDescent="0.3">
      <c r="A3517">
        <v>2137</v>
      </c>
      <c r="B3517" t="s">
        <v>8632</v>
      </c>
      <c r="C3517" s="3">
        <v>41595</v>
      </c>
      <c r="D3517" t="s">
        <v>148</v>
      </c>
      <c r="E3517">
        <v>44</v>
      </c>
      <c r="F3517" s="3">
        <f ca="1">41595+(RANDBETWEEN(1,10))</f>
        <v>41604</v>
      </c>
      <c r="G3517" t="s">
        <v>26</v>
      </c>
      <c r="H3517" t="s">
        <v>27</v>
      </c>
      <c r="I3517" t="s">
        <v>97</v>
      </c>
      <c r="J3517">
        <v>1067.92</v>
      </c>
      <c r="K3517">
        <v>7.0000000000000007E-2</v>
      </c>
      <c r="L3517">
        <v>0.38</v>
      </c>
      <c r="M3517">
        <v>1.7150000000000001</v>
      </c>
      <c r="N3517">
        <v>77.502250000000004</v>
      </c>
      <c r="O3517" s="1" t="s">
        <v>64</v>
      </c>
      <c r="P3517" s="1" t="s">
        <v>314</v>
      </c>
      <c r="Q3517" s="1" t="s">
        <v>315</v>
      </c>
      <c r="R3517" s="1" t="s">
        <v>67</v>
      </c>
      <c r="S3517" s="1" t="s">
        <v>254</v>
      </c>
      <c r="T3517" s="1" t="s">
        <v>316</v>
      </c>
      <c r="U3517" s="2" t="s">
        <v>1897</v>
      </c>
      <c r="V3517" s="2" t="s">
        <v>47</v>
      </c>
      <c r="W3517" s="2" t="s">
        <v>203</v>
      </c>
      <c r="X3517" s="2">
        <v>25.585000000000001</v>
      </c>
    </row>
    <row r="3518" spans="1:24" x14ac:dyDescent="0.3">
      <c r="A3518">
        <v>21370</v>
      </c>
      <c r="B3518" t="s">
        <v>8646</v>
      </c>
      <c r="C3518" s="3">
        <v>41348</v>
      </c>
      <c r="D3518" t="s">
        <v>39</v>
      </c>
      <c r="E3518">
        <v>13</v>
      </c>
      <c r="F3518" s="3">
        <f ca="1">41349+(RANDBETWEEN(1,10))</f>
        <v>41354</v>
      </c>
      <c r="G3518" t="s">
        <v>156</v>
      </c>
      <c r="H3518" t="s">
        <v>96</v>
      </c>
      <c r="I3518" t="s">
        <v>28</v>
      </c>
      <c r="J3518">
        <v>278.95</v>
      </c>
      <c r="K3518">
        <v>0</v>
      </c>
      <c r="L3518">
        <v>0.6</v>
      </c>
      <c r="M3518">
        <v>2.4500000000000002</v>
      </c>
      <c r="N3518">
        <v>192.47550000000001</v>
      </c>
      <c r="O3518" s="1" t="s">
        <v>29</v>
      </c>
      <c r="P3518" s="1" t="s">
        <v>8650</v>
      </c>
      <c r="Q3518" s="1" t="s">
        <v>8651</v>
      </c>
      <c r="R3518" s="1" t="s">
        <v>460</v>
      </c>
      <c r="S3518" s="1" t="s">
        <v>8652</v>
      </c>
      <c r="T3518" s="1" t="s">
        <v>8653</v>
      </c>
      <c r="U3518" s="2" t="s">
        <v>549</v>
      </c>
      <c r="V3518" s="2" t="s">
        <v>47</v>
      </c>
      <c r="W3518" s="2" t="s">
        <v>104</v>
      </c>
      <c r="X3518" s="2">
        <v>19.53</v>
      </c>
    </row>
    <row r="3519" spans="1:24" x14ac:dyDescent="0.3">
      <c r="A3519">
        <v>21371</v>
      </c>
      <c r="B3519" t="s">
        <v>8654</v>
      </c>
      <c r="C3519" s="3">
        <v>41125</v>
      </c>
      <c r="D3519" t="s">
        <v>39</v>
      </c>
      <c r="E3519">
        <v>1</v>
      </c>
      <c r="F3519" s="3">
        <f ca="1">41125+(RANDBETWEEN(1,10))</f>
        <v>41130</v>
      </c>
      <c r="G3519" t="s">
        <v>26</v>
      </c>
      <c r="H3519" t="s">
        <v>51</v>
      </c>
      <c r="I3519" t="s">
        <v>86</v>
      </c>
      <c r="J3519">
        <v>60.164999999999999</v>
      </c>
      <c r="K3519">
        <v>0</v>
      </c>
      <c r="L3519">
        <v>0.49</v>
      </c>
      <c r="M3519">
        <v>6.9649999999999999</v>
      </c>
      <c r="N3519">
        <v>-64.318799999999996</v>
      </c>
      <c r="O3519" s="1" t="s">
        <v>53</v>
      </c>
      <c r="P3519" s="1" t="s">
        <v>5061</v>
      </c>
      <c r="Q3519" s="1" t="s">
        <v>5062</v>
      </c>
      <c r="R3519" s="1" t="s">
        <v>440</v>
      </c>
      <c r="S3519" s="1" t="s">
        <v>5063</v>
      </c>
      <c r="T3519" s="1" t="s">
        <v>5064</v>
      </c>
      <c r="U3519" s="2" t="s">
        <v>1903</v>
      </c>
      <c r="V3519" s="2" t="s">
        <v>36</v>
      </c>
      <c r="W3519" s="2" t="s">
        <v>60</v>
      </c>
      <c r="X3519" s="2">
        <v>50.68</v>
      </c>
    </row>
    <row r="3520" spans="1:24" x14ac:dyDescent="0.3">
      <c r="A3520">
        <v>21372</v>
      </c>
      <c r="B3520" t="s">
        <v>8654</v>
      </c>
      <c r="C3520" s="3">
        <v>41125</v>
      </c>
      <c r="D3520" t="s">
        <v>39</v>
      </c>
      <c r="E3520">
        <v>12</v>
      </c>
      <c r="F3520" s="3">
        <f ca="1">41127+(RANDBETWEEN(1,10))</f>
        <v>41131</v>
      </c>
      <c r="G3520" t="s">
        <v>26</v>
      </c>
      <c r="H3520" t="s">
        <v>27</v>
      </c>
      <c r="I3520" t="s">
        <v>86</v>
      </c>
      <c r="J3520">
        <v>4183.62</v>
      </c>
      <c r="K3520">
        <v>0.04</v>
      </c>
      <c r="L3520">
        <v>0.5</v>
      </c>
      <c r="M3520">
        <v>69.965000000000003</v>
      </c>
      <c r="N3520">
        <v>2071.6374000000001</v>
      </c>
      <c r="O3520" s="1" t="s">
        <v>53</v>
      </c>
      <c r="P3520" s="1" t="s">
        <v>5061</v>
      </c>
      <c r="Q3520" s="1" t="s">
        <v>5062</v>
      </c>
      <c r="R3520" s="1" t="s">
        <v>440</v>
      </c>
      <c r="S3520" s="1" t="s">
        <v>5063</v>
      </c>
      <c r="T3520" s="1" t="s">
        <v>5064</v>
      </c>
      <c r="U3520" s="2" t="s">
        <v>6456</v>
      </c>
      <c r="V3520" s="2" t="s">
        <v>36</v>
      </c>
      <c r="W3520" s="2" t="s">
        <v>60</v>
      </c>
      <c r="X3520" s="2">
        <v>349.96499999999997</v>
      </c>
    </row>
    <row r="3521" spans="1:24" x14ac:dyDescent="0.3">
      <c r="A3521">
        <v>21373</v>
      </c>
      <c r="B3521" t="s">
        <v>8654</v>
      </c>
      <c r="C3521" s="3">
        <v>41125</v>
      </c>
      <c r="D3521" t="s">
        <v>39</v>
      </c>
      <c r="E3521">
        <v>1</v>
      </c>
      <c r="F3521" s="3">
        <f ca="1">41127+(RANDBETWEEN(1,10))</f>
        <v>41137</v>
      </c>
      <c r="G3521" t="s">
        <v>26</v>
      </c>
      <c r="H3521" t="s">
        <v>27</v>
      </c>
      <c r="I3521" t="s">
        <v>86</v>
      </c>
      <c r="J3521">
        <v>26.81</v>
      </c>
      <c r="K3521">
        <v>0.01</v>
      </c>
      <c r="L3521">
        <v>0.38</v>
      </c>
      <c r="M3521">
        <v>17.010000000000002</v>
      </c>
      <c r="N3521">
        <v>-14.833</v>
      </c>
      <c r="O3521" s="1" t="s">
        <v>53</v>
      </c>
      <c r="P3521" s="1" t="s">
        <v>5061</v>
      </c>
      <c r="Q3521" s="1" t="s">
        <v>5062</v>
      </c>
      <c r="R3521" s="1" t="s">
        <v>440</v>
      </c>
      <c r="S3521" s="1" t="s">
        <v>5063</v>
      </c>
      <c r="T3521" s="1" t="s">
        <v>5064</v>
      </c>
      <c r="U3521" s="2" t="s">
        <v>727</v>
      </c>
      <c r="V3521" s="2" t="s">
        <v>47</v>
      </c>
      <c r="W3521" s="2" t="s">
        <v>74</v>
      </c>
      <c r="X3521" s="2">
        <v>17.43</v>
      </c>
    </row>
    <row r="3522" spans="1:24" x14ac:dyDescent="0.3">
      <c r="A3522">
        <v>21374</v>
      </c>
      <c r="B3522" t="s">
        <v>8655</v>
      </c>
      <c r="C3522" s="3">
        <v>41746</v>
      </c>
      <c r="D3522" t="s">
        <v>62</v>
      </c>
      <c r="E3522">
        <v>11</v>
      </c>
      <c r="F3522" s="3">
        <f ca="1">41747+(RANDBETWEEN(1,10))</f>
        <v>41749</v>
      </c>
      <c r="G3522" t="s">
        <v>26</v>
      </c>
      <c r="H3522" t="s">
        <v>27</v>
      </c>
      <c r="I3522" t="s">
        <v>86</v>
      </c>
      <c r="J3522">
        <v>182.94499999999999</v>
      </c>
      <c r="K3522">
        <v>0.05</v>
      </c>
      <c r="L3522">
        <v>0.36</v>
      </c>
      <c r="M3522">
        <v>5.2149999999999999</v>
      </c>
      <c r="N3522">
        <v>-499.88085000000001</v>
      </c>
      <c r="O3522" s="1" t="s">
        <v>64</v>
      </c>
      <c r="P3522" s="1" t="s">
        <v>6629</v>
      </c>
      <c r="Q3522" s="1" t="s">
        <v>6630</v>
      </c>
      <c r="R3522" s="1" t="s">
        <v>128</v>
      </c>
      <c r="S3522" s="1" t="s">
        <v>6631</v>
      </c>
      <c r="T3522" s="1" t="s">
        <v>6632</v>
      </c>
      <c r="U3522" s="2" t="s">
        <v>6365</v>
      </c>
      <c r="V3522" s="2" t="s">
        <v>47</v>
      </c>
      <c r="W3522" s="2" t="s">
        <v>111</v>
      </c>
      <c r="X3522" s="2">
        <v>16.87</v>
      </c>
    </row>
    <row r="3523" spans="1:24" x14ac:dyDescent="0.3">
      <c r="A3523">
        <v>21375</v>
      </c>
      <c r="B3523" t="s">
        <v>8655</v>
      </c>
      <c r="C3523" s="3">
        <v>41746</v>
      </c>
      <c r="D3523" t="s">
        <v>62</v>
      </c>
      <c r="E3523">
        <v>3</v>
      </c>
      <c r="F3523" s="3">
        <f ca="1">41748+(RANDBETWEEN(1,10))</f>
        <v>41757</v>
      </c>
      <c r="G3523" t="s">
        <v>26</v>
      </c>
      <c r="H3523" t="s">
        <v>96</v>
      </c>
      <c r="I3523" t="s">
        <v>86</v>
      </c>
      <c r="J3523">
        <v>84.63</v>
      </c>
      <c r="K3523">
        <v>0.05</v>
      </c>
      <c r="L3523">
        <v>0.36</v>
      </c>
      <c r="M3523">
        <v>20.405000000000001</v>
      </c>
      <c r="N3523">
        <v>16.314900000000002</v>
      </c>
      <c r="O3523" s="1" t="s">
        <v>64</v>
      </c>
      <c r="P3523" s="1" t="s">
        <v>6629</v>
      </c>
      <c r="Q3523" s="1" t="s">
        <v>6630</v>
      </c>
      <c r="R3523" s="1" t="s">
        <v>128</v>
      </c>
      <c r="S3523" s="1" t="s">
        <v>6631</v>
      </c>
      <c r="T3523" s="1" t="s">
        <v>6632</v>
      </c>
      <c r="U3523" s="2" t="s">
        <v>605</v>
      </c>
      <c r="V3523" s="2" t="s">
        <v>47</v>
      </c>
      <c r="W3523" s="2" t="s">
        <v>74</v>
      </c>
      <c r="X3523" s="2">
        <v>26.74</v>
      </c>
    </row>
    <row r="3524" spans="1:24" x14ac:dyDescent="0.3">
      <c r="A3524">
        <v>21376</v>
      </c>
      <c r="B3524" t="s">
        <v>8655</v>
      </c>
      <c r="C3524" s="3">
        <v>41746</v>
      </c>
      <c r="D3524" t="s">
        <v>62</v>
      </c>
      <c r="E3524">
        <v>8</v>
      </c>
      <c r="F3524" s="3">
        <f ca="1">41747+(RANDBETWEEN(1,10))</f>
        <v>41757</v>
      </c>
      <c r="G3524" t="s">
        <v>26</v>
      </c>
      <c r="H3524" t="s">
        <v>27</v>
      </c>
      <c r="I3524" t="s">
        <v>86</v>
      </c>
      <c r="J3524">
        <v>3638.32</v>
      </c>
      <c r="K3524">
        <v>0.02</v>
      </c>
      <c r="L3524">
        <v>0.57999999999999996</v>
      </c>
      <c r="M3524">
        <v>31.465</v>
      </c>
      <c r="N3524">
        <v>835.81470000000002</v>
      </c>
      <c r="O3524" s="1" t="s">
        <v>64</v>
      </c>
      <c r="P3524" s="1" t="s">
        <v>6629</v>
      </c>
      <c r="Q3524" s="1" t="s">
        <v>6630</v>
      </c>
      <c r="R3524" s="1" t="s">
        <v>128</v>
      </c>
      <c r="S3524" s="1" t="s">
        <v>6631</v>
      </c>
      <c r="T3524" s="1" t="s">
        <v>6632</v>
      </c>
      <c r="U3524" s="2" t="s">
        <v>1265</v>
      </c>
      <c r="V3524" s="2" t="s">
        <v>36</v>
      </c>
      <c r="W3524" s="2" t="s">
        <v>37</v>
      </c>
      <c r="X3524" s="2">
        <v>545.96500000000003</v>
      </c>
    </row>
    <row r="3525" spans="1:24" x14ac:dyDescent="0.3">
      <c r="A3525">
        <v>21377</v>
      </c>
      <c r="B3525" t="s">
        <v>8656</v>
      </c>
      <c r="C3525" s="3">
        <v>41414</v>
      </c>
      <c r="D3525" t="s">
        <v>50</v>
      </c>
      <c r="E3525">
        <v>2</v>
      </c>
      <c r="F3525" s="3">
        <f ca="1">41415+(RANDBETWEEN(1,10))</f>
        <v>41417</v>
      </c>
      <c r="G3525" t="s">
        <v>26</v>
      </c>
      <c r="H3525" t="s">
        <v>27</v>
      </c>
      <c r="I3525" t="s">
        <v>28</v>
      </c>
      <c r="J3525">
        <v>239.435</v>
      </c>
      <c r="K3525">
        <v>0.01</v>
      </c>
      <c r="L3525">
        <v>0.79</v>
      </c>
      <c r="M3525">
        <v>22.75</v>
      </c>
      <c r="N3525">
        <v>-474.28500000000003</v>
      </c>
      <c r="O3525" s="1" t="s">
        <v>29</v>
      </c>
      <c r="P3525" s="1" t="s">
        <v>7387</v>
      </c>
      <c r="Q3525" s="1" t="s">
        <v>7388</v>
      </c>
      <c r="R3525" s="1" t="s">
        <v>32</v>
      </c>
      <c r="S3525" s="1" t="s">
        <v>7389</v>
      </c>
      <c r="T3525" s="1" t="s">
        <v>7390</v>
      </c>
      <c r="U3525" s="2" t="s">
        <v>4252</v>
      </c>
      <c r="V3525" s="2" t="s">
        <v>36</v>
      </c>
      <c r="W3525" s="2" t="s">
        <v>60</v>
      </c>
      <c r="X3525" s="2">
        <v>108.43</v>
      </c>
    </row>
    <row r="3526" spans="1:24" x14ac:dyDescent="0.3">
      <c r="A3526">
        <v>21378</v>
      </c>
      <c r="B3526" t="s">
        <v>8656</v>
      </c>
      <c r="C3526" s="3">
        <v>41414</v>
      </c>
      <c r="D3526" t="s">
        <v>50</v>
      </c>
      <c r="E3526">
        <v>14</v>
      </c>
      <c r="F3526" s="3">
        <f ca="1">41415+(RANDBETWEEN(1,10))</f>
        <v>41424</v>
      </c>
      <c r="G3526" t="s">
        <v>26</v>
      </c>
      <c r="H3526" t="s">
        <v>63</v>
      </c>
      <c r="I3526" t="s">
        <v>28</v>
      </c>
      <c r="J3526">
        <v>1124.0250000000001</v>
      </c>
      <c r="K3526">
        <v>0</v>
      </c>
      <c r="L3526">
        <v>0.84</v>
      </c>
      <c r="M3526">
        <v>122.5</v>
      </c>
      <c r="N3526">
        <v>-3672.41</v>
      </c>
      <c r="O3526" s="1" t="s">
        <v>29</v>
      </c>
      <c r="P3526" s="1" t="s">
        <v>7387</v>
      </c>
      <c r="Q3526" s="1" t="s">
        <v>7388</v>
      </c>
      <c r="R3526" s="1" t="s">
        <v>32</v>
      </c>
      <c r="S3526" s="1" t="s">
        <v>7389</v>
      </c>
      <c r="T3526" s="1" t="s">
        <v>7390</v>
      </c>
      <c r="U3526" s="2" t="s">
        <v>2742</v>
      </c>
      <c r="V3526" s="2" t="s">
        <v>47</v>
      </c>
      <c r="W3526" s="2" t="s">
        <v>119</v>
      </c>
      <c r="X3526" s="2">
        <v>71.19</v>
      </c>
    </row>
    <row r="3527" spans="1:24" x14ac:dyDescent="0.3">
      <c r="A3527">
        <v>21379</v>
      </c>
      <c r="B3527" t="s">
        <v>8657</v>
      </c>
      <c r="C3527" s="3">
        <v>41243</v>
      </c>
      <c r="D3527" t="s">
        <v>62</v>
      </c>
      <c r="E3527">
        <v>43</v>
      </c>
      <c r="F3527" s="3">
        <f ca="1">41244+(RANDBETWEEN(1,10))</f>
        <v>41253</v>
      </c>
      <c r="G3527" t="s">
        <v>26</v>
      </c>
      <c r="H3527" t="s">
        <v>27</v>
      </c>
      <c r="I3527" t="s">
        <v>86</v>
      </c>
      <c r="J3527">
        <v>5551.21</v>
      </c>
      <c r="K3527">
        <v>0.03</v>
      </c>
      <c r="L3527">
        <v>0.56999999999999995</v>
      </c>
      <c r="M3527">
        <v>45.15</v>
      </c>
      <c r="N3527">
        <v>366.36599999999999</v>
      </c>
      <c r="O3527" s="1" t="s">
        <v>29</v>
      </c>
      <c r="P3527" s="1" t="s">
        <v>8658</v>
      </c>
      <c r="Q3527" s="1" t="s">
        <v>8659</v>
      </c>
      <c r="R3527" s="1" t="s">
        <v>675</v>
      </c>
      <c r="S3527" s="1" t="s">
        <v>1324</v>
      </c>
      <c r="T3527" s="1" t="s">
        <v>1325</v>
      </c>
      <c r="U3527" s="2" t="s">
        <v>4567</v>
      </c>
      <c r="V3527" s="2" t="s">
        <v>47</v>
      </c>
      <c r="W3527" s="2" t="s">
        <v>119</v>
      </c>
      <c r="X3527" s="2">
        <v>132.16</v>
      </c>
    </row>
    <row r="3528" spans="1:24" x14ac:dyDescent="0.3">
      <c r="A3528">
        <v>21380</v>
      </c>
      <c r="B3528" t="s">
        <v>8660</v>
      </c>
      <c r="C3528" s="3">
        <v>41236</v>
      </c>
      <c r="D3528" t="s">
        <v>39</v>
      </c>
      <c r="E3528">
        <v>11</v>
      </c>
      <c r="F3528" s="3">
        <f ca="1">41238+(RANDBETWEEN(1,10))</f>
        <v>41243</v>
      </c>
      <c r="G3528" t="s">
        <v>26</v>
      </c>
      <c r="H3528" t="s">
        <v>96</v>
      </c>
      <c r="I3528" t="s">
        <v>28</v>
      </c>
      <c r="J3528">
        <v>801.46500000000003</v>
      </c>
      <c r="K3528">
        <v>0.1</v>
      </c>
      <c r="L3528">
        <v>0.39</v>
      </c>
      <c r="M3528">
        <v>29.12</v>
      </c>
      <c r="N3528">
        <v>54.439</v>
      </c>
      <c r="O3528" s="1" t="s">
        <v>225</v>
      </c>
      <c r="P3528" s="1" t="s">
        <v>2039</v>
      </c>
      <c r="Q3528" s="1" t="s">
        <v>2040</v>
      </c>
      <c r="R3528" s="1" t="s">
        <v>228</v>
      </c>
      <c r="S3528" s="1" t="s">
        <v>2041</v>
      </c>
      <c r="T3528" s="1" t="s">
        <v>2042</v>
      </c>
      <c r="U3528" s="2" t="s">
        <v>8015</v>
      </c>
      <c r="V3528" s="2" t="s">
        <v>47</v>
      </c>
      <c r="W3528" s="2" t="s">
        <v>74</v>
      </c>
      <c r="X3528" s="2">
        <v>76.930000000000007</v>
      </c>
    </row>
    <row r="3529" spans="1:24" x14ac:dyDescent="0.3">
      <c r="A3529">
        <v>21381</v>
      </c>
      <c r="B3529" t="s">
        <v>8660</v>
      </c>
      <c r="C3529" s="3">
        <v>41236</v>
      </c>
      <c r="D3529" t="s">
        <v>39</v>
      </c>
      <c r="E3529">
        <v>37</v>
      </c>
      <c r="F3529" s="3">
        <f ca="1">41238+(RANDBETWEEN(1,10))</f>
        <v>41242</v>
      </c>
      <c r="G3529" t="s">
        <v>26</v>
      </c>
      <c r="H3529" t="s">
        <v>27</v>
      </c>
      <c r="I3529" t="s">
        <v>28</v>
      </c>
      <c r="J3529">
        <v>19828.305</v>
      </c>
      <c r="K3529">
        <v>0.09</v>
      </c>
      <c r="L3529">
        <v>0.59</v>
      </c>
      <c r="M3529">
        <v>13.965</v>
      </c>
      <c r="N3529">
        <v>11240.3907</v>
      </c>
      <c r="O3529" s="1" t="s">
        <v>225</v>
      </c>
      <c r="P3529" s="1" t="s">
        <v>2039</v>
      </c>
      <c r="Q3529" s="1" t="s">
        <v>2040</v>
      </c>
      <c r="R3529" s="1" t="s">
        <v>228</v>
      </c>
      <c r="S3529" s="1" t="s">
        <v>2041</v>
      </c>
      <c r="T3529" s="1" t="s">
        <v>2042</v>
      </c>
      <c r="U3529" s="2" t="s">
        <v>8434</v>
      </c>
      <c r="V3529" s="2" t="s">
        <v>36</v>
      </c>
      <c r="W3529" s="2" t="s">
        <v>37</v>
      </c>
      <c r="X3529" s="2">
        <v>685.96500000000003</v>
      </c>
    </row>
    <row r="3530" spans="1:24" x14ac:dyDescent="0.3">
      <c r="A3530">
        <v>21382</v>
      </c>
      <c r="B3530" t="s">
        <v>8661</v>
      </c>
      <c r="C3530" s="3">
        <v>41826</v>
      </c>
      <c r="D3530" t="s">
        <v>25</v>
      </c>
      <c r="E3530">
        <v>1</v>
      </c>
      <c r="F3530" s="3">
        <f ca="1">41831+(RANDBETWEEN(1,10))</f>
        <v>41839</v>
      </c>
      <c r="G3530" t="s">
        <v>26</v>
      </c>
      <c r="H3530" t="s">
        <v>27</v>
      </c>
      <c r="I3530" t="s">
        <v>28</v>
      </c>
      <c r="J3530">
        <v>27.125</v>
      </c>
      <c r="K3530">
        <v>0.03</v>
      </c>
      <c r="L3530">
        <v>0.35</v>
      </c>
      <c r="M3530">
        <v>10.465</v>
      </c>
      <c r="N3530">
        <v>-14.31612</v>
      </c>
      <c r="O3530" s="1" t="s">
        <v>87</v>
      </c>
      <c r="P3530" s="1" t="s">
        <v>7171</v>
      </c>
      <c r="Q3530" s="1" t="s">
        <v>7172</v>
      </c>
      <c r="R3530" s="1" t="s">
        <v>497</v>
      </c>
      <c r="S3530" s="1" t="s">
        <v>7173</v>
      </c>
      <c r="T3530" s="1" t="s">
        <v>7174</v>
      </c>
      <c r="U3530" s="2" t="s">
        <v>4681</v>
      </c>
      <c r="V3530" s="2" t="s">
        <v>47</v>
      </c>
      <c r="W3530" s="2" t="s">
        <v>111</v>
      </c>
      <c r="X3530" s="2">
        <v>23.625</v>
      </c>
    </row>
    <row r="3531" spans="1:24" x14ac:dyDescent="0.3">
      <c r="A3531">
        <v>21383</v>
      </c>
      <c r="B3531" t="s">
        <v>8662</v>
      </c>
      <c r="C3531" s="3">
        <v>40730</v>
      </c>
      <c r="D3531" t="s">
        <v>25</v>
      </c>
      <c r="E3531">
        <v>14</v>
      </c>
      <c r="F3531" s="3">
        <f ca="1">40730+(RANDBETWEEN(1,10))</f>
        <v>40739</v>
      </c>
      <c r="G3531" t="s">
        <v>26</v>
      </c>
      <c r="H3531" t="s">
        <v>27</v>
      </c>
      <c r="I3531" t="s">
        <v>28</v>
      </c>
      <c r="J3531">
        <v>353.46499999999997</v>
      </c>
      <c r="K3531">
        <v>0.05</v>
      </c>
      <c r="L3531">
        <v>0.39</v>
      </c>
      <c r="M3531">
        <v>21.175000000000001</v>
      </c>
      <c r="N3531">
        <v>-354.36099999999999</v>
      </c>
      <c r="O3531" s="1" t="s">
        <v>87</v>
      </c>
      <c r="P3531" s="1" t="s">
        <v>7171</v>
      </c>
      <c r="Q3531" s="1" t="s">
        <v>7172</v>
      </c>
      <c r="R3531" s="1" t="s">
        <v>497</v>
      </c>
      <c r="S3531" s="1" t="s">
        <v>7173</v>
      </c>
      <c r="T3531" s="1" t="s">
        <v>7174</v>
      </c>
      <c r="U3531" s="2" t="s">
        <v>2669</v>
      </c>
      <c r="V3531" s="2" t="s">
        <v>47</v>
      </c>
      <c r="W3531" s="2" t="s">
        <v>111</v>
      </c>
      <c r="X3531" s="2">
        <v>24.85</v>
      </c>
    </row>
    <row r="3532" spans="1:24" x14ac:dyDescent="0.3">
      <c r="A3532">
        <v>21384</v>
      </c>
      <c r="B3532" t="s">
        <v>8662</v>
      </c>
      <c r="C3532" s="3">
        <v>40730</v>
      </c>
      <c r="D3532" t="s">
        <v>25</v>
      </c>
      <c r="E3532">
        <v>7</v>
      </c>
      <c r="F3532" s="3">
        <f ca="1">40735+(RANDBETWEEN(1,10))</f>
        <v>40742</v>
      </c>
      <c r="G3532" t="s">
        <v>26</v>
      </c>
      <c r="H3532" t="s">
        <v>27</v>
      </c>
      <c r="I3532" t="s">
        <v>28</v>
      </c>
      <c r="J3532">
        <v>497.21</v>
      </c>
      <c r="K3532">
        <v>0.04</v>
      </c>
      <c r="L3532">
        <v>0.6</v>
      </c>
      <c r="M3532">
        <v>14</v>
      </c>
      <c r="N3532">
        <v>-6.58</v>
      </c>
      <c r="O3532" s="1" t="s">
        <v>87</v>
      </c>
      <c r="P3532" s="1" t="s">
        <v>7171</v>
      </c>
      <c r="Q3532" s="1" t="s">
        <v>7172</v>
      </c>
      <c r="R3532" s="1" t="s">
        <v>497</v>
      </c>
      <c r="S3532" s="1" t="s">
        <v>7173</v>
      </c>
      <c r="T3532" s="1" t="s">
        <v>7174</v>
      </c>
      <c r="U3532" s="2" t="s">
        <v>3946</v>
      </c>
      <c r="V3532" s="2" t="s">
        <v>36</v>
      </c>
      <c r="W3532" s="2" t="s">
        <v>60</v>
      </c>
      <c r="X3532" s="2">
        <v>73.325000000000003</v>
      </c>
    </row>
    <row r="3533" spans="1:24" x14ac:dyDescent="0.3">
      <c r="A3533">
        <v>21385</v>
      </c>
      <c r="B3533" t="s">
        <v>8662</v>
      </c>
      <c r="C3533" s="3">
        <v>40730</v>
      </c>
      <c r="D3533" t="s">
        <v>25</v>
      </c>
      <c r="E3533">
        <v>9</v>
      </c>
      <c r="F3533" s="3">
        <f ca="1">40737+(RANDBETWEEN(1,10))</f>
        <v>40746</v>
      </c>
      <c r="G3533" t="s">
        <v>26</v>
      </c>
      <c r="H3533" t="s">
        <v>27</v>
      </c>
      <c r="I3533" t="s">
        <v>28</v>
      </c>
      <c r="J3533">
        <v>1273.0899999999999</v>
      </c>
      <c r="K3533">
        <v>0.05</v>
      </c>
      <c r="L3533">
        <v>0.37</v>
      </c>
      <c r="M3533">
        <v>36.924999999999997</v>
      </c>
      <c r="N3533">
        <v>878.43209999999999</v>
      </c>
      <c r="O3533" s="1" t="s">
        <v>53</v>
      </c>
      <c r="P3533" s="1" t="s">
        <v>8663</v>
      </c>
      <c r="Q3533" s="1" t="s">
        <v>8664</v>
      </c>
      <c r="R3533" s="1" t="s">
        <v>56</v>
      </c>
      <c r="S3533" s="1" t="s">
        <v>3934</v>
      </c>
      <c r="T3533" s="1" t="s">
        <v>3935</v>
      </c>
      <c r="U3533" s="2" t="s">
        <v>3647</v>
      </c>
      <c r="V3533" s="2" t="s">
        <v>47</v>
      </c>
      <c r="W3533" s="2" t="s">
        <v>111</v>
      </c>
      <c r="X3533" s="2">
        <v>136.71</v>
      </c>
    </row>
    <row r="3534" spans="1:24" x14ac:dyDescent="0.3">
      <c r="A3534">
        <v>21386</v>
      </c>
      <c r="B3534" t="s">
        <v>8662</v>
      </c>
      <c r="C3534" s="3">
        <v>40730</v>
      </c>
      <c r="D3534" t="s">
        <v>25</v>
      </c>
      <c r="E3534">
        <v>4</v>
      </c>
      <c r="F3534" s="3">
        <f ca="1">40739+(RANDBETWEEN(1,10))</f>
        <v>40740</v>
      </c>
      <c r="G3534" t="s">
        <v>26</v>
      </c>
      <c r="H3534" t="s">
        <v>27</v>
      </c>
      <c r="I3534" t="s">
        <v>28</v>
      </c>
      <c r="J3534">
        <v>55.755000000000003</v>
      </c>
      <c r="K3534">
        <v>0.04</v>
      </c>
      <c r="L3534">
        <v>0.38</v>
      </c>
      <c r="M3534">
        <v>23.905000000000001</v>
      </c>
      <c r="N3534">
        <v>-202.13550000000001</v>
      </c>
      <c r="O3534" s="1" t="s">
        <v>53</v>
      </c>
      <c r="P3534" s="1" t="s">
        <v>8663</v>
      </c>
      <c r="Q3534" s="1" t="s">
        <v>8664</v>
      </c>
      <c r="R3534" s="1" t="s">
        <v>56</v>
      </c>
      <c r="S3534" s="1" t="s">
        <v>3934</v>
      </c>
      <c r="T3534" s="1" t="s">
        <v>3935</v>
      </c>
      <c r="U3534" s="2" t="s">
        <v>6885</v>
      </c>
      <c r="V3534" s="2" t="s">
        <v>47</v>
      </c>
      <c r="W3534" s="2" t="s">
        <v>111</v>
      </c>
      <c r="X3534" s="2">
        <v>12.32</v>
      </c>
    </row>
    <row r="3535" spans="1:24" x14ac:dyDescent="0.3">
      <c r="A3535">
        <v>21387</v>
      </c>
      <c r="B3535" t="s">
        <v>8662</v>
      </c>
      <c r="C3535" s="3">
        <v>40730</v>
      </c>
      <c r="D3535" t="s">
        <v>25</v>
      </c>
      <c r="E3535">
        <v>1</v>
      </c>
      <c r="F3535" s="3">
        <f ca="1">40737+(RANDBETWEEN(1,10))</f>
        <v>40743</v>
      </c>
      <c r="G3535" t="s">
        <v>26</v>
      </c>
      <c r="H3535" t="s">
        <v>27</v>
      </c>
      <c r="I3535" t="s">
        <v>28</v>
      </c>
      <c r="J3535">
        <v>74.48</v>
      </c>
      <c r="K3535">
        <v>0.02</v>
      </c>
      <c r="L3535">
        <v>0.59</v>
      </c>
      <c r="M3535">
        <v>62.23</v>
      </c>
      <c r="N3535">
        <v>-167.89500000000001</v>
      </c>
      <c r="O3535" s="1" t="s">
        <v>53</v>
      </c>
      <c r="P3535" s="1" t="s">
        <v>8663</v>
      </c>
      <c r="Q3535" s="1" t="s">
        <v>8664</v>
      </c>
      <c r="R3535" s="1" t="s">
        <v>56</v>
      </c>
      <c r="S3535" s="1" t="s">
        <v>3934</v>
      </c>
      <c r="T3535" s="1" t="s">
        <v>3935</v>
      </c>
      <c r="U3535" s="2" t="s">
        <v>4598</v>
      </c>
      <c r="V3535" s="2" t="s">
        <v>47</v>
      </c>
      <c r="W3535" s="2" t="s">
        <v>119</v>
      </c>
      <c r="X3535" s="2">
        <v>54.284999999999997</v>
      </c>
    </row>
    <row r="3536" spans="1:24" x14ac:dyDescent="0.3">
      <c r="A3536">
        <v>21388</v>
      </c>
      <c r="B3536" t="s">
        <v>8665</v>
      </c>
      <c r="C3536" s="3">
        <v>40930</v>
      </c>
      <c r="D3536" t="s">
        <v>25</v>
      </c>
      <c r="E3536">
        <v>3</v>
      </c>
      <c r="F3536" s="3">
        <f ca="1">40932+(RANDBETWEEN(1,10))</f>
        <v>40940</v>
      </c>
      <c r="G3536" t="s">
        <v>26</v>
      </c>
      <c r="H3536" t="s">
        <v>27</v>
      </c>
      <c r="I3536" t="s">
        <v>52</v>
      </c>
      <c r="J3536">
        <v>302.05</v>
      </c>
      <c r="K3536">
        <v>0.1</v>
      </c>
      <c r="L3536">
        <v>0.37</v>
      </c>
      <c r="M3536">
        <v>5.2149999999999999</v>
      </c>
      <c r="N3536">
        <v>208.4145</v>
      </c>
      <c r="O3536" s="1" t="s">
        <v>64</v>
      </c>
      <c r="P3536" s="1" t="s">
        <v>1465</v>
      </c>
      <c r="Q3536" s="1" t="s">
        <v>1466</v>
      </c>
      <c r="R3536" s="1" t="s">
        <v>67</v>
      </c>
      <c r="S3536" s="1" t="s">
        <v>1467</v>
      </c>
      <c r="T3536" s="1" t="s">
        <v>1468</v>
      </c>
      <c r="U3536" s="2" t="s">
        <v>6810</v>
      </c>
      <c r="V3536" s="2" t="s">
        <v>47</v>
      </c>
      <c r="W3536" s="2" t="s">
        <v>111</v>
      </c>
      <c r="X3536" s="2">
        <v>106.54</v>
      </c>
    </row>
    <row r="3537" spans="1:24" x14ac:dyDescent="0.3">
      <c r="A3537">
        <v>21389</v>
      </c>
      <c r="B3537" t="s">
        <v>8666</v>
      </c>
      <c r="C3537" s="3">
        <v>41306</v>
      </c>
      <c r="D3537" t="s">
        <v>148</v>
      </c>
      <c r="E3537">
        <v>12</v>
      </c>
      <c r="F3537" s="3">
        <f ca="1">41307+(RANDBETWEEN(1,10))</f>
        <v>41309</v>
      </c>
      <c r="G3537" t="s">
        <v>26</v>
      </c>
      <c r="H3537" t="s">
        <v>27</v>
      </c>
      <c r="I3537" t="s">
        <v>97</v>
      </c>
      <c r="J3537">
        <v>3478.93</v>
      </c>
      <c r="K3537">
        <v>0.06</v>
      </c>
      <c r="L3537">
        <v>0.56000000000000005</v>
      </c>
      <c r="M3537">
        <v>17.149999999999999</v>
      </c>
      <c r="N3537">
        <v>121.8</v>
      </c>
      <c r="O3537" s="1" t="s">
        <v>40</v>
      </c>
      <c r="P3537" s="1" t="s">
        <v>8226</v>
      </c>
      <c r="Q3537" s="1" t="s">
        <v>8227</v>
      </c>
      <c r="R3537" s="1" t="s">
        <v>43</v>
      </c>
      <c r="S3537" s="1" t="s">
        <v>8228</v>
      </c>
      <c r="T3537" s="1" t="s">
        <v>8229</v>
      </c>
      <c r="U3537" s="2" t="s">
        <v>35</v>
      </c>
      <c r="V3537" s="2" t="s">
        <v>36</v>
      </c>
      <c r="W3537" s="2" t="s">
        <v>37</v>
      </c>
      <c r="X3537" s="2">
        <v>335.96499999999997</v>
      </c>
    </row>
    <row r="3538" spans="1:24" x14ac:dyDescent="0.3">
      <c r="A3538">
        <v>21390</v>
      </c>
      <c r="B3538" t="s">
        <v>8667</v>
      </c>
      <c r="C3538" s="3">
        <v>40777</v>
      </c>
      <c r="D3538" t="s">
        <v>50</v>
      </c>
      <c r="E3538">
        <v>1</v>
      </c>
      <c r="F3538" s="3">
        <f ca="1">40779+(RANDBETWEEN(1,10))</f>
        <v>40787</v>
      </c>
      <c r="G3538" t="s">
        <v>26</v>
      </c>
      <c r="H3538" t="s">
        <v>96</v>
      </c>
      <c r="I3538" t="s">
        <v>86</v>
      </c>
      <c r="J3538">
        <v>38.29</v>
      </c>
      <c r="K3538">
        <v>0.08</v>
      </c>
      <c r="L3538">
        <v>0.37</v>
      </c>
      <c r="M3538">
        <v>7.1050000000000004</v>
      </c>
      <c r="N3538">
        <v>-1876.847</v>
      </c>
      <c r="O3538" s="1" t="s">
        <v>64</v>
      </c>
      <c r="P3538" s="1" t="s">
        <v>568</v>
      </c>
      <c r="Q3538" s="1" t="s">
        <v>569</v>
      </c>
      <c r="R3538" s="1" t="s">
        <v>128</v>
      </c>
      <c r="S3538" s="1" t="s">
        <v>570</v>
      </c>
      <c r="T3538" s="1" t="s">
        <v>571</v>
      </c>
      <c r="U3538" s="2" t="s">
        <v>3218</v>
      </c>
      <c r="V3538" s="2" t="s">
        <v>47</v>
      </c>
      <c r="W3538" s="2" t="s">
        <v>74</v>
      </c>
      <c r="X3538" s="2">
        <v>33.880000000000003</v>
      </c>
    </row>
    <row r="3539" spans="1:24" x14ac:dyDescent="0.3">
      <c r="A3539">
        <v>21391</v>
      </c>
      <c r="B3539" t="s">
        <v>8667</v>
      </c>
      <c r="C3539" s="3">
        <v>40777</v>
      </c>
      <c r="D3539" t="s">
        <v>50</v>
      </c>
      <c r="E3539">
        <v>5</v>
      </c>
      <c r="F3539" s="3">
        <f ca="1">40778+(RANDBETWEEN(1,10))</f>
        <v>40787</v>
      </c>
      <c r="G3539" t="s">
        <v>76</v>
      </c>
      <c r="H3539" t="s">
        <v>258</v>
      </c>
      <c r="I3539" t="s">
        <v>86</v>
      </c>
      <c r="J3539">
        <v>2559.83</v>
      </c>
      <c r="K3539">
        <v>0.04</v>
      </c>
      <c r="L3539">
        <v>0.7</v>
      </c>
      <c r="M3539">
        <v>56.034999999999997</v>
      </c>
      <c r="N3539">
        <v>-440.51</v>
      </c>
      <c r="O3539" s="1" t="s">
        <v>64</v>
      </c>
      <c r="P3539" s="1" t="s">
        <v>568</v>
      </c>
      <c r="Q3539" s="1" t="s">
        <v>569</v>
      </c>
      <c r="R3539" s="1" t="s">
        <v>128</v>
      </c>
      <c r="S3539" s="1" t="s">
        <v>570</v>
      </c>
      <c r="T3539" s="1" t="s">
        <v>571</v>
      </c>
      <c r="U3539" s="2" t="s">
        <v>342</v>
      </c>
      <c r="V3539" s="2" t="s">
        <v>83</v>
      </c>
      <c r="W3539" s="2" t="s">
        <v>263</v>
      </c>
      <c r="X3539" s="2">
        <v>528.42999999999995</v>
      </c>
    </row>
    <row r="3540" spans="1:24" x14ac:dyDescent="0.3">
      <c r="A3540">
        <v>21392</v>
      </c>
      <c r="B3540" t="s">
        <v>8668</v>
      </c>
      <c r="C3540" s="3">
        <v>40616</v>
      </c>
      <c r="D3540" t="s">
        <v>50</v>
      </c>
      <c r="E3540">
        <v>11</v>
      </c>
      <c r="F3540" s="3">
        <f ca="1">40618+(RANDBETWEEN(1,10))</f>
        <v>40619</v>
      </c>
      <c r="G3540" t="s">
        <v>76</v>
      </c>
      <c r="H3540" t="s">
        <v>258</v>
      </c>
      <c r="I3540" t="s">
        <v>86</v>
      </c>
      <c r="J3540">
        <v>8161.65</v>
      </c>
      <c r="K3540">
        <v>0.02</v>
      </c>
      <c r="L3540">
        <v>0.75</v>
      </c>
      <c r="M3540">
        <v>195.86</v>
      </c>
      <c r="N3540">
        <v>-787.31730000000005</v>
      </c>
      <c r="O3540" s="1" t="s">
        <v>87</v>
      </c>
      <c r="P3540" s="1" t="s">
        <v>8669</v>
      </c>
      <c r="Q3540" s="1" t="s">
        <v>8670</v>
      </c>
      <c r="R3540" s="1" t="s">
        <v>646</v>
      </c>
      <c r="S3540" s="1" t="s">
        <v>6137</v>
      </c>
      <c r="T3540" s="1" t="s">
        <v>6138</v>
      </c>
      <c r="U3540" s="2" t="s">
        <v>8671</v>
      </c>
      <c r="V3540" s="2" t="s">
        <v>83</v>
      </c>
      <c r="W3540" s="2" t="s">
        <v>298</v>
      </c>
      <c r="X3540" s="2">
        <v>703.43</v>
      </c>
    </row>
    <row r="3541" spans="1:24" x14ac:dyDescent="0.3">
      <c r="A3541">
        <v>21393</v>
      </c>
      <c r="B3541" t="s">
        <v>8668</v>
      </c>
      <c r="C3541" s="3">
        <v>40616</v>
      </c>
      <c r="D3541" t="s">
        <v>50</v>
      </c>
      <c r="E3541">
        <v>6</v>
      </c>
      <c r="F3541" s="3">
        <f ca="1">40617+(RANDBETWEEN(1,10))</f>
        <v>40624</v>
      </c>
      <c r="G3541" t="s">
        <v>26</v>
      </c>
      <c r="H3541" t="s">
        <v>27</v>
      </c>
      <c r="I3541" t="s">
        <v>86</v>
      </c>
      <c r="J3541">
        <v>96.144999999999996</v>
      </c>
      <c r="K3541">
        <v>0.02</v>
      </c>
      <c r="L3541">
        <v>0.4</v>
      </c>
      <c r="M3541">
        <v>18.094999999999999</v>
      </c>
      <c r="N3541">
        <v>688.8</v>
      </c>
      <c r="O3541" s="1" t="s">
        <v>87</v>
      </c>
      <c r="P3541" s="1" t="s">
        <v>8669</v>
      </c>
      <c r="Q3541" s="1" t="s">
        <v>8670</v>
      </c>
      <c r="R3541" s="1" t="s">
        <v>646</v>
      </c>
      <c r="S3541" s="1" t="s">
        <v>6137</v>
      </c>
      <c r="T3541" s="1" t="s">
        <v>6138</v>
      </c>
      <c r="U3541" s="2" t="s">
        <v>7083</v>
      </c>
      <c r="V3541" s="2" t="s">
        <v>47</v>
      </c>
      <c r="W3541" s="2" t="s">
        <v>74</v>
      </c>
      <c r="X3541" s="2">
        <v>14.98</v>
      </c>
    </row>
    <row r="3542" spans="1:24" x14ac:dyDescent="0.3">
      <c r="A3542">
        <v>21394</v>
      </c>
      <c r="B3542" t="s">
        <v>8672</v>
      </c>
      <c r="C3542" s="3">
        <v>41712</v>
      </c>
      <c r="D3542" t="s">
        <v>50</v>
      </c>
      <c r="E3542">
        <v>5</v>
      </c>
      <c r="F3542" s="3">
        <f ca="1">41714+(RANDBETWEEN(1,10))</f>
        <v>41722</v>
      </c>
      <c r="G3542" t="s">
        <v>26</v>
      </c>
      <c r="H3542" t="s">
        <v>96</v>
      </c>
      <c r="I3542" t="s">
        <v>86</v>
      </c>
      <c r="J3542">
        <v>1313.9</v>
      </c>
      <c r="K3542">
        <v>0.04</v>
      </c>
      <c r="L3542">
        <v>0.85</v>
      </c>
      <c r="M3542">
        <v>3.4649999999999999</v>
      </c>
      <c r="N3542">
        <v>95.277000000000001</v>
      </c>
      <c r="O3542" s="1" t="s">
        <v>87</v>
      </c>
      <c r="P3542" s="1" t="s">
        <v>8669</v>
      </c>
      <c r="Q3542" s="1" t="s">
        <v>8670</v>
      </c>
      <c r="R3542" s="1" t="s">
        <v>646</v>
      </c>
      <c r="S3542" s="1" t="s">
        <v>6137</v>
      </c>
      <c r="T3542" s="1" t="s">
        <v>6138</v>
      </c>
      <c r="U3542" s="2" t="s">
        <v>678</v>
      </c>
      <c r="V3542" s="2" t="s">
        <v>36</v>
      </c>
      <c r="W3542" s="2" t="s">
        <v>37</v>
      </c>
      <c r="X3542" s="2">
        <v>300.96499999999997</v>
      </c>
    </row>
    <row r="3543" spans="1:24" x14ac:dyDescent="0.3">
      <c r="A3543">
        <v>21395</v>
      </c>
      <c r="B3543" t="s">
        <v>8673</v>
      </c>
      <c r="C3543" s="3">
        <v>41120</v>
      </c>
      <c r="D3543" t="s">
        <v>39</v>
      </c>
      <c r="E3543">
        <v>1</v>
      </c>
      <c r="F3543" s="3">
        <f ca="1">41121+(RANDBETWEEN(1,10))</f>
        <v>41128</v>
      </c>
      <c r="G3543" t="s">
        <v>26</v>
      </c>
      <c r="H3543" t="s">
        <v>27</v>
      </c>
      <c r="I3543" t="s">
        <v>97</v>
      </c>
      <c r="J3543">
        <v>23.52</v>
      </c>
      <c r="K3543">
        <v>0.08</v>
      </c>
      <c r="L3543">
        <v>0.4</v>
      </c>
      <c r="M3543">
        <v>18.094999999999999</v>
      </c>
      <c r="N3543">
        <v>-31.08</v>
      </c>
      <c r="O3543" s="1" t="s">
        <v>53</v>
      </c>
      <c r="P3543" s="1" t="s">
        <v>7496</v>
      </c>
      <c r="Q3543" s="1" t="s">
        <v>7497</v>
      </c>
      <c r="R3543" s="1" t="s">
        <v>56</v>
      </c>
      <c r="S3543" s="1" t="s">
        <v>7498</v>
      </c>
      <c r="T3543" s="1" t="s">
        <v>7499</v>
      </c>
      <c r="U3543" s="2" t="s">
        <v>7083</v>
      </c>
      <c r="V3543" s="2" t="s">
        <v>47</v>
      </c>
      <c r="W3543" s="2" t="s">
        <v>74</v>
      </c>
      <c r="X3543" s="2">
        <v>14.98</v>
      </c>
    </row>
    <row r="3544" spans="1:24" x14ac:dyDescent="0.3">
      <c r="A3544">
        <v>21396</v>
      </c>
      <c r="B3544" t="s">
        <v>8673</v>
      </c>
      <c r="C3544" s="3">
        <v>41120</v>
      </c>
      <c r="D3544" t="s">
        <v>39</v>
      </c>
      <c r="E3544">
        <v>7</v>
      </c>
      <c r="F3544" s="3">
        <f ca="1">41122+(RANDBETWEEN(1,10))</f>
        <v>41125</v>
      </c>
      <c r="G3544" t="s">
        <v>26</v>
      </c>
      <c r="H3544" t="s">
        <v>27</v>
      </c>
      <c r="I3544" t="s">
        <v>97</v>
      </c>
      <c r="J3544">
        <v>1071.3499999999999</v>
      </c>
      <c r="K3544">
        <v>0.05</v>
      </c>
      <c r="L3544">
        <v>0.55000000000000004</v>
      </c>
      <c r="M3544">
        <v>57.26</v>
      </c>
      <c r="N3544">
        <v>-18.934999999999999</v>
      </c>
      <c r="O3544" s="1" t="s">
        <v>53</v>
      </c>
      <c r="P3544" s="1" t="s">
        <v>7496</v>
      </c>
      <c r="Q3544" s="1" t="s">
        <v>7497</v>
      </c>
      <c r="R3544" s="1" t="s">
        <v>56</v>
      </c>
      <c r="S3544" s="1" t="s">
        <v>7498</v>
      </c>
      <c r="T3544" s="1" t="s">
        <v>7499</v>
      </c>
      <c r="U3544" s="2" t="s">
        <v>4353</v>
      </c>
      <c r="V3544" s="2" t="s">
        <v>47</v>
      </c>
      <c r="W3544" s="2" t="s">
        <v>119</v>
      </c>
      <c r="X3544" s="2">
        <v>152.495</v>
      </c>
    </row>
    <row r="3545" spans="1:24" x14ac:dyDescent="0.3">
      <c r="A3545">
        <v>21397</v>
      </c>
      <c r="B3545" t="s">
        <v>8674</v>
      </c>
      <c r="C3545" s="3">
        <v>40942</v>
      </c>
      <c r="D3545" t="s">
        <v>25</v>
      </c>
      <c r="E3545">
        <v>10</v>
      </c>
      <c r="F3545" s="3">
        <f ca="1">40949+(RANDBETWEEN(1,10))</f>
        <v>40950</v>
      </c>
      <c r="G3545" t="s">
        <v>156</v>
      </c>
      <c r="H3545" t="s">
        <v>27</v>
      </c>
      <c r="I3545" t="s">
        <v>86</v>
      </c>
      <c r="J3545">
        <v>2009.84</v>
      </c>
      <c r="K3545">
        <v>0</v>
      </c>
      <c r="L3545">
        <v>0.68</v>
      </c>
      <c r="M3545">
        <v>22.925000000000001</v>
      </c>
      <c r="N3545">
        <v>862.89</v>
      </c>
      <c r="O3545" s="1" t="s">
        <v>40</v>
      </c>
      <c r="P3545" s="1" t="s">
        <v>6286</v>
      </c>
      <c r="Q3545" s="1" t="s">
        <v>6287</v>
      </c>
      <c r="R3545" s="1" t="s">
        <v>220</v>
      </c>
      <c r="S3545" s="1" t="s">
        <v>6288</v>
      </c>
      <c r="T3545" s="1" t="s">
        <v>6289</v>
      </c>
      <c r="U3545" s="2" t="s">
        <v>2020</v>
      </c>
      <c r="V3545" s="2" t="s">
        <v>36</v>
      </c>
      <c r="W3545" s="2" t="s">
        <v>60</v>
      </c>
      <c r="X3545" s="2">
        <v>195.79</v>
      </c>
    </row>
    <row r="3546" spans="1:24" x14ac:dyDescent="0.3">
      <c r="A3546">
        <v>21398</v>
      </c>
      <c r="B3546" t="s">
        <v>8674</v>
      </c>
      <c r="C3546" s="3">
        <v>40942</v>
      </c>
      <c r="D3546" t="s">
        <v>25</v>
      </c>
      <c r="E3546">
        <v>1</v>
      </c>
      <c r="F3546" s="3">
        <f ca="1">40949+(RANDBETWEEN(1,10))</f>
        <v>40952</v>
      </c>
      <c r="G3546" t="s">
        <v>26</v>
      </c>
      <c r="H3546" t="s">
        <v>51</v>
      </c>
      <c r="I3546" t="s">
        <v>86</v>
      </c>
      <c r="J3546">
        <v>62.37</v>
      </c>
      <c r="K3546">
        <v>0.05</v>
      </c>
      <c r="L3546">
        <v>0.83</v>
      </c>
      <c r="M3546">
        <v>4.375</v>
      </c>
      <c r="N3546">
        <v>-386.38600000000002</v>
      </c>
      <c r="O3546" s="1" t="s">
        <v>40</v>
      </c>
      <c r="P3546" s="1" t="s">
        <v>6286</v>
      </c>
      <c r="Q3546" s="1" t="s">
        <v>6287</v>
      </c>
      <c r="R3546" s="1" t="s">
        <v>220</v>
      </c>
      <c r="S3546" s="1" t="s">
        <v>6288</v>
      </c>
      <c r="T3546" s="1" t="s">
        <v>6289</v>
      </c>
      <c r="U3546" s="2" t="s">
        <v>3952</v>
      </c>
      <c r="V3546" s="2" t="s">
        <v>36</v>
      </c>
      <c r="W3546" s="2" t="s">
        <v>37</v>
      </c>
      <c r="X3546" s="2">
        <v>73.465000000000003</v>
      </c>
    </row>
    <row r="3547" spans="1:24" x14ac:dyDescent="0.3">
      <c r="A3547">
        <v>21399</v>
      </c>
      <c r="B3547" t="s">
        <v>8675</v>
      </c>
      <c r="C3547" s="3">
        <v>40710</v>
      </c>
      <c r="D3547" t="s">
        <v>62</v>
      </c>
      <c r="E3547">
        <v>6</v>
      </c>
      <c r="F3547" s="3">
        <f ca="1">40711+(RANDBETWEEN(1,10))</f>
        <v>40719</v>
      </c>
      <c r="G3547" t="s">
        <v>26</v>
      </c>
      <c r="H3547" t="s">
        <v>27</v>
      </c>
      <c r="I3547" t="s">
        <v>86</v>
      </c>
      <c r="J3547">
        <v>927.32500000000005</v>
      </c>
      <c r="K3547">
        <v>0</v>
      </c>
      <c r="L3547">
        <v>0.77</v>
      </c>
      <c r="M3547">
        <v>69.965000000000003</v>
      </c>
      <c r="N3547">
        <v>-89.718999999999994</v>
      </c>
      <c r="O3547" s="1" t="s">
        <v>29</v>
      </c>
      <c r="P3547" s="1" t="s">
        <v>3051</v>
      </c>
      <c r="Q3547" s="1" t="s">
        <v>3052</v>
      </c>
      <c r="R3547" s="1" t="s">
        <v>460</v>
      </c>
      <c r="S3547" s="1" t="s">
        <v>3053</v>
      </c>
      <c r="T3547" s="1" t="s">
        <v>3054</v>
      </c>
      <c r="U3547" s="2" t="s">
        <v>171</v>
      </c>
      <c r="V3547" s="2" t="s">
        <v>36</v>
      </c>
      <c r="W3547" s="2" t="s">
        <v>60</v>
      </c>
      <c r="X3547" s="2">
        <v>141.68</v>
      </c>
    </row>
    <row r="3548" spans="1:24" x14ac:dyDescent="0.3">
      <c r="A3548">
        <v>21400</v>
      </c>
      <c r="B3548" t="s">
        <v>8676</v>
      </c>
      <c r="C3548" s="3">
        <v>41137</v>
      </c>
      <c r="D3548" t="s">
        <v>148</v>
      </c>
      <c r="E3548">
        <v>11</v>
      </c>
      <c r="F3548" s="3">
        <f ca="1">41139+(RANDBETWEEN(1,10))</f>
        <v>41141</v>
      </c>
      <c r="G3548" t="s">
        <v>26</v>
      </c>
      <c r="H3548" t="s">
        <v>27</v>
      </c>
      <c r="I3548" t="s">
        <v>52</v>
      </c>
      <c r="J3548">
        <v>2953.02</v>
      </c>
      <c r="K3548">
        <v>0.01</v>
      </c>
      <c r="L3548">
        <v>0.57999999999999996</v>
      </c>
      <c r="M3548">
        <v>9.7650000000000006</v>
      </c>
      <c r="N3548">
        <v>71.147999999999996</v>
      </c>
      <c r="O3548" s="1" t="s">
        <v>29</v>
      </c>
      <c r="P3548" s="1" t="s">
        <v>8677</v>
      </c>
      <c r="Q3548" s="1" t="s">
        <v>8678</v>
      </c>
      <c r="R3548" s="1" t="s">
        <v>460</v>
      </c>
      <c r="S3548" s="1" t="s">
        <v>8679</v>
      </c>
      <c r="T3548" s="1" t="s">
        <v>8680</v>
      </c>
      <c r="U3548" s="2">
        <v>6340</v>
      </c>
      <c r="V3548" s="2" t="s">
        <v>36</v>
      </c>
      <c r="W3548" s="2" t="s">
        <v>37</v>
      </c>
      <c r="X3548" s="2">
        <v>300.96499999999997</v>
      </c>
    </row>
    <row r="3549" spans="1:24" x14ac:dyDescent="0.3">
      <c r="A3549">
        <v>21401</v>
      </c>
      <c r="B3549" t="s">
        <v>8681</v>
      </c>
      <c r="C3549" s="3">
        <v>40741</v>
      </c>
      <c r="D3549" t="s">
        <v>25</v>
      </c>
      <c r="E3549">
        <v>9</v>
      </c>
      <c r="F3549" s="3">
        <f ca="1">40745+(RANDBETWEEN(1,10))</f>
        <v>40746</v>
      </c>
      <c r="G3549" t="s">
        <v>26</v>
      </c>
      <c r="H3549" t="s">
        <v>96</v>
      </c>
      <c r="I3549" t="s">
        <v>97</v>
      </c>
      <c r="J3549">
        <v>61.634999999999998</v>
      </c>
      <c r="K3549">
        <v>0.05</v>
      </c>
      <c r="L3549">
        <v>0.82</v>
      </c>
      <c r="M3549">
        <v>9.0299999999999994</v>
      </c>
      <c r="N3549">
        <v>-233.17</v>
      </c>
      <c r="O3549" s="1" t="s">
        <v>64</v>
      </c>
      <c r="P3549" s="1" t="s">
        <v>501</v>
      </c>
      <c r="Q3549" s="1" t="s">
        <v>502</v>
      </c>
      <c r="R3549" s="1" t="s">
        <v>128</v>
      </c>
      <c r="S3549" s="1" t="s">
        <v>503</v>
      </c>
      <c r="T3549" s="1" t="s">
        <v>504</v>
      </c>
      <c r="U3549" s="2" t="s">
        <v>456</v>
      </c>
      <c r="V3549" s="2" t="s">
        <v>47</v>
      </c>
      <c r="W3549" s="2" t="s">
        <v>176</v>
      </c>
      <c r="X3549" s="2">
        <v>6.51</v>
      </c>
    </row>
    <row r="3550" spans="1:24" x14ac:dyDescent="0.3">
      <c r="A3550">
        <v>21402</v>
      </c>
      <c r="B3550" t="s">
        <v>8682</v>
      </c>
      <c r="C3550" s="3">
        <v>40762</v>
      </c>
      <c r="D3550" t="s">
        <v>50</v>
      </c>
      <c r="E3550">
        <v>22</v>
      </c>
      <c r="F3550" s="3">
        <f ca="1">40762+(RANDBETWEEN(1,10))</f>
        <v>40768</v>
      </c>
      <c r="G3550" t="s">
        <v>26</v>
      </c>
      <c r="H3550" t="s">
        <v>27</v>
      </c>
      <c r="I3550" t="s">
        <v>86</v>
      </c>
      <c r="J3550">
        <v>3981.6</v>
      </c>
      <c r="K3550">
        <v>0.08</v>
      </c>
      <c r="L3550">
        <v>0.57999999999999996</v>
      </c>
      <c r="M3550">
        <v>20.72</v>
      </c>
      <c r="N3550">
        <v>2185.4057400000002</v>
      </c>
      <c r="O3550" s="1" t="s">
        <v>87</v>
      </c>
      <c r="P3550" s="1" t="s">
        <v>7002</v>
      </c>
      <c r="Q3550" s="1" t="s">
        <v>7003</v>
      </c>
      <c r="R3550" s="1" t="s">
        <v>398</v>
      </c>
      <c r="S3550" s="1" t="s">
        <v>7004</v>
      </c>
      <c r="T3550" s="1" t="s">
        <v>7005</v>
      </c>
      <c r="U3550" s="2" t="s">
        <v>5239</v>
      </c>
      <c r="V3550" s="2" t="s">
        <v>36</v>
      </c>
      <c r="W3550" s="2" t="s">
        <v>37</v>
      </c>
      <c r="X3550" s="2">
        <v>230.965</v>
      </c>
    </row>
    <row r="3551" spans="1:24" x14ac:dyDescent="0.3">
      <c r="A3551">
        <v>21403</v>
      </c>
      <c r="B3551" t="s">
        <v>8683</v>
      </c>
      <c r="C3551" s="3">
        <v>41185</v>
      </c>
      <c r="D3551" t="s">
        <v>50</v>
      </c>
      <c r="E3551">
        <v>22</v>
      </c>
      <c r="F3551" s="3">
        <f ca="1">41186+(RANDBETWEEN(1,10))</f>
        <v>41188</v>
      </c>
      <c r="G3551" t="s">
        <v>156</v>
      </c>
      <c r="H3551" t="s">
        <v>27</v>
      </c>
      <c r="I3551" t="s">
        <v>28</v>
      </c>
      <c r="J3551">
        <v>879.55</v>
      </c>
      <c r="K3551">
        <v>0.09</v>
      </c>
      <c r="L3551">
        <v>0.57999999999999996</v>
      </c>
      <c r="M3551">
        <v>17.43</v>
      </c>
      <c r="N3551">
        <v>-181.13759999999999</v>
      </c>
      <c r="O3551" s="1" t="s">
        <v>87</v>
      </c>
      <c r="P3551" s="1" t="s">
        <v>1490</v>
      </c>
      <c r="Q3551" s="1" t="s">
        <v>1491</v>
      </c>
      <c r="R3551" s="1" t="s">
        <v>90</v>
      </c>
      <c r="S3551" s="1" t="s">
        <v>1492</v>
      </c>
      <c r="T3551" s="1" t="s">
        <v>1493</v>
      </c>
      <c r="U3551" s="2" t="s">
        <v>5213</v>
      </c>
      <c r="V3551" s="2" t="s">
        <v>47</v>
      </c>
      <c r="W3551" s="2" t="s">
        <v>71</v>
      </c>
      <c r="X3551" s="2">
        <v>41.895000000000003</v>
      </c>
    </row>
    <row r="3552" spans="1:24" x14ac:dyDescent="0.3">
      <c r="A3552">
        <v>21404</v>
      </c>
      <c r="B3552" t="s">
        <v>8684</v>
      </c>
      <c r="C3552" s="3">
        <v>41899</v>
      </c>
      <c r="D3552" t="s">
        <v>62</v>
      </c>
      <c r="E3552">
        <v>15</v>
      </c>
      <c r="F3552" s="3">
        <f ca="1">41901+(RANDBETWEEN(1,10))</f>
        <v>41906</v>
      </c>
      <c r="G3552" t="s">
        <v>26</v>
      </c>
      <c r="H3552" t="s">
        <v>27</v>
      </c>
      <c r="I3552" t="s">
        <v>86</v>
      </c>
      <c r="J3552">
        <v>1774.2550000000001</v>
      </c>
      <c r="K3552">
        <v>0.06</v>
      </c>
      <c r="L3552">
        <v>0.61</v>
      </c>
      <c r="M3552">
        <v>30.59</v>
      </c>
      <c r="N3552">
        <v>250.91640000000001</v>
      </c>
      <c r="O3552" s="1" t="s">
        <v>53</v>
      </c>
      <c r="P3552" s="1" t="s">
        <v>6199</v>
      </c>
      <c r="Q3552" s="1" t="s">
        <v>6200</v>
      </c>
      <c r="R3552" s="1" t="s">
        <v>100</v>
      </c>
      <c r="S3552" s="1" t="s">
        <v>6201</v>
      </c>
      <c r="T3552" s="1" t="s">
        <v>6202</v>
      </c>
      <c r="U3552" s="2" t="s">
        <v>7096</v>
      </c>
      <c r="V3552" s="2" t="s">
        <v>47</v>
      </c>
      <c r="W3552" s="2" t="s">
        <v>119</v>
      </c>
      <c r="X3552" s="2">
        <v>116.515</v>
      </c>
    </row>
    <row r="3553" spans="1:24" x14ac:dyDescent="0.3">
      <c r="A3553">
        <v>21405</v>
      </c>
      <c r="B3553" t="s">
        <v>8685</v>
      </c>
      <c r="C3553" s="3">
        <v>41897</v>
      </c>
      <c r="D3553" t="s">
        <v>25</v>
      </c>
      <c r="E3553">
        <v>8</v>
      </c>
      <c r="F3553" s="3">
        <f ca="1">41904+(RANDBETWEEN(1,10))</f>
        <v>41914</v>
      </c>
      <c r="G3553" t="s">
        <v>76</v>
      </c>
      <c r="H3553" t="s">
        <v>77</v>
      </c>
      <c r="I3553" t="s">
        <v>52</v>
      </c>
      <c r="J3553">
        <v>897.43499999999995</v>
      </c>
      <c r="K3553">
        <v>0.1</v>
      </c>
      <c r="L3553">
        <v>0.57999999999999996</v>
      </c>
      <c r="M3553">
        <v>67.165000000000006</v>
      </c>
      <c r="N3553">
        <v>-570.16539999999998</v>
      </c>
      <c r="O3553" s="1" t="s">
        <v>87</v>
      </c>
      <c r="P3553" s="1" t="s">
        <v>8375</v>
      </c>
      <c r="Q3553" s="1" t="s">
        <v>8376</v>
      </c>
      <c r="R3553" s="1" t="s">
        <v>646</v>
      </c>
      <c r="S3553" s="1" t="s">
        <v>8377</v>
      </c>
      <c r="T3553" s="1" t="s">
        <v>8378</v>
      </c>
      <c r="U3553" s="2" t="s">
        <v>8686</v>
      </c>
      <c r="V3553" s="2" t="s">
        <v>83</v>
      </c>
      <c r="W3553" s="2" t="s">
        <v>84</v>
      </c>
      <c r="X3553" s="2">
        <v>118.79</v>
      </c>
    </row>
    <row r="3554" spans="1:24" x14ac:dyDescent="0.3">
      <c r="A3554">
        <v>21406</v>
      </c>
      <c r="B3554" t="s">
        <v>8687</v>
      </c>
      <c r="C3554" s="3">
        <v>40757</v>
      </c>
      <c r="D3554" t="s">
        <v>50</v>
      </c>
      <c r="E3554">
        <v>11</v>
      </c>
      <c r="F3554" s="3">
        <f ca="1">40758+(RANDBETWEEN(1,10))</f>
        <v>40768</v>
      </c>
      <c r="G3554" t="s">
        <v>76</v>
      </c>
      <c r="H3554" t="s">
        <v>77</v>
      </c>
      <c r="I3554" t="s">
        <v>97</v>
      </c>
      <c r="J3554">
        <v>7805.42</v>
      </c>
      <c r="K3554">
        <v>0.03</v>
      </c>
      <c r="L3554">
        <v>0.36</v>
      </c>
      <c r="M3554">
        <v>54.564999999999998</v>
      </c>
      <c r="N3554">
        <v>5385.7398000000003</v>
      </c>
      <c r="O3554" s="1" t="s">
        <v>53</v>
      </c>
      <c r="P3554" s="1" t="s">
        <v>6550</v>
      </c>
      <c r="Q3554" s="1" t="s">
        <v>6551</v>
      </c>
      <c r="R3554" s="1" t="s">
        <v>100</v>
      </c>
      <c r="S3554" s="1" t="s">
        <v>6552</v>
      </c>
      <c r="T3554" s="1" t="s">
        <v>6553</v>
      </c>
      <c r="U3554" s="2" t="s">
        <v>6020</v>
      </c>
      <c r="V3554" s="2" t="s">
        <v>36</v>
      </c>
      <c r="W3554" s="2" t="s">
        <v>142</v>
      </c>
      <c r="X3554" s="2">
        <v>703.39499999999998</v>
      </c>
    </row>
    <row r="3555" spans="1:24" x14ac:dyDescent="0.3">
      <c r="A3555">
        <v>21407</v>
      </c>
      <c r="B3555" t="s">
        <v>8688</v>
      </c>
      <c r="C3555" s="3">
        <v>41546</v>
      </c>
      <c r="D3555" t="s">
        <v>62</v>
      </c>
      <c r="E3555">
        <v>18</v>
      </c>
      <c r="F3555" s="3">
        <f ca="1">41548+(RANDBETWEEN(1,10))</f>
        <v>41549</v>
      </c>
      <c r="G3555" t="s">
        <v>26</v>
      </c>
      <c r="H3555" t="s">
        <v>27</v>
      </c>
      <c r="I3555" t="s">
        <v>28</v>
      </c>
      <c r="J3555">
        <v>2718.9749999999999</v>
      </c>
      <c r="K3555">
        <v>0.05</v>
      </c>
      <c r="L3555">
        <v>0.59</v>
      </c>
      <c r="M3555">
        <v>12.25</v>
      </c>
      <c r="N3555">
        <v>-1083.4880000000001</v>
      </c>
      <c r="O3555" s="1" t="s">
        <v>87</v>
      </c>
      <c r="P3555" s="1" t="s">
        <v>7777</v>
      </c>
      <c r="Q3555" s="1" t="s">
        <v>7778</v>
      </c>
      <c r="R3555" s="1" t="s">
        <v>398</v>
      </c>
      <c r="S3555" s="1" t="s">
        <v>7779</v>
      </c>
      <c r="T3555" s="1" t="s">
        <v>7780</v>
      </c>
      <c r="U3555" s="2" t="s">
        <v>4947</v>
      </c>
      <c r="V3555" s="2" t="s">
        <v>47</v>
      </c>
      <c r="W3555" s="2" t="s">
        <v>71</v>
      </c>
      <c r="X3555" s="2">
        <v>154.035</v>
      </c>
    </row>
    <row r="3556" spans="1:24" x14ac:dyDescent="0.3">
      <c r="A3556">
        <v>21408</v>
      </c>
      <c r="B3556" t="s">
        <v>8688</v>
      </c>
      <c r="C3556" s="3">
        <v>41546</v>
      </c>
      <c r="D3556" t="s">
        <v>62</v>
      </c>
      <c r="E3556">
        <v>6</v>
      </c>
      <c r="F3556" s="3">
        <f ca="1">41547+(RANDBETWEEN(1,10))</f>
        <v>41553</v>
      </c>
      <c r="G3556" t="s">
        <v>26</v>
      </c>
      <c r="H3556" t="s">
        <v>96</v>
      </c>
      <c r="I3556" t="s">
        <v>28</v>
      </c>
      <c r="J3556">
        <v>137.13</v>
      </c>
      <c r="K3556">
        <v>0.06</v>
      </c>
      <c r="L3556">
        <v>0.48</v>
      </c>
      <c r="M3556">
        <v>5.25</v>
      </c>
      <c r="N3556">
        <v>137.71799999999999</v>
      </c>
      <c r="O3556" s="1" t="s">
        <v>87</v>
      </c>
      <c r="P3556" s="1" t="s">
        <v>7777</v>
      </c>
      <c r="Q3556" s="1" t="s">
        <v>7778</v>
      </c>
      <c r="R3556" s="1" t="s">
        <v>398</v>
      </c>
      <c r="S3556" s="1" t="s">
        <v>7779</v>
      </c>
      <c r="T3556" s="1" t="s">
        <v>7780</v>
      </c>
      <c r="U3556" s="2" t="s">
        <v>2494</v>
      </c>
      <c r="V3556" s="2" t="s">
        <v>47</v>
      </c>
      <c r="W3556" s="2" t="s">
        <v>104</v>
      </c>
      <c r="X3556" s="2">
        <v>23.38</v>
      </c>
    </row>
    <row r="3557" spans="1:24" x14ac:dyDescent="0.3">
      <c r="A3557">
        <v>21409</v>
      </c>
      <c r="B3557" t="s">
        <v>8689</v>
      </c>
      <c r="C3557" s="3">
        <v>41039</v>
      </c>
      <c r="D3557" t="s">
        <v>62</v>
      </c>
      <c r="E3557">
        <v>12</v>
      </c>
      <c r="F3557" s="3">
        <f ca="1">41039+(RANDBETWEEN(1,10))</f>
        <v>41042</v>
      </c>
      <c r="G3557" t="s">
        <v>26</v>
      </c>
      <c r="H3557" t="s">
        <v>96</v>
      </c>
      <c r="I3557" t="s">
        <v>86</v>
      </c>
      <c r="J3557">
        <v>135.83500000000001</v>
      </c>
      <c r="K3557">
        <v>0.03</v>
      </c>
      <c r="L3557">
        <v>0.4</v>
      </c>
      <c r="M3557">
        <v>3.99</v>
      </c>
      <c r="N3557">
        <v>-105.203</v>
      </c>
      <c r="O3557" s="1" t="s">
        <v>40</v>
      </c>
      <c r="P3557" s="1" t="s">
        <v>7181</v>
      </c>
      <c r="Q3557" s="1" t="s">
        <v>7182</v>
      </c>
      <c r="R3557" s="1" t="s">
        <v>43</v>
      </c>
      <c r="S3557" s="1" t="s">
        <v>7183</v>
      </c>
      <c r="T3557" s="1" t="s">
        <v>7184</v>
      </c>
      <c r="U3557" s="2" t="s">
        <v>8690</v>
      </c>
      <c r="V3557" s="2" t="s">
        <v>47</v>
      </c>
      <c r="W3557" s="2" t="s">
        <v>74</v>
      </c>
      <c r="X3557" s="2">
        <v>10.99</v>
      </c>
    </row>
    <row r="3558" spans="1:24" x14ac:dyDescent="0.3">
      <c r="A3558">
        <v>21410</v>
      </c>
      <c r="B3558" t="s">
        <v>8691</v>
      </c>
      <c r="C3558" s="3">
        <v>41040</v>
      </c>
      <c r="D3558" t="s">
        <v>148</v>
      </c>
      <c r="E3558">
        <v>13</v>
      </c>
      <c r="F3558" s="3">
        <f ca="1">41042+(RANDBETWEEN(1,10))</f>
        <v>41049</v>
      </c>
      <c r="G3558" t="s">
        <v>76</v>
      </c>
      <c r="H3558" t="s">
        <v>77</v>
      </c>
      <c r="I3558" t="s">
        <v>52</v>
      </c>
      <c r="J3558">
        <v>15510.18</v>
      </c>
      <c r="K3558">
        <v>0.06</v>
      </c>
      <c r="L3558">
        <v>0.55000000000000004</v>
      </c>
      <c r="M3558">
        <v>136.5</v>
      </c>
      <c r="N3558">
        <v>10702.0242</v>
      </c>
      <c r="O3558" s="1" t="s">
        <v>225</v>
      </c>
      <c r="P3558" s="1" t="s">
        <v>7916</v>
      </c>
      <c r="Q3558" s="1" t="s">
        <v>7917</v>
      </c>
      <c r="R3558" s="1" t="s">
        <v>391</v>
      </c>
      <c r="S3558" s="1" t="s">
        <v>7918</v>
      </c>
      <c r="T3558" s="1" t="s">
        <v>7919</v>
      </c>
      <c r="U3558" s="2" t="s">
        <v>3927</v>
      </c>
      <c r="V3558" s="2" t="s">
        <v>83</v>
      </c>
      <c r="W3558" s="2" t="s">
        <v>84</v>
      </c>
      <c r="X3558" s="2">
        <v>1228.4649999999999</v>
      </c>
    </row>
    <row r="3559" spans="1:24" x14ac:dyDescent="0.3">
      <c r="A3559">
        <v>21411</v>
      </c>
      <c r="B3559" t="s">
        <v>8692</v>
      </c>
      <c r="C3559" s="3">
        <v>40679</v>
      </c>
      <c r="D3559" t="s">
        <v>62</v>
      </c>
      <c r="E3559">
        <v>10</v>
      </c>
      <c r="F3559" s="3">
        <f ca="1">40679+(RANDBETWEEN(1,10))</f>
        <v>40683</v>
      </c>
      <c r="G3559" t="s">
        <v>26</v>
      </c>
      <c r="H3559" t="s">
        <v>63</v>
      </c>
      <c r="I3559" t="s">
        <v>86</v>
      </c>
      <c r="J3559">
        <v>9506.3150000000005</v>
      </c>
      <c r="K3559">
        <v>7.0000000000000007E-2</v>
      </c>
      <c r="L3559">
        <v>0.8</v>
      </c>
      <c r="M3559">
        <v>122.5</v>
      </c>
      <c r="N3559">
        <v>-725.48</v>
      </c>
      <c r="O3559" s="1" t="s">
        <v>40</v>
      </c>
      <c r="P3559" s="1" t="s">
        <v>2656</v>
      </c>
      <c r="Q3559" s="1" t="s">
        <v>2657</v>
      </c>
      <c r="R3559" s="1" t="s">
        <v>43</v>
      </c>
      <c r="S3559" s="1" t="s">
        <v>2658</v>
      </c>
      <c r="T3559" s="1" t="s">
        <v>2659</v>
      </c>
      <c r="U3559" s="2" t="s">
        <v>2645</v>
      </c>
      <c r="V3559" s="2" t="s">
        <v>47</v>
      </c>
      <c r="W3559" s="2" t="s">
        <v>119</v>
      </c>
      <c r="X3559" s="2">
        <v>978.18</v>
      </c>
    </row>
    <row r="3560" spans="1:24" x14ac:dyDescent="0.3">
      <c r="A3560">
        <v>21412</v>
      </c>
      <c r="B3560" t="s">
        <v>8693</v>
      </c>
      <c r="C3560" s="3">
        <v>41359</v>
      </c>
      <c r="D3560" t="s">
        <v>148</v>
      </c>
      <c r="E3560">
        <v>12</v>
      </c>
      <c r="F3560" s="3">
        <f ca="1">41361+(RANDBETWEEN(1,10))</f>
        <v>41366</v>
      </c>
      <c r="G3560" t="s">
        <v>26</v>
      </c>
      <c r="H3560" t="s">
        <v>27</v>
      </c>
      <c r="I3560" t="s">
        <v>52</v>
      </c>
      <c r="J3560">
        <v>195.79</v>
      </c>
      <c r="K3560">
        <v>0.06</v>
      </c>
      <c r="L3560">
        <v>0.36</v>
      </c>
      <c r="M3560">
        <v>1.75</v>
      </c>
      <c r="N3560">
        <v>-106.91604</v>
      </c>
      <c r="O3560" s="1" t="s">
        <v>87</v>
      </c>
      <c r="P3560" s="1" t="s">
        <v>1400</v>
      </c>
      <c r="Q3560" s="1" t="s">
        <v>1401</v>
      </c>
      <c r="R3560" s="1" t="s">
        <v>646</v>
      </c>
      <c r="S3560" s="1" t="s">
        <v>1402</v>
      </c>
      <c r="T3560" s="1" t="s">
        <v>1403</v>
      </c>
      <c r="U3560" s="2" t="s">
        <v>2281</v>
      </c>
      <c r="V3560" s="2" t="s">
        <v>47</v>
      </c>
      <c r="W3560" s="2" t="s">
        <v>203</v>
      </c>
      <c r="X3560" s="2">
        <v>17.184999999999999</v>
      </c>
    </row>
    <row r="3561" spans="1:24" x14ac:dyDescent="0.3">
      <c r="A3561">
        <v>21413</v>
      </c>
      <c r="B3561" t="s">
        <v>8693</v>
      </c>
      <c r="C3561" s="3">
        <v>41359</v>
      </c>
      <c r="D3561" t="s">
        <v>148</v>
      </c>
      <c r="E3561">
        <v>6</v>
      </c>
      <c r="F3561" s="3">
        <f ca="1">41361+(RANDBETWEEN(1,10))</f>
        <v>41369</v>
      </c>
      <c r="G3561" t="s">
        <v>26</v>
      </c>
      <c r="H3561" t="s">
        <v>27</v>
      </c>
      <c r="I3561" t="s">
        <v>52</v>
      </c>
      <c r="J3561">
        <v>3981.2150000000001</v>
      </c>
      <c r="K3561">
        <v>7.0000000000000007E-2</v>
      </c>
      <c r="L3561">
        <v>0.71</v>
      </c>
      <c r="M3561">
        <v>69.965000000000003</v>
      </c>
      <c r="N3561">
        <v>429.95400000000001</v>
      </c>
      <c r="O3561" s="1" t="s">
        <v>87</v>
      </c>
      <c r="P3561" s="1" t="s">
        <v>1400</v>
      </c>
      <c r="Q3561" s="1" t="s">
        <v>1401</v>
      </c>
      <c r="R3561" s="1" t="s">
        <v>646</v>
      </c>
      <c r="S3561" s="1" t="s">
        <v>1402</v>
      </c>
      <c r="T3561" s="1" t="s">
        <v>1403</v>
      </c>
      <c r="U3561" s="2" t="s">
        <v>624</v>
      </c>
      <c r="V3561" s="2" t="s">
        <v>47</v>
      </c>
      <c r="W3561" s="2" t="s">
        <v>119</v>
      </c>
      <c r="X3561" s="2">
        <v>676.09500000000003</v>
      </c>
    </row>
    <row r="3562" spans="1:24" x14ac:dyDescent="0.3">
      <c r="A3562">
        <v>21414</v>
      </c>
      <c r="B3562" t="s">
        <v>8693</v>
      </c>
      <c r="C3562" s="3">
        <v>41359</v>
      </c>
      <c r="D3562" t="s">
        <v>148</v>
      </c>
      <c r="E3562">
        <v>6</v>
      </c>
      <c r="F3562" s="3">
        <f ca="1">41361+(RANDBETWEEN(1,10))</f>
        <v>41365</v>
      </c>
      <c r="G3562" t="s">
        <v>26</v>
      </c>
      <c r="H3562" t="s">
        <v>27</v>
      </c>
      <c r="I3562" t="s">
        <v>52</v>
      </c>
      <c r="J3562">
        <v>2581.145</v>
      </c>
      <c r="K3562">
        <v>0.1</v>
      </c>
      <c r="L3562">
        <v>0.57999999999999996</v>
      </c>
      <c r="M3562">
        <v>31.465</v>
      </c>
      <c r="N3562">
        <v>231.92400000000001</v>
      </c>
      <c r="O3562" s="1" t="s">
        <v>87</v>
      </c>
      <c r="P3562" s="1" t="s">
        <v>1400</v>
      </c>
      <c r="Q3562" s="1" t="s">
        <v>1401</v>
      </c>
      <c r="R3562" s="1" t="s">
        <v>646</v>
      </c>
      <c r="S3562" s="1" t="s">
        <v>1402</v>
      </c>
      <c r="T3562" s="1" t="s">
        <v>1403</v>
      </c>
      <c r="U3562" s="2" t="s">
        <v>307</v>
      </c>
      <c r="V3562" s="2" t="s">
        <v>36</v>
      </c>
      <c r="W3562" s="2" t="s">
        <v>37</v>
      </c>
      <c r="X3562" s="2">
        <v>545.96500000000003</v>
      </c>
    </row>
    <row r="3563" spans="1:24" x14ac:dyDescent="0.3">
      <c r="A3563">
        <v>21415</v>
      </c>
      <c r="B3563" t="s">
        <v>8694</v>
      </c>
      <c r="C3563" s="3">
        <v>41816</v>
      </c>
      <c r="D3563" t="s">
        <v>39</v>
      </c>
      <c r="E3563">
        <v>15</v>
      </c>
      <c r="F3563" s="3">
        <f ca="1">41818+(RANDBETWEEN(1,10))</f>
        <v>41824</v>
      </c>
      <c r="G3563" t="s">
        <v>26</v>
      </c>
      <c r="H3563" t="s">
        <v>27</v>
      </c>
      <c r="I3563" t="s">
        <v>28</v>
      </c>
      <c r="J3563">
        <v>5450.41</v>
      </c>
      <c r="K3563">
        <v>0.03</v>
      </c>
      <c r="L3563">
        <v>0.46</v>
      </c>
      <c r="M3563">
        <v>25.13</v>
      </c>
      <c r="N3563">
        <v>3760.7829000000002</v>
      </c>
      <c r="O3563" s="1" t="s">
        <v>87</v>
      </c>
      <c r="P3563" s="1" t="s">
        <v>8695</v>
      </c>
      <c r="Q3563" s="1" t="s">
        <v>8696</v>
      </c>
      <c r="R3563" s="1" t="s">
        <v>497</v>
      </c>
      <c r="S3563" s="1" t="s">
        <v>8697</v>
      </c>
      <c r="T3563" s="1" t="s">
        <v>8698</v>
      </c>
      <c r="U3563" s="2" t="s">
        <v>8699</v>
      </c>
      <c r="V3563" s="2" t="s">
        <v>36</v>
      </c>
      <c r="W3563" s="2" t="s">
        <v>60</v>
      </c>
      <c r="X3563" s="2">
        <v>353.39499999999998</v>
      </c>
    </row>
    <row r="3564" spans="1:24" x14ac:dyDescent="0.3">
      <c r="A3564">
        <v>21416</v>
      </c>
      <c r="B3564" t="s">
        <v>8694</v>
      </c>
      <c r="C3564" s="3">
        <v>41816</v>
      </c>
      <c r="D3564" t="s">
        <v>39</v>
      </c>
      <c r="E3564">
        <v>5</v>
      </c>
      <c r="F3564" s="3">
        <f ca="1">41818+(RANDBETWEEN(1,10))</f>
        <v>41821</v>
      </c>
      <c r="G3564" t="s">
        <v>26</v>
      </c>
      <c r="H3564" t="s">
        <v>27</v>
      </c>
      <c r="I3564" t="s">
        <v>28</v>
      </c>
      <c r="J3564">
        <v>733.67</v>
      </c>
      <c r="K3564">
        <v>0.01</v>
      </c>
      <c r="L3564">
        <v>0.74</v>
      </c>
      <c r="M3564">
        <v>22.75</v>
      </c>
      <c r="N3564">
        <v>-287.67200000000003</v>
      </c>
      <c r="O3564" s="1" t="s">
        <v>87</v>
      </c>
      <c r="P3564" s="1" t="s">
        <v>8695</v>
      </c>
      <c r="Q3564" s="1" t="s">
        <v>8696</v>
      </c>
      <c r="R3564" s="1" t="s">
        <v>497</v>
      </c>
      <c r="S3564" s="1" t="s">
        <v>8697</v>
      </c>
      <c r="T3564" s="1" t="s">
        <v>8698</v>
      </c>
      <c r="U3564" s="2" t="s">
        <v>4349</v>
      </c>
      <c r="V3564" s="2" t="s">
        <v>36</v>
      </c>
      <c r="W3564" s="2" t="s">
        <v>60</v>
      </c>
      <c r="X3564" s="2">
        <v>143.43</v>
      </c>
    </row>
    <row r="3565" spans="1:24" x14ac:dyDescent="0.3">
      <c r="A3565">
        <v>21417</v>
      </c>
      <c r="B3565" t="s">
        <v>8694</v>
      </c>
      <c r="C3565" s="3">
        <v>41816</v>
      </c>
      <c r="D3565" t="s">
        <v>39</v>
      </c>
      <c r="E3565">
        <v>6</v>
      </c>
      <c r="F3565" s="3">
        <f ca="1">41817+(RANDBETWEEN(1,10))</f>
        <v>41823</v>
      </c>
      <c r="G3565" t="s">
        <v>156</v>
      </c>
      <c r="H3565" t="s">
        <v>27</v>
      </c>
      <c r="I3565" t="s">
        <v>28</v>
      </c>
      <c r="J3565">
        <v>107.73</v>
      </c>
      <c r="K3565">
        <v>0</v>
      </c>
      <c r="L3565">
        <v>0.39</v>
      </c>
      <c r="M3565">
        <v>3.4649999999999999</v>
      </c>
      <c r="N3565">
        <v>74.333699999999993</v>
      </c>
      <c r="O3565" s="1" t="s">
        <v>87</v>
      </c>
      <c r="P3565" s="1" t="s">
        <v>8695</v>
      </c>
      <c r="Q3565" s="1" t="s">
        <v>8696</v>
      </c>
      <c r="R3565" s="1" t="s">
        <v>497</v>
      </c>
      <c r="S3565" s="1" t="s">
        <v>8697</v>
      </c>
      <c r="T3565" s="1" t="s">
        <v>8698</v>
      </c>
      <c r="U3565" s="2" t="s">
        <v>2720</v>
      </c>
      <c r="V3565" s="2" t="s">
        <v>47</v>
      </c>
      <c r="W3565" s="2" t="s">
        <v>203</v>
      </c>
      <c r="X3565" s="2">
        <v>14.455</v>
      </c>
    </row>
    <row r="3566" spans="1:24" x14ac:dyDescent="0.3">
      <c r="A3566">
        <v>21418</v>
      </c>
      <c r="B3566" t="s">
        <v>8700</v>
      </c>
      <c r="C3566" s="3">
        <v>41496</v>
      </c>
      <c r="D3566" t="s">
        <v>62</v>
      </c>
      <c r="E3566">
        <v>11</v>
      </c>
      <c r="F3566" s="3">
        <f ca="1">41497+(RANDBETWEEN(1,10))</f>
        <v>41504</v>
      </c>
      <c r="G3566" t="s">
        <v>26</v>
      </c>
      <c r="H3566" t="s">
        <v>63</v>
      </c>
      <c r="I3566" t="s">
        <v>86</v>
      </c>
      <c r="J3566">
        <v>1679.44</v>
      </c>
      <c r="K3566">
        <v>0.01</v>
      </c>
      <c r="L3566">
        <v>0.56999999999999995</v>
      </c>
      <c r="M3566">
        <v>50.575000000000003</v>
      </c>
      <c r="N3566">
        <v>268.84199999999998</v>
      </c>
      <c r="O3566" s="1" t="s">
        <v>64</v>
      </c>
      <c r="P3566" s="1" t="s">
        <v>7688</v>
      </c>
      <c r="Q3566" s="1" t="s">
        <v>7689</v>
      </c>
      <c r="R3566" s="1" t="s">
        <v>67</v>
      </c>
      <c r="S3566" s="1" t="s">
        <v>7690</v>
      </c>
      <c r="T3566" s="1" t="s">
        <v>7691</v>
      </c>
      <c r="U3566" s="2" t="s">
        <v>1470</v>
      </c>
      <c r="V3566" s="2" t="s">
        <v>83</v>
      </c>
      <c r="W3566" s="2" t="s">
        <v>178</v>
      </c>
      <c r="X3566" s="2">
        <v>143.39500000000001</v>
      </c>
    </row>
    <row r="3567" spans="1:24" x14ac:dyDescent="0.3">
      <c r="A3567">
        <v>21419</v>
      </c>
      <c r="B3567" t="s">
        <v>8700</v>
      </c>
      <c r="C3567" s="3">
        <v>41496</v>
      </c>
      <c r="D3567" t="s">
        <v>62</v>
      </c>
      <c r="E3567">
        <v>8</v>
      </c>
      <c r="F3567" s="3">
        <f ca="1">41496+(RANDBETWEEN(1,10))</f>
        <v>41506</v>
      </c>
      <c r="G3567" t="s">
        <v>76</v>
      </c>
      <c r="H3567" t="s">
        <v>77</v>
      </c>
      <c r="I3567" t="s">
        <v>86</v>
      </c>
      <c r="J3567">
        <v>9961.7000000000007</v>
      </c>
      <c r="K3567">
        <v>0.04</v>
      </c>
      <c r="L3567" t="s">
        <v>182</v>
      </c>
      <c r="M3567">
        <v>210</v>
      </c>
      <c r="N3567">
        <v>6873.5730000000003</v>
      </c>
      <c r="O3567" s="1" t="s">
        <v>64</v>
      </c>
      <c r="P3567" s="1" t="s">
        <v>7688</v>
      </c>
      <c r="Q3567" s="1" t="s">
        <v>7689</v>
      </c>
      <c r="R3567" s="1" t="s">
        <v>67</v>
      </c>
      <c r="S3567" s="1" t="s">
        <v>7690</v>
      </c>
      <c r="T3567" s="1" t="s">
        <v>7691</v>
      </c>
      <c r="U3567" s="2" t="s">
        <v>3108</v>
      </c>
      <c r="V3567" s="2" t="s">
        <v>83</v>
      </c>
      <c r="W3567" s="2" t="s">
        <v>263</v>
      </c>
      <c r="X3567" s="2">
        <v>1223.075</v>
      </c>
    </row>
    <row r="3568" spans="1:24" x14ac:dyDescent="0.3">
      <c r="A3568">
        <v>2142</v>
      </c>
      <c r="B3568" t="s">
        <v>8701</v>
      </c>
      <c r="C3568" s="3">
        <v>41313</v>
      </c>
      <c r="D3568" t="s">
        <v>39</v>
      </c>
      <c r="E3568">
        <v>47</v>
      </c>
      <c r="F3568" s="3">
        <f ca="1">41315+(RANDBETWEEN(1,10))</f>
        <v>41318</v>
      </c>
      <c r="G3568" t="s">
        <v>156</v>
      </c>
      <c r="H3568" t="s">
        <v>27</v>
      </c>
      <c r="I3568" t="s">
        <v>97</v>
      </c>
      <c r="J3568">
        <v>900.375</v>
      </c>
      <c r="K3568">
        <v>0.05</v>
      </c>
      <c r="L3568">
        <v>0.37</v>
      </c>
      <c r="M3568">
        <v>17.71</v>
      </c>
      <c r="N3568">
        <v>-263.375</v>
      </c>
      <c r="O3568" s="1" t="s">
        <v>64</v>
      </c>
      <c r="P3568" s="1" t="s">
        <v>126</v>
      </c>
      <c r="Q3568" s="1" t="s">
        <v>127</v>
      </c>
      <c r="R3568" s="1" t="s">
        <v>128</v>
      </c>
      <c r="S3568" s="1" t="s">
        <v>129</v>
      </c>
      <c r="T3568" s="1" t="s">
        <v>130</v>
      </c>
      <c r="U3568" s="2" t="s">
        <v>6427</v>
      </c>
      <c r="V3568" s="2" t="s">
        <v>47</v>
      </c>
      <c r="W3568" s="2" t="s">
        <v>74</v>
      </c>
      <c r="X3568" s="2">
        <v>18.48</v>
      </c>
    </row>
    <row r="3569" spans="1:24" x14ac:dyDescent="0.3">
      <c r="A3569">
        <v>21420</v>
      </c>
      <c r="B3569" t="s">
        <v>8702</v>
      </c>
      <c r="C3569" s="3">
        <v>41300</v>
      </c>
      <c r="D3569" t="s">
        <v>62</v>
      </c>
      <c r="E3569">
        <v>4</v>
      </c>
      <c r="F3569" s="3">
        <f ca="1">41301+(RANDBETWEEN(1,10))</f>
        <v>41302</v>
      </c>
      <c r="G3569" t="s">
        <v>76</v>
      </c>
      <c r="H3569" t="s">
        <v>77</v>
      </c>
      <c r="I3569" t="s">
        <v>28</v>
      </c>
      <c r="J3569">
        <v>8084.86</v>
      </c>
      <c r="K3569">
        <v>0</v>
      </c>
      <c r="L3569">
        <v>0.35</v>
      </c>
      <c r="M3569">
        <v>171.5</v>
      </c>
      <c r="N3569">
        <v>-3058.2244000000001</v>
      </c>
      <c r="O3569" s="1" t="s">
        <v>87</v>
      </c>
      <c r="P3569" s="1" t="s">
        <v>2778</v>
      </c>
      <c r="Q3569" s="1" t="s">
        <v>2779</v>
      </c>
      <c r="R3569" s="1" t="s">
        <v>398</v>
      </c>
      <c r="S3569" s="1" t="s">
        <v>2780</v>
      </c>
      <c r="T3569" s="1" t="s">
        <v>2781</v>
      </c>
      <c r="U3569" s="2" t="s">
        <v>2036</v>
      </c>
      <c r="V3569" s="2" t="s">
        <v>36</v>
      </c>
      <c r="W3569" s="2" t="s">
        <v>1327</v>
      </c>
      <c r="X3569" s="2">
        <v>1924.9649999999999</v>
      </c>
    </row>
    <row r="3570" spans="1:24" x14ac:dyDescent="0.3">
      <c r="A3570">
        <v>21421</v>
      </c>
      <c r="B3570" t="s">
        <v>8703</v>
      </c>
      <c r="C3570" s="3">
        <v>41796</v>
      </c>
      <c r="D3570" t="s">
        <v>25</v>
      </c>
      <c r="E3570">
        <v>1</v>
      </c>
      <c r="F3570" s="3">
        <f ca="1">41798+(RANDBETWEEN(1,10))</f>
        <v>41805</v>
      </c>
      <c r="G3570" t="s">
        <v>156</v>
      </c>
      <c r="H3570" t="s">
        <v>27</v>
      </c>
      <c r="I3570" t="s">
        <v>97</v>
      </c>
      <c r="J3570">
        <v>188.44</v>
      </c>
      <c r="K3570">
        <v>0.1</v>
      </c>
      <c r="L3570">
        <v>0.73</v>
      </c>
      <c r="M3570">
        <v>22.75</v>
      </c>
      <c r="N3570">
        <v>-657.048</v>
      </c>
      <c r="O3570" s="1" t="s">
        <v>87</v>
      </c>
      <c r="P3570" s="1" t="s">
        <v>7465</v>
      </c>
      <c r="Q3570" s="1" t="s">
        <v>7466</v>
      </c>
      <c r="R3570" s="1" t="s">
        <v>497</v>
      </c>
      <c r="S3570" s="1" t="s">
        <v>7467</v>
      </c>
      <c r="T3570" s="1" t="s">
        <v>7468</v>
      </c>
      <c r="U3570" s="2" t="s">
        <v>4548</v>
      </c>
      <c r="V3570" s="2" t="s">
        <v>36</v>
      </c>
      <c r="W3570" s="2" t="s">
        <v>60</v>
      </c>
      <c r="X3570" s="2">
        <v>178.43</v>
      </c>
    </row>
    <row r="3571" spans="1:24" x14ac:dyDescent="0.3">
      <c r="A3571">
        <v>21422</v>
      </c>
      <c r="B3571" t="s">
        <v>8704</v>
      </c>
      <c r="C3571" s="3">
        <v>40608</v>
      </c>
      <c r="D3571" t="s">
        <v>25</v>
      </c>
      <c r="E3571">
        <v>4</v>
      </c>
      <c r="F3571" s="3">
        <f ca="1">40612+(RANDBETWEEN(1,10))</f>
        <v>40617</v>
      </c>
      <c r="G3571" t="s">
        <v>76</v>
      </c>
      <c r="H3571" t="s">
        <v>258</v>
      </c>
      <c r="I3571" t="s">
        <v>52</v>
      </c>
      <c r="J3571">
        <v>3236.8</v>
      </c>
      <c r="K3571">
        <v>0.08</v>
      </c>
      <c r="L3571">
        <v>0.6</v>
      </c>
      <c r="M3571">
        <v>83.23</v>
      </c>
      <c r="N3571">
        <v>1755.915</v>
      </c>
      <c r="O3571" s="1" t="s">
        <v>53</v>
      </c>
      <c r="P3571" s="1" t="s">
        <v>5808</v>
      </c>
      <c r="Q3571" s="1" t="s">
        <v>5809</v>
      </c>
      <c r="R3571" s="1" t="s">
        <v>56</v>
      </c>
      <c r="S3571" s="1" t="s">
        <v>5810</v>
      </c>
      <c r="T3571" s="1" t="s">
        <v>5811</v>
      </c>
      <c r="U3571" s="2" t="s">
        <v>3343</v>
      </c>
      <c r="V3571" s="2" t="s">
        <v>83</v>
      </c>
      <c r="W3571" s="2" t="s">
        <v>263</v>
      </c>
      <c r="X3571" s="2">
        <v>808.43</v>
      </c>
    </row>
    <row r="3572" spans="1:24" x14ac:dyDescent="0.3">
      <c r="A3572">
        <v>21423</v>
      </c>
      <c r="B3572" t="s">
        <v>8705</v>
      </c>
      <c r="C3572" s="3">
        <v>41637</v>
      </c>
      <c r="D3572" t="s">
        <v>62</v>
      </c>
      <c r="E3572">
        <v>10</v>
      </c>
      <c r="F3572" s="3">
        <f ca="1">41639+(RANDBETWEEN(1,10))</f>
        <v>41645</v>
      </c>
      <c r="G3572" t="s">
        <v>76</v>
      </c>
      <c r="H3572" t="s">
        <v>258</v>
      </c>
      <c r="I3572" t="s">
        <v>28</v>
      </c>
      <c r="J3572">
        <v>6067.74</v>
      </c>
      <c r="K3572">
        <v>0.06</v>
      </c>
      <c r="L3572">
        <v>0.76</v>
      </c>
      <c r="M3572">
        <v>102.235</v>
      </c>
      <c r="N3572">
        <v>-758.25775024999996</v>
      </c>
      <c r="O3572" s="1" t="s">
        <v>87</v>
      </c>
      <c r="P3572" s="1" t="s">
        <v>8706</v>
      </c>
      <c r="Q3572" s="1" t="s">
        <v>8707</v>
      </c>
      <c r="R3572" s="1" t="s">
        <v>398</v>
      </c>
      <c r="S3572" s="1" t="s">
        <v>581</v>
      </c>
      <c r="T3572" s="1" t="s">
        <v>582</v>
      </c>
      <c r="U3572" s="2" t="s">
        <v>1724</v>
      </c>
      <c r="V3572" s="2" t="s">
        <v>83</v>
      </c>
      <c r="W3572" s="2" t="s">
        <v>263</v>
      </c>
      <c r="X3572" s="2">
        <v>627.51499999999999</v>
      </c>
    </row>
    <row r="3573" spans="1:24" x14ac:dyDescent="0.3">
      <c r="A3573">
        <v>21424</v>
      </c>
      <c r="B3573" t="s">
        <v>8708</v>
      </c>
      <c r="C3573" s="3">
        <v>41676</v>
      </c>
      <c r="D3573" t="s">
        <v>39</v>
      </c>
      <c r="E3573">
        <v>12</v>
      </c>
      <c r="F3573" s="3">
        <f ca="1">41678+(RANDBETWEEN(1,10))</f>
        <v>41684</v>
      </c>
      <c r="G3573" t="s">
        <v>76</v>
      </c>
      <c r="H3573" t="s">
        <v>258</v>
      </c>
      <c r="I3573" t="s">
        <v>28</v>
      </c>
      <c r="J3573">
        <v>10076.5</v>
      </c>
      <c r="K3573">
        <v>0.05</v>
      </c>
      <c r="L3573">
        <v>0.61</v>
      </c>
      <c r="M3573">
        <v>207.34</v>
      </c>
      <c r="N3573">
        <v>-159.74</v>
      </c>
      <c r="O3573" s="1" t="s">
        <v>53</v>
      </c>
      <c r="P3573" s="1" t="s">
        <v>2827</v>
      </c>
      <c r="Q3573" s="1" t="s">
        <v>2828</v>
      </c>
      <c r="R3573" s="1" t="s">
        <v>100</v>
      </c>
      <c r="S3573" s="1" t="s">
        <v>2829</v>
      </c>
      <c r="T3573" s="1" t="s">
        <v>2830</v>
      </c>
      <c r="U3573" s="2" t="s">
        <v>8709</v>
      </c>
      <c r="V3573" s="2" t="s">
        <v>83</v>
      </c>
      <c r="W3573" s="2" t="s">
        <v>263</v>
      </c>
      <c r="X3573" s="2">
        <v>829.39499999999998</v>
      </c>
    </row>
    <row r="3574" spans="1:24" x14ac:dyDescent="0.3">
      <c r="A3574">
        <v>21425</v>
      </c>
      <c r="B3574" t="s">
        <v>8710</v>
      </c>
      <c r="C3574" s="3">
        <v>41829</v>
      </c>
      <c r="D3574" t="s">
        <v>62</v>
      </c>
      <c r="E3574">
        <v>13</v>
      </c>
      <c r="F3574" s="3">
        <f ca="1">41831+(RANDBETWEEN(1,10))</f>
        <v>41833</v>
      </c>
      <c r="G3574" t="s">
        <v>26</v>
      </c>
      <c r="H3574" t="s">
        <v>27</v>
      </c>
      <c r="I3574" t="s">
        <v>52</v>
      </c>
      <c r="J3574">
        <v>545.19500000000005</v>
      </c>
      <c r="K3574">
        <v>0.02</v>
      </c>
      <c r="L3574">
        <v>0.57999999999999996</v>
      </c>
      <c r="M3574">
        <v>17.43</v>
      </c>
      <c r="N3574">
        <v>-69.362160000000003</v>
      </c>
      <c r="O3574" s="1" t="s">
        <v>87</v>
      </c>
      <c r="P3574" s="1" t="s">
        <v>6646</v>
      </c>
      <c r="Q3574" s="1" t="s">
        <v>6647</v>
      </c>
      <c r="R3574" s="1" t="s">
        <v>398</v>
      </c>
      <c r="S3574" s="1" t="s">
        <v>3179</v>
      </c>
      <c r="T3574" s="1" t="s">
        <v>6648</v>
      </c>
      <c r="U3574" s="2" t="s">
        <v>5213</v>
      </c>
      <c r="V3574" s="2" t="s">
        <v>47</v>
      </c>
      <c r="W3574" s="2" t="s">
        <v>71</v>
      </c>
      <c r="X3574" s="2">
        <v>41.895000000000003</v>
      </c>
    </row>
    <row r="3575" spans="1:24" x14ac:dyDescent="0.3">
      <c r="A3575">
        <v>21426</v>
      </c>
      <c r="B3575" t="s">
        <v>8710</v>
      </c>
      <c r="C3575" s="3">
        <v>41829</v>
      </c>
      <c r="D3575" t="s">
        <v>62</v>
      </c>
      <c r="E3575">
        <v>14</v>
      </c>
      <c r="F3575" s="3">
        <f ca="1">41832+(RANDBETWEEN(1,10))</f>
        <v>41838</v>
      </c>
      <c r="G3575" t="s">
        <v>156</v>
      </c>
      <c r="H3575" t="s">
        <v>51</v>
      </c>
      <c r="I3575" t="s">
        <v>52</v>
      </c>
      <c r="J3575">
        <v>469.21</v>
      </c>
      <c r="K3575">
        <v>0.08</v>
      </c>
      <c r="L3575">
        <v>0.45</v>
      </c>
      <c r="M3575">
        <v>25.515000000000001</v>
      </c>
      <c r="N3575">
        <v>-319.67880000000002</v>
      </c>
      <c r="O3575" s="1" t="s">
        <v>87</v>
      </c>
      <c r="P3575" s="1" t="s">
        <v>6646</v>
      </c>
      <c r="Q3575" s="1" t="s">
        <v>6647</v>
      </c>
      <c r="R3575" s="1" t="s">
        <v>398</v>
      </c>
      <c r="S3575" s="1" t="s">
        <v>3179</v>
      </c>
      <c r="T3575" s="1" t="s">
        <v>6648</v>
      </c>
      <c r="U3575" s="2" t="s">
        <v>2315</v>
      </c>
      <c r="V3575" s="2" t="s">
        <v>83</v>
      </c>
      <c r="W3575" s="2" t="s">
        <v>178</v>
      </c>
      <c r="X3575" s="2">
        <v>33.18</v>
      </c>
    </row>
    <row r="3576" spans="1:24" x14ac:dyDescent="0.3">
      <c r="A3576">
        <v>21427</v>
      </c>
      <c r="B3576" t="s">
        <v>8710</v>
      </c>
      <c r="C3576" s="3">
        <v>41829</v>
      </c>
      <c r="D3576" t="s">
        <v>62</v>
      </c>
      <c r="E3576">
        <v>1</v>
      </c>
      <c r="F3576" s="3">
        <f ca="1">41831+(RANDBETWEEN(1,10))</f>
        <v>41834</v>
      </c>
      <c r="G3576" t="s">
        <v>26</v>
      </c>
      <c r="H3576" t="s">
        <v>27</v>
      </c>
      <c r="I3576" t="s">
        <v>52</v>
      </c>
      <c r="J3576">
        <v>26.984999999999999</v>
      </c>
      <c r="K3576">
        <v>0.03</v>
      </c>
      <c r="L3576">
        <v>0.36</v>
      </c>
      <c r="M3576">
        <v>20.265000000000001</v>
      </c>
      <c r="N3576">
        <v>-41.112960000000001</v>
      </c>
      <c r="O3576" s="1" t="s">
        <v>87</v>
      </c>
      <c r="P3576" s="1" t="s">
        <v>6646</v>
      </c>
      <c r="Q3576" s="1" t="s">
        <v>6647</v>
      </c>
      <c r="R3576" s="1" t="s">
        <v>398</v>
      </c>
      <c r="S3576" s="1" t="s">
        <v>3179</v>
      </c>
      <c r="T3576" s="1" t="s">
        <v>6648</v>
      </c>
      <c r="U3576" s="2" t="s">
        <v>2545</v>
      </c>
      <c r="V3576" s="2" t="s">
        <v>47</v>
      </c>
      <c r="W3576" s="2" t="s">
        <v>74</v>
      </c>
      <c r="X3576" s="2">
        <v>20.93</v>
      </c>
    </row>
    <row r="3577" spans="1:24" x14ac:dyDescent="0.3">
      <c r="A3577">
        <v>21428</v>
      </c>
      <c r="B3577" t="s">
        <v>8711</v>
      </c>
      <c r="C3577" s="3">
        <v>41976</v>
      </c>
      <c r="D3577" t="s">
        <v>62</v>
      </c>
      <c r="E3577">
        <v>12</v>
      </c>
      <c r="F3577" s="3">
        <f ca="1">41977+(RANDBETWEEN(1,10))</f>
        <v>41978</v>
      </c>
      <c r="G3577" t="s">
        <v>76</v>
      </c>
      <c r="H3577" t="s">
        <v>77</v>
      </c>
      <c r="I3577" t="s">
        <v>28</v>
      </c>
      <c r="J3577">
        <v>2957.4650000000001</v>
      </c>
      <c r="K3577">
        <v>0.06</v>
      </c>
      <c r="L3577">
        <v>0.41</v>
      </c>
      <c r="M3577">
        <v>210</v>
      </c>
      <c r="N3577">
        <v>-664.13423999999998</v>
      </c>
      <c r="O3577" s="1" t="s">
        <v>53</v>
      </c>
      <c r="P3577" s="1" t="s">
        <v>8633</v>
      </c>
      <c r="Q3577" s="1" t="s">
        <v>8634</v>
      </c>
      <c r="R3577" s="1" t="s">
        <v>100</v>
      </c>
      <c r="S3577" s="1" t="s">
        <v>8635</v>
      </c>
      <c r="T3577" s="1" t="s">
        <v>8636</v>
      </c>
      <c r="U3577" s="2" t="s">
        <v>287</v>
      </c>
      <c r="V3577" s="2" t="s">
        <v>47</v>
      </c>
      <c r="W3577" s="2" t="s">
        <v>71</v>
      </c>
      <c r="X3577" s="2">
        <v>240.83500000000001</v>
      </c>
    </row>
    <row r="3578" spans="1:24" x14ac:dyDescent="0.3">
      <c r="A3578">
        <v>21429</v>
      </c>
      <c r="B3578" t="s">
        <v>8712</v>
      </c>
      <c r="C3578" s="3">
        <v>40670</v>
      </c>
      <c r="D3578" t="s">
        <v>39</v>
      </c>
      <c r="E3578">
        <v>7</v>
      </c>
      <c r="F3578" s="3">
        <f ca="1">40670+(RANDBETWEEN(1,10))</f>
        <v>40676</v>
      </c>
      <c r="G3578" t="s">
        <v>26</v>
      </c>
      <c r="H3578" t="s">
        <v>27</v>
      </c>
      <c r="I3578" t="s">
        <v>52</v>
      </c>
      <c r="J3578">
        <v>157.5</v>
      </c>
      <c r="K3578">
        <v>0.08</v>
      </c>
      <c r="L3578">
        <v>0.37</v>
      </c>
      <c r="M3578">
        <v>29.4</v>
      </c>
      <c r="N3578">
        <v>205.84200000000001</v>
      </c>
      <c r="O3578" s="1" t="s">
        <v>225</v>
      </c>
      <c r="P3578" s="1" t="s">
        <v>7392</v>
      </c>
      <c r="Q3578" s="1" t="s">
        <v>7393</v>
      </c>
      <c r="R3578" s="1" t="s">
        <v>228</v>
      </c>
      <c r="S3578" s="1" t="s">
        <v>7394</v>
      </c>
      <c r="T3578" s="1" t="s">
        <v>7395</v>
      </c>
      <c r="U3578" s="2" t="s">
        <v>2097</v>
      </c>
      <c r="V3578" s="2" t="s">
        <v>47</v>
      </c>
      <c r="W3578" s="2" t="s">
        <v>74</v>
      </c>
      <c r="X3578" s="2">
        <v>22.68</v>
      </c>
    </row>
    <row r="3579" spans="1:24" x14ac:dyDescent="0.3">
      <c r="A3579">
        <v>2143</v>
      </c>
      <c r="B3579" t="s">
        <v>8713</v>
      </c>
      <c r="C3579" s="3">
        <v>41165</v>
      </c>
      <c r="D3579" t="s">
        <v>62</v>
      </c>
      <c r="E3579">
        <v>38</v>
      </c>
      <c r="F3579" s="3">
        <f ca="1">41166+(RANDBETWEEN(1,10))</f>
        <v>41176</v>
      </c>
      <c r="G3579" t="s">
        <v>26</v>
      </c>
      <c r="H3579" t="s">
        <v>27</v>
      </c>
      <c r="I3579" t="s">
        <v>97</v>
      </c>
      <c r="J3579">
        <v>640.5</v>
      </c>
      <c r="K3579">
        <v>0.02</v>
      </c>
      <c r="L3579">
        <v>0.36</v>
      </c>
      <c r="M3579">
        <v>20.405000000000001</v>
      </c>
      <c r="N3579">
        <v>-260.41750000000002</v>
      </c>
      <c r="O3579" s="1" t="s">
        <v>64</v>
      </c>
      <c r="P3579" s="1" t="s">
        <v>8714</v>
      </c>
      <c r="Q3579" s="1" t="s">
        <v>8715</v>
      </c>
      <c r="R3579" s="1" t="s">
        <v>128</v>
      </c>
      <c r="S3579" s="1" t="s">
        <v>129</v>
      </c>
      <c r="T3579" s="1" t="s">
        <v>8716</v>
      </c>
      <c r="U3579" s="2" t="s">
        <v>6429</v>
      </c>
      <c r="V3579" s="2" t="s">
        <v>47</v>
      </c>
      <c r="W3579" s="2" t="s">
        <v>111</v>
      </c>
      <c r="X3579" s="2">
        <v>15.89</v>
      </c>
    </row>
    <row r="3580" spans="1:24" x14ac:dyDescent="0.3">
      <c r="A3580">
        <v>21430</v>
      </c>
      <c r="B3580" t="s">
        <v>8717</v>
      </c>
      <c r="C3580" s="3">
        <v>40883</v>
      </c>
      <c r="D3580" t="s">
        <v>50</v>
      </c>
      <c r="E3580">
        <v>4</v>
      </c>
      <c r="F3580" s="3">
        <f ca="1">40885+(RANDBETWEEN(1,10))</f>
        <v>40891</v>
      </c>
      <c r="G3580" t="s">
        <v>26</v>
      </c>
      <c r="H3580" t="s">
        <v>51</v>
      </c>
      <c r="I3580" t="s">
        <v>97</v>
      </c>
      <c r="J3580">
        <v>295.95999999999998</v>
      </c>
      <c r="K3580">
        <v>0</v>
      </c>
      <c r="L3580">
        <v>0.48</v>
      </c>
      <c r="M3580">
        <v>6.9649999999999999</v>
      </c>
      <c r="N3580">
        <v>-18.532499999999999</v>
      </c>
      <c r="O3580" s="1" t="s">
        <v>225</v>
      </c>
      <c r="P3580" s="1" t="s">
        <v>8059</v>
      </c>
      <c r="Q3580" s="1" t="s">
        <v>8060</v>
      </c>
      <c r="R3580" s="1" t="s">
        <v>228</v>
      </c>
      <c r="S3580" s="1" t="s">
        <v>8061</v>
      </c>
      <c r="T3580" s="1" t="s">
        <v>8062</v>
      </c>
      <c r="U3580" s="2" t="s">
        <v>5583</v>
      </c>
      <c r="V3580" s="2" t="s">
        <v>36</v>
      </c>
      <c r="W3580" s="2" t="s">
        <v>60</v>
      </c>
      <c r="X3580" s="2">
        <v>73.114999999999995</v>
      </c>
    </row>
    <row r="3581" spans="1:24" x14ac:dyDescent="0.3">
      <c r="A3581">
        <v>21431</v>
      </c>
      <c r="B3581" t="s">
        <v>8717</v>
      </c>
      <c r="C3581" s="3">
        <v>40883</v>
      </c>
      <c r="D3581" t="s">
        <v>50</v>
      </c>
      <c r="E3581">
        <v>19</v>
      </c>
      <c r="F3581" s="3">
        <f ca="1">40886+(RANDBETWEEN(1,10))</f>
        <v>40891</v>
      </c>
      <c r="G3581" t="s">
        <v>26</v>
      </c>
      <c r="H3581" t="s">
        <v>96</v>
      </c>
      <c r="I3581" t="s">
        <v>97</v>
      </c>
      <c r="J3581">
        <v>247.48500000000001</v>
      </c>
      <c r="K3581">
        <v>7.0000000000000007E-2</v>
      </c>
      <c r="L3581">
        <v>0.51</v>
      </c>
      <c r="M3581">
        <v>2.9049999999999998</v>
      </c>
      <c r="N3581">
        <v>143.745</v>
      </c>
      <c r="O3581" s="1" t="s">
        <v>225</v>
      </c>
      <c r="P3581" s="1" t="s">
        <v>8059</v>
      </c>
      <c r="Q3581" s="1" t="s">
        <v>8060</v>
      </c>
      <c r="R3581" s="1" t="s">
        <v>228</v>
      </c>
      <c r="S3581" s="1" t="s">
        <v>8061</v>
      </c>
      <c r="T3581" s="1" t="s">
        <v>8062</v>
      </c>
      <c r="U3581" s="2" t="s">
        <v>4777</v>
      </c>
      <c r="V3581" s="2" t="s">
        <v>47</v>
      </c>
      <c r="W3581" s="2" t="s">
        <v>104</v>
      </c>
      <c r="X3581" s="2">
        <v>13.93</v>
      </c>
    </row>
    <row r="3582" spans="1:24" x14ac:dyDescent="0.3">
      <c r="A3582">
        <v>21432</v>
      </c>
      <c r="B3582" t="s">
        <v>8718</v>
      </c>
      <c r="C3582" s="3">
        <v>41386</v>
      </c>
      <c r="D3582" t="s">
        <v>148</v>
      </c>
      <c r="E3582">
        <v>1</v>
      </c>
      <c r="F3582" s="3">
        <f ca="1">41387+(RANDBETWEEN(1,10))</f>
        <v>41397</v>
      </c>
      <c r="G3582" t="s">
        <v>26</v>
      </c>
      <c r="H3582" t="s">
        <v>51</v>
      </c>
      <c r="I3582" t="s">
        <v>52</v>
      </c>
      <c r="J3582">
        <v>32.795000000000002</v>
      </c>
      <c r="K3582">
        <v>0.03</v>
      </c>
      <c r="L3582">
        <v>0.77</v>
      </c>
      <c r="M3582">
        <v>9.9049999999999994</v>
      </c>
      <c r="N3582">
        <v>-110.67</v>
      </c>
      <c r="O3582" s="1" t="s">
        <v>64</v>
      </c>
      <c r="P3582" s="1" t="s">
        <v>8719</v>
      </c>
      <c r="Q3582" s="1" t="s">
        <v>8720</v>
      </c>
      <c r="R3582" s="1" t="s">
        <v>128</v>
      </c>
      <c r="S3582" s="1" t="s">
        <v>1269</v>
      </c>
      <c r="T3582" s="1" t="s">
        <v>1270</v>
      </c>
      <c r="U3582" s="2" t="s">
        <v>2563</v>
      </c>
      <c r="V3582" s="2" t="s">
        <v>36</v>
      </c>
      <c r="W3582" s="2" t="s">
        <v>60</v>
      </c>
      <c r="X3582" s="2">
        <v>28.42</v>
      </c>
    </row>
    <row r="3583" spans="1:24" x14ac:dyDescent="0.3">
      <c r="A3583">
        <v>21433</v>
      </c>
      <c r="B3583" t="s">
        <v>8718</v>
      </c>
      <c r="C3583" s="3">
        <v>41386</v>
      </c>
      <c r="D3583" t="s">
        <v>148</v>
      </c>
      <c r="E3583">
        <v>4</v>
      </c>
      <c r="F3583" s="3">
        <f ca="1">41387+(RANDBETWEEN(1,10))</f>
        <v>41391</v>
      </c>
      <c r="G3583" t="s">
        <v>26</v>
      </c>
      <c r="H3583" t="s">
        <v>96</v>
      </c>
      <c r="I3583" t="s">
        <v>52</v>
      </c>
      <c r="J3583">
        <v>27.055</v>
      </c>
      <c r="K3583">
        <v>0</v>
      </c>
      <c r="L3583">
        <v>0.56000000000000005</v>
      </c>
      <c r="M3583">
        <v>2.4500000000000002</v>
      </c>
      <c r="N3583">
        <v>-0.21</v>
      </c>
      <c r="O3583" s="1" t="s">
        <v>64</v>
      </c>
      <c r="P3583" s="1" t="s">
        <v>8719</v>
      </c>
      <c r="Q3583" s="1" t="s">
        <v>8720</v>
      </c>
      <c r="R3583" s="1" t="s">
        <v>128</v>
      </c>
      <c r="S3583" s="1" t="s">
        <v>1269</v>
      </c>
      <c r="T3583" s="1" t="s">
        <v>1270</v>
      </c>
      <c r="U3583" s="2" t="s">
        <v>384</v>
      </c>
      <c r="V3583" s="2" t="s">
        <v>47</v>
      </c>
      <c r="W3583" s="2" t="s">
        <v>104</v>
      </c>
      <c r="X3583" s="2">
        <v>6.16</v>
      </c>
    </row>
    <row r="3584" spans="1:24" x14ac:dyDescent="0.3">
      <c r="A3584">
        <v>21434</v>
      </c>
      <c r="B3584" t="s">
        <v>8721</v>
      </c>
      <c r="C3584" s="3">
        <v>41035</v>
      </c>
      <c r="D3584" t="s">
        <v>62</v>
      </c>
      <c r="E3584">
        <v>15</v>
      </c>
      <c r="F3584" s="3">
        <f ca="1">41037+(RANDBETWEEN(1,10))</f>
        <v>41046</v>
      </c>
      <c r="G3584" t="s">
        <v>76</v>
      </c>
      <c r="H3584" t="s">
        <v>77</v>
      </c>
      <c r="I3584" t="s">
        <v>97</v>
      </c>
      <c r="J3584">
        <v>3907.12</v>
      </c>
      <c r="K3584">
        <v>0.1</v>
      </c>
      <c r="L3584">
        <v>0.37</v>
      </c>
      <c r="M3584">
        <v>117.6</v>
      </c>
      <c r="N3584">
        <v>425.18</v>
      </c>
      <c r="O3584" s="1" t="s">
        <v>225</v>
      </c>
      <c r="P3584" s="1" t="s">
        <v>2039</v>
      </c>
      <c r="Q3584" s="1" t="s">
        <v>2040</v>
      </c>
      <c r="R3584" s="1" t="s">
        <v>228</v>
      </c>
      <c r="S3584" s="1" t="s">
        <v>2041</v>
      </c>
      <c r="T3584" s="1" t="s">
        <v>2042</v>
      </c>
      <c r="U3584" s="2" t="s">
        <v>3448</v>
      </c>
      <c r="V3584" s="2" t="s">
        <v>36</v>
      </c>
      <c r="W3584" s="2" t="s">
        <v>142</v>
      </c>
      <c r="X3584" s="2">
        <v>283.39499999999998</v>
      </c>
    </row>
    <row r="3585" spans="1:24" x14ac:dyDescent="0.3">
      <c r="A3585">
        <v>21435</v>
      </c>
      <c r="B3585" t="s">
        <v>8722</v>
      </c>
      <c r="C3585" s="3">
        <v>41436</v>
      </c>
      <c r="D3585" t="s">
        <v>62</v>
      </c>
      <c r="E3585">
        <v>9</v>
      </c>
      <c r="F3585" s="3">
        <f ca="1">41437+(RANDBETWEEN(1,10))</f>
        <v>41443</v>
      </c>
      <c r="G3585" t="s">
        <v>26</v>
      </c>
      <c r="H3585" t="s">
        <v>27</v>
      </c>
      <c r="I3585" t="s">
        <v>52</v>
      </c>
      <c r="J3585">
        <v>182.63</v>
      </c>
      <c r="K3585">
        <v>0.03</v>
      </c>
      <c r="L3585">
        <v>0.39</v>
      </c>
      <c r="M3585">
        <v>19.704999999999998</v>
      </c>
      <c r="N3585">
        <v>-170.01599999999999</v>
      </c>
      <c r="O3585" s="1" t="s">
        <v>40</v>
      </c>
      <c r="P3585" s="1" t="s">
        <v>973</v>
      </c>
      <c r="Q3585" s="1" t="s">
        <v>974</v>
      </c>
      <c r="R3585" s="1" t="s">
        <v>43</v>
      </c>
      <c r="S3585" s="1" t="s">
        <v>975</v>
      </c>
      <c r="T3585" s="1" t="s">
        <v>976</v>
      </c>
      <c r="U3585" s="2" t="s">
        <v>2773</v>
      </c>
      <c r="V3585" s="2" t="s">
        <v>47</v>
      </c>
      <c r="W3585" s="2" t="s">
        <v>111</v>
      </c>
      <c r="X3585" s="2">
        <v>18.690000000000001</v>
      </c>
    </row>
    <row r="3586" spans="1:24" x14ac:dyDescent="0.3">
      <c r="A3586">
        <v>21436</v>
      </c>
      <c r="B3586" t="s">
        <v>8723</v>
      </c>
      <c r="C3586" s="3">
        <v>40569</v>
      </c>
      <c r="D3586" t="s">
        <v>39</v>
      </c>
      <c r="E3586">
        <v>8</v>
      </c>
      <c r="F3586" s="3">
        <f ca="1">40570+(RANDBETWEEN(1,10))</f>
        <v>40575</v>
      </c>
      <c r="G3586" t="s">
        <v>156</v>
      </c>
      <c r="H3586" t="s">
        <v>281</v>
      </c>
      <c r="I3586" t="s">
        <v>28</v>
      </c>
      <c r="J3586">
        <v>4143.37</v>
      </c>
      <c r="K3586">
        <v>0.08</v>
      </c>
      <c r="L3586">
        <v>0.38</v>
      </c>
      <c r="M3586">
        <v>48.965000000000003</v>
      </c>
      <c r="N3586">
        <v>-13.818</v>
      </c>
      <c r="O3586" s="1" t="s">
        <v>53</v>
      </c>
      <c r="P3586" s="1" t="s">
        <v>2791</v>
      </c>
      <c r="Q3586" s="1" t="s">
        <v>2792</v>
      </c>
      <c r="R3586" s="1" t="s">
        <v>100</v>
      </c>
      <c r="S3586" s="1" t="s">
        <v>2793</v>
      </c>
      <c r="T3586" s="1" t="s">
        <v>2794</v>
      </c>
      <c r="U3586" s="2" t="s">
        <v>480</v>
      </c>
      <c r="V3586" s="2" t="s">
        <v>36</v>
      </c>
      <c r="W3586" s="2" t="s">
        <v>142</v>
      </c>
      <c r="X3586" s="2">
        <v>528.42999999999995</v>
      </c>
    </row>
    <row r="3587" spans="1:24" x14ac:dyDescent="0.3">
      <c r="A3587">
        <v>21437</v>
      </c>
      <c r="B3587" t="s">
        <v>8723</v>
      </c>
      <c r="C3587" s="3">
        <v>40569</v>
      </c>
      <c r="D3587" t="s">
        <v>39</v>
      </c>
      <c r="E3587">
        <v>4</v>
      </c>
      <c r="F3587" s="3">
        <f ca="1">40570+(RANDBETWEEN(1,10))</f>
        <v>40579</v>
      </c>
      <c r="G3587" t="s">
        <v>76</v>
      </c>
      <c r="H3587" t="s">
        <v>77</v>
      </c>
      <c r="I3587" t="s">
        <v>28</v>
      </c>
      <c r="J3587">
        <v>376.81</v>
      </c>
      <c r="K3587">
        <v>0.03</v>
      </c>
      <c r="L3587">
        <v>0.6</v>
      </c>
      <c r="M3587">
        <v>50.26</v>
      </c>
      <c r="N3587">
        <v>201.411</v>
      </c>
      <c r="O3587" s="1" t="s">
        <v>87</v>
      </c>
      <c r="P3587" s="1" t="s">
        <v>8724</v>
      </c>
      <c r="Q3587" s="1" t="s">
        <v>8725</v>
      </c>
      <c r="R3587" s="1" t="s">
        <v>398</v>
      </c>
      <c r="S3587" s="1" t="s">
        <v>8726</v>
      </c>
      <c r="T3587" s="1" t="s">
        <v>8727</v>
      </c>
      <c r="U3587" s="2" t="s">
        <v>4583</v>
      </c>
      <c r="V3587" s="2" t="s">
        <v>83</v>
      </c>
      <c r="W3587" s="2" t="s">
        <v>84</v>
      </c>
      <c r="X3587" s="2">
        <v>90.93</v>
      </c>
    </row>
    <row r="3588" spans="1:24" x14ac:dyDescent="0.3">
      <c r="A3588">
        <v>21438</v>
      </c>
      <c r="B3588" t="s">
        <v>8723</v>
      </c>
      <c r="C3588" s="3">
        <v>40569</v>
      </c>
      <c r="D3588" t="s">
        <v>39</v>
      </c>
      <c r="E3588">
        <v>10</v>
      </c>
      <c r="F3588" s="3">
        <f ca="1">40570+(RANDBETWEEN(1,10))</f>
        <v>40575</v>
      </c>
      <c r="G3588" t="s">
        <v>26</v>
      </c>
      <c r="H3588" t="s">
        <v>63</v>
      </c>
      <c r="I3588" t="s">
        <v>28</v>
      </c>
      <c r="J3588">
        <v>1115.905</v>
      </c>
      <c r="K3588">
        <v>0.1</v>
      </c>
      <c r="L3588">
        <v>0.81</v>
      </c>
      <c r="M3588">
        <v>122.5</v>
      </c>
      <c r="N3588">
        <v>-1166.9889000000001</v>
      </c>
      <c r="O3588" s="1" t="s">
        <v>87</v>
      </c>
      <c r="P3588" s="1" t="s">
        <v>8724</v>
      </c>
      <c r="Q3588" s="1" t="s">
        <v>8725</v>
      </c>
      <c r="R3588" s="1" t="s">
        <v>398</v>
      </c>
      <c r="S3588" s="1" t="s">
        <v>8726</v>
      </c>
      <c r="T3588" s="1" t="s">
        <v>8727</v>
      </c>
      <c r="U3588" s="2" t="s">
        <v>6867</v>
      </c>
      <c r="V3588" s="2" t="s">
        <v>47</v>
      </c>
      <c r="W3588" s="2" t="s">
        <v>119</v>
      </c>
      <c r="X3588" s="2">
        <v>113.68</v>
      </c>
    </row>
    <row r="3589" spans="1:24" x14ac:dyDescent="0.3">
      <c r="A3589">
        <v>21439</v>
      </c>
      <c r="B3589" t="s">
        <v>8728</v>
      </c>
      <c r="C3589" s="3">
        <v>41724</v>
      </c>
      <c r="D3589" t="s">
        <v>62</v>
      </c>
      <c r="E3589">
        <v>2</v>
      </c>
      <c r="F3589" s="3">
        <f ca="1">41725+(RANDBETWEEN(1,10))</f>
        <v>41727</v>
      </c>
      <c r="G3589" t="s">
        <v>26</v>
      </c>
      <c r="H3589" t="s">
        <v>51</v>
      </c>
      <c r="I3589" t="s">
        <v>97</v>
      </c>
      <c r="J3589">
        <v>81.584999999999994</v>
      </c>
      <c r="K3589">
        <v>0.04</v>
      </c>
      <c r="L3589">
        <v>0.56999999999999995</v>
      </c>
      <c r="M3589">
        <v>11.795</v>
      </c>
      <c r="N3589">
        <v>-27.23</v>
      </c>
      <c r="O3589" s="1" t="s">
        <v>64</v>
      </c>
      <c r="P3589" s="1" t="s">
        <v>8729</v>
      </c>
      <c r="Q3589" s="1" t="s">
        <v>8730</v>
      </c>
      <c r="R3589" s="1" t="s">
        <v>67</v>
      </c>
      <c r="S3589" s="1" t="s">
        <v>8731</v>
      </c>
      <c r="T3589" s="1" t="s">
        <v>8732</v>
      </c>
      <c r="U3589" s="2" t="s">
        <v>5857</v>
      </c>
      <c r="V3589" s="2" t="s">
        <v>47</v>
      </c>
      <c r="W3589" s="2" t="s">
        <v>94</v>
      </c>
      <c r="X3589" s="2">
        <v>38.43</v>
      </c>
    </row>
    <row r="3590" spans="1:24" x14ac:dyDescent="0.3">
      <c r="A3590">
        <v>2144</v>
      </c>
      <c r="B3590" t="s">
        <v>8713</v>
      </c>
      <c r="C3590" s="3">
        <v>41165</v>
      </c>
      <c r="D3590" t="s">
        <v>62</v>
      </c>
      <c r="E3590">
        <v>33</v>
      </c>
      <c r="F3590" s="3">
        <f ca="1">41167+(RANDBETWEEN(1,10))</f>
        <v>41173</v>
      </c>
      <c r="G3590" t="s">
        <v>26</v>
      </c>
      <c r="H3590" t="s">
        <v>51</v>
      </c>
      <c r="I3590" t="s">
        <v>97</v>
      </c>
      <c r="J3590">
        <v>3378.06</v>
      </c>
      <c r="K3590">
        <v>0.02</v>
      </c>
      <c r="L3590">
        <v>0.7</v>
      </c>
      <c r="M3590">
        <v>31.465</v>
      </c>
      <c r="N3590">
        <v>-378.49</v>
      </c>
      <c r="O3590" s="1" t="s">
        <v>64</v>
      </c>
      <c r="P3590" s="1" t="s">
        <v>8714</v>
      </c>
      <c r="Q3590" s="1" t="s">
        <v>8715</v>
      </c>
      <c r="R3590" s="1" t="s">
        <v>128</v>
      </c>
      <c r="S3590" s="1" t="s">
        <v>129</v>
      </c>
      <c r="T3590" s="1" t="s">
        <v>8716</v>
      </c>
      <c r="U3590" s="2" t="s">
        <v>4907</v>
      </c>
      <c r="V3590" s="2" t="s">
        <v>36</v>
      </c>
      <c r="W3590" s="2" t="s">
        <v>60</v>
      </c>
      <c r="X3590" s="2">
        <v>99.68</v>
      </c>
    </row>
    <row r="3591" spans="1:24" x14ac:dyDescent="0.3">
      <c r="A3591">
        <v>21440</v>
      </c>
      <c r="B3591" t="s">
        <v>8733</v>
      </c>
      <c r="C3591" s="3">
        <v>41347</v>
      </c>
      <c r="D3591" t="s">
        <v>39</v>
      </c>
      <c r="E3591">
        <v>9</v>
      </c>
      <c r="F3591" s="3">
        <f ca="1">41348+(RANDBETWEEN(1,10))</f>
        <v>41357</v>
      </c>
      <c r="G3591" t="s">
        <v>156</v>
      </c>
      <c r="H3591" t="s">
        <v>27</v>
      </c>
      <c r="I3591" t="s">
        <v>28</v>
      </c>
      <c r="J3591">
        <v>265.08999999999997</v>
      </c>
      <c r="K3591">
        <v>0.04</v>
      </c>
      <c r="L3591">
        <v>0.41</v>
      </c>
      <c r="M3591">
        <v>17.324999999999999</v>
      </c>
      <c r="N3591">
        <v>78.33</v>
      </c>
      <c r="O3591" s="1" t="s">
        <v>40</v>
      </c>
      <c r="P3591" s="1" t="s">
        <v>7265</v>
      </c>
      <c r="Q3591" s="1" t="s">
        <v>7266</v>
      </c>
      <c r="R3591" s="1" t="s">
        <v>220</v>
      </c>
      <c r="S3591" s="1" t="s">
        <v>7267</v>
      </c>
      <c r="T3591" s="1" t="s">
        <v>7268</v>
      </c>
      <c r="U3591" s="2" t="s">
        <v>3405</v>
      </c>
      <c r="V3591" s="2" t="s">
        <v>83</v>
      </c>
      <c r="W3591" s="2" t="s">
        <v>178</v>
      </c>
      <c r="X3591" s="2">
        <v>27.86</v>
      </c>
    </row>
    <row r="3592" spans="1:24" x14ac:dyDescent="0.3">
      <c r="A3592">
        <v>21441</v>
      </c>
      <c r="B3592" t="s">
        <v>8734</v>
      </c>
      <c r="C3592" s="3">
        <v>41984</v>
      </c>
      <c r="D3592" t="s">
        <v>50</v>
      </c>
      <c r="E3592">
        <v>15</v>
      </c>
      <c r="F3592" s="3">
        <f ca="1">41986+(RANDBETWEEN(1,10))</f>
        <v>41995</v>
      </c>
      <c r="G3592" t="s">
        <v>26</v>
      </c>
      <c r="H3592" t="s">
        <v>281</v>
      </c>
      <c r="I3592" t="s">
        <v>28</v>
      </c>
      <c r="J3592">
        <v>961.41499999999996</v>
      </c>
      <c r="K3592">
        <v>0.03</v>
      </c>
      <c r="L3592">
        <v>0.57999999999999996</v>
      </c>
      <c r="M3592">
        <v>16.835000000000001</v>
      </c>
      <c r="N3592">
        <v>143.04326399999999</v>
      </c>
      <c r="O3592" s="1" t="s">
        <v>225</v>
      </c>
      <c r="P3592" s="1" t="s">
        <v>7721</v>
      </c>
      <c r="Q3592" s="1" t="s">
        <v>7722</v>
      </c>
      <c r="R3592" s="1" t="s">
        <v>391</v>
      </c>
      <c r="S3592" s="1" t="s">
        <v>3837</v>
      </c>
      <c r="T3592" s="1" t="s">
        <v>3838</v>
      </c>
      <c r="U3592" s="2" t="s">
        <v>1890</v>
      </c>
      <c r="V3592" s="2" t="s">
        <v>36</v>
      </c>
      <c r="W3592" s="2" t="s">
        <v>37</v>
      </c>
      <c r="X3592" s="2">
        <v>73.465000000000003</v>
      </c>
    </row>
    <row r="3593" spans="1:24" x14ac:dyDescent="0.3">
      <c r="A3593">
        <v>21442</v>
      </c>
      <c r="B3593" t="s">
        <v>8734</v>
      </c>
      <c r="C3593" s="3">
        <v>41984</v>
      </c>
      <c r="D3593" t="s">
        <v>50</v>
      </c>
      <c r="E3593">
        <v>5</v>
      </c>
      <c r="F3593" s="3">
        <f ca="1">41986+(RANDBETWEEN(1,10))</f>
        <v>41995</v>
      </c>
      <c r="G3593" t="s">
        <v>26</v>
      </c>
      <c r="H3593" t="s">
        <v>27</v>
      </c>
      <c r="I3593" t="s">
        <v>28</v>
      </c>
      <c r="J3593">
        <v>267.47000000000003</v>
      </c>
      <c r="K3593">
        <v>0.05</v>
      </c>
      <c r="L3593">
        <v>0.48</v>
      </c>
      <c r="M3593">
        <v>25.9</v>
      </c>
      <c r="N3593">
        <v>184.55430000000001</v>
      </c>
      <c r="O3593" s="1" t="s">
        <v>29</v>
      </c>
      <c r="P3593" s="1" t="s">
        <v>8735</v>
      </c>
      <c r="Q3593" s="1" t="s">
        <v>8736</v>
      </c>
      <c r="R3593" s="1" t="s">
        <v>675</v>
      </c>
      <c r="S3593" s="1" t="s">
        <v>8737</v>
      </c>
      <c r="T3593" s="1" t="s">
        <v>8738</v>
      </c>
      <c r="U3593" s="2" t="s">
        <v>1025</v>
      </c>
      <c r="V3593" s="2" t="s">
        <v>83</v>
      </c>
      <c r="W3593" s="2" t="s">
        <v>178</v>
      </c>
      <c r="X3593" s="2">
        <v>51.03</v>
      </c>
    </row>
    <row r="3594" spans="1:24" x14ac:dyDescent="0.3">
      <c r="A3594">
        <v>21443</v>
      </c>
      <c r="B3594" t="s">
        <v>8739</v>
      </c>
      <c r="C3594" s="3">
        <v>40969</v>
      </c>
      <c r="D3594" t="s">
        <v>148</v>
      </c>
      <c r="E3594">
        <v>2</v>
      </c>
      <c r="F3594" s="3">
        <f ca="1">40970+(RANDBETWEEN(1,10))</f>
        <v>40977</v>
      </c>
      <c r="G3594" t="s">
        <v>26</v>
      </c>
      <c r="H3594" t="s">
        <v>27</v>
      </c>
      <c r="I3594" t="s">
        <v>28</v>
      </c>
      <c r="J3594">
        <v>158.19999999999999</v>
      </c>
      <c r="K3594">
        <v>0.05</v>
      </c>
      <c r="L3594">
        <v>0.39</v>
      </c>
      <c r="M3594">
        <v>19.145</v>
      </c>
      <c r="N3594">
        <v>-601.64895000000001</v>
      </c>
      <c r="O3594" s="1" t="s">
        <v>29</v>
      </c>
      <c r="P3594" s="1" t="s">
        <v>8740</v>
      </c>
      <c r="Q3594" s="1" t="s">
        <v>8741</v>
      </c>
      <c r="R3594" s="1" t="s">
        <v>460</v>
      </c>
      <c r="S3594" s="1" t="s">
        <v>8742</v>
      </c>
      <c r="T3594" s="1" t="s">
        <v>8743</v>
      </c>
      <c r="U3594" s="2" t="s">
        <v>1861</v>
      </c>
      <c r="V3594" s="2" t="s">
        <v>47</v>
      </c>
      <c r="W3594" s="2" t="s">
        <v>74</v>
      </c>
      <c r="X3594" s="2">
        <v>79.94</v>
      </c>
    </row>
    <row r="3595" spans="1:24" x14ac:dyDescent="0.3">
      <c r="A3595">
        <v>21444</v>
      </c>
      <c r="B3595" t="s">
        <v>8744</v>
      </c>
      <c r="C3595" s="3">
        <v>41961</v>
      </c>
      <c r="D3595" t="s">
        <v>39</v>
      </c>
      <c r="E3595">
        <v>41</v>
      </c>
      <c r="F3595" s="3">
        <f ca="1">41962+(RANDBETWEEN(1,10))</f>
        <v>41969</v>
      </c>
      <c r="G3595" t="s">
        <v>26</v>
      </c>
      <c r="H3595" t="s">
        <v>63</v>
      </c>
      <c r="I3595" t="s">
        <v>86</v>
      </c>
      <c r="J3595">
        <v>44394.42</v>
      </c>
      <c r="K3595">
        <v>0.02</v>
      </c>
      <c r="L3595">
        <v>0.52</v>
      </c>
      <c r="M3595">
        <v>85.715000000000003</v>
      </c>
      <c r="N3595">
        <v>30632.149799999999</v>
      </c>
      <c r="O3595" s="1" t="s">
        <v>64</v>
      </c>
      <c r="P3595" s="1" t="s">
        <v>8729</v>
      </c>
      <c r="Q3595" s="1" t="s">
        <v>8730</v>
      </c>
      <c r="R3595" s="1" t="s">
        <v>67</v>
      </c>
      <c r="S3595" s="1" t="s">
        <v>8731</v>
      </c>
      <c r="T3595" s="1" t="s">
        <v>8732</v>
      </c>
      <c r="U3595" s="2" t="s">
        <v>70</v>
      </c>
      <c r="V3595" s="2" t="s">
        <v>47</v>
      </c>
      <c r="W3595" s="2" t="s">
        <v>71</v>
      </c>
      <c r="X3595" s="2">
        <v>1052.2750000000001</v>
      </c>
    </row>
    <row r="3596" spans="1:24" x14ac:dyDescent="0.3">
      <c r="A3596">
        <v>21445</v>
      </c>
      <c r="B3596" t="s">
        <v>8744</v>
      </c>
      <c r="C3596" s="3">
        <v>41961</v>
      </c>
      <c r="D3596" t="s">
        <v>39</v>
      </c>
      <c r="E3596">
        <v>36</v>
      </c>
      <c r="F3596" s="3">
        <f ca="1">41963+(RANDBETWEEN(1,10))</f>
        <v>41964</v>
      </c>
      <c r="G3596" t="s">
        <v>26</v>
      </c>
      <c r="H3596" t="s">
        <v>27</v>
      </c>
      <c r="I3596" t="s">
        <v>86</v>
      </c>
      <c r="J3596">
        <v>1472.625</v>
      </c>
      <c r="K3596">
        <v>0.08</v>
      </c>
      <c r="L3596">
        <v>0.57999999999999996</v>
      </c>
      <c r="M3596">
        <v>17.43</v>
      </c>
      <c r="N3596">
        <v>54.144159999999999</v>
      </c>
      <c r="O3596" s="1" t="s">
        <v>64</v>
      </c>
      <c r="P3596" s="1" t="s">
        <v>8729</v>
      </c>
      <c r="Q3596" s="1" t="s">
        <v>8730</v>
      </c>
      <c r="R3596" s="1" t="s">
        <v>67</v>
      </c>
      <c r="S3596" s="1" t="s">
        <v>8731</v>
      </c>
      <c r="T3596" s="1" t="s">
        <v>8732</v>
      </c>
      <c r="U3596" s="2" t="s">
        <v>5213</v>
      </c>
      <c r="V3596" s="2" t="s">
        <v>47</v>
      </c>
      <c r="W3596" s="2" t="s">
        <v>71</v>
      </c>
      <c r="X3596" s="2">
        <v>41.895000000000003</v>
      </c>
    </row>
    <row r="3597" spans="1:24" x14ac:dyDescent="0.3">
      <c r="A3597">
        <v>21446</v>
      </c>
      <c r="B3597" t="s">
        <v>8745</v>
      </c>
      <c r="C3597" s="3">
        <v>41813</v>
      </c>
      <c r="D3597" t="s">
        <v>39</v>
      </c>
      <c r="E3597">
        <v>9</v>
      </c>
      <c r="F3597" s="3">
        <f ca="1">41814+(RANDBETWEEN(1,10))</f>
        <v>41822</v>
      </c>
      <c r="G3597" t="s">
        <v>26</v>
      </c>
      <c r="H3597" t="s">
        <v>51</v>
      </c>
      <c r="I3597" t="s">
        <v>28</v>
      </c>
      <c r="J3597">
        <v>1362.34</v>
      </c>
      <c r="K3597">
        <v>0.08</v>
      </c>
      <c r="L3597">
        <v>0.57999999999999996</v>
      </c>
      <c r="M3597">
        <v>31.465</v>
      </c>
      <c r="N3597">
        <v>549.36</v>
      </c>
      <c r="O3597" s="1" t="s">
        <v>53</v>
      </c>
      <c r="P3597" s="1" t="s">
        <v>5669</v>
      </c>
      <c r="Q3597" s="1" t="s">
        <v>5670</v>
      </c>
      <c r="R3597" s="1" t="s">
        <v>56</v>
      </c>
      <c r="S3597" s="1" t="s">
        <v>5671</v>
      </c>
      <c r="T3597" s="1" t="s">
        <v>5672</v>
      </c>
      <c r="U3597" s="2" t="s">
        <v>565</v>
      </c>
      <c r="V3597" s="2" t="s">
        <v>47</v>
      </c>
      <c r="W3597" s="2" t="s">
        <v>104</v>
      </c>
      <c r="X3597" s="2">
        <v>153.93</v>
      </c>
    </row>
    <row r="3598" spans="1:24" x14ac:dyDescent="0.3">
      <c r="A3598">
        <v>21447</v>
      </c>
      <c r="B3598" t="s">
        <v>8745</v>
      </c>
      <c r="C3598" s="3">
        <v>41813</v>
      </c>
      <c r="D3598" t="s">
        <v>39</v>
      </c>
      <c r="E3598">
        <v>5</v>
      </c>
      <c r="F3598" s="3">
        <f ca="1">41815+(RANDBETWEEN(1,10))</f>
        <v>41816</v>
      </c>
      <c r="G3598" t="s">
        <v>26</v>
      </c>
      <c r="H3598" t="s">
        <v>51</v>
      </c>
      <c r="I3598" t="s">
        <v>28</v>
      </c>
      <c r="J3598">
        <v>45.5</v>
      </c>
      <c r="K3598">
        <v>0.01</v>
      </c>
      <c r="L3598">
        <v>0.41</v>
      </c>
      <c r="M3598">
        <v>15.994999999999999</v>
      </c>
      <c r="N3598">
        <v>-88.06</v>
      </c>
      <c r="O3598" s="1" t="s">
        <v>64</v>
      </c>
      <c r="P3598" s="1" t="s">
        <v>8746</v>
      </c>
      <c r="Q3598" s="1" t="s">
        <v>8747</v>
      </c>
      <c r="R3598" s="1" t="s">
        <v>67</v>
      </c>
      <c r="S3598" s="1" t="s">
        <v>8748</v>
      </c>
      <c r="T3598" s="1" t="s">
        <v>8749</v>
      </c>
      <c r="U3598" s="2" t="s">
        <v>3903</v>
      </c>
      <c r="V3598" s="2" t="s">
        <v>83</v>
      </c>
      <c r="W3598" s="2" t="s">
        <v>178</v>
      </c>
      <c r="X3598" s="2">
        <v>7.8049999999999997</v>
      </c>
    </row>
    <row r="3599" spans="1:24" x14ac:dyDescent="0.3">
      <c r="A3599">
        <v>21448</v>
      </c>
      <c r="B3599" t="s">
        <v>8750</v>
      </c>
      <c r="C3599" s="3">
        <v>41008</v>
      </c>
      <c r="D3599" t="s">
        <v>39</v>
      </c>
      <c r="E3599">
        <v>2</v>
      </c>
      <c r="F3599" s="3">
        <f ca="1">41009+(RANDBETWEEN(1,10))</f>
        <v>41013</v>
      </c>
      <c r="G3599" t="s">
        <v>26</v>
      </c>
      <c r="H3599" t="s">
        <v>27</v>
      </c>
      <c r="I3599" t="s">
        <v>52</v>
      </c>
      <c r="J3599">
        <v>33.74</v>
      </c>
      <c r="K3599">
        <v>0.03</v>
      </c>
      <c r="L3599">
        <v>0.35</v>
      </c>
      <c r="M3599">
        <v>5.2149999999999999</v>
      </c>
      <c r="N3599">
        <v>14.28</v>
      </c>
      <c r="O3599" s="1" t="s">
        <v>64</v>
      </c>
      <c r="P3599" s="1" t="s">
        <v>8751</v>
      </c>
      <c r="Q3599" s="1" t="s">
        <v>8752</v>
      </c>
      <c r="R3599" s="1" t="s">
        <v>128</v>
      </c>
      <c r="S3599" s="1" t="s">
        <v>8753</v>
      </c>
      <c r="T3599" s="1" t="s">
        <v>8754</v>
      </c>
      <c r="U3599" s="2" t="s">
        <v>5253</v>
      </c>
      <c r="V3599" s="2" t="s">
        <v>47</v>
      </c>
      <c r="W3599" s="2" t="s">
        <v>111</v>
      </c>
      <c r="X3599" s="2">
        <v>15.925000000000001</v>
      </c>
    </row>
    <row r="3600" spans="1:24" x14ac:dyDescent="0.3">
      <c r="A3600">
        <v>21449</v>
      </c>
      <c r="B3600" t="s">
        <v>8755</v>
      </c>
      <c r="C3600" s="3">
        <v>41495</v>
      </c>
      <c r="D3600" t="s">
        <v>62</v>
      </c>
      <c r="E3600">
        <v>8</v>
      </c>
      <c r="F3600" s="3">
        <f ca="1">41498+(RANDBETWEEN(1,10))</f>
        <v>41506</v>
      </c>
      <c r="G3600" t="s">
        <v>26</v>
      </c>
      <c r="H3600" t="s">
        <v>27</v>
      </c>
      <c r="I3600" t="s">
        <v>28</v>
      </c>
      <c r="J3600">
        <v>69.650000000000006</v>
      </c>
      <c r="K3600">
        <v>0.06</v>
      </c>
      <c r="L3600">
        <v>0.37</v>
      </c>
      <c r="M3600">
        <v>21.175000000000001</v>
      </c>
      <c r="N3600">
        <v>-155.19595000000001</v>
      </c>
      <c r="O3600" s="1" t="s">
        <v>29</v>
      </c>
      <c r="P3600" s="1" t="s">
        <v>4661</v>
      </c>
      <c r="Q3600" s="1" t="s">
        <v>4662</v>
      </c>
      <c r="R3600" s="1" t="s">
        <v>460</v>
      </c>
      <c r="S3600" s="1" t="s">
        <v>4663</v>
      </c>
      <c r="T3600" s="1" t="s">
        <v>4664</v>
      </c>
      <c r="U3600" s="2" t="s">
        <v>1376</v>
      </c>
      <c r="V3600" s="2" t="s">
        <v>47</v>
      </c>
      <c r="W3600" s="2" t="s">
        <v>111</v>
      </c>
      <c r="X3600" s="2">
        <v>7.56</v>
      </c>
    </row>
    <row r="3601" spans="1:24" x14ac:dyDescent="0.3">
      <c r="A3601">
        <v>21450</v>
      </c>
      <c r="B3601" t="s">
        <v>8756</v>
      </c>
      <c r="C3601" s="3">
        <v>41865</v>
      </c>
      <c r="D3601" t="s">
        <v>148</v>
      </c>
      <c r="E3601">
        <v>25</v>
      </c>
      <c r="F3601" s="3">
        <f ca="1">41866+(RANDBETWEEN(1,10))</f>
        <v>41875</v>
      </c>
      <c r="G3601" t="s">
        <v>26</v>
      </c>
      <c r="H3601" t="s">
        <v>27</v>
      </c>
      <c r="I3601" t="s">
        <v>97</v>
      </c>
      <c r="J3601">
        <v>345.38</v>
      </c>
      <c r="K3601">
        <v>7.0000000000000007E-2</v>
      </c>
      <c r="L3601">
        <v>0.37</v>
      </c>
      <c r="M3601">
        <v>10.465</v>
      </c>
      <c r="N3601">
        <v>-64.560677999999996</v>
      </c>
      <c r="O3601" s="1" t="s">
        <v>53</v>
      </c>
      <c r="P3601" s="1" t="s">
        <v>6818</v>
      </c>
      <c r="Q3601" s="1" t="s">
        <v>6819</v>
      </c>
      <c r="R3601" s="1" t="s">
        <v>100</v>
      </c>
      <c r="S3601" s="1" t="s">
        <v>6820</v>
      </c>
      <c r="T3601" s="1" t="s">
        <v>6821</v>
      </c>
      <c r="U3601" s="2" t="s">
        <v>4677</v>
      </c>
      <c r="V3601" s="2" t="s">
        <v>47</v>
      </c>
      <c r="W3601" s="2" t="s">
        <v>111</v>
      </c>
      <c r="X3601" s="2">
        <v>14.63</v>
      </c>
    </row>
    <row r="3602" spans="1:24" x14ac:dyDescent="0.3">
      <c r="A3602">
        <v>21451</v>
      </c>
      <c r="B3602" t="s">
        <v>8757</v>
      </c>
      <c r="C3602" s="3">
        <v>40926</v>
      </c>
      <c r="D3602" t="s">
        <v>50</v>
      </c>
      <c r="E3602">
        <v>1</v>
      </c>
      <c r="F3602" s="3">
        <f ca="1">40928+(RANDBETWEEN(1,10))</f>
        <v>40935</v>
      </c>
      <c r="G3602" t="s">
        <v>76</v>
      </c>
      <c r="H3602" t="s">
        <v>77</v>
      </c>
      <c r="I3602" t="s">
        <v>97</v>
      </c>
      <c r="J3602">
        <v>772.90499999999997</v>
      </c>
      <c r="K3602">
        <v>0.01</v>
      </c>
      <c r="L3602">
        <v>0.57999999999999996</v>
      </c>
      <c r="M3602">
        <v>83.16</v>
      </c>
      <c r="N3602">
        <v>-347.02640000000002</v>
      </c>
      <c r="O3602" s="1" t="s">
        <v>225</v>
      </c>
      <c r="P3602" s="1" t="s">
        <v>7408</v>
      </c>
      <c r="Q3602" s="1" t="s">
        <v>7409</v>
      </c>
      <c r="R3602" s="1" t="s">
        <v>391</v>
      </c>
      <c r="S3602" s="1" t="s">
        <v>669</v>
      </c>
      <c r="T3602" s="1" t="s">
        <v>670</v>
      </c>
      <c r="U3602" s="2" t="s">
        <v>3990</v>
      </c>
      <c r="V3602" s="2" t="s">
        <v>83</v>
      </c>
      <c r="W3602" s="2" t="s">
        <v>84</v>
      </c>
      <c r="X3602" s="2">
        <v>703.43</v>
      </c>
    </row>
    <row r="3603" spans="1:24" x14ac:dyDescent="0.3">
      <c r="A3603">
        <v>21452</v>
      </c>
      <c r="B3603" t="s">
        <v>8758</v>
      </c>
      <c r="C3603" s="3">
        <v>41836</v>
      </c>
      <c r="D3603" t="s">
        <v>25</v>
      </c>
      <c r="E3603">
        <v>6</v>
      </c>
      <c r="F3603" s="3">
        <f ca="1">41845+(RANDBETWEEN(1,10))</f>
        <v>41849</v>
      </c>
      <c r="G3603" t="s">
        <v>26</v>
      </c>
      <c r="H3603" t="s">
        <v>63</v>
      </c>
      <c r="I3603" t="s">
        <v>97</v>
      </c>
      <c r="J3603">
        <v>12725.79</v>
      </c>
      <c r="K3603">
        <v>0</v>
      </c>
      <c r="L3603">
        <v>0.37</v>
      </c>
      <c r="M3603">
        <v>85.715000000000003</v>
      </c>
      <c r="N3603">
        <v>8780.7950999999994</v>
      </c>
      <c r="O3603" s="1" t="s">
        <v>29</v>
      </c>
      <c r="P3603" s="1" t="s">
        <v>8759</v>
      </c>
      <c r="Q3603" s="1" t="s">
        <v>8760</v>
      </c>
      <c r="R3603" s="1" t="s">
        <v>32</v>
      </c>
      <c r="S3603" s="1" t="s">
        <v>8761</v>
      </c>
      <c r="T3603" s="1" t="s">
        <v>8762</v>
      </c>
      <c r="U3603" s="2" t="s">
        <v>1737</v>
      </c>
      <c r="V3603" s="2" t="s">
        <v>36</v>
      </c>
      <c r="W3603" s="2" t="s">
        <v>1327</v>
      </c>
      <c r="X3603" s="2">
        <v>2099.9650000000001</v>
      </c>
    </row>
    <row r="3604" spans="1:24" x14ac:dyDescent="0.3">
      <c r="A3604">
        <v>21453</v>
      </c>
      <c r="B3604" t="s">
        <v>8758</v>
      </c>
      <c r="C3604" s="3">
        <v>41836</v>
      </c>
      <c r="D3604" t="s">
        <v>25</v>
      </c>
      <c r="E3604">
        <v>13</v>
      </c>
      <c r="F3604" s="3">
        <f ca="1">41845+(RANDBETWEEN(1,10))</f>
        <v>41848</v>
      </c>
      <c r="G3604" t="s">
        <v>26</v>
      </c>
      <c r="H3604" t="s">
        <v>27</v>
      </c>
      <c r="I3604" t="s">
        <v>97</v>
      </c>
      <c r="J3604">
        <v>311.92</v>
      </c>
      <c r="K3604">
        <v>0.01</v>
      </c>
      <c r="L3604">
        <v>0.37</v>
      </c>
      <c r="M3604">
        <v>23.1</v>
      </c>
      <c r="N3604">
        <v>-287.53536000000003</v>
      </c>
      <c r="O3604" s="1" t="s">
        <v>29</v>
      </c>
      <c r="P3604" s="1" t="s">
        <v>8759</v>
      </c>
      <c r="Q3604" s="1" t="s">
        <v>8760</v>
      </c>
      <c r="R3604" s="1" t="s">
        <v>32</v>
      </c>
      <c r="S3604" s="1" t="s">
        <v>8761</v>
      </c>
      <c r="T3604" s="1" t="s">
        <v>8762</v>
      </c>
      <c r="U3604" s="2" t="s">
        <v>241</v>
      </c>
      <c r="V3604" s="2" t="s">
        <v>47</v>
      </c>
      <c r="W3604" s="2" t="s">
        <v>74</v>
      </c>
      <c r="X3604" s="2">
        <v>22.68</v>
      </c>
    </row>
    <row r="3605" spans="1:24" x14ac:dyDescent="0.3">
      <c r="A3605">
        <v>21454</v>
      </c>
      <c r="B3605" t="s">
        <v>8758</v>
      </c>
      <c r="C3605" s="3">
        <v>41836</v>
      </c>
      <c r="D3605" t="s">
        <v>25</v>
      </c>
      <c r="E3605">
        <v>14</v>
      </c>
      <c r="F3605" s="3">
        <f ca="1">41845+(RANDBETWEEN(1,10))</f>
        <v>41851</v>
      </c>
      <c r="G3605" t="s">
        <v>26</v>
      </c>
      <c r="H3605" t="s">
        <v>96</v>
      </c>
      <c r="I3605" t="s">
        <v>97</v>
      </c>
      <c r="J3605">
        <v>977.2</v>
      </c>
      <c r="K3605">
        <v>0.01</v>
      </c>
      <c r="L3605">
        <v>0.44</v>
      </c>
      <c r="M3605">
        <v>14.35</v>
      </c>
      <c r="N3605">
        <v>674.26800000000003</v>
      </c>
      <c r="O3605" s="1" t="s">
        <v>29</v>
      </c>
      <c r="P3605" s="1" t="s">
        <v>8759</v>
      </c>
      <c r="Q3605" s="1" t="s">
        <v>8760</v>
      </c>
      <c r="R3605" s="1" t="s">
        <v>32</v>
      </c>
      <c r="S3605" s="1" t="s">
        <v>8761</v>
      </c>
      <c r="T3605" s="1" t="s">
        <v>8762</v>
      </c>
      <c r="U3605" s="2" t="s">
        <v>550</v>
      </c>
      <c r="V3605" s="2" t="s">
        <v>47</v>
      </c>
      <c r="W3605" s="2" t="s">
        <v>104</v>
      </c>
      <c r="X3605" s="2">
        <v>69.44</v>
      </c>
    </row>
    <row r="3606" spans="1:24" x14ac:dyDescent="0.3">
      <c r="A3606">
        <v>21455</v>
      </c>
      <c r="B3606" t="s">
        <v>8763</v>
      </c>
      <c r="C3606" s="3">
        <v>40868</v>
      </c>
      <c r="D3606" t="s">
        <v>25</v>
      </c>
      <c r="E3606">
        <v>28</v>
      </c>
      <c r="F3606" s="3">
        <f ca="1">40875+(RANDBETWEEN(1,10))</f>
        <v>40883</v>
      </c>
      <c r="G3606" t="s">
        <v>26</v>
      </c>
      <c r="H3606" t="s">
        <v>27</v>
      </c>
      <c r="I3606" t="s">
        <v>97</v>
      </c>
      <c r="J3606">
        <v>4883.9350000000004</v>
      </c>
      <c r="K3606">
        <v>0.09</v>
      </c>
      <c r="L3606">
        <v>0.73</v>
      </c>
      <c r="M3606">
        <v>22.75</v>
      </c>
      <c r="N3606">
        <v>245.61600000000001</v>
      </c>
      <c r="O3606" s="1" t="s">
        <v>225</v>
      </c>
      <c r="P3606" s="1" t="s">
        <v>8764</v>
      </c>
      <c r="Q3606" s="1" t="s">
        <v>8765</v>
      </c>
      <c r="R3606" s="1" t="s">
        <v>228</v>
      </c>
      <c r="S3606" s="1" t="s">
        <v>8766</v>
      </c>
      <c r="T3606" s="1" t="s">
        <v>8767</v>
      </c>
      <c r="U3606" s="2" t="s">
        <v>4548</v>
      </c>
      <c r="V3606" s="2" t="s">
        <v>36</v>
      </c>
      <c r="W3606" s="2" t="s">
        <v>60</v>
      </c>
      <c r="X3606" s="2">
        <v>178.43</v>
      </c>
    </row>
    <row r="3607" spans="1:24" x14ac:dyDescent="0.3">
      <c r="A3607">
        <v>21456</v>
      </c>
      <c r="B3607" t="s">
        <v>8768</v>
      </c>
      <c r="C3607" s="3">
        <v>41303</v>
      </c>
      <c r="D3607" t="s">
        <v>148</v>
      </c>
      <c r="E3607">
        <v>3</v>
      </c>
      <c r="F3607" s="3">
        <f ca="1">41304+(RANDBETWEEN(1,10))</f>
        <v>41311</v>
      </c>
      <c r="G3607" t="s">
        <v>76</v>
      </c>
      <c r="H3607" t="s">
        <v>77</v>
      </c>
      <c r="I3607" t="s">
        <v>97</v>
      </c>
      <c r="J3607">
        <v>1207.5</v>
      </c>
      <c r="K3607">
        <v>0.06</v>
      </c>
      <c r="L3607">
        <v>0.69</v>
      </c>
      <c r="M3607">
        <v>105</v>
      </c>
      <c r="N3607">
        <v>-658.50819999999999</v>
      </c>
      <c r="O3607" s="1" t="s">
        <v>64</v>
      </c>
      <c r="P3607" s="1" t="s">
        <v>7681</v>
      </c>
      <c r="Q3607" s="1" t="s">
        <v>7682</v>
      </c>
      <c r="R3607" s="1" t="s">
        <v>128</v>
      </c>
      <c r="S3607" s="1" t="s">
        <v>7683</v>
      </c>
      <c r="T3607" s="1" t="s">
        <v>7684</v>
      </c>
      <c r="U3607" s="2" t="s">
        <v>1513</v>
      </c>
      <c r="V3607" s="2" t="s">
        <v>83</v>
      </c>
      <c r="W3607" s="2" t="s">
        <v>84</v>
      </c>
      <c r="X3607" s="2">
        <v>398.93</v>
      </c>
    </row>
    <row r="3608" spans="1:24" x14ac:dyDescent="0.3">
      <c r="A3608">
        <v>21457</v>
      </c>
      <c r="B3608" t="s">
        <v>8769</v>
      </c>
      <c r="C3608" s="3">
        <v>41758</v>
      </c>
      <c r="D3608" t="s">
        <v>148</v>
      </c>
      <c r="E3608">
        <v>8</v>
      </c>
      <c r="F3608" s="3">
        <f ca="1">41760+(RANDBETWEEN(1,10))</f>
        <v>41770</v>
      </c>
      <c r="G3608" t="s">
        <v>26</v>
      </c>
      <c r="H3608" t="s">
        <v>51</v>
      </c>
      <c r="I3608" t="s">
        <v>28</v>
      </c>
      <c r="J3608">
        <v>2210.2849999999999</v>
      </c>
      <c r="K3608">
        <v>0</v>
      </c>
      <c r="L3608">
        <v>0.39</v>
      </c>
      <c r="M3608">
        <v>4.375</v>
      </c>
      <c r="N3608">
        <v>1525.09665</v>
      </c>
      <c r="O3608" s="1" t="s">
        <v>64</v>
      </c>
      <c r="P3608" s="1" t="s">
        <v>5774</v>
      </c>
      <c r="Q3608" s="1" t="s">
        <v>5775</v>
      </c>
      <c r="R3608" s="1" t="s">
        <v>67</v>
      </c>
      <c r="S3608" s="1" t="s">
        <v>5776</v>
      </c>
      <c r="T3608" s="1" t="s">
        <v>5777</v>
      </c>
      <c r="U3608" s="2" t="s">
        <v>1978</v>
      </c>
      <c r="V3608" s="2" t="s">
        <v>36</v>
      </c>
      <c r="W3608" s="2" t="s">
        <v>37</v>
      </c>
      <c r="X3608" s="2">
        <v>300.96499999999997</v>
      </c>
    </row>
    <row r="3609" spans="1:24" x14ac:dyDescent="0.3">
      <c r="A3609">
        <v>21458</v>
      </c>
      <c r="B3609" t="s">
        <v>8770</v>
      </c>
      <c r="C3609" s="3">
        <v>40752</v>
      </c>
      <c r="D3609" t="s">
        <v>62</v>
      </c>
      <c r="E3609">
        <v>12</v>
      </c>
      <c r="F3609" s="3">
        <f ca="1">40754+(RANDBETWEEN(1,10))</f>
        <v>40755</v>
      </c>
      <c r="G3609" t="s">
        <v>156</v>
      </c>
      <c r="H3609" t="s">
        <v>27</v>
      </c>
      <c r="I3609" t="s">
        <v>28</v>
      </c>
      <c r="J3609">
        <v>2677.64</v>
      </c>
      <c r="K3609">
        <v>0.01</v>
      </c>
      <c r="L3609">
        <v>0.56000000000000005</v>
      </c>
      <c r="M3609">
        <v>15.75</v>
      </c>
      <c r="N3609">
        <v>1847.5716</v>
      </c>
      <c r="O3609" s="1" t="s">
        <v>225</v>
      </c>
      <c r="P3609" s="1" t="s">
        <v>8771</v>
      </c>
      <c r="Q3609" s="1" t="s">
        <v>8772</v>
      </c>
      <c r="R3609" s="1" t="s">
        <v>228</v>
      </c>
      <c r="S3609" s="1" t="s">
        <v>8773</v>
      </c>
      <c r="T3609" s="1" t="s">
        <v>548</v>
      </c>
      <c r="U3609" s="2" t="s">
        <v>1654</v>
      </c>
      <c r="V3609" s="2" t="s">
        <v>47</v>
      </c>
      <c r="W3609" s="2" t="s">
        <v>71</v>
      </c>
      <c r="X3609" s="2">
        <v>213.39500000000001</v>
      </c>
    </row>
    <row r="3610" spans="1:24" x14ac:dyDescent="0.3">
      <c r="A3610">
        <v>21459</v>
      </c>
      <c r="B3610" t="s">
        <v>8770</v>
      </c>
      <c r="C3610" s="3">
        <v>40752</v>
      </c>
      <c r="D3610" t="s">
        <v>62</v>
      </c>
      <c r="E3610">
        <v>14</v>
      </c>
      <c r="F3610" s="3">
        <f ca="1">40753+(RANDBETWEEN(1,10))</f>
        <v>40755</v>
      </c>
      <c r="G3610" t="s">
        <v>76</v>
      </c>
      <c r="H3610" t="s">
        <v>77</v>
      </c>
      <c r="I3610" t="s">
        <v>28</v>
      </c>
      <c r="J3610">
        <v>6282.08</v>
      </c>
      <c r="K3610">
        <v>0</v>
      </c>
      <c r="L3610">
        <v>0.74</v>
      </c>
      <c r="M3610">
        <v>245.7</v>
      </c>
      <c r="N3610">
        <v>-6175.0150000000003</v>
      </c>
      <c r="O3610" s="1" t="s">
        <v>87</v>
      </c>
      <c r="P3610" s="1" t="s">
        <v>8774</v>
      </c>
      <c r="Q3610" s="1" t="s">
        <v>8775</v>
      </c>
      <c r="R3610" s="1" t="s">
        <v>90</v>
      </c>
      <c r="S3610" s="1" t="s">
        <v>653</v>
      </c>
      <c r="T3610" s="1" t="s">
        <v>654</v>
      </c>
      <c r="U3610" s="2" t="s">
        <v>358</v>
      </c>
      <c r="V3610" s="2" t="s">
        <v>83</v>
      </c>
      <c r="W3610" s="2" t="s">
        <v>84</v>
      </c>
      <c r="X3610" s="2">
        <v>430.46499999999997</v>
      </c>
    </row>
    <row r="3611" spans="1:24" x14ac:dyDescent="0.3">
      <c r="A3611">
        <v>21460</v>
      </c>
      <c r="B3611" t="s">
        <v>8776</v>
      </c>
      <c r="C3611" s="3">
        <v>41379</v>
      </c>
      <c r="D3611" t="s">
        <v>50</v>
      </c>
      <c r="E3611">
        <v>13</v>
      </c>
      <c r="F3611" s="3">
        <f ca="1">41380+(RANDBETWEEN(1,10))</f>
        <v>41390</v>
      </c>
      <c r="G3611" t="s">
        <v>26</v>
      </c>
      <c r="H3611" t="s">
        <v>27</v>
      </c>
      <c r="I3611" t="s">
        <v>86</v>
      </c>
      <c r="J3611">
        <v>655.30499999999995</v>
      </c>
      <c r="K3611">
        <v>0.09</v>
      </c>
      <c r="L3611">
        <v>0.38</v>
      </c>
      <c r="M3611">
        <v>4.8650000000000002</v>
      </c>
      <c r="N3611">
        <v>-4.6207000000000003</v>
      </c>
      <c r="O3611" s="1" t="s">
        <v>64</v>
      </c>
      <c r="P3611" s="1" t="s">
        <v>8395</v>
      </c>
      <c r="Q3611" s="1" t="s">
        <v>8396</v>
      </c>
      <c r="R3611" s="1" t="s">
        <v>128</v>
      </c>
      <c r="S3611" s="1" t="s">
        <v>8397</v>
      </c>
      <c r="T3611" s="1" t="s">
        <v>8398</v>
      </c>
      <c r="U3611" s="2" t="s">
        <v>2854</v>
      </c>
      <c r="V3611" s="2" t="s">
        <v>47</v>
      </c>
      <c r="W3611" s="2" t="s">
        <v>48</v>
      </c>
      <c r="X3611" s="2">
        <v>54.844999999999999</v>
      </c>
    </row>
    <row r="3612" spans="1:24" x14ac:dyDescent="0.3">
      <c r="A3612">
        <v>21461</v>
      </c>
      <c r="B3612" t="s">
        <v>8776</v>
      </c>
      <c r="C3612" s="3">
        <v>41379</v>
      </c>
      <c r="D3612" t="s">
        <v>50</v>
      </c>
      <c r="E3612">
        <v>6</v>
      </c>
      <c r="F3612" s="3">
        <f ca="1">41381+(RANDBETWEEN(1,10))</f>
        <v>41388</v>
      </c>
      <c r="G3612" t="s">
        <v>26</v>
      </c>
      <c r="H3612" t="s">
        <v>96</v>
      </c>
      <c r="I3612" t="s">
        <v>86</v>
      </c>
      <c r="J3612">
        <v>61.18</v>
      </c>
      <c r="K3612">
        <v>0</v>
      </c>
      <c r="L3612">
        <v>0.56000000000000005</v>
      </c>
      <c r="M3612">
        <v>2.4500000000000002</v>
      </c>
      <c r="N3612">
        <v>-197.22499999999999</v>
      </c>
      <c r="O3612" s="1" t="s">
        <v>64</v>
      </c>
      <c r="P3612" s="1" t="s">
        <v>8395</v>
      </c>
      <c r="Q3612" s="1" t="s">
        <v>8396</v>
      </c>
      <c r="R3612" s="1" t="s">
        <v>128</v>
      </c>
      <c r="S3612" s="1" t="s">
        <v>8397</v>
      </c>
      <c r="T3612" s="1" t="s">
        <v>8398</v>
      </c>
      <c r="U3612" s="2" t="s">
        <v>443</v>
      </c>
      <c r="V3612" s="2" t="s">
        <v>47</v>
      </c>
      <c r="W3612" s="2" t="s">
        <v>104</v>
      </c>
      <c r="X3612" s="2">
        <v>10.08</v>
      </c>
    </row>
    <row r="3613" spans="1:24" x14ac:dyDescent="0.3">
      <c r="A3613">
        <v>21462</v>
      </c>
      <c r="B3613" t="s">
        <v>8777</v>
      </c>
      <c r="C3613" s="3">
        <v>40698</v>
      </c>
      <c r="D3613" t="s">
        <v>50</v>
      </c>
      <c r="E3613">
        <v>1</v>
      </c>
      <c r="F3613" s="3">
        <f ca="1">40700+(RANDBETWEEN(1,10))</f>
        <v>40708</v>
      </c>
      <c r="G3613" t="s">
        <v>26</v>
      </c>
      <c r="H3613" t="s">
        <v>281</v>
      </c>
      <c r="I3613" t="s">
        <v>28</v>
      </c>
      <c r="J3613">
        <v>3534.9650000000001</v>
      </c>
      <c r="K3613">
        <v>0</v>
      </c>
      <c r="L3613">
        <v>0.36</v>
      </c>
      <c r="M3613">
        <v>48.965000000000003</v>
      </c>
      <c r="N3613">
        <v>-5095.9902000000002</v>
      </c>
      <c r="O3613" s="1" t="s">
        <v>29</v>
      </c>
      <c r="P3613" s="1" t="s">
        <v>8778</v>
      </c>
      <c r="Q3613" s="1" t="s">
        <v>8779</v>
      </c>
      <c r="R3613" s="1" t="s">
        <v>675</v>
      </c>
      <c r="S3613" s="1" t="s">
        <v>908</v>
      </c>
      <c r="T3613" s="1" t="s">
        <v>909</v>
      </c>
      <c r="U3613" s="2" t="s">
        <v>4901</v>
      </c>
      <c r="V3613" s="2" t="s">
        <v>36</v>
      </c>
      <c r="W3613" s="2" t="s">
        <v>142</v>
      </c>
      <c r="X3613" s="2">
        <v>3499.9650000000001</v>
      </c>
    </row>
    <row r="3614" spans="1:24" x14ac:dyDescent="0.3">
      <c r="A3614">
        <v>21463</v>
      </c>
      <c r="B3614" t="s">
        <v>8777</v>
      </c>
      <c r="C3614" s="3">
        <v>40698</v>
      </c>
      <c r="D3614" t="s">
        <v>50</v>
      </c>
      <c r="E3614">
        <v>13</v>
      </c>
      <c r="F3614" s="3">
        <f ca="1">40699+(RANDBETWEEN(1,10))</f>
        <v>40708</v>
      </c>
      <c r="G3614" t="s">
        <v>156</v>
      </c>
      <c r="H3614" t="s">
        <v>27</v>
      </c>
      <c r="I3614" t="s">
        <v>28</v>
      </c>
      <c r="J3614">
        <v>322.56</v>
      </c>
      <c r="K3614">
        <v>0.05</v>
      </c>
      <c r="L3614">
        <v>0.37</v>
      </c>
      <c r="M3614">
        <v>17.989999999999998</v>
      </c>
      <c r="N3614">
        <v>-78.959999999999994</v>
      </c>
      <c r="O3614" s="1" t="s">
        <v>29</v>
      </c>
      <c r="P3614" s="1" t="s">
        <v>8778</v>
      </c>
      <c r="Q3614" s="1" t="s">
        <v>8779</v>
      </c>
      <c r="R3614" s="1" t="s">
        <v>675</v>
      </c>
      <c r="S3614" s="1" t="s">
        <v>908</v>
      </c>
      <c r="T3614" s="1" t="s">
        <v>909</v>
      </c>
      <c r="U3614" s="2" t="s">
        <v>146</v>
      </c>
      <c r="V3614" s="2" t="s">
        <v>47</v>
      </c>
      <c r="W3614" s="2" t="s">
        <v>74</v>
      </c>
      <c r="X3614" s="2">
        <v>22.68</v>
      </c>
    </row>
    <row r="3615" spans="1:24" x14ac:dyDescent="0.3">
      <c r="A3615">
        <v>21464</v>
      </c>
      <c r="B3615" t="s">
        <v>8780</v>
      </c>
      <c r="C3615" s="3">
        <v>41715</v>
      </c>
      <c r="D3615" t="s">
        <v>148</v>
      </c>
      <c r="E3615">
        <v>1</v>
      </c>
      <c r="F3615" s="3">
        <f ca="1">41718+(RANDBETWEEN(1,10))</f>
        <v>41722</v>
      </c>
      <c r="G3615" t="s">
        <v>26</v>
      </c>
      <c r="H3615" t="s">
        <v>96</v>
      </c>
      <c r="I3615" t="s">
        <v>52</v>
      </c>
      <c r="J3615">
        <v>30.905000000000001</v>
      </c>
      <c r="K3615">
        <v>0.02</v>
      </c>
      <c r="L3615">
        <v>0.42</v>
      </c>
      <c r="M3615">
        <v>14</v>
      </c>
      <c r="N3615">
        <v>21.324449999999999</v>
      </c>
      <c r="O3615" s="1" t="s">
        <v>64</v>
      </c>
      <c r="P3615" s="1" t="s">
        <v>3667</v>
      </c>
      <c r="Q3615" s="1" t="s">
        <v>3668</v>
      </c>
      <c r="R3615" s="1" t="s">
        <v>128</v>
      </c>
      <c r="S3615" s="1" t="s">
        <v>3669</v>
      </c>
      <c r="T3615" s="1" t="s">
        <v>3670</v>
      </c>
      <c r="U3615" s="2" t="s">
        <v>2801</v>
      </c>
      <c r="V3615" s="2" t="s">
        <v>83</v>
      </c>
      <c r="W3615" s="2" t="s">
        <v>178</v>
      </c>
      <c r="X3615" s="2">
        <v>26.565000000000001</v>
      </c>
    </row>
    <row r="3616" spans="1:24" x14ac:dyDescent="0.3">
      <c r="A3616">
        <v>21465</v>
      </c>
      <c r="B3616" t="s">
        <v>8780</v>
      </c>
      <c r="C3616" s="3">
        <v>41715</v>
      </c>
      <c r="D3616" t="s">
        <v>148</v>
      </c>
      <c r="E3616">
        <v>9</v>
      </c>
      <c r="F3616" s="3">
        <f ca="1">41717+(RANDBETWEEN(1,10))</f>
        <v>41723</v>
      </c>
      <c r="G3616" t="s">
        <v>26</v>
      </c>
      <c r="H3616" t="s">
        <v>96</v>
      </c>
      <c r="I3616" t="s">
        <v>52</v>
      </c>
      <c r="J3616">
        <v>164.255</v>
      </c>
      <c r="K3616">
        <v>0.09</v>
      </c>
      <c r="L3616">
        <v>0.36</v>
      </c>
      <c r="M3616">
        <v>3.3250000000000002</v>
      </c>
      <c r="N3616">
        <v>113.33595</v>
      </c>
      <c r="O3616" s="1" t="s">
        <v>64</v>
      </c>
      <c r="P3616" s="1" t="s">
        <v>3667</v>
      </c>
      <c r="Q3616" s="1" t="s">
        <v>3668</v>
      </c>
      <c r="R3616" s="1" t="s">
        <v>128</v>
      </c>
      <c r="S3616" s="1" t="s">
        <v>3669</v>
      </c>
      <c r="T3616" s="1" t="s">
        <v>3670</v>
      </c>
      <c r="U3616" s="2" t="s">
        <v>3882</v>
      </c>
      <c r="V3616" s="2" t="s">
        <v>47</v>
      </c>
      <c r="W3616" s="2" t="s">
        <v>74</v>
      </c>
      <c r="X3616" s="2">
        <v>19.004999999999999</v>
      </c>
    </row>
    <row r="3617" spans="1:24" x14ac:dyDescent="0.3">
      <c r="A3617">
        <v>21466</v>
      </c>
      <c r="B3617" t="s">
        <v>8780</v>
      </c>
      <c r="C3617" s="3">
        <v>41715</v>
      </c>
      <c r="D3617" t="s">
        <v>148</v>
      </c>
      <c r="E3617">
        <v>9</v>
      </c>
      <c r="F3617" s="3">
        <f ca="1">41717+(RANDBETWEEN(1,10))</f>
        <v>41727</v>
      </c>
      <c r="G3617" t="s">
        <v>26</v>
      </c>
      <c r="H3617" t="s">
        <v>63</v>
      </c>
      <c r="I3617" t="s">
        <v>52</v>
      </c>
      <c r="J3617">
        <v>8967.2450000000008</v>
      </c>
      <c r="K3617">
        <v>0.06</v>
      </c>
      <c r="L3617">
        <v>0.8</v>
      </c>
      <c r="M3617">
        <v>122.5</v>
      </c>
      <c r="N3617">
        <v>1422.2950000000001</v>
      </c>
      <c r="O3617" s="1" t="s">
        <v>64</v>
      </c>
      <c r="P3617" s="1" t="s">
        <v>3667</v>
      </c>
      <c r="Q3617" s="1" t="s">
        <v>3668</v>
      </c>
      <c r="R3617" s="1" t="s">
        <v>128</v>
      </c>
      <c r="S3617" s="1" t="s">
        <v>3669</v>
      </c>
      <c r="T3617" s="1" t="s">
        <v>3670</v>
      </c>
      <c r="U3617" s="2" t="s">
        <v>2645</v>
      </c>
      <c r="V3617" s="2" t="s">
        <v>47</v>
      </c>
      <c r="W3617" s="2" t="s">
        <v>119</v>
      </c>
      <c r="X3617" s="2">
        <v>978.18</v>
      </c>
    </row>
    <row r="3618" spans="1:24" x14ac:dyDescent="0.3">
      <c r="A3618">
        <v>21467</v>
      </c>
      <c r="B3618" t="s">
        <v>8781</v>
      </c>
      <c r="C3618" s="3">
        <v>41703</v>
      </c>
      <c r="D3618" t="s">
        <v>25</v>
      </c>
      <c r="E3618">
        <v>11</v>
      </c>
      <c r="F3618" s="3">
        <f ca="1">41705+(RANDBETWEEN(1,10))</f>
        <v>41708</v>
      </c>
      <c r="G3618" t="s">
        <v>26</v>
      </c>
      <c r="H3618" t="s">
        <v>51</v>
      </c>
      <c r="I3618" t="s">
        <v>52</v>
      </c>
      <c r="J3618">
        <v>318.85000000000002</v>
      </c>
      <c r="K3618">
        <v>0.05</v>
      </c>
      <c r="L3618">
        <v>0.49</v>
      </c>
      <c r="M3618">
        <v>6.9649999999999999</v>
      </c>
      <c r="N3618">
        <v>178.78</v>
      </c>
      <c r="O3618" s="1" t="s">
        <v>87</v>
      </c>
      <c r="P3618" s="1" t="s">
        <v>7901</v>
      </c>
      <c r="Q3618" s="1" t="s">
        <v>7902</v>
      </c>
      <c r="R3618" s="1" t="s">
        <v>398</v>
      </c>
      <c r="S3618" s="1" t="s">
        <v>7903</v>
      </c>
      <c r="T3618" s="1" t="s">
        <v>7904</v>
      </c>
      <c r="U3618" s="2" t="s">
        <v>2723</v>
      </c>
      <c r="V3618" s="2" t="s">
        <v>36</v>
      </c>
      <c r="W3618" s="2" t="s">
        <v>60</v>
      </c>
      <c r="X3618" s="2">
        <v>29.75</v>
      </c>
    </row>
    <row r="3619" spans="1:24" x14ac:dyDescent="0.3">
      <c r="A3619">
        <v>21468</v>
      </c>
      <c r="B3619" t="s">
        <v>8782</v>
      </c>
      <c r="C3619" s="3">
        <v>41401</v>
      </c>
      <c r="D3619" t="s">
        <v>50</v>
      </c>
      <c r="E3619">
        <v>3</v>
      </c>
      <c r="F3619" s="3">
        <f ca="1">41402+(RANDBETWEEN(1,10))</f>
        <v>41406</v>
      </c>
      <c r="G3619" t="s">
        <v>26</v>
      </c>
      <c r="H3619" t="s">
        <v>51</v>
      </c>
      <c r="I3619" t="s">
        <v>28</v>
      </c>
      <c r="J3619">
        <v>50.994999999999997</v>
      </c>
      <c r="K3619">
        <v>0.09</v>
      </c>
      <c r="L3619">
        <v>0.72</v>
      </c>
      <c r="M3619">
        <v>8.3650000000000002</v>
      </c>
      <c r="N3619">
        <v>-90.51</v>
      </c>
      <c r="O3619" s="1" t="s">
        <v>87</v>
      </c>
      <c r="P3619" s="1" t="s">
        <v>5184</v>
      </c>
      <c r="Q3619" s="1" t="s">
        <v>5185</v>
      </c>
      <c r="R3619" s="1" t="s">
        <v>497</v>
      </c>
      <c r="S3619" s="1" t="s">
        <v>5186</v>
      </c>
      <c r="T3619" s="1" t="s">
        <v>5187</v>
      </c>
      <c r="U3619" s="2" t="s">
        <v>4176</v>
      </c>
      <c r="V3619" s="2" t="s">
        <v>36</v>
      </c>
      <c r="W3619" s="2" t="s">
        <v>60</v>
      </c>
      <c r="X3619" s="2">
        <v>16.695</v>
      </c>
    </row>
    <row r="3620" spans="1:24" x14ac:dyDescent="0.3">
      <c r="A3620">
        <v>21469</v>
      </c>
      <c r="B3620" t="s">
        <v>8783</v>
      </c>
      <c r="C3620" s="3">
        <v>41532</v>
      </c>
      <c r="D3620" t="s">
        <v>62</v>
      </c>
      <c r="E3620">
        <v>17</v>
      </c>
      <c r="F3620" s="3">
        <f ca="1">41534+(RANDBETWEEN(1,10))</f>
        <v>41540</v>
      </c>
      <c r="G3620" t="s">
        <v>26</v>
      </c>
      <c r="H3620" t="s">
        <v>27</v>
      </c>
      <c r="I3620" t="s">
        <v>52</v>
      </c>
      <c r="J3620">
        <v>455.91</v>
      </c>
      <c r="K3620">
        <v>0.03</v>
      </c>
      <c r="L3620">
        <v>0.38</v>
      </c>
      <c r="M3620">
        <v>27.02</v>
      </c>
      <c r="N3620">
        <v>-446.33224999999999</v>
      </c>
      <c r="O3620" s="1" t="s">
        <v>29</v>
      </c>
      <c r="P3620" s="1" t="s">
        <v>8784</v>
      </c>
      <c r="Q3620" s="1" t="s">
        <v>8785</v>
      </c>
      <c r="R3620" s="1" t="s">
        <v>32</v>
      </c>
      <c r="S3620" s="1" t="s">
        <v>8786</v>
      </c>
      <c r="T3620" s="1" t="s">
        <v>8787</v>
      </c>
      <c r="U3620" s="2" t="s">
        <v>823</v>
      </c>
      <c r="V3620" s="2" t="s">
        <v>47</v>
      </c>
      <c r="W3620" s="2" t="s">
        <v>111</v>
      </c>
      <c r="X3620" s="2">
        <v>25.55</v>
      </c>
    </row>
    <row r="3621" spans="1:24" x14ac:dyDescent="0.3">
      <c r="A3621">
        <v>21470</v>
      </c>
      <c r="B3621" t="s">
        <v>8783</v>
      </c>
      <c r="C3621" s="3">
        <v>41532</v>
      </c>
      <c r="D3621" t="s">
        <v>62</v>
      </c>
      <c r="E3621">
        <v>7</v>
      </c>
      <c r="F3621" s="3">
        <f ca="1">41534+(RANDBETWEEN(1,10))</f>
        <v>41544</v>
      </c>
      <c r="G3621" t="s">
        <v>26</v>
      </c>
      <c r="H3621" t="s">
        <v>51</v>
      </c>
      <c r="I3621" t="s">
        <v>52</v>
      </c>
      <c r="J3621">
        <v>761.6</v>
      </c>
      <c r="K3621">
        <v>0</v>
      </c>
      <c r="L3621">
        <v>0.5</v>
      </c>
      <c r="M3621">
        <v>6.9649999999999999</v>
      </c>
      <c r="N3621">
        <v>324.45</v>
      </c>
      <c r="O3621" s="1" t="s">
        <v>29</v>
      </c>
      <c r="P3621" s="1" t="s">
        <v>8784</v>
      </c>
      <c r="Q3621" s="1" t="s">
        <v>8785</v>
      </c>
      <c r="R3621" s="1" t="s">
        <v>32</v>
      </c>
      <c r="S3621" s="1" t="s">
        <v>8786</v>
      </c>
      <c r="T3621" s="1" t="s">
        <v>8787</v>
      </c>
      <c r="U3621" s="2" t="s">
        <v>124</v>
      </c>
      <c r="V3621" s="2" t="s">
        <v>36</v>
      </c>
      <c r="W3621" s="2" t="s">
        <v>60</v>
      </c>
      <c r="X3621" s="2">
        <v>104.61499999999999</v>
      </c>
    </row>
    <row r="3622" spans="1:24" x14ac:dyDescent="0.3">
      <c r="A3622">
        <v>21471</v>
      </c>
      <c r="B3622" t="s">
        <v>8788</v>
      </c>
      <c r="C3622" s="3">
        <v>41708</v>
      </c>
      <c r="D3622" t="s">
        <v>148</v>
      </c>
      <c r="E3622">
        <v>4</v>
      </c>
      <c r="F3622" s="3">
        <f ca="1">41709+(RANDBETWEEN(1,10))</f>
        <v>41713</v>
      </c>
      <c r="G3622" t="s">
        <v>26</v>
      </c>
      <c r="H3622" t="s">
        <v>63</v>
      </c>
      <c r="I3622" t="s">
        <v>28</v>
      </c>
      <c r="J3622">
        <v>1961.4</v>
      </c>
      <c r="K3622">
        <v>0</v>
      </c>
      <c r="L3622">
        <v>0.59</v>
      </c>
      <c r="M3622">
        <v>85.715000000000003</v>
      </c>
      <c r="N3622">
        <v>1353.366</v>
      </c>
      <c r="O3622" s="1" t="s">
        <v>225</v>
      </c>
      <c r="P3622" s="1" t="s">
        <v>8789</v>
      </c>
      <c r="Q3622" s="1" t="s">
        <v>8790</v>
      </c>
      <c r="R3622" s="1" t="s">
        <v>228</v>
      </c>
      <c r="S3622" s="1" t="s">
        <v>8791</v>
      </c>
      <c r="T3622" s="1" t="s">
        <v>8792</v>
      </c>
      <c r="U3622" s="2" t="s">
        <v>1632</v>
      </c>
      <c r="V3622" s="2" t="s">
        <v>83</v>
      </c>
      <c r="W3622" s="2" t="s">
        <v>178</v>
      </c>
      <c r="X3622" s="2">
        <v>479.43</v>
      </c>
    </row>
    <row r="3623" spans="1:24" x14ac:dyDescent="0.3">
      <c r="A3623">
        <v>21472</v>
      </c>
      <c r="B3623" t="s">
        <v>8788</v>
      </c>
      <c r="C3623" s="3">
        <v>41708</v>
      </c>
      <c r="D3623" t="s">
        <v>148</v>
      </c>
      <c r="E3623">
        <v>1</v>
      </c>
      <c r="F3623" s="3">
        <f ca="1">41710+(RANDBETWEEN(1,10))</f>
        <v>41717</v>
      </c>
      <c r="G3623" t="s">
        <v>26</v>
      </c>
      <c r="H3623" t="s">
        <v>96</v>
      </c>
      <c r="I3623" t="s">
        <v>28</v>
      </c>
      <c r="J3623">
        <v>5.7750000000000004</v>
      </c>
      <c r="K3623">
        <v>0.1</v>
      </c>
      <c r="L3623">
        <v>0.37</v>
      </c>
      <c r="M3623">
        <v>2.4500000000000002</v>
      </c>
      <c r="N3623">
        <v>-6.16</v>
      </c>
      <c r="O3623" s="1" t="s">
        <v>225</v>
      </c>
      <c r="P3623" s="1" t="s">
        <v>8789</v>
      </c>
      <c r="Q3623" s="1" t="s">
        <v>8790</v>
      </c>
      <c r="R3623" s="1" t="s">
        <v>228</v>
      </c>
      <c r="S3623" s="1" t="s">
        <v>8791</v>
      </c>
      <c r="T3623" s="1" t="s">
        <v>8792</v>
      </c>
      <c r="U3623" s="2" t="s">
        <v>3561</v>
      </c>
      <c r="V3623" s="2" t="s">
        <v>47</v>
      </c>
      <c r="W3623" s="2" t="s">
        <v>176</v>
      </c>
      <c r="X3623" s="2">
        <v>5.18</v>
      </c>
    </row>
    <row r="3624" spans="1:24" x14ac:dyDescent="0.3">
      <c r="A3624">
        <v>21473</v>
      </c>
      <c r="B3624" t="s">
        <v>8793</v>
      </c>
      <c r="C3624" s="3">
        <v>41182</v>
      </c>
      <c r="D3624" t="s">
        <v>25</v>
      </c>
      <c r="E3624">
        <v>1</v>
      </c>
      <c r="F3624" s="3">
        <f ca="1">41186+(RANDBETWEEN(1,10))</f>
        <v>41193</v>
      </c>
      <c r="G3624" t="s">
        <v>26</v>
      </c>
      <c r="H3624" t="s">
        <v>27</v>
      </c>
      <c r="I3624" t="s">
        <v>52</v>
      </c>
      <c r="J3624">
        <v>25.725000000000001</v>
      </c>
      <c r="K3624">
        <v>0.05</v>
      </c>
      <c r="L3624">
        <v>0.36</v>
      </c>
      <c r="M3624">
        <v>26.04</v>
      </c>
      <c r="N3624">
        <v>-54.6</v>
      </c>
      <c r="O3624" s="1" t="s">
        <v>53</v>
      </c>
      <c r="P3624" s="1" t="s">
        <v>7227</v>
      </c>
      <c r="Q3624" s="1" t="s">
        <v>7228</v>
      </c>
      <c r="R3624" s="1" t="s">
        <v>100</v>
      </c>
      <c r="S3624" s="1" t="s">
        <v>1575</v>
      </c>
      <c r="T3624" s="1" t="s">
        <v>1576</v>
      </c>
      <c r="U3624" s="2" t="s">
        <v>131</v>
      </c>
      <c r="V3624" s="2" t="s">
        <v>47</v>
      </c>
      <c r="W3624" s="2" t="s">
        <v>74</v>
      </c>
      <c r="X3624" s="2">
        <v>17.43</v>
      </c>
    </row>
    <row r="3625" spans="1:24" x14ac:dyDescent="0.3">
      <c r="A3625">
        <v>21474</v>
      </c>
      <c r="B3625" t="s">
        <v>8794</v>
      </c>
      <c r="C3625" s="3">
        <v>41979</v>
      </c>
      <c r="D3625" t="s">
        <v>39</v>
      </c>
      <c r="E3625">
        <v>2</v>
      </c>
      <c r="F3625" s="3">
        <f ca="1">41982+(RANDBETWEEN(1,10))</f>
        <v>41988</v>
      </c>
      <c r="G3625" t="s">
        <v>76</v>
      </c>
      <c r="H3625" t="s">
        <v>77</v>
      </c>
      <c r="I3625" t="s">
        <v>86</v>
      </c>
      <c r="J3625">
        <v>1283.135</v>
      </c>
      <c r="K3625">
        <v>0.09</v>
      </c>
      <c r="L3625">
        <v>0.59</v>
      </c>
      <c r="M3625">
        <v>91.7</v>
      </c>
      <c r="N3625">
        <v>-248.10072</v>
      </c>
      <c r="O3625" s="1" t="s">
        <v>29</v>
      </c>
      <c r="P3625" s="1" t="s">
        <v>8650</v>
      </c>
      <c r="Q3625" s="1" t="s">
        <v>8651</v>
      </c>
      <c r="R3625" s="1" t="s">
        <v>460</v>
      </c>
      <c r="S3625" s="1" t="s">
        <v>8652</v>
      </c>
      <c r="T3625" s="1" t="s">
        <v>8653</v>
      </c>
      <c r="U3625" s="2" t="s">
        <v>4925</v>
      </c>
      <c r="V3625" s="2" t="s">
        <v>83</v>
      </c>
      <c r="W3625" s="2" t="s">
        <v>84</v>
      </c>
      <c r="X3625" s="2">
        <v>633.42999999999995</v>
      </c>
    </row>
    <row r="3626" spans="1:24" x14ac:dyDescent="0.3">
      <c r="A3626">
        <v>21475</v>
      </c>
      <c r="B3626" t="s">
        <v>8795</v>
      </c>
      <c r="C3626" s="3">
        <v>40883</v>
      </c>
      <c r="D3626" t="s">
        <v>39</v>
      </c>
      <c r="E3626">
        <v>12</v>
      </c>
      <c r="F3626" s="3">
        <f ca="1">40884+(RANDBETWEEN(1,10))</f>
        <v>40888</v>
      </c>
      <c r="G3626" t="s">
        <v>26</v>
      </c>
      <c r="H3626" t="s">
        <v>27</v>
      </c>
      <c r="I3626" t="s">
        <v>86</v>
      </c>
      <c r="J3626">
        <v>294.14</v>
      </c>
      <c r="K3626">
        <v>0</v>
      </c>
      <c r="L3626">
        <v>0.37</v>
      </c>
      <c r="M3626">
        <v>18.164999999999999</v>
      </c>
      <c r="N3626">
        <v>-49.262500000000003</v>
      </c>
      <c r="O3626" s="1" t="s">
        <v>29</v>
      </c>
      <c r="P3626" s="1" t="s">
        <v>8650</v>
      </c>
      <c r="Q3626" s="1" t="s">
        <v>8651</v>
      </c>
      <c r="R3626" s="1" t="s">
        <v>460</v>
      </c>
      <c r="S3626" s="1" t="s">
        <v>8652</v>
      </c>
      <c r="T3626" s="1" t="s">
        <v>8653</v>
      </c>
      <c r="U3626" s="2" t="s">
        <v>8796</v>
      </c>
      <c r="V3626" s="2" t="s">
        <v>47</v>
      </c>
      <c r="W3626" s="2" t="s">
        <v>74</v>
      </c>
      <c r="X3626" s="2">
        <v>22.68</v>
      </c>
    </row>
    <row r="3627" spans="1:24" x14ac:dyDescent="0.3">
      <c r="A3627">
        <v>21476</v>
      </c>
      <c r="B3627" t="s">
        <v>8797</v>
      </c>
      <c r="C3627" s="3">
        <v>40918</v>
      </c>
      <c r="D3627" t="s">
        <v>148</v>
      </c>
      <c r="E3627">
        <v>3</v>
      </c>
      <c r="F3627" s="3">
        <f ca="1">40919+(RANDBETWEEN(1,10))</f>
        <v>40920</v>
      </c>
      <c r="G3627" t="s">
        <v>26</v>
      </c>
      <c r="H3627" t="s">
        <v>281</v>
      </c>
      <c r="I3627" t="s">
        <v>28</v>
      </c>
      <c r="J3627">
        <v>1041.845</v>
      </c>
      <c r="K3627">
        <v>0.04</v>
      </c>
      <c r="L3627">
        <v>0.67</v>
      </c>
      <c r="M3627">
        <v>138.63499999999999</v>
      </c>
      <c r="N3627">
        <v>426.8768</v>
      </c>
      <c r="O3627" s="1" t="s">
        <v>40</v>
      </c>
      <c r="P3627" s="1" t="s">
        <v>7704</v>
      </c>
      <c r="Q3627" s="1" t="s">
        <v>7705</v>
      </c>
      <c r="R3627" s="1" t="s">
        <v>43</v>
      </c>
      <c r="S3627" s="1" t="s">
        <v>7706</v>
      </c>
      <c r="T3627" s="1" t="s">
        <v>7707</v>
      </c>
      <c r="U3627" s="2" t="s">
        <v>3390</v>
      </c>
      <c r="V3627" s="2" t="s">
        <v>83</v>
      </c>
      <c r="W3627" s="2" t="s">
        <v>178</v>
      </c>
      <c r="X3627" s="2">
        <v>322.80500000000001</v>
      </c>
    </row>
    <row r="3628" spans="1:24" x14ac:dyDescent="0.3">
      <c r="A3628">
        <v>21477</v>
      </c>
      <c r="B3628" t="s">
        <v>8797</v>
      </c>
      <c r="C3628" s="3">
        <v>40918</v>
      </c>
      <c r="D3628" t="s">
        <v>148</v>
      </c>
      <c r="E3628">
        <v>9</v>
      </c>
      <c r="F3628" s="3">
        <f ca="1">40918+(RANDBETWEEN(1,10))</f>
        <v>40924</v>
      </c>
      <c r="G3628" t="s">
        <v>156</v>
      </c>
      <c r="H3628" t="s">
        <v>96</v>
      </c>
      <c r="I3628" t="s">
        <v>28</v>
      </c>
      <c r="J3628">
        <v>101.325</v>
      </c>
      <c r="K3628">
        <v>0.09</v>
      </c>
      <c r="L3628">
        <v>0.56000000000000005</v>
      </c>
      <c r="M3628">
        <v>17.5</v>
      </c>
      <c r="N3628">
        <v>-549.87800000000004</v>
      </c>
      <c r="O3628" s="1" t="s">
        <v>40</v>
      </c>
      <c r="P3628" s="1" t="s">
        <v>7704</v>
      </c>
      <c r="Q3628" s="1" t="s">
        <v>7705</v>
      </c>
      <c r="R3628" s="1" t="s">
        <v>43</v>
      </c>
      <c r="S3628" s="1" t="s">
        <v>7706</v>
      </c>
      <c r="T3628" s="1" t="s">
        <v>7707</v>
      </c>
      <c r="U3628" s="2" t="s">
        <v>2523</v>
      </c>
      <c r="V3628" s="2" t="s">
        <v>47</v>
      </c>
      <c r="W3628" s="2" t="s">
        <v>104</v>
      </c>
      <c r="X3628" s="2">
        <v>11.48</v>
      </c>
    </row>
    <row r="3629" spans="1:24" x14ac:dyDescent="0.3">
      <c r="A3629">
        <v>21478</v>
      </c>
      <c r="B3629" t="s">
        <v>8798</v>
      </c>
      <c r="C3629" s="3">
        <v>41818</v>
      </c>
      <c r="D3629" t="s">
        <v>25</v>
      </c>
      <c r="E3629">
        <v>18</v>
      </c>
      <c r="F3629" s="3">
        <f ca="1">41825+(RANDBETWEEN(1,10))</f>
        <v>41830</v>
      </c>
      <c r="G3629" t="s">
        <v>76</v>
      </c>
      <c r="H3629" t="s">
        <v>77</v>
      </c>
      <c r="I3629" t="s">
        <v>28</v>
      </c>
      <c r="J3629">
        <v>12913.11</v>
      </c>
      <c r="K3629">
        <v>0.06</v>
      </c>
      <c r="L3629">
        <v>0.59</v>
      </c>
      <c r="M3629">
        <v>224.7</v>
      </c>
      <c r="N3629">
        <v>742.01400000000001</v>
      </c>
      <c r="O3629" s="1" t="s">
        <v>40</v>
      </c>
      <c r="P3629" s="1" t="s">
        <v>4254</v>
      </c>
      <c r="Q3629" s="1" t="s">
        <v>4255</v>
      </c>
      <c r="R3629" s="1" t="s">
        <v>220</v>
      </c>
      <c r="S3629" s="1" t="s">
        <v>4256</v>
      </c>
      <c r="T3629" s="1" t="s">
        <v>4257</v>
      </c>
      <c r="U3629" s="2" t="s">
        <v>2488</v>
      </c>
      <c r="V3629" s="2" t="s">
        <v>83</v>
      </c>
      <c r="W3629" s="2" t="s">
        <v>84</v>
      </c>
      <c r="X3629" s="2">
        <v>758.1</v>
      </c>
    </row>
    <row r="3630" spans="1:24" x14ac:dyDescent="0.3">
      <c r="A3630">
        <v>21479</v>
      </c>
      <c r="B3630" t="s">
        <v>8798</v>
      </c>
      <c r="C3630" s="3">
        <v>41818</v>
      </c>
      <c r="D3630" t="s">
        <v>25</v>
      </c>
      <c r="E3630">
        <v>10</v>
      </c>
      <c r="F3630" s="3">
        <f ca="1">41823+(RANDBETWEEN(1,10))</f>
        <v>41829</v>
      </c>
      <c r="G3630" t="s">
        <v>26</v>
      </c>
      <c r="H3630" t="s">
        <v>63</v>
      </c>
      <c r="I3630" t="s">
        <v>28</v>
      </c>
      <c r="J3630">
        <v>5059.88</v>
      </c>
      <c r="K3630">
        <v>0</v>
      </c>
      <c r="L3630">
        <v>0.56999999999999995</v>
      </c>
      <c r="M3630">
        <v>85.715000000000003</v>
      </c>
      <c r="N3630">
        <v>3165.1619999999998</v>
      </c>
      <c r="O3630" s="1" t="s">
        <v>40</v>
      </c>
      <c r="P3630" s="1" t="s">
        <v>4254</v>
      </c>
      <c r="Q3630" s="1" t="s">
        <v>4255</v>
      </c>
      <c r="R3630" s="1" t="s">
        <v>220</v>
      </c>
      <c r="S3630" s="1" t="s">
        <v>4256</v>
      </c>
      <c r="T3630" s="1" t="s">
        <v>4257</v>
      </c>
      <c r="U3630" s="2" t="s">
        <v>4440</v>
      </c>
      <c r="V3630" s="2" t="s">
        <v>83</v>
      </c>
      <c r="W3630" s="2" t="s">
        <v>84</v>
      </c>
      <c r="X3630" s="2">
        <v>492.83499999999998</v>
      </c>
    </row>
    <row r="3631" spans="1:24" x14ac:dyDescent="0.3">
      <c r="A3631">
        <v>21480</v>
      </c>
      <c r="B3631" t="s">
        <v>8799</v>
      </c>
      <c r="C3631" s="3">
        <v>41687</v>
      </c>
      <c r="D3631" t="s">
        <v>62</v>
      </c>
      <c r="E3631">
        <v>4</v>
      </c>
      <c r="F3631" s="3">
        <f ca="1">41689+(RANDBETWEEN(1,10))</f>
        <v>41691</v>
      </c>
      <c r="G3631" t="s">
        <v>76</v>
      </c>
      <c r="H3631" t="s">
        <v>258</v>
      </c>
      <c r="I3631" t="s">
        <v>97</v>
      </c>
      <c r="J3631">
        <v>1508.885</v>
      </c>
      <c r="K3631">
        <v>0</v>
      </c>
      <c r="L3631">
        <v>0.6</v>
      </c>
      <c r="M3631">
        <v>196.77</v>
      </c>
      <c r="N3631">
        <v>-1118.3784499999999</v>
      </c>
      <c r="O3631" s="1" t="s">
        <v>40</v>
      </c>
      <c r="P3631" s="1" t="s">
        <v>6223</v>
      </c>
      <c r="Q3631" s="1" t="s">
        <v>6224</v>
      </c>
      <c r="R3631" s="1" t="s">
        <v>43</v>
      </c>
      <c r="S3631" s="1" t="s">
        <v>6225</v>
      </c>
      <c r="T3631" s="1" t="s">
        <v>6226</v>
      </c>
      <c r="U3631" s="2" t="s">
        <v>1151</v>
      </c>
      <c r="V3631" s="2" t="s">
        <v>83</v>
      </c>
      <c r="W3631" s="2" t="s">
        <v>298</v>
      </c>
      <c r="X3631" s="2">
        <v>353.43</v>
      </c>
    </row>
    <row r="3632" spans="1:24" x14ac:dyDescent="0.3">
      <c r="A3632">
        <v>21481</v>
      </c>
      <c r="B3632" t="s">
        <v>8799</v>
      </c>
      <c r="C3632" s="3">
        <v>41687</v>
      </c>
      <c r="D3632" t="s">
        <v>62</v>
      </c>
      <c r="E3632">
        <v>2</v>
      </c>
      <c r="F3632" s="3">
        <f ca="1">41688+(RANDBETWEEN(1,10))</f>
        <v>41698</v>
      </c>
      <c r="G3632" t="s">
        <v>26</v>
      </c>
      <c r="H3632" t="s">
        <v>27</v>
      </c>
      <c r="I3632" t="s">
        <v>97</v>
      </c>
      <c r="J3632">
        <v>112.245</v>
      </c>
      <c r="K3632">
        <v>0.06</v>
      </c>
      <c r="L3632">
        <v>0.48</v>
      </c>
      <c r="M3632">
        <v>200.9</v>
      </c>
      <c r="N3632">
        <v>-278.22199999999998</v>
      </c>
      <c r="O3632" s="1" t="s">
        <v>40</v>
      </c>
      <c r="P3632" s="1" t="s">
        <v>6223</v>
      </c>
      <c r="Q3632" s="1" t="s">
        <v>6224</v>
      </c>
      <c r="R3632" s="1" t="s">
        <v>43</v>
      </c>
      <c r="S3632" s="1" t="s">
        <v>6225</v>
      </c>
      <c r="T3632" s="1" t="s">
        <v>6226</v>
      </c>
      <c r="U3632" s="2" t="s">
        <v>1025</v>
      </c>
      <c r="V3632" s="2" t="s">
        <v>83</v>
      </c>
      <c r="W3632" s="2" t="s">
        <v>178</v>
      </c>
      <c r="X3632" s="2">
        <v>51.03</v>
      </c>
    </row>
    <row r="3633" spans="1:24" x14ac:dyDescent="0.3">
      <c r="A3633">
        <v>21482</v>
      </c>
      <c r="B3633" t="s">
        <v>8800</v>
      </c>
      <c r="C3633" s="3">
        <v>41958</v>
      </c>
      <c r="D3633" t="s">
        <v>39</v>
      </c>
      <c r="E3633">
        <v>3</v>
      </c>
      <c r="F3633" s="3">
        <f ca="1">41959+(RANDBETWEEN(1,10))</f>
        <v>41968</v>
      </c>
      <c r="G3633" t="s">
        <v>26</v>
      </c>
      <c r="H3633" t="s">
        <v>27</v>
      </c>
      <c r="I3633" t="s">
        <v>97</v>
      </c>
      <c r="J3633">
        <v>66.185000000000002</v>
      </c>
      <c r="K3633">
        <v>0</v>
      </c>
      <c r="L3633">
        <v>0.37</v>
      </c>
      <c r="M3633">
        <v>24.535</v>
      </c>
      <c r="N3633">
        <v>26.557272000000001</v>
      </c>
      <c r="O3633" s="1" t="s">
        <v>29</v>
      </c>
      <c r="P3633" s="1" t="s">
        <v>8801</v>
      </c>
      <c r="Q3633" s="1" t="s">
        <v>8802</v>
      </c>
      <c r="R3633" s="1" t="s">
        <v>675</v>
      </c>
      <c r="S3633" s="1" t="s">
        <v>8803</v>
      </c>
      <c r="T3633" s="1" t="s">
        <v>8804</v>
      </c>
      <c r="U3633" s="2" t="s">
        <v>2043</v>
      </c>
      <c r="V3633" s="2" t="s">
        <v>47</v>
      </c>
      <c r="W3633" s="2" t="s">
        <v>111</v>
      </c>
      <c r="X3633" s="2">
        <v>13.615</v>
      </c>
    </row>
    <row r="3634" spans="1:24" x14ac:dyDescent="0.3">
      <c r="A3634">
        <v>21483</v>
      </c>
      <c r="B3634" t="s">
        <v>8800</v>
      </c>
      <c r="C3634" s="3">
        <v>41958</v>
      </c>
      <c r="D3634" t="s">
        <v>39</v>
      </c>
      <c r="E3634">
        <v>6</v>
      </c>
      <c r="F3634" s="3">
        <f ca="1">41959+(RANDBETWEEN(1,10))</f>
        <v>41962</v>
      </c>
      <c r="G3634" t="s">
        <v>26</v>
      </c>
      <c r="H3634" t="s">
        <v>63</v>
      </c>
      <c r="I3634" t="s">
        <v>97</v>
      </c>
      <c r="J3634">
        <v>2057.09</v>
      </c>
      <c r="K3634">
        <v>0.01</v>
      </c>
      <c r="L3634">
        <v>0.59</v>
      </c>
      <c r="M3634">
        <v>72.765000000000001</v>
      </c>
      <c r="N3634">
        <v>1419.3921</v>
      </c>
      <c r="O3634" s="1" t="s">
        <v>29</v>
      </c>
      <c r="P3634" s="1" t="s">
        <v>8801</v>
      </c>
      <c r="Q3634" s="1" t="s">
        <v>8802</v>
      </c>
      <c r="R3634" s="1" t="s">
        <v>675</v>
      </c>
      <c r="S3634" s="1" t="s">
        <v>8803</v>
      </c>
      <c r="T3634" s="1" t="s">
        <v>8804</v>
      </c>
      <c r="U3634" s="2" t="s">
        <v>8805</v>
      </c>
      <c r="V3634" s="2" t="s">
        <v>83</v>
      </c>
      <c r="W3634" s="2" t="s">
        <v>178</v>
      </c>
      <c r="X3634" s="2">
        <v>310.94</v>
      </c>
    </row>
    <row r="3635" spans="1:24" x14ac:dyDescent="0.3">
      <c r="A3635">
        <v>21484</v>
      </c>
      <c r="B3635" t="s">
        <v>8800</v>
      </c>
      <c r="C3635" s="3">
        <v>41958</v>
      </c>
      <c r="D3635" t="s">
        <v>39</v>
      </c>
      <c r="E3635">
        <v>9</v>
      </c>
      <c r="F3635" s="3">
        <f ca="1">41959+(RANDBETWEEN(1,10))</f>
        <v>41963</v>
      </c>
      <c r="G3635" t="s">
        <v>26</v>
      </c>
      <c r="H3635" t="s">
        <v>27</v>
      </c>
      <c r="I3635" t="s">
        <v>97</v>
      </c>
      <c r="J3635">
        <v>3226.125</v>
      </c>
      <c r="K3635">
        <v>0.02</v>
      </c>
      <c r="L3635">
        <v>0.56999999999999995</v>
      </c>
      <c r="M3635">
        <v>20.965</v>
      </c>
      <c r="N3635">
        <v>171.65517600000001</v>
      </c>
      <c r="O3635" s="1" t="s">
        <v>29</v>
      </c>
      <c r="P3635" s="1" t="s">
        <v>8801</v>
      </c>
      <c r="Q3635" s="1" t="s">
        <v>8802</v>
      </c>
      <c r="R3635" s="1" t="s">
        <v>675</v>
      </c>
      <c r="S3635" s="1" t="s">
        <v>8803</v>
      </c>
      <c r="T3635" s="1" t="s">
        <v>8804</v>
      </c>
      <c r="U3635" s="2">
        <v>2160</v>
      </c>
      <c r="V3635" s="2" t="s">
        <v>36</v>
      </c>
      <c r="W3635" s="2" t="s">
        <v>37</v>
      </c>
      <c r="X3635" s="2">
        <v>405.96499999999997</v>
      </c>
    </row>
    <row r="3636" spans="1:24" x14ac:dyDescent="0.3">
      <c r="A3636">
        <v>21485</v>
      </c>
      <c r="B3636" t="s">
        <v>8806</v>
      </c>
      <c r="C3636" s="3">
        <v>40566</v>
      </c>
      <c r="D3636" t="s">
        <v>148</v>
      </c>
      <c r="E3636">
        <v>5</v>
      </c>
      <c r="F3636" s="3">
        <f ca="1">40568+(RANDBETWEEN(1,10))</f>
        <v>40574</v>
      </c>
      <c r="G3636" t="s">
        <v>26</v>
      </c>
      <c r="H3636" t="s">
        <v>27</v>
      </c>
      <c r="I3636" t="s">
        <v>86</v>
      </c>
      <c r="J3636">
        <v>1344.77</v>
      </c>
      <c r="K3636">
        <v>0.01</v>
      </c>
      <c r="L3636">
        <v>0.67</v>
      </c>
      <c r="M3636">
        <v>42.49</v>
      </c>
      <c r="N3636">
        <v>-101.7296</v>
      </c>
      <c r="O3636" s="1" t="s">
        <v>40</v>
      </c>
      <c r="P3636" s="1" t="s">
        <v>8807</v>
      </c>
      <c r="Q3636" s="1" t="s">
        <v>8808</v>
      </c>
      <c r="R3636" s="1" t="s">
        <v>220</v>
      </c>
      <c r="S3636" s="1" t="s">
        <v>8809</v>
      </c>
      <c r="T3636" s="1" t="s">
        <v>8810</v>
      </c>
      <c r="U3636" s="2" t="s">
        <v>1651</v>
      </c>
      <c r="V3636" s="2" t="s">
        <v>36</v>
      </c>
      <c r="W3636" s="2" t="s">
        <v>60</v>
      </c>
      <c r="X3636" s="2">
        <v>258.93</v>
      </c>
    </row>
    <row r="3637" spans="1:24" x14ac:dyDescent="0.3">
      <c r="A3637">
        <v>21486</v>
      </c>
      <c r="B3637" t="s">
        <v>8811</v>
      </c>
      <c r="C3637" s="3">
        <v>41421</v>
      </c>
      <c r="D3637" t="s">
        <v>50</v>
      </c>
      <c r="E3637">
        <v>8</v>
      </c>
      <c r="F3637" s="3">
        <f ca="1">41423+(RANDBETWEEN(1,10))</f>
        <v>41425</v>
      </c>
      <c r="G3637" t="s">
        <v>26</v>
      </c>
      <c r="H3637" t="s">
        <v>27</v>
      </c>
      <c r="I3637" t="s">
        <v>97</v>
      </c>
      <c r="J3637">
        <v>295.995</v>
      </c>
      <c r="K3637">
        <v>0</v>
      </c>
      <c r="L3637">
        <v>0.6</v>
      </c>
      <c r="M3637">
        <v>33.075000000000003</v>
      </c>
      <c r="N3637">
        <v>-397.32</v>
      </c>
      <c r="O3637" s="1" t="s">
        <v>53</v>
      </c>
      <c r="P3637" s="1" t="s">
        <v>4357</v>
      </c>
      <c r="Q3637" s="1" t="s">
        <v>4358</v>
      </c>
      <c r="R3637" s="1" t="s">
        <v>440</v>
      </c>
      <c r="S3637" s="1" t="s">
        <v>3710</v>
      </c>
      <c r="T3637" s="1" t="s">
        <v>3711</v>
      </c>
      <c r="U3637" s="2" t="s">
        <v>483</v>
      </c>
      <c r="V3637" s="2" t="s">
        <v>47</v>
      </c>
      <c r="W3637" s="2" t="s">
        <v>119</v>
      </c>
      <c r="X3637" s="2">
        <v>33.984999999999999</v>
      </c>
    </row>
    <row r="3638" spans="1:24" x14ac:dyDescent="0.3">
      <c r="A3638">
        <v>21487</v>
      </c>
      <c r="B3638" t="s">
        <v>8812</v>
      </c>
      <c r="C3638" s="3">
        <v>41158</v>
      </c>
      <c r="D3638" t="s">
        <v>50</v>
      </c>
      <c r="E3638">
        <v>9</v>
      </c>
      <c r="F3638" s="3">
        <f ca="1">41160+(RANDBETWEEN(1,10))</f>
        <v>41165</v>
      </c>
      <c r="G3638" t="s">
        <v>26</v>
      </c>
      <c r="H3638" t="s">
        <v>27</v>
      </c>
      <c r="I3638" t="s">
        <v>86</v>
      </c>
      <c r="J3638">
        <v>176.435</v>
      </c>
      <c r="K3638">
        <v>0.05</v>
      </c>
      <c r="L3638">
        <v>0.36</v>
      </c>
      <c r="M3638">
        <v>20.09</v>
      </c>
      <c r="N3638">
        <v>-202.98075</v>
      </c>
      <c r="O3638" s="1" t="s">
        <v>225</v>
      </c>
      <c r="P3638" s="1" t="s">
        <v>6705</v>
      </c>
      <c r="Q3638" s="1" t="s">
        <v>6706</v>
      </c>
      <c r="R3638" s="1" t="s">
        <v>228</v>
      </c>
      <c r="S3638" s="1" t="s">
        <v>6707</v>
      </c>
      <c r="T3638" s="1" t="s">
        <v>6708</v>
      </c>
      <c r="U3638" s="2" t="s">
        <v>1239</v>
      </c>
      <c r="V3638" s="2" t="s">
        <v>47</v>
      </c>
      <c r="W3638" s="2" t="s">
        <v>111</v>
      </c>
      <c r="X3638" s="2">
        <v>18.13</v>
      </c>
    </row>
    <row r="3639" spans="1:24" x14ac:dyDescent="0.3">
      <c r="A3639">
        <v>21488</v>
      </c>
      <c r="B3639" t="s">
        <v>8813</v>
      </c>
      <c r="C3639" s="3">
        <v>41106</v>
      </c>
      <c r="D3639" t="s">
        <v>50</v>
      </c>
      <c r="E3639">
        <v>14</v>
      </c>
      <c r="F3639" s="3">
        <f ca="1">41108+(RANDBETWEEN(1,10))</f>
        <v>41114</v>
      </c>
      <c r="G3639" t="s">
        <v>76</v>
      </c>
      <c r="H3639" t="s">
        <v>258</v>
      </c>
      <c r="I3639" t="s">
        <v>86</v>
      </c>
      <c r="J3639">
        <v>5668.5649999999996</v>
      </c>
      <c r="K3639">
        <v>0.08</v>
      </c>
      <c r="L3639">
        <v>0.63</v>
      </c>
      <c r="M3639">
        <v>181.79</v>
      </c>
      <c r="N3639">
        <v>-2865.681</v>
      </c>
      <c r="O3639" s="1" t="s">
        <v>87</v>
      </c>
      <c r="P3639" s="1" t="s">
        <v>8814</v>
      </c>
      <c r="Q3639" s="1" t="s">
        <v>8815</v>
      </c>
      <c r="R3639" s="1" t="s">
        <v>90</v>
      </c>
      <c r="S3639" s="1" t="s">
        <v>5875</v>
      </c>
      <c r="T3639" s="1" t="s">
        <v>5876</v>
      </c>
      <c r="U3639" s="2" t="s">
        <v>360</v>
      </c>
      <c r="V3639" s="2" t="s">
        <v>83</v>
      </c>
      <c r="W3639" s="2" t="s">
        <v>263</v>
      </c>
      <c r="X3639" s="2">
        <v>435.71499999999997</v>
      </c>
    </row>
    <row r="3640" spans="1:24" x14ac:dyDescent="0.3">
      <c r="A3640">
        <v>21489</v>
      </c>
      <c r="B3640" t="s">
        <v>8816</v>
      </c>
      <c r="C3640" s="3">
        <v>41717</v>
      </c>
      <c r="D3640" t="s">
        <v>39</v>
      </c>
      <c r="E3640">
        <v>12</v>
      </c>
      <c r="F3640" s="3">
        <f ca="1">41718+(RANDBETWEEN(1,10))</f>
        <v>41722</v>
      </c>
      <c r="G3640" t="s">
        <v>26</v>
      </c>
      <c r="H3640" t="s">
        <v>27</v>
      </c>
      <c r="I3640" t="s">
        <v>52</v>
      </c>
      <c r="J3640">
        <v>159.98500000000001</v>
      </c>
      <c r="K3640">
        <v>0.04</v>
      </c>
      <c r="L3640">
        <v>0.39</v>
      </c>
      <c r="M3640">
        <v>8.75</v>
      </c>
      <c r="N3640">
        <v>-434.63</v>
      </c>
      <c r="O3640" s="1" t="s">
        <v>225</v>
      </c>
      <c r="P3640" s="1" t="s">
        <v>7392</v>
      </c>
      <c r="Q3640" s="1" t="s">
        <v>7393</v>
      </c>
      <c r="R3640" s="1" t="s">
        <v>228</v>
      </c>
      <c r="S3640" s="1" t="s">
        <v>7394</v>
      </c>
      <c r="T3640" s="1" t="s">
        <v>7395</v>
      </c>
      <c r="U3640" s="2" t="s">
        <v>7012</v>
      </c>
      <c r="V3640" s="2" t="s">
        <v>47</v>
      </c>
      <c r="W3640" s="2" t="s">
        <v>48</v>
      </c>
      <c r="X3640" s="2">
        <v>12.914999999999999</v>
      </c>
    </row>
    <row r="3641" spans="1:24" x14ac:dyDescent="0.3">
      <c r="A3641">
        <v>21490</v>
      </c>
      <c r="B3641" t="s">
        <v>8817</v>
      </c>
      <c r="C3641" s="3">
        <v>40704</v>
      </c>
      <c r="D3641" t="s">
        <v>50</v>
      </c>
      <c r="E3641">
        <v>5</v>
      </c>
      <c r="F3641" s="3">
        <f ca="1">40705+(RANDBETWEEN(1,10))</f>
        <v>40706</v>
      </c>
      <c r="G3641" t="s">
        <v>26</v>
      </c>
      <c r="H3641" t="s">
        <v>27</v>
      </c>
      <c r="I3641" t="s">
        <v>52</v>
      </c>
      <c r="J3641">
        <v>165.9</v>
      </c>
      <c r="K3641">
        <v>0.05</v>
      </c>
      <c r="L3641">
        <v>0.36</v>
      </c>
      <c r="M3641">
        <v>19.600000000000001</v>
      </c>
      <c r="N3641">
        <v>-25.695599999999999</v>
      </c>
      <c r="O3641" s="1" t="s">
        <v>225</v>
      </c>
      <c r="P3641" s="1" t="s">
        <v>8818</v>
      </c>
      <c r="Q3641" s="1" t="s">
        <v>8819</v>
      </c>
      <c r="R3641" s="1" t="s">
        <v>228</v>
      </c>
      <c r="S3641" s="1" t="s">
        <v>472</v>
      </c>
      <c r="T3641" s="1" t="s">
        <v>473</v>
      </c>
      <c r="U3641" s="2" t="s">
        <v>3792</v>
      </c>
      <c r="V3641" s="2" t="s">
        <v>47</v>
      </c>
      <c r="W3641" s="2" t="s">
        <v>111</v>
      </c>
      <c r="X3641" s="2">
        <v>30.975000000000001</v>
      </c>
    </row>
    <row r="3642" spans="1:24" x14ac:dyDescent="0.3">
      <c r="A3642">
        <v>21491</v>
      </c>
      <c r="B3642" t="s">
        <v>8820</v>
      </c>
      <c r="C3642" s="3">
        <v>40657</v>
      </c>
      <c r="D3642" t="s">
        <v>25</v>
      </c>
      <c r="E3642">
        <v>10</v>
      </c>
      <c r="F3642" s="3">
        <f ca="1">40659+(RANDBETWEEN(1,10))</f>
        <v>40668</v>
      </c>
      <c r="G3642" t="s">
        <v>26</v>
      </c>
      <c r="H3642" t="s">
        <v>51</v>
      </c>
      <c r="I3642" t="s">
        <v>86</v>
      </c>
      <c r="J3642">
        <v>1286.32</v>
      </c>
      <c r="K3642">
        <v>0.03</v>
      </c>
      <c r="L3642">
        <v>0.43</v>
      </c>
      <c r="M3642">
        <v>6.9649999999999999</v>
      </c>
      <c r="N3642">
        <v>6693.4769999999999</v>
      </c>
      <c r="O3642" s="1" t="s">
        <v>53</v>
      </c>
      <c r="P3642" s="1" t="s">
        <v>1119</v>
      </c>
      <c r="Q3642" s="1" t="s">
        <v>1120</v>
      </c>
      <c r="R3642" s="1" t="s">
        <v>440</v>
      </c>
      <c r="S3642" s="1" t="s">
        <v>1121</v>
      </c>
      <c r="T3642" s="1" t="s">
        <v>1122</v>
      </c>
      <c r="U3642" s="2" t="s">
        <v>2995</v>
      </c>
      <c r="V3642" s="2" t="s">
        <v>36</v>
      </c>
      <c r="W3642" s="2" t="s">
        <v>60</v>
      </c>
      <c r="X3642" s="2">
        <v>123.935</v>
      </c>
    </row>
    <row r="3643" spans="1:24" x14ac:dyDescent="0.3">
      <c r="A3643">
        <v>21492</v>
      </c>
      <c r="B3643" t="s">
        <v>8820</v>
      </c>
      <c r="C3643" s="3">
        <v>40657</v>
      </c>
      <c r="D3643" t="s">
        <v>25</v>
      </c>
      <c r="E3643">
        <v>11</v>
      </c>
      <c r="F3643" s="3">
        <f ca="1">40666+(RANDBETWEEN(1,10))</f>
        <v>40676</v>
      </c>
      <c r="G3643" t="s">
        <v>26</v>
      </c>
      <c r="H3643" t="s">
        <v>27</v>
      </c>
      <c r="I3643" t="s">
        <v>86</v>
      </c>
      <c r="J3643">
        <v>5517.2250000000004</v>
      </c>
      <c r="K3643">
        <v>0</v>
      </c>
      <c r="L3643">
        <v>0.56000000000000005</v>
      </c>
      <c r="M3643">
        <v>69.965000000000003</v>
      </c>
      <c r="N3643">
        <v>-2587.6410000000001</v>
      </c>
      <c r="O3643" s="1" t="s">
        <v>53</v>
      </c>
      <c r="P3643" s="1" t="s">
        <v>1119</v>
      </c>
      <c r="Q3643" s="1" t="s">
        <v>1120</v>
      </c>
      <c r="R3643" s="1" t="s">
        <v>440</v>
      </c>
      <c r="S3643" s="1" t="s">
        <v>1121</v>
      </c>
      <c r="T3643" s="1" t="s">
        <v>1122</v>
      </c>
      <c r="U3643" s="2" t="s">
        <v>3048</v>
      </c>
      <c r="V3643" s="2" t="s">
        <v>47</v>
      </c>
      <c r="W3643" s="2" t="s">
        <v>119</v>
      </c>
      <c r="X3643" s="2">
        <v>500.01</v>
      </c>
    </row>
    <row r="3644" spans="1:24" x14ac:dyDescent="0.3">
      <c r="A3644">
        <v>21493</v>
      </c>
      <c r="B3644" t="s">
        <v>8821</v>
      </c>
      <c r="C3644" s="3">
        <v>41356</v>
      </c>
      <c r="D3644" t="s">
        <v>148</v>
      </c>
      <c r="E3644">
        <v>2</v>
      </c>
      <c r="F3644" s="3">
        <f ca="1">41357+(RANDBETWEEN(1,10))</f>
        <v>41359</v>
      </c>
      <c r="G3644" t="s">
        <v>26</v>
      </c>
      <c r="H3644" t="s">
        <v>51</v>
      </c>
      <c r="I3644" t="s">
        <v>28</v>
      </c>
      <c r="J3644">
        <v>167.755</v>
      </c>
      <c r="K3644">
        <v>0.04</v>
      </c>
      <c r="L3644">
        <v>0.44</v>
      </c>
      <c r="M3644">
        <v>31.465</v>
      </c>
      <c r="N3644">
        <v>115.75095</v>
      </c>
      <c r="O3644" s="1" t="s">
        <v>40</v>
      </c>
      <c r="P3644" s="1" t="s">
        <v>1478</v>
      </c>
      <c r="Q3644" s="1" t="s">
        <v>1479</v>
      </c>
      <c r="R3644" s="1" t="s">
        <v>43</v>
      </c>
      <c r="S3644" s="1" t="s">
        <v>783</v>
      </c>
      <c r="T3644" s="1" t="s">
        <v>784</v>
      </c>
      <c r="U3644" s="2" t="s">
        <v>2721</v>
      </c>
      <c r="V3644" s="2" t="s">
        <v>83</v>
      </c>
      <c r="W3644" s="2" t="s">
        <v>178</v>
      </c>
      <c r="X3644" s="2">
        <v>79.52</v>
      </c>
    </row>
    <row r="3645" spans="1:24" x14ac:dyDescent="0.3">
      <c r="A3645">
        <v>21494</v>
      </c>
      <c r="B3645" t="s">
        <v>8822</v>
      </c>
      <c r="C3645" s="3">
        <v>41506</v>
      </c>
      <c r="D3645" t="s">
        <v>50</v>
      </c>
      <c r="E3645">
        <v>18</v>
      </c>
      <c r="F3645" s="3">
        <f ca="1">41508+(RANDBETWEEN(1,10))</f>
        <v>41517</v>
      </c>
      <c r="G3645" t="s">
        <v>26</v>
      </c>
      <c r="H3645" t="s">
        <v>96</v>
      </c>
      <c r="I3645" t="s">
        <v>97</v>
      </c>
      <c r="J3645">
        <v>430.78</v>
      </c>
      <c r="K3645">
        <v>0.08</v>
      </c>
      <c r="L3645">
        <v>0.47</v>
      </c>
      <c r="M3645">
        <v>8.2249999999999996</v>
      </c>
      <c r="N3645">
        <v>148.9768</v>
      </c>
      <c r="O3645" s="1" t="s">
        <v>64</v>
      </c>
      <c r="P3645" s="1" t="s">
        <v>6432</v>
      </c>
      <c r="Q3645" s="1" t="s">
        <v>6433</v>
      </c>
      <c r="R3645" s="1" t="s">
        <v>67</v>
      </c>
      <c r="S3645" s="1" t="s">
        <v>6434</v>
      </c>
      <c r="T3645" s="1" t="s">
        <v>6435</v>
      </c>
      <c r="U3645" s="2" t="s">
        <v>6690</v>
      </c>
      <c r="V3645" s="2" t="s">
        <v>47</v>
      </c>
      <c r="W3645" s="2" t="s">
        <v>104</v>
      </c>
      <c r="X3645" s="2">
        <v>24.78</v>
      </c>
    </row>
    <row r="3646" spans="1:24" x14ac:dyDescent="0.3">
      <c r="A3646">
        <v>21495</v>
      </c>
      <c r="B3646" t="s">
        <v>8823</v>
      </c>
      <c r="C3646" s="3">
        <v>41055</v>
      </c>
      <c r="D3646" t="s">
        <v>39</v>
      </c>
      <c r="E3646">
        <v>16</v>
      </c>
      <c r="F3646" s="3">
        <f ca="1">41057+(RANDBETWEEN(1,10))</f>
        <v>41060</v>
      </c>
      <c r="G3646" t="s">
        <v>26</v>
      </c>
      <c r="H3646" t="s">
        <v>96</v>
      </c>
      <c r="I3646" t="s">
        <v>52</v>
      </c>
      <c r="J3646">
        <v>292.45999999999998</v>
      </c>
      <c r="K3646">
        <v>0.03</v>
      </c>
      <c r="L3646">
        <v>0.36</v>
      </c>
      <c r="M3646">
        <v>7.14</v>
      </c>
      <c r="N3646">
        <v>-150.52799999999999</v>
      </c>
      <c r="O3646" s="1" t="s">
        <v>53</v>
      </c>
      <c r="P3646" s="1" t="s">
        <v>7874</v>
      </c>
      <c r="Q3646" s="1" t="s">
        <v>7875</v>
      </c>
      <c r="R3646" s="1" t="s">
        <v>440</v>
      </c>
      <c r="S3646" s="1" t="s">
        <v>7876</v>
      </c>
      <c r="T3646" s="1" t="s">
        <v>7877</v>
      </c>
      <c r="U3646" s="2" t="s">
        <v>204</v>
      </c>
      <c r="V3646" s="2" t="s">
        <v>47</v>
      </c>
      <c r="W3646" s="2" t="s">
        <v>74</v>
      </c>
      <c r="X3646" s="2">
        <v>18.13</v>
      </c>
    </row>
    <row r="3647" spans="1:24" x14ac:dyDescent="0.3">
      <c r="A3647">
        <v>21496</v>
      </c>
      <c r="B3647" t="s">
        <v>8824</v>
      </c>
      <c r="C3647" s="3">
        <v>41201</v>
      </c>
      <c r="D3647" t="s">
        <v>25</v>
      </c>
      <c r="E3647">
        <v>15</v>
      </c>
      <c r="F3647" s="3">
        <f ca="1">41208+(RANDBETWEEN(1,10))</f>
        <v>41210</v>
      </c>
      <c r="G3647" t="s">
        <v>26</v>
      </c>
      <c r="H3647" t="s">
        <v>27</v>
      </c>
      <c r="I3647" t="s">
        <v>28</v>
      </c>
      <c r="J3647">
        <v>2619.4</v>
      </c>
      <c r="K3647">
        <v>0.05</v>
      </c>
      <c r="L3647">
        <v>0.38</v>
      </c>
      <c r="M3647">
        <v>20.335000000000001</v>
      </c>
      <c r="N3647">
        <v>1807.386</v>
      </c>
      <c r="O3647" s="1" t="s">
        <v>87</v>
      </c>
      <c r="P3647" s="1" t="s">
        <v>2198</v>
      </c>
      <c r="Q3647" s="1" t="s">
        <v>2199</v>
      </c>
      <c r="R3647" s="1" t="s">
        <v>398</v>
      </c>
      <c r="S3647" s="1" t="s">
        <v>2200</v>
      </c>
      <c r="T3647" s="1" t="s">
        <v>2201</v>
      </c>
      <c r="U3647" s="2" t="s">
        <v>1912</v>
      </c>
      <c r="V3647" s="2" t="s">
        <v>47</v>
      </c>
      <c r="W3647" s="2" t="s">
        <v>74</v>
      </c>
      <c r="X3647" s="2">
        <v>171.185</v>
      </c>
    </row>
    <row r="3648" spans="1:24" x14ac:dyDescent="0.3">
      <c r="A3648">
        <v>21497</v>
      </c>
      <c r="B3648" t="s">
        <v>8825</v>
      </c>
      <c r="C3648" s="3">
        <v>41585</v>
      </c>
      <c r="D3648" t="s">
        <v>25</v>
      </c>
      <c r="E3648">
        <v>8</v>
      </c>
      <c r="F3648" s="3">
        <f ca="1">41589+(RANDBETWEEN(1,10))</f>
        <v>41598</v>
      </c>
      <c r="G3648" t="s">
        <v>26</v>
      </c>
      <c r="H3648" t="s">
        <v>27</v>
      </c>
      <c r="I3648" t="s">
        <v>97</v>
      </c>
      <c r="J3648">
        <v>465.53500000000003</v>
      </c>
      <c r="K3648">
        <v>0.05</v>
      </c>
      <c r="L3648">
        <v>0.36</v>
      </c>
      <c r="M3648">
        <v>17.78</v>
      </c>
      <c r="N3648">
        <v>-2367.288</v>
      </c>
      <c r="O3648" s="1" t="s">
        <v>29</v>
      </c>
      <c r="P3648" s="1" t="s">
        <v>6039</v>
      </c>
      <c r="Q3648" s="1" t="s">
        <v>6040</v>
      </c>
      <c r="R3648" s="1" t="s">
        <v>460</v>
      </c>
      <c r="S3648" s="1" t="s">
        <v>6041</v>
      </c>
      <c r="T3648" s="1" t="s">
        <v>6042</v>
      </c>
      <c r="U3648" s="2" t="s">
        <v>8826</v>
      </c>
      <c r="V3648" s="2" t="s">
        <v>47</v>
      </c>
      <c r="W3648" s="2" t="s">
        <v>111</v>
      </c>
      <c r="X3648" s="2">
        <v>58.59</v>
      </c>
    </row>
    <row r="3649" spans="1:24" x14ac:dyDescent="0.3">
      <c r="A3649">
        <v>21498</v>
      </c>
      <c r="B3649" t="s">
        <v>8827</v>
      </c>
      <c r="C3649" s="3">
        <v>41846</v>
      </c>
      <c r="D3649" t="s">
        <v>25</v>
      </c>
      <c r="E3649">
        <v>11</v>
      </c>
      <c r="F3649" s="3">
        <f ca="1">41848+(RANDBETWEEN(1,10))</f>
        <v>41858</v>
      </c>
      <c r="G3649" t="s">
        <v>76</v>
      </c>
      <c r="H3649" t="s">
        <v>258</v>
      </c>
      <c r="I3649" t="s">
        <v>52</v>
      </c>
      <c r="J3649">
        <v>4110.33</v>
      </c>
      <c r="K3649">
        <v>0.01</v>
      </c>
      <c r="L3649">
        <v>0.78</v>
      </c>
      <c r="M3649">
        <v>200.83</v>
      </c>
      <c r="N3649">
        <v>-3645.9023999999999</v>
      </c>
      <c r="O3649" s="1" t="s">
        <v>87</v>
      </c>
      <c r="P3649" s="1" t="s">
        <v>8828</v>
      </c>
      <c r="Q3649" s="1" t="s">
        <v>8829</v>
      </c>
      <c r="R3649" s="1" t="s">
        <v>398</v>
      </c>
      <c r="S3649" s="1" t="s">
        <v>8830</v>
      </c>
      <c r="T3649" s="1" t="s">
        <v>8831</v>
      </c>
      <c r="U3649" s="2" t="s">
        <v>1795</v>
      </c>
      <c r="V3649" s="2" t="s">
        <v>83</v>
      </c>
      <c r="W3649" s="2" t="s">
        <v>298</v>
      </c>
      <c r="X3649" s="2">
        <v>353.43</v>
      </c>
    </row>
    <row r="3650" spans="1:24" x14ac:dyDescent="0.3">
      <c r="A3650">
        <v>21499</v>
      </c>
      <c r="B3650" t="s">
        <v>8832</v>
      </c>
      <c r="C3650" s="3">
        <v>40750</v>
      </c>
      <c r="D3650" t="s">
        <v>25</v>
      </c>
      <c r="E3650">
        <v>4</v>
      </c>
      <c r="F3650" s="3">
        <f ca="1">40752+(RANDBETWEEN(1,10))</f>
        <v>40762</v>
      </c>
      <c r="G3650" t="s">
        <v>26</v>
      </c>
      <c r="H3650" t="s">
        <v>96</v>
      </c>
      <c r="I3650" t="s">
        <v>52</v>
      </c>
      <c r="J3650">
        <v>142.80000000000001</v>
      </c>
      <c r="K3650">
        <v>0.01</v>
      </c>
      <c r="L3650">
        <v>0.36</v>
      </c>
      <c r="M3650">
        <v>7.9450000000000003</v>
      </c>
      <c r="N3650">
        <v>98.531999999999996</v>
      </c>
      <c r="O3650" s="1" t="s">
        <v>87</v>
      </c>
      <c r="P3650" s="1" t="s">
        <v>8828</v>
      </c>
      <c r="Q3650" s="1" t="s">
        <v>8829</v>
      </c>
      <c r="R3650" s="1" t="s">
        <v>398</v>
      </c>
      <c r="S3650" s="1" t="s">
        <v>8830</v>
      </c>
      <c r="T3650" s="1" t="s">
        <v>8831</v>
      </c>
      <c r="U3650" s="2" t="s">
        <v>4659</v>
      </c>
      <c r="V3650" s="2" t="s">
        <v>47</v>
      </c>
      <c r="W3650" s="2" t="s">
        <v>74</v>
      </c>
      <c r="X3650" s="2">
        <v>35.49</v>
      </c>
    </row>
    <row r="3651" spans="1:24" x14ac:dyDescent="0.3">
      <c r="A3651">
        <v>21500</v>
      </c>
      <c r="B3651" t="s">
        <v>8833</v>
      </c>
      <c r="C3651" s="3">
        <v>41301</v>
      </c>
      <c r="D3651" t="s">
        <v>39</v>
      </c>
      <c r="E3651">
        <v>13</v>
      </c>
      <c r="F3651" s="3">
        <f ca="1">41302+(RANDBETWEEN(1,10))</f>
        <v>41308</v>
      </c>
      <c r="G3651" t="s">
        <v>156</v>
      </c>
      <c r="H3651" t="s">
        <v>27</v>
      </c>
      <c r="I3651" t="s">
        <v>86</v>
      </c>
      <c r="J3651">
        <v>1668.66</v>
      </c>
      <c r="K3651">
        <v>0.01</v>
      </c>
      <c r="L3651">
        <v>0.76</v>
      </c>
      <c r="M3651">
        <v>26.355</v>
      </c>
      <c r="N3651">
        <v>-74.127200000000002</v>
      </c>
      <c r="O3651" s="1" t="s">
        <v>40</v>
      </c>
      <c r="P3651" s="1" t="s">
        <v>8608</v>
      </c>
      <c r="Q3651" s="1" t="s">
        <v>8609</v>
      </c>
      <c r="R3651" s="1" t="s">
        <v>43</v>
      </c>
      <c r="S3651" s="1" t="s">
        <v>8610</v>
      </c>
      <c r="T3651" s="1" t="s">
        <v>8611</v>
      </c>
      <c r="U3651" s="2" t="s">
        <v>5838</v>
      </c>
      <c r="V3651" s="2" t="s">
        <v>36</v>
      </c>
      <c r="W3651" s="2" t="s">
        <v>60</v>
      </c>
      <c r="X3651" s="2">
        <v>122.43</v>
      </c>
    </row>
    <row r="3652" spans="1:24" x14ac:dyDescent="0.3">
      <c r="A3652">
        <v>21501</v>
      </c>
      <c r="B3652" t="s">
        <v>8833</v>
      </c>
      <c r="C3652" s="3">
        <v>41301</v>
      </c>
      <c r="D3652" t="s">
        <v>39</v>
      </c>
      <c r="E3652">
        <v>10</v>
      </c>
      <c r="F3652" s="3">
        <f ca="1">41302+(RANDBETWEEN(1,10))</f>
        <v>41308</v>
      </c>
      <c r="G3652" t="s">
        <v>26</v>
      </c>
      <c r="H3652" t="s">
        <v>96</v>
      </c>
      <c r="I3652" t="s">
        <v>86</v>
      </c>
      <c r="J3652">
        <v>1359.26</v>
      </c>
      <c r="K3652">
        <v>0</v>
      </c>
      <c r="L3652">
        <v>0.38</v>
      </c>
      <c r="M3652">
        <v>17.78</v>
      </c>
      <c r="N3652">
        <v>937.88940000000002</v>
      </c>
      <c r="O3652" s="1" t="s">
        <v>40</v>
      </c>
      <c r="P3652" s="1" t="s">
        <v>8608</v>
      </c>
      <c r="Q3652" s="1" t="s">
        <v>8609</v>
      </c>
      <c r="R3652" s="1" t="s">
        <v>43</v>
      </c>
      <c r="S3652" s="1" t="s">
        <v>8610</v>
      </c>
      <c r="T3652" s="1" t="s">
        <v>8611</v>
      </c>
      <c r="U3652" s="2" t="s">
        <v>2638</v>
      </c>
      <c r="V3652" s="2" t="s">
        <v>47</v>
      </c>
      <c r="W3652" s="2" t="s">
        <v>74</v>
      </c>
      <c r="X3652" s="2">
        <v>132.79</v>
      </c>
    </row>
    <row r="3653" spans="1:24" x14ac:dyDescent="0.3">
      <c r="A3653">
        <v>21502</v>
      </c>
      <c r="B3653" t="s">
        <v>8833</v>
      </c>
      <c r="C3653" s="3">
        <v>41301</v>
      </c>
      <c r="D3653" t="s">
        <v>39</v>
      </c>
      <c r="E3653">
        <v>5</v>
      </c>
      <c r="F3653" s="3">
        <f ca="1">41303+(RANDBETWEEN(1,10))</f>
        <v>41312</v>
      </c>
      <c r="G3653" t="s">
        <v>26</v>
      </c>
      <c r="H3653" t="s">
        <v>27</v>
      </c>
      <c r="I3653" t="s">
        <v>86</v>
      </c>
      <c r="J3653">
        <v>122.29</v>
      </c>
      <c r="K3653">
        <v>0.03</v>
      </c>
      <c r="L3653">
        <v>0.37</v>
      </c>
      <c r="M3653">
        <v>20.545000000000002</v>
      </c>
      <c r="N3653">
        <v>-156.1532</v>
      </c>
      <c r="O3653" s="1" t="s">
        <v>40</v>
      </c>
      <c r="P3653" s="1" t="s">
        <v>8608</v>
      </c>
      <c r="Q3653" s="1" t="s">
        <v>8609</v>
      </c>
      <c r="R3653" s="1" t="s">
        <v>43</v>
      </c>
      <c r="S3653" s="1" t="s">
        <v>8610</v>
      </c>
      <c r="T3653" s="1" t="s">
        <v>8611</v>
      </c>
      <c r="U3653" s="2" t="s">
        <v>8834</v>
      </c>
      <c r="V3653" s="2" t="s">
        <v>47</v>
      </c>
      <c r="W3653" s="2" t="s">
        <v>74</v>
      </c>
      <c r="X3653" s="2">
        <v>22.68</v>
      </c>
    </row>
    <row r="3654" spans="1:24" x14ac:dyDescent="0.3">
      <c r="A3654">
        <v>21503</v>
      </c>
      <c r="B3654" t="s">
        <v>8833</v>
      </c>
      <c r="C3654" s="3">
        <v>41301</v>
      </c>
      <c r="D3654" t="s">
        <v>39</v>
      </c>
      <c r="E3654">
        <v>10</v>
      </c>
      <c r="F3654" s="3">
        <f ca="1">41302+(RANDBETWEEN(1,10))</f>
        <v>41306</v>
      </c>
      <c r="G3654" t="s">
        <v>26</v>
      </c>
      <c r="H3654" t="s">
        <v>27</v>
      </c>
      <c r="I3654" t="s">
        <v>86</v>
      </c>
      <c r="J3654">
        <v>5797.68</v>
      </c>
      <c r="K3654">
        <v>0.04</v>
      </c>
      <c r="L3654">
        <v>0.59</v>
      </c>
      <c r="M3654">
        <v>14.7</v>
      </c>
      <c r="N3654">
        <v>3635.0735399999999</v>
      </c>
      <c r="O3654" s="1" t="s">
        <v>40</v>
      </c>
      <c r="P3654" s="1" t="s">
        <v>8608</v>
      </c>
      <c r="Q3654" s="1" t="s">
        <v>8609</v>
      </c>
      <c r="R3654" s="1" t="s">
        <v>43</v>
      </c>
      <c r="S3654" s="1" t="s">
        <v>8610</v>
      </c>
      <c r="T3654" s="1" t="s">
        <v>8611</v>
      </c>
      <c r="U3654" s="2" t="s">
        <v>2133</v>
      </c>
      <c r="V3654" s="2" t="s">
        <v>36</v>
      </c>
      <c r="W3654" s="2" t="s">
        <v>37</v>
      </c>
      <c r="X3654" s="2">
        <v>703.46500000000003</v>
      </c>
    </row>
    <row r="3655" spans="1:24" x14ac:dyDescent="0.3">
      <c r="A3655">
        <v>21504</v>
      </c>
      <c r="B3655" t="s">
        <v>8835</v>
      </c>
      <c r="C3655" s="3">
        <v>40934</v>
      </c>
      <c r="D3655" t="s">
        <v>25</v>
      </c>
      <c r="E3655">
        <v>2</v>
      </c>
      <c r="F3655" s="3">
        <f ca="1">40941+(RANDBETWEEN(1,10))</f>
        <v>40945</v>
      </c>
      <c r="G3655" t="s">
        <v>76</v>
      </c>
      <c r="H3655" t="s">
        <v>258</v>
      </c>
      <c r="I3655" t="s">
        <v>52</v>
      </c>
      <c r="J3655">
        <v>426.65</v>
      </c>
      <c r="K3655">
        <v>0.04</v>
      </c>
      <c r="L3655">
        <v>0.61</v>
      </c>
      <c r="M3655">
        <v>128.13499999999999</v>
      </c>
      <c r="N3655">
        <v>-90.796999999999997</v>
      </c>
      <c r="O3655" s="1" t="s">
        <v>225</v>
      </c>
      <c r="P3655" s="1" t="s">
        <v>8836</v>
      </c>
      <c r="Q3655" s="1" t="s">
        <v>8837</v>
      </c>
      <c r="R3655" s="1" t="s">
        <v>228</v>
      </c>
      <c r="S3655" s="1" t="s">
        <v>2958</v>
      </c>
      <c r="T3655" s="1" t="s">
        <v>2959</v>
      </c>
      <c r="U3655" s="2" t="s">
        <v>4050</v>
      </c>
      <c r="V3655" s="2" t="s">
        <v>83</v>
      </c>
      <c r="W3655" s="2" t="s">
        <v>298</v>
      </c>
      <c r="X3655" s="2">
        <v>203.49</v>
      </c>
    </row>
    <row r="3656" spans="1:24" x14ac:dyDescent="0.3">
      <c r="A3656">
        <v>21505</v>
      </c>
      <c r="B3656" t="s">
        <v>8838</v>
      </c>
      <c r="C3656" s="3">
        <v>41362</v>
      </c>
      <c r="D3656" t="s">
        <v>25</v>
      </c>
      <c r="E3656">
        <v>2</v>
      </c>
      <c r="F3656" s="3">
        <f ca="1">41367+(RANDBETWEEN(1,10))</f>
        <v>41376</v>
      </c>
      <c r="G3656" t="s">
        <v>156</v>
      </c>
      <c r="H3656" t="s">
        <v>27</v>
      </c>
      <c r="I3656" t="s">
        <v>28</v>
      </c>
      <c r="J3656">
        <v>2949.9050000000002</v>
      </c>
      <c r="K3656">
        <v>7.0000000000000007E-2</v>
      </c>
      <c r="L3656">
        <v>0.35</v>
      </c>
      <c r="M3656">
        <v>69.965000000000003</v>
      </c>
      <c r="N3656">
        <v>2030.52675</v>
      </c>
      <c r="O3656" s="1" t="s">
        <v>53</v>
      </c>
      <c r="P3656" s="1" t="s">
        <v>8633</v>
      </c>
      <c r="Q3656" s="1" t="s">
        <v>8634</v>
      </c>
      <c r="R3656" s="1" t="s">
        <v>100</v>
      </c>
      <c r="S3656" s="1" t="s">
        <v>8635</v>
      </c>
      <c r="T3656" s="1" t="s">
        <v>8636</v>
      </c>
      <c r="U3656" s="2" t="s">
        <v>1352</v>
      </c>
      <c r="V3656" s="2" t="s">
        <v>47</v>
      </c>
      <c r="W3656" s="2" t="s">
        <v>111</v>
      </c>
      <c r="X3656" s="2">
        <v>1473.43</v>
      </c>
    </row>
    <row r="3657" spans="1:24" x14ac:dyDescent="0.3">
      <c r="A3657">
        <v>21506</v>
      </c>
      <c r="B3657" t="s">
        <v>8838</v>
      </c>
      <c r="C3657" s="3">
        <v>41362</v>
      </c>
      <c r="D3657" t="s">
        <v>25</v>
      </c>
      <c r="E3657">
        <v>12</v>
      </c>
      <c r="F3657" s="3">
        <f ca="1">41362+(RANDBETWEEN(1,10))</f>
        <v>41367</v>
      </c>
      <c r="G3657" t="s">
        <v>26</v>
      </c>
      <c r="H3657" t="s">
        <v>27</v>
      </c>
      <c r="I3657" t="s">
        <v>28</v>
      </c>
      <c r="J3657">
        <v>1146.1099999999999</v>
      </c>
      <c r="K3657">
        <v>0.09</v>
      </c>
      <c r="L3657">
        <v>0.42</v>
      </c>
      <c r="M3657">
        <v>29.925000000000001</v>
      </c>
      <c r="N3657">
        <v>790.81590000000006</v>
      </c>
      <c r="O3657" s="1" t="s">
        <v>53</v>
      </c>
      <c r="P3657" s="1" t="s">
        <v>8633</v>
      </c>
      <c r="Q3657" s="1" t="s">
        <v>8634</v>
      </c>
      <c r="R3657" s="1" t="s">
        <v>100</v>
      </c>
      <c r="S3657" s="1" t="s">
        <v>8635</v>
      </c>
      <c r="T3657" s="1" t="s">
        <v>8636</v>
      </c>
      <c r="U3657" s="2" t="s">
        <v>2535</v>
      </c>
      <c r="V3657" s="2" t="s">
        <v>83</v>
      </c>
      <c r="W3657" s="2" t="s">
        <v>178</v>
      </c>
      <c r="X3657" s="2">
        <v>102.13</v>
      </c>
    </row>
    <row r="3658" spans="1:24" x14ac:dyDescent="0.3">
      <c r="A3658">
        <v>21507</v>
      </c>
      <c r="B3658" t="s">
        <v>8839</v>
      </c>
      <c r="C3658" s="3">
        <v>41625</v>
      </c>
      <c r="D3658" t="s">
        <v>148</v>
      </c>
      <c r="E3658">
        <v>17</v>
      </c>
      <c r="F3658" s="3">
        <f ca="1">41626+(RANDBETWEEN(1,10))</f>
        <v>41630</v>
      </c>
      <c r="G3658" t="s">
        <v>26</v>
      </c>
      <c r="H3658" t="s">
        <v>27</v>
      </c>
      <c r="I3658" t="s">
        <v>28</v>
      </c>
      <c r="J3658">
        <v>7266.21</v>
      </c>
      <c r="K3658">
        <v>0</v>
      </c>
      <c r="L3658">
        <v>0.59</v>
      </c>
      <c r="M3658">
        <v>69.965000000000003</v>
      </c>
      <c r="N3658">
        <v>-33.415550000000003</v>
      </c>
      <c r="O3658" s="1" t="s">
        <v>40</v>
      </c>
      <c r="P3658" s="1" t="s">
        <v>5034</v>
      </c>
      <c r="Q3658" s="1" t="s">
        <v>5035</v>
      </c>
      <c r="R3658" s="1" t="s">
        <v>220</v>
      </c>
      <c r="S3658" s="1" t="s">
        <v>5036</v>
      </c>
      <c r="T3658" s="1" t="s">
        <v>5037</v>
      </c>
      <c r="U3658" s="2" t="s">
        <v>1801</v>
      </c>
      <c r="V3658" s="2" t="s">
        <v>47</v>
      </c>
      <c r="W3658" s="2" t="s">
        <v>119</v>
      </c>
      <c r="X3658" s="2">
        <v>421.15499999999997</v>
      </c>
    </row>
    <row r="3659" spans="1:24" x14ac:dyDescent="0.3">
      <c r="A3659">
        <v>21508</v>
      </c>
      <c r="B3659" t="s">
        <v>8840</v>
      </c>
      <c r="C3659" s="3">
        <v>40979</v>
      </c>
      <c r="D3659" t="s">
        <v>39</v>
      </c>
      <c r="E3659">
        <v>9</v>
      </c>
      <c r="F3659" s="3">
        <f ca="1">40981+(RANDBETWEEN(1,10))</f>
        <v>40982</v>
      </c>
      <c r="G3659" t="s">
        <v>26</v>
      </c>
      <c r="H3659" t="s">
        <v>51</v>
      </c>
      <c r="I3659" t="s">
        <v>86</v>
      </c>
      <c r="J3659">
        <v>1366.085</v>
      </c>
      <c r="K3659">
        <v>0.09</v>
      </c>
      <c r="L3659">
        <v>0.83</v>
      </c>
      <c r="M3659">
        <v>8.75</v>
      </c>
      <c r="N3659">
        <v>-434.33600000000001</v>
      </c>
      <c r="O3659" s="1" t="s">
        <v>87</v>
      </c>
      <c r="P3659" s="1" t="s">
        <v>8669</v>
      </c>
      <c r="Q3659" s="1" t="s">
        <v>8670</v>
      </c>
      <c r="R3659" s="1" t="s">
        <v>646</v>
      </c>
      <c r="S3659" s="1" t="s">
        <v>6137</v>
      </c>
      <c r="T3659" s="1" t="s">
        <v>6138</v>
      </c>
      <c r="U3659" s="2" t="s">
        <v>3513</v>
      </c>
      <c r="V3659" s="2" t="s">
        <v>36</v>
      </c>
      <c r="W3659" s="2" t="s">
        <v>37</v>
      </c>
      <c r="X3659" s="2">
        <v>195.965</v>
      </c>
    </row>
    <row r="3660" spans="1:24" x14ac:dyDescent="0.3">
      <c r="A3660">
        <v>21509</v>
      </c>
      <c r="B3660" t="s">
        <v>8841</v>
      </c>
      <c r="C3660" s="3">
        <v>41542</v>
      </c>
      <c r="D3660" t="s">
        <v>62</v>
      </c>
      <c r="E3660">
        <v>18</v>
      </c>
      <c r="F3660" s="3">
        <f ca="1">41543+(RANDBETWEEN(1,10))</f>
        <v>41545</v>
      </c>
      <c r="G3660" t="s">
        <v>26</v>
      </c>
      <c r="H3660" t="s">
        <v>281</v>
      </c>
      <c r="I3660" t="s">
        <v>52</v>
      </c>
      <c r="J3660">
        <v>3138.17</v>
      </c>
      <c r="K3660">
        <v>0.01</v>
      </c>
      <c r="L3660">
        <v>0.46</v>
      </c>
      <c r="M3660">
        <v>17.850000000000001</v>
      </c>
      <c r="N3660">
        <v>2165.3373000000001</v>
      </c>
      <c r="O3660" s="1" t="s">
        <v>225</v>
      </c>
      <c r="P3660" s="1" t="s">
        <v>5834</v>
      </c>
      <c r="Q3660" s="1" t="s">
        <v>5835</v>
      </c>
      <c r="R3660" s="1" t="s">
        <v>228</v>
      </c>
      <c r="S3660" s="1" t="s">
        <v>5836</v>
      </c>
      <c r="T3660" s="1" t="s">
        <v>5837</v>
      </c>
      <c r="U3660" s="2" t="s">
        <v>4675</v>
      </c>
      <c r="V3660" s="2" t="s">
        <v>47</v>
      </c>
      <c r="W3660" s="2" t="s">
        <v>71</v>
      </c>
      <c r="X3660" s="2">
        <v>164.11500000000001</v>
      </c>
    </row>
    <row r="3661" spans="1:24" x14ac:dyDescent="0.3">
      <c r="A3661">
        <v>21510</v>
      </c>
      <c r="B3661" t="s">
        <v>8841</v>
      </c>
      <c r="C3661" s="3">
        <v>41542</v>
      </c>
      <c r="D3661" t="s">
        <v>62</v>
      </c>
      <c r="E3661">
        <v>1</v>
      </c>
      <c r="F3661" s="3">
        <f ca="1">41544+(RANDBETWEEN(1,10))</f>
        <v>41550</v>
      </c>
      <c r="G3661" t="s">
        <v>26</v>
      </c>
      <c r="H3661" t="s">
        <v>51</v>
      </c>
      <c r="I3661" t="s">
        <v>52</v>
      </c>
      <c r="J3661">
        <v>251.405</v>
      </c>
      <c r="K3661">
        <v>0.09</v>
      </c>
      <c r="L3661">
        <v>0.39</v>
      </c>
      <c r="M3661">
        <v>4.375</v>
      </c>
      <c r="N3661">
        <v>-1272.425</v>
      </c>
      <c r="O3661" s="1" t="s">
        <v>225</v>
      </c>
      <c r="P3661" s="1" t="s">
        <v>5834</v>
      </c>
      <c r="Q3661" s="1" t="s">
        <v>5835</v>
      </c>
      <c r="R3661" s="1" t="s">
        <v>228</v>
      </c>
      <c r="S3661" s="1" t="s">
        <v>5836</v>
      </c>
      <c r="T3661" s="1" t="s">
        <v>5837</v>
      </c>
      <c r="U3661" s="2" t="s">
        <v>1978</v>
      </c>
      <c r="V3661" s="2" t="s">
        <v>36</v>
      </c>
      <c r="W3661" s="2" t="s">
        <v>37</v>
      </c>
      <c r="X3661" s="2">
        <v>300.96499999999997</v>
      </c>
    </row>
    <row r="3662" spans="1:24" x14ac:dyDescent="0.3">
      <c r="A3662">
        <v>21511</v>
      </c>
      <c r="B3662" t="s">
        <v>8842</v>
      </c>
      <c r="C3662" s="3">
        <v>40893</v>
      </c>
      <c r="D3662" t="s">
        <v>148</v>
      </c>
      <c r="E3662">
        <v>12</v>
      </c>
      <c r="F3662" s="3">
        <f ca="1">40895+(RANDBETWEEN(1,10))</f>
        <v>40899</v>
      </c>
      <c r="G3662" t="s">
        <v>76</v>
      </c>
      <c r="H3662" t="s">
        <v>258</v>
      </c>
      <c r="I3662" t="s">
        <v>52</v>
      </c>
      <c r="J3662">
        <v>6024.34</v>
      </c>
      <c r="K3662">
        <v>0.06</v>
      </c>
      <c r="L3662">
        <v>0.65</v>
      </c>
      <c r="M3662">
        <v>153.125</v>
      </c>
      <c r="N3662">
        <v>-312.44499999999999</v>
      </c>
      <c r="O3662" s="1" t="s">
        <v>29</v>
      </c>
      <c r="P3662" s="1" t="s">
        <v>8843</v>
      </c>
      <c r="Q3662" s="1" t="s">
        <v>8844</v>
      </c>
      <c r="R3662" s="1" t="s">
        <v>32</v>
      </c>
      <c r="S3662" s="1" t="s">
        <v>8845</v>
      </c>
      <c r="T3662" s="1" t="s">
        <v>8846</v>
      </c>
      <c r="U3662" s="2" t="s">
        <v>262</v>
      </c>
      <c r="V3662" s="2" t="s">
        <v>83</v>
      </c>
      <c r="W3662" s="2" t="s">
        <v>263</v>
      </c>
      <c r="X3662" s="2">
        <v>512.19000000000005</v>
      </c>
    </row>
    <row r="3663" spans="1:24" x14ac:dyDescent="0.3">
      <c r="A3663">
        <v>21512</v>
      </c>
      <c r="B3663" t="s">
        <v>8847</v>
      </c>
      <c r="C3663" s="3">
        <v>41279</v>
      </c>
      <c r="D3663" t="s">
        <v>62</v>
      </c>
      <c r="E3663">
        <v>1</v>
      </c>
      <c r="F3663" s="3">
        <f ca="1">41280+(RANDBETWEEN(1,10))</f>
        <v>41288</v>
      </c>
      <c r="G3663" t="s">
        <v>76</v>
      </c>
      <c r="H3663" t="s">
        <v>258</v>
      </c>
      <c r="I3663" t="s">
        <v>97</v>
      </c>
      <c r="J3663">
        <v>334.18</v>
      </c>
      <c r="K3663">
        <v>0.02</v>
      </c>
      <c r="L3663">
        <v>0.6</v>
      </c>
      <c r="M3663">
        <v>195.33500000000001</v>
      </c>
      <c r="N3663">
        <v>-917.30240000000003</v>
      </c>
      <c r="O3663" s="1" t="s">
        <v>29</v>
      </c>
      <c r="P3663" s="1" t="s">
        <v>8848</v>
      </c>
      <c r="Q3663" s="1" t="s">
        <v>8849</v>
      </c>
      <c r="R3663" s="1" t="s">
        <v>675</v>
      </c>
      <c r="S3663" s="1" t="s">
        <v>5323</v>
      </c>
      <c r="T3663" s="1" t="s">
        <v>5324</v>
      </c>
      <c r="U3663" s="2" t="s">
        <v>4019</v>
      </c>
      <c r="V3663" s="2" t="s">
        <v>83</v>
      </c>
      <c r="W3663" s="2" t="s">
        <v>298</v>
      </c>
      <c r="X3663" s="2">
        <v>286.79000000000002</v>
      </c>
    </row>
    <row r="3664" spans="1:24" x14ac:dyDescent="0.3">
      <c r="A3664">
        <v>21513</v>
      </c>
      <c r="B3664" t="s">
        <v>8847</v>
      </c>
      <c r="C3664" s="3">
        <v>41279</v>
      </c>
      <c r="D3664" t="s">
        <v>62</v>
      </c>
      <c r="E3664">
        <v>4</v>
      </c>
      <c r="F3664" s="3">
        <f ca="1">41281+(RANDBETWEEN(1,10))</f>
        <v>41291</v>
      </c>
      <c r="G3664" t="s">
        <v>156</v>
      </c>
      <c r="H3664" t="s">
        <v>96</v>
      </c>
      <c r="I3664" t="s">
        <v>97</v>
      </c>
      <c r="J3664">
        <v>552.09</v>
      </c>
      <c r="K3664">
        <v>0</v>
      </c>
      <c r="L3664">
        <v>0.38</v>
      </c>
      <c r="M3664">
        <v>17.78</v>
      </c>
      <c r="N3664">
        <v>380.94209999999998</v>
      </c>
      <c r="O3664" s="1" t="s">
        <v>29</v>
      </c>
      <c r="P3664" s="1" t="s">
        <v>8848</v>
      </c>
      <c r="Q3664" s="1" t="s">
        <v>8849</v>
      </c>
      <c r="R3664" s="1" t="s">
        <v>675</v>
      </c>
      <c r="S3664" s="1" t="s">
        <v>5323</v>
      </c>
      <c r="T3664" s="1" t="s">
        <v>5324</v>
      </c>
      <c r="U3664" s="2" t="s">
        <v>2638</v>
      </c>
      <c r="V3664" s="2" t="s">
        <v>47</v>
      </c>
      <c r="W3664" s="2" t="s">
        <v>74</v>
      </c>
      <c r="X3664" s="2">
        <v>132.79</v>
      </c>
    </row>
    <row r="3665" spans="1:24" x14ac:dyDescent="0.3">
      <c r="A3665">
        <v>21514</v>
      </c>
      <c r="B3665" t="s">
        <v>8850</v>
      </c>
      <c r="C3665" s="3">
        <v>40778</v>
      </c>
      <c r="D3665" t="s">
        <v>39</v>
      </c>
      <c r="E3665">
        <v>11</v>
      </c>
      <c r="F3665" s="3">
        <f ca="1">40780+(RANDBETWEEN(1,10))</f>
        <v>40785</v>
      </c>
      <c r="G3665" t="s">
        <v>26</v>
      </c>
      <c r="H3665" t="s">
        <v>63</v>
      </c>
      <c r="I3665" t="s">
        <v>52</v>
      </c>
      <c r="J3665">
        <v>7437.92</v>
      </c>
      <c r="K3665">
        <v>0.1</v>
      </c>
      <c r="L3665">
        <v>0.79</v>
      </c>
      <c r="M3665">
        <v>241.5</v>
      </c>
      <c r="N3665">
        <v>-579.58222139999998</v>
      </c>
      <c r="O3665" s="1" t="s">
        <v>225</v>
      </c>
      <c r="P3665" s="1" t="s">
        <v>8851</v>
      </c>
      <c r="Q3665" s="1" t="s">
        <v>8852</v>
      </c>
      <c r="R3665" s="1" t="s">
        <v>391</v>
      </c>
      <c r="S3665" s="1" t="s">
        <v>3046</v>
      </c>
      <c r="T3665" s="1" t="s">
        <v>3047</v>
      </c>
      <c r="U3665" s="2" t="s">
        <v>3449</v>
      </c>
      <c r="V3665" s="2" t="s">
        <v>83</v>
      </c>
      <c r="W3665" s="2" t="s">
        <v>263</v>
      </c>
      <c r="X3665" s="2">
        <v>732.79499999999996</v>
      </c>
    </row>
    <row r="3666" spans="1:24" x14ac:dyDescent="0.3">
      <c r="A3666">
        <v>21515</v>
      </c>
      <c r="B3666" t="s">
        <v>8850</v>
      </c>
      <c r="C3666" s="3">
        <v>40778</v>
      </c>
      <c r="D3666" t="s">
        <v>39</v>
      </c>
      <c r="E3666">
        <v>9</v>
      </c>
      <c r="F3666" s="3">
        <f ca="1">40779+(RANDBETWEEN(1,10))</f>
        <v>40787</v>
      </c>
      <c r="G3666" t="s">
        <v>26</v>
      </c>
      <c r="H3666" t="s">
        <v>27</v>
      </c>
      <c r="I3666" t="s">
        <v>52</v>
      </c>
      <c r="J3666">
        <v>157.67500000000001</v>
      </c>
      <c r="K3666">
        <v>7.0000000000000007E-2</v>
      </c>
      <c r="L3666">
        <v>0.38</v>
      </c>
      <c r="M3666">
        <v>16.45</v>
      </c>
      <c r="N3666">
        <v>-75.894000000000005</v>
      </c>
      <c r="O3666" s="1" t="s">
        <v>87</v>
      </c>
      <c r="P3666" s="1" t="s">
        <v>8814</v>
      </c>
      <c r="Q3666" s="1" t="s">
        <v>8815</v>
      </c>
      <c r="R3666" s="1" t="s">
        <v>90</v>
      </c>
      <c r="S3666" s="1" t="s">
        <v>5875</v>
      </c>
      <c r="T3666" s="1" t="s">
        <v>5876</v>
      </c>
      <c r="U3666" s="2" t="s">
        <v>5182</v>
      </c>
      <c r="V3666" s="2" t="s">
        <v>47</v>
      </c>
      <c r="W3666" s="2" t="s">
        <v>74</v>
      </c>
      <c r="X3666" s="2">
        <v>17.43</v>
      </c>
    </row>
    <row r="3667" spans="1:24" x14ac:dyDescent="0.3">
      <c r="A3667">
        <v>21516</v>
      </c>
      <c r="B3667" t="s">
        <v>8853</v>
      </c>
      <c r="C3667" s="3">
        <v>41173</v>
      </c>
      <c r="D3667" t="s">
        <v>50</v>
      </c>
      <c r="E3667">
        <v>19</v>
      </c>
      <c r="F3667" s="3">
        <f ca="1">41175+(RANDBETWEEN(1,10))</f>
        <v>41176</v>
      </c>
      <c r="G3667" t="s">
        <v>26</v>
      </c>
      <c r="H3667" t="s">
        <v>27</v>
      </c>
      <c r="I3667" t="s">
        <v>28</v>
      </c>
      <c r="J3667">
        <v>478.66</v>
      </c>
      <c r="K3667">
        <v>0</v>
      </c>
      <c r="L3667">
        <v>0.37</v>
      </c>
      <c r="M3667">
        <v>28.664999999999999</v>
      </c>
      <c r="N3667">
        <v>-531.755</v>
      </c>
      <c r="O3667" s="1" t="s">
        <v>40</v>
      </c>
      <c r="P3667" s="1" t="s">
        <v>3760</v>
      </c>
      <c r="Q3667" s="1" t="s">
        <v>3761</v>
      </c>
      <c r="R3667" s="1" t="s">
        <v>220</v>
      </c>
      <c r="S3667" s="1" t="s">
        <v>3762</v>
      </c>
      <c r="T3667" s="1" t="s">
        <v>3763</v>
      </c>
      <c r="U3667" s="2" t="s">
        <v>474</v>
      </c>
      <c r="V3667" s="2" t="s">
        <v>47</v>
      </c>
      <c r="W3667" s="2" t="s">
        <v>74</v>
      </c>
      <c r="X3667" s="2">
        <v>22.68</v>
      </c>
    </row>
    <row r="3668" spans="1:24" x14ac:dyDescent="0.3">
      <c r="A3668">
        <v>21517</v>
      </c>
      <c r="B3668" t="s">
        <v>8854</v>
      </c>
      <c r="C3668" s="3">
        <v>40744</v>
      </c>
      <c r="D3668" t="s">
        <v>50</v>
      </c>
      <c r="E3668">
        <v>2</v>
      </c>
      <c r="F3668" s="3">
        <f ca="1">40746+(RANDBETWEEN(1,10))</f>
        <v>40755</v>
      </c>
      <c r="G3668" t="s">
        <v>26</v>
      </c>
      <c r="H3668" t="s">
        <v>27</v>
      </c>
      <c r="I3668" t="s">
        <v>52</v>
      </c>
      <c r="J3668">
        <v>9061.5349999999999</v>
      </c>
      <c r="K3668">
        <v>0.03</v>
      </c>
      <c r="L3668">
        <v>0.35</v>
      </c>
      <c r="M3668">
        <v>69.965000000000003</v>
      </c>
      <c r="N3668">
        <v>1272.432</v>
      </c>
      <c r="O3668" s="1" t="s">
        <v>53</v>
      </c>
      <c r="P3668" s="1" t="s">
        <v>7554</v>
      </c>
      <c r="Q3668" s="1" t="s">
        <v>7555</v>
      </c>
      <c r="R3668" s="1" t="s">
        <v>440</v>
      </c>
      <c r="S3668" s="1" t="s">
        <v>7556</v>
      </c>
      <c r="T3668" s="1" t="s">
        <v>7557</v>
      </c>
      <c r="U3668" s="2" t="s">
        <v>2579</v>
      </c>
      <c r="V3668" s="2" t="s">
        <v>47</v>
      </c>
      <c r="W3668" s="2" t="s">
        <v>111</v>
      </c>
      <c r="X3668" s="2">
        <v>4448.4650000000001</v>
      </c>
    </row>
    <row r="3669" spans="1:24" x14ac:dyDescent="0.3">
      <c r="A3669">
        <v>21518</v>
      </c>
      <c r="B3669" t="s">
        <v>8854</v>
      </c>
      <c r="C3669" s="3">
        <v>40744</v>
      </c>
      <c r="D3669" t="s">
        <v>50</v>
      </c>
      <c r="E3669">
        <v>1</v>
      </c>
      <c r="F3669" s="3">
        <f ca="1">40746+(RANDBETWEEN(1,10))</f>
        <v>40753</v>
      </c>
      <c r="G3669" t="s">
        <v>76</v>
      </c>
      <c r="H3669" t="s">
        <v>77</v>
      </c>
      <c r="I3669" t="s">
        <v>52</v>
      </c>
      <c r="J3669">
        <v>6628.7550000000001</v>
      </c>
      <c r="K3669">
        <v>7.0000000000000007E-2</v>
      </c>
      <c r="L3669">
        <v>0.55000000000000004</v>
      </c>
      <c r="M3669">
        <v>51.45</v>
      </c>
      <c r="N3669">
        <v>-40.375999999999998</v>
      </c>
      <c r="O3669" s="1" t="s">
        <v>53</v>
      </c>
      <c r="P3669" s="1" t="s">
        <v>7554</v>
      </c>
      <c r="Q3669" s="1" t="s">
        <v>7555</v>
      </c>
      <c r="R3669" s="1" t="s">
        <v>440</v>
      </c>
      <c r="S3669" s="1" t="s">
        <v>7556</v>
      </c>
      <c r="T3669" s="1" t="s">
        <v>7557</v>
      </c>
      <c r="U3669" s="2" t="s">
        <v>1855</v>
      </c>
      <c r="V3669" s="2" t="s">
        <v>36</v>
      </c>
      <c r="W3669" s="2" t="s">
        <v>142</v>
      </c>
      <c r="X3669" s="2">
        <v>7127.68</v>
      </c>
    </row>
    <row r="3670" spans="1:24" x14ac:dyDescent="0.3">
      <c r="A3670">
        <v>21519</v>
      </c>
      <c r="B3670" t="s">
        <v>8855</v>
      </c>
      <c r="C3670" s="3">
        <v>41626</v>
      </c>
      <c r="D3670" t="s">
        <v>148</v>
      </c>
      <c r="E3670">
        <v>10</v>
      </c>
      <c r="F3670" s="3">
        <f ca="1">41628+(RANDBETWEEN(1,10))</f>
        <v>41629</v>
      </c>
      <c r="G3670" t="s">
        <v>26</v>
      </c>
      <c r="H3670" t="s">
        <v>27</v>
      </c>
      <c r="I3670" t="s">
        <v>97</v>
      </c>
      <c r="J3670">
        <v>1646.9949999999999</v>
      </c>
      <c r="K3670">
        <v>0.1</v>
      </c>
      <c r="L3670">
        <v>0.37</v>
      </c>
      <c r="M3670">
        <v>25.305</v>
      </c>
      <c r="N3670">
        <v>1136.4265499999999</v>
      </c>
      <c r="O3670" s="1" t="s">
        <v>40</v>
      </c>
      <c r="P3670" s="1" t="s">
        <v>8856</v>
      </c>
      <c r="Q3670" s="1" t="s">
        <v>8857</v>
      </c>
      <c r="R3670" s="1" t="s">
        <v>43</v>
      </c>
      <c r="S3670" s="1" t="s">
        <v>8858</v>
      </c>
      <c r="T3670" s="1" t="s">
        <v>8859</v>
      </c>
      <c r="U3670" s="2" t="s">
        <v>2593</v>
      </c>
      <c r="V3670" s="2" t="s">
        <v>47</v>
      </c>
      <c r="W3670" s="2" t="s">
        <v>74</v>
      </c>
      <c r="X3670" s="2">
        <v>168.14</v>
      </c>
    </row>
    <row r="3671" spans="1:24" x14ac:dyDescent="0.3">
      <c r="A3671">
        <v>21520</v>
      </c>
      <c r="B3671" t="s">
        <v>8860</v>
      </c>
      <c r="C3671" s="3">
        <v>41212</v>
      </c>
      <c r="D3671" t="s">
        <v>62</v>
      </c>
      <c r="E3671">
        <v>2</v>
      </c>
      <c r="F3671" s="3">
        <f ca="1">41214+(RANDBETWEEN(1,10))</f>
        <v>41220</v>
      </c>
      <c r="G3671" t="s">
        <v>26</v>
      </c>
      <c r="H3671" t="s">
        <v>281</v>
      </c>
      <c r="I3671" t="s">
        <v>52</v>
      </c>
      <c r="J3671">
        <v>110.32</v>
      </c>
      <c r="K3671">
        <v>0.03</v>
      </c>
      <c r="L3671">
        <v>0.52</v>
      </c>
      <c r="M3671">
        <v>23.625</v>
      </c>
      <c r="N3671">
        <v>-80.476200000000006</v>
      </c>
      <c r="O3671" s="1" t="s">
        <v>53</v>
      </c>
      <c r="P3671" s="1" t="s">
        <v>4915</v>
      </c>
      <c r="Q3671" s="1" t="s">
        <v>4916</v>
      </c>
      <c r="R3671" s="1" t="s">
        <v>100</v>
      </c>
      <c r="S3671" s="1" t="s">
        <v>4917</v>
      </c>
      <c r="T3671" s="1" t="s">
        <v>4918</v>
      </c>
      <c r="U3671" s="2" t="s">
        <v>1196</v>
      </c>
      <c r="V3671" s="2" t="s">
        <v>47</v>
      </c>
      <c r="W3671" s="2" t="s">
        <v>71</v>
      </c>
      <c r="X3671" s="2">
        <v>50.47</v>
      </c>
    </row>
    <row r="3672" spans="1:24" x14ac:dyDescent="0.3">
      <c r="A3672">
        <v>21521</v>
      </c>
      <c r="B3672" t="s">
        <v>8860</v>
      </c>
      <c r="C3672" s="3">
        <v>41212</v>
      </c>
      <c r="D3672" t="s">
        <v>62</v>
      </c>
      <c r="E3672">
        <v>4</v>
      </c>
      <c r="F3672" s="3">
        <f ca="1">41214+(RANDBETWEEN(1,10))</f>
        <v>41217</v>
      </c>
      <c r="G3672" t="s">
        <v>26</v>
      </c>
      <c r="H3672" t="s">
        <v>27</v>
      </c>
      <c r="I3672" t="s">
        <v>52</v>
      </c>
      <c r="J3672">
        <v>6110.6149999999998</v>
      </c>
      <c r="K3672">
        <v>0.04</v>
      </c>
      <c r="L3672">
        <v>0.35</v>
      </c>
      <c r="M3672">
        <v>69.965000000000003</v>
      </c>
      <c r="N3672">
        <v>4216.3243499999999</v>
      </c>
      <c r="O3672" s="1" t="s">
        <v>53</v>
      </c>
      <c r="P3672" s="1" t="s">
        <v>4915</v>
      </c>
      <c r="Q3672" s="1" t="s">
        <v>4916</v>
      </c>
      <c r="R3672" s="1" t="s">
        <v>100</v>
      </c>
      <c r="S3672" s="1" t="s">
        <v>4917</v>
      </c>
      <c r="T3672" s="1" t="s">
        <v>4918</v>
      </c>
      <c r="U3672" s="2" t="s">
        <v>1352</v>
      </c>
      <c r="V3672" s="2" t="s">
        <v>47</v>
      </c>
      <c r="W3672" s="2" t="s">
        <v>111</v>
      </c>
      <c r="X3672" s="2">
        <v>1473.43</v>
      </c>
    </row>
    <row r="3673" spans="1:24" x14ac:dyDescent="0.3">
      <c r="A3673">
        <v>21522</v>
      </c>
      <c r="B3673" t="s">
        <v>8861</v>
      </c>
      <c r="C3673" s="3">
        <v>40723</v>
      </c>
      <c r="D3673" t="s">
        <v>50</v>
      </c>
      <c r="E3673">
        <v>9</v>
      </c>
      <c r="F3673" s="3">
        <f ca="1">40723+(RANDBETWEEN(1,10))</f>
        <v>40729</v>
      </c>
      <c r="G3673" t="s">
        <v>26</v>
      </c>
      <c r="H3673" t="s">
        <v>51</v>
      </c>
      <c r="I3673" t="s">
        <v>97</v>
      </c>
      <c r="J3673">
        <v>934.32500000000005</v>
      </c>
      <c r="K3673">
        <v>0.04</v>
      </c>
      <c r="L3673">
        <v>0.39</v>
      </c>
      <c r="M3673">
        <v>11.55</v>
      </c>
      <c r="N3673">
        <v>644.68425000000002</v>
      </c>
      <c r="O3673" s="1" t="s">
        <v>40</v>
      </c>
      <c r="P3673" s="1" t="s">
        <v>8557</v>
      </c>
      <c r="Q3673" s="1" t="s">
        <v>8558</v>
      </c>
      <c r="R3673" s="1" t="s">
        <v>43</v>
      </c>
      <c r="S3673" s="1" t="s">
        <v>8559</v>
      </c>
      <c r="T3673" s="1" t="s">
        <v>8560</v>
      </c>
      <c r="U3673" s="2" t="s">
        <v>5976</v>
      </c>
      <c r="V3673" s="2" t="s">
        <v>36</v>
      </c>
      <c r="W3673" s="2" t="s">
        <v>37</v>
      </c>
      <c r="X3673" s="2">
        <v>125.965</v>
      </c>
    </row>
    <row r="3674" spans="1:24" x14ac:dyDescent="0.3">
      <c r="A3674">
        <v>21523</v>
      </c>
      <c r="B3674" t="s">
        <v>8862</v>
      </c>
      <c r="C3674" s="3">
        <v>40958</v>
      </c>
      <c r="D3674" t="s">
        <v>148</v>
      </c>
      <c r="E3674">
        <v>1</v>
      </c>
      <c r="F3674" s="3">
        <f ca="1">40961+(RANDBETWEEN(1,10))</f>
        <v>40964</v>
      </c>
      <c r="G3674" t="s">
        <v>26</v>
      </c>
      <c r="H3674" t="s">
        <v>27</v>
      </c>
      <c r="I3674" t="s">
        <v>28</v>
      </c>
      <c r="J3674">
        <v>137.34</v>
      </c>
      <c r="K3674">
        <v>0.01</v>
      </c>
      <c r="L3674">
        <v>0.37</v>
      </c>
      <c r="M3674">
        <v>51.52</v>
      </c>
      <c r="N3674">
        <v>-88.992750000000001</v>
      </c>
      <c r="O3674" s="1" t="s">
        <v>225</v>
      </c>
      <c r="P3674" s="1" t="s">
        <v>6401</v>
      </c>
      <c r="Q3674" s="1" t="s">
        <v>6402</v>
      </c>
      <c r="R3674" s="1" t="s">
        <v>228</v>
      </c>
      <c r="S3674" s="1" t="s">
        <v>6403</v>
      </c>
      <c r="T3674" s="1" t="s">
        <v>6404</v>
      </c>
      <c r="U3674" s="2" t="s">
        <v>4073</v>
      </c>
      <c r="V3674" s="2" t="s">
        <v>47</v>
      </c>
      <c r="W3674" s="2" t="s">
        <v>111</v>
      </c>
      <c r="X3674" s="2">
        <v>120.89</v>
      </c>
    </row>
    <row r="3675" spans="1:24" x14ac:dyDescent="0.3">
      <c r="A3675">
        <v>21524</v>
      </c>
      <c r="B3675" t="s">
        <v>8863</v>
      </c>
      <c r="C3675" s="3">
        <v>41244</v>
      </c>
      <c r="D3675" t="s">
        <v>39</v>
      </c>
      <c r="E3675">
        <v>3</v>
      </c>
      <c r="F3675" s="3">
        <f ca="1">41246+(RANDBETWEEN(1,10))</f>
        <v>41247</v>
      </c>
      <c r="G3675" t="s">
        <v>156</v>
      </c>
      <c r="H3675" t="s">
        <v>27</v>
      </c>
      <c r="I3675" t="s">
        <v>52</v>
      </c>
      <c r="J3675">
        <v>247.24</v>
      </c>
      <c r="K3675">
        <v>0.08</v>
      </c>
      <c r="L3675">
        <v>0.37</v>
      </c>
      <c r="M3675">
        <v>10.465</v>
      </c>
      <c r="N3675">
        <v>147.75337500000001</v>
      </c>
      <c r="O3675" s="1" t="s">
        <v>87</v>
      </c>
      <c r="P3675" s="1" t="s">
        <v>8864</v>
      </c>
      <c r="Q3675" s="1" t="s">
        <v>8865</v>
      </c>
      <c r="R3675" s="1" t="s">
        <v>398</v>
      </c>
      <c r="S3675" s="1" t="s">
        <v>8866</v>
      </c>
      <c r="T3675" s="1" t="s">
        <v>8867</v>
      </c>
      <c r="U3675" s="2" t="s">
        <v>8868</v>
      </c>
      <c r="V3675" s="2" t="s">
        <v>47</v>
      </c>
      <c r="W3675" s="2" t="s">
        <v>111</v>
      </c>
      <c r="X3675" s="2">
        <v>74.83</v>
      </c>
    </row>
    <row r="3676" spans="1:24" x14ac:dyDescent="0.3">
      <c r="A3676">
        <v>21525</v>
      </c>
      <c r="B3676" t="s">
        <v>8863</v>
      </c>
      <c r="C3676" s="3">
        <v>41244</v>
      </c>
      <c r="D3676" t="s">
        <v>39</v>
      </c>
      <c r="E3676">
        <v>4</v>
      </c>
      <c r="F3676" s="3">
        <f ca="1">41246+(RANDBETWEEN(1,10))</f>
        <v>41253</v>
      </c>
      <c r="G3676" t="s">
        <v>26</v>
      </c>
      <c r="H3676" t="s">
        <v>96</v>
      </c>
      <c r="I3676" t="s">
        <v>52</v>
      </c>
      <c r="J3676">
        <v>24.92</v>
      </c>
      <c r="K3676">
        <v>0.09</v>
      </c>
      <c r="L3676">
        <v>0.52</v>
      </c>
      <c r="M3676">
        <v>2.625</v>
      </c>
      <c r="N3676">
        <v>-4.9349999999999996</v>
      </c>
      <c r="O3676" s="1" t="s">
        <v>40</v>
      </c>
      <c r="P3676" s="1" t="s">
        <v>8869</v>
      </c>
      <c r="Q3676" s="1" t="s">
        <v>8870</v>
      </c>
      <c r="R3676" s="1" t="s">
        <v>43</v>
      </c>
      <c r="S3676" s="1" t="s">
        <v>8871</v>
      </c>
      <c r="T3676" s="1" t="s">
        <v>5579</v>
      </c>
      <c r="U3676" s="2" t="s">
        <v>378</v>
      </c>
      <c r="V3676" s="2" t="s">
        <v>47</v>
      </c>
      <c r="W3676" s="2" t="s">
        <v>176</v>
      </c>
      <c r="X3676" s="2">
        <v>6.335</v>
      </c>
    </row>
    <row r="3677" spans="1:24" x14ac:dyDescent="0.3">
      <c r="A3677">
        <v>21526</v>
      </c>
      <c r="B3677" t="s">
        <v>8863</v>
      </c>
      <c r="C3677" s="3">
        <v>41244</v>
      </c>
      <c r="D3677" t="s">
        <v>39</v>
      </c>
      <c r="E3677">
        <v>19</v>
      </c>
      <c r="F3677" s="3">
        <f ca="1">41246+(RANDBETWEEN(1,10))</f>
        <v>41255</v>
      </c>
      <c r="G3677" t="s">
        <v>26</v>
      </c>
      <c r="H3677" t="s">
        <v>96</v>
      </c>
      <c r="I3677" t="s">
        <v>52</v>
      </c>
      <c r="J3677">
        <v>384.44</v>
      </c>
      <c r="K3677">
        <v>7.0000000000000007E-2</v>
      </c>
      <c r="L3677">
        <v>0.38</v>
      </c>
      <c r="M3677">
        <v>3.5</v>
      </c>
      <c r="N3677">
        <v>265.2636</v>
      </c>
      <c r="O3677" s="1" t="s">
        <v>29</v>
      </c>
      <c r="P3677" s="1" t="s">
        <v>8872</v>
      </c>
      <c r="Q3677" s="1" t="s">
        <v>8873</v>
      </c>
      <c r="R3677" s="1" t="s">
        <v>32</v>
      </c>
      <c r="S3677" s="1" t="s">
        <v>3276</v>
      </c>
      <c r="T3677" s="1" t="s">
        <v>3277</v>
      </c>
      <c r="U3677" s="2" t="s">
        <v>3510</v>
      </c>
      <c r="V3677" s="2" t="s">
        <v>47</v>
      </c>
      <c r="W3677" s="2" t="s">
        <v>104</v>
      </c>
      <c r="X3677" s="2">
        <v>20.440000000000001</v>
      </c>
    </row>
    <row r="3678" spans="1:24" x14ac:dyDescent="0.3">
      <c r="A3678">
        <v>21527</v>
      </c>
      <c r="B3678" t="s">
        <v>8874</v>
      </c>
      <c r="C3678" s="3">
        <v>41299</v>
      </c>
      <c r="D3678" t="s">
        <v>25</v>
      </c>
      <c r="E3678">
        <v>5</v>
      </c>
      <c r="F3678" s="3">
        <f ca="1">41304+(RANDBETWEEN(1,10))</f>
        <v>41306</v>
      </c>
      <c r="G3678" t="s">
        <v>26</v>
      </c>
      <c r="H3678" t="s">
        <v>27</v>
      </c>
      <c r="I3678" t="s">
        <v>52</v>
      </c>
      <c r="J3678">
        <v>673.82</v>
      </c>
      <c r="K3678">
        <v>0.06</v>
      </c>
      <c r="L3678">
        <v>0.4</v>
      </c>
      <c r="M3678">
        <v>34.405000000000001</v>
      </c>
      <c r="N3678">
        <v>394.47800000000001</v>
      </c>
      <c r="O3678" s="1" t="s">
        <v>87</v>
      </c>
      <c r="P3678" s="1" t="s">
        <v>8875</v>
      </c>
      <c r="Q3678" s="1" t="s">
        <v>8876</v>
      </c>
      <c r="R3678" s="1" t="s">
        <v>646</v>
      </c>
      <c r="S3678" s="1" t="s">
        <v>8877</v>
      </c>
      <c r="T3678" s="1" t="s">
        <v>8378</v>
      </c>
      <c r="U3678" s="2" t="s">
        <v>345</v>
      </c>
      <c r="V3678" s="2" t="s">
        <v>47</v>
      </c>
      <c r="W3678" s="2" t="s">
        <v>48</v>
      </c>
      <c r="X3678" s="2">
        <v>139.93</v>
      </c>
    </row>
    <row r="3679" spans="1:24" x14ac:dyDescent="0.3">
      <c r="A3679">
        <v>21528</v>
      </c>
      <c r="B3679" t="s">
        <v>8874</v>
      </c>
      <c r="C3679" s="3">
        <v>41299</v>
      </c>
      <c r="D3679" t="s">
        <v>25</v>
      </c>
      <c r="E3679">
        <v>11</v>
      </c>
      <c r="F3679" s="3">
        <f ca="1">41299+(RANDBETWEEN(1,10))</f>
        <v>41300</v>
      </c>
      <c r="G3679" t="s">
        <v>76</v>
      </c>
      <c r="H3679" t="s">
        <v>77</v>
      </c>
      <c r="I3679" t="s">
        <v>52</v>
      </c>
      <c r="J3679">
        <v>4202.17</v>
      </c>
      <c r="K3679">
        <v>0.08</v>
      </c>
      <c r="L3679">
        <v>0.4</v>
      </c>
      <c r="M3679">
        <v>196.49</v>
      </c>
      <c r="N3679">
        <v>-728.38957800000003</v>
      </c>
      <c r="O3679" s="1" t="s">
        <v>87</v>
      </c>
      <c r="P3679" s="1" t="s">
        <v>8875</v>
      </c>
      <c r="Q3679" s="1" t="s">
        <v>8876</v>
      </c>
      <c r="R3679" s="1" t="s">
        <v>646</v>
      </c>
      <c r="S3679" s="1" t="s">
        <v>8877</v>
      </c>
      <c r="T3679" s="1" t="s">
        <v>8378</v>
      </c>
      <c r="U3679" s="2" t="s">
        <v>898</v>
      </c>
      <c r="V3679" s="2" t="s">
        <v>36</v>
      </c>
      <c r="W3679" s="2" t="s">
        <v>142</v>
      </c>
      <c r="X3679" s="2">
        <v>405.96499999999997</v>
      </c>
    </row>
    <row r="3680" spans="1:24" x14ac:dyDescent="0.3">
      <c r="A3680">
        <v>21529</v>
      </c>
      <c r="B3680" t="s">
        <v>8878</v>
      </c>
      <c r="C3680" s="3">
        <v>40578</v>
      </c>
      <c r="D3680" t="s">
        <v>148</v>
      </c>
      <c r="E3680">
        <v>12</v>
      </c>
      <c r="F3680" s="3">
        <f ca="1">40580+(RANDBETWEEN(1,10))</f>
        <v>40586</v>
      </c>
      <c r="G3680" t="s">
        <v>26</v>
      </c>
      <c r="H3680" t="s">
        <v>27</v>
      </c>
      <c r="I3680" t="s">
        <v>28</v>
      </c>
      <c r="J3680">
        <v>216.54499999999999</v>
      </c>
      <c r="K3680">
        <v>0</v>
      </c>
      <c r="L3680">
        <v>0.36</v>
      </c>
      <c r="M3680">
        <v>1.75</v>
      </c>
      <c r="N3680">
        <v>347.19299999999998</v>
      </c>
      <c r="O3680" s="1" t="s">
        <v>29</v>
      </c>
      <c r="P3680" s="1" t="s">
        <v>6832</v>
      </c>
      <c r="Q3680" s="1" t="s">
        <v>6833</v>
      </c>
      <c r="R3680" s="1" t="s">
        <v>460</v>
      </c>
      <c r="S3680" s="1" t="s">
        <v>6834</v>
      </c>
      <c r="T3680" s="1" t="s">
        <v>6835</v>
      </c>
      <c r="U3680" s="2" t="s">
        <v>1158</v>
      </c>
      <c r="V3680" s="2" t="s">
        <v>47</v>
      </c>
      <c r="W3680" s="2" t="s">
        <v>203</v>
      </c>
      <c r="X3680" s="2">
        <v>17.184999999999999</v>
      </c>
    </row>
    <row r="3681" spans="1:24" x14ac:dyDescent="0.3">
      <c r="A3681">
        <v>21530</v>
      </c>
      <c r="B3681" t="s">
        <v>8878</v>
      </c>
      <c r="C3681" s="3">
        <v>40578</v>
      </c>
      <c r="D3681" t="s">
        <v>148</v>
      </c>
      <c r="E3681">
        <v>6</v>
      </c>
      <c r="F3681" s="3">
        <f ca="1">40579+(RANDBETWEEN(1,10))</f>
        <v>40580</v>
      </c>
      <c r="G3681" t="s">
        <v>26</v>
      </c>
      <c r="H3681" t="s">
        <v>27</v>
      </c>
      <c r="I3681" t="s">
        <v>28</v>
      </c>
      <c r="J3681">
        <v>171.08</v>
      </c>
      <c r="K3681">
        <v>0.01</v>
      </c>
      <c r="L3681">
        <v>0.37</v>
      </c>
      <c r="M3681">
        <v>39.024999999999999</v>
      </c>
      <c r="N3681">
        <v>476.10989999999998</v>
      </c>
      <c r="O3681" s="1" t="s">
        <v>29</v>
      </c>
      <c r="P3681" s="1" t="s">
        <v>6832</v>
      </c>
      <c r="Q3681" s="1" t="s">
        <v>6833</v>
      </c>
      <c r="R3681" s="1" t="s">
        <v>460</v>
      </c>
      <c r="S3681" s="1" t="s">
        <v>6834</v>
      </c>
      <c r="T3681" s="1" t="s">
        <v>6835</v>
      </c>
      <c r="U3681" s="2" t="s">
        <v>4160</v>
      </c>
      <c r="V3681" s="2" t="s">
        <v>47</v>
      </c>
      <c r="W3681" s="2" t="s">
        <v>74</v>
      </c>
      <c r="X3681" s="2">
        <v>25.48</v>
      </c>
    </row>
    <row r="3682" spans="1:24" x14ac:dyDescent="0.3">
      <c r="A3682">
        <v>21531</v>
      </c>
      <c r="B3682" t="s">
        <v>8878</v>
      </c>
      <c r="C3682" s="3">
        <v>40578</v>
      </c>
      <c r="D3682" t="s">
        <v>148</v>
      </c>
      <c r="E3682">
        <v>3</v>
      </c>
      <c r="F3682" s="3">
        <f ca="1">40581+(RANDBETWEEN(1,10))</f>
        <v>40590</v>
      </c>
      <c r="G3682" t="s">
        <v>26</v>
      </c>
      <c r="H3682" t="s">
        <v>27</v>
      </c>
      <c r="I3682" t="s">
        <v>28</v>
      </c>
      <c r="J3682">
        <v>75.459999999999994</v>
      </c>
      <c r="K3682">
        <v>0.1</v>
      </c>
      <c r="L3682">
        <v>0.37</v>
      </c>
      <c r="M3682">
        <v>24.254999999999999</v>
      </c>
      <c r="N3682">
        <v>-350.25200000000001</v>
      </c>
      <c r="O3682" s="1" t="s">
        <v>29</v>
      </c>
      <c r="P3682" s="1" t="s">
        <v>6832</v>
      </c>
      <c r="Q3682" s="1" t="s">
        <v>6833</v>
      </c>
      <c r="R3682" s="1" t="s">
        <v>460</v>
      </c>
      <c r="S3682" s="1" t="s">
        <v>6834</v>
      </c>
      <c r="T3682" s="1" t="s">
        <v>6835</v>
      </c>
      <c r="U3682" s="2" t="s">
        <v>2817</v>
      </c>
      <c r="V3682" s="2" t="s">
        <v>47</v>
      </c>
      <c r="W3682" s="2" t="s">
        <v>74</v>
      </c>
      <c r="X3682" s="2">
        <v>23.38</v>
      </c>
    </row>
    <row r="3683" spans="1:24" x14ac:dyDescent="0.3">
      <c r="A3683">
        <v>21532</v>
      </c>
      <c r="B3683" t="s">
        <v>8879</v>
      </c>
      <c r="C3683" s="3">
        <v>41927</v>
      </c>
      <c r="D3683" t="s">
        <v>62</v>
      </c>
      <c r="E3683">
        <v>15</v>
      </c>
      <c r="F3683" s="3">
        <f ca="1">41929+(RANDBETWEEN(1,10))</f>
        <v>41932</v>
      </c>
      <c r="G3683" t="s">
        <v>26</v>
      </c>
      <c r="H3683" t="s">
        <v>96</v>
      </c>
      <c r="I3683" t="s">
        <v>28</v>
      </c>
      <c r="J3683">
        <v>353.39499999999998</v>
      </c>
      <c r="K3683">
        <v>7.0000000000000007E-2</v>
      </c>
      <c r="L3683">
        <v>0.47</v>
      </c>
      <c r="M3683">
        <v>8.2249999999999996</v>
      </c>
      <c r="N3683">
        <v>57.4</v>
      </c>
      <c r="O3683" s="1" t="s">
        <v>87</v>
      </c>
      <c r="P3683" s="1" t="s">
        <v>5255</v>
      </c>
      <c r="Q3683" s="1" t="s">
        <v>5256</v>
      </c>
      <c r="R3683" s="1" t="s">
        <v>90</v>
      </c>
      <c r="S3683" s="1" t="s">
        <v>5257</v>
      </c>
      <c r="T3683" s="1" t="s">
        <v>5258</v>
      </c>
      <c r="U3683" s="2" t="s">
        <v>6690</v>
      </c>
      <c r="V3683" s="2" t="s">
        <v>47</v>
      </c>
      <c r="W3683" s="2" t="s">
        <v>104</v>
      </c>
      <c r="X3683" s="2">
        <v>24.78</v>
      </c>
    </row>
    <row r="3684" spans="1:24" x14ac:dyDescent="0.3">
      <c r="A3684">
        <v>21533</v>
      </c>
      <c r="B3684" t="s">
        <v>8880</v>
      </c>
      <c r="C3684" s="3">
        <v>41141</v>
      </c>
      <c r="D3684" t="s">
        <v>39</v>
      </c>
      <c r="E3684">
        <v>7</v>
      </c>
      <c r="F3684" s="3">
        <f ca="1">41142+(RANDBETWEEN(1,10))</f>
        <v>41149</v>
      </c>
      <c r="G3684" t="s">
        <v>26</v>
      </c>
      <c r="H3684" t="s">
        <v>96</v>
      </c>
      <c r="I3684" t="s">
        <v>97</v>
      </c>
      <c r="J3684">
        <v>156.94</v>
      </c>
      <c r="K3684">
        <v>0.1</v>
      </c>
      <c r="L3684">
        <v>0.48</v>
      </c>
      <c r="M3684">
        <v>5.25</v>
      </c>
      <c r="N3684">
        <v>71.691199999999995</v>
      </c>
      <c r="O3684" s="1" t="s">
        <v>40</v>
      </c>
      <c r="P3684" s="1" t="s">
        <v>2393</v>
      </c>
      <c r="Q3684" s="1" t="s">
        <v>2394</v>
      </c>
      <c r="R3684" s="1" t="s">
        <v>43</v>
      </c>
      <c r="S3684" s="1" t="s">
        <v>2395</v>
      </c>
      <c r="T3684" s="1" t="s">
        <v>2396</v>
      </c>
      <c r="U3684" s="2" t="s">
        <v>2494</v>
      </c>
      <c r="V3684" s="2" t="s">
        <v>47</v>
      </c>
      <c r="W3684" s="2" t="s">
        <v>104</v>
      </c>
      <c r="X3684" s="2">
        <v>23.38</v>
      </c>
    </row>
    <row r="3685" spans="1:24" x14ac:dyDescent="0.3">
      <c r="A3685">
        <v>21534</v>
      </c>
      <c r="B3685" t="s">
        <v>8881</v>
      </c>
      <c r="C3685" s="3">
        <v>40928</v>
      </c>
      <c r="D3685" t="s">
        <v>25</v>
      </c>
      <c r="E3685">
        <v>12</v>
      </c>
      <c r="F3685" s="3">
        <f ca="1">40935+(RANDBETWEEN(1,10))</f>
        <v>40941</v>
      </c>
      <c r="G3685" t="s">
        <v>26</v>
      </c>
      <c r="H3685" t="s">
        <v>63</v>
      </c>
      <c r="I3685" t="s">
        <v>28</v>
      </c>
      <c r="J3685">
        <v>909.125</v>
      </c>
      <c r="K3685">
        <v>0</v>
      </c>
      <c r="L3685">
        <v>0.56999999999999995</v>
      </c>
      <c r="M3685">
        <v>52.045000000000002</v>
      </c>
      <c r="N3685">
        <v>-5.194</v>
      </c>
      <c r="O3685" s="1" t="s">
        <v>40</v>
      </c>
      <c r="P3685" s="1" t="s">
        <v>8882</v>
      </c>
      <c r="Q3685" s="1" t="s">
        <v>8883</v>
      </c>
      <c r="R3685" s="1" t="s">
        <v>43</v>
      </c>
      <c r="S3685" s="1" t="s">
        <v>8884</v>
      </c>
      <c r="T3685" s="1" t="s">
        <v>8885</v>
      </c>
      <c r="U3685" s="2" t="s">
        <v>8886</v>
      </c>
      <c r="V3685" s="2" t="s">
        <v>83</v>
      </c>
      <c r="W3685" s="2" t="s">
        <v>178</v>
      </c>
      <c r="X3685" s="2">
        <v>69.790000000000006</v>
      </c>
    </row>
    <row r="3686" spans="1:24" x14ac:dyDescent="0.3">
      <c r="A3686">
        <v>21535</v>
      </c>
      <c r="B3686" t="s">
        <v>8881</v>
      </c>
      <c r="C3686" s="3">
        <v>40928</v>
      </c>
      <c r="D3686" t="s">
        <v>25</v>
      </c>
      <c r="E3686">
        <v>4</v>
      </c>
      <c r="F3686" s="3">
        <f ca="1">40935+(RANDBETWEEN(1,10))</f>
        <v>40936</v>
      </c>
      <c r="G3686" t="s">
        <v>26</v>
      </c>
      <c r="H3686" t="s">
        <v>96</v>
      </c>
      <c r="I3686" t="s">
        <v>28</v>
      </c>
      <c r="J3686">
        <v>93.905000000000001</v>
      </c>
      <c r="K3686">
        <v>0.08</v>
      </c>
      <c r="L3686">
        <v>0.36</v>
      </c>
      <c r="M3686">
        <v>10.85</v>
      </c>
      <c r="N3686">
        <v>-1268.3748000000001</v>
      </c>
      <c r="O3686" s="1" t="s">
        <v>40</v>
      </c>
      <c r="P3686" s="1" t="s">
        <v>8882</v>
      </c>
      <c r="Q3686" s="1" t="s">
        <v>8883</v>
      </c>
      <c r="R3686" s="1" t="s">
        <v>43</v>
      </c>
      <c r="S3686" s="1" t="s">
        <v>8884</v>
      </c>
      <c r="T3686" s="1" t="s">
        <v>8885</v>
      </c>
      <c r="U3686" s="2" t="s">
        <v>8343</v>
      </c>
      <c r="V3686" s="2" t="s">
        <v>47</v>
      </c>
      <c r="W3686" s="2" t="s">
        <v>74</v>
      </c>
      <c r="X3686" s="2">
        <v>23.414999999999999</v>
      </c>
    </row>
    <row r="3687" spans="1:24" x14ac:dyDescent="0.3">
      <c r="A3687">
        <v>21536</v>
      </c>
      <c r="B3687" t="s">
        <v>8881</v>
      </c>
      <c r="C3687" s="3">
        <v>40928</v>
      </c>
      <c r="D3687" t="s">
        <v>25</v>
      </c>
      <c r="E3687">
        <v>1</v>
      </c>
      <c r="F3687" s="3">
        <f ca="1">40933+(RANDBETWEEN(1,10))</f>
        <v>40940</v>
      </c>
      <c r="G3687" t="s">
        <v>156</v>
      </c>
      <c r="H3687" t="s">
        <v>27</v>
      </c>
      <c r="I3687" t="s">
        <v>28</v>
      </c>
      <c r="J3687">
        <v>35.42</v>
      </c>
      <c r="K3687">
        <v>0.01</v>
      </c>
      <c r="L3687">
        <v>0.38</v>
      </c>
      <c r="M3687">
        <v>19.215</v>
      </c>
      <c r="N3687">
        <v>358.89210000000003</v>
      </c>
      <c r="O3687" s="1" t="s">
        <v>40</v>
      </c>
      <c r="P3687" s="1" t="s">
        <v>8882</v>
      </c>
      <c r="Q3687" s="1" t="s">
        <v>8883</v>
      </c>
      <c r="R3687" s="1" t="s">
        <v>43</v>
      </c>
      <c r="S3687" s="1" t="s">
        <v>8884</v>
      </c>
      <c r="T3687" s="1" t="s">
        <v>8885</v>
      </c>
      <c r="U3687" s="2" t="s">
        <v>236</v>
      </c>
      <c r="V3687" s="2" t="s">
        <v>47</v>
      </c>
      <c r="W3687" s="2" t="s">
        <v>74</v>
      </c>
      <c r="X3687" s="2">
        <v>17.43</v>
      </c>
    </row>
    <row r="3688" spans="1:24" x14ac:dyDescent="0.3">
      <c r="A3688">
        <v>21537</v>
      </c>
      <c r="B3688" t="s">
        <v>8887</v>
      </c>
      <c r="C3688" s="3">
        <v>41054</v>
      </c>
      <c r="D3688" t="s">
        <v>50</v>
      </c>
      <c r="E3688">
        <v>9</v>
      </c>
      <c r="F3688" s="3">
        <f ca="1">41056+(RANDBETWEEN(1,10))</f>
        <v>41059</v>
      </c>
      <c r="G3688" t="s">
        <v>26</v>
      </c>
      <c r="H3688" t="s">
        <v>27</v>
      </c>
      <c r="I3688" t="s">
        <v>28</v>
      </c>
      <c r="J3688">
        <v>715.82</v>
      </c>
      <c r="K3688">
        <v>0.02</v>
      </c>
      <c r="L3688">
        <v>0.39</v>
      </c>
      <c r="M3688">
        <v>28.63</v>
      </c>
      <c r="N3688">
        <v>313.60000000000002</v>
      </c>
      <c r="O3688" s="1" t="s">
        <v>40</v>
      </c>
      <c r="P3688" s="1" t="s">
        <v>8888</v>
      </c>
      <c r="Q3688" s="1" t="s">
        <v>8889</v>
      </c>
      <c r="R3688" s="1" t="s">
        <v>220</v>
      </c>
      <c r="S3688" s="1" t="s">
        <v>4969</v>
      </c>
      <c r="T3688" s="1" t="s">
        <v>4970</v>
      </c>
      <c r="U3688" s="2" t="s">
        <v>4870</v>
      </c>
      <c r="V3688" s="2" t="s">
        <v>47</v>
      </c>
      <c r="W3688" s="2" t="s">
        <v>74</v>
      </c>
      <c r="X3688" s="2">
        <v>79.94</v>
      </c>
    </row>
    <row r="3689" spans="1:24" x14ac:dyDescent="0.3">
      <c r="A3689">
        <v>21538</v>
      </c>
      <c r="B3689" t="s">
        <v>8887</v>
      </c>
      <c r="C3689" s="3">
        <v>41054</v>
      </c>
      <c r="D3689" t="s">
        <v>50</v>
      </c>
      <c r="E3689">
        <v>17</v>
      </c>
      <c r="F3689" s="3">
        <f ca="1">41055+(RANDBETWEEN(1,10))</f>
        <v>41065</v>
      </c>
      <c r="G3689" t="s">
        <v>26</v>
      </c>
      <c r="H3689" t="s">
        <v>96</v>
      </c>
      <c r="I3689" t="s">
        <v>28</v>
      </c>
      <c r="J3689">
        <v>344.05</v>
      </c>
      <c r="K3689">
        <v>7.0000000000000007E-2</v>
      </c>
      <c r="L3689">
        <v>0.55000000000000004</v>
      </c>
      <c r="M3689">
        <v>4.2</v>
      </c>
      <c r="N3689">
        <v>184.59</v>
      </c>
      <c r="O3689" s="1" t="s">
        <v>29</v>
      </c>
      <c r="P3689" s="1" t="s">
        <v>8890</v>
      </c>
      <c r="Q3689" s="1" t="s">
        <v>8891</v>
      </c>
      <c r="R3689" s="1" t="s">
        <v>32</v>
      </c>
      <c r="S3689" s="1" t="s">
        <v>3276</v>
      </c>
      <c r="T3689" s="1" t="s">
        <v>3277</v>
      </c>
      <c r="U3689" s="2" t="s">
        <v>4460</v>
      </c>
      <c r="V3689" s="2" t="s">
        <v>47</v>
      </c>
      <c r="W3689" s="2" t="s">
        <v>104</v>
      </c>
      <c r="X3689" s="2">
        <v>20.440000000000001</v>
      </c>
    </row>
    <row r="3690" spans="1:24" x14ac:dyDescent="0.3">
      <c r="A3690">
        <v>21539</v>
      </c>
      <c r="B3690" t="s">
        <v>8892</v>
      </c>
      <c r="C3690" s="3">
        <v>41277</v>
      </c>
      <c r="D3690" t="s">
        <v>148</v>
      </c>
      <c r="E3690">
        <v>6</v>
      </c>
      <c r="F3690" s="3">
        <f ca="1">41279+(RANDBETWEEN(1,10))</f>
        <v>41282</v>
      </c>
      <c r="G3690" t="s">
        <v>26</v>
      </c>
      <c r="H3690" t="s">
        <v>27</v>
      </c>
      <c r="I3690" t="s">
        <v>97</v>
      </c>
      <c r="J3690">
        <v>1642.375</v>
      </c>
      <c r="K3690">
        <v>0</v>
      </c>
      <c r="L3690">
        <v>0.35</v>
      </c>
      <c r="M3690">
        <v>8.75</v>
      </c>
      <c r="N3690">
        <v>1133.23875</v>
      </c>
      <c r="O3690" s="1" t="s">
        <v>64</v>
      </c>
      <c r="P3690" s="1" t="s">
        <v>5331</v>
      </c>
      <c r="Q3690" s="1" t="s">
        <v>5332</v>
      </c>
      <c r="R3690" s="1" t="s">
        <v>128</v>
      </c>
      <c r="S3690" s="1" t="s">
        <v>4805</v>
      </c>
      <c r="T3690" s="1" t="s">
        <v>4806</v>
      </c>
      <c r="U3690" s="2" t="s">
        <v>8893</v>
      </c>
      <c r="V3690" s="2" t="s">
        <v>36</v>
      </c>
      <c r="W3690" s="2" t="s">
        <v>37</v>
      </c>
      <c r="X3690" s="2">
        <v>300.96499999999997</v>
      </c>
    </row>
    <row r="3691" spans="1:24" x14ac:dyDescent="0.3">
      <c r="A3691">
        <v>21540</v>
      </c>
      <c r="B3691" t="s">
        <v>8894</v>
      </c>
      <c r="C3691" s="3">
        <v>41363</v>
      </c>
      <c r="D3691" t="s">
        <v>148</v>
      </c>
      <c r="E3691">
        <v>12</v>
      </c>
      <c r="F3691" s="3">
        <f ca="1">41363+(RANDBETWEEN(1,10))</f>
        <v>41370</v>
      </c>
      <c r="G3691" t="s">
        <v>26</v>
      </c>
      <c r="H3691" t="s">
        <v>27</v>
      </c>
      <c r="I3691" t="s">
        <v>86</v>
      </c>
      <c r="J3691">
        <v>4091.15</v>
      </c>
      <c r="K3691">
        <v>0.05</v>
      </c>
      <c r="L3691">
        <v>0.55000000000000004</v>
      </c>
      <c r="M3691">
        <v>8.75</v>
      </c>
      <c r="N3691">
        <v>2822.8935000000001</v>
      </c>
      <c r="O3691" s="1" t="s">
        <v>29</v>
      </c>
      <c r="P3691" s="1" t="s">
        <v>8895</v>
      </c>
      <c r="Q3691" s="1" t="s">
        <v>8896</v>
      </c>
      <c r="R3691" s="1" t="s">
        <v>460</v>
      </c>
      <c r="S3691" s="1" t="s">
        <v>8897</v>
      </c>
      <c r="T3691" s="1" t="s">
        <v>8898</v>
      </c>
      <c r="U3691" s="2" t="s">
        <v>2369</v>
      </c>
      <c r="V3691" s="2" t="s">
        <v>36</v>
      </c>
      <c r="W3691" s="2" t="s">
        <v>37</v>
      </c>
      <c r="X3691" s="2">
        <v>405.96499999999997</v>
      </c>
    </row>
    <row r="3692" spans="1:24" x14ac:dyDescent="0.3">
      <c r="A3692">
        <v>21541</v>
      </c>
      <c r="B3692" t="s">
        <v>8899</v>
      </c>
      <c r="C3692" s="3">
        <v>41609</v>
      </c>
      <c r="D3692" t="s">
        <v>148</v>
      </c>
      <c r="E3692">
        <v>17</v>
      </c>
      <c r="F3692" s="3">
        <f ca="1">41611+(RANDBETWEEN(1,10))</f>
        <v>41615</v>
      </c>
      <c r="G3692" t="s">
        <v>156</v>
      </c>
      <c r="H3692" t="s">
        <v>51</v>
      </c>
      <c r="I3692" t="s">
        <v>86</v>
      </c>
      <c r="J3692">
        <v>488.88</v>
      </c>
      <c r="K3692">
        <v>0.05</v>
      </c>
      <c r="L3692">
        <v>0.52</v>
      </c>
      <c r="M3692">
        <v>6.9649999999999999</v>
      </c>
      <c r="N3692">
        <v>153.35249999999999</v>
      </c>
      <c r="O3692" s="1" t="s">
        <v>225</v>
      </c>
      <c r="P3692" s="1" t="s">
        <v>4173</v>
      </c>
      <c r="Q3692" s="1" t="s">
        <v>4174</v>
      </c>
      <c r="R3692" s="1" t="s">
        <v>228</v>
      </c>
      <c r="S3692" s="1" t="s">
        <v>4175</v>
      </c>
      <c r="T3692" s="1" t="s">
        <v>2326</v>
      </c>
      <c r="U3692" s="2" t="s">
        <v>2853</v>
      </c>
      <c r="V3692" s="2" t="s">
        <v>36</v>
      </c>
      <c r="W3692" s="2" t="s">
        <v>60</v>
      </c>
      <c r="X3692" s="2">
        <v>29.155000000000001</v>
      </c>
    </row>
    <row r="3693" spans="1:24" x14ac:dyDescent="0.3">
      <c r="A3693">
        <v>21542</v>
      </c>
      <c r="B3693" t="s">
        <v>8899</v>
      </c>
      <c r="C3693" s="3">
        <v>41609</v>
      </c>
      <c r="D3693" t="s">
        <v>148</v>
      </c>
      <c r="E3693">
        <v>13</v>
      </c>
      <c r="F3693" s="3">
        <f ca="1">41610+(RANDBETWEEN(1,10))</f>
        <v>41611</v>
      </c>
      <c r="G3693" t="s">
        <v>26</v>
      </c>
      <c r="H3693" t="s">
        <v>27</v>
      </c>
      <c r="I3693" t="s">
        <v>86</v>
      </c>
      <c r="J3693">
        <v>2013.0250000000001</v>
      </c>
      <c r="K3693">
        <v>0.1</v>
      </c>
      <c r="L3693">
        <v>0.38</v>
      </c>
      <c r="M3693">
        <v>20.335000000000001</v>
      </c>
      <c r="N3693">
        <v>1388.9872499999999</v>
      </c>
      <c r="O3693" s="1" t="s">
        <v>225</v>
      </c>
      <c r="P3693" s="1" t="s">
        <v>4173</v>
      </c>
      <c r="Q3693" s="1" t="s">
        <v>4174</v>
      </c>
      <c r="R3693" s="1" t="s">
        <v>228</v>
      </c>
      <c r="S3693" s="1" t="s">
        <v>4175</v>
      </c>
      <c r="T3693" s="1" t="s">
        <v>2326</v>
      </c>
      <c r="U3693" s="2" t="s">
        <v>1912</v>
      </c>
      <c r="V3693" s="2" t="s">
        <v>47</v>
      </c>
      <c r="W3693" s="2" t="s">
        <v>74</v>
      </c>
      <c r="X3693" s="2">
        <v>171.185</v>
      </c>
    </row>
    <row r="3694" spans="1:24" x14ac:dyDescent="0.3">
      <c r="A3694">
        <v>21543</v>
      </c>
      <c r="B3694" t="s">
        <v>8900</v>
      </c>
      <c r="C3694" s="3">
        <v>41949</v>
      </c>
      <c r="D3694" t="s">
        <v>148</v>
      </c>
      <c r="E3694">
        <v>31</v>
      </c>
      <c r="F3694" s="3">
        <f ca="1">41951+(RANDBETWEEN(1,10))</f>
        <v>41956</v>
      </c>
      <c r="G3694" t="s">
        <v>26</v>
      </c>
      <c r="H3694" t="s">
        <v>27</v>
      </c>
      <c r="I3694" t="s">
        <v>52</v>
      </c>
      <c r="J3694">
        <v>2957.7449999999999</v>
      </c>
      <c r="K3694">
        <v>0.09</v>
      </c>
      <c r="L3694">
        <v>0.38</v>
      </c>
      <c r="M3694">
        <v>5.2149999999999999</v>
      </c>
      <c r="N3694">
        <v>2040.8440499999999</v>
      </c>
      <c r="O3694" s="1" t="s">
        <v>29</v>
      </c>
      <c r="P3694" s="1" t="s">
        <v>5050</v>
      </c>
      <c r="Q3694" s="1" t="s">
        <v>5051</v>
      </c>
      <c r="R3694" s="1" t="s">
        <v>675</v>
      </c>
      <c r="S3694" s="1" t="s">
        <v>5052</v>
      </c>
      <c r="T3694" s="1" t="s">
        <v>5053</v>
      </c>
      <c r="U3694" s="2" t="s">
        <v>301</v>
      </c>
      <c r="V3694" s="2" t="s">
        <v>47</v>
      </c>
      <c r="W3694" s="2" t="s">
        <v>111</v>
      </c>
      <c r="X3694" s="2">
        <v>99.855000000000004</v>
      </c>
    </row>
    <row r="3695" spans="1:24" x14ac:dyDescent="0.3">
      <c r="A3695">
        <v>21544</v>
      </c>
      <c r="B3695" t="s">
        <v>8901</v>
      </c>
      <c r="C3695" s="3">
        <v>41169</v>
      </c>
      <c r="D3695" t="s">
        <v>62</v>
      </c>
      <c r="E3695">
        <v>16</v>
      </c>
      <c r="F3695" s="3">
        <f ca="1">41171+(RANDBETWEEN(1,10))</f>
        <v>41178</v>
      </c>
      <c r="G3695" t="s">
        <v>26</v>
      </c>
      <c r="H3695" t="s">
        <v>27</v>
      </c>
      <c r="I3695" t="s">
        <v>86</v>
      </c>
      <c r="J3695">
        <v>479.5</v>
      </c>
      <c r="K3695">
        <v>0.06</v>
      </c>
      <c r="L3695">
        <v>0.36</v>
      </c>
      <c r="M3695">
        <v>19.600000000000001</v>
      </c>
      <c r="N3695">
        <v>-102.75825</v>
      </c>
      <c r="O3695" s="1" t="s">
        <v>29</v>
      </c>
      <c r="P3695" s="1" t="s">
        <v>4277</v>
      </c>
      <c r="Q3695" s="1" t="s">
        <v>4278</v>
      </c>
      <c r="R3695" s="1" t="s">
        <v>32</v>
      </c>
      <c r="S3695" s="1" t="s">
        <v>4279</v>
      </c>
      <c r="T3695" s="1" t="s">
        <v>4280</v>
      </c>
      <c r="U3695" s="2" t="s">
        <v>3792</v>
      </c>
      <c r="V3695" s="2" t="s">
        <v>47</v>
      </c>
      <c r="W3695" s="2" t="s">
        <v>111</v>
      </c>
      <c r="X3695" s="2">
        <v>30.975000000000001</v>
      </c>
    </row>
    <row r="3696" spans="1:24" x14ac:dyDescent="0.3">
      <c r="A3696">
        <v>21545</v>
      </c>
      <c r="B3696" t="s">
        <v>8902</v>
      </c>
      <c r="C3696" s="3">
        <v>41415</v>
      </c>
      <c r="D3696" t="s">
        <v>50</v>
      </c>
      <c r="E3696">
        <v>6</v>
      </c>
      <c r="F3696" s="3">
        <f ca="1">41417+(RANDBETWEEN(1,10))</f>
        <v>41421</v>
      </c>
      <c r="G3696" t="s">
        <v>26</v>
      </c>
      <c r="H3696" t="s">
        <v>27</v>
      </c>
      <c r="I3696" t="s">
        <v>28</v>
      </c>
      <c r="J3696">
        <v>235.27</v>
      </c>
      <c r="K3696">
        <v>0.01</v>
      </c>
      <c r="L3696">
        <v>0.38</v>
      </c>
      <c r="M3696">
        <v>10.465</v>
      </c>
      <c r="N3696">
        <v>128.72825</v>
      </c>
      <c r="O3696" s="1" t="s">
        <v>40</v>
      </c>
      <c r="P3696" s="1" t="s">
        <v>8903</v>
      </c>
      <c r="Q3696" s="1" t="s">
        <v>8904</v>
      </c>
      <c r="R3696" s="1" t="s">
        <v>43</v>
      </c>
      <c r="S3696" s="1" t="s">
        <v>5804</v>
      </c>
      <c r="T3696" s="1" t="s">
        <v>5805</v>
      </c>
      <c r="U3696" s="2" t="s">
        <v>1610</v>
      </c>
      <c r="V3696" s="2" t="s">
        <v>47</v>
      </c>
      <c r="W3696" s="2" t="s">
        <v>111</v>
      </c>
      <c r="X3696" s="2">
        <v>38.185000000000002</v>
      </c>
    </row>
    <row r="3697" spans="1:24" x14ac:dyDescent="0.3">
      <c r="A3697">
        <v>21546</v>
      </c>
      <c r="B3697" t="s">
        <v>8902</v>
      </c>
      <c r="C3697" s="3">
        <v>41415</v>
      </c>
      <c r="D3697" t="s">
        <v>50</v>
      </c>
      <c r="E3697">
        <v>18</v>
      </c>
      <c r="F3697" s="3">
        <f ca="1">41416+(RANDBETWEEN(1,10))</f>
        <v>41417</v>
      </c>
      <c r="G3697" t="s">
        <v>26</v>
      </c>
      <c r="H3697" t="s">
        <v>96</v>
      </c>
      <c r="I3697" t="s">
        <v>28</v>
      </c>
      <c r="J3697">
        <v>271.63499999999999</v>
      </c>
      <c r="K3697">
        <v>0.03</v>
      </c>
      <c r="L3697">
        <v>0.56999999999999995</v>
      </c>
      <c r="M3697">
        <v>4.0949999999999998</v>
      </c>
      <c r="N3697">
        <v>100.625</v>
      </c>
      <c r="O3697" s="1" t="s">
        <v>64</v>
      </c>
      <c r="P3697" s="1" t="s">
        <v>8905</v>
      </c>
      <c r="Q3697" s="1" t="s">
        <v>8906</v>
      </c>
      <c r="R3697" s="1" t="s">
        <v>128</v>
      </c>
      <c r="S3697" s="1" t="s">
        <v>8907</v>
      </c>
      <c r="T3697" s="1" t="s">
        <v>8908</v>
      </c>
      <c r="U3697" s="2" t="s">
        <v>6469</v>
      </c>
      <c r="V3697" s="2" t="s">
        <v>47</v>
      </c>
      <c r="W3697" s="2" t="s">
        <v>104</v>
      </c>
      <c r="X3697" s="2">
        <v>14.455</v>
      </c>
    </row>
    <row r="3698" spans="1:24" x14ac:dyDescent="0.3">
      <c r="A3698">
        <v>21547</v>
      </c>
      <c r="B3698" t="s">
        <v>8909</v>
      </c>
      <c r="C3698" s="3">
        <v>41872</v>
      </c>
      <c r="D3698" t="s">
        <v>62</v>
      </c>
      <c r="E3698">
        <v>10</v>
      </c>
      <c r="F3698" s="3">
        <f ca="1">41874+(RANDBETWEEN(1,10))</f>
        <v>41876</v>
      </c>
      <c r="G3698" t="s">
        <v>26</v>
      </c>
      <c r="H3698" t="s">
        <v>51</v>
      </c>
      <c r="I3698" t="s">
        <v>28</v>
      </c>
      <c r="J3698">
        <v>771.29499999999996</v>
      </c>
      <c r="K3698">
        <v>0.05</v>
      </c>
      <c r="L3698">
        <v>0.59</v>
      </c>
      <c r="M3698">
        <v>19.355</v>
      </c>
      <c r="N3698">
        <v>126.20608</v>
      </c>
      <c r="O3698" s="1" t="s">
        <v>29</v>
      </c>
      <c r="P3698" s="1" t="s">
        <v>8910</v>
      </c>
      <c r="Q3698" s="1" t="s">
        <v>8911</v>
      </c>
      <c r="R3698" s="1" t="s">
        <v>32</v>
      </c>
      <c r="S3698" s="1" t="s">
        <v>3276</v>
      </c>
      <c r="T3698" s="1" t="s">
        <v>3277</v>
      </c>
      <c r="U3698" s="2" t="s">
        <v>2037</v>
      </c>
      <c r="V3698" s="2" t="s">
        <v>47</v>
      </c>
      <c r="W3698" s="2" t="s">
        <v>104</v>
      </c>
      <c r="X3698" s="2">
        <v>77.034999999999997</v>
      </c>
    </row>
    <row r="3699" spans="1:24" x14ac:dyDescent="0.3">
      <c r="A3699">
        <v>21548</v>
      </c>
      <c r="B3699" t="s">
        <v>8912</v>
      </c>
      <c r="C3699" s="3">
        <v>41694</v>
      </c>
      <c r="D3699" t="s">
        <v>39</v>
      </c>
      <c r="E3699">
        <v>11</v>
      </c>
      <c r="F3699" s="3">
        <f ca="1">41696+(RANDBETWEEN(1,10))</f>
        <v>41704</v>
      </c>
      <c r="G3699" t="s">
        <v>26</v>
      </c>
      <c r="H3699" t="s">
        <v>27</v>
      </c>
      <c r="I3699" t="s">
        <v>28</v>
      </c>
      <c r="J3699">
        <v>6875.8549999999996</v>
      </c>
      <c r="K3699">
        <v>0</v>
      </c>
      <c r="L3699">
        <v>0.59</v>
      </c>
      <c r="M3699">
        <v>17.5</v>
      </c>
      <c r="N3699">
        <v>-269.05900000000003</v>
      </c>
      <c r="O3699" s="1" t="s">
        <v>87</v>
      </c>
      <c r="P3699" s="1" t="s">
        <v>8913</v>
      </c>
      <c r="Q3699" s="1" t="s">
        <v>8914</v>
      </c>
      <c r="R3699" s="1" t="s">
        <v>398</v>
      </c>
      <c r="S3699" s="1" t="s">
        <v>8915</v>
      </c>
      <c r="T3699" s="1" t="s">
        <v>8916</v>
      </c>
      <c r="U3699" s="2" t="s">
        <v>6973</v>
      </c>
      <c r="V3699" s="2" t="s">
        <v>36</v>
      </c>
      <c r="W3699" s="2" t="s">
        <v>37</v>
      </c>
      <c r="X3699" s="2">
        <v>720.96500000000003</v>
      </c>
    </row>
    <row r="3700" spans="1:24" x14ac:dyDescent="0.3">
      <c r="A3700">
        <v>21549</v>
      </c>
      <c r="B3700" t="s">
        <v>8917</v>
      </c>
      <c r="C3700" s="3">
        <v>41245</v>
      </c>
      <c r="D3700" t="s">
        <v>25</v>
      </c>
      <c r="E3700">
        <v>17</v>
      </c>
      <c r="F3700" s="3">
        <f ca="1">41245+(RANDBETWEEN(1,10))</f>
        <v>41252</v>
      </c>
      <c r="G3700" t="s">
        <v>156</v>
      </c>
      <c r="H3700" t="s">
        <v>281</v>
      </c>
      <c r="I3700" t="s">
        <v>52</v>
      </c>
      <c r="J3700">
        <v>12864.18</v>
      </c>
      <c r="K3700">
        <v>7.0000000000000007E-2</v>
      </c>
      <c r="L3700">
        <v>0.42</v>
      </c>
      <c r="M3700">
        <v>41.265000000000001</v>
      </c>
      <c r="N3700">
        <v>8876.2842000000001</v>
      </c>
      <c r="O3700" s="1" t="s">
        <v>64</v>
      </c>
      <c r="P3700" s="1" t="s">
        <v>6904</v>
      </c>
      <c r="Q3700" s="1" t="s">
        <v>6905</v>
      </c>
      <c r="R3700" s="1" t="s">
        <v>67</v>
      </c>
      <c r="S3700" s="1" t="s">
        <v>6906</v>
      </c>
      <c r="T3700" s="1" t="s">
        <v>6907</v>
      </c>
      <c r="U3700" s="2" t="s">
        <v>8918</v>
      </c>
      <c r="V3700" s="2" t="s">
        <v>47</v>
      </c>
      <c r="W3700" s="2" t="s">
        <v>71</v>
      </c>
      <c r="X3700" s="2">
        <v>787.64</v>
      </c>
    </row>
    <row r="3701" spans="1:24" x14ac:dyDescent="0.3">
      <c r="A3701">
        <v>21550</v>
      </c>
      <c r="B3701" t="s">
        <v>8917</v>
      </c>
      <c r="C3701" s="3">
        <v>41245</v>
      </c>
      <c r="D3701" t="s">
        <v>25</v>
      </c>
      <c r="E3701">
        <v>10</v>
      </c>
      <c r="F3701" s="3">
        <f ca="1">41245+(RANDBETWEEN(1,10))</f>
        <v>41249</v>
      </c>
      <c r="G3701" t="s">
        <v>26</v>
      </c>
      <c r="H3701" t="s">
        <v>96</v>
      </c>
      <c r="I3701" t="s">
        <v>52</v>
      </c>
      <c r="J3701">
        <v>102.935</v>
      </c>
      <c r="K3701">
        <v>0</v>
      </c>
      <c r="L3701">
        <v>0.54</v>
      </c>
      <c r="M3701">
        <v>3.2549999999999999</v>
      </c>
      <c r="N3701">
        <v>22.785</v>
      </c>
      <c r="O3701" s="1" t="s">
        <v>64</v>
      </c>
      <c r="P3701" s="1" t="s">
        <v>6904</v>
      </c>
      <c r="Q3701" s="1" t="s">
        <v>6905</v>
      </c>
      <c r="R3701" s="1" t="s">
        <v>67</v>
      </c>
      <c r="S3701" s="1" t="s">
        <v>6906</v>
      </c>
      <c r="T3701" s="1" t="s">
        <v>6907</v>
      </c>
      <c r="U3701" s="2" t="s">
        <v>1476</v>
      </c>
      <c r="V3701" s="2" t="s">
        <v>47</v>
      </c>
      <c r="W3701" s="2" t="s">
        <v>104</v>
      </c>
      <c r="X3701" s="2">
        <v>9.94</v>
      </c>
    </row>
    <row r="3702" spans="1:24" x14ac:dyDescent="0.3">
      <c r="A3702">
        <v>21551</v>
      </c>
      <c r="B3702" t="s">
        <v>8917</v>
      </c>
      <c r="C3702" s="3">
        <v>41245</v>
      </c>
      <c r="D3702" t="s">
        <v>25</v>
      </c>
      <c r="E3702">
        <v>17</v>
      </c>
      <c r="F3702" s="3">
        <f ca="1">41247+(RANDBETWEEN(1,10))</f>
        <v>41256</v>
      </c>
      <c r="G3702" t="s">
        <v>76</v>
      </c>
      <c r="H3702" t="s">
        <v>258</v>
      </c>
      <c r="I3702" t="s">
        <v>52</v>
      </c>
      <c r="J3702">
        <v>2116.1350000000002</v>
      </c>
      <c r="K3702">
        <v>0</v>
      </c>
      <c r="L3702">
        <v>0.65</v>
      </c>
      <c r="M3702">
        <v>159.285</v>
      </c>
      <c r="N3702">
        <v>-1834.434</v>
      </c>
      <c r="O3702" s="1" t="s">
        <v>64</v>
      </c>
      <c r="P3702" s="1" t="s">
        <v>6904</v>
      </c>
      <c r="Q3702" s="1" t="s">
        <v>6905</v>
      </c>
      <c r="R3702" s="1" t="s">
        <v>67</v>
      </c>
      <c r="S3702" s="1" t="s">
        <v>6906</v>
      </c>
      <c r="T3702" s="1" t="s">
        <v>6907</v>
      </c>
      <c r="U3702" s="2" t="s">
        <v>1566</v>
      </c>
      <c r="V3702" s="2" t="s">
        <v>83</v>
      </c>
      <c r="W3702" s="2" t="s">
        <v>263</v>
      </c>
      <c r="X3702" s="2">
        <v>111.16</v>
      </c>
    </row>
    <row r="3703" spans="1:24" x14ac:dyDescent="0.3">
      <c r="A3703">
        <v>21552</v>
      </c>
      <c r="B3703" t="s">
        <v>8919</v>
      </c>
      <c r="C3703" s="3">
        <v>41597</v>
      </c>
      <c r="D3703" t="s">
        <v>62</v>
      </c>
      <c r="E3703">
        <v>19</v>
      </c>
      <c r="F3703" s="3">
        <f ca="1">41599+(RANDBETWEEN(1,10))</f>
        <v>41602</v>
      </c>
      <c r="G3703" t="s">
        <v>156</v>
      </c>
      <c r="H3703" t="s">
        <v>27</v>
      </c>
      <c r="I3703" t="s">
        <v>86</v>
      </c>
      <c r="J3703">
        <v>1332.7650000000001</v>
      </c>
      <c r="K3703">
        <v>0.05</v>
      </c>
      <c r="L3703">
        <v>0.49</v>
      </c>
      <c r="M3703">
        <v>36.715000000000003</v>
      </c>
      <c r="N3703">
        <v>45.625999999999998</v>
      </c>
      <c r="O3703" s="1" t="s">
        <v>87</v>
      </c>
      <c r="P3703" s="1" t="s">
        <v>8487</v>
      </c>
      <c r="Q3703" s="1" t="s">
        <v>8488</v>
      </c>
      <c r="R3703" s="1" t="s">
        <v>90</v>
      </c>
      <c r="S3703" s="1" t="s">
        <v>8489</v>
      </c>
      <c r="T3703" s="1" t="s">
        <v>8490</v>
      </c>
      <c r="U3703" s="2" t="s">
        <v>2586</v>
      </c>
      <c r="V3703" s="2" t="s">
        <v>83</v>
      </c>
      <c r="W3703" s="2" t="s">
        <v>178</v>
      </c>
      <c r="X3703" s="2">
        <v>69.930000000000007</v>
      </c>
    </row>
    <row r="3704" spans="1:24" x14ac:dyDescent="0.3">
      <c r="A3704">
        <v>21553</v>
      </c>
      <c r="B3704" t="s">
        <v>8920</v>
      </c>
      <c r="C3704" s="3">
        <v>41597</v>
      </c>
      <c r="D3704" t="s">
        <v>62</v>
      </c>
      <c r="E3704">
        <v>1</v>
      </c>
      <c r="F3704" s="3">
        <f ca="1">41599+(RANDBETWEEN(1,10))</f>
        <v>41604</v>
      </c>
      <c r="G3704" t="s">
        <v>26</v>
      </c>
      <c r="H3704" t="s">
        <v>27</v>
      </c>
      <c r="I3704" t="s">
        <v>86</v>
      </c>
      <c r="J3704">
        <v>11.2</v>
      </c>
      <c r="K3704">
        <v>0.09</v>
      </c>
      <c r="L3704">
        <v>0.37</v>
      </c>
      <c r="M3704">
        <v>5.2149999999999999</v>
      </c>
      <c r="N3704">
        <v>2.2137500000000001</v>
      </c>
      <c r="O3704" s="1" t="s">
        <v>29</v>
      </c>
      <c r="P3704" s="1" t="s">
        <v>6739</v>
      </c>
      <c r="Q3704" s="1" t="s">
        <v>6740</v>
      </c>
      <c r="R3704" s="1" t="s">
        <v>32</v>
      </c>
      <c r="S3704" s="1" t="s">
        <v>3689</v>
      </c>
      <c r="T3704" s="1" t="s">
        <v>3690</v>
      </c>
      <c r="U3704" s="2" t="s">
        <v>4275</v>
      </c>
      <c r="V3704" s="2" t="s">
        <v>47</v>
      </c>
      <c r="W3704" s="2" t="s">
        <v>111</v>
      </c>
      <c r="X3704" s="2">
        <v>6.58</v>
      </c>
    </row>
    <row r="3705" spans="1:24" x14ac:dyDescent="0.3">
      <c r="A3705">
        <v>21554</v>
      </c>
      <c r="B3705" t="s">
        <v>8921</v>
      </c>
      <c r="C3705" s="3">
        <v>40706</v>
      </c>
      <c r="D3705" t="s">
        <v>25</v>
      </c>
      <c r="E3705">
        <v>11</v>
      </c>
      <c r="F3705" s="3">
        <f ca="1">40713+(RANDBETWEEN(1,10))</f>
        <v>40715</v>
      </c>
      <c r="G3705" t="s">
        <v>26</v>
      </c>
      <c r="H3705" t="s">
        <v>27</v>
      </c>
      <c r="I3705" t="s">
        <v>28</v>
      </c>
      <c r="J3705">
        <v>1330</v>
      </c>
      <c r="K3705">
        <v>7.0000000000000007E-2</v>
      </c>
      <c r="L3705">
        <v>0.38</v>
      </c>
      <c r="M3705">
        <v>26.25</v>
      </c>
      <c r="N3705">
        <v>917.7</v>
      </c>
      <c r="O3705" s="1" t="s">
        <v>53</v>
      </c>
      <c r="P3705" s="1" t="s">
        <v>1273</v>
      </c>
      <c r="Q3705" s="1" t="s">
        <v>1274</v>
      </c>
      <c r="R3705" s="1" t="s">
        <v>56</v>
      </c>
      <c r="S3705" s="1" t="s">
        <v>1275</v>
      </c>
      <c r="T3705" s="1" t="s">
        <v>1276</v>
      </c>
      <c r="U3705" s="2" t="s">
        <v>5854</v>
      </c>
      <c r="V3705" s="2" t="s">
        <v>47</v>
      </c>
      <c r="W3705" s="2" t="s">
        <v>74</v>
      </c>
      <c r="X3705" s="2">
        <v>124.04</v>
      </c>
    </row>
    <row r="3706" spans="1:24" x14ac:dyDescent="0.3">
      <c r="A3706">
        <v>21555</v>
      </c>
      <c r="B3706" t="s">
        <v>8922</v>
      </c>
      <c r="C3706" s="3">
        <v>41768</v>
      </c>
      <c r="D3706" t="s">
        <v>62</v>
      </c>
      <c r="E3706">
        <v>2</v>
      </c>
      <c r="F3706" s="3">
        <f ca="1">41770+(RANDBETWEEN(1,10))</f>
        <v>41780</v>
      </c>
      <c r="G3706" t="s">
        <v>26</v>
      </c>
      <c r="H3706" t="s">
        <v>27</v>
      </c>
      <c r="I3706" t="s">
        <v>86</v>
      </c>
      <c r="J3706">
        <v>400.57499999999999</v>
      </c>
      <c r="K3706">
        <v>0.08</v>
      </c>
      <c r="L3706">
        <v>0.56000000000000005</v>
      </c>
      <c r="M3706">
        <v>46.27</v>
      </c>
      <c r="N3706">
        <v>-1088.633</v>
      </c>
      <c r="O3706" s="1" t="s">
        <v>53</v>
      </c>
      <c r="P3706" s="1" t="s">
        <v>2813</v>
      </c>
      <c r="Q3706" s="1" t="s">
        <v>2814</v>
      </c>
      <c r="R3706" s="1" t="s">
        <v>56</v>
      </c>
      <c r="S3706" s="1" t="s">
        <v>2815</v>
      </c>
      <c r="T3706" s="1" t="s">
        <v>2816</v>
      </c>
      <c r="U3706" s="2" t="s">
        <v>2644</v>
      </c>
      <c r="V3706" s="2" t="s">
        <v>47</v>
      </c>
      <c r="W3706" s="2" t="s">
        <v>71</v>
      </c>
      <c r="X3706" s="2">
        <v>199.36</v>
      </c>
    </row>
    <row r="3707" spans="1:24" x14ac:dyDescent="0.3">
      <c r="A3707">
        <v>21556</v>
      </c>
      <c r="B3707" t="s">
        <v>8922</v>
      </c>
      <c r="C3707" s="3">
        <v>41768</v>
      </c>
      <c r="D3707" t="s">
        <v>62</v>
      </c>
      <c r="E3707">
        <v>2</v>
      </c>
      <c r="F3707" s="3">
        <f ca="1">41770+(RANDBETWEEN(1,10))</f>
        <v>41776</v>
      </c>
      <c r="G3707" t="s">
        <v>26</v>
      </c>
      <c r="H3707" t="s">
        <v>51</v>
      </c>
      <c r="I3707" t="s">
        <v>86</v>
      </c>
      <c r="J3707">
        <v>309.22500000000002</v>
      </c>
      <c r="K3707">
        <v>0.09</v>
      </c>
      <c r="L3707">
        <v>0.35</v>
      </c>
      <c r="M3707">
        <v>4.375</v>
      </c>
      <c r="N3707">
        <v>-4748.3369919999996</v>
      </c>
      <c r="O3707" s="1" t="s">
        <v>53</v>
      </c>
      <c r="P3707" s="1" t="s">
        <v>2813</v>
      </c>
      <c r="Q3707" s="1" t="s">
        <v>2814</v>
      </c>
      <c r="R3707" s="1" t="s">
        <v>56</v>
      </c>
      <c r="S3707" s="1" t="s">
        <v>2815</v>
      </c>
      <c r="T3707" s="1" t="s">
        <v>2816</v>
      </c>
      <c r="U3707" s="2" t="s">
        <v>2368</v>
      </c>
      <c r="V3707" s="2" t="s">
        <v>36</v>
      </c>
      <c r="W3707" s="2" t="s">
        <v>37</v>
      </c>
      <c r="X3707" s="2">
        <v>195.965</v>
      </c>
    </row>
    <row r="3708" spans="1:24" x14ac:dyDescent="0.3">
      <c r="A3708">
        <v>21557</v>
      </c>
      <c r="B3708" t="s">
        <v>8923</v>
      </c>
      <c r="C3708" s="3">
        <v>41246</v>
      </c>
      <c r="D3708" t="s">
        <v>50</v>
      </c>
      <c r="E3708">
        <v>14</v>
      </c>
      <c r="F3708" s="3">
        <f ca="1">41248+(RANDBETWEEN(1,10))</f>
        <v>41257</v>
      </c>
      <c r="G3708" t="s">
        <v>26</v>
      </c>
      <c r="H3708" t="s">
        <v>27</v>
      </c>
      <c r="I3708" t="s">
        <v>97</v>
      </c>
      <c r="J3708">
        <v>4047.4</v>
      </c>
      <c r="K3708">
        <v>0</v>
      </c>
      <c r="L3708">
        <v>0.59</v>
      </c>
      <c r="M3708">
        <v>15.75</v>
      </c>
      <c r="N3708">
        <v>3401.2818000000002</v>
      </c>
      <c r="O3708" s="1" t="s">
        <v>29</v>
      </c>
      <c r="P3708" s="1" t="s">
        <v>8924</v>
      </c>
      <c r="Q3708" s="1" t="s">
        <v>8925</v>
      </c>
      <c r="R3708" s="1" t="s">
        <v>32</v>
      </c>
      <c r="S3708" s="1" t="s">
        <v>8926</v>
      </c>
      <c r="T3708" s="1" t="s">
        <v>8927</v>
      </c>
      <c r="U3708" s="2" t="s">
        <v>136</v>
      </c>
      <c r="V3708" s="2" t="s">
        <v>47</v>
      </c>
      <c r="W3708" s="2" t="s">
        <v>71</v>
      </c>
      <c r="X3708" s="2">
        <v>283.43</v>
      </c>
    </row>
    <row r="3709" spans="1:24" x14ac:dyDescent="0.3">
      <c r="A3709">
        <v>21558</v>
      </c>
      <c r="B3709" t="s">
        <v>8923</v>
      </c>
      <c r="C3709" s="3">
        <v>41246</v>
      </c>
      <c r="D3709" t="s">
        <v>50</v>
      </c>
      <c r="E3709">
        <v>11</v>
      </c>
      <c r="F3709" s="3">
        <f ca="1">41248+(RANDBETWEEN(1,10))</f>
        <v>41255</v>
      </c>
      <c r="G3709" t="s">
        <v>26</v>
      </c>
      <c r="H3709" t="s">
        <v>96</v>
      </c>
      <c r="I3709" t="s">
        <v>97</v>
      </c>
      <c r="J3709">
        <v>81.724999999999994</v>
      </c>
      <c r="K3709">
        <v>0.06</v>
      </c>
      <c r="L3709">
        <v>0.56999999999999995</v>
      </c>
      <c r="M3709">
        <v>2.4500000000000002</v>
      </c>
      <c r="N3709">
        <v>77.573999999999998</v>
      </c>
      <c r="O3709" s="1" t="s">
        <v>29</v>
      </c>
      <c r="P3709" s="1" t="s">
        <v>8924</v>
      </c>
      <c r="Q3709" s="1" t="s">
        <v>8925</v>
      </c>
      <c r="R3709" s="1" t="s">
        <v>32</v>
      </c>
      <c r="S3709" s="1" t="s">
        <v>8926</v>
      </c>
      <c r="T3709" s="1" t="s">
        <v>8927</v>
      </c>
      <c r="U3709" s="2" t="s">
        <v>6803</v>
      </c>
      <c r="V3709" s="2" t="s">
        <v>47</v>
      </c>
      <c r="W3709" s="2" t="s">
        <v>104</v>
      </c>
      <c r="X3709" s="2">
        <v>7.35</v>
      </c>
    </row>
    <row r="3710" spans="1:24" x14ac:dyDescent="0.3">
      <c r="A3710">
        <v>21559</v>
      </c>
      <c r="B3710" t="s">
        <v>8928</v>
      </c>
      <c r="C3710" s="3">
        <v>41359</v>
      </c>
      <c r="D3710" t="s">
        <v>62</v>
      </c>
      <c r="E3710">
        <v>3</v>
      </c>
      <c r="F3710" s="3">
        <f ca="1">41360+(RANDBETWEEN(1,10))</f>
        <v>41365</v>
      </c>
      <c r="G3710" t="s">
        <v>26</v>
      </c>
      <c r="H3710" t="s">
        <v>27</v>
      </c>
      <c r="I3710" t="s">
        <v>28</v>
      </c>
      <c r="J3710">
        <v>67.025000000000006</v>
      </c>
      <c r="K3710">
        <v>0.09</v>
      </c>
      <c r="L3710">
        <v>0.43</v>
      </c>
      <c r="M3710">
        <v>18.515000000000001</v>
      </c>
      <c r="N3710">
        <v>-111.405</v>
      </c>
      <c r="O3710" s="1" t="s">
        <v>64</v>
      </c>
      <c r="P3710" s="1" t="s">
        <v>7103</v>
      </c>
      <c r="Q3710" s="1" t="s">
        <v>7104</v>
      </c>
      <c r="R3710" s="1" t="s">
        <v>128</v>
      </c>
      <c r="S3710" s="1" t="s">
        <v>7105</v>
      </c>
      <c r="T3710" s="1" t="s">
        <v>7106</v>
      </c>
      <c r="U3710" s="2" t="s">
        <v>1521</v>
      </c>
      <c r="V3710" s="2" t="s">
        <v>83</v>
      </c>
      <c r="W3710" s="2" t="s">
        <v>178</v>
      </c>
      <c r="X3710" s="2">
        <v>21.98</v>
      </c>
    </row>
    <row r="3711" spans="1:24" x14ac:dyDescent="0.3">
      <c r="A3711">
        <v>21560</v>
      </c>
      <c r="B3711" t="s">
        <v>8929</v>
      </c>
      <c r="C3711" s="3">
        <v>41969</v>
      </c>
      <c r="D3711" t="s">
        <v>25</v>
      </c>
      <c r="E3711">
        <v>3</v>
      </c>
      <c r="F3711" s="3">
        <f ca="1">41976+(RANDBETWEEN(1,10))</f>
        <v>41983</v>
      </c>
      <c r="G3711" t="s">
        <v>76</v>
      </c>
      <c r="H3711" t="s">
        <v>77</v>
      </c>
      <c r="I3711" t="s">
        <v>28</v>
      </c>
      <c r="J3711">
        <v>15202.285</v>
      </c>
      <c r="K3711">
        <v>0.09</v>
      </c>
      <c r="L3711">
        <v>0.56999999999999995</v>
      </c>
      <c r="M3711">
        <v>103.95</v>
      </c>
      <c r="N3711">
        <v>6098.173753</v>
      </c>
      <c r="O3711" s="1" t="s">
        <v>87</v>
      </c>
      <c r="P3711" s="1" t="s">
        <v>8930</v>
      </c>
      <c r="Q3711" s="1" t="s">
        <v>8931</v>
      </c>
      <c r="R3711" s="1" t="s">
        <v>497</v>
      </c>
      <c r="S3711" s="1" t="s">
        <v>1391</v>
      </c>
      <c r="T3711" s="1" t="s">
        <v>1392</v>
      </c>
      <c r="U3711" s="2" t="s">
        <v>141</v>
      </c>
      <c r="V3711" s="2" t="s">
        <v>36</v>
      </c>
      <c r="W3711" s="2" t="s">
        <v>142</v>
      </c>
      <c r="X3711" s="2">
        <v>5253.3950000000004</v>
      </c>
    </row>
    <row r="3712" spans="1:24" x14ac:dyDescent="0.3">
      <c r="A3712">
        <v>21561</v>
      </c>
      <c r="B3712" t="s">
        <v>8932</v>
      </c>
      <c r="C3712" s="3">
        <v>41626</v>
      </c>
      <c r="D3712" t="s">
        <v>50</v>
      </c>
      <c r="E3712">
        <v>24</v>
      </c>
      <c r="F3712" s="3">
        <f ca="1">41628+(RANDBETWEEN(1,10))</f>
        <v>41638</v>
      </c>
      <c r="G3712" t="s">
        <v>26</v>
      </c>
      <c r="H3712" t="s">
        <v>27</v>
      </c>
      <c r="I3712" t="s">
        <v>28</v>
      </c>
      <c r="J3712">
        <v>6497.7849999999999</v>
      </c>
      <c r="K3712">
        <v>0.09</v>
      </c>
      <c r="L3712">
        <v>0.56999999999999995</v>
      </c>
      <c r="M3712">
        <v>26.914999999999999</v>
      </c>
      <c r="N3712">
        <v>4218.9052499999998</v>
      </c>
      <c r="O3712" s="1" t="s">
        <v>87</v>
      </c>
      <c r="P3712" s="1" t="s">
        <v>6189</v>
      </c>
      <c r="Q3712" s="1" t="s">
        <v>6190</v>
      </c>
      <c r="R3712" s="1" t="s">
        <v>646</v>
      </c>
      <c r="S3712" s="1" t="s">
        <v>6191</v>
      </c>
      <c r="T3712" s="1" t="s">
        <v>6192</v>
      </c>
      <c r="U3712" s="2" t="s">
        <v>8933</v>
      </c>
      <c r="V3712" s="2" t="s">
        <v>36</v>
      </c>
      <c r="W3712" s="2" t="s">
        <v>37</v>
      </c>
      <c r="X3712" s="2">
        <v>335.96499999999997</v>
      </c>
    </row>
    <row r="3713" spans="1:24" x14ac:dyDescent="0.3">
      <c r="A3713">
        <v>21562</v>
      </c>
      <c r="B3713" t="s">
        <v>8934</v>
      </c>
      <c r="C3713" s="3">
        <v>41431</v>
      </c>
      <c r="D3713" t="s">
        <v>50</v>
      </c>
      <c r="E3713">
        <v>7</v>
      </c>
      <c r="F3713" s="3">
        <f ca="1">41433+(RANDBETWEEN(1,10))</f>
        <v>41443</v>
      </c>
      <c r="G3713" t="s">
        <v>26</v>
      </c>
      <c r="H3713" t="s">
        <v>27</v>
      </c>
      <c r="I3713" t="s">
        <v>28</v>
      </c>
      <c r="J3713">
        <v>176.64500000000001</v>
      </c>
      <c r="K3713">
        <v>0.01</v>
      </c>
      <c r="L3713">
        <v>0.36</v>
      </c>
      <c r="M3713">
        <v>33.880000000000003</v>
      </c>
      <c r="N3713">
        <v>-278.37599999999998</v>
      </c>
      <c r="O3713" s="1" t="s">
        <v>29</v>
      </c>
      <c r="P3713" s="1" t="s">
        <v>8935</v>
      </c>
      <c r="Q3713" s="1" t="s">
        <v>8936</v>
      </c>
      <c r="R3713" s="1" t="s">
        <v>32</v>
      </c>
      <c r="S3713" s="1" t="s">
        <v>3140</v>
      </c>
      <c r="T3713" s="1" t="s">
        <v>3141</v>
      </c>
      <c r="U3713" s="2" t="s">
        <v>6485</v>
      </c>
      <c r="V3713" s="2" t="s">
        <v>47</v>
      </c>
      <c r="W3713" s="2" t="s">
        <v>74</v>
      </c>
      <c r="X3713" s="2">
        <v>22.68</v>
      </c>
    </row>
    <row r="3714" spans="1:24" x14ac:dyDescent="0.3">
      <c r="A3714">
        <v>21563</v>
      </c>
      <c r="B3714" t="s">
        <v>8937</v>
      </c>
      <c r="C3714" s="3">
        <v>40580</v>
      </c>
      <c r="D3714" t="s">
        <v>39</v>
      </c>
      <c r="E3714">
        <v>8</v>
      </c>
      <c r="F3714" s="3">
        <f ca="1">40580+(RANDBETWEEN(1,10))</f>
        <v>40586</v>
      </c>
      <c r="G3714" t="s">
        <v>76</v>
      </c>
      <c r="H3714" t="s">
        <v>258</v>
      </c>
      <c r="I3714" t="s">
        <v>97</v>
      </c>
      <c r="J3714">
        <v>6150.0249999999996</v>
      </c>
      <c r="K3714">
        <v>0.02</v>
      </c>
      <c r="L3714">
        <v>0.65</v>
      </c>
      <c r="M3714">
        <v>233.345</v>
      </c>
      <c r="N3714">
        <v>-50.567999999999998</v>
      </c>
      <c r="O3714" s="1" t="s">
        <v>53</v>
      </c>
      <c r="P3714" s="1" t="s">
        <v>2762</v>
      </c>
      <c r="Q3714" s="1" t="s">
        <v>2763</v>
      </c>
      <c r="R3714" s="1" t="s">
        <v>100</v>
      </c>
      <c r="S3714" s="1" t="s">
        <v>2764</v>
      </c>
      <c r="T3714" s="1" t="s">
        <v>2765</v>
      </c>
      <c r="U3714" s="2" t="s">
        <v>4031</v>
      </c>
      <c r="V3714" s="2" t="s">
        <v>83</v>
      </c>
      <c r="W3714" s="2" t="s">
        <v>263</v>
      </c>
      <c r="X3714" s="2">
        <v>908.98500000000001</v>
      </c>
    </row>
    <row r="3715" spans="1:24" x14ac:dyDescent="0.3">
      <c r="A3715">
        <v>21564</v>
      </c>
      <c r="B3715" t="s">
        <v>8938</v>
      </c>
      <c r="C3715" s="3">
        <v>41644</v>
      </c>
      <c r="D3715" t="s">
        <v>39</v>
      </c>
      <c r="E3715">
        <v>9</v>
      </c>
      <c r="F3715" s="3">
        <f ca="1">41646+(RANDBETWEEN(1,10))</f>
        <v>41650</v>
      </c>
      <c r="G3715" t="s">
        <v>26</v>
      </c>
      <c r="H3715" t="s">
        <v>27</v>
      </c>
      <c r="I3715" t="s">
        <v>97</v>
      </c>
      <c r="J3715">
        <v>1639.96</v>
      </c>
      <c r="K3715">
        <v>0.08</v>
      </c>
      <c r="L3715">
        <v>0.37</v>
      </c>
      <c r="M3715">
        <v>16.975000000000001</v>
      </c>
      <c r="N3715">
        <v>1131.5724</v>
      </c>
      <c r="O3715" s="1" t="s">
        <v>87</v>
      </c>
      <c r="P3715" s="1" t="s">
        <v>8939</v>
      </c>
      <c r="Q3715" s="1" t="s">
        <v>8940</v>
      </c>
      <c r="R3715" s="1" t="s">
        <v>90</v>
      </c>
      <c r="S3715" s="1" t="s">
        <v>1335</v>
      </c>
      <c r="T3715" s="1" t="s">
        <v>1336</v>
      </c>
      <c r="U3715" s="2" t="s">
        <v>8941</v>
      </c>
      <c r="V3715" s="2" t="s">
        <v>47</v>
      </c>
      <c r="W3715" s="2" t="s">
        <v>74</v>
      </c>
      <c r="X3715" s="2">
        <v>194.18</v>
      </c>
    </row>
    <row r="3716" spans="1:24" x14ac:dyDescent="0.3">
      <c r="A3716">
        <v>21565</v>
      </c>
      <c r="B3716" t="s">
        <v>8938</v>
      </c>
      <c r="C3716" s="3">
        <v>41644</v>
      </c>
      <c r="D3716" t="s">
        <v>39</v>
      </c>
      <c r="E3716">
        <v>11</v>
      </c>
      <c r="F3716" s="3">
        <f ca="1">41646+(RANDBETWEEN(1,10))</f>
        <v>41650</v>
      </c>
      <c r="G3716" t="s">
        <v>26</v>
      </c>
      <c r="H3716" t="s">
        <v>27</v>
      </c>
      <c r="I3716" t="s">
        <v>97</v>
      </c>
      <c r="J3716">
        <v>436.94</v>
      </c>
      <c r="K3716">
        <v>0.02</v>
      </c>
      <c r="L3716">
        <v>0.36</v>
      </c>
      <c r="M3716">
        <v>17.535</v>
      </c>
      <c r="N3716">
        <v>179.816</v>
      </c>
      <c r="O3716" s="1" t="s">
        <v>53</v>
      </c>
      <c r="P3716" s="1" t="s">
        <v>8942</v>
      </c>
      <c r="Q3716" s="1" t="s">
        <v>8943</v>
      </c>
      <c r="R3716" s="1" t="s">
        <v>100</v>
      </c>
      <c r="S3716" s="1" t="s">
        <v>8944</v>
      </c>
      <c r="T3716" s="1" t="s">
        <v>8945</v>
      </c>
      <c r="U3716" s="2" t="s">
        <v>4556</v>
      </c>
      <c r="V3716" s="2" t="s">
        <v>47</v>
      </c>
      <c r="W3716" s="2" t="s">
        <v>74</v>
      </c>
      <c r="X3716" s="2">
        <v>39.69</v>
      </c>
    </row>
    <row r="3717" spans="1:24" x14ac:dyDescent="0.3">
      <c r="A3717">
        <v>21566</v>
      </c>
      <c r="B3717" t="s">
        <v>8946</v>
      </c>
      <c r="C3717" s="3">
        <v>41904</v>
      </c>
      <c r="D3717" t="s">
        <v>148</v>
      </c>
      <c r="E3717">
        <v>17</v>
      </c>
      <c r="F3717" s="3">
        <f ca="1">41904+(RANDBETWEEN(1,10))</f>
        <v>41914</v>
      </c>
      <c r="G3717" t="s">
        <v>26</v>
      </c>
      <c r="H3717" t="s">
        <v>281</v>
      </c>
      <c r="I3717" t="s">
        <v>28</v>
      </c>
      <c r="J3717">
        <v>1028.1600000000001</v>
      </c>
      <c r="K3717">
        <v>0.01</v>
      </c>
      <c r="L3717">
        <v>0.38</v>
      </c>
      <c r="M3717">
        <v>39.479999999999997</v>
      </c>
      <c r="N3717">
        <v>-381.661</v>
      </c>
      <c r="O3717" s="1" t="s">
        <v>87</v>
      </c>
      <c r="P3717" s="1" t="s">
        <v>6919</v>
      </c>
      <c r="Q3717" s="1" t="s">
        <v>6920</v>
      </c>
      <c r="R3717" s="1" t="s">
        <v>646</v>
      </c>
      <c r="S3717" s="1" t="s">
        <v>6921</v>
      </c>
      <c r="T3717" s="1" t="s">
        <v>6922</v>
      </c>
      <c r="U3717" s="2" t="s">
        <v>7769</v>
      </c>
      <c r="V3717" s="2" t="s">
        <v>36</v>
      </c>
      <c r="W3717" s="2" t="s">
        <v>142</v>
      </c>
      <c r="X3717" s="2">
        <v>55.965000000000003</v>
      </c>
    </row>
    <row r="3718" spans="1:24" x14ac:dyDescent="0.3">
      <c r="A3718">
        <v>21567</v>
      </c>
      <c r="B3718" t="s">
        <v>8947</v>
      </c>
      <c r="C3718" s="3">
        <v>40688</v>
      </c>
      <c r="D3718" t="s">
        <v>25</v>
      </c>
      <c r="E3718">
        <v>17</v>
      </c>
      <c r="F3718" s="3">
        <f ca="1">40690+(RANDBETWEEN(1,10))</f>
        <v>40696</v>
      </c>
      <c r="G3718" t="s">
        <v>26</v>
      </c>
      <c r="H3718" t="s">
        <v>27</v>
      </c>
      <c r="I3718" t="s">
        <v>86</v>
      </c>
      <c r="J3718">
        <v>1789.97</v>
      </c>
      <c r="K3718">
        <v>0.08</v>
      </c>
      <c r="L3718">
        <v>0.35</v>
      </c>
      <c r="M3718">
        <v>10.465</v>
      </c>
      <c r="N3718">
        <v>1235.0793000000001</v>
      </c>
      <c r="O3718" s="1" t="s">
        <v>53</v>
      </c>
      <c r="P3718" s="1" t="s">
        <v>7797</v>
      </c>
      <c r="Q3718" s="1" t="s">
        <v>7798</v>
      </c>
      <c r="R3718" s="1" t="s">
        <v>56</v>
      </c>
      <c r="S3718" s="1" t="s">
        <v>7799</v>
      </c>
      <c r="T3718" s="1" t="s">
        <v>7800</v>
      </c>
      <c r="U3718" s="2" t="s">
        <v>4393</v>
      </c>
      <c r="V3718" s="2" t="s">
        <v>47</v>
      </c>
      <c r="W3718" s="2" t="s">
        <v>111</v>
      </c>
      <c r="X3718" s="2">
        <v>106.96</v>
      </c>
    </row>
    <row r="3719" spans="1:24" x14ac:dyDescent="0.3">
      <c r="A3719">
        <v>21568</v>
      </c>
      <c r="B3719" t="s">
        <v>8948</v>
      </c>
      <c r="C3719" s="3">
        <v>41782</v>
      </c>
      <c r="D3719" t="s">
        <v>50</v>
      </c>
      <c r="E3719">
        <v>8</v>
      </c>
      <c r="F3719" s="3">
        <f ca="1">41783+(RANDBETWEEN(1,10))</f>
        <v>41789</v>
      </c>
      <c r="G3719" t="s">
        <v>26</v>
      </c>
      <c r="H3719" t="s">
        <v>51</v>
      </c>
      <c r="I3719" t="s">
        <v>28</v>
      </c>
      <c r="J3719">
        <v>600.56500000000005</v>
      </c>
      <c r="K3719">
        <v>0.09</v>
      </c>
      <c r="L3719">
        <v>0.44</v>
      </c>
      <c r="M3719">
        <v>31.465</v>
      </c>
      <c r="N3719">
        <v>-5763.7719999999999</v>
      </c>
      <c r="O3719" s="1" t="s">
        <v>29</v>
      </c>
      <c r="P3719" s="1" t="s">
        <v>3514</v>
      </c>
      <c r="Q3719" s="1" t="s">
        <v>3515</v>
      </c>
      <c r="R3719" s="1" t="s">
        <v>675</v>
      </c>
      <c r="S3719" s="1" t="s">
        <v>3516</v>
      </c>
      <c r="T3719" s="1" t="s">
        <v>3517</v>
      </c>
      <c r="U3719" s="2" t="s">
        <v>2721</v>
      </c>
      <c r="V3719" s="2" t="s">
        <v>83</v>
      </c>
      <c r="W3719" s="2" t="s">
        <v>178</v>
      </c>
      <c r="X3719" s="2">
        <v>79.52</v>
      </c>
    </row>
    <row r="3720" spans="1:24" x14ac:dyDescent="0.3">
      <c r="A3720">
        <v>21569</v>
      </c>
      <c r="B3720" t="s">
        <v>8948</v>
      </c>
      <c r="C3720" s="3">
        <v>41782</v>
      </c>
      <c r="D3720" t="s">
        <v>50</v>
      </c>
      <c r="E3720">
        <v>6</v>
      </c>
      <c r="F3720" s="3">
        <f ca="1">41785+(RANDBETWEEN(1,10))</f>
        <v>41791</v>
      </c>
      <c r="G3720" t="s">
        <v>76</v>
      </c>
      <c r="H3720" t="s">
        <v>258</v>
      </c>
      <c r="I3720" t="s">
        <v>28</v>
      </c>
      <c r="J3720">
        <v>5166.665</v>
      </c>
      <c r="K3720">
        <v>0.03</v>
      </c>
      <c r="L3720">
        <v>0.76</v>
      </c>
      <c r="M3720">
        <v>189.42</v>
      </c>
      <c r="N3720">
        <v>-111.818</v>
      </c>
      <c r="O3720" s="1" t="s">
        <v>29</v>
      </c>
      <c r="P3720" s="1" t="s">
        <v>3514</v>
      </c>
      <c r="Q3720" s="1" t="s">
        <v>3515</v>
      </c>
      <c r="R3720" s="1" t="s">
        <v>675</v>
      </c>
      <c r="S3720" s="1" t="s">
        <v>3516</v>
      </c>
      <c r="T3720" s="1" t="s">
        <v>3517</v>
      </c>
      <c r="U3720" s="2" t="s">
        <v>1007</v>
      </c>
      <c r="V3720" s="2" t="s">
        <v>83</v>
      </c>
      <c r="W3720" s="2" t="s">
        <v>263</v>
      </c>
      <c r="X3720" s="2">
        <v>1036.6300000000001</v>
      </c>
    </row>
    <row r="3721" spans="1:24" x14ac:dyDescent="0.3">
      <c r="A3721">
        <v>21570</v>
      </c>
      <c r="B3721" t="s">
        <v>8949</v>
      </c>
      <c r="C3721" s="3">
        <v>40684</v>
      </c>
      <c r="D3721" t="s">
        <v>39</v>
      </c>
      <c r="E3721">
        <v>15</v>
      </c>
      <c r="F3721" s="3">
        <f ca="1">40685+(RANDBETWEEN(1,10))</f>
        <v>40687</v>
      </c>
      <c r="G3721" t="s">
        <v>26</v>
      </c>
      <c r="H3721" t="s">
        <v>96</v>
      </c>
      <c r="I3721" t="s">
        <v>86</v>
      </c>
      <c r="J3721">
        <v>254.66</v>
      </c>
      <c r="K3721">
        <v>0.03</v>
      </c>
      <c r="L3721">
        <v>0.36</v>
      </c>
      <c r="M3721">
        <v>2.8</v>
      </c>
      <c r="N3721">
        <v>175.71539999999999</v>
      </c>
      <c r="O3721" s="1" t="s">
        <v>87</v>
      </c>
      <c r="P3721" s="1" t="s">
        <v>8950</v>
      </c>
      <c r="Q3721" s="1" t="s">
        <v>8951</v>
      </c>
      <c r="R3721" s="1" t="s">
        <v>497</v>
      </c>
      <c r="S3721" s="1" t="s">
        <v>8952</v>
      </c>
      <c r="T3721" s="1" t="s">
        <v>8953</v>
      </c>
      <c r="U3721" s="2" t="s">
        <v>1416</v>
      </c>
      <c r="V3721" s="2" t="s">
        <v>47</v>
      </c>
      <c r="W3721" s="2" t="s">
        <v>74</v>
      </c>
      <c r="X3721" s="2">
        <v>17.43</v>
      </c>
    </row>
    <row r="3722" spans="1:24" x14ac:dyDescent="0.3">
      <c r="A3722">
        <v>21571</v>
      </c>
      <c r="B3722" t="s">
        <v>8954</v>
      </c>
      <c r="C3722" s="3">
        <v>41926</v>
      </c>
      <c r="D3722" t="s">
        <v>39</v>
      </c>
      <c r="E3722">
        <v>19</v>
      </c>
      <c r="F3722" s="3">
        <f ca="1">41928+(RANDBETWEEN(1,10))</f>
        <v>41936</v>
      </c>
      <c r="G3722" t="s">
        <v>76</v>
      </c>
      <c r="H3722" t="s">
        <v>77</v>
      </c>
      <c r="I3722" t="s">
        <v>28</v>
      </c>
      <c r="J3722">
        <v>31965.919999999998</v>
      </c>
      <c r="K3722">
        <v>0.05</v>
      </c>
      <c r="L3722">
        <v>0.38</v>
      </c>
      <c r="M3722">
        <v>98.49</v>
      </c>
      <c r="N3722">
        <v>22056.484799999998</v>
      </c>
      <c r="O3722" s="1" t="s">
        <v>64</v>
      </c>
      <c r="P3722" s="1" t="s">
        <v>8955</v>
      </c>
      <c r="Q3722" s="1" t="s">
        <v>8956</v>
      </c>
      <c r="R3722" s="1" t="s">
        <v>67</v>
      </c>
      <c r="S3722" s="1" t="s">
        <v>8957</v>
      </c>
      <c r="T3722" s="1" t="s">
        <v>8958</v>
      </c>
      <c r="U3722" s="2" t="s">
        <v>720</v>
      </c>
      <c r="V3722" s="2" t="s">
        <v>36</v>
      </c>
      <c r="W3722" s="2" t="s">
        <v>142</v>
      </c>
      <c r="X3722" s="2">
        <v>1753.43</v>
      </c>
    </row>
    <row r="3723" spans="1:24" x14ac:dyDescent="0.3">
      <c r="A3723">
        <v>21572</v>
      </c>
      <c r="B3723" t="s">
        <v>8954</v>
      </c>
      <c r="C3723" s="3">
        <v>41926</v>
      </c>
      <c r="D3723" t="s">
        <v>39</v>
      </c>
      <c r="E3723">
        <v>11</v>
      </c>
      <c r="F3723" s="3">
        <f ca="1">41929+(RANDBETWEEN(1,10))</f>
        <v>41933</v>
      </c>
      <c r="G3723" t="s">
        <v>26</v>
      </c>
      <c r="H3723" t="s">
        <v>27</v>
      </c>
      <c r="I3723" t="s">
        <v>28</v>
      </c>
      <c r="J3723">
        <v>1529.08</v>
      </c>
      <c r="K3723">
        <v>0.08</v>
      </c>
      <c r="L3723">
        <v>0.36</v>
      </c>
      <c r="M3723">
        <v>61.18</v>
      </c>
      <c r="N3723">
        <v>236.63499999999999</v>
      </c>
      <c r="O3723" s="1" t="s">
        <v>64</v>
      </c>
      <c r="P3723" s="1" t="s">
        <v>8955</v>
      </c>
      <c r="Q3723" s="1" t="s">
        <v>8956</v>
      </c>
      <c r="R3723" s="1" t="s">
        <v>67</v>
      </c>
      <c r="S3723" s="1" t="s">
        <v>8957</v>
      </c>
      <c r="T3723" s="1" t="s">
        <v>8958</v>
      </c>
      <c r="U3723" s="2" t="s">
        <v>1688</v>
      </c>
      <c r="V3723" s="2" t="s">
        <v>47</v>
      </c>
      <c r="W3723" s="2" t="s">
        <v>74</v>
      </c>
      <c r="X3723" s="2">
        <v>143.465</v>
      </c>
    </row>
    <row r="3724" spans="1:24" x14ac:dyDescent="0.3">
      <c r="A3724">
        <v>21573</v>
      </c>
      <c r="B3724" t="s">
        <v>8959</v>
      </c>
      <c r="C3724" s="3">
        <v>40637</v>
      </c>
      <c r="D3724" t="s">
        <v>62</v>
      </c>
      <c r="E3724">
        <v>12</v>
      </c>
      <c r="F3724" s="3">
        <f ca="1">40637+(RANDBETWEEN(1,10))</f>
        <v>40645</v>
      </c>
      <c r="G3724" t="s">
        <v>26</v>
      </c>
      <c r="H3724" t="s">
        <v>27</v>
      </c>
      <c r="I3724" t="s">
        <v>97</v>
      </c>
      <c r="J3724">
        <v>262.255</v>
      </c>
      <c r="K3724">
        <v>0.06</v>
      </c>
      <c r="L3724">
        <v>0.37</v>
      </c>
      <c r="M3724">
        <v>26.215</v>
      </c>
      <c r="N3724">
        <v>-670.21500000000003</v>
      </c>
      <c r="O3724" s="1" t="s">
        <v>225</v>
      </c>
      <c r="P3724" s="1" t="s">
        <v>3835</v>
      </c>
      <c r="Q3724" s="1" t="s">
        <v>3836</v>
      </c>
      <c r="R3724" s="1" t="s">
        <v>391</v>
      </c>
      <c r="S3724" s="1" t="s">
        <v>3837</v>
      </c>
      <c r="T3724" s="1" t="s">
        <v>3838</v>
      </c>
      <c r="U3724" s="2" t="s">
        <v>2916</v>
      </c>
      <c r="V3724" s="2" t="s">
        <v>47</v>
      </c>
      <c r="W3724" s="2" t="s">
        <v>74</v>
      </c>
      <c r="X3724" s="2">
        <v>22.68</v>
      </c>
    </row>
    <row r="3725" spans="1:24" x14ac:dyDescent="0.3">
      <c r="A3725">
        <v>21574</v>
      </c>
      <c r="B3725" t="s">
        <v>8960</v>
      </c>
      <c r="C3725" s="3">
        <v>41914</v>
      </c>
      <c r="D3725" t="s">
        <v>50</v>
      </c>
      <c r="E3725">
        <v>11</v>
      </c>
      <c r="F3725" s="3">
        <f ca="1">41916+(RANDBETWEEN(1,10))</f>
        <v>41918</v>
      </c>
      <c r="G3725" t="s">
        <v>26</v>
      </c>
      <c r="H3725" t="s">
        <v>51</v>
      </c>
      <c r="I3725" t="s">
        <v>52</v>
      </c>
      <c r="J3725">
        <v>1240.6099999999999</v>
      </c>
      <c r="K3725">
        <v>0.09</v>
      </c>
      <c r="L3725">
        <v>0.43</v>
      </c>
      <c r="M3725">
        <v>6.9649999999999999</v>
      </c>
      <c r="N3725">
        <v>483.35</v>
      </c>
      <c r="O3725" s="1" t="s">
        <v>40</v>
      </c>
      <c r="P3725" s="1" t="s">
        <v>4515</v>
      </c>
      <c r="Q3725" s="1" t="s">
        <v>4516</v>
      </c>
      <c r="R3725" s="1" t="s">
        <v>220</v>
      </c>
      <c r="S3725" s="1" t="s">
        <v>4517</v>
      </c>
      <c r="T3725" s="1" t="s">
        <v>4518</v>
      </c>
      <c r="U3725" s="2" t="s">
        <v>2995</v>
      </c>
      <c r="V3725" s="2" t="s">
        <v>36</v>
      </c>
      <c r="W3725" s="2" t="s">
        <v>60</v>
      </c>
      <c r="X3725" s="2">
        <v>123.935</v>
      </c>
    </row>
    <row r="3726" spans="1:24" x14ac:dyDescent="0.3">
      <c r="A3726">
        <v>21575</v>
      </c>
      <c r="B3726" t="s">
        <v>8960</v>
      </c>
      <c r="C3726" s="3">
        <v>41914</v>
      </c>
      <c r="D3726" t="s">
        <v>50</v>
      </c>
      <c r="E3726">
        <v>2</v>
      </c>
      <c r="F3726" s="3">
        <f ca="1">41915+(RANDBETWEEN(1,10))</f>
        <v>41923</v>
      </c>
      <c r="G3726" t="s">
        <v>26</v>
      </c>
      <c r="H3726" t="s">
        <v>63</v>
      </c>
      <c r="I3726" t="s">
        <v>52</v>
      </c>
      <c r="J3726">
        <v>23973.18</v>
      </c>
      <c r="K3726">
        <v>0.05</v>
      </c>
      <c r="L3726">
        <v>0.37</v>
      </c>
      <c r="M3726">
        <v>85.715000000000003</v>
      </c>
      <c r="N3726">
        <v>-31776.29</v>
      </c>
      <c r="O3726" s="1" t="s">
        <v>40</v>
      </c>
      <c r="P3726" s="1" t="s">
        <v>4515</v>
      </c>
      <c r="Q3726" s="1" t="s">
        <v>4516</v>
      </c>
      <c r="R3726" s="1" t="s">
        <v>220</v>
      </c>
      <c r="S3726" s="1" t="s">
        <v>4517</v>
      </c>
      <c r="T3726" s="1" t="s">
        <v>4518</v>
      </c>
      <c r="U3726" s="2" t="s">
        <v>6194</v>
      </c>
      <c r="V3726" s="2" t="s">
        <v>36</v>
      </c>
      <c r="W3726" s="2" t="s">
        <v>1327</v>
      </c>
      <c r="X3726" s="2">
        <v>12249.965</v>
      </c>
    </row>
    <row r="3727" spans="1:24" x14ac:dyDescent="0.3">
      <c r="A3727">
        <v>21576</v>
      </c>
      <c r="B3727" t="s">
        <v>8961</v>
      </c>
      <c r="C3727" s="3">
        <v>41753</v>
      </c>
      <c r="D3727" t="s">
        <v>62</v>
      </c>
      <c r="E3727">
        <v>12</v>
      </c>
      <c r="F3727" s="3">
        <f ca="1">41753+(RANDBETWEEN(1,10))</f>
        <v>41754</v>
      </c>
      <c r="G3727" t="s">
        <v>26</v>
      </c>
      <c r="H3727" t="s">
        <v>27</v>
      </c>
      <c r="I3727" t="s">
        <v>52</v>
      </c>
      <c r="J3727">
        <v>4222.4350000000004</v>
      </c>
      <c r="K3727">
        <v>0.01</v>
      </c>
      <c r="L3727">
        <v>0.56999999999999995</v>
      </c>
      <c r="M3727">
        <v>8.75</v>
      </c>
      <c r="N3727">
        <v>2913.4801499999999</v>
      </c>
      <c r="O3727" s="1" t="s">
        <v>29</v>
      </c>
      <c r="P3727" s="1" t="s">
        <v>1043</v>
      </c>
      <c r="Q3727" s="1" t="s">
        <v>1044</v>
      </c>
      <c r="R3727" s="1" t="s">
        <v>32</v>
      </c>
      <c r="S3727" s="1" t="s">
        <v>1045</v>
      </c>
      <c r="T3727" s="1" t="s">
        <v>1046</v>
      </c>
      <c r="U3727" s="2" t="s">
        <v>8962</v>
      </c>
      <c r="V3727" s="2" t="s">
        <v>36</v>
      </c>
      <c r="W3727" s="2" t="s">
        <v>37</v>
      </c>
      <c r="X3727" s="2">
        <v>405.96499999999997</v>
      </c>
    </row>
    <row r="3728" spans="1:24" x14ac:dyDescent="0.3">
      <c r="A3728">
        <v>21577</v>
      </c>
      <c r="B3728" t="s">
        <v>8961</v>
      </c>
      <c r="C3728" s="3">
        <v>41753</v>
      </c>
      <c r="D3728" t="s">
        <v>62</v>
      </c>
      <c r="E3728">
        <v>13</v>
      </c>
      <c r="F3728" s="3">
        <f ca="1">41755+(RANDBETWEEN(1,10))</f>
        <v>41763</v>
      </c>
      <c r="G3728" t="s">
        <v>26</v>
      </c>
      <c r="H3728" t="s">
        <v>96</v>
      </c>
      <c r="I3728" t="s">
        <v>52</v>
      </c>
      <c r="J3728">
        <v>260.95999999999998</v>
      </c>
      <c r="K3728">
        <v>0.09</v>
      </c>
      <c r="L3728">
        <v>0.35</v>
      </c>
      <c r="M3728">
        <v>6.37</v>
      </c>
      <c r="N3728">
        <v>180.0624</v>
      </c>
      <c r="O3728" s="1" t="s">
        <v>53</v>
      </c>
      <c r="P3728" s="1" t="s">
        <v>8963</v>
      </c>
      <c r="Q3728" s="1" t="s">
        <v>8964</v>
      </c>
      <c r="R3728" s="1" t="s">
        <v>56</v>
      </c>
      <c r="S3728" s="1" t="s">
        <v>8965</v>
      </c>
      <c r="T3728" s="1" t="s">
        <v>8966</v>
      </c>
      <c r="U3728" s="2" t="s">
        <v>748</v>
      </c>
      <c r="V3728" s="2" t="s">
        <v>47</v>
      </c>
      <c r="W3728" s="2" t="s">
        <v>176</v>
      </c>
      <c r="X3728" s="2">
        <v>21.28</v>
      </c>
    </row>
    <row r="3729" spans="1:24" x14ac:dyDescent="0.3">
      <c r="A3729">
        <v>21578</v>
      </c>
      <c r="B3729" t="s">
        <v>8967</v>
      </c>
      <c r="C3729" s="3">
        <v>41392</v>
      </c>
      <c r="D3729" t="s">
        <v>62</v>
      </c>
      <c r="E3729">
        <v>1</v>
      </c>
      <c r="F3729" s="3">
        <f ca="1">41392+(RANDBETWEEN(1,10))</f>
        <v>41398</v>
      </c>
      <c r="G3729" t="s">
        <v>26</v>
      </c>
      <c r="H3729" t="s">
        <v>51</v>
      </c>
      <c r="I3729" t="s">
        <v>28</v>
      </c>
      <c r="J3729">
        <v>245.595</v>
      </c>
      <c r="K3729">
        <v>0.04</v>
      </c>
      <c r="L3729">
        <v>0.39</v>
      </c>
      <c r="M3729">
        <v>4.375</v>
      </c>
      <c r="N3729">
        <v>-1103.6410000000001</v>
      </c>
      <c r="O3729" s="1" t="s">
        <v>87</v>
      </c>
      <c r="P3729" s="1" t="s">
        <v>846</v>
      </c>
      <c r="Q3729" s="1" t="s">
        <v>847</v>
      </c>
      <c r="R3729" s="1" t="s">
        <v>90</v>
      </c>
      <c r="S3729" s="1" t="s">
        <v>848</v>
      </c>
      <c r="T3729" s="1" t="s">
        <v>849</v>
      </c>
      <c r="U3729" s="2" t="s">
        <v>1978</v>
      </c>
      <c r="V3729" s="2" t="s">
        <v>36</v>
      </c>
      <c r="W3729" s="2" t="s">
        <v>37</v>
      </c>
      <c r="X3729" s="2">
        <v>300.96499999999997</v>
      </c>
    </row>
    <row r="3730" spans="1:24" x14ac:dyDescent="0.3">
      <c r="A3730">
        <v>21579</v>
      </c>
      <c r="B3730" t="s">
        <v>8968</v>
      </c>
      <c r="C3730" s="3">
        <v>40760</v>
      </c>
      <c r="D3730" t="s">
        <v>50</v>
      </c>
      <c r="E3730">
        <v>4</v>
      </c>
      <c r="F3730" s="3">
        <f ca="1">40761+(RANDBETWEEN(1,10))</f>
        <v>40764</v>
      </c>
      <c r="G3730" t="s">
        <v>26</v>
      </c>
      <c r="H3730" t="s">
        <v>63</v>
      </c>
      <c r="I3730" t="s">
        <v>97</v>
      </c>
      <c r="J3730">
        <v>971.6</v>
      </c>
      <c r="K3730">
        <v>0.06</v>
      </c>
      <c r="L3730">
        <v>0.8</v>
      </c>
      <c r="M3730">
        <v>122.5</v>
      </c>
      <c r="N3730">
        <v>-487.5052</v>
      </c>
      <c r="O3730" s="1" t="s">
        <v>225</v>
      </c>
      <c r="P3730" s="1" t="s">
        <v>8969</v>
      </c>
      <c r="Q3730" s="1" t="s">
        <v>8970</v>
      </c>
      <c r="R3730" s="1" t="s">
        <v>228</v>
      </c>
      <c r="S3730" s="1" t="s">
        <v>8971</v>
      </c>
      <c r="T3730" s="1" t="s">
        <v>8972</v>
      </c>
      <c r="U3730" s="2" t="s">
        <v>3893</v>
      </c>
      <c r="V3730" s="2" t="s">
        <v>47</v>
      </c>
      <c r="W3730" s="2" t="s">
        <v>119</v>
      </c>
      <c r="X3730" s="2">
        <v>226.27500000000001</v>
      </c>
    </row>
    <row r="3731" spans="1:24" x14ac:dyDescent="0.3">
      <c r="A3731">
        <v>2158</v>
      </c>
      <c r="B3731" t="s">
        <v>8973</v>
      </c>
      <c r="C3731" s="3">
        <v>41114</v>
      </c>
      <c r="D3731" t="s">
        <v>25</v>
      </c>
      <c r="E3731">
        <v>58</v>
      </c>
      <c r="F3731" s="3">
        <f ca="1">41116+(RANDBETWEEN(1,10))</f>
        <v>41119</v>
      </c>
      <c r="G3731" t="s">
        <v>156</v>
      </c>
      <c r="H3731" t="s">
        <v>27</v>
      </c>
      <c r="I3731" t="s">
        <v>28</v>
      </c>
      <c r="J3731">
        <v>1240.4000000000001</v>
      </c>
      <c r="K3731">
        <v>0.04</v>
      </c>
      <c r="L3731">
        <v>0.4</v>
      </c>
      <c r="M3731">
        <v>26.25</v>
      </c>
      <c r="N3731">
        <v>-677.18</v>
      </c>
      <c r="O3731" s="1" t="s">
        <v>53</v>
      </c>
      <c r="P3731" s="1" t="s">
        <v>243</v>
      </c>
      <c r="Q3731" s="1" t="s">
        <v>244</v>
      </c>
      <c r="R3731" s="1" t="s">
        <v>100</v>
      </c>
      <c r="S3731" s="1" t="s">
        <v>101</v>
      </c>
      <c r="T3731" s="1" t="s">
        <v>245</v>
      </c>
      <c r="U3731" s="2" t="s">
        <v>6464</v>
      </c>
      <c r="V3731" s="2" t="s">
        <v>47</v>
      </c>
      <c r="W3731" s="2" t="s">
        <v>74</v>
      </c>
      <c r="X3731" s="2">
        <v>20.93</v>
      </c>
    </row>
    <row r="3732" spans="1:24" x14ac:dyDescent="0.3">
      <c r="A3732">
        <v>21580</v>
      </c>
      <c r="B3732" t="s">
        <v>8974</v>
      </c>
      <c r="C3732" s="3">
        <v>40685</v>
      </c>
      <c r="D3732" t="s">
        <v>62</v>
      </c>
      <c r="E3732">
        <v>16</v>
      </c>
      <c r="F3732" s="3">
        <f ca="1">40687+(RANDBETWEEN(1,10))</f>
        <v>40690</v>
      </c>
      <c r="G3732" t="s">
        <v>26</v>
      </c>
      <c r="H3732" t="s">
        <v>27</v>
      </c>
      <c r="I3732" t="s">
        <v>28</v>
      </c>
      <c r="J3732">
        <v>276.46499999999997</v>
      </c>
      <c r="K3732">
        <v>0.06</v>
      </c>
      <c r="L3732">
        <v>0.37</v>
      </c>
      <c r="M3732">
        <v>17.324999999999999</v>
      </c>
      <c r="N3732">
        <v>-361.28399999999999</v>
      </c>
      <c r="O3732" s="1" t="s">
        <v>53</v>
      </c>
      <c r="P3732" s="1" t="s">
        <v>6818</v>
      </c>
      <c r="Q3732" s="1" t="s">
        <v>6819</v>
      </c>
      <c r="R3732" s="1" t="s">
        <v>100</v>
      </c>
      <c r="S3732" s="1" t="s">
        <v>6820</v>
      </c>
      <c r="T3732" s="1" t="s">
        <v>6821</v>
      </c>
      <c r="U3732" s="2" t="s">
        <v>5209</v>
      </c>
      <c r="V3732" s="2" t="s">
        <v>47</v>
      </c>
      <c r="W3732" s="2" t="s">
        <v>111</v>
      </c>
      <c r="X3732" s="2">
        <v>17.43</v>
      </c>
    </row>
    <row r="3733" spans="1:24" x14ac:dyDescent="0.3">
      <c r="A3733">
        <v>21581</v>
      </c>
      <c r="B3733" t="s">
        <v>8975</v>
      </c>
      <c r="C3733" s="3">
        <v>41477</v>
      </c>
      <c r="D3733" t="s">
        <v>25</v>
      </c>
      <c r="E3733">
        <v>6</v>
      </c>
      <c r="F3733" s="3">
        <f ca="1">41477+(RANDBETWEEN(1,10))</f>
        <v>41484</v>
      </c>
      <c r="G3733" t="s">
        <v>26</v>
      </c>
      <c r="H3733" t="s">
        <v>96</v>
      </c>
      <c r="I3733" t="s">
        <v>86</v>
      </c>
      <c r="J3733">
        <v>213.60499999999999</v>
      </c>
      <c r="K3733">
        <v>0.03</v>
      </c>
      <c r="L3733">
        <v>0.43</v>
      </c>
      <c r="M3733">
        <v>3.8149999999999999</v>
      </c>
      <c r="N3733">
        <v>147.38745</v>
      </c>
      <c r="O3733" s="1" t="s">
        <v>40</v>
      </c>
      <c r="P3733" s="1" t="s">
        <v>8976</v>
      </c>
      <c r="Q3733" s="1" t="s">
        <v>8977</v>
      </c>
      <c r="R3733" s="1" t="s">
        <v>43</v>
      </c>
      <c r="S3733" s="1" t="s">
        <v>5804</v>
      </c>
      <c r="T3733" s="1" t="s">
        <v>5379</v>
      </c>
      <c r="U3733" s="2" t="s">
        <v>1067</v>
      </c>
      <c r="V3733" s="2" t="s">
        <v>47</v>
      </c>
      <c r="W3733" s="2" t="s">
        <v>104</v>
      </c>
      <c r="X3733" s="2">
        <v>34.755000000000003</v>
      </c>
    </row>
    <row r="3734" spans="1:24" x14ac:dyDescent="0.3">
      <c r="A3734">
        <v>21582</v>
      </c>
      <c r="B3734" t="s">
        <v>8978</v>
      </c>
      <c r="C3734" s="3">
        <v>40556</v>
      </c>
      <c r="D3734" t="s">
        <v>25</v>
      </c>
      <c r="E3734">
        <v>13</v>
      </c>
      <c r="F3734" s="3">
        <f ca="1">40558+(RANDBETWEEN(1,10))</f>
        <v>40559</v>
      </c>
      <c r="G3734" t="s">
        <v>26</v>
      </c>
      <c r="H3734" t="s">
        <v>27</v>
      </c>
      <c r="I3734" t="s">
        <v>52</v>
      </c>
      <c r="J3734">
        <v>270.97000000000003</v>
      </c>
      <c r="K3734">
        <v>7.0000000000000007E-2</v>
      </c>
      <c r="L3734">
        <v>0.36</v>
      </c>
      <c r="M3734">
        <v>20.265000000000001</v>
      </c>
      <c r="N3734">
        <v>-146.90445</v>
      </c>
      <c r="O3734" s="1" t="s">
        <v>53</v>
      </c>
      <c r="P3734" s="1" t="s">
        <v>7874</v>
      </c>
      <c r="Q3734" s="1" t="s">
        <v>7875</v>
      </c>
      <c r="R3734" s="1" t="s">
        <v>440</v>
      </c>
      <c r="S3734" s="1" t="s">
        <v>7876</v>
      </c>
      <c r="T3734" s="1" t="s">
        <v>7877</v>
      </c>
      <c r="U3734" s="2" t="s">
        <v>2545</v>
      </c>
      <c r="V3734" s="2" t="s">
        <v>47</v>
      </c>
      <c r="W3734" s="2" t="s">
        <v>74</v>
      </c>
      <c r="X3734" s="2">
        <v>20.93</v>
      </c>
    </row>
    <row r="3735" spans="1:24" x14ac:dyDescent="0.3">
      <c r="A3735">
        <v>21583</v>
      </c>
      <c r="B3735" t="s">
        <v>8979</v>
      </c>
      <c r="C3735" s="3">
        <v>42003</v>
      </c>
      <c r="D3735" t="s">
        <v>25</v>
      </c>
      <c r="E3735">
        <v>19</v>
      </c>
      <c r="F3735" s="3">
        <f ca="1">42003+(RANDBETWEEN(1,10))</f>
        <v>42008</v>
      </c>
      <c r="G3735" t="s">
        <v>156</v>
      </c>
      <c r="H3735" t="s">
        <v>96</v>
      </c>
      <c r="I3735" t="s">
        <v>97</v>
      </c>
      <c r="J3735">
        <v>462.73500000000001</v>
      </c>
      <c r="K3735">
        <v>0.09</v>
      </c>
      <c r="L3735">
        <v>0.39</v>
      </c>
      <c r="M3735">
        <v>14.805</v>
      </c>
      <c r="N3735">
        <v>-21.94416</v>
      </c>
      <c r="O3735" s="1" t="s">
        <v>53</v>
      </c>
      <c r="P3735" s="1" t="s">
        <v>7896</v>
      </c>
      <c r="Q3735" s="1" t="s">
        <v>7897</v>
      </c>
      <c r="R3735" s="1" t="s">
        <v>440</v>
      </c>
      <c r="S3735" s="1" t="s">
        <v>4911</v>
      </c>
      <c r="T3735" s="1" t="s">
        <v>7898</v>
      </c>
      <c r="U3735" s="2" t="s">
        <v>7976</v>
      </c>
      <c r="V3735" s="2" t="s">
        <v>47</v>
      </c>
      <c r="W3735" s="2" t="s">
        <v>74</v>
      </c>
      <c r="X3735" s="2">
        <v>25.48</v>
      </c>
    </row>
    <row r="3736" spans="1:24" x14ac:dyDescent="0.3">
      <c r="A3736">
        <v>21584</v>
      </c>
      <c r="B3736" t="s">
        <v>8980</v>
      </c>
      <c r="C3736" s="3">
        <v>41829</v>
      </c>
      <c r="D3736" t="s">
        <v>39</v>
      </c>
      <c r="E3736">
        <v>9</v>
      </c>
      <c r="F3736" s="3">
        <f ca="1">41831+(RANDBETWEEN(1,10))</f>
        <v>41841</v>
      </c>
      <c r="G3736" t="s">
        <v>26</v>
      </c>
      <c r="H3736" t="s">
        <v>27</v>
      </c>
      <c r="I3736" t="s">
        <v>86</v>
      </c>
      <c r="J3736">
        <v>363.09</v>
      </c>
      <c r="K3736">
        <v>0.09</v>
      </c>
      <c r="L3736">
        <v>0.38</v>
      </c>
      <c r="M3736">
        <v>22.645</v>
      </c>
      <c r="N3736">
        <v>-44.783760000000001</v>
      </c>
      <c r="O3736" s="1" t="s">
        <v>40</v>
      </c>
      <c r="P3736" s="1" t="s">
        <v>8981</v>
      </c>
      <c r="Q3736" s="1" t="s">
        <v>8982</v>
      </c>
      <c r="R3736" s="1" t="s">
        <v>220</v>
      </c>
      <c r="S3736" s="1" t="s">
        <v>8983</v>
      </c>
      <c r="T3736" s="1" t="s">
        <v>8984</v>
      </c>
      <c r="U3736" s="2" t="s">
        <v>2420</v>
      </c>
      <c r="V3736" s="2" t="s">
        <v>47</v>
      </c>
      <c r="W3736" s="2" t="s">
        <v>74</v>
      </c>
      <c r="X3736" s="2">
        <v>42.98</v>
      </c>
    </row>
    <row r="3737" spans="1:24" x14ac:dyDescent="0.3">
      <c r="A3737">
        <v>21585</v>
      </c>
      <c r="B3737" t="s">
        <v>8985</v>
      </c>
      <c r="C3737" s="3">
        <v>41869</v>
      </c>
      <c r="D3737" t="s">
        <v>62</v>
      </c>
      <c r="E3737">
        <v>21</v>
      </c>
      <c r="F3737" s="3">
        <f ca="1">41871+(RANDBETWEEN(1,10))</f>
        <v>41880</v>
      </c>
      <c r="G3737" t="s">
        <v>26</v>
      </c>
      <c r="H3737" t="s">
        <v>63</v>
      </c>
      <c r="I3737" t="s">
        <v>52</v>
      </c>
      <c r="J3737">
        <v>6560.75</v>
      </c>
      <c r="K3737">
        <v>0.08</v>
      </c>
      <c r="L3737">
        <v>0.83</v>
      </c>
      <c r="M3737">
        <v>122.5</v>
      </c>
      <c r="N3737">
        <v>-1531.68092</v>
      </c>
      <c r="O3737" s="1" t="s">
        <v>64</v>
      </c>
      <c r="P3737" s="1" t="s">
        <v>2317</v>
      </c>
      <c r="Q3737" s="1" t="s">
        <v>2318</v>
      </c>
      <c r="R3737" s="1" t="s">
        <v>128</v>
      </c>
      <c r="S3737" s="1" t="s">
        <v>2319</v>
      </c>
      <c r="T3737" s="1" t="s">
        <v>2320</v>
      </c>
      <c r="U3737" s="2" t="s">
        <v>6227</v>
      </c>
      <c r="V3737" s="2" t="s">
        <v>47</v>
      </c>
      <c r="W3737" s="2" t="s">
        <v>119</v>
      </c>
      <c r="X3737" s="2">
        <v>314.40499999999997</v>
      </c>
    </row>
    <row r="3738" spans="1:24" x14ac:dyDescent="0.3">
      <c r="A3738">
        <v>21586</v>
      </c>
      <c r="B3738" t="s">
        <v>8986</v>
      </c>
      <c r="C3738" s="3">
        <v>41710</v>
      </c>
      <c r="D3738" t="s">
        <v>50</v>
      </c>
      <c r="E3738">
        <v>12</v>
      </c>
      <c r="F3738" s="3">
        <f ca="1">41710+(RANDBETWEEN(1,10))</f>
        <v>41713</v>
      </c>
      <c r="G3738" t="s">
        <v>76</v>
      </c>
      <c r="H3738" t="s">
        <v>258</v>
      </c>
      <c r="I3738" t="s">
        <v>52</v>
      </c>
      <c r="J3738">
        <v>4632.8450000000003</v>
      </c>
      <c r="K3738">
        <v>0</v>
      </c>
      <c r="L3738">
        <v>0.78</v>
      </c>
      <c r="M3738">
        <v>200.83</v>
      </c>
      <c r="N3738">
        <v>-817.07500000000005</v>
      </c>
      <c r="O3738" s="1" t="s">
        <v>53</v>
      </c>
      <c r="P3738" s="1" t="s">
        <v>8987</v>
      </c>
      <c r="Q3738" s="1" t="s">
        <v>8988</v>
      </c>
      <c r="R3738" s="1" t="s">
        <v>440</v>
      </c>
      <c r="S3738" s="1" t="s">
        <v>8989</v>
      </c>
      <c r="T3738" s="1" t="s">
        <v>8990</v>
      </c>
      <c r="U3738" s="2" t="s">
        <v>1795</v>
      </c>
      <c r="V3738" s="2" t="s">
        <v>83</v>
      </c>
      <c r="W3738" s="2" t="s">
        <v>298</v>
      </c>
      <c r="X3738" s="2">
        <v>353.43</v>
      </c>
    </row>
    <row r="3739" spans="1:24" x14ac:dyDescent="0.3">
      <c r="A3739">
        <v>21587</v>
      </c>
      <c r="B3739" t="s">
        <v>8991</v>
      </c>
      <c r="C3739" s="3">
        <v>40614</v>
      </c>
      <c r="D3739" t="s">
        <v>50</v>
      </c>
      <c r="E3739">
        <v>8</v>
      </c>
      <c r="F3739" s="3">
        <f ca="1">40615+(RANDBETWEEN(1,10))</f>
        <v>40617</v>
      </c>
      <c r="G3739" t="s">
        <v>156</v>
      </c>
      <c r="H3739" t="s">
        <v>51</v>
      </c>
      <c r="I3739" t="s">
        <v>52</v>
      </c>
      <c r="J3739">
        <v>1378.93</v>
      </c>
      <c r="K3739">
        <v>0.01</v>
      </c>
      <c r="L3739">
        <v>0.71</v>
      </c>
      <c r="M3739">
        <v>12.635</v>
      </c>
      <c r="N3739">
        <v>-155.52600000000001</v>
      </c>
      <c r="O3739" s="1" t="s">
        <v>53</v>
      </c>
      <c r="P3739" s="1" t="s">
        <v>8987</v>
      </c>
      <c r="Q3739" s="1" t="s">
        <v>8988</v>
      </c>
      <c r="R3739" s="1" t="s">
        <v>440</v>
      </c>
      <c r="S3739" s="1" t="s">
        <v>8989</v>
      </c>
      <c r="T3739" s="1" t="s">
        <v>8990</v>
      </c>
      <c r="U3739" s="2" t="s">
        <v>267</v>
      </c>
      <c r="V3739" s="2" t="s">
        <v>36</v>
      </c>
      <c r="W3739" s="2" t="s">
        <v>60</v>
      </c>
      <c r="X3739" s="2">
        <v>167.93</v>
      </c>
    </row>
    <row r="3740" spans="1:24" x14ac:dyDescent="0.3">
      <c r="A3740">
        <v>21588</v>
      </c>
      <c r="B3740" t="s">
        <v>8992</v>
      </c>
      <c r="C3740" s="3">
        <v>40548</v>
      </c>
      <c r="D3740" t="s">
        <v>148</v>
      </c>
      <c r="E3740">
        <v>11</v>
      </c>
      <c r="F3740" s="3">
        <f ca="1">40549+(RANDBETWEEN(1,10))</f>
        <v>40556</v>
      </c>
      <c r="G3740" t="s">
        <v>26</v>
      </c>
      <c r="H3740" t="s">
        <v>27</v>
      </c>
      <c r="I3740" t="s">
        <v>28</v>
      </c>
      <c r="J3740">
        <v>230.47499999999999</v>
      </c>
      <c r="K3740">
        <v>0.09</v>
      </c>
      <c r="L3740">
        <v>0.68</v>
      </c>
      <c r="M3740">
        <v>16.414999999999999</v>
      </c>
      <c r="N3740">
        <v>-2733.9697000000001</v>
      </c>
      <c r="O3740" s="1" t="s">
        <v>87</v>
      </c>
      <c r="P3740" s="1" t="s">
        <v>6229</v>
      </c>
      <c r="Q3740" s="1" t="s">
        <v>6230</v>
      </c>
      <c r="R3740" s="1" t="s">
        <v>90</v>
      </c>
      <c r="S3740" s="1" t="s">
        <v>1397</v>
      </c>
      <c r="T3740" s="1" t="s">
        <v>6231</v>
      </c>
      <c r="U3740" s="2" t="s">
        <v>2362</v>
      </c>
      <c r="V3740" s="2" t="s">
        <v>47</v>
      </c>
      <c r="W3740" s="2" t="s">
        <v>119</v>
      </c>
      <c r="X3740" s="2">
        <v>20.93</v>
      </c>
    </row>
    <row r="3741" spans="1:24" x14ac:dyDescent="0.3">
      <c r="A3741">
        <v>21589</v>
      </c>
      <c r="B3741" t="s">
        <v>8993</v>
      </c>
      <c r="C3741" s="3">
        <v>41338</v>
      </c>
      <c r="D3741" t="s">
        <v>25</v>
      </c>
      <c r="E3741">
        <v>6</v>
      </c>
      <c r="F3741" s="3">
        <f ca="1">41340+(RANDBETWEEN(1,10))</f>
        <v>41349</v>
      </c>
      <c r="G3741" t="s">
        <v>26</v>
      </c>
      <c r="H3741" t="s">
        <v>27</v>
      </c>
      <c r="I3741" t="s">
        <v>28</v>
      </c>
      <c r="J3741">
        <v>787.64</v>
      </c>
      <c r="K3741">
        <v>0.04</v>
      </c>
      <c r="L3741">
        <v>0.4</v>
      </c>
      <c r="M3741">
        <v>51.52</v>
      </c>
      <c r="N3741">
        <v>427.38499999999999</v>
      </c>
      <c r="O3741" s="1" t="s">
        <v>64</v>
      </c>
      <c r="P3741" s="1" t="s">
        <v>8007</v>
      </c>
      <c r="Q3741" s="1" t="s">
        <v>8008</v>
      </c>
      <c r="R3741" s="1" t="s">
        <v>128</v>
      </c>
      <c r="S3741" s="1" t="s">
        <v>7526</v>
      </c>
      <c r="T3741" s="1" t="s">
        <v>7527</v>
      </c>
      <c r="U3741" s="2" t="s">
        <v>5698</v>
      </c>
      <c r="V3741" s="2" t="s">
        <v>47</v>
      </c>
      <c r="W3741" s="2" t="s">
        <v>48</v>
      </c>
      <c r="X3741" s="2">
        <v>125.61499999999999</v>
      </c>
    </row>
    <row r="3742" spans="1:24" x14ac:dyDescent="0.3">
      <c r="A3742">
        <v>21590</v>
      </c>
      <c r="B3742" t="s">
        <v>8994</v>
      </c>
      <c r="C3742" s="3">
        <v>41487</v>
      </c>
      <c r="D3742" t="s">
        <v>25</v>
      </c>
      <c r="E3742">
        <v>18</v>
      </c>
      <c r="F3742" s="3">
        <f ca="1">41492+(RANDBETWEEN(1,10))</f>
        <v>41498</v>
      </c>
      <c r="G3742" t="s">
        <v>76</v>
      </c>
      <c r="H3742" t="s">
        <v>258</v>
      </c>
      <c r="I3742" t="s">
        <v>97</v>
      </c>
      <c r="J3742">
        <v>8995.14</v>
      </c>
      <c r="K3742">
        <v>0.06</v>
      </c>
      <c r="L3742">
        <v>0.69</v>
      </c>
      <c r="M3742">
        <v>181.72</v>
      </c>
      <c r="N3742">
        <v>-1060.01532</v>
      </c>
      <c r="O3742" s="1" t="s">
        <v>87</v>
      </c>
      <c r="P3742" s="1" t="s">
        <v>7595</v>
      </c>
      <c r="Q3742" s="1" t="s">
        <v>7596</v>
      </c>
      <c r="R3742" s="1" t="s">
        <v>646</v>
      </c>
      <c r="S3742" s="1" t="s">
        <v>5251</v>
      </c>
      <c r="T3742" s="1" t="s">
        <v>5252</v>
      </c>
      <c r="U3742" s="2" t="s">
        <v>2661</v>
      </c>
      <c r="V3742" s="2" t="s">
        <v>83</v>
      </c>
      <c r="W3742" s="2" t="s">
        <v>263</v>
      </c>
      <c r="X3742" s="2">
        <v>510.93</v>
      </c>
    </row>
    <row r="3743" spans="1:24" x14ac:dyDescent="0.3">
      <c r="A3743">
        <v>21591</v>
      </c>
      <c r="B3743" t="s">
        <v>8995</v>
      </c>
      <c r="C3743" s="3">
        <v>41119</v>
      </c>
      <c r="D3743" t="s">
        <v>50</v>
      </c>
      <c r="E3743">
        <v>9</v>
      </c>
      <c r="F3743" s="3">
        <f ca="1">41122+(RANDBETWEEN(1,10))</f>
        <v>41127</v>
      </c>
      <c r="G3743" t="s">
        <v>26</v>
      </c>
      <c r="H3743" t="s">
        <v>27</v>
      </c>
      <c r="I3743" t="s">
        <v>28</v>
      </c>
      <c r="J3743">
        <v>644.45500000000004</v>
      </c>
      <c r="K3743">
        <v>0.03</v>
      </c>
      <c r="L3743">
        <v>0.6</v>
      </c>
      <c r="M3743">
        <v>14</v>
      </c>
      <c r="N3743">
        <v>101.465</v>
      </c>
      <c r="O3743" s="1" t="s">
        <v>87</v>
      </c>
      <c r="P3743" s="1" t="s">
        <v>8996</v>
      </c>
      <c r="Q3743" s="1" t="s">
        <v>8997</v>
      </c>
      <c r="R3743" s="1" t="s">
        <v>90</v>
      </c>
      <c r="S3743" s="1" t="s">
        <v>8998</v>
      </c>
      <c r="T3743" s="1" t="s">
        <v>8999</v>
      </c>
      <c r="U3743" s="2" t="s">
        <v>3946</v>
      </c>
      <c r="V3743" s="2" t="s">
        <v>36</v>
      </c>
      <c r="W3743" s="2" t="s">
        <v>60</v>
      </c>
      <c r="X3743" s="2">
        <v>73.325000000000003</v>
      </c>
    </row>
    <row r="3744" spans="1:24" x14ac:dyDescent="0.3">
      <c r="A3744">
        <v>21592</v>
      </c>
      <c r="B3744" t="s">
        <v>8995</v>
      </c>
      <c r="C3744" s="3">
        <v>41119</v>
      </c>
      <c r="D3744" t="s">
        <v>50</v>
      </c>
      <c r="E3744">
        <v>8</v>
      </c>
      <c r="F3744" s="3">
        <f ca="1">41120+(RANDBETWEEN(1,10))</f>
        <v>41127</v>
      </c>
      <c r="G3744" t="s">
        <v>156</v>
      </c>
      <c r="H3744" t="s">
        <v>27</v>
      </c>
      <c r="I3744" t="s">
        <v>28</v>
      </c>
      <c r="J3744">
        <v>674.24</v>
      </c>
      <c r="K3744">
        <v>0.03</v>
      </c>
      <c r="L3744">
        <v>0.35</v>
      </c>
      <c r="M3744">
        <v>23.484999999999999</v>
      </c>
      <c r="N3744">
        <v>465.22559999999999</v>
      </c>
      <c r="O3744" s="1" t="s">
        <v>87</v>
      </c>
      <c r="P3744" s="1" t="s">
        <v>8996</v>
      </c>
      <c r="Q3744" s="1" t="s">
        <v>8997</v>
      </c>
      <c r="R3744" s="1" t="s">
        <v>90</v>
      </c>
      <c r="S3744" s="1" t="s">
        <v>8998</v>
      </c>
      <c r="T3744" s="1" t="s">
        <v>8999</v>
      </c>
      <c r="U3744" s="2" t="s">
        <v>5144</v>
      </c>
      <c r="V3744" s="2" t="s">
        <v>47</v>
      </c>
      <c r="W3744" s="2" t="s">
        <v>48</v>
      </c>
      <c r="X3744" s="2">
        <v>83.965000000000003</v>
      </c>
    </row>
    <row r="3745" spans="1:24" x14ac:dyDescent="0.3">
      <c r="A3745">
        <v>21593</v>
      </c>
      <c r="B3745" t="s">
        <v>9000</v>
      </c>
      <c r="C3745" s="3">
        <v>41788</v>
      </c>
      <c r="D3745" t="s">
        <v>62</v>
      </c>
      <c r="E3745">
        <v>5</v>
      </c>
      <c r="F3745" s="3">
        <f ca="1">41789+(RANDBETWEEN(1,10))</f>
        <v>41792</v>
      </c>
      <c r="G3745" t="s">
        <v>156</v>
      </c>
      <c r="H3745" t="s">
        <v>27</v>
      </c>
      <c r="I3745" t="s">
        <v>28</v>
      </c>
      <c r="J3745">
        <v>791.35</v>
      </c>
      <c r="K3745">
        <v>0.04</v>
      </c>
      <c r="L3745">
        <v>0.56000000000000005</v>
      </c>
      <c r="M3745">
        <v>16.170000000000002</v>
      </c>
      <c r="N3745">
        <v>509.18</v>
      </c>
      <c r="O3745" s="1" t="s">
        <v>87</v>
      </c>
      <c r="P3745" s="1" t="s">
        <v>8814</v>
      </c>
      <c r="Q3745" s="1" t="s">
        <v>8815</v>
      </c>
      <c r="R3745" s="1" t="s">
        <v>90</v>
      </c>
      <c r="S3745" s="1" t="s">
        <v>5875</v>
      </c>
      <c r="T3745" s="1" t="s">
        <v>5876</v>
      </c>
      <c r="U3745" s="2" t="s">
        <v>5674</v>
      </c>
      <c r="V3745" s="2" t="s">
        <v>47</v>
      </c>
      <c r="W3745" s="2" t="s">
        <v>71</v>
      </c>
      <c r="X3745" s="2">
        <v>150.43</v>
      </c>
    </row>
    <row r="3746" spans="1:24" x14ac:dyDescent="0.3">
      <c r="A3746">
        <v>21594</v>
      </c>
      <c r="B3746" t="s">
        <v>9000</v>
      </c>
      <c r="C3746" s="3">
        <v>41788</v>
      </c>
      <c r="D3746" t="s">
        <v>62</v>
      </c>
      <c r="E3746">
        <v>7</v>
      </c>
      <c r="F3746" s="3">
        <f ca="1">41789+(RANDBETWEEN(1,10))</f>
        <v>41799</v>
      </c>
      <c r="G3746" t="s">
        <v>26</v>
      </c>
      <c r="H3746" t="s">
        <v>96</v>
      </c>
      <c r="I3746" t="s">
        <v>28</v>
      </c>
      <c r="J3746">
        <v>122.955</v>
      </c>
      <c r="K3746">
        <v>0.09</v>
      </c>
      <c r="L3746">
        <v>0.51</v>
      </c>
      <c r="M3746">
        <v>12.705</v>
      </c>
      <c r="N3746">
        <v>-128.1</v>
      </c>
      <c r="O3746" s="1" t="s">
        <v>87</v>
      </c>
      <c r="P3746" s="1" t="s">
        <v>7595</v>
      </c>
      <c r="Q3746" s="1" t="s">
        <v>7596</v>
      </c>
      <c r="R3746" s="1" t="s">
        <v>646</v>
      </c>
      <c r="S3746" s="1" t="s">
        <v>5251</v>
      </c>
      <c r="T3746" s="1" t="s">
        <v>5252</v>
      </c>
      <c r="U3746" s="2" t="s">
        <v>4165</v>
      </c>
      <c r="V3746" s="2" t="s">
        <v>83</v>
      </c>
      <c r="W3746" s="2" t="s">
        <v>178</v>
      </c>
      <c r="X3746" s="2">
        <v>17.78</v>
      </c>
    </row>
    <row r="3747" spans="1:24" x14ac:dyDescent="0.3">
      <c r="A3747">
        <v>21595</v>
      </c>
      <c r="B3747" t="s">
        <v>9001</v>
      </c>
      <c r="C3747" s="3">
        <v>41695</v>
      </c>
      <c r="D3747" t="s">
        <v>50</v>
      </c>
      <c r="E3747">
        <v>3</v>
      </c>
      <c r="F3747" s="3">
        <f ca="1">41697+(RANDBETWEEN(1,10))</f>
        <v>41704</v>
      </c>
      <c r="G3747" t="s">
        <v>76</v>
      </c>
      <c r="H3747" t="s">
        <v>258</v>
      </c>
      <c r="I3747" t="s">
        <v>86</v>
      </c>
      <c r="J3747">
        <v>2108.2600000000002</v>
      </c>
      <c r="K3747">
        <v>0.1</v>
      </c>
      <c r="L3747">
        <v>0.61</v>
      </c>
      <c r="M3747">
        <v>233.345</v>
      </c>
      <c r="N3747">
        <v>94.08</v>
      </c>
      <c r="O3747" s="1" t="s">
        <v>29</v>
      </c>
      <c r="P3747" s="1" t="s">
        <v>9002</v>
      </c>
      <c r="Q3747" s="1" t="s">
        <v>9003</v>
      </c>
      <c r="R3747" s="1" t="s">
        <v>32</v>
      </c>
      <c r="S3747" s="1" t="s">
        <v>1166</v>
      </c>
      <c r="T3747" s="1" t="s">
        <v>1167</v>
      </c>
      <c r="U3747" s="2" t="s">
        <v>4031</v>
      </c>
      <c r="V3747" s="2" t="s">
        <v>83</v>
      </c>
      <c r="W3747" s="2" t="s">
        <v>263</v>
      </c>
      <c r="X3747" s="2">
        <v>908.98500000000001</v>
      </c>
    </row>
    <row r="3748" spans="1:24" x14ac:dyDescent="0.3">
      <c r="A3748">
        <v>21596</v>
      </c>
      <c r="B3748" t="s">
        <v>9004</v>
      </c>
      <c r="C3748" s="3">
        <v>40761</v>
      </c>
      <c r="D3748" t="s">
        <v>39</v>
      </c>
      <c r="E3748">
        <v>14</v>
      </c>
      <c r="F3748" s="3">
        <f ca="1">40762+(RANDBETWEEN(1,10))</f>
        <v>40769</v>
      </c>
      <c r="G3748" t="s">
        <v>26</v>
      </c>
      <c r="H3748" t="s">
        <v>51</v>
      </c>
      <c r="I3748" t="s">
        <v>28</v>
      </c>
      <c r="J3748">
        <v>259.03500000000003</v>
      </c>
      <c r="K3748">
        <v>0.02</v>
      </c>
      <c r="L3748">
        <v>0.66</v>
      </c>
      <c r="M3748">
        <v>17.254999999999999</v>
      </c>
      <c r="N3748">
        <v>-197.56100000000001</v>
      </c>
      <c r="O3748" s="1" t="s">
        <v>87</v>
      </c>
      <c r="P3748" s="1" t="s">
        <v>9005</v>
      </c>
      <c r="Q3748" s="1" t="s">
        <v>9006</v>
      </c>
      <c r="R3748" s="1" t="s">
        <v>398</v>
      </c>
      <c r="S3748" s="1" t="s">
        <v>4411</v>
      </c>
      <c r="T3748" s="1" t="s">
        <v>4412</v>
      </c>
      <c r="U3748" s="2" t="s">
        <v>1387</v>
      </c>
      <c r="V3748" s="2" t="s">
        <v>36</v>
      </c>
      <c r="W3748" s="2" t="s">
        <v>60</v>
      </c>
      <c r="X3748" s="2">
        <v>17.114999999999998</v>
      </c>
    </row>
    <row r="3749" spans="1:24" x14ac:dyDescent="0.3">
      <c r="A3749">
        <v>21597</v>
      </c>
      <c r="B3749" t="s">
        <v>9004</v>
      </c>
      <c r="C3749" s="3">
        <v>40761</v>
      </c>
      <c r="D3749" t="s">
        <v>39</v>
      </c>
      <c r="E3749">
        <v>5</v>
      </c>
      <c r="F3749" s="3">
        <f ca="1">40762+(RANDBETWEEN(1,10))</f>
        <v>40768</v>
      </c>
      <c r="G3749" t="s">
        <v>26</v>
      </c>
      <c r="H3749" t="s">
        <v>96</v>
      </c>
      <c r="I3749" t="s">
        <v>28</v>
      </c>
      <c r="J3749">
        <v>168.35</v>
      </c>
      <c r="K3749">
        <v>7.0000000000000007E-2</v>
      </c>
      <c r="L3749">
        <v>0.39</v>
      </c>
      <c r="M3749">
        <v>7.21</v>
      </c>
      <c r="N3749">
        <v>116.1615</v>
      </c>
      <c r="O3749" s="1" t="s">
        <v>87</v>
      </c>
      <c r="P3749" s="1" t="s">
        <v>9005</v>
      </c>
      <c r="Q3749" s="1" t="s">
        <v>9006</v>
      </c>
      <c r="R3749" s="1" t="s">
        <v>398</v>
      </c>
      <c r="S3749" s="1" t="s">
        <v>4411</v>
      </c>
      <c r="T3749" s="1" t="s">
        <v>4412</v>
      </c>
      <c r="U3749" s="2" t="s">
        <v>2438</v>
      </c>
      <c r="V3749" s="2" t="s">
        <v>47</v>
      </c>
      <c r="W3749" s="2" t="s">
        <v>74</v>
      </c>
      <c r="X3749" s="2">
        <v>35.21</v>
      </c>
    </row>
    <row r="3750" spans="1:24" x14ac:dyDescent="0.3">
      <c r="A3750">
        <v>21598</v>
      </c>
      <c r="B3750" t="s">
        <v>9007</v>
      </c>
      <c r="C3750" s="3">
        <v>41884</v>
      </c>
      <c r="D3750" t="s">
        <v>62</v>
      </c>
      <c r="E3750">
        <v>12</v>
      </c>
      <c r="F3750" s="3">
        <f ca="1">41884+(RANDBETWEEN(1,10))</f>
        <v>41890</v>
      </c>
      <c r="G3750" t="s">
        <v>26</v>
      </c>
      <c r="H3750" t="s">
        <v>27</v>
      </c>
      <c r="I3750" t="s">
        <v>52</v>
      </c>
      <c r="J3750">
        <v>474.91500000000002</v>
      </c>
      <c r="K3750">
        <v>0.1</v>
      </c>
      <c r="L3750">
        <v>0.57999999999999996</v>
      </c>
      <c r="M3750">
        <v>16.835000000000001</v>
      </c>
      <c r="N3750">
        <v>-121.877</v>
      </c>
      <c r="O3750" s="1" t="s">
        <v>40</v>
      </c>
      <c r="P3750" s="1" t="s">
        <v>9008</v>
      </c>
      <c r="Q3750" s="1" t="s">
        <v>9009</v>
      </c>
      <c r="R3750" s="1" t="s">
        <v>220</v>
      </c>
      <c r="S3750" s="1" t="s">
        <v>3859</v>
      </c>
      <c r="T3750" s="1" t="s">
        <v>3860</v>
      </c>
      <c r="U3750" s="2" t="s">
        <v>5691</v>
      </c>
      <c r="V3750" s="2" t="s">
        <v>47</v>
      </c>
      <c r="W3750" s="2" t="s">
        <v>119</v>
      </c>
      <c r="X3750" s="2">
        <v>42.734999999999999</v>
      </c>
    </row>
    <row r="3751" spans="1:24" x14ac:dyDescent="0.3">
      <c r="A3751">
        <v>21599</v>
      </c>
      <c r="B3751" t="s">
        <v>9007</v>
      </c>
      <c r="C3751" s="3">
        <v>41884</v>
      </c>
      <c r="D3751" t="s">
        <v>62</v>
      </c>
      <c r="E3751">
        <v>19</v>
      </c>
      <c r="F3751" s="3">
        <f ca="1">41885+(RANDBETWEEN(1,10))</f>
        <v>41886</v>
      </c>
      <c r="G3751" t="s">
        <v>26</v>
      </c>
      <c r="H3751" t="s">
        <v>27</v>
      </c>
      <c r="I3751" t="s">
        <v>52</v>
      </c>
      <c r="J3751">
        <v>9369.7450000000008</v>
      </c>
      <c r="K3751">
        <v>0.06</v>
      </c>
      <c r="L3751">
        <v>0.73</v>
      </c>
      <c r="M3751">
        <v>69.965000000000003</v>
      </c>
      <c r="N3751">
        <v>1396.5588</v>
      </c>
      <c r="O3751" s="1" t="s">
        <v>225</v>
      </c>
      <c r="P3751" s="1" t="s">
        <v>9010</v>
      </c>
      <c r="Q3751" s="1" t="s">
        <v>9011</v>
      </c>
      <c r="R3751" s="1" t="s">
        <v>228</v>
      </c>
      <c r="S3751" s="1" t="s">
        <v>9012</v>
      </c>
      <c r="T3751" s="1" t="s">
        <v>9013</v>
      </c>
      <c r="U3751" s="2" t="s">
        <v>1828</v>
      </c>
      <c r="V3751" s="2" t="s">
        <v>47</v>
      </c>
      <c r="W3751" s="2" t="s">
        <v>119</v>
      </c>
      <c r="X3751" s="2">
        <v>492.97500000000002</v>
      </c>
    </row>
    <row r="3752" spans="1:24" x14ac:dyDescent="0.3">
      <c r="A3752">
        <v>21600</v>
      </c>
      <c r="B3752" t="s">
        <v>9014</v>
      </c>
      <c r="C3752" s="3">
        <v>41290</v>
      </c>
      <c r="D3752" t="s">
        <v>62</v>
      </c>
      <c r="E3752">
        <v>3</v>
      </c>
      <c r="F3752" s="3">
        <f ca="1">41290+(RANDBETWEEN(1,10))</f>
        <v>41293</v>
      </c>
      <c r="G3752" t="s">
        <v>26</v>
      </c>
      <c r="H3752" t="s">
        <v>27</v>
      </c>
      <c r="I3752" t="s">
        <v>86</v>
      </c>
      <c r="J3752">
        <v>39.935000000000002</v>
      </c>
      <c r="K3752">
        <v>0.02</v>
      </c>
      <c r="L3752">
        <v>0.38</v>
      </c>
      <c r="M3752">
        <v>1.75</v>
      </c>
      <c r="N3752">
        <v>27.555150000000001</v>
      </c>
      <c r="O3752" s="1" t="s">
        <v>53</v>
      </c>
      <c r="P3752" s="1" t="s">
        <v>9015</v>
      </c>
      <c r="Q3752" s="1" t="s">
        <v>9016</v>
      </c>
      <c r="R3752" s="1" t="s">
        <v>56</v>
      </c>
      <c r="S3752" s="1" t="s">
        <v>9017</v>
      </c>
      <c r="T3752" s="1" t="s">
        <v>9018</v>
      </c>
      <c r="U3752" s="2" t="s">
        <v>312</v>
      </c>
      <c r="V3752" s="2" t="s">
        <v>47</v>
      </c>
      <c r="W3752" s="2" t="s">
        <v>203</v>
      </c>
      <c r="X3752" s="2">
        <v>12.914999999999999</v>
      </c>
    </row>
    <row r="3753" spans="1:24" x14ac:dyDescent="0.3">
      <c r="A3753">
        <v>21601</v>
      </c>
      <c r="B3753" t="s">
        <v>9019</v>
      </c>
      <c r="C3753" s="3">
        <v>41390</v>
      </c>
      <c r="D3753" t="s">
        <v>25</v>
      </c>
      <c r="E3753">
        <v>13</v>
      </c>
      <c r="F3753" s="3">
        <f ca="1">41390+(RANDBETWEEN(1,10))</f>
        <v>41396</v>
      </c>
      <c r="G3753" t="s">
        <v>26</v>
      </c>
      <c r="H3753" t="s">
        <v>51</v>
      </c>
      <c r="I3753" t="s">
        <v>52</v>
      </c>
      <c r="J3753">
        <v>395.88499999999999</v>
      </c>
      <c r="K3753">
        <v>0.02</v>
      </c>
      <c r="L3753">
        <v>0.61</v>
      </c>
      <c r="M3753">
        <v>12.67</v>
      </c>
      <c r="N3753">
        <v>-131.25</v>
      </c>
      <c r="O3753" s="1" t="s">
        <v>225</v>
      </c>
      <c r="P3753" s="1" t="s">
        <v>8076</v>
      </c>
      <c r="Q3753" s="1" t="s">
        <v>8077</v>
      </c>
      <c r="R3753" s="1" t="s">
        <v>391</v>
      </c>
      <c r="S3753" s="1" t="s">
        <v>3376</v>
      </c>
      <c r="T3753" s="1" t="s">
        <v>3377</v>
      </c>
      <c r="U3753" s="2" t="s">
        <v>1117</v>
      </c>
      <c r="V3753" s="2" t="s">
        <v>36</v>
      </c>
      <c r="W3753" s="2" t="s">
        <v>60</v>
      </c>
      <c r="X3753" s="2">
        <v>29.61</v>
      </c>
    </row>
    <row r="3754" spans="1:24" x14ac:dyDescent="0.3">
      <c r="A3754">
        <v>21602</v>
      </c>
      <c r="B3754" t="s">
        <v>9020</v>
      </c>
      <c r="C3754" s="3">
        <v>41771</v>
      </c>
      <c r="D3754" t="s">
        <v>25</v>
      </c>
      <c r="E3754">
        <v>8</v>
      </c>
      <c r="F3754" s="3">
        <f ca="1">41776+(RANDBETWEEN(1,10))</f>
        <v>41782</v>
      </c>
      <c r="G3754" t="s">
        <v>26</v>
      </c>
      <c r="H3754" t="s">
        <v>27</v>
      </c>
      <c r="I3754" t="s">
        <v>97</v>
      </c>
      <c r="J3754">
        <v>650.09</v>
      </c>
      <c r="K3754">
        <v>0.09</v>
      </c>
      <c r="L3754">
        <v>0.39</v>
      </c>
      <c r="M3754">
        <v>45.43</v>
      </c>
      <c r="N3754">
        <v>-150.4545</v>
      </c>
      <c r="O3754" s="1" t="s">
        <v>225</v>
      </c>
      <c r="P3754" s="1" t="s">
        <v>9021</v>
      </c>
      <c r="Q3754" s="1" t="s">
        <v>9022</v>
      </c>
      <c r="R3754" s="1" t="s">
        <v>228</v>
      </c>
      <c r="S3754" s="1" t="s">
        <v>3239</v>
      </c>
      <c r="T3754" s="1" t="s">
        <v>3240</v>
      </c>
      <c r="U3754" s="2" t="s">
        <v>559</v>
      </c>
      <c r="V3754" s="2" t="s">
        <v>47</v>
      </c>
      <c r="W3754" s="2" t="s">
        <v>111</v>
      </c>
      <c r="X3754" s="2">
        <v>87.22</v>
      </c>
    </row>
    <row r="3755" spans="1:24" x14ac:dyDescent="0.3">
      <c r="A3755">
        <v>21603</v>
      </c>
      <c r="B3755" t="s">
        <v>9023</v>
      </c>
      <c r="C3755" s="3">
        <v>41273</v>
      </c>
      <c r="D3755" t="s">
        <v>50</v>
      </c>
      <c r="E3755">
        <v>21</v>
      </c>
      <c r="F3755" s="3">
        <f ca="1">41287+(RANDBETWEEN(1,10))</f>
        <v>41296</v>
      </c>
      <c r="G3755" t="s">
        <v>26</v>
      </c>
      <c r="H3755" t="s">
        <v>96</v>
      </c>
      <c r="I3755" t="s">
        <v>52</v>
      </c>
      <c r="J3755">
        <v>425.28500000000003</v>
      </c>
      <c r="K3755">
        <v>0.02</v>
      </c>
      <c r="L3755">
        <v>0.46</v>
      </c>
      <c r="M3755">
        <v>6.9649999999999999</v>
      </c>
      <c r="N3755">
        <v>231.78749999999999</v>
      </c>
      <c r="O3755" s="1" t="s">
        <v>225</v>
      </c>
      <c r="P3755" s="1" t="s">
        <v>5525</v>
      </c>
      <c r="Q3755" s="1" t="s">
        <v>5526</v>
      </c>
      <c r="R3755" s="1" t="s">
        <v>228</v>
      </c>
      <c r="S3755" s="1" t="s">
        <v>5527</v>
      </c>
      <c r="T3755" s="1" t="s">
        <v>2680</v>
      </c>
      <c r="U3755" s="2" t="s">
        <v>1554</v>
      </c>
      <c r="V3755" s="2" t="s">
        <v>47</v>
      </c>
      <c r="W3755" s="2" t="s">
        <v>104</v>
      </c>
      <c r="X3755" s="2">
        <v>19.53</v>
      </c>
    </row>
    <row r="3756" spans="1:24" x14ac:dyDescent="0.3">
      <c r="A3756">
        <v>21604</v>
      </c>
      <c r="B3756" t="s">
        <v>9024</v>
      </c>
      <c r="C3756" s="3">
        <v>41701</v>
      </c>
      <c r="D3756" t="s">
        <v>39</v>
      </c>
      <c r="E3756">
        <v>2</v>
      </c>
      <c r="F3756" s="3">
        <f ca="1">41701+(RANDBETWEEN(1,10))</f>
        <v>41709</v>
      </c>
      <c r="G3756" t="s">
        <v>26</v>
      </c>
      <c r="H3756" t="s">
        <v>51</v>
      </c>
      <c r="I3756" t="s">
        <v>28</v>
      </c>
      <c r="J3756">
        <v>261.87</v>
      </c>
      <c r="K3756">
        <v>0.08</v>
      </c>
      <c r="L3756">
        <v>0.54</v>
      </c>
      <c r="M3756">
        <v>6.9649999999999999</v>
      </c>
      <c r="N3756">
        <v>-207.2</v>
      </c>
      <c r="O3756" s="1" t="s">
        <v>40</v>
      </c>
      <c r="P3756" s="1" t="s">
        <v>3368</v>
      </c>
      <c r="Q3756" s="1" t="s">
        <v>3369</v>
      </c>
      <c r="R3756" s="1" t="s">
        <v>43</v>
      </c>
      <c r="S3756" s="1" t="s">
        <v>3370</v>
      </c>
      <c r="T3756" s="1" t="s">
        <v>3371</v>
      </c>
      <c r="U3756" s="2" t="s">
        <v>685</v>
      </c>
      <c r="V3756" s="2" t="s">
        <v>36</v>
      </c>
      <c r="W3756" s="2" t="s">
        <v>60</v>
      </c>
      <c r="X3756" s="2">
        <v>138.18</v>
      </c>
    </row>
    <row r="3757" spans="1:24" x14ac:dyDescent="0.3">
      <c r="A3757">
        <v>21605</v>
      </c>
      <c r="B3757" t="s">
        <v>9024</v>
      </c>
      <c r="C3757" s="3">
        <v>41701</v>
      </c>
      <c r="D3757" t="s">
        <v>39</v>
      </c>
      <c r="E3757">
        <v>4</v>
      </c>
      <c r="F3757" s="3">
        <f ca="1">41702+(RANDBETWEEN(1,10))</f>
        <v>41703</v>
      </c>
      <c r="G3757" t="s">
        <v>26</v>
      </c>
      <c r="H3757" t="s">
        <v>27</v>
      </c>
      <c r="I3757" t="s">
        <v>28</v>
      </c>
      <c r="J3757">
        <v>554.15499999999997</v>
      </c>
      <c r="K3757">
        <v>0.04</v>
      </c>
      <c r="L3757">
        <v>0.36</v>
      </c>
      <c r="M3757">
        <v>46.41</v>
      </c>
      <c r="N3757">
        <v>378.03500000000003</v>
      </c>
      <c r="O3757" s="1" t="s">
        <v>40</v>
      </c>
      <c r="P3757" s="1" t="s">
        <v>3368</v>
      </c>
      <c r="Q3757" s="1" t="s">
        <v>3369</v>
      </c>
      <c r="R3757" s="1" t="s">
        <v>43</v>
      </c>
      <c r="S3757" s="1" t="s">
        <v>3370</v>
      </c>
      <c r="T3757" s="1" t="s">
        <v>3371</v>
      </c>
      <c r="U3757" s="2" t="s">
        <v>2065</v>
      </c>
      <c r="V3757" s="2" t="s">
        <v>47</v>
      </c>
      <c r="W3757" s="2" t="s">
        <v>74</v>
      </c>
      <c r="X3757" s="2">
        <v>135.66</v>
      </c>
    </row>
    <row r="3758" spans="1:24" x14ac:dyDescent="0.3">
      <c r="A3758">
        <v>21606</v>
      </c>
      <c r="B3758" t="s">
        <v>9025</v>
      </c>
      <c r="C3758" s="3">
        <v>41736</v>
      </c>
      <c r="D3758" t="s">
        <v>25</v>
      </c>
      <c r="E3758">
        <v>7</v>
      </c>
      <c r="F3758" s="3">
        <f ca="1">41738+(RANDBETWEEN(1,10))</f>
        <v>41747</v>
      </c>
      <c r="G3758" t="s">
        <v>26</v>
      </c>
      <c r="H3758" t="s">
        <v>27</v>
      </c>
      <c r="I3758" t="s">
        <v>52</v>
      </c>
      <c r="J3758">
        <v>3118.5349999999999</v>
      </c>
      <c r="K3758">
        <v>0.04</v>
      </c>
      <c r="L3758">
        <v>0.57999999999999996</v>
      </c>
      <c r="M3758">
        <v>31.465</v>
      </c>
      <c r="N3758">
        <v>-4563.1152000000002</v>
      </c>
      <c r="O3758" s="1" t="s">
        <v>87</v>
      </c>
      <c r="P3758" s="1" t="s">
        <v>9026</v>
      </c>
      <c r="Q3758" s="1" t="s">
        <v>9027</v>
      </c>
      <c r="R3758" s="1" t="s">
        <v>398</v>
      </c>
      <c r="S3758" s="1" t="s">
        <v>9028</v>
      </c>
      <c r="T3758" s="1" t="s">
        <v>9029</v>
      </c>
      <c r="U3758" s="2" t="s">
        <v>1265</v>
      </c>
      <c r="V3758" s="2" t="s">
        <v>36</v>
      </c>
      <c r="W3758" s="2" t="s">
        <v>37</v>
      </c>
      <c r="X3758" s="2">
        <v>545.96500000000003</v>
      </c>
    </row>
    <row r="3759" spans="1:24" x14ac:dyDescent="0.3">
      <c r="A3759">
        <v>21607</v>
      </c>
      <c r="B3759" t="s">
        <v>9030</v>
      </c>
      <c r="C3759" s="3">
        <v>41883</v>
      </c>
      <c r="D3759" t="s">
        <v>50</v>
      </c>
      <c r="E3759">
        <v>15</v>
      </c>
      <c r="F3759" s="3">
        <f ca="1">41885+(RANDBETWEEN(1,10))</f>
        <v>41886</v>
      </c>
      <c r="G3759" t="s">
        <v>26</v>
      </c>
      <c r="H3759" t="s">
        <v>51</v>
      </c>
      <c r="I3759" t="s">
        <v>28</v>
      </c>
      <c r="J3759">
        <v>1735.1949999999999</v>
      </c>
      <c r="K3759">
        <v>0</v>
      </c>
      <c r="L3759">
        <v>0.42</v>
      </c>
      <c r="M3759">
        <v>6.9649999999999999</v>
      </c>
      <c r="N3759">
        <v>1197.2845500000001</v>
      </c>
      <c r="O3759" s="1" t="s">
        <v>40</v>
      </c>
      <c r="P3759" s="1" t="s">
        <v>1899</v>
      </c>
      <c r="Q3759" s="1" t="s">
        <v>1900</v>
      </c>
      <c r="R3759" s="1" t="s">
        <v>43</v>
      </c>
      <c r="S3759" s="1" t="s">
        <v>1901</v>
      </c>
      <c r="T3759" s="1" t="s">
        <v>1902</v>
      </c>
      <c r="U3759" s="2" t="s">
        <v>1226</v>
      </c>
      <c r="V3759" s="2" t="s">
        <v>36</v>
      </c>
      <c r="W3759" s="2" t="s">
        <v>60</v>
      </c>
      <c r="X3759" s="2">
        <v>111.23</v>
      </c>
    </row>
    <row r="3760" spans="1:24" x14ac:dyDescent="0.3">
      <c r="A3760">
        <v>21608</v>
      </c>
      <c r="B3760" t="s">
        <v>9031</v>
      </c>
      <c r="C3760" s="3">
        <v>41329</v>
      </c>
      <c r="D3760" t="s">
        <v>25</v>
      </c>
      <c r="E3760">
        <v>11</v>
      </c>
      <c r="F3760" s="3">
        <f ca="1">41332+(RANDBETWEEN(1,10))</f>
        <v>41341</v>
      </c>
      <c r="G3760" t="s">
        <v>26</v>
      </c>
      <c r="H3760" t="s">
        <v>96</v>
      </c>
      <c r="I3760" t="s">
        <v>28</v>
      </c>
      <c r="J3760">
        <v>138.285</v>
      </c>
      <c r="K3760">
        <v>0.05</v>
      </c>
      <c r="L3760">
        <v>0.54</v>
      </c>
      <c r="M3760">
        <v>26.215</v>
      </c>
      <c r="N3760">
        <v>-74.087999999999994</v>
      </c>
      <c r="O3760" s="1" t="s">
        <v>53</v>
      </c>
      <c r="P3760" s="1" t="s">
        <v>5045</v>
      </c>
      <c r="Q3760" s="1" t="s">
        <v>5046</v>
      </c>
      <c r="R3760" s="1" t="s">
        <v>100</v>
      </c>
      <c r="S3760" s="1" t="s">
        <v>5047</v>
      </c>
      <c r="T3760" s="1" t="s">
        <v>5048</v>
      </c>
      <c r="U3760" s="2" t="s">
        <v>6714</v>
      </c>
      <c r="V3760" s="2" t="s">
        <v>47</v>
      </c>
      <c r="W3760" s="2" t="s">
        <v>104</v>
      </c>
      <c r="X3760" s="2">
        <v>11.69</v>
      </c>
    </row>
    <row r="3761" spans="1:24" x14ac:dyDescent="0.3">
      <c r="A3761">
        <v>21609</v>
      </c>
      <c r="B3761" t="s">
        <v>9032</v>
      </c>
      <c r="C3761" s="3">
        <v>40790</v>
      </c>
      <c r="D3761" t="s">
        <v>148</v>
      </c>
      <c r="E3761">
        <v>2</v>
      </c>
      <c r="F3761" s="3">
        <f ca="1">40791+(RANDBETWEEN(1,10))</f>
        <v>40801</v>
      </c>
      <c r="G3761" t="s">
        <v>26</v>
      </c>
      <c r="H3761" t="s">
        <v>27</v>
      </c>
      <c r="I3761" t="s">
        <v>28</v>
      </c>
      <c r="J3761">
        <v>35.384999999999998</v>
      </c>
      <c r="K3761">
        <v>0.01</v>
      </c>
      <c r="L3761">
        <v>0.59</v>
      </c>
      <c r="M3761">
        <v>17.954999999999998</v>
      </c>
      <c r="N3761">
        <v>-69.754999999999995</v>
      </c>
      <c r="O3761" s="1" t="s">
        <v>87</v>
      </c>
      <c r="P3761" s="1" t="s">
        <v>5178</v>
      </c>
      <c r="Q3761" s="1" t="s">
        <v>5179</v>
      </c>
      <c r="R3761" s="1" t="s">
        <v>646</v>
      </c>
      <c r="S3761" s="1" t="s">
        <v>5180</v>
      </c>
      <c r="T3761" s="1" t="s">
        <v>5181</v>
      </c>
      <c r="U3761" s="2" t="s">
        <v>1645</v>
      </c>
      <c r="V3761" s="2" t="s">
        <v>47</v>
      </c>
      <c r="W3761" s="2" t="s">
        <v>71</v>
      </c>
      <c r="X3761" s="2">
        <v>13.824999999999999</v>
      </c>
    </row>
    <row r="3762" spans="1:24" x14ac:dyDescent="0.3">
      <c r="A3762">
        <v>21610</v>
      </c>
      <c r="B3762" t="s">
        <v>9032</v>
      </c>
      <c r="C3762" s="3">
        <v>40790</v>
      </c>
      <c r="D3762" t="s">
        <v>148</v>
      </c>
      <c r="E3762">
        <v>17</v>
      </c>
      <c r="F3762" s="3">
        <f ca="1">40791+(RANDBETWEEN(1,10))</f>
        <v>40793</v>
      </c>
      <c r="G3762" t="s">
        <v>26</v>
      </c>
      <c r="H3762" t="s">
        <v>27</v>
      </c>
      <c r="I3762" t="s">
        <v>28</v>
      </c>
      <c r="J3762">
        <v>23174.095000000001</v>
      </c>
      <c r="K3762">
        <v>0.02</v>
      </c>
      <c r="L3762">
        <v>0.4</v>
      </c>
      <c r="M3762">
        <v>69.965000000000003</v>
      </c>
      <c r="N3762">
        <v>15990.125550000001</v>
      </c>
      <c r="O3762" s="1" t="s">
        <v>87</v>
      </c>
      <c r="P3762" s="1" t="s">
        <v>5178</v>
      </c>
      <c r="Q3762" s="1" t="s">
        <v>5179</v>
      </c>
      <c r="R3762" s="1" t="s">
        <v>646</v>
      </c>
      <c r="S3762" s="1" t="s">
        <v>5180</v>
      </c>
      <c r="T3762" s="1" t="s">
        <v>5181</v>
      </c>
      <c r="U3762" s="2" t="s">
        <v>8382</v>
      </c>
      <c r="V3762" s="2" t="s">
        <v>47</v>
      </c>
      <c r="W3762" s="2" t="s">
        <v>111</v>
      </c>
      <c r="X3762" s="2">
        <v>1287.9649999999999</v>
      </c>
    </row>
    <row r="3763" spans="1:24" x14ac:dyDescent="0.3">
      <c r="A3763">
        <v>21611</v>
      </c>
      <c r="B3763" t="s">
        <v>9033</v>
      </c>
      <c r="C3763" s="3">
        <v>41886</v>
      </c>
      <c r="D3763" t="s">
        <v>148</v>
      </c>
      <c r="E3763">
        <v>20</v>
      </c>
      <c r="F3763" s="3">
        <f ca="1">41887+(RANDBETWEEN(1,10))</f>
        <v>41895</v>
      </c>
      <c r="G3763" t="s">
        <v>76</v>
      </c>
      <c r="H3763" t="s">
        <v>258</v>
      </c>
      <c r="I3763" t="s">
        <v>28</v>
      </c>
      <c r="J3763">
        <v>27535.97</v>
      </c>
      <c r="K3763">
        <v>0</v>
      </c>
      <c r="L3763">
        <v>0.74</v>
      </c>
      <c r="M3763">
        <v>299.70499999999998</v>
      </c>
      <c r="N3763">
        <v>1491.2855999999999</v>
      </c>
      <c r="O3763" s="1" t="s">
        <v>87</v>
      </c>
      <c r="P3763" s="1" t="s">
        <v>5178</v>
      </c>
      <c r="Q3763" s="1" t="s">
        <v>5179</v>
      </c>
      <c r="R3763" s="1" t="s">
        <v>646</v>
      </c>
      <c r="S3763" s="1" t="s">
        <v>5180</v>
      </c>
      <c r="T3763" s="1" t="s">
        <v>5181</v>
      </c>
      <c r="U3763" s="2" t="s">
        <v>3542</v>
      </c>
      <c r="V3763" s="2" t="s">
        <v>83</v>
      </c>
      <c r="W3763" s="2" t="s">
        <v>263</v>
      </c>
      <c r="X3763" s="2">
        <v>1316.4549999999999</v>
      </c>
    </row>
    <row r="3764" spans="1:24" x14ac:dyDescent="0.3">
      <c r="A3764">
        <v>21612</v>
      </c>
      <c r="B3764" t="s">
        <v>9032</v>
      </c>
      <c r="C3764" s="3">
        <v>40790</v>
      </c>
      <c r="D3764" t="s">
        <v>148</v>
      </c>
      <c r="E3764">
        <v>3</v>
      </c>
      <c r="F3764" s="3">
        <f ca="1">40792+(RANDBETWEEN(1,10))</f>
        <v>40795</v>
      </c>
      <c r="G3764" t="s">
        <v>26</v>
      </c>
      <c r="H3764" t="s">
        <v>27</v>
      </c>
      <c r="I3764" t="s">
        <v>28</v>
      </c>
      <c r="J3764">
        <v>888.23</v>
      </c>
      <c r="K3764">
        <v>0.04</v>
      </c>
      <c r="L3764">
        <v>0.56000000000000005</v>
      </c>
      <c r="M3764">
        <v>17.149999999999999</v>
      </c>
      <c r="N3764">
        <v>-903.78750000000002</v>
      </c>
      <c r="O3764" s="1" t="s">
        <v>40</v>
      </c>
      <c r="P3764" s="1" t="s">
        <v>9034</v>
      </c>
      <c r="Q3764" s="1" t="s">
        <v>9035</v>
      </c>
      <c r="R3764" s="1" t="s">
        <v>220</v>
      </c>
      <c r="S3764" s="1" t="s">
        <v>9036</v>
      </c>
      <c r="T3764" s="1" t="s">
        <v>9037</v>
      </c>
      <c r="U3764" s="2" t="s">
        <v>35</v>
      </c>
      <c r="V3764" s="2" t="s">
        <v>36</v>
      </c>
      <c r="W3764" s="2" t="s">
        <v>37</v>
      </c>
      <c r="X3764" s="2">
        <v>335.96499999999997</v>
      </c>
    </row>
    <row r="3765" spans="1:24" x14ac:dyDescent="0.3">
      <c r="A3765">
        <v>21613</v>
      </c>
      <c r="B3765" t="s">
        <v>9038</v>
      </c>
      <c r="C3765" s="3">
        <v>41839</v>
      </c>
      <c r="D3765" t="s">
        <v>50</v>
      </c>
      <c r="E3765">
        <v>16</v>
      </c>
      <c r="F3765" s="3">
        <f ca="1">41842+(RANDBETWEEN(1,10))</f>
        <v>41843</v>
      </c>
      <c r="G3765" t="s">
        <v>26</v>
      </c>
      <c r="H3765" t="s">
        <v>96</v>
      </c>
      <c r="I3765" t="s">
        <v>28</v>
      </c>
      <c r="J3765">
        <v>602</v>
      </c>
      <c r="K3765">
        <v>0.02</v>
      </c>
      <c r="L3765">
        <v>0.38</v>
      </c>
      <c r="M3765">
        <v>6.2649999999999997</v>
      </c>
      <c r="N3765">
        <v>415.38</v>
      </c>
      <c r="O3765" s="1" t="s">
        <v>87</v>
      </c>
      <c r="P3765" s="1" t="s">
        <v>9039</v>
      </c>
      <c r="Q3765" s="1" t="s">
        <v>9040</v>
      </c>
      <c r="R3765" s="1" t="s">
        <v>398</v>
      </c>
      <c r="S3765" s="1" t="s">
        <v>6156</v>
      </c>
      <c r="T3765" s="1" t="s">
        <v>6157</v>
      </c>
      <c r="U3765" s="2" t="s">
        <v>3017</v>
      </c>
      <c r="V3765" s="2" t="s">
        <v>47</v>
      </c>
      <c r="W3765" s="2" t="s">
        <v>74</v>
      </c>
      <c r="X3765" s="2">
        <v>36.085000000000001</v>
      </c>
    </row>
    <row r="3766" spans="1:24" x14ac:dyDescent="0.3">
      <c r="A3766">
        <v>21614</v>
      </c>
      <c r="B3766" t="s">
        <v>9038</v>
      </c>
      <c r="C3766" s="3">
        <v>41839</v>
      </c>
      <c r="D3766" t="s">
        <v>50</v>
      </c>
      <c r="E3766">
        <v>9</v>
      </c>
      <c r="F3766" s="3">
        <f ca="1">41839+(RANDBETWEEN(1,10))</f>
        <v>41847</v>
      </c>
      <c r="G3766" t="s">
        <v>26</v>
      </c>
      <c r="H3766" t="s">
        <v>96</v>
      </c>
      <c r="I3766" t="s">
        <v>28</v>
      </c>
      <c r="J3766">
        <v>186.27</v>
      </c>
      <c r="K3766">
        <v>0.06</v>
      </c>
      <c r="L3766">
        <v>0.56000000000000005</v>
      </c>
      <c r="M3766">
        <v>7.9450000000000003</v>
      </c>
      <c r="N3766">
        <v>-5.7136800000000001</v>
      </c>
      <c r="O3766" s="1" t="s">
        <v>87</v>
      </c>
      <c r="P3766" s="1" t="s">
        <v>9039</v>
      </c>
      <c r="Q3766" s="1" t="s">
        <v>9040</v>
      </c>
      <c r="R3766" s="1" t="s">
        <v>398</v>
      </c>
      <c r="S3766" s="1" t="s">
        <v>6156</v>
      </c>
      <c r="T3766" s="1" t="s">
        <v>6157</v>
      </c>
      <c r="U3766" s="2" t="s">
        <v>212</v>
      </c>
      <c r="V3766" s="2" t="s">
        <v>47</v>
      </c>
      <c r="W3766" s="2" t="s">
        <v>104</v>
      </c>
      <c r="X3766" s="2">
        <v>20.475000000000001</v>
      </c>
    </row>
    <row r="3767" spans="1:24" x14ac:dyDescent="0.3">
      <c r="A3767">
        <v>21615</v>
      </c>
      <c r="B3767" t="s">
        <v>9041</v>
      </c>
      <c r="C3767" s="3">
        <v>41236</v>
      </c>
      <c r="D3767" t="s">
        <v>50</v>
      </c>
      <c r="E3767">
        <v>30</v>
      </c>
      <c r="F3767" s="3">
        <f ca="1">41238+(RANDBETWEEN(1,10))</f>
        <v>41242</v>
      </c>
      <c r="G3767" t="s">
        <v>26</v>
      </c>
      <c r="H3767" t="s">
        <v>51</v>
      </c>
      <c r="I3767" t="s">
        <v>86</v>
      </c>
      <c r="J3767">
        <v>724.29</v>
      </c>
      <c r="K3767">
        <v>0.01</v>
      </c>
      <c r="L3767">
        <v>0.57999999999999996</v>
      </c>
      <c r="M3767">
        <v>15.47</v>
      </c>
      <c r="N3767">
        <v>11.949</v>
      </c>
      <c r="O3767" s="1" t="s">
        <v>64</v>
      </c>
      <c r="P3767" s="1" t="s">
        <v>9042</v>
      </c>
      <c r="Q3767" s="1" t="s">
        <v>9043</v>
      </c>
      <c r="R3767" s="1" t="s">
        <v>128</v>
      </c>
      <c r="S3767" s="1" t="s">
        <v>9044</v>
      </c>
      <c r="T3767" s="1" t="s">
        <v>9045</v>
      </c>
      <c r="U3767" s="2" t="s">
        <v>9046</v>
      </c>
      <c r="V3767" s="2" t="s">
        <v>47</v>
      </c>
      <c r="W3767" s="2" t="s">
        <v>94</v>
      </c>
      <c r="X3767" s="2">
        <v>23.94</v>
      </c>
    </row>
    <row r="3768" spans="1:24" x14ac:dyDescent="0.3">
      <c r="A3768">
        <v>21616</v>
      </c>
      <c r="B3768" t="s">
        <v>9041</v>
      </c>
      <c r="C3768" s="3">
        <v>41236</v>
      </c>
      <c r="D3768" t="s">
        <v>50</v>
      </c>
      <c r="E3768">
        <v>25</v>
      </c>
      <c r="F3768" s="3">
        <f ca="1">41237+(RANDBETWEEN(1,10))</f>
        <v>41244</v>
      </c>
      <c r="G3768" t="s">
        <v>26</v>
      </c>
      <c r="H3768" t="s">
        <v>96</v>
      </c>
      <c r="I3768" t="s">
        <v>86</v>
      </c>
      <c r="J3768">
        <v>491.92500000000001</v>
      </c>
      <c r="K3768">
        <v>0.08</v>
      </c>
      <c r="L3768">
        <v>0.38</v>
      </c>
      <c r="M3768">
        <v>3.5</v>
      </c>
      <c r="N3768">
        <v>525.98699999999997</v>
      </c>
      <c r="O3768" s="1" t="s">
        <v>29</v>
      </c>
      <c r="P3768" s="1" t="s">
        <v>5715</v>
      </c>
      <c r="Q3768" s="1" t="s">
        <v>5716</v>
      </c>
      <c r="R3768" s="1" t="s">
        <v>32</v>
      </c>
      <c r="S3768" s="1" t="s">
        <v>5717</v>
      </c>
      <c r="T3768" s="1" t="s">
        <v>5718</v>
      </c>
      <c r="U3768" s="2" t="s">
        <v>3510</v>
      </c>
      <c r="V3768" s="2" t="s">
        <v>47</v>
      </c>
      <c r="W3768" s="2" t="s">
        <v>104</v>
      </c>
      <c r="X3768" s="2">
        <v>20.440000000000001</v>
      </c>
    </row>
    <row r="3769" spans="1:24" x14ac:dyDescent="0.3">
      <c r="A3769">
        <v>21617</v>
      </c>
      <c r="B3769" t="s">
        <v>9041</v>
      </c>
      <c r="C3769" s="3">
        <v>41236</v>
      </c>
      <c r="D3769" t="s">
        <v>50</v>
      </c>
      <c r="E3769">
        <v>26</v>
      </c>
      <c r="F3769" s="3">
        <f ca="1">41236+(RANDBETWEEN(1,10))</f>
        <v>41237</v>
      </c>
      <c r="G3769" t="s">
        <v>76</v>
      </c>
      <c r="H3769" t="s">
        <v>258</v>
      </c>
      <c r="I3769" t="s">
        <v>86</v>
      </c>
      <c r="J3769">
        <v>26540.465</v>
      </c>
      <c r="K3769">
        <v>0.01</v>
      </c>
      <c r="L3769">
        <v>0.78</v>
      </c>
      <c r="M3769">
        <v>216.16</v>
      </c>
      <c r="N3769">
        <v>-464.471</v>
      </c>
      <c r="O3769" s="1" t="s">
        <v>29</v>
      </c>
      <c r="P3769" s="1" t="s">
        <v>5715</v>
      </c>
      <c r="Q3769" s="1" t="s">
        <v>5716</v>
      </c>
      <c r="R3769" s="1" t="s">
        <v>32</v>
      </c>
      <c r="S3769" s="1" t="s">
        <v>5717</v>
      </c>
      <c r="T3769" s="1" t="s">
        <v>5718</v>
      </c>
      <c r="U3769" s="2" t="s">
        <v>3683</v>
      </c>
      <c r="V3769" s="2" t="s">
        <v>83</v>
      </c>
      <c r="W3769" s="2" t="s">
        <v>263</v>
      </c>
      <c r="X3769" s="2">
        <v>1003.975</v>
      </c>
    </row>
    <row r="3770" spans="1:24" x14ac:dyDescent="0.3">
      <c r="A3770">
        <v>21618</v>
      </c>
      <c r="B3770" t="s">
        <v>9047</v>
      </c>
      <c r="C3770" s="3">
        <v>41035</v>
      </c>
      <c r="D3770" t="s">
        <v>25</v>
      </c>
      <c r="E3770">
        <v>2</v>
      </c>
      <c r="F3770" s="3">
        <f ca="1">41035+(RANDBETWEEN(1,10))</f>
        <v>41042</v>
      </c>
      <c r="G3770" t="s">
        <v>26</v>
      </c>
      <c r="H3770" t="s">
        <v>27</v>
      </c>
      <c r="I3770" t="s">
        <v>52</v>
      </c>
      <c r="J3770">
        <v>35.49</v>
      </c>
      <c r="K3770">
        <v>0.1</v>
      </c>
      <c r="L3770">
        <v>0.6</v>
      </c>
      <c r="M3770">
        <v>24.114999999999998</v>
      </c>
      <c r="N3770">
        <v>-74.515000000000001</v>
      </c>
      <c r="O3770" s="1" t="s">
        <v>87</v>
      </c>
      <c r="P3770" s="1" t="s">
        <v>7836</v>
      </c>
      <c r="Q3770" s="1" t="s">
        <v>7837</v>
      </c>
      <c r="R3770" s="1" t="s">
        <v>646</v>
      </c>
      <c r="S3770" s="1" t="s">
        <v>7838</v>
      </c>
      <c r="T3770" s="1" t="s">
        <v>7839</v>
      </c>
      <c r="U3770" s="2" t="s">
        <v>3815</v>
      </c>
      <c r="V3770" s="2" t="s">
        <v>47</v>
      </c>
      <c r="W3770" s="2" t="s">
        <v>71</v>
      </c>
      <c r="X3770" s="2">
        <v>14.21</v>
      </c>
    </row>
    <row r="3771" spans="1:24" x14ac:dyDescent="0.3">
      <c r="A3771">
        <v>21619</v>
      </c>
      <c r="B3771" t="s">
        <v>9047</v>
      </c>
      <c r="C3771" s="3">
        <v>41035</v>
      </c>
      <c r="D3771" t="s">
        <v>25</v>
      </c>
      <c r="E3771">
        <v>4</v>
      </c>
      <c r="F3771" s="3">
        <f ca="1">41040+(RANDBETWEEN(1,10))</f>
        <v>41048</v>
      </c>
      <c r="G3771" t="s">
        <v>26</v>
      </c>
      <c r="H3771" t="s">
        <v>27</v>
      </c>
      <c r="I3771" t="s">
        <v>52</v>
      </c>
      <c r="J3771">
        <v>227.255</v>
      </c>
      <c r="K3771">
        <v>0.05</v>
      </c>
      <c r="L3771">
        <v>0.36</v>
      </c>
      <c r="M3771">
        <v>38.185000000000002</v>
      </c>
      <c r="N3771">
        <v>-130.85274999999999</v>
      </c>
      <c r="O3771" s="1" t="s">
        <v>87</v>
      </c>
      <c r="P3771" s="1" t="s">
        <v>7836</v>
      </c>
      <c r="Q3771" s="1" t="s">
        <v>7837</v>
      </c>
      <c r="R3771" s="1" t="s">
        <v>646</v>
      </c>
      <c r="S3771" s="1" t="s">
        <v>7838</v>
      </c>
      <c r="T3771" s="1" t="s">
        <v>7839</v>
      </c>
      <c r="U3771" s="2" t="s">
        <v>5084</v>
      </c>
      <c r="V3771" s="2" t="s">
        <v>47</v>
      </c>
      <c r="W3771" s="2" t="s">
        <v>111</v>
      </c>
      <c r="X3771" s="2">
        <v>53.48</v>
      </c>
    </row>
    <row r="3772" spans="1:24" x14ac:dyDescent="0.3">
      <c r="A3772">
        <v>21620</v>
      </c>
      <c r="B3772" t="s">
        <v>9048</v>
      </c>
      <c r="C3772" s="3">
        <v>40800</v>
      </c>
      <c r="D3772" t="s">
        <v>148</v>
      </c>
      <c r="E3772">
        <v>3</v>
      </c>
      <c r="F3772" s="3">
        <f ca="1">40802+(RANDBETWEEN(1,10))</f>
        <v>40805</v>
      </c>
      <c r="G3772" t="s">
        <v>26</v>
      </c>
      <c r="H3772" t="s">
        <v>27</v>
      </c>
      <c r="I3772" t="s">
        <v>97</v>
      </c>
      <c r="J3772">
        <v>438.16500000000002</v>
      </c>
      <c r="K3772">
        <v>0.01</v>
      </c>
      <c r="L3772">
        <v>0.56000000000000005</v>
      </c>
      <c r="M3772">
        <v>17.465</v>
      </c>
      <c r="N3772">
        <v>84.063000000000002</v>
      </c>
      <c r="O3772" s="1" t="s">
        <v>40</v>
      </c>
      <c r="P3772" s="1" t="s">
        <v>6223</v>
      </c>
      <c r="Q3772" s="1" t="s">
        <v>6224</v>
      </c>
      <c r="R3772" s="1" t="s">
        <v>43</v>
      </c>
      <c r="S3772" s="1" t="s">
        <v>6225</v>
      </c>
      <c r="T3772" s="1" t="s">
        <v>6226</v>
      </c>
      <c r="U3772" s="2" t="s">
        <v>3202</v>
      </c>
      <c r="V3772" s="2" t="s">
        <v>36</v>
      </c>
      <c r="W3772" s="2" t="s">
        <v>37</v>
      </c>
      <c r="X3772" s="2">
        <v>160.965</v>
      </c>
    </row>
    <row r="3773" spans="1:24" x14ac:dyDescent="0.3">
      <c r="A3773">
        <v>21621</v>
      </c>
      <c r="B3773" t="s">
        <v>9049</v>
      </c>
      <c r="C3773" s="3">
        <v>40910</v>
      </c>
      <c r="D3773" t="s">
        <v>25</v>
      </c>
      <c r="E3773">
        <v>2</v>
      </c>
      <c r="F3773" s="3">
        <f ca="1">40912+(RANDBETWEEN(1,10))</f>
        <v>40919</v>
      </c>
      <c r="G3773" t="s">
        <v>156</v>
      </c>
      <c r="H3773" t="s">
        <v>27</v>
      </c>
      <c r="I3773" t="s">
        <v>52</v>
      </c>
      <c r="J3773">
        <v>575.71500000000003</v>
      </c>
      <c r="K3773">
        <v>0.05</v>
      </c>
      <c r="L3773">
        <v>0.38</v>
      </c>
      <c r="M3773">
        <v>17.535</v>
      </c>
      <c r="N3773">
        <v>397.24335000000002</v>
      </c>
      <c r="O3773" s="1" t="s">
        <v>64</v>
      </c>
      <c r="P3773" s="1" t="s">
        <v>6412</v>
      </c>
      <c r="Q3773" s="1" t="s">
        <v>6413</v>
      </c>
      <c r="R3773" s="1" t="s">
        <v>128</v>
      </c>
      <c r="S3773" s="1" t="s">
        <v>6414</v>
      </c>
      <c r="T3773" s="1" t="s">
        <v>6415</v>
      </c>
      <c r="U3773" s="2" t="s">
        <v>9050</v>
      </c>
      <c r="V3773" s="2" t="s">
        <v>47</v>
      </c>
      <c r="W3773" s="2" t="s">
        <v>48</v>
      </c>
      <c r="X3773" s="2">
        <v>293.93</v>
      </c>
    </row>
    <row r="3774" spans="1:24" x14ac:dyDescent="0.3">
      <c r="A3774">
        <v>21622</v>
      </c>
      <c r="B3774" t="s">
        <v>9049</v>
      </c>
      <c r="C3774" s="3">
        <v>40910</v>
      </c>
      <c r="D3774" t="s">
        <v>25</v>
      </c>
      <c r="E3774">
        <v>6</v>
      </c>
      <c r="F3774" s="3">
        <f ca="1">40919+(RANDBETWEEN(1,10))</f>
        <v>40928</v>
      </c>
      <c r="G3774" t="s">
        <v>26</v>
      </c>
      <c r="H3774" t="s">
        <v>27</v>
      </c>
      <c r="I3774" t="s">
        <v>52</v>
      </c>
      <c r="J3774">
        <v>1176.7</v>
      </c>
      <c r="K3774">
        <v>7.0000000000000007E-2</v>
      </c>
      <c r="L3774">
        <v>0.59</v>
      </c>
      <c r="M3774">
        <v>69.965000000000003</v>
      </c>
      <c r="N3774">
        <v>-806.75825999999995</v>
      </c>
      <c r="O3774" s="1" t="s">
        <v>64</v>
      </c>
      <c r="P3774" s="1" t="s">
        <v>6412</v>
      </c>
      <c r="Q3774" s="1" t="s">
        <v>6413</v>
      </c>
      <c r="R3774" s="1" t="s">
        <v>128</v>
      </c>
      <c r="S3774" s="1" t="s">
        <v>6414</v>
      </c>
      <c r="T3774" s="1" t="s">
        <v>6415</v>
      </c>
      <c r="U3774" s="2" t="s">
        <v>5463</v>
      </c>
      <c r="V3774" s="2" t="s">
        <v>36</v>
      </c>
      <c r="W3774" s="2" t="s">
        <v>37</v>
      </c>
      <c r="X3774" s="2">
        <v>230.965</v>
      </c>
    </row>
    <row r="3775" spans="1:24" x14ac:dyDescent="0.3">
      <c r="A3775">
        <v>21623</v>
      </c>
      <c r="B3775" t="s">
        <v>9051</v>
      </c>
      <c r="C3775" s="3">
        <v>41858</v>
      </c>
      <c r="D3775" t="s">
        <v>39</v>
      </c>
      <c r="E3775">
        <v>22</v>
      </c>
      <c r="F3775" s="3">
        <f ca="1">41859+(RANDBETWEEN(1,10))</f>
        <v>41863</v>
      </c>
      <c r="G3775" t="s">
        <v>76</v>
      </c>
      <c r="H3775" t="s">
        <v>77</v>
      </c>
      <c r="I3775" t="s">
        <v>86</v>
      </c>
      <c r="J3775">
        <v>41607.230000000003</v>
      </c>
      <c r="K3775">
        <v>0.03</v>
      </c>
      <c r="L3775">
        <v>0.59</v>
      </c>
      <c r="M3775">
        <v>51.45</v>
      </c>
      <c r="N3775">
        <v>28708.988700000002</v>
      </c>
      <c r="O3775" s="1" t="s">
        <v>29</v>
      </c>
      <c r="P3775" s="1" t="s">
        <v>3679</v>
      </c>
      <c r="Q3775" s="1" t="s">
        <v>3680</v>
      </c>
      <c r="R3775" s="1" t="s">
        <v>675</v>
      </c>
      <c r="S3775" s="1" t="s">
        <v>3681</v>
      </c>
      <c r="T3775" s="1" t="s">
        <v>3682</v>
      </c>
      <c r="U3775" s="2" t="s">
        <v>1616</v>
      </c>
      <c r="V3775" s="2" t="s">
        <v>36</v>
      </c>
      <c r="W3775" s="2" t="s">
        <v>142</v>
      </c>
      <c r="X3775" s="2">
        <v>1874.74</v>
      </c>
    </row>
    <row r="3776" spans="1:24" x14ac:dyDescent="0.3">
      <c r="A3776">
        <v>21624</v>
      </c>
      <c r="B3776" t="s">
        <v>9052</v>
      </c>
      <c r="C3776" s="3">
        <v>41386</v>
      </c>
      <c r="D3776" t="s">
        <v>50</v>
      </c>
      <c r="E3776">
        <v>5</v>
      </c>
      <c r="F3776" s="3">
        <f ca="1">41388+(RANDBETWEEN(1,10))</f>
        <v>41395</v>
      </c>
      <c r="G3776" t="s">
        <v>156</v>
      </c>
      <c r="H3776" t="s">
        <v>281</v>
      </c>
      <c r="I3776" t="s">
        <v>28</v>
      </c>
      <c r="J3776">
        <v>331.24</v>
      </c>
      <c r="K3776">
        <v>0</v>
      </c>
      <c r="L3776">
        <v>0.57999999999999996</v>
      </c>
      <c r="M3776">
        <v>16.835000000000001</v>
      </c>
      <c r="N3776">
        <v>-37.960999999999999</v>
      </c>
      <c r="O3776" s="1" t="s">
        <v>40</v>
      </c>
      <c r="P3776" s="1" t="s">
        <v>9053</v>
      </c>
      <c r="Q3776" s="1" t="s">
        <v>9054</v>
      </c>
      <c r="R3776" s="1" t="s">
        <v>43</v>
      </c>
      <c r="S3776" s="1" t="s">
        <v>9055</v>
      </c>
      <c r="T3776" s="1" t="s">
        <v>9056</v>
      </c>
      <c r="U3776" s="2" t="s">
        <v>1890</v>
      </c>
      <c r="V3776" s="2" t="s">
        <v>36</v>
      </c>
      <c r="W3776" s="2" t="s">
        <v>37</v>
      </c>
      <c r="X3776" s="2">
        <v>73.465000000000003</v>
      </c>
    </row>
    <row r="3777" spans="1:24" x14ac:dyDescent="0.3">
      <c r="A3777">
        <v>21625</v>
      </c>
      <c r="B3777" t="s">
        <v>9057</v>
      </c>
      <c r="C3777" s="3">
        <v>41068</v>
      </c>
      <c r="D3777" t="s">
        <v>25</v>
      </c>
      <c r="E3777">
        <v>9</v>
      </c>
      <c r="F3777" s="3">
        <f ca="1">41070+(RANDBETWEEN(1,10))</f>
        <v>41077</v>
      </c>
      <c r="G3777" t="s">
        <v>26</v>
      </c>
      <c r="H3777" t="s">
        <v>51</v>
      </c>
      <c r="I3777" t="s">
        <v>52</v>
      </c>
      <c r="J3777">
        <v>440.51</v>
      </c>
      <c r="K3777">
        <v>0.04</v>
      </c>
      <c r="L3777">
        <v>0.49</v>
      </c>
      <c r="M3777">
        <v>17.5</v>
      </c>
      <c r="N3777">
        <v>303.95190000000002</v>
      </c>
      <c r="O3777" s="1" t="s">
        <v>40</v>
      </c>
      <c r="P3777" s="1" t="s">
        <v>9058</v>
      </c>
      <c r="Q3777" s="1" t="s">
        <v>9059</v>
      </c>
      <c r="R3777" s="1" t="s">
        <v>220</v>
      </c>
      <c r="S3777" s="1" t="s">
        <v>6977</v>
      </c>
      <c r="T3777" s="1" t="s">
        <v>6978</v>
      </c>
      <c r="U3777" s="2" t="s">
        <v>830</v>
      </c>
      <c r="V3777" s="2" t="s">
        <v>83</v>
      </c>
      <c r="W3777" s="2" t="s">
        <v>178</v>
      </c>
      <c r="X3777" s="2">
        <v>50.19</v>
      </c>
    </row>
    <row r="3778" spans="1:24" x14ac:dyDescent="0.3">
      <c r="A3778">
        <v>21626</v>
      </c>
      <c r="B3778" t="s">
        <v>9060</v>
      </c>
      <c r="C3778" s="3">
        <v>41746</v>
      </c>
      <c r="D3778" t="s">
        <v>148</v>
      </c>
      <c r="E3778">
        <v>9</v>
      </c>
      <c r="F3778" s="3">
        <f ca="1">41749+(RANDBETWEEN(1,10))</f>
        <v>41759</v>
      </c>
      <c r="G3778" t="s">
        <v>26</v>
      </c>
      <c r="H3778" t="s">
        <v>27</v>
      </c>
      <c r="I3778" t="s">
        <v>28</v>
      </c>
      <c r="J3778">
        <v>604.38</v>
      </c>
      <c r="K3778">
        <v>0.09</v>
      </c>
      <c r="L3778">
        <v>0.39</v>
      </c>
      <c r="M3778">
        <v>44.765000000000001</v>
      </c>
      <c r="N3778">
        <v>-326.99099999999999</v>
      </c>
      <c r="O3778" s="1" t="s">
        <v>87</v>
      </c>
      <c r="P3778" s="1" t="s">
        <v>732</v>
      </c>
      <c r="Q3778" s="1" t="s">
        <v>733</v>
      </c>
      <c r="R3778" s="1" t="s">
        <v>398</v>
      </c>
      <c r="S3778" s="1" t="s">
        <v>734</v>
      </c>
      <c r="T3778" s="1" t="s">
        <v>735</v>
      </c>
      <c r="U3778" s="2" t="s">
        <v>8080</v>
      </c>
      <c r="V3778" s="2" t="s">
        <v>47</v>
      </c>
      <c r="W3778" s="2" t="s">
        <v>111</v>
      </c>
      <c r="X3778" s="2">
        <v>67.724999999999994</v>
      </c>
    </row>
    <row r="3779" spans="1:24" x14ac:dyDescent="0.3">
      <c r="A3779">
        <v>21627</v>
      </c>
      <c r="B3779" t="s">
        <v>9061</v>
      </c>
      <c r="C3779" s="3">
        <v>40867</v>
      </c>
      <c r="D3779" t="s">
        <v>39</v>
      </c>
      <c r="E3779">
        <v>17</v>
      </c>
      <c r="F3779" s="3">
        <f ca="1">40868+(RANDBETWEEN(1,10))</f>
        <v>40870</v>
      </c>
      <c r="G3779" t="s">
        <v>76</v>
      </c>
      <c r="H3779" t="s">
        <v>258</v>
      </c>
      <c r="I3779" t="s">
        <v>28</v>
      </c>
      <c r="J3779">
        <v>9818.1299999999992</v>
      </c>
      <c r="K3779">
        <v>0.1</v>
      </c>
      <c r="L3779">
        <v>0.77</v>
      </c>
      <c r="M3779">
        <v>243.74</v>
      </c>
      <c r="N3779">
        <v>218.04300000000001</v>
      </c>
      <c r="O3779" s="1" t="s">
        <v>64</v>
      </c>
      <c r="P3779" s="1" t="s">
        <v>7329</v>
      </c>
      <c r="Q3779" s="1" t="s">
        <v>7330</v>
      </c>
      <c r="R3779" s="1" t="s">
        <v>128</v>
      </c>
      <c r="S3779" s="1" t="s">
        <v>7331</v>
      </c>
      <c r="T3779" s="1" t="s">
        <v>7332</v>
      </c>
      <c r="U3779" s="2" t="s">
        <v>1233</v>
      </c>
      <c r="V3779" s="2" t="s">
        <v>83</v>
      </c>
      <c r="W3779" s="2" t="s">
        <v>263</v>
      </c>
      <c r="X3779" s="2">
        <v>765.625</v>
      </c>
    </row>
    <row r="3780" spans="1:24" x14ac:dyDescent="0.3">
      <c r="A3780">
        <v>21628</v>
      </c>
      <c r="B3780" t="s">
        <v>9062</v>
      </c>
      <c r="C3780" s="3">
        <v>41963</v>
      </c>
      <c r="D3780" t="s">
        <v>39</v>
      </c>
      <c r="E3780">
        <v>21</v>
      </c>
      <c r="F3780" s="3">
        <f ca="1">41965+(RANDBETWEEN(1,10))</f>
        <v>41971</v>
      </c>
      <c r="G3780" t="s">
        <v>26</v>
      </c>
      <c r="H3780" t="s">
        <v>27</v>
      </c>
      <c r="I3780" t="s">
        <v>28</v>
      </c>
      <c r="J3780">
        <v>1059.4849999999999</v>
      </c>
      <c r="K3780">
        <v>0.05</v>
      </c>
      <c r="L3780">
        <v>0.38</v>
      </c>
      <c r="M3780">
        <v>25.445</v>
      </c>
      <c r="N3780">
        <v>-481.67</v>
      </c>
      <c r="O3780" s="1" t="s">
        <v>29</v>
      </c>
      <c r="P3780" s="1" t="s">
        <v>9063</v>
      </c>
      <c r="Q3780" s="1" t="s">
        <v>9064</v>
      </c>
      <c r="R3780" s="1" t="s">
        <v>460</v>
      </c>
      <c r="S3780" s="1" t="s">
        <v>9065</v>
      </c>
      <c r="T3780" s="1" t="s">
        <v>9066</v>
      </c>
      <c r="U3780" s="2" t="s">
        <v>3821</v>
      </c>
      <c r="V3780" s="2" t="s">
        <v>47</v>
      </c>
      <c r="W3780" s="2" t="s">
        <v>111</v>
      </c>
      <c r="X3780" s="2">
        <v>49.945</v>
      </c>
    </row>
    <row r="3781" spans="1:24" x14ac:dyDescent="0.3">
      <c r="A3781">
        <v>21629</v>
      </c>
      <c r="B3781" t="s">
        <v>9067</v>
      </c>
      <c r="C3781" s="3">
        <v>40655</v>
      </c>
      <c r="D3781" t="s">
        <v>148</v>
      </c>
      <c r="E3781">
        <v>4</v>
      </c>
      <c r="F3781" s="3">
        <f ca="1">40655+(RANDBETWEEN(1,10))</f>
        <v>40664</v>
      </c>
      <c r="G3781" t="s">
        <v>26</v>
      </c>
      <c r="H3781" t="s">
        <v>27</v>
      </c>
      <c r="I3781" t="s">
        <v>28</v>
      </c>
      <c r="J3781">
        <v>422.83499999999998</v>
      </c>
      <c r="K3781">
        <v>0.02</v>
      </c>
      <c r="L3781">
        <v>0.7</v>
      </c>
      <c r="M3781">
        <v>23.24</v>
      </c>
      <c r="N3781">
        <v>-73.709999999999994</v>
      </c>
      <c r="O3781" s="1" t="s">
        <v>53</v>
      </c>
      <c r="P3781" s="1" t="s">
        <v>9068</v>
      </c>
      <c r="Q3781" s="1" t="s">
        <v>9069</v>
      </c>
      <c r="R3781" s="1" t="s">
        <v>440</v>
      </c>
      <c r="S3781" s="1" t="s">
        <v>4117</v>
      </c>
      <c r="T3781" s="1" t="s">
        <v>4118</v>
      </c>
      <c r="U3781" s="2" t="s">
        <v>4355</v>
      </c>
      <c r="V3781" s="2" t="s">
        <v>47</v>
      </c>
      <c r="W3781" s="2" t="s">
        <v>119</v>
      </c>
      <c r="X3781" s="2">
        <v>104.09</v>
      </c>
    </row>
    <row r="3782" spans="1:24" x14ac:dyDescent="0.3">
      <c r="A3782">
        <v>21630</v>
      </c>
      <c r="B3782" t="s">
        <v>9067</v>
      </c>
      <c r="C3782" s="3">
        <v>40655</v>
      </c>
      <c r="D3782" t="s">
        <v>148</v>
      </c>
      <c r="E3782">
        <v>11</v>
      </c>
      <c r="F3782" s="3">
        <f ca="1">40657+(RANDBETWEEN(1,10))</f>
        <v>40658</v>
      </c>
      <c r="G3782" t="s">
        <v>26</v>
      </c>
      <c r="H3782" t="s">
        <v>51</v>
      </c>
      <c r="I3782" t="s">
        <v>28</v>
      </c>
      <c r="J3782">
        <v>846.89499999999998</v>
      </c>
      <c r="K3782">
        <v>0.08</v>
      </c>
      <c r="L3782">
        <v>0.59</v>
      </c>
      <c r="M3782">
        <v>19.355</v>
      </c>
      <c r="N3782">
        <v>369.95</v>
      </c>
      <c r="O3782" s="1" t="s">
        <v>87</v>
      </c>
      <c r="P3782" s="1" t="s">
        <v>9070</v>
      </c>
      <c r="Q3782" s="1" t="s">
        <v>9071</v>
      </c>
      <c r="R3782" s="1" t="s">
        <v>90</v>
      </c>
      <c r="S3782" s="1" t="s">
        <v>4639</v>
      </c>
      <c r="T3782" s="1" t="s">
        <v>4640</v>
      </c>
      <c r="U3782" s="2" t="s">
        <v>2037</v>
      </c>
      <c r="V3782" s="2" t="s">
        <v>47</v>
      </c>
      <c r="W3782" s="2" t="s">
        <v>104</v>
      </c>
      <c r="X3782" s="2">
        <v>77.034999999999997</v>
      </c>
    </row>
    <row r="3783" spans="1:24" x14ac:dyDescent="0.3">
      <c r="A3783">
        <v>21631</v>
      </c>
      <c r="B3783" t="s">
        <v>9072</v>
      </c>
      <c r="C3783" s="3">
        <v>41156</v>
      </c>
      <c r="D3783" t="s">
        <v>39</v>
      </c>
      <c r="E3783">
        <v>23</v>
      </c>
      <c r="F3783" s="3">
        <f ca="1">41157+(RANDBETWEEN(1,10))</f>
        <v>41165</v>
      </c>
      <c r="G3783" t="s">
        <v>26</v>
      </c>
      <c r="H3783" t="s">
        <v>27</v>
      </c>
      <c r="I3783" t="s">
        <v>97</v>
      </c>
      <c r="J3783">
        <v>4611.2150000000001</v>
      </c>
      <c r="K3783">
        <v>0.03</v>
      </c>
      <c r="L3783">
        <v>0.55000000000000004</v>
      </c>
      <c r="M3783">
        <v>31.465</v>
      </c>
      <c r="N3783">
        <v>2442.384</v>
      </c>
      <c r="O3783" s="1" t="s">
        <v>225</v>
      </c>
      <c r="P3783" s="1" t="s">
        <v>8969</v>
      </c>
      <c r="Q3783" s="1" t="s">
        <v>8970</v>
      </c>
      <c r="R3783" s="1" t="s">
        <v>228</v>
      </c>
      <c r="S3783" s="1" t="s">
        <v>8971</v>
      </c>
      <c r="T3783" s="1" t="s">
        <v>8972</v>
      </c>
      <c r="U3783" s="2" t="s">
        <v>511</v>
      </c>
      <c r="V3783" s="2" t="s">
        <v>36</v>
      </c>
      <c r="W3783" s="2" t="s">
        <v>37</v>
      </c>
      <c r="X3783" s="2">
        <v>230.965</v>
      </c>
    </row>
    <row r="3784" spans="1:24" x14ac:dyDescent="0.3">
      <c r="A3784">
        <v>21632</v>
      </c>
      <c r="B3784" t="s">
        <v>9073</v>
      </c>
      <c r="C3784" s="3">
        <v>40813</v>
      </c>
      <c r="D3784" t="s">
        <v>62</v>
      </c>
      <c r="E3784">
        <v>12</v>
      </c>
      <c r="F3784" s="3">
        <f ca="1">40814+(RANDBETWEEN(1,10))</f>
        <v>40819</v>
      </c>
      <c r="G3784" t="s">
        <v>26</v>
      </c>
      <c r="H3784" t="s">
        <v>96</v>
      </c>
      <c r="I3784" t="s">
        <v>28</v>
      </c>
      <c r="J3784">
        <v>402.185</v>
      </c>
      <c r="K3784">
        <v>0.1</v>
      </c>
      <c r="L3784">
        <v>0.47</v>
      </c>
      <c r="M3784">
        <v>16.87</v>
      </c>
      <c r="N3784">
        <v>1312.164</v>
      </c>
      <c r="O3784" s="1" t="s">
        <v>64</v>
      </c>
      <c r="P3784" s="1" t="s">
        <v>9074</v>
      </c>
      <c r="Q3784" s="1" t="s">
        <v>9075</v>
      </c>
      <c r="R3784" s="1" t="s">
        <v>67</v>
      </c>
      <c r="S3784" s="1" t="s">
        <v>411</v>
      </c>
      <c r="T3784" s="1" t="s">
        <v>412</v>
      </c>
      <c r="U3784" s="2" t="s">
        <v>9076</v>
      </c>
      <c r="V3784" s="2" t="s">
        <v>47</v>
      </c>
      <c r="W3784" s="2" t="s">
        <v>104</v>
      </c>
      <c r="X3784" s="2">
        <v>34.475000000000001</v>
      </c>
    </row>
    <row r="3785" spans="1:24" x14ac:dyDescent="0.3">
      <c r="A3785">
        <v>21633</v>
      </c>
      <c r="B3785" t="s">
        <v>9073</v>
      </c>
      <c r="C3785" s="3">
        <v>40813</v>
      </c>
      <c r="D3785" t="s">
        <v>62</v>
      </c>
      <c r="E3785">
        <v>9</v>
      </c>
      <c r="F3785" s="3">
        <f ca="1">40814+(RANDBETWEEN(1,10))</f>
        <v>40816</v>
      </c>
      <c r="G3785" t="s">
        <v>26</v>
      </c>
      <c r="H3785" t="s">
        <v>27</v>
      </c>
      <c r="I3785" t="s">
        <v>28</v>
      </c>
      <c r="J3785">
        <v>3270.82</v>
      </c>
      <c r="K3785">
        <v>0.04</v>
      </c>
      <c r="L3785">
        <v>0.57999999999999996</v>
      </c>
      <c r="M3785">
        <v>26.914999999999999</v>
      </c>
      <c r="N3785">
        <v>-1850.9259999999999</v>
      </c>
      <c r="O3785" s="1" t="s">
        <v>64</v>
      </c>
      <c r="P3785" s="1" t="s">
        <v>9074</v>
      </c>
      <c r="Q3785" s="1" t="s">
        <v>9075</v>
      </c>
      <c r="R3785" s="1" t="s">
        <v>67</v>
      </c>
      <c r="S3785" s="1" t="s">
        <v>411</v>
      </c>
      <c r="T3785" s="1" t="s">
        <v>412</v>
      </c>
      <c r="U3785" s="2" t="s">
        <v>2511</v>
      </c>
      <c r="V3785" s="2" t="s">
        <v>36</v>
      </c>
      <c r="W3785" s="2" t="s">
        <v>37</v>
      </c>
      <c r="X3785" s="2">
        <v>440.96499999999997</v>
      </c>
    </row>
    <row r="3786" spans="1:24" x14ac:dyDescent="0.3">
      <c r="A3786">
        <v>21634</v>
      </c>
      <c r="B3786" t="s">
        <v>9077</v>
      </c>
      <c r="C3786" s="3">
        <v>41398</v>
      </c>
      <c r="D3786" t="s">
        <v>50</v>
      </c>
      <c r="E3786">
        <v>4</v>
      </c>
      <c r="F3786" s="3">
        <f ca="1">41400+(RANDBETWEEN(1,10))</f>
        <v>41410</v>
      </c>
      <c r="G3786" t="s">
        <v>26</v>
      </c>
      <c r="H3786" t="s">
        <v>27</v>
      </c>
      <c r="I3786" t="s">
        <v>28</v>
      </c>
      <c r="J3786">
        <v>238.49</v>
      </c>
      <c r="K3786">
        <v>0.03</v>
      </c>
      <c r="L3786">
        <v>0.59</v>
      </c>
      <c r="M3786">
        <v>29.19</v>
      </c>
      <c r="N3786">
        <v>-139.72</v>
      </c>
      <c r="O3786" s="1" t="s">
        <v>64</v>
      </c>
      <c r="P3786" s="1" t="s">
        <v>9078</v>
      </c>
      <c r="Q3786" s="1" t="s">
        <v>9079</v>
      </c>
      <c r="R3786" s="1" t="s">
        <v>67</v>
      </c>
      <c r="S3786" s="1" t="s">
        <v>9080</v>
      </c>
      <c r="T3786" s="1" t="s">
        <v>9081</v>
      </c>
      <c r="U3786" s="2" t="s">
        <v>379</v>
      </c>
      <c r="V3786" s="2" t="s">
        <v>47</v>
      </c>
      <c r="W3786" s="2" t="s">
        <v>119</v>
      </c>
      <c r="X3786" s="2">
        <v>56.21</v>
      </c>
    </row>
    <row r="3787" spans="1:24" x14ac:dyDescent="0.3">
      <c r="A3787">
        <v>21635</v>
      </c>
      <c r="B3787" t="s">
        <v>9082</v>
      </c>
      <c r="C3787" s="3">
        <v>41884</v>
      </c>
      <c r="D3787" t="s">
        <v>25</v>
      </c>
      <c r="E3787">
        <v>26</v>
      </c>
      <c r="F3787" s="3">
        <f ca="1">41886+(RANDBETWEEN(1,10))</f>
        <v>41892</v>
      </c>
      <c r="G3787" t="s">
        <v>26</v>
      </c>
      <c r="H3787" t="s">
        <v>51</v>
      </c>
      <c r="I3787" t="s">
        <v>86</v>
      </c>
      <c r="J3787">
        <v>419.755</v>
      </c>
      <c r="K3787">
        <v>0.1</v>
      </c>
      <c r="L3787">
        <v>0.52</v>
      </c>
      <c r="M3787">
        <v>10.675000000000001</v>
      </c>
      <c r="N3787">
        <v>-127.86620000000001</v>
      </c>
      <c r="O3787" s="1" t="s">
        <v>64</v>
      </c>
      <c r="P3787" s="1" t="s">
        <v>9083</v>
      </c>
      <c r="Q3787" s="1" t="s">
        <v>9084</v>
      </c>
      <c r="R3787" s="1" t="s">
        <v>67</v>
      </c>
      <c r="S3787" s="1" t="s">
        <v>9085</v>
      </c>
      <c r="T3787" s="1" t="s">
        <v>2127</v>
      </c>
      <c r="U3787" s="2" t="s">
        <v>9086</v>
      </c>
      <c r="V3787" s="2" t="s">
        <v>83</v>
      </c>
      <c r="W3787" s="2" t="s">
        <v>178</v>
      </c>
      <c r="X3787" s="2">
        <v>17.184999999999999</v>
      </c>
    </row>
    <row r="3788" spans="1:24" x14ac:dyDescent="0.3">
      <c r="A3788">
        <v>21636</v>
      </c>
      <c r="B3788" t="s">
        <v>9082</v>
      </c>
      <c r="C3788" s="3">
        <v>41884</v>
      </c>
      <c r="D3788" t="s">
        <v>25</v>
      </c>
      <c r="E3788">
        <v>12</v>
      </c>
      <c r="F3788" s="3">
        <f ca="1">41888+(RANDBETWEEN(1,10))</f>
        <v>41895</v>
      </c>
      <c r="G3788" t="s">
        <v>26</v>
      </c>
      <c r="H3788" t="s">
        <v>96</v>
      </c>
      <c r="I3788" t="s">
        <v>86</v>
      </c>
      <c r="J3788">
        <v>154.245</v>
      </c>
      <c r="K3788">
        <v>0.1</v>
      </c>
      <c r="L3788">
        <v>0.39</v>
      </c>
      <c r="M3788">
        <v>2.4849999999999999</v>
      </c>
      <c r="N3788">
        <v>95.180400000000006</v>
      </c>
      <c r="O3788" s="1" t="s">
        <v>64</v>
      </c>
      <c r="P3788" s="1" t="s">
        <v>9083</v>
      </c>
      <c r="Q3788" s="1" t="s">
        <v>9084</v>
      </c>
      <c r="R3788" s="1" t="s">
        <v>67</v>
      </c>
      <c r="S3788" s="1" t="s">
        <v>9085</v>
      </c>
      <c r="T3788" s="1" t="s">
        <v>2127</v>
      </c>
      <c r="U3788" s="2" t="s">
        <v>2000</v>
      </c>
      <c r="V3788" s="2" t="s">
        <v>47</v>
      </c>
      <c r="W3788" s="2" t="s">
        <v>176</v>
      </c>
      <c r="X3788" s="2">
        <v>13.23</v>
      </c>
    </row>
    <row r="3789" spans="1:24" x14ac:dyDescent="0.3">
      <c r="A3789">
        <v>21637</v>
      </c>
      <c r="B3789" t="s">
        <v>9087</v>
      </c>
      <c r="C3789" s="3">
        <v>41812</v>
      </c>
      <c r="D3789" t="s">
        <v>148</v>
      </c>
      <c r="E3789">
        <v>18</v>
      </c>
      <c r="F3789" s="3">
        <f ca="1">41813+(RANDBETWEEN(1,10))</f>
        <v>41823</v>
      </c>
      <c r="G3789" t="s">
        <v>26</v>
      </c>
      <c r="H3789" t="s">
        <v>27</v>
      </c>
      <c r="I3789" t="s">
        <v>52</v>
      </c>
      <c r="J3789">
        <v>364.98</v>
      </c>
      <c r="K3789">
        <v>0.08</v>
      </c>
      <c r="L3789">
        <v>0.36</v>
      </c>
      <c r="M3789">
        <v>17.36</v>
      </c>
      <c r="N3789">
        <v>-200.06</v>
      </c>
      <c r="O3789" s="1" t="s">
        <v>29</v>
      </c>
      <c r="P3789" s="1" t="s">
        <v>4419</v>
      </c>
      <c r="Q3789" s="1" t="s">
        <v>4420</v>
      </c>
      <c r="R3789" s="1" t="s">
        <v>32</v>
      </c>
      <c r="S3789" s="1" t="s">
        <v>4421</v>
      </c>
      <c r="T3789" s="1" t="s">
        <v>4422</v>
      </c>
      <c r="U3789" s="2" t="s">
        <v>1834</v>
      </c>
      <c r="V3789" s="2" t="s">
        <v>47</v>
      </c>
      <c r="W3789" s="2" t="s">
        <v>74</v>
      </c>
      <c r="X3789" s="2">
        <v>20.23</v>
      </c>
    </row>
    <row r="3790" spans="1:24" x14ac:dyDescent="0.3">
      <c r="A3790">
        <v>21638</v>
      </c>
      <c r="B3790" t="s">
        <v>9088</v>
      </c>
      <c r="C3790" s="3">
        <v>40823</v>
      </c>
      <c r="D3790" t="s">
        <v>39</v>
      </c>
      <c r="E3790">
        <v>1</v>
      </c>
      <c r="F3790" s="3">
        <f ca="1">40825+(RANDBETWEEN(1,10))</f>
        <v>40832</v>
      </c>
      <c r="G3790" t="s">
        <v>26</v>
      </c>
      <c r="H3790" t="s">
        <v>27</v>
      </c>
      <c r="I3790" t="s">
        <v>52</v>
      </c>
      <c r="J3790">
        <v>271.14499999999998</v>
      </c>
      <c r="K3790">
        <v>0.09</v>
      </c>
      <c r="L3790">
        <v>0.76</v>
      </c>
      <c r="M3790">
        <v>14</v>
      </c>
      <c r="N3790">
        <v>-1354.8653999999999</v>
      </c>
      <c r="O3790" s="1" t="s">
        <v>87</v>
      </c>
      <c r="P3790" s="1" t="s">
        <v>4409</v>
      </c>
      <c r="Q3790" s="1" t="s">
        <v>4410</v>
      </c>
      <c r="R3790" s="1" t="s">
        <v>398</v>
      </c>
      <c r="S3790" s="1" t="s">
        <v>4411</v>
      </c>
      <c r="T3790" s="1" t="s">
        <v>4412</v>
      </c>
      <c r="U3790" s="2" t="s">
        <v>8145</v>
      </c>
      <c r="V3790" s="2" t="s">
        <v>36</v>
      </c>
      <c r="W3790" s="2" t="s">
        <v>60</v>
      </c>
      <c r="X3790" s="2">
        <v>271.28500000000003</v>
      </c>
    </row>
    <row r="3791" spans="1:24" x14ac:dyDescent="0.3">
      <c r="A3791">
        <v>21639</v>
      </c>
      <c r="B3791" t="s">
        <v>9089</v>
      </c>
      <c r="C3791" s="3">
        <v>41919</v>
      </c>
      <c r="D3791" t="s">
        <v>39</v>
      </c>
      <c r="E3791">
        <v>23</v>
      </c>
      <c r="F3791" s="3">
        <f ca="1">41921+(RANDBETWEEN(1,10))</f>
        <v>41929</v>
      </c>
      <c r="G3791" t="s">
        <v>156</v>
      </c>
      <c r="H3791" t="s">
        <v>27</v>
      </c>
      <c r="I3791" t="s">
        <v>52</v>
      </c>
      <c r="J3791">
        <v>3005.2750000000001</v>
      </c>
      <c r="K3791">
        <v>0.08</v>
      </c>
      <c r="L3791">
        <v>0.56000000000000005</v>
      </c>
      <c r="M3791">
        <v>17.465</v>
      </c>
      <c r="N3791">
        <v>1101.933</v>
      </c>
      <c r="O3791" s="1" t="s">
        <v>87</v>
      </c>
      <c r="P3791" s="1" t="s">
        <v>4409</v>
      </c>
      <c r="Q3791" s="1" t="s">
        <v>4410</v>
      </c>
      <c r="R3791" s="1" t="s">
        <v>398</v>
      </c>
      <c r="S3791" s="1" t="s">
        <v>4411</v>
      </c>
      <c r="T3791" s="1" t="s">
        <v>4412</v>
      </c>
      <c r="U3791" s="2" t="s">
        <v>3202</v>
      </c>
      <c r="V3791" s="2" t="s">
        <v>36</v>
      </c>
      <c r="W3791" s="2" t="s">
        <v>37</v>
      </c>
      <c r="X3791" s="2">
        <v>160.965</v>
      </c>
    </row>
    <row r="3792" spans="1:24" x14ac:dyDescent="0.3">
      <c r="A3792">
        <v>21640</v>
      </c>
      <c r="B3792" t="s">
        <v>9090</v>
      </c>
      <c r="C3792" s="3">
        <v>41896</v>
      </c>
      <c r="D3792" t="s">
        <v>62</v>
      </c>
      <c r="E3792">
        <v>9</v>
      </c>
      <c r="F3792" s="3">
        <f ca="1">41898+(RANDBETWEEN(1,10))</f>
        <v>41908</v>
      </c>
      <c r="G3792" t="s">
        <v>26</v>
      </c>
      <c r="H3792" t="s">
        <v>281</v>
      </c>
      <c r="I3792" t="s">
        <v>52</v>
      </c>
      <c r="J3792">
        <v>608.92999999999995</v>
      </c>
      <c r="K3792">
        <v>0</v>
      </c>
      <c r="L3792">
        <v>0.57999999999999996</v>
      </c>
      <c r="M3792">
        <v>16.835000000000001</v>
      </c>
      <c r="N3792">
        <v>-25.006519999999998</v>
      </c>
      <c r="O3792" s="1" t="s">
        <v>64</v>
      </c>
      <c r="P3792" s="1" t="s">
        <v>8588</v>
      </c>
      <c r="Q3792" s="1" t="s">
        <v>8589</v>
      </c>
      <c r="R3792" s="1" t="s">
        <v>67</v>
      </c>
      <c r="S3792" s="1" t="s">
        <v>8590</v>
      </c>
      <c r="T3792" s="1" t="s">
        <v>8591</v>
      </c>
      <c r="U3792" s="2" t="s">
        <v>1890</v>
      </c>
      <c r="V3792" s="2" t="s">
        <v>36</v>
      </c>
      <c r="W3792" s="2" t="s">
        <v>37</v>
      </c>
      <c r="X3792" s="2">
        <v>73.465000000000003</v>
      </c>
    </row>
    <row r="3793" spans="1:24" x14ac:dyDescent="0.3">
      <c r="A3793">
        <v>21641</v>
      </c>
      <c r="B3793" t="s">
        <v>9091</v>
      </c>
      <c r="C3793" s="3">
        <v>41141</v>
      </c>
      <c r="D3793" t="s">
        <v>39</v>
      </c>
      <c r="E3793">
        <v>22</v>
      </c>
      <c r="F3793" s="3">
        <f ca="1">41142+(RANDBETWEEN(1,10))</f>
        <v>41147</v>
      </c>
      <c r="G3793" t="s">
        <v>26</v>
      </c>
      <c r="H3793" t="s">
        <v>96</v>
      </c>
      <c r="I3793" t="s">
        <v>28</v>
      </c>
      <c r="J3793">
        <v>189.77</v>
      </c>
      <c r="K3793">
        <v>0.03</v>
      </c>
      <c r="L3793">
        <v>0.38</v>
      </c>
      <c r="M3793">
        <v>3.57</v>
      </c>
      <c r="N3793">
        <v>102.87479999999999</v>
      </c>
      <c r="O3793" s="1" t="s">
        <v>29</v>
      </c>
      <c r="P3793" s="1" t="s">
        <v>9092</v>
      </c>
      <c r="Q3793" s="1" t="s">
        <v>9093</v>
      </c>
      <c r="R3793" s="1" t="s">
        <v>32</v>
      </c>
      <c r="S3793" s="1" t="s">
        <v>8270</v>
      </c>
      <c r="T3793" s="1" t="s">
        <v>8271</v>
      </c>
      <c r="U3793" s="2" t="s">
        <v>9094</v>
      </c>
      <c r="V3793" s="2" t="s">
        <v>47</v>
      </c>
      <c r="W3793" s="2" t="s">
        <v>176</v>
      </c>
      <c r="X3793" s="2">
        <v>8.6449999999999996</v>
      </c>
    </row>
    <row r="3794" spans="1:24" x14ac:dyDescent="0.3">
      <c r="A3794">
        <v>21642</v>
      </c>
      <c r="B3794" t="s">
        <v>9095</v>
      </c>
      <c r="C3794" s="3">
        <v>41441</v>
      </c>
      <c r="D3794" t="s">
        <v>39</v>
      </c>
      <c r="E3794">
        <v>18</v>
      </c>
      <c r="F3794" s="3">
        <f ca="1">41442+(RANDBETWEEN(1,10))</f>
        <v>41444</v>
      </c>
      <c r="G3794" t="s">
        <v>26</v>
      </c>
      <c r="H3794" t="s">
        <v>27</v>
      </c>
      <c r="I3794" t="s">
        <v>97</v>
      </c>
      <c r="J3794">
        <v>522.97</v>
      </c>
      <c r="K3794">
        <v>0.09</v>
      </c>
      <c r="L3794">
        <v>0.38</v>
      </c>
      <c r="M3794">
        <v>29.015000000000001</v>
      </c>
      <c r="N3794">
        <v>-456.76400000000001</v>
      </c>
      <c r="O3794" s="1" t="s">
        <v>87</v>
      </c>
      <c r="P3794" s="1" t="s">
        <v>9096</v>
      </c>
      <c r="Q3794" s="1" t="s">
        <v>9097</v>
      </c>
      <c r="R3794" s="1" t="s">
        <v>90</v>
      </c>
      <c r="S3794" s="1" t="s">
        <v>9098</v>
      </c>
      <c r="T3794" s="1" t="s">
        <v>9099</v>
      </c>
      <c r="U3794" s="2" t="s">
        <v>1682</v>
      </c>
      <c r="V3794" s="2" t="s">
        <v>47</v>
      </c>
      <c r="W3794" s="2" t="s">
        <v>48</v>
      </c>
      <c r="X3794" s="2">
        <v>30.59</v>
      </c>
    </row>
    <row r="3795" spans="1:24" x14ac:dyDescent="0.3">
      <c r="A3795">
        <v>21643</v>
      </c>
      <c r="B3795" t="s">
        <v>9100</v>
      </c>
      <c r="C3795" s="3">
        <v>41817</v>
      </c>
      <c r="D3795" t="s">
        <v>50</v>
      </c>
      <c r="E3795">
        <v>8</v>
      </c>
      <c r="F3795" s="3">
        <f ca="1">41819+(RANDBETWEEN(1,10))</f>
        <v>41829</v>
      </c>
      <c r="G3795" t="s">
        <v>76</v>
      </c>
      <c r="H3795" t="s">
        <v>77</v>
      </c>
      <c r="I3795" t="s">
        <v>97</v>
      </c>
      <c r="J3795">
        <v>1012.76</v>
      </c>
      <c r="K3795">
        <v>0</v>
      </c>
      <c r="L3795">
        <v>0.57999999999999996</v>
      </c>
      <c r="M3795">
        <v>67.165000000000006</v>
      </c>
      <c r="N3795">
        <v>-356.69200000000001</v>
      </c>
      <c r="O3795" s="1" t="s">
        <v>225</v>
      </c>
      <c r="P3795" s="1" t="s">
        <v>2903</v>
      </c>
      <c r="Q3795" s="1" t="s">
        <v>2904</v>
      </c>
      <c r="R3795" s="1" t="s">
        <v>391</v>
      </c>
      <c r="S3795" s="1" t="s">
        <v>2905</v>
      </c>
      <c r="T3795" s="1" t="s">
        <v>2906</v>
      </c>
      <c r="U3795" s="2" t="s">
        <v>8686</v>
      </c>
      <c r="V3795" s="2" t="s">
        <v>83</v>
      </c>
      <c r="W3795" s="2" t="s">
        <v>84</v>
      </c>
      <c r="X3795" s="2">
        <v>118.79</v>
      </c>
    </row>
    <row r="3796" spans="1:24" x14ac:dyDescent="0.3">
      <c r="A3796">
        <v>21644</v>
      </c>
      <c r="B3796" t="s">
        <v>9101</v>
      </c>
      <c r="C3796" s="3">
        <v>41087</v>
      </c>
      <c r="D3796" t="s">
        <v>50</v>
      </c>
      <c r="E3796">
        <v>12</v>
      </c>
      <c r="F3796" s="3">
        <f ca="1">41088+(RANDBETWEEN(1,10))</f>
        <v>41090</v>
      </c>
      <c r="G3796" t="s">
        <v>26</v>
      </c>
      <c r="H3796" t="s">
        <v>51</v>
      </c>
      <c r="I3796" t="s">
        <v>97</v>
      </c>
      <c r="J3796">
        <v>341.07499999999999</v>
      </c>
      <c r="K3796">
        <v>7.0000000000000007E-2</v>
      </c>
      <c r="L3796">
        <v>0.52</v>
      </c>
      <c r="M3796">
        <v>6.9649999999999999</v>
      </c>
      <c r="N3796">
        <v>94.331999999999994</v>
      </c>
      <c r="O3796" s="1" t="s">
        <v>225</v>
      </c>
      <c r="P3796" s="1" t="s">
        <v>2903</v>
      </c>
      <c r="Q3796" s="1" t="s">
        <v>2904</v>
      </c>
      <c r="R3796" s="1" t="s">
        <v>391</v>
      </c>
      <c r="S3796" s="1" t="s">
        <v>2905</v>
      </c>
      <c r="T3796" s="1" t="s">
        <v>2906</v>
      </c>
      <c r="U3796" s="2" t="s">
        <v>2853</v>
      </c>
      <c r="V3796" s="2" t="s">
        <v>36</v>
      </c>
      <c r="W3796" s="2" t="s">
        <v>60</v>
      </c>
      <c r="X3796" s="2">
        <v>29.155000000000001</v>
      </c>
    </row>
    <row r="3797" spans="1:24" x14ac:dyDescent="0.3">
      <c r="A3797">
        <v>21645</v>
      </c>
      <c r="B3797" t="s">
        <v>9102</v>
      </c>
      <c r="C3797" s="3">
        <v>41663</v>
      </c>
      <c r="D3797" t="s">
        <v>25</v>
      </c>
      <c r="E3797">
        <v>13</v>
      </c>
      <c r="F3797" s="3">
        <f ca="1">41663+(RANDBETWEEN(1,10))</f>
        <v>41671</v>
      </c>
      <c r="G3797" t="s">
        <v>156</v>
      </c>
      <c r="H3797" t="s">
        <v>27</v>
      </c>
      <c r="I3797" t="s">
        <v>28</v>
      </c>
      <c r="J3797">
        <v>832.96500000000003</v>
      </c>
      <c r="K3797">
        <v>7.0000000000000007E-2</v>
      </c>
      <c r="L3797">
        <v>0.37</v>
      </c>
      <c r="M3797">
        <v>31.605</v>
      </c>
      <c r="N3797">
        <v>187.42359999999999</v>
      </c>
      <c r="O3797" s="1" t="s">
        <v>40</v>
      </c>
      <c r="P3797" s="1" t="s">
        <v>5150</v>
      </c>
      <c r="Q3797" s="1" t="s">
        <v>5151</v>
      </c>
      <c r="R3797" s="1" t="s">
        <v>43</v>
      </c>
      <c r="S3797" s="1" t="s">
        <v>5152</v>
      </c>
      <c r="T3797" s="1" t="s">
        <v>5153</v>
      </c>
      <c r="U3797" s="2" t="s">
        <v>482</v>
      </c>
      <c r="V3797" s="2" t="s">
        <v>47</v>
      </c>
      <c r="W3797" s="2" t="s">
        <v>74</v>
      </c>
      <c r="X3797" s="2">
        <v>66.394999999999996</v>
      </c>
    </row>
    <row r="3798" spans="1:24" x14ac:dyDescent="0.3">
      <c r="A3798">
        <v>21646</v>
      </c>
      <c r="B3798" t="s">
        <v>9103</v>
      </c>
      <c r="C3798" s="3">
        <v>40951</v>
      </c>
      <c r="D3798" t="s">
        <v>62</v>
      </c>
      <c r="E3798">
        <v>12</v>
      </c>
      <c r="F3798" s="3">
        <f ca="1">40953+(RANDBETWEEN(1,10))</f>
        <v>40959</v>
      </c>
      <c r="G3798" t="s">
        <v>26</v>
      </c>
      <c r="H3798" t="s">
        <v>63</v>
      </c>
      <c r="I3798" t="s">
        <v>86</v>
      </c>
      <c r="J3798">
        <v>354.58499999999998</v>
      </c>
      <c r="K3798">
        <v>0.09</v>
      </c>
      <c r="L3798">
        <v>0.59</v>
      </c>
      <c r="M3798">
        <v>35.56</v>
      </c>
      <c r="N3798">
        <v>-1124.2349999999999</v>
      </c>
      <c r="O3798" s="1" t="s">
        <v>29</v>
      </c>
      <c r="P3798" s="1" t="s">
        <v>6107</v>
      </c>
      <c r="Q3798" s="1" t="s">
        <v>6108</v>
      </c>
      <c r="R3798" s="1" t="s">
        <v>32</v>
      </c>
      <c r="S3798" s="1" t="s">
        <v>6109</v>
      </c>
      <c r="T3798" s="1" t="s">
        <v>6110</v>
      </c>
      <c r="U3798" s="2" t="s">
        <v>4990</v>
      </c>
      <c r="V3798" s="2" t="s">
        <v>83</v>
      </c>
      <c r="W3798" s="2" t="s">
        <v>178</v>
      </c>
      <c r="X3798" s="2">
        <v>29.295000000000002</v>
      </c>
    </row>
    <row r="3799" spans="1:24" x14ac:dyDescent="0.3">
      <c r="A3799">
        <v>21647</v>
      </c>
      <c r="B3799" t="s">
        <v>9104</v>
      </c>
      <c r="C3799" s="3">
        <v>41968</v>
      </c>
      <c r="D3799" t="s">
        <v>50</v>
      </c>
      <c r="E3799">
        <v>41</v>
      </c>
      <c r="F3799" s="3">
        <f ca="1">41969+(RANDBETWEEN(1,10))</f>
        <v>41979</v>
      </c>
      <c r="G3799" t="s">
        <v>26</v>
      </c>
      <c r="H3799" t="s">
        <v>27</v>
      </c>
      <c r="I3799" t="s">
        <v>97</v>
      </c>
      <c r="J3799">
        <v>21005.67</v>
      </c>
      <c r="K3799">
        <v>0.04</v>
      </c>
      <c r="L3799">
        <v>0.79</v>
      </c>
      <c r="M3799">
        <v>14</v>
      </c>
      <c r="N3799">
        <v>2121.5039999999999</v>
      </c>
      <c r="O3799" s="1" t="s">
        <v>225</v>
      </c>
      <c r="P3799" s="1" t="s">
        <v>5630</v>
      </c>
      <c r="Q3799" s="1" t="s">
        <v>5631</v>
      </c>
      <c r="R3799" s="1" t="s">
        <v>391</v>
      </c>
      <c r="S3799" s="1" t="s">
        <v>5632</v>
      </c>
      <c r="T3799" s="1" t="s">
        <v>5633</v>
      </c>
      <c r="U3799" s="2" t="s">
        <v>192</v>
      </c>
      <c r="V3799" s="2" t="s">
        <v>36</v>
      </c>
      <c r="W3799" s="2" t="s">
        <v>60</v>
      </c>
      <c r="X3799" s="2">
        <v>533.67999999999995</v>
      </c>
    </row>
    <row r="3800" spans="1:24" x14ac:dyDescent="0.3">
      <c r="A3800">
        <v>21648</v>
      </c>
      <c r="B3800" t="s">
        <v>9105</v>
      </c>
      <c r="C3800" s="3">
        <v>41928</v>
      </c>
      <c r="D3800" t="s">
        <v>25</v>
      </c>
      <c r="E3800">
        <v>17</v>
      </c>
      <c r="F3800" s="3">
        <f ca="1">41933+(RANDBETWEEN(1,10))</f>
        <v>41938</v>
      </c>
      <c r="G3800" t="s">
        <v>156</v>
      </c>
      <c r="H3800" t="s">
        <v>27</v>
      </c>
      <c r="I3800" t="s">
        <v>28</v>
      </c>
      <c r="J3800">
        <v>412.58</v>
      </c>
      <c r="K3800">
        <v>0.03</v>
      </c>
      <c r="L3800">
        <v>0.37</v>
      </c>
      <c r="M3800">
        <v>25.55</v>
      </c>
      <c r="N3800">
        <v>426.80399999999997</v>
      </c>
      <c r="O3800" s="1" t="s">
        <v>64</v>
      </c>
      <c r="P3800" s="1" t="s">
        <v>4339</v>
      </c>
      <c r="Q3800" s="1" t="s">
        <v>4340</v>
      </c>
      <c r="R3800" s="1" t="s">
        <v>128</v>
      </c>
      <c r="S3800" s="1" t="s">
        <v>4341</v>
      </c>
      <c r="T3800" s="1" t="s">
        <v>4342</v>
      </c>
      <c r="U3800" s="2" t="s">
        <v>6901</v>
      </c>
      <c r="V3800" s="2" t="s">
        <v>47</v>
      </c>
      <c r="W3800" s="2" t="s">
        <v>74</v>
      </c>
      <c r="X3800" s="2">
        <v>23.38</v>
      </c>
    </row>
    <row r="3801" spans="1:24" x14ac:dyDescent="0.3">
      <c r="A3801">
        <v>21649</v>
      </c>
      <c r="B3801" t="s">
        <v>9106</v>
      </c>
      <c r="C3801" s="3">
        <v>41941</v>
      </c>
      <c r="D3801" t="s">
        <v>62</v>
      </c>
      <c r="E3801">
        <v>19</v>
      </c>
      <c r="F3801" s="3">
        <f ca="1">41942+(RANDBETWEEN(1,10))</f>
        <v>41948</v>
      </c>
      <c r="G3801" t="s">
        <v>26</v>
      </c>
      <c r="H3801" t="s">
        <v>27</v>
      </c>
      <c r="I3801" t="s">
        <v>86</v>
      </c>
      <c r="J3801">
        <v>1288.28</v>
      </c>
      <c r="K3801">
        <v>0.04</v>
      </c>
      <c r="L3801">
        <v>0.37</v>
      </c>
      <c r="M3801">
        <v>31.605</v>
      </c>
      <c r="N3801">
        <v>285.98500000000001</v>
      </c>
      <c r="O3801" s="1" t="s">
        <v>87</v>
      </c>
      <c r="P3801" s="1" t="s">
        <v>5676</v>
      </c>
      <c r="Q3801" s="1" t="s">
        <v>5677</v>
      </c>
      <c r="R3801" s="1" t="s">
        <v>398</v>
      </c>
      <c r="S3801" s="1" t="s">
        <v>5678</v>
      </c>
      <c r="T3801" s="1" t="s">
        <v>5679</v>
      </c>
      <c r="U3801" s="2" t="s">
        <v>482</v>
      </c>
      <c r="V3801" s="2" t="s">
        <v>47</v>
      </c>
      <c r="W3801" s="2" t="s">
        <v>74</v>
      </c>
      <c r="X3801" s="2">
        <v>66.394999999999996</v>
      </c>
    </row>
    <row r="3802" spans="1:24" x14ac:dyDescent="0.3">
      <c r="A3802">
        <v>21650</v>
      </c>
      <c r="B3802" t="s">
        <v>9107</v>
      </c>
      <c r="C3802" s="3">
        <v>41573</v>
      </c>
      <c r="D3802" t="s">
        <v>39</v>
      </c>
      <c r="E3802">
        <v>14</v>
      </c>
      <c r="F3802" s="3">
        <f ca="1">41574+(RANDBETWEEN(1,10))</f>
        <v>41575</v>
      </c>
      <c r="G3802" t="s">
        <v>26</v>
      </c>
      <c r="H3802" t="s">
        <v>27</v>
      </c>
      <c r="I3802" t="s">
        <v>86</v>
      </c>
      <c r="J3802">
        <v>132.54499999999999</v>
      </c>
      <c r="K3802">
        <v>0.1</v>
      </c>
      <c r="L3802">
        <v>0.36</v>
      </c>
      <c r="M3802">
        <v>3.4649999999999999</v>
      </c>
      <c r="N3802">
        <v>-38.71</v>
      </c>
      <c r="O3802" s="1" t="s">
        <v>40</v>
      </c>
      <c r="P3802" s="1" t="s">
        <v>9108</v>
      </c>
      <c r="Q3802" s="1" t="s">
        <v>9109</v>
      </c>
      <c r="R3802" s="1" t="s">
        <v>43</v>
      </c>
      <c r="S3802" s="1" t="s">
        <v>9110</v>
      </c>
      <c r="T3802" s="1" t="s">
        <v>9111</v>
      </c>
      <c r="U3802" s="2" t="s">
        <v>3527</v>
      </c>
      <c r="V3802" s="2" t="s">
        <v>47</v>
      </c>
      <c r="W3802" s="2" t="s">
        <v>203</v>
      </c>
      <c r="X3802" s="2">
        <v>10.08</v>
      </c>
    </row>
    <row r="3803" spans="1:24" x14ac:dyDescent="0.3">
      <c r="A3803">
        <v>21651</v>
      </c>
      <c r="B3803" t="s">
        <v>9112</v>
      </c>
      <c r="C3803" s="3">
        <v>41459</v>
      </c>
      <c r="D3803" t="s">
        <v>25</v>
      </c>
      <c r="E3803">
        <v>6</v>
      </c>
      <c r="F3803" s="3">
        <f ca="1">41463+(RANDBETWEEN(1,10))</f>
        <v>41464</v>
      </c>
      <c r="G3803" t="s">
        <v>26</v>
      </c>
      <c r="H3803" t="s">
        <v>27</v>
      </c>
      <c r="I3803" t="s">
        <v>28</v>
      </c>
      <c r="J3803">
        <v>115.92</v>
      </c>
      <c r="K3803">
        <v>0</v>
      </c>
      <c r="L3803">
        <v>0.36</v>
      </c>
      <c r="M3803">
        <v>19.88</v>
      </c>
      <c r="N3803">
        <v>-179.19300000000001</v>
      </c>
      <c r="O3803" s="1" t="s">
        <v>40</v>
      </c>
      <c r="P3803" s="1" t="s">
        <v>9053</v>
      </c>
      <c r="Q3803" s="1" t="s">
        <v>9054</v>
      </c>
      <c r="R3803" s="1" t="s">
        <v>43</v>
      </c>
      <c r="S3803" s="1" t="s">
        <v>9055</v>
      </c>
      <c r="T3803" s="1" t="s">
        <v>9056</v>
      </c>
      <c r="U3803" s="2" t="s">
        <v>4013</v>
      </c>
      <c r="V3803" s="2" t="s">
        <v>47</v>
      </c>
      <c r="W3803" s="2" t="s">
        <v>111</v>
      </c>
      <c r="X3803" s="2">
        <v>17.184999999999999</v>
      </c>
    </row>
    <row r="3804" spans="1:24" x14ac:dyDescent="0.3">
      <c r="A3804">
        <v>21652</v>
      </c>
      <c r="B3804" t="s">
        <v>9112</v>
      </c>
      <c r="C3804" s="3">
        <v>41459</v>
      </c>
      <c r="D3804" t="s">
        <v>25</v>
      </c>
      <c r="E3804">
        <v>17</v>
      </c>
      <c r="F3804" s="3">
        <f ca="1">41459+(RANDBETWEEN(1,10))</f>
        <v>41461</v>
      </c>
      <c r="G3804" t="s">
        <v>26</v>
      </c>
      <c r="H3804" t="s">
        <v>27</v>
      </c>
      <c r="I3804" t="s">
        <v>28</v>
      </c>
      <c r="J3804">
        <v>619.46500000000003</v>
      </c>
      <c r="K3804">
        <v>0.04</v>
      </c>
      <c r="L3804">
        <v>0.56999999999999995</v>
      </c>
      <c r="M3804">
        <v>43.82</v>
      </c>
      <c r="N3804">
        <v>-1267.385</v>
      </c>
      <c r="O3804" s="1" t="s">
        <v>40</v>
      </c>
      <c r="P3804" s="1" t="s">
        <v>9053</v>
      </c>
      <c r="Q3804" s="1" t="s">
        <v>9054</v>
      </c>
      <c r="R3804" s="1" t="s">
        <v>43</v>
      </c>
      <c r="S3804" s="1" t="s">
        <v>9055</v>
      </c>
      <c r="T3804" s="1" t="s">
        <v>9056</v>
      </c>
      <c r="U3804" s="2" t="s">
        <v>8087</v>
      </c>
      <c r="V3804" s="2" t="s">
        <v>83</v>
      </c>
      <c r="W3804" s="2" t="s">
        <v>178</v>
      </c>
      <c r="X3804" s="2">
        <v>34.93</v>
      </c>
    </row>
    <row r="3805" spans="1:24" x14ac:dyDescent="0.3">
      <c r="A3805">
        <v>21653</v>
      </c>
      <c r="B3805" t="s">
        <v>9112</v>
      </c>
      <c r="C3805" s="3">
        <v>41459</v>
      </c>
      <c r="D3805" t="s">
        <v>25</v>
      </c>
      <c r="E3805">
        <v>9</v>
      </c>
      <c r="F3805" s="3">
        <f ca="1">41461+(RANDBETWEEN(1,10))</f>
        <v>41469</v>
      </c>
      <c r="G3805" t="s">
        <v>26</v>
      </c>
      <c r="H3805" t="s">
        <v>27</v>
      </c>
      <c r="I3805" t="s">
        <v>28</v>
      </c>
      <c r="J3805">
        <v>857.60500000000002</v>
      </c>
      <c r="K3805">
        <v>0.1</v>
      </c>
      <c r="L3805">
        <v>0.54</v>
      </c>
      <c r="M3805">
        <v>27.545000000000002</v>
      </c>
      <c r="N3805">
        <v>537.25</v>
      </c>
      <c r="O3805" s="1" t="s">
        <v>40</v>
      </c>
      <c r="P3805" s="1" t="s">
        <v>9053</v>
      </c>
      <c r="Q3805" s="1" t="s">
        <v>9054</v>
      </c>
      <c r="R3805" s="1" t="s">
        <v>43</v>
      </c>
      <c r="S3805" s="1" t="s">
        <v>9055</v>
      </c>
      <c r="T3805" s="1" t="s">
        <v>9056</v>
      </c>
      <c r="U3805" s="2" t="s">
        <v>5532</v>
      </c>
      <c r="V3805" s="2" t="s">
        <v>83</v>
      </c>
      <c r="W3805" s="2" t="s">
        <v>178</v>
      </c>
      <c r="X3805" s="2">
        <v>102.69</v>
      </c>
    </row>
    <row r="3806" spans="1:24" x14ac:dyDescent="0.3">
      <c r="A3806">
        <v>21654</v>
      </c>
      <c r="B3806" t="s">
        <v>9113</v>
      </c>
      <c r="C3806" s="3">
        <v>41923</v>
      </c>
      <c r="D3806" t="s">
        <v>25</v>
      </c>
      <c r="E3806">
        <v>7</v>
      </c>
      <c r="F3806" s="3">
        <f ca="1">41930+(RANDBETWEEN(1,10))</f>
        <v>41933</v>
      </c>
      <c r="G3806" t="s">
        <v>26</v>
      </c>
      <c r="H3806" t="s">
        <v>27</v>
      </c>
      <c r="I3806" t="s">
        <v>28</v>
      </c>
      <c r="J3806">
        <v>2547.5450000000001</v>
      </c>
      <c r="K3806">
        <v>0.03</v>
      </c>
      <c r="L3806">
        <v>0.57999999999999996</v>
      </c>
      <c r="M3806">
        <v>66.254999999999995</v>
      </c>
      <c r="N3806">
        <v>-3491.3778900000002</v>
      </c>
      <c r="O3806" s="1" t="s">
        <v>40</v>
      </c>
      <c r="P3806" s="1" t="s">
        <v>8882</v>
      </c>
      <c r="Q3806" s="1" t="s">
        <v>8883</v>
      </c>
      <c r="R3806" s="1" t="s">
        <v>43</v>
      </c>
      <c r="S3806" s="1" t="s">
        <v>8884</v>
      </c>
      <c r="T3806" s="1" t="s">
        <v>8885</v>
      </c>
      <c r="U3806" s="2" t="s">
        <v>9114</v>
      </c>
      <c r="V3806" s="2" t="s">
        <v>47</v>
      </c>
      <c r="W3806" s="2" t="s">
        <v>71</v>
      </c>
      <c r="X3806" s="2">
        <v>366.27499999999998</v>
      </c>
    </row>
    <row r="3807" spans="1:24" x14ac:dyDescent="0.3">
      <c r="A3807">
        <v>21655</v>
      </c>
      <c r="B3807" t="s">
        <v>9115</v>
      </c>
      <c r="C3807" s="3">
        <v>40827</v>
      </c>
      <c r="D3807" t="s">
        <v>25</v>
      </c>
      <c r="E3807">
        <v>22</v>
      </c>
      <c r="F3807" s="3">
        <f ca="1">40836+(RANDBETWEEN(1,10))</f>
        <v>40840</v>
      </c>
      <c r="G3807" t="s">
        <v>26</v>
      </c>
      <c r="H3807" t="s">
        <v>51</v>
      </c>
      <c r="I3807" t="s">
        <v>28</v>
      </c>
      <c r="J3807">
        <v>935.62</v>
      </c>
      <c r="K3807">
        <v>0.03</v>
      </c>
      <c r="L3807">
        <v>0.57999999999999996</v>
      </c>
      <c r="M3807">
        <v>27.824999999999999</v>
      </c>
      <c r="N3807">
        <v>-108.82899999999999</v>
      </c>
      <c r="O3807" s="1" t="s">
        <v>40</v>
      </c>
      <c r="P3807" s="1" t="s">
        <v>8882</v>
      </c>
      <c r="Q3807" s="1" t="s">
        <v>8883</v>
      </c>
      <c r="R3807" s="1" t="s">
        <v>43</v>
      </c>
      <c r="S3807" s="1" t="s">
        <v>8884</v>
      </c>
      <c r="T3807" s="1" t="s">
        <v>8885</v>
      </c>
      <c r="U3807" s="2" t="s">
        <v>248</v>
      </c>
      <c r="V3807" s="2" t="s">
        <v>47</v>
      </c>
      <c r="W3807" s="2" t="s">
        <v>104</v>
      </c>
      <c r="X3807" s="2">
        <v>40.81</v>
      </c>
    </row>
    <row r="3808" spans="1:24" x14ac:dyDescent="0.3">
      <c r="A3808">
        <v>21656</v>
      </c>
      <c r="B3808" t="s">
        <v>9116</v>
      </c>
      <c r="C3808" s="3">
        <v>41597</v>
      </c>
      <c r="D3808" t="s">
        <v>39</v>
      </c>
      <c r="E3808">
        <v>12</v>
      </c>
      <c r="F3808" s="3">
        <f ca="1">41599+(RANDBETWEEN(1,10))</f>
        <v>41601</v>
      </c>
      <c r="G3808" t="s">
        <v>26</v>
      </c>
      <c r="H3808" t="s">
        <v>27</v>
      </c>
      <c r="I3808" t="s">
        <v>97</v>
      </c>
      <c r="J3808">
        <v>282.97500000000002</v>
      </c>
      <c r="K3808">
        <v>0.06</v>
      </c>
      <c r="L3808">
        <v>0.37</v>
      </c>
      <c r="M3808">
        <v>28.664999999999999</v>
      </c>
      <c r="N3808">
        <v>-9133.9920000000002</v>
      </c>
      <c r="O3808" s="1" t="s">
        <v>64</v>
      </c>
      <c r="P3808" s="1" t="s">
        <v>4109</v>
      </c>
      <c r="Q3808" s="1" t="s">
        <v>4110</v>
      </c>
      <c r="R3808" s="1" t="s">
        <v>128</v>
      </c>
      <c r="S3808" s="1" t="s">
        <v>4111</v>
      </c>
      <c r="T3808" s="1" t="s">
        <v>4112</v>
      </c>
      <c r="U3808" s="2" t="s">
        <v>474</v>
      </c>
      <c r="V3808" s="2" t="s">
        <v>47</v>
      </c>
      <c r="W3808" s="2" t="s">
        <v>74</v>
      </c>
      <c r="X3808" s="2">
        <v>22.68</v>
      </c>
    </row>
    <row r="3809" spans="1:24" x14ac:dyDescent="0.3">
      <c r="A3809">
        <v>21657</v>
      </c>
      <c r="B3809" t="s">
        <v>9116</v>
      </c>
      <c r="C3809" s="3">
        <v>41597</v>
      </c>
      <c r="D3809" t="s">
        <v>39</v>
      </c>
      <c r="E3809">
        <v>26</v>
      </c>
      <c r="F3809" s="3">
        <f ca="1">41598+(RANDBETWEEN(1,10))</f>
        <v>41602</v>
      </c>
      <c r="G3809" t="s">
        <v>26</v>
      </c>
      <c r="H3809" t="s">
        <v>281</v>
      </c>
      <c r="I3809" t="s">
        <v>97</v>
      </c>
      <c r="J3809">
        <v>1681.7850000000001</v>
      </c>
      <c r="K3809">
        <v>0.03</v>
      </c>
      <c r="L3809">
        <v>0.57999999999999996</v>
      </c>
      <c r="M3809">
        <v>16.835000000000001</v>
      </c>
      <c r="N3809">
        <v>-1.5189999999999999</v>
      </c>
      <c r="O3809" s="1" t="s">
        <v>64</v>
      </c>
      <c r="P3809" s="1" t="s">
        <v>4109</v>
      </c>
      <c r="Q3809" s="1" t="s">
        <v>4110</v>
      </c>
      <c r="R3809" s="1" t="s">
        <v>128</v>
      </c>
      <c r="S3809" s="1" t="s">
        <v>4111</v>
      </c>
      <c r="T3809" s="1" t="s">
        <v>4112</v>
      </c>
      <c r="U3809" s="2" t="s">
        <v>1890</v>
      </c>
      <c r="V3809" s="2" t="s">
        <v>36</v>
      </c>
      <c r="W3809" s="2" t="s">
        <v>37</v>
      </c>
      <c r="X3809" s="2">
        <v>73.465000000000003</v>
      </c>
    </row>
    <row r="3810" spans="1:24" x14ac:dyDescent="0.3">
      <c r="A3810">
        <v>21658</v>
      </c>
      <c r="B3810" t="s">
        <v>9117</v>
      </c>
      <c r="C3810" s="3">
        <v>40924</v>
      </c>
      <c r="D3810" t="s">
        <v>50</v>
      </c>
      <c r="E3810">
        <v>8</v>
      </c>
      <c r="F3810" s="3">
        <f ca="1">40927+(RANDBETWEEN(1,10))</f>
        <v>40937</v>
      </c>
      <c r="G3810" t="s">
        <v>76</v>
      </c>
      <c r="H3810" t="s">
        <v>258</v>
      </c>
      <c r="I3810" t="s">
        <v>28</v>
      </c>
      <c r="J3810">
        <v>4372.585</v>
      </c>
      <c r="K3810">
        <v>0.01</v>
      </c>
      <c r="L3810">
        <v>0.65</v>
      </c>
      <c r="M3810">
        <v>231.94499999999999</v>
      </c>
      <c r="N3810">
        <v>-2383.8317999999999</v>
      </c>
      <c r="O3810" s="1" t="s">
        <v>40</v>
      </c>
      <c r="P3810" s="1" t="s">
        <v>6090</v>
      </c>
      <c r="Q3810" s="1" t="s">
        <v>6091</v>
      </c>
      <c r="R3810" s="1" t="s">
        <v>220</v>
      </c>
      <c r="S3810" s="1" t="s">
        <v>2607</v>
      </c>
      <c r="T3810" s="1" t="s">
        <v>2608</v>
      </c>
      <c r="U3810" s="2" t="s">
        <v>3398</v>
      </c>
      <c r="V3810" s="2" t="s">
        <v>83</v>
      </c>
      <c r="W3810" s="2" t="s">
        <v>298</v>
      </c>
      <c r="X3810" s="2">
        <v>528.42999999999995</v>
      </c>
    </row>
    <row r="3811" spans="1:24" x14ac:dyDescent="0.3">
      <c r="A3811">
        <v>21659</v>
      </c>
      <c r="B3811" t="s">
        <v>9117</v>
      </c>
      <c r="C3811" s="3">
        <v>40924</v>
      </c>
      <c r="D3811" t="s">
        <v>50</v>
      </c>
      <c r="E3811">
        <v>1</v>
      </c>
      <c r="F3811" s="3">
        <f ca="1">40924+(RANDBETWEEN(1,10))</f>
        <v>40926</v>
      </c>
      <c r="G3811" t="s">
        <v>76</v>
      </c>
      <c r="H3811" t="s">
        <v>77</v>
      </c>
      <c r="I3811" t="s">
        <v>28</v>
      </c>
      <c r="J3811">
        <v>674.41499999999996</v>
      </c>
      <c r="K3811">
        <v>0.08</v>
      </c>
      <c r="L3811">
        <v>0.57999999999999996</v>
      </c>
      <c r="M3811">
        <v>83.16</v>
      </c>
      <c r="N3811">
        <v>-835.49339999999995</v>
      </c>
      <c r="O3811" s="1" t="s">
        <v>40</v>
      </c>
      <c r="P3811" s="1" t="s">
        <v>9118</v>
      </c>
      <c r="Q3811" s="1" t="s">
        <v>9119</v>
      </c>
      <c r="R3811" s="1" t="s">
        <v>220</v>
      </c>
      <c r="S3811" s="1" t="s">
        <v>3354</v>
      </c>
      <c r="T3811" s="1" t="s">
        <v>3355</v>
      </c>
      <c r="U3811" s="2" t="s">
        <v>3990</v>
      </c>
      <c r="V3811" s="2" t="s">
        <v>83</v>
      </c>
      <c r="W3811" s="2" t="s">
        <v>84</v>
      </c>
      <c r="X3811" s="2">
        <v>703.43</v>
      </c>
    </row>
    <row r="3812" spans="1:24" x14ac:dyDescent="0.3">
      <c r="A3812">
        <v>21660</v>
      </c>
      <c r="B3812" t="s">
        <v>9120</v>
      </c>
      <c r="C3812" s="3">
        <v>41598</v>
      </c>
      <c r="D3812" t="s">
        <v>148</v>
      </c>
      <c r="E3812">
        <v>16</v>
      </c>
      <c r="F3812" s="3">
        <f ca="1">41599+(RANDBETWEEN(1,10))</f>
        <v>41602</v>
      </c>
      <c r="G3812" t="s">
        <v>156</v>
      </c>
      <c r="H3812" t="s">
        <v>27</v>
      </c>
      <c r="I3812" t="s">
        <v>86</v>
      </c>
      <c r="J3812">
        <v>900.93499999999995</v>
      </c>
      <c r="K3812">
        <v>0.1</v>
      </c>
      <c r="L3812">
        <v>0.4</v>
      </c>
      <c r="M3812">
        <v>4.8650000000000002</v>
      </c>
      <c r="N3812">
        <v>678.048</v>
      </c>
      <c r="O3812" s="1" t="s">
        <v>87</v>
      </c>
      <c r="P3812" s="1" t="s">
        <v>8669</v>
      </c>
      <c r="Q3812" s="1" t="s">
        <v>8670</v>
      </c>
      <c r="R3812" s="1" t="s">
        <v>646</v>
      </c>
      <c r="S3812" s="1" t="s">
        <v>6137</v>
      </c>
      <c r="T3812" s="1" t="s">
        <v>6138</v>
      </c>
      <c r="U3812" s="2" t="s">
        <v>1095</v>
      </c>
      <c r="V3812" s="2" t="s">
        <v>47</v>
      </c>
      <c r="W3812" s="2" t="s">
        <v>48</v>
      </c>
      <c r="X3812" s="2">
        <v>55.09</v>
      </c>
    </row>
    <row r="3813" spans="1:24" x14ac:dyDescent="0.3">
      <c r="A3813">
        <v>21661</v>
      </c>
      <c r="B3813" t="s">
        <v>9120</v>
      </c>
      <c r="C3813" s="3">
        <v>41598</v>
      </c>
      <c r="D3813" t="s">
        <v>148</v>
      </c>
      <c r="E3813">
        <v>35</v>
      </c>
      <c r="F3813" s="3">
        <f ca="1">41599+(RANDBETWEEN(1,10))</f>
        <v>41608</v>
      </c>
      <c r="G3813" t="s">
        <v>26</v>
      </c>
      <c r="H3813" t="s">
        <v>27</v>
      </c>
      <c r="I3813" t="s">
        <v>86</v>
      </c>
      <c r="J3813">
        <v>5680.6750000000002</v>
      </c>
      <c r="K3813">
        <v>0.08</v>
      </c>
      <c r="L3813">
        <v>0.44</v>
      </c>
      <c r="M3813">
        <v>23.695</v>
      </c>
      <c r="N3813">
        <v>349.36649999999997</v>
      </c>
      <c r="O3813" s="1" t="s">
        <v>87</v>
      </c>
      <c r="P3813" s="1" t="s">
        <v>8669</v>
      </c>
      <c r="Q3813" s="1" t="s">
        <v>8670</v>
      </c>
      <c r="R3813" s="1" t="s">
        <v>646</v>
      </c>
      <c r="S3813" s="1" t="s">
        <v>6137</v>
      </c>
      <c r="T3813" s="1" t="s">
        <v>6138</v>
      </c>
      <c r="U3813" s="2" t="s">
        <v>4573</v>
      </c>
      <c r="V3813" s="2" t="s">
        <v>83</v>
      </c>
      <c r="W3813" s="2" t="s">
        <v>178</v>
      </c>
      <c r="X3813" s="2">
        <v>164.29</v>
      </c>
    </row>
    <row r="3814" spans="1:24" x14ac:dyDescent="0.3">
      <c r="A3814">
        <v>21662</v>
      </c>
      <c r="B3814" t="s">
        <v>9121</v>
      </c>
      <c r="C3814" s="3">
        <v>40896</v>
      </c>
      <c r="D3814" t="s">
        <v>62</v>
      </c>
      <c r="E3814">
        <v>18</v>
      </c>
      <c r="F3814" s="3">
        <f ca="1">40899+(RANDBETWEEN(1,10))</f>
        <v>40901</v>
      </c>
      <c r="G3814" t="s">
        <v>26</v>
      </c>
      <c r="H3814" t="s">
        <v>51</v>
      </c>
      <c r="I3814" t="s">
        <v>52</v>
      </c>
      <c r="J3814">
        <v>2459.38</v>
      </c>
      <c r="K3814">
        <v>0.04</v>
      </c>
      <c r="L3814">
        <v>0.54</v>
      </c>
      <c r="M3814">
        <v>6.9649999999999999</v>
      </c>
      <c r="N3814">
        <v>1696.9721999999999</v>
      </c>
      <c r="O3814" s="1" t="s">
        <v>87</v>
      </c>
      <c r="P3814" s="1" t="s">
        <v>9122</v>
      </c>
      <c r="Q3814" s="1" t="s">
        <v>9123</v>
      </c>
      <c r="R3814" s="1" t="s">
        <v>646</v>
      </c>
      <c r="S3814" s="1" t="s">
        <v>9124</v>
      </c>
      <c r="T3814" s="1" t="s">
        <v>9125</v>
      </c>
      <c r="U3814" s="2" t="s">
        <v>685</v>
      </c>
      <c r="V3814" s="2" t="s">
        <v>36</v>
      </c>
      <c r="W3814" s="2" t="s">
        <v>60</v>
      </c>
      <c r="X3814" s="2">
        <v>138.18</v>
      </c>
    </row>
    <row r="3815" spans="1:24" x14ac:dyDescent="0.3">
      <c r="A3815">
        <v>21663</v>
      </c>
      <c r="B3815" t="s">
        <v>9121</v>
      </c>
      <c r="C3815" s="3">
        <v>40896</v>
      </c>
      <c r="D3815" t="s">
        <v>62</v>
      </c>
      <c r="E3815">
        <v>18</v>
      </c>
      <c r="F3815" s="3">
        <f ca="1">40897+(RANDBETWEEN(1,10))</f>
        <v>40900</v>
      </c>
      <c r="G3815" t="s">
        <v>26</v>
      </c>
      <c r="H3815" t="s">
        <v>96</v>
      </c>
      <c r="I3815" t="s">
        <v>52</v>
      </c>
      <c r="J3815">
        <v>235.34</v>
      </c>
      <c r="K3815">
        <v>0.04</v>
      </c>
      <c r="L3815">
        <v>0.44</v>
      </c>
      <c r="M3815">
        <v>5.6349999999999998</v>
      </c>
      <c r="N3815">
        <v>63</v>
      </c>
      <c r="O3815" s="1" t="s">
        <v>87</v>
      </c>
      <c r="P3815" s="1" t="s">
        <v>9122</v>
      </c>
      <c r="Q3815" s="1" t="s">
        <v>9123</v>
      </c>
      <c r="R3815" s="1" t="s">
        <v>646</v>
      </c>
      <c r="S3815" s="1" t="s">
        <v>9124</v>
      </c>
      <c r="T3815" s="1" t="s">
        <v>9125</v>
      </c>
      <c r="U3815" s="2" t="s">
        <v>6529</v>
      </c>
      <c r="V3815" s="2" t="s">
        <v>83</v>
      </c>
      <c r="W3815" s="2" t="s">
        <v>178</v>
      </c>
      <c r="X3815" s="2">
        <v>12.95</v>
      </c>
    </row>
    <row r="3816" spans="1:24" x14ac:dyDescent="0.3">
      <c r="A3816">
        <v>21664</v>
      </c>
      <c r="B3816" t="s">
        <v>9126</v>
      </c>
      <c r="C3816" s="3">
        <v>41471</v>
      </c>
      <c r="D3816" t="s">
        <v>25</v>
      </c>
      <c r="E3816">
        <v>14</v>
      </c>
      <c r="F3816" s="3">
        <f ca="1">41475+(RANDBETWEEN(1,10))</f>
        <v>41480</v>
      </c>
      <c r="G3816" t="s">
        <v>26</v>
      </c>
      <c r="H3816" t="s">
        <v>96</v>
      </c>
      <c r="I3816" t="s">
        <v>28</v>
      </c>
      <c r="J3816">
        <v>83.194999999999993</v>
      </c>
      <c r="K3816">
        <v>0.08</v>
      </c>
      <c r="L3816">
        <v>0.4</v>
      </c>
      <c r="M3816">
        <v>3.5</v>
      </c>
      <c r="N3816">
        <v>-17.149999999999999</v>
      </c>
      <c r="O3816" s="1" t="s">
        <v>64</v>
      </c>
      <c r="P3816" s="1" t="s">
        <v>9127</v>
      </c>
      <c r="Q3816" s="1" t="s">
        <v>9128</v>
      </c>
      <c r="R3816" s="1" t="s">
        <v>128</v>
      </c>
      <c r="S3816" s="1" t="s">
        <v>9129</v>
      </c>
      <c r="T3816" s="1" t="s">
        <v>9130</v>
      </c>
      <c r="U3816" s="2" t="s">
        <v>2186</v>
      </c>
      <c r="V3816" s="2" t="s">
        <v>47</v>
      </c>
      <c r="W3816" s="2" t="s">
        <v>104</v>
      </c>
      <c r="X3816" s="2">
        <v>6.37</v>
      </c>
    </row>
    <row r="3817" spans="1:24" x14ac:dyDescent="0.3">
      <c r="A3817">
        <v>21665</v>
      </c>
      <c r="B3817" t="s">
        <v>9131</v>
      </c>
      <c r="C3817" s="3">
        <v>41124</v>
      </c>
      <c r="D3817" t="s">
        <v>39</v>
      </c>
      <c r="E3817">
        <v>7</v>
      </c>
      <c r="F3817" s="3">
        <f ca="1">41126+(RANDBETWEEN(1,10))</f>
        <v>41134</v>
      </c>
      <c r="G3817" t="s">
        <v>26</v>
      </c>
      <c r="H3817" t="s">
        <v>51</v>
      </c>
      <c r="I3817" t="s">
        <v>97</v>
      </c>
      <c r="J3817">
        <v>201.70500000000001</v>
      </c>
      <c r="K3817">
        <v>0.09</v>
      </c>
      <c r="L3817">
        <v>0.61</v>
      </c>
      <c r="M3817">
        <v>12.67</v>
      </c>
      <c r="N3817">
        <v>-77.550200000000004</v>
      </c>
      <c r="O3817" s="1" t="s">
        <v>225</v>
      </c>
      <c r="P3817" s="1" t="s">
        <v>8453</v>
      </c>
      <c r="Q3817" s="1" t="s">
        <v>8454</v>
      </c>
      <c r="R3817" s="1" t="s">
        <v>228</v>
      </c>
      <c r="S3817" s="1" t="s">
        <v>8455</v>
      </c>
      <c r="T3817" s="1" t="s">
        <v>8456</v>
      </c>
      <c r="U3817" s="2" t="s">
        <v>1117</v>
      </c>
      <c r="V3817" s="2" t="s">
        <v>36</v>
      </c>
      <c r="W3817" s="2" t="s">
        <v>60</v>
      </c>
      <c r="X3817" s="2">
        <v>29.61</v>
      </c>
    </row>
    <row r="3818" spans="1:24" x14ac:dyDescent="0.3">
      <c r="A3818">
        <v>21666</v>
      </c>
      <c r="B3818" t="s">
        <v>9132</v>
      </c>
      <c r="C3818" s="3">
        <v>41819</v>
      </c>
      <c r="D3818" t="s">
        <v>25</v>
      </c>
      <c r="E3818">
        <v>2</v>
      </c>
      <c r="F3818" s="3">
        <f ca="1">41828+(RANDBETWEEN(1,10))</f>
        <v>41834</v>
      </c>
      <c r="G3818" t="s">
        <v>156</v>
      </c>
      <c r="H3818" t="s">
        <v>63</v>
      </c>
      <c r="I3818" t="s">
        <v>97</v>
      </c>
      <c r="J3818">
        <v>1056.93</v>
      </c>
      <c r="K3818">
        <v>0.04</v>
      </c>
      <c r="L3818">
        <v>0.56999999999999995</v>
      </c>
      <c r="M3818">
        <v>85.715000000000003</v>
      </c>
      <c r="N3818">
        <v>-11.731999999999999</v>
      </c>
      <c r="O3818" s="1" t="s">
        <v>225</v>
      </c>
      <c r="P3818" s="1" t="s">
        <v>984</v>
      </c>
      <c r="Q3818" s="1" t="s">
        <v>985</v>
      </c>
      <c r="R3818" s="1" t="s">
        <v>228</v>
      </c>
      <c r="S3818" s="1" t="s">
        <v>986</v>
      </c>
      <c r="T3818" s="1" t="s">
        <v>987</v>
      </c>
      <c r="U3818" s="2" t="s">
        <v>4440</v>
      </c>
      <c r="V3818" s="2" t="s">
        <v>83</v>
      </c>
      <c r="W3818" s="2" t="s">
        <v>84</v>
      </c>
      <c r="X3818" s="2">
        <v>492.83499999999998</v>
      </c>
    </row>
    <row r="3819" spans="1:24" x14ac:dyDescent="0.3">
      <c r="A3819">
        <v>21667</v>
      </c>
      <c r="B3819" t="s">
        <v>9133</v>
      </c>
      <c r="C3819" s="3">
        <v>41802</v>
      </c>
      <c r="D3819" t="s">
        <v>50</v>
      </c>
      <c r="E3819">
        <v>15</v>
      </c>
      <c r="F3819" s="3">
        <f ca="1">41803+(RANDBETWEEN(1,10))</f>
        <v>41813</v>
      </c>
      <c r="G3819" t="s">
        <v>26</v>
      </c>
      <c r="H3819" t="s">
        <v>96</v>
      </c>
      <c r="I3819" t="s">
        <v>28</v>
      </c>
      <c r="J3819">
        <v>483.80500000000001</v>
      </c>
      <c r="K3819">
        <v>0.06</v>
      </c>
      <c r="L3819">
        <v>0.4</v>
      </c>
      <c r="M3819">
        <v>7.5250000000000004</v>
      </c>
      <c r="N3819">
        <v>333.82544999999999</v>
      </c>
      <c r="O3819" s="1" t="s">
        <v>64</v>
      </c>
      <c r="P3819" s="1" t="s">
        <v>2124</v>
      </c>
      <c r="Q3819" s="1" t="s">
        <v>2125</v>
      </c>
      <c r="R3819" s="1" t="s">
        <v>67</v>
      </c>
      <c r="S3819" s="1" t="s">
        <v>2126</v>
      </c>
      <c r="T3819" s="1" t="s">
        <v>2127</v>
      </c>
      <c r="U3819" s="2" t="s">
        <v>4359</v>
      </c>
      <c r="V3819" s="2" t="s">
        <v>47</v>
      </c>
      <c r="W3819" s="2" t="s">
        <v>74</v>
      </c>
      <c r="X3819" s="2">
        <v>31.885000000000002</v>
      </c>
    </row>
    <row r="3820" spans="1:24" x14ac:dyDescent="0.3">
      <c r="A3820">
        <v>21668</v>
      </c>
      <c r="B3820" t="s">
        <v>9134</v>
      </c>
      <c r="C3820" s="3">
        <v>41164</v>
      </c>
      <c r="D3820" t="s">
        <v>25</v>
      </c>
      <c r="E3820">
        <v>9</v>
      </c>
      <c r="F3820" s="3">
        <f ca="1">41168+(RANDBETWEEN(1,10))</f>
        <v>41176</v>
      </c>
      <c r="G3820" t="s">
        <v>26</v>
      </c>
      <c r="H3820" t="s">
        <v>281</v>
      </c>
      <c r="I3820" t="s">
        <v>28</v>
      </c>
      <c r="J3820">
        <v>33704.684999999998</v>
      </c>
      <c r="K3820">
        <v>0</v>
      </c>
      <c r="L3820">
        <v>0.36</v>
      </c>
      <c r="M3820">
        <v>48.965000000000003</v>
      </c>
      <c r="N3820">
        <v>23256.232650000002</v>
      </c>
      <c r="O3820" s="1" t="s">
        <v>87</v>
      </c>
      <c r="P3820" s="1" t="s">
        <v>9135</v>
      </c>
      <c r="Q3820" s="1" t="s">
        <v>9136</v>
      </c>
      <c r="R3820" s="1" t="s">
        <v>398</v>
      </c>
      <c r="S3820" s="1" t="s">
        <v>9137</v>
      </c>
      <c r="T3820" s="1" t="s">
        <v>9138</v>
      </c>
      <c r="U3820" s="2" t="s">
        <v>4901</v>
      </c>
      <c r="V3820" s="2" t="s">
        <v>36</v>
      </c>
      <c r="W3820" s="2" t="s">
        <v>142</v>
      </c>
      <c r="X3820" s="2">
        <v>3499.9650000000001</v>
      </c>
    </row>
    <row r="3821" spans="1:24" x14ac:dyDescent="0.3">
      <c r="A3821">
        <v>21669</v>
      </c>
      <c r="B3821" t="s">
        <v>9134</v>
      </c>
      <c r="C3821" s="3">
        <v>41164</v>
      </c>
      <c r="D3821" t="s">
        <v>25</v>
      </c>
      <c r="E3821">
        <v>10</v>
      </c>
      <c r="F3821" s="3">
        <f ca="1">41171+(RANDBETWEEN(1,10))</f>
        <v>41179</v>
      </c>
      <c r="G3821" t="s">
        <v>156</v>
      </c>
      <c r="H3821" t="s">
        <v>281</v>
      </c>
      <c r="I3821" t="s">
        <v>28</v>
      </c>
      <c r="J3821">
        <v>6142.29</v>
      </c>
      <c r="K3821">
        <v>0</v>
      </c>
      <c r="L3821">
        <v>0.75</v>
      </c>
      <c r="M3821">
        <v>48.965000000000003</v>
      </c>
      <c r="N3821">
        <v>3642.17</v>
      </c>
      <c r="O3821" s="1" t="s">
        <v>64</v>
      </c>
      <c r="P3821" s="1" t="s">
        <v>9139</v>
      </c>
      <c r="Q3821" s="1" t="s">
        <v>9140</v>
      </c>
      <c r="R3821" s="1" t="s">
        <v>128</v>
      </c>
      <c r="S3821" s="1" t="s">
        <v>928</v>
      </c>
      <c r="T3821" s="1" t="s">
        <v>929</v>
      </c>
      <c r="U3821" s="2" t="s">
        <v>9141</v>
      </c>
      <c r="V3821" s="2" t="s">
        <v>83</v>
      </c>
      <c r="W3821" s="2" t="s">
        <v>178</v>
      </c>
      <c r="X3821" s="2">
        <v>598.42999999999995</v>
      </c>
    </row>
    <row r="3822" spans="1:24" x14ac:dyDescent="0.3">
      <c r="A3822">
        <v>21670</v>
      </c>
      <c r="B3822" t="s">
        <v>9142</v>
      </c>
      <c r="C3822" s="3">
        <v>41452</v>
      </c>
      <c r="D3822" t="s">
        <v>148</v>
      </c>
      <c r="E3822">
        <v>7</v>
      </c>
      <c r="F3822" s="3">
        <f ca="1">41453+(RANDBETWEEN(1,10))</f>
        <v>41457</v>
      </c>
      <c r="G3822" t="s">
        <v>26</v>
      </c>
      <c r="H3822" t="s">
        <v>27</v>
      </c>
      <c r="I3822" t="s">
        <v>28</v>
      </c>
      <c r="J3822">
        <v>1265.075</v>
      </c>
      <c r="K3822">
        <v>0.02</v>
      </c>
      <c r="L3822">
        <v>0.45</v>
      </c>
      <c r="M3822">
        <v>69.965000000000003</v>
      </c>
      <c r="N3822">
        <v>-124.32</v>
      </c>
      <c r="O3822" s="1" t="s">
        <v>53</v>
      </c>
      <c r="P3822" s="1" t="s">
        <v>1932</v>
      </c>
      <c r="Q3822" s="1" t="s">
        <v>1933</v>
      </c>
      <c r="R3822" s="1" t="s">
        <v>56</v>
      </c>
      <c r="S3822" s="1" t="s">
        <v>1934</v>
      </c>
      <c r="T3822" s="1" t="s">
        <v>1935</v>
      </c>
      <c r="U3822" s="2" t="s">
        <v>72</v>
      </c>
      <c r="V3822" s="2" t="s">
        <v>36</v>
      </c>
      <c r="W3822" s="2" t="s">
        <v>60</v>
      </c>
      <c r="X3822" s="2">
        <v>174.965</v>
      </c>
    </row>
    <row r="3823" spans="1:24" x14ac:dyDescent="0.3">
      <c r="A3823">
        <v>21671</v>
      </c>
      <c r="B3823" t="s">
        <v>9143</v>
      </c>
      <c r="C3823" s="3">
        <v>41850</v>
      </c>
      <c r="D3823" t="s">
        <v>50</v>
      </c>
      <c r="E3823">
        <v>2</v>
      </c>
      <c r="F3823" s="3">
        <f ca="1">41852+(RANDBETWEEN(1,10))</f>
        <v>41859</v>
      </c>
      <c r="G3823" t="s">
        <v>26</v>
      </c>
      <c r="H3823" t="s">
        <v>51</v>
      </c>
      <c r="I3823" t="s">
        <v>97</v>
      </c>
      <c r="J3823">
        <v>211.75</v>
      </c>
      <c r="K3823">
        <v>0.04</v>
      </c>
      <c r="L3823">
        <v>0.36</v>
      </c>
      <c r="M3823">
        <v>4.375</v>
      </c>
      <c r="N3823">
        <v>-106.319136</v>
      </c>
      <c r="O3823" s="1" t="s">
        <v>87</v>
      </c>
      <c r="P3823" s="1" t="s">
        <v>9096</v>
      </c>
      <c r="Q3823" s="1" t="s">
        <v>9097</v>
      </c>
      <c r="R3823" s="1" t="s">
        <v>90</v>
      </c>
      <c r="S3823" s="1" t="s">
        <v>9098</v>
      </c>
      <c r="T3823" s="1" t="s">
        <v>9099</v>
      </c>
      <c r="U3823" s="2" t="s">
        <v>6006</v>
      </c>
      <c r="V3823" s="2" t="s">
        <v>36</v>
      </c>
      <c r="W3823" s="2" t="s">
        <v>37</v>
      </c>
      <c r="X3823" s="2">
        <v>125.965</v>
      </c>
    </row>
    <row r="3824" spans="1:24" x14ac:dyDescent="0.3">
      <c r="A3824">
        <v>21672</v>
      </c>
      <c r="B3824" t="s">
        <v>9144</v>
      </c>
      <c r="C3824" s="3">
        <v>41352</v>
      </c>
      <c r="D3824" t="s">
        <v>148</v>
      </c>
      <c r="E3824">
        <v>12</v>
      </c>
      <c r="F3824" s="3">
        <f ca="1">41353+(RANDBETWEEN(1,10))</f>
        <v>41359</v>
      </c>
      <c r="G3824" t="s">
        <v>26</v>
      </c>
      <c r="H3824" t="s">
        <v>27</v>
      </c>
      <c r="I3824" t="s">
        <v>28</v>
      </c>
      <c r="J3824">
        <v>7278.8450000000003</v>
      </c>
      <c r="K3824">
        <v>0.02</v>
      </c>
      <c r="L3824">
        <v>0.59</v>
      </c>
      <c r="M3824">
        <v>20.965</v>
      </c>
      <c r="N3824">
        <v>5022.4030499999999</v>
      </c>
      <c r="O3824" s="1" t="s">
        <v>29</v>
      </c>
      <c r="P3824" s="1" t="s">
        <v>7154</v>
      </c>
      <c r="Q3824" s="1" t="s">
        <v>7155</v>
      </c>
      <c r="R3824" s="1" t="s">
        <v>32</v>
      </c>
      <c r="S3824" s="1" t="s">
        <v>7156</v>
      </c>
      <c r="T3824" s="1" t="s">
        <v>7157</v>
      </c>
      <c r="U3824" s="2">
        <v>3285</v>
      </c>
      <c r="V3824" s="2" t="s">
        <v>36</v>
      </c>
      <c r="W3824" s="2" t="s">
        <v>37</v>
      </c>
      <c r="X3824" s="2">
        <v>720.96500000000003</v>
      </c>
    </row>
    <row r="3825" spans="1:24" x14ac:dyDescent="0.3">
      <c r="A3825">
        <v>21673</v>
      </c>
      <c r="B3825" t="s">
        <v>9145</v>
      </c>
      <c r="C3825" s="3">
        <v>41245</v>
      </c>
      <c r="D3825" t="s">
        <v>148</v>
      </c>
      <c r="E3825">
        <v>23</v>
      </c>
      <c r="F3825" s="3">
        <f ca="1">41247+(RANDBETWEEN(1,10))</f>
        <v>41254</v>
      </c>
      <c r="G3825" t="s">
        <v>26</v>
      </c>
      <c r="H3825" t="s">
        <v>27</v>
      </c>
      <c r="I3825" t="s">
        <v>97</v>
      </c>
      <c r="J3825">
        <v>1800.33</v>
      </c>
      <c r="K3825">
        <v>7.0000000000000007E-2</v>
      </c>
      <c r="L3825">
        <v>0.38</v>
      </c>
      <c r="M3825">
        <v>52.85</v>
      </c>
      <c r="N3825">
        <v>-214.87462500000001</v>
      </c>
      <c r="O3825" s="1" t="s">
        <v>53</v>
      </c>
      <c r="P3825" s="1" t="s">
        <v>5450</v>
      </c>
      <c r="Q3825" s="1" t="s">
        <v>5451</v>
      </c>
      <c r="R3825" s="1" t="s">
        <v>100</v>
      </c>
      <c r="S3825" s="1" t="s">
        <v>5452</v>
      </c>
      <c r="T3825" s="1" t="s">
        <v>5453</v>
      </c>
      <c r="U3825" s="2" t="s">
        <v>2602</v>
      </c>
      <c r="V3825" s="2" t="s">
        <v>47</v>
      </c>
      <c r="W3825" s="2" t="s">
        <v>111</v>
      </c>
      <c r="X3825" s="2">
        <v>78.33</v>
      </c>
    </row>
    <row r="3826" spans="1:24" x14ac:dyDescent="0.3">
      <c r="A3826">
        <v>21674</v>
      </c>
      <c r="B3826" t="s">
        <v>9145</v>
      </c>
      <c r="C3826" s="3">
        <v>41245</v>
      </c>
      <c r="D3826" t="s">
        <v>148</v>
      </c>
      <c r="E3826">
        <v>6</v>
      </c>
      <c r="F3826" s="3">
        <f ca="1">41246+(RANDBETWEEN(1,10))</f>
        <v>41251</v>
      </c>
      <c r="G3826" t="s">
        <v>76</v>
      </c>
      <c r="H3826" t="s">
        <v>258</v>
      </c>
      <c r="I3826" t="s">
        <v>97</v>
      </c>
      <c r="J3826">
        <v>5659.6049999999996</v>
      </c>
      <c r="K3826">
        <v>0.01</v>
      </c>
      <c r="L3826">
        <v>0.75</v>
      </c>
      <c r="M3826">
        <v>219.59</v>
      </c>
      <c r="N3826">
        <v>-1108.52216475</v>
      </c>
      <c r="O3826" s="1" t="s">
        <v>53</v>
      </c>
      <c r="P3826" s="1" t="s">
        <v>5450</v>
      </c>
      <c r="Q3826" s="1" t="s">
        <v>5451</v>
      </c>
      <c r="R3826" s="1" t="s">
        <v>100</v>
      </c>
      <c r="S3826" s="1" t="s">
        <v>5452</v>
      </c>
      <c r="T3826" s="1" t="s">
        <v>5453</v>
      </c>
      <c r="U3826" s="2" t="s">
        <v>4957</v>
      </c>
      <c r="V3826" s="2" t="s">
        <v>83</v>
      </c>
      <c r="W3826" s="2" t="s">
        <v>263</v>
      </c>
      <c r="X3826" s="2">
        <v>917.38499999999999</v>
      </c>
    </row>
    <row r="3827" spans="1:24" x14ac:dyDescent="0.3">
      <c r="A3827">
        <v>21675</v>
      </c>
      <c r="B3827" t="s">
        <v>9146</v>
      </c>
      <c r="C3827" s="3">
        <v>41942</v>
      </c>
      <c r="D3827" t="s">
        <v>25</v>
      </c>
      <c r="E3827">
        <v>20</v>
      </c>
      <c r="F3827" s="3">
        <f ca="1">41946+(RANDBETWEEN(1,10))</f>
        <v>41954</v>
      </c>
      <c r="G3827" t="s">
        <v>76</v>
      </c>
      <c r="H3827" t="s">
        <v>258</v>
      </c>
      <c r="I3827" t="s">
        <v>28</v>
      </c>
      <c r="J3827">
        <v>13866.58</v>
      </c>
      <c r="K3827">
        <v>0.05</v>
      </c>
      <c r="L3827">
        <v>0.75</v>
      </c>
      <c r="M3827">
        <v>195.86</v>
      </c>
      <c r="N3827">
        <v>-2580.9349999999999</v>
      </c>
      <c r="O3827" s="1" t="s">
        <v>29</v>
      </c>
      <c r="P3827" s="1" t="s">
        <v>7381</v>
      </c>
      <c r="Q3827" s="1" t="s">
        <v>7382</v>
      </c>
      <c r="R3827" s="1" t="s">
        <v>675</v>
      </c>
      <c r="S3827" s="1" t="s">
        <v>7383</v>
      </c>
      <c r="T3827" s="1" t="s">
        <v>7384</v>
      </c>
      <c r="U3827" s="2" t="s">
        <v>8671</v>
      </c>
      <c r="V3827" s="2" t="s">
        <v>83</v>
      </c>
      <c r="W3827" s="2" t="s">
        <v>298</v>
      </c>
      <c r="X3827" s="2">
        <v>703.43</v>
      </c>
    </row>
    <row r="3828" spans="1:24" x14ac:dyDescent="0.3">
      <c r="A3828">
        <v>21676</v>
      </c>
      <c r="B3828" t="s">
        <v>9146</v>
      </c>
      <c r="C3828" s="3">
        <v>41942</v>
      </c>
      <c r="D3828" t="s">
        <v>25</v>
      </c>
      <c r="E3828">
        <v>8</v>
      </c>
      <c r="F3828" s="3">
        <f ca="1">41947+(RANDBETWEEN(1,10))</f>
        <v>41950</v>
      </c>
      <c r="G3828" t="s">
        <v>26</v>
      </c>
      <c r="H3828" t="s">
        <v>63</v>
      </c>
      <c r="I3828" t="s">
        <v>28</v>
      </c>
      <c r="J3828">
        <v>4792.9350000000004</v>
      </c>
      <c r="K3828">
        <v>0</v>
      </c>
      <c r="L3828">
        <v>0.79</v>
      </c>
      <c r="M3828">
        <v>241.5</v>
      </c>
      <c r="N3828">
        <v>-1770.9456765</v>
      </c>
      <c r="O3828" s="1" t="s">
        <v>64</v>
      </c>
      <c r="P3828" s="1" t="s">
        <v>9147</v>
      </c>
      <c r="Q3828" s="1" t="s">
        <v>9148</v>
      </c>
      <c r="R3828" s="1" t="s">
        <v>67</v>
      </c>
      <c r="S3828" s="1" t="s">
        <v>9080</v>
      </c>
      <c r="T3828" s="1" t="s">
        <v>9081</v>
      </c>
      <c r="U3828" s="2" t="s">
        <v>3449</v>
      </c>
      <c r="V3828" s="2" t="s">
        <v>83</v>
      </c>
      <c r="W3828" s="2" t="s">
        <v>263</v>
      </c>
      <c r="X3828" s="2">
        <v>732.79499999999996</v>
      </c>
    </row>
    <row r="3829" spans="1:24" x14ac:dyDescent="0.3">
      <c r="A3829">
        <v>21677</v>
      </c>
      <c r="B3829" t="s">
        <v>9149</v>
      </c>
      <c r="C3829" s="3">
        <v>41689</v>
      </c>
      <c r="D3829" t="s">
        <v>25</v>
      </c>
      <c r="E3829">
        <v>11</v>
      </c>
      <c r="F3829" s="3">
        <f ca="1">41691+(RANDBETWEEN(1,10))</f>
        <v>41695</v>
      </c>
      <c r="G3829" t="s">
        <v>26</v>
      </c>
      <c r="H3829" t="s">
        <v>27</v>
      </c>
      <c r="I3829" t="s">
        <v>28</v>
      </c>
      <c r="J3829">
        <v>117.46</v>
      </c>
      <c r="K3829">
        <v>0.09</v>
      </c>
      <c r="L3829">
        <v>0.37</v>
      </c>
      <c r="M3829">
        <v>3.4649999999999999</v>
      </c>
      <c r="N3829">
        <v>81.047399999999996</v>
      </c>
      <c r="O3829" s="1" t="s">
        <v>40</v>
      </c>
      <c r="P3829" s="1" t="s">
        <v>2541</v>
      </c>
      <c r="Q3829" s="1" t="s">
        <v>2542</v>
      </c>
      <c r="R3829" s="1" t="s">
        <v>43</v>
      </c>
      <c r="S3829" s="1" t="s">
        <v>2543</v>
      </c>
      <c r="T3829" s="1" t="s">
        <v>2544</v>
      </c>
      <c r="U3829" s="2" t="s">
        <v>796</v>
      </c>
      <c r="V3829" s="2" t="s">
        <v>47</v>
      </c>
      <c r="W3829" s="2" t="s">
        <v>203</v>
      </c>
      <c r="X3829" s="2">
        <v>10.78</v>
      </c>
    </row>
    <row r="3830" spans="1:24" x14ac:dyDescent="0.3">
      <c r="A3830">
        <v>21678</v>
      </c>
      <c r="B3830" t="s">
        <v>9150</v>
      </c>
      <c r="C3830" s="3">
        <v>41849</v>
      </c>
      <c r="D3830" t="s">
        <v>50</v>
      </c>
      <c r="E3830">
        <v>2</v>
      </c>
      <c r="F3830" s="3">
        <f ca="1">41851+(RANDBETWEEN(1,10))</f>
        <v>41861</v>
      </c>
      <c r="G3830" t="s">
        <v>26</v>
      </c>
      <c r="H3830" t="s">
        <v>27</v>
      </c>
      <c r="I3830" t="s">
        <v>28</v>
      </c>
      <c r="J3830">
        <v>108.36</v>
      </c>
      <c r="K3830">
        <v>0.05</v>
      </c>
      <c r="L3830">
        <v>0.38</v>
      </c>
      <c r="M3830">
        <v>4.8650000000000002</v>
      </c>
      <c r="N3830">
        <v>19.277999999999999</v>
      </c>
      <c r="O3830" s="1" t="s">
        <v>64</v>
      </c>
      <c r="P3830" s="1" t="s">
        <v>9151</v>
      </c>
      <c r="Q3830" s="1" t="s">
        <v>9152</v>
      </c>
      <c r="R3830" s="1" t="s">
        <v>67</v>
      </c>
      <c r="S3830" s="1" t="s">
        <v>4655</v>
      </c>
      <c r="T3830" s="1" t="s">
        <v>4656</v>
      </c>
      <c r="U3830" s="2" t="s">
        <v>2854</v>
      </c>
      <c r="V3830" s="2" t="s">
        <v>47</v>
      </c>
      <c r="W3830" s="2" t="s">
        <v>48</v>
      </c>
      <c r="X3830" s="2">
        <v>54.844999999999999</v>
      </c>
    </row>
    <row r="3831" spans="1:24" x14ac:dyDescent="0.3">
      <c r="A3831">
        <v>21679</v>
      </c>
      <c r="B3831" t="s">
        <v>9150</v>
      </c>
      <c r="C3831" s="3">
        <v>41849</v>
      </c>
      <c r="D3831" t="s">
        <v>50</v>
      </c>
      <c r="E3831">
        <v>7</v>
      </c>
      <c r="F3831" s="3">
        <f ca="1">41850+(RANDBETWEEN(1,10))</f>
        <v>41852</v>
      </c>
      <c r="G3831" t="s">
        <v>26</v>
      </c>
      <c r="H3831" t="s">
        <v>27</v>
      </c>
      <c r="I3831" t="s">
        <v>28</v>
      </c>
      <c r="J3831">
        <v>145.285</v>
      </c>
      <c r="K3831">
        <v>0.09</v>
      </c>
      <c r="L3831">
        <v>0.36</v>
      </c>
      <c r="M3831">
        <v>17.989999999999998</v>
      </c>
      <c r="N3831">
        <v>37.17</v>
      </c>
      <c r="O3831" s="1" t="s">
        <v>64</v>
      </c>
      <c r="P3831" s="1" t="s">
        <v>9151</v>
      </c>
      <c r="Q3831" s="1" t="s">
        <v>9152</v>
      </c>
      <c r="R3831" s="1" t="s">
        <v>67</v>
      </c>
      <c r="S3831" s="1" t="s">
        <v>4655</v>
      </c>
      <c r="T3831" s="1" t="s">
        <v>4656</v>
      </c>
      <c r="U3831" s="2" t="s">
        <v>9153</v>
      </c>
      <c r="V3831" s="2" t="s">
        <v>47</v>
      </c>
      <c r="W3831" s="2" t="s">
        <v>74</v>
      </c>
      <c r="X3831" s="2">
        <v>20.93</v>
      </c>
    </row>
    <row r="3832" spans="1:24" x14ac:dyDescent="0.3">
      <c r="A3832">
        <v>21680</v>
      </c>
      <c r="B3832" t="s">
        <v>9154</v>
      </c>
      <c r="C3832" s="3">
        <v>41785</v>
      </c>
      <c r="D3832" t="s">
        <v>39</v>
      </c>
      <c r="E3832">
        <v>13</v>
      </c>
      <c r="F3832" s="3">
        <f ca="1">41787+(RANDBETWEEN(1,10))</f>
        <v>41791</v>
      </c>
      <c r="G3832" t="s">
        <v>26</v>
      </c>
      <c r="H3832" t="s">
        <v>27</v>
      </c>
      <c r="I3832" t="s">
        <v>97</v>
      </c>
      <c r="J3832">
        <v>1769.635</v>
      </c>
      <c r="K3832">
        <v>0.1</v>
      </c>
      <c r="L3832">
        <v>0.74</v>
      </c>
      <c r="M3832">
        <v>22.75</v>
      </c>
      <c r="N3832">
        <v>-291.48</v>
      </c>
      <c r="O3832" s="1" t="s">
        <v>87</v>
      </c>
      <c r="P3832" s="1" t="s">
        <v>7785</v>
      </c>
      <c r="Q3832" s="1" t="s">
        <v>7786</v>
      </c>
      <c r="R3832" s="1" t="s">
        <v>497</v>
      </c>
      <c r="S3832" s="1" t="s">
        <v>7787</v>
      </c>
      <c r="T3832" s="1" t="s">
        <v>7788</v>
      </c>
      <c r="U3832" s="2" t="s">
        <v>4349</v>
      </c>
      <c r="V3832" s="2" t="s">
        <v>36</v>
      </c>
      <c r="W3832" s="2" t="s">
        <v>60</v>
      </c>
      <c r="X3832" s="2">
        <v>143.43</v>
      </c>
    </row>
    <row r="3833" spans="1:24" x14ac:dyDescent="0.3">
      <c r="A3833">
        <v>21681</v>
      </c>
      <c r="B3833" t="s">
        <v>9154</v>
      </c>
      <c r="C3833" s="3">
        <v>41785</v>
      </c>
      <c r="D3833" t="s">
        <v>39</v>
      </c>
      <c r="E3833">
        <v>15</v>
      </c>
      <c r="F3833" s="3">
        <f ca="1">41786+(RANDBETWEEN(1,10))</f>
        <v>41793</v>
      </c>
      <c r="G3833" t="s">
        <v>26</v>
      </c>
      <c r="H3833" t="s">
        <v>27</v>
      </c>
      <c r="I3833" t="s">
        <v>97</v>
      </c>
      <c r="J3833">
        <v>3211.46</v>
      </c>
      <c r="K3833">
        <v>0.04</v>
      </c>
      <c r="L3833">
        <v>0.57999999999999996</v>
      </c>
      <c r="M3833">
        <v>44.73</v>
      </c>
      <c r="N3833">
        <v>1506.12</v>
      </c>
      <c r="O3833" s="1" t="s">
        <v>87</v>
      </c>
      <c r="P3833" s="1" t="s">
        <v>7785</v>
      </c>
      <c r="Q3833" s="1" t="s">
        <v>7786</v>
      </c>
      <c r="R3833" s="1" t="s">
        <v>497</v>
      </c>
      <c r="S3833" s="1" t="s">
        <v>7787</v>
      </c>
      <c r="T3833" s="1" t="s">
        <v>7788</v>
      </c>
      <c r="U3833" s="2" t="s">
        <v>9155</v>
      </c>
      <c r="V3833" s="2" t="s">
        <v>47</v>
      </c>
      <c r="W3833" s="2" t="s">
        <v>119</v>
      </c>
      <c r="X3833" s="2">
        <v>217.63</v>
      </c>
    </row>
    <row r="3834" spans="1:24" x14ac:dyDescent="0.3">
      <c r="A3834">
        <v>21682</v>
      </c>
      <c r="B3834" t="s">
        <v>9156</v>
      </c>
      <c r="C3834" s="3">
        <v>40854</v>
      </c>
      <c r="D3834" t="s">
        <v>62</v>
      </c>
      <c r="E3834">
        <v>38</v>
      </c>
      <c r="F3834" s="3">
        <f ca="1">40857+(RANDBETWEEN(1,10))</f>
        <v>40866</v>
      </c>
      <c r="G3834" t="s">
        <v>26</v>
      </c>
      <c r="H3834" t="s">
        <v>27</v>
      </c>
      <c r="I3834" t="s">
        <v>86</v>
      </c>
      <c r="J3834">
        <v>453.005</v>
      </c>
      <c r="K3834">
        <v>0.08</v>
      </c>
      <c r="L3834">
        <v>0.38</v>
      </c>
      <c r="M3834">
        <v>1.75</v>
      </c>
      <c r="N3834">
        <v>-12.791449999999999</v>
      </c>
      <c r="O3834" s="1" t="s">
        <v>225</v>
      </c>
      <c r="P3834" s="1" t="s">
        <v>3506</v>
      </c>
      <c r="Q3834" s="1" t="s">
        <v>3507</v>
      </c>
      <c r="R3834" s="1" t="s">
        <v>391</v>
      </c>
      <c r="S3834" s="1" t="s">
        <v>3508</v>
      </c>
      <c r="T3834" s="1" t="s">
        <v>3509</v>
      </c>
      <c r="U3834" s="2" t="s">
        <v>312</v>
      </c>
      <c r="V3834" s="2" t="s">
        <v>47</v>
      </c>
      <c r="W3834" s="2" t="s">
        <v>203</v>
      </c>
      <c r="X3834" s="2">
        <v>12.914999999999999</v>
      </c>
    </row>
    <row r="3835" spans="1:24" x14ac:dyDescent="0.3">
      <c r="A3835">
        <v>21683</v>
      </c>
      <c r="B3835" t="s">
        <v>9157</v>
      </c>
      <c r="C3835" s="3">
        <v>41118</v>
      </c>
      <c r="D3835" t="s">
        <v>62</v>
      </c>
      <c r="E3835">
        <v>2</v>
      </c>
      <c r="F3835" s="3">
        <f ca="1">41120+(RANDBETWEEN(1,10))</f>
        <v>41124</v>
      </c>
      <c r="G3835" t="s">
        <v>76</v>
      </c>
      <c r="H3835" t="s">
        <v>258</v>
      </c>
      <c r="I3835" t="s">
        <v>28</v>
      </c>
      <c r="J3835">
        <v>958.37</v>
      </c>
      <c r="K3835">
        <v>0.03</v>
      </c>
      <c r="L3835">
        <v>0.63</v>
      </c>
      <c r="M3835">
        <v>181.79</v>
      </c>
      <c r="N3835">
        <v>-984.28330000000005</v>
      </c>
      <c r="O3835" s="1" t="s">
        <v>225</v>
      </c>
      <c r="P3835" s="1" t="s">
        <v>545</v>
      </c>
      <c r="Q3835" s="1" t="s">
        <v>546</v>
      </c>
      <c r="R3835" s="1" t="s">
        <v>228</v>
      </c>
      <c r="S3835" s="1" t="s">
        <v>547</v>
      </c>
      <c r="T3835" s="1" t="s">
        <v>548</v>
      </c>
      <c r="U3835" s="2" t="s">
        <v>360</v>
      </c>
      <c r="V3835" s="2" t="s">
        <v>83</v>
      </c>
      <c r="W3835" s="2" t="s">
        <v>263</v>
      </c>
      <c r="X3835" s="2">
        <v>435.71499999999997</v>
      </c>
    </row>
    <row r="3836" spans="1:24" x14ac:dyDescent="0.3">
      <c r="A3836">
        <v>21684</v>
      </c>
      <c r="B3836" t="s">
        <v>9158</v>
      </c>
      <c r="C3836" s="3">
        <v>41930</v>
      </c>
      <c r="D3836" t="s">
        <v>25</v>
      </c>
      <c r="E3836">
        <v>13</v>
      </c>
      <c r="F3836" s="3">
        <f ca="1">41939+(RANDBETWEEN(1,10))</f>
        <v>41944</v>
      </c>
      <c r="G3836" t="s">
        <v>26</v>
      </c>
      <c r="H3836" t="s">
        <v>27</v>
      </c>
      <c r="I3836" t="s">
        <v>97</v>
      </c>
      <c r="J3836">
        <v>503.05500000000001</v>
      </c>
      <c r="K3836">
        <v>0.02</v>
      </c>
      <c r="L3836">
        <v>0.4</v>
      </c>
      <c r="M3836">
        <v>40.564999999999998</v>
      </c>
      <c r="N3836">
        <v>-450.41500000000002</v>
      </c>
      <c r="O3836" s="1" t="s">
        <v>87</v>
      </c>
      <c r="P3836" s="1" t="s">
        <v>9159</v>
      </c>
      <c r="Q3836" s="1" t="s">
        <v>9160</v>
      </c>
      <c r="R3836" s="1" t="s">
        <v>398</v>
      </c>
      <c r="S3836" s="1" t="s">
        <v>9161</v>
      </c>
      <c r="T3836" s="1" t="s">
        <v>9162</v>
      </c>
      <c r="U3836" s="2" t="s">
        <v>4430</v>
      </c>
      <c r="V3836" s="2" t="s">
        <v>47</v>
      </c>
      <c r="W3836" s="2" t="s">
        <v>74</v>
      </c>
      <c r="X3836" s="2">
        <v>34.965000000000003</v>
      </c>
    </row>
    <row r="3837" spans="1:24" x14ac:dyDescent="0.3">
      <c r="A3837">
        <v>21685</v>
      </c>
      <c r="B3837" t="s">
        <v>9163</v>
      </c>
      <c r="C3837" s="3">
        <v>40834</v>
      </c>
      <c r="D3837" t="s">
        <v>25</v>
      </c>
      <c r="E3837">
        <v>18</v>
      </c>
      <c r="F3837" s="3">
        <f ca="1">40839+(RANDBETWEEN(1,10))</f>
        <v>40843</v>
      </c>
      <c r="G3837" t="s">
        <v>26</v>
      </c>
      <c r="H3837" t="s">
        <v>27</v>
      </c>
      <c r="I3837" t="s">
        <v>97</v>
      </c>
      <c r="J3837">
        <v>3063.8649999999998</v>
      </c>
      <c r="K3837">
        <v>0.02</v>
      </c>
      <c r="L3837">
        <v>0.37</v>
      </c>
      <c r="M3837">
        <v>20.265000000000001</v>
      </c>
      <c r="N3837">
        <v>2114.0668500000002</v>
      </c>
      <c r="O3837" s="1" t="s">
        <v>87</v>
      </c>
      <c r="P3837" s="1" t="s">
        <v>9159</v>
      </c>
      <c r="Q3837" s="1" t="s">
        <v>9160</v>
      </c>
      <c r="R3837" s="1" t="s">
        <v>398</v>
      </c>
      <c r="S3837" s="1" t="s">
        <v>9161</v>
      </c>
      <c r="T3837" s="1" t="s">
        <v>9162</v>
      </c>
      <c r="U3837" s="2" t="s">
        <v>8002</v>
      </c>
      <c r="V3837" s="2" t="s">
        <v>47</v>
      </c>
      <c r="W3837" s="2" t="s">
        <v>74</v>
      </c>
      <c r="X3837" s="2">
        <v>168.14</v>
      </c>
    </row>
    <row r="3838" spans="1:24" x14ac:dyDescent="0.3">
      <c r="A3838">
        <v>21686</v>
      </c>
      <c r="B3838" t="s">
        <v>9163</v>
      </c>
      <c r="C3838" s="3">
        <v>40834</v>
      </c>
      <c r="D3838" t="s">
        <v>25</v>
      </c>
      <c r="E3838">
        <v>1</v>
      </c>
      <c r="F3838" s="3">
        <f ca="1">40841+(RANDBETWEEN(1,10))</f>
        <v>40848</v>
      </c>
      <c r="G3838" t="s">
        <v>26</v>
      </c>
      <c r="H3838" t="s">
        <v>27</v>
      </c>
      <c r="I3838" t="s">
        <v>97</v>
      </c>
      <c r="J3838">
        <v>28.84</v>
      </c>
      <c r="K3838">
        <v>0.04</v>
      </c>
      <c r="L3838">
        <v>0.37</v>
      </c>
      <c r="M3838">
        <v>17.184999999999999</v>
      </c>
      <c r="N3838">
        <v>-40.710599999999999</v>
      </c>
      <c r="O3838" s="1" t="s">
        <v>87</v>
      </c>
      <c r="P3838" s="1" t="s">
        <v>9159</v>
      </c>
      <c r="Q3838" s="1" t="s">
        <v>9160</v>
      </c>
      <c r="R3838" s="1" t="s">
        <v>398</v>
      </c>
      <c r="S3838" s="1" t="s">
        <v>9161</v>
      </c>
      <c r="T3838" s="1" t="s">
        <v>9162</v>
      </c>
      <c r="U3838" s="2" t="s">
        <v>9164</v>
      </c>
      <c r="V3838" s="2" t="s">
        <v>47</v>
      </c>
      <c r="W3838" s="2" t="s">
        <v>74</v>
      </c>
      <c r="X3838" s="2">
        <v>23.38</v>
      </c>
    </row>
    <row r="3839" spans="1:24" x14ac:dyDescent="0.3">
      <c r="A3839">
        <v>21687</v>
      </c>
      <c r="B3839" t="s">
        <v>9165</v>
      </c>
      <c r="C3839" s="3">
        <v>41105</v>
      </c>
      <c r="D3839" t="s">
        <v>148</v>
      </c>
      <c r="E3839">
        <v>8</v>
      </c>
      <c r="F3839" s="3">
        <f ca="1">41107+(RANDBETWEEN(1,10))</f>
        <v>41114</v>
      </c>
      <c r="G3839" t="s">
        <v>26</v>
      </c>
      <c r="H3839" t="s">
        <v>27</v>
      </c>
      <c r="I3839" t="s">
        <v>28</v>
      </c>
      <c r="J3839">
        <v>2026.08</v>
      </c>
      <c r="K3839">
        <v>0.01</v>
      </c>
      <c r="L3839">
        <v>0.35</v>
      </c>
      <c r="M3839">
        <v>8.75</v>
      </c>
      <c r="N3839">
        <v>1397.9952000000001</v>
      </c>
      <c r="O3839" s="1" t="s">
        <v>87</v>
      </c>
      <c r="P3839" s="1" t="s">
        <v>8828</v>
      </c>
      <c r="Q3839" s="1" t="s">
        <v>8829</v>
      </c>
      <c r="R3839" s="1" t="s">
        <v>398</v>
      </c>
      <c r="S3839" s="1" t="s">
        <v>8830</v>
      </c>
      <c r="T3839" s="1" t="s">
        <v>8831</v>
      </c>
      <c r="U3839" s="2" t="s">
        <v>8893</v>
      </c>
      <c r="V3839" s="2" t="s">
        <v>36</v>
      </c>
      <c r="W3839" s="2" t="s">
        <v>37</v>
      </c>
      <c r="X3839" s="2">
        <v>300.96499999999997</v>
      </c>
    </row>
    <row r="3840" spans="1:24" x14ac:dyDescent="0.3">
      <c r="A3840">
        <v>21688</v>
      </c>
      <c r="B3840" t="s">
        <v>9166</v>
      </c>
      <c r="C3840" s="3">
        <v>41494</v>
      </c>
      <c r="D3840" t="s">
        <v>50</v>
      </c>
      <c r="E3840">
        <v>6</v>
      </c>
      <c r="F3840" s="3">
        <f ca="1">41496+(RANDBETWEEN(1,10))</f>
        <v>41505</v>
      </c>
      <c r="G3840" t="s">
        <v>26</v>
      </c>
      <c r="H3840" t="s">
        <v>27</v>
      </c>
      <c r="I3840" t="s">
        <v>97</v>
      </c>
      <c r="J3840">
        <v>472.92</v>
      </c>
      <c r="K3840">
        <v>0.08</v>
      </c>
      <c r="L3840">
        <v>0.39</v>
      </c>
      <c r="M3840">
        <v>19.145</v>
      </c>
      <c r="N3840">
        <v>269.46359999999999</v>
      </c>
      <c r="O3840" s="1" t="s">
        <v>87</v>
      </c>
      <c r="P3840" s="1" t="s">
        <v>9167</v>
      </c>
      <c r="Q3840" s="1" t="s">
        <v>9168</v>
      </c>
      <c r="R3840" s="1" t="s">
        <v>398</v>
      </c>
      <c r="S3840" s="1" t="s">
        <v>9169</v>
      </c>
      <c r="T3840" s="1" t="s">
        <v>9170</v>
      </c>
      <c r="U3840" s="2" t="s">
        <v>1861</v>
      </c>
      <c r="V3840" s="2" t="s">
        <v>47</v>
      </c>
      <c r="W3840" s="2" t="s">
        <v>74</v>
      </c>
      <c r="X3840" s="2">
        <v>79.94</v>
      </c>
    </row>
    <row r="3841" spans="1:24" x14ac:dyDescent="0.3">
      <c r="A3841">
        <v>21689</v>
      </c>
      <c r="B3841" t="s">
        <v>9166</v>
      </c>
      <c r="C3841" s="3">
        <v>41494</v>
      </c>
      <c r="D3841" t="s">
        <v>50</v>
      </c>
      <c r="E3841">
        <v>10</v>
      </c>
      <c r="F3841" s="3">
        <f ca="1">41496+(RANDBETWEEN(1,10))</f>
        <v>41500</v>
      </c>
      <c r="G3841" t="s">
        <v>156</v>
      </c>
      <c r="H3841" t="s">
        <v>27</v>
      </c>
      <c r="I3841" t="s">
        <v>97</v>
      </c>
      <c r="J3841">
        <v>1155.49</v>
      </c>
      <c r="K3841">
        <v>0.09</v>
      </c>
      <c r="L3841">
        <v>0.6</v>
      </c>
      <c r="M3841">
        <v>19.215</v>
      </c>
      <c r="N3841">
        <v>330.63940000000002</v>
      </c>
      <c r="O3841" s="1" t="s">
        <v>87</v>
      </c>
      <c r="P3841" s="1" t="s">
        <v>9167</v>
      </c>
      <c r="Q3841" s="1" t="s">
        <v>9168</v>
      </c>
      <c r="R3841" s="1" t="s">
        <v>398</v>
      </c>
      <c r="S3841" s="1" t="s">
        <v>9169</v>
      </c>
      <c r="T3841" s="1" t="s">
        <v>9170</v>
      </c>
      <c r="U3841" s="2" t="s">
        <v>2651</v>
      </c>
      <c r="V3841" s="2" t="s">
        <v>47</v>
      </c>
      <c r="W3841" s="2" t="s">
        <v>119</v>
      </c>
      <c r="X3841" s="2">
        <v>121.66</v>
      </c>
    </row>
    <row r="3842" spans="1:24" x14ac:dyDescent="0.3">
      <c r="A3842">
        <v>21690</v>
      </c>
      <c r="B3842" t="s">
        <v>9171</v>
      </c>
      <c r="C3842" s="3">
        <v>40736</v>
      </c>
      <c r="D3842" t="s">
        <v>25</v>
      </c>
      <c r="E3842">
        <v>1</v>
      </c>
      <c r="F3842" s="3">
        <f ca="1">40740+(RANDBETWEEN(1,10))</f>
        <v>40750</v>
      </c>
      <c r="G3842" t="s">
        <v>26</v>
      </c>
      <c r="H3842" t="s">
        <v>51</v>
      </c>
      <c r="I3842" t="s">
        <v>28</v>
      </c>
      <c r="J3842">
        <v>111.86</v>
      </c>
      <c r="K3842">
        <v>0.01</v>
      </c>
      <c r="L3842">
        <v>0.5</v>
      </c>
      <c r="M3842">
        <v>6.9649999999999999</v>
      </c>
      <c r="N3842">
        <v>-261.24</v>
      </c>
      <c r="O3842" s="1" t="s">
        <v>225</v>
      </c>
      <c r="P3842" s="1" t="s">
        <v>9172</v>
      </c>
      <c r="Q3842" s="1" t="s">
        <v>9173</v>
      </c>
      <c r="R3842" s="1" t="s">
        <v>228</v>
      </c>
      <c r="S3842" s="1" t="s">
        <v>9174</v>
      </c>
      <c r="T3842" s="1" t="s">
        <v>9175</v>
      </c>
      <c r="U3842" s="2" t="s">
        <v>124</v>
      </c>
      <c r="V3842" s="2" t="s">
        <v>36</v>
      </c>
      <c r="W3842" s="2" t="s">
        <v>60</v>
      </c>
      <c r="X3842" s="2">
        <v>104.61499999999999</v>
      </c>
    </row>
    <row r="3843" spans="1:24" x14ac:dyDescent="0.3">
      <c r="A3843">
        <v>21691</v>
      </c>
      <c r="B3843" t="s">
        <v>9176</v>
      </c>
      <c r="C3843" s="3">
        <v>41842</v>
      </c>
      <c r="D3843" t="s">
        <v>148</v>
      </c>
      <c r="E3843">
        <v>2</v>
      </c>
      <c r="F3843" s="3">
        <f ca="1">41845+(RANDBETWEEN(1,10))</f>
        <v>41848</v>
      </c>
      <c r="G3843" t="s">
        <v>26</v>
      </c>
      <c r="H3843" t="s">
        <v>27</v>
      </c>
      <c r="I3843" t="s">
        <v>86</v>
      </c>
      <c r="J3843">
        <v>285.07499999999999</v>
      </c>
      <c r="K3843">
        <v>0.08</v>
      </c>
      <c r="L3843">
        <v>0.56999999999999995</v>
      </c>
      <c r="M3843">
        <v>18.655000000000001</v>
      </c>
      <c r="N3843">
        <v>8.7584</v>
      </c>
      <c r="O3843" s="1" t="s">
        <v>64</v>
      </c>
      <c r="P3843" s="1" t="s">
        <v>9177</v>
      </c>
      <c r="Q3843" s="1" t="s">
        <v>9178</v>
      </c>
      <c r="R3843" s="1" t="s">
        <v>67</v>
      </c>
      <c r="S3843" s="1" t="s">
        <v>1022</v>
      </c>
      <c r="T3843" s="1" t="s">
        <v>9179</v>
      </c>
      <c r="U3843" s="2" t="s">
        <v>1712</v>
      </c>
      <c r="V3843" s="2" t="s">
        <v>47</v>
      </c>
      <c r="W3843" s="2" t="s">
        <v>71</v>
      </c>
      <c r="X3843" s="2">
        <v>143.43</v>
      </c>
    </row>
    <row r="3844" spans="1:24" x14ac:dyDescent="0.3">
      <c r="A3844">
        <v>21692</v>
      </c>
      <c r="B3844" t="s">
        <v>9180</v>
      </c>
      <c r="C3844" s="3">
        <v>40852</v>
      </c>
      <c r="D3844" t="s">
        <v>50</v>
      </c>
      <c r="E3844">
        <v>4</v>
      </c>
      <c r="F3844" s="3">
        <f ca="1">40853+(RANDBETWEEN(1,10))</f>
        <v>40859</v>
      </c>
      <c r="G3844" t="s">
        <v>26</v>
      </c>
      <c r="H3844" t="s">
        <v>51</v>
      </c>
      <c r="I3844" t="s">
        <v>28</v>
      </c>
      <c r="J3844">
        <v>254.625</v>
      </c>
      <c r="K3844">
        <v>0.05</v>
      </c>
      <c r="L3844">
        <v>0.81</v>
      </c>
      <c r="M3844">
        <v>11.55</v>
      </c>
      <c r="N3844">
        <v>76.591899999999995</v>
      </c>
      <c r="O3844" s="1" t="s">
        <v>53</v>
      </c>
      <c r="P3844" s="1" t="s">
        <v>1932</v>
      </c>
      <c r="Q3844" s="1" t="s">
        <v>1933</v>
      </c>
      <c r="R3844" s="1" t="s">
        <v>56</v>
      </c>
      <c r="S3844" s="1" t="s">
        <v>1934</v>
      </c>
      <c r="T3844" s="1" t="s">
        <v>1935</v>
      </c>
      <c r="U3844" s="2" t="s">
        <v>2224</v>
      </c>
      <c r="V3844" s="2" t="s">
        <v>36</v>
      </c>
      <c r="W3844" s="2" t="s">
        <v>37</v>
      </c>
      <c r="X3844" s="2">
        <v>73.465000000000003</v>
      </c>
    </row>
    <row r="3845" spans="1:24" x14ac:dyDescent="0.3">
      <c r="A3845">
        <v>21693</v>
      </c>
      <c r="B3845" t="s">
        <v>9181</v>
      </c>
      <c r="C3845" s="3">
        <v>41195</v>
      </c>
      <c r="D3845" t="s">
        <v>148</v>
      </c>
      <c r="E3845">
        <v>1</v>
      </c>
      <c r="F3845" s="3">
        <f ca="1">41197+(RANDBETWEEN(1,10))</f>
        <v>41204</v>
      </c>
      <c r="G3845" t="s">
        <v>26</v>
      </c>
      <c r="H3845" t="s">
        <v>27</v>
      </c>
      <c r="I3845" t="s">
        <v>86</v>
      </c>
      <c r="J3845">
        <v>1452.5</v>
      </c>
      <c r="K3845">
        <v>7.0000000000000007E-2</v>
      </c>
      <c r="L3845">
        <v>0.35</v>
      </c>
      <c r="M3845">
        <v>69.965000000000003</v>
      </c>
      <c r="N3845">
        <v>-753.37856999999997</v>
      </c>
      <c r="O3845" s="1" t="s">
        <v>29</v>
      </c>
      <c r="P3845" s="1" t="s">
        <v>6072</v>
      </c>
      <c r="Q3845" s="1" t="s">
        <v>6073</v>
      </c>
      <c r="R3845" s="1" t="s">
        <v>32</v>
      </c>
      <c r="S3845" s="1" t="s">
        <v>6074</v>
      </c>
      <c r="T3845" s="1" t="s">
        <v>6075</v>
      </c>
      <c r="U3845" s="2" t="s">
        <v>1352</v>
      </c>
      <c r="V3845" s="2" t="s">
        <v>47</v>
      </c>
      <c r="W3845" s="2" t="s">
        <v>111</v>
      </c>
      <c r="X3845" s="2">
        <v>1473.43</v>
      </c>
    </row>
    <row r="3846" spans="1:24" x14ac:dyDescent="0.3">
      <c r="A3846">
        <v>21694</v>
      </c>
      <c r="B3846" t="s">
        <v>9182</v>
      </c>
      <c r="C3846" s="3">
        <v>41376</v>
      </c>
      <c r="D3846" t="s">
        <v>50</v>
      </c>
      <c r="E3846">
        <v>11</v>
      </c>
      <c r="F3846" s="3">
        <f ca="1">41379+(RANDBETWEEN(1,10))</f>
        <v>41387</v>
      </c>
      <c r="G3846" t="s">
        <v>26</v>
      </c>
      <c r="H3846" t="s">
        <v>27</v>
      </c>
      <c r="I3846" t="s">
        <v>97</v>
      </c>
      <c r="J3846">
        <v>161.17500000000001</v>
      </c>
      <c r="K3846">
        <v>0.09</v>
      </c>
      <c r="L3846">
        <v>0.35</v>
      </c>
      <c r="M3846">
        <v>18.934999999999999</v>
      </c>
      <c r="N3846">
        <v>-470.03949999999998</v>
      </c>
      <c r="O3846" s="1" t="s">
        <v>64</v>
      </c>
      <c r="P3846" s="1" t="s">
        <v>4861</v>
      </c>
      <c r="Q3846" s="1" t="s">
        <v>4862</v>
      </c>
      <c r="R3846" s="1" t="s">
        <v>67</v>
      </c>
      <c r="S3846" s="1" t="s">
        <v>4863</v>
      </c>
      <c r="T3846" s="1" t="s">
        <v>4864</v>
      </c>
      <c r="U3846" s="2" t="s">
        <v>231</v>
      </c>
      <c r="V3846" s="2" t="s">
        <v>47</v>
      </c>
      <c r="W3846" s="2" t="s">
        <v>111</v>
      </c>
      <c r="X3846" s="2">
        <v>14.84</v>
      </c>
    </row>
    <row r="3847" spans="1:24" x14ac:dyDescent="0.3">
      <c r="A3847">
        <v>21695</v>
      </c>
      <c r="B3847" t="s">
        <v>9183</v>
      </c>
      <c r="C3847" s="3">
        <v>41809</v>
      </c>
      <c r="D3847" t="s">
        <v>62</v>
      </c>
      <c r="E3847">
        <v>13</v>
      </c>
      <c r="F3847" s="3">
        <f ca="1">41811+(RANDBETWEEN(1,10))</f>
        <v>41813</v>
      </c>
      <c r="G3847" t="s">
        <v>26</v>
      </c>
      <c r="H3847" t="s">
        <v>63</v>
      </c>
      <c r="I3847" t="s">
        <v>97</v>
      </c>
      <c r="J3847">
        <v>12742.834999999999</v>
      </c>
      <c r="K3847">
        <v>0.04</v>
      </c>
      <c r="L3847">
        <v>0.8</v>
      </c>
      <c r="M3847">
        <v>122.5</v>
      </c>
      <c r="N3847">
        <v>719.46</v>
      </c>
      <c r="O3847" s="1" t="s">
        <v>225</v>
      </c>
      <c r="P3847" s="1" t="s">
        <v>545</v>
      </c>
      <c r="Q3847" s="1" t="s">
        <v>546</v>
      </c>
      <c r="R3847" s="1" t="s">
        <v>228</v>
      </c>
      <c r="S3847" s="1" t="s">
        <v>547</v>
      </c>
      <c r="T3847" s="1" t="s">
        <v>548</v>
      </c>
      <c r="U3847" s="2" t="s">
        <v>2645</v>
      </c>
      <c r="V3847" s="2" t="s">
        <v>47</v>
      </c>
      <c r="W3847" s="2" t="s">
        <v>119</v>
      </c>
      <c r="X3847" s="2">
        <v>978.18</v>
      </c>
    </row>
    <row r="3848" spans="1:24" x14ac:dyDescent="0.3">
      <c r="A3848">
        <v>21696</v>
      </c>
      <c r="B3848" t="s">
        <v>9183</v>
      </c>
      <c r="C3848" s="3">
        <v>41809</v>
      </c>
      <c r="D3848" t="s">
        <v>62</v>
      </c>
      <c r="E3848">
        <v>6</v>
      </c>
      <c r="F3848" s="3">
        <f ca="1">41810+(RANDBETWEEN(1,10))</f>
        <v>41815</v>
      </c>
      <c r="G3848" t="s">
        <v>26</v>
      </c>
      <c r="H3848" t="s">
        <v>27</v>
      </c>
      <c r="I3848" t="s">
        <v>97</v>
      </c>
      <c r="J3848">
        <v>2606.2399999999998</v>
      </c>
      <c r="K3848">
        <v>0.1</v>
      </c>
      <c r="L3848">
        <v>0.55000000000000004</v>
      </c>
      <c r="M3848">
        <v>31.465</v>
      </c>
      <c r="N3848">
        <v>149.72579999999999</v>
      </c>
      <c r="O3848" s="1" t="s">
        <v>225</v>
      </c>
      <c r="P3848" s="1" t="s">
        <v>545</v>
      </c>
      <c r="Q3848" s="1" t="s">
        <v>546</v>
      </c>
      <c r="R3848" s="1" t="s">
        <v>228</v>
      </c>
      <c r="S3848" s="1" t="s">
        <v>547</v>
      </c>
      <c r="T3848" s="1" t="s">
        <v>548</v>
      </c>
      <c r="U3848" s="2" t="s">
        <v>9184</v>
      </c>
      <c r="V3848" s="2" t="s">
        <v>36</v>
      </c>
      <c r="W3848" s="2" t="s">
        <v>37</v>
      </c>
      <c r="X3848" s="2">
        <v>545.96500000000003</v>
      </c>
    </row>
    <row r="3849" spans="1:24" x14ac:dyDescent="0.3">
      <c r="A3849">
        <v>21697</v>
      </c>
      <c r="B3849" t="s">
        <v>9185</v>
      </c>
      <c r="C3849" s="3">
        <v>40907</v>
      </c>
      <c r="D3849" t="s">
        <v>25</v>
      </c>
      <c r="E3849">
        <v>17</v>
      </c>
      <c r="F3849" s="3">
        <f ca="1">40914+(RANDBETWEEN(1,10))</f>
        <v>40916</v>
      </c>
      <c r="G3849" t="s">
        <v>26</v>
      </c>
      <c r="H3849" t="s">
        <v>27</v>
      </c>
      <c r="I3849" t="s">
        <v>28</v>
      </c>
      <c r="J3849">
        <v>2284.94</v>
      </c>
      <c r="K3849">
        <v>0.06</v>
      </c>
      <c r="L3849">
        <v>0.56000000000000005</v>
      </c>
      <c r="M3849">
        <v>15.75</v>
      </c>
      <c r="N3849">
        <v>1576.6086</v>
      </c>
      <c r="O3849" s="1" t="s">
        <v>40</v>
      </c>
      <c r="P3849" s="1" t="s">
        <v>7704</v>
      </c>
      <c r="Q3849" s="1" t="s">
        <v>7705</v>
      </c>
      <c r="R3849" s="1" t="s">
        <v>43</v>
      </c>
      <c r="S3849" s="1" t="s">
        <v>7706</v>
      </c>
      <c r="T3849" s="1" t="s">
        <v>7707</v>
      </c>
      <c r="U3849" s="2" t="s">
        <v>9186</v>
      </c>
      <c r="V3849" s="2" t="s">
        <v>47</v>
      </c>
      <c r="W3849" s="2" t="s">
        <v>71</v>
      </c>
      <c r="X3849" s="2">
        <v>133.21</v>
      </c>
    </row>
    <row r="3850" spans="1:24" x14ac:dyDescent="0.3">
      <c r="A3850">
        <v>21698</v>
      </c>
      <c r="B3850" t="s">
        <v>9185</v>
      </c>
      <c r="C3850" s="3">
        <v>40907</v>
      </c>
      <c r="D3850" t="s">
        <v>25</v>
      </c>
      <c r="E3850">
        <v>22</v>
      </c>
      <c r="F3850" s="3">
        <f ca="1">40916+(RANDBETWEEN(1,10))</f>
        <v>40918</v>
      </c>
      <c r="G3850" t="s">
        <v>26</v>
      </c>
      <c r="H3850" t="s">
        <v>63</v>
      </c>
      <c r="I3850" t="s">
        <v>28</v>
      </c>
      <c r="J3850">
        <v>44628.464999999997</v>
      </c>
      <c r="K3850">
        <v>0.08</v>
      </c>
      <c r="L3850">
        <v>0.37</v>
      </c>
      <c r="M3850">
        <v>85.715000000000003</v>
      </c>
      <c r="N3850">
        <v>30793.64085</v>
      </c>
      <c r="O3850" s="1" t="s">
        <v>40</v>
      </c>
      <c r="P3850" s="1" t="s">
        <v>7704</v>
      </c>
      <c r="Q3850" s="1" t="s">
        <v>7705</v>
      </c>
      <c r="R3850" s="1" t="s">
        <v>43</v>
      </c>
      <c r="S3850" s="1" t="s">
        <v>7706</v>
      </c>
      <c r="T3850" s="1" t="s">
        <v>7707</v>
      </c>
      <c r="U3850" s="2" t="s">
        <v>1737</v>
      </c>
      <c r="V3850" s="2" t="s">
        <v>36</v>
      </c>
      <c r="W3850" s="2" t="s">
        <v>1327</v>
      </c>
      <c r="X3850" s="2">
        <v>2099.9650000000001</v>
      </c>
    </row>
    <row r="3851" spans="1:24" x14ac:dyDescent="0.3">
      <c r="A3851">
        <v>21699</v>
      </c>
      <c r="B3851" t="s">
        <v>9185</v>
      </c>
      <c r="C3851" s="3">
        <v>40907</v>
      </c>
      <c r="D3851" t="s">
        <v>25</v>
      </c>
      <c r="E3851">
        <v>5</v>
      </c>
      <c r="F3851" s="3">
        <f ca="1">40912+(RANDBETWEEN(1,10))</f>
        <v>40916</v>
      </c>
      <c r="G3851" t="s">
        <v>156</v>
      </c>
      <c r="H3851" t="s">
        <v>96</v>
      </c>
      <c r="I3851" t="s">
        <v>28</v>
      </c>
      <c r="J3851">
        <v>71.89</v>
      </c>
      <c r="K3851">
        <v>0.1</v>
      </c>
      <c r="L3851">
        <v>0.35</v>
      </c>
      <c r="M3851">
        <v>10.395</v>
      </c>
      <c r="N3851">
        <v>-18.8475</v>
      </c>
      <c r="O3851" s="1" t="s">
        <v>40</v>
      </c>
      <c r="P3851" s="1" t="s">
        <v>7704</v>
      </c>
      <c r="Q3851" s="1" t="s">
        <v>7705</v>
      </c>
      <c r="R3851" s="1" t="s">
        <v>43</v>
      </c>
      <c r="S3851" s="1" t="s">
        <v>7706</v>
      </c>
      <c r="T3851" s="1" t="s">
        <v>7707</v>
      </c>
      <c r="U3851" s="2" t="s">
        <v>3164</v>
      </c>
      <c r="V3851" s="2" t="s">
        <v>47</v>
      </c>
      <c r="W3851" s="2" t="s">
        <v>74</v>
      </c>
      <c r="X3851" s="2">
        <v>13.93</v>
      </c>
    </row>
    <row r="3852" spans="1:24" x14ac:dyDescent="0.3">
      <c r="A3852">
        <v>21700</v>
      </c>
      <c r="B3852" t="s">
        <v>9187</v>
      </c>
      <c r="C3852" s="3">
        <v>41606</v>
      </c>
      <c r="D3852" t="s">
        <v>62</v>
      </c>
      <c r="E3852">
        <v>3</v>
      </c>
      <c r="F3852" s="3">
        <f ca="1">41607+(RANDBETWEEN(1,10))</f>
        <v>41609</v>
      </c>
      <c r="G3852" t="s">
        <v>156</v>
      </c>
      <c r="H3852" t="s">
        <v>27</v>
      </c>
      <c r="I3852" t="s">
        <v>28</v>
      </c>
      <c r="J3852">
        <v>137.62</v>
      </c>
      <c r="K3852">
        <v>0.03</v>
      </c>
      <c r="L3852">
        <v>0.55000000000000004</v>
      </c>
      <c r="M3852">
        <v>21.77</v>
      </c>
      <c r="N3852">
        <v>9.0860000000000003</v>
      </c>
      <c r="O3852" s="1" t="s">
        <v>29</v>
      </c>
      <c r="P3852" s="1" t="s">
        <v>7699</v>
      </c>
      <c r="Q3852" s="1" t="s">
        <v>7700</v>
      </c>
      <c r="R3852" s="1" t="s">
        <v>32</v>
      </c>
      <c r="S3852" s="1" t="s">
        <v>7701</v>
      </c>
      <c r="T3852" s="1" t="s">
        <v>7702</v>
      </c>
      <c r="U3852" s="2" t="s">
        <v>1422</v>
      </c>
      <c r="V3852" s="2" t="s">
        <v>83</v>
      </c>
      <c r="W3852" s="2" t="s">
        <v>178</v>
      </c>
      <c r="X3852" s="2">
        <v>33.774999999999999</v>
      </c>
    </row>
    <row r="3853" spans="1:24" x14ac:dyDescent="0.3">
      <c r="A3853">
        <v>21701</v>
      </c>
      <c r="B3853" t="s">
        <v>9187</v>
      </c>
      <c r="C3853" s="3">
        <v>41606</v>
      </c>
      <c r="D3853" t="s">
        <v>62</v>
      </c>
      <c r="E3853">
        <v>41</v>
      </c>
      <c r="F3853" s="3">
        <f ca="1">41608+(RANDBETWEEN(1,10))</f>
        <v>41616</v>
      </c>
      <c r="G3853" t="s">
        <v>26</v>
      </c>
      <c r="H3853" t="s">
        <v>96</v>
      </c>
      <c r="I3853" t="s">
        <v>28</v>
      </c>
      <c r="J3853">
        <v>760.86500000000001</v>
      </c>
      <c r="K3853">
        <v>0.08</v>
      </c>
      <c r="L3853">
        <v>0.6</v>
      </c>
      <c r="M3853">
        <v>2.4500000000000002</v>
      </c>
      <c r="N3853">
        <v>377.685</v>
      </c>
      <c r="O3853" s="1" t="s">
        <v>29</v>
      </c>
      <c r="P3853" s="1" t="s">
        <v>7699</v>
      </c>
      <c r="Q3853" s="1" t="s">
        <v>7700</v>
      </c>
      <c r="R3853" s="1" t="s">
        <v>32</v>
      </c>
      <c r="S3853" s="1" t="s">
        <v>7701</v>
      </c>
      <c r="T3853" s="1" t="s">
        <v>7702</v>
      </c>
      <c r="U3853" s="2" t="s">
        <v>549</v>
      </c>
      <c r="V3853" s="2" t="s">
        <v>47</v>
      </c>
      <c r="W3853" s="2" t="s">
        <v>104</v>
      </c>
      <c r="X3853" s="2">
        <v>19.53</v>
      </c>
    </row>
    <row r="3854" spans="1:24" x14ac:dyDescent="0.3">
      <c r="A3854">
        <v>21702</v>
      </c>
      <c r="B3854" t="s">
        <v>9188</v>
      </c>
      <c r="C3854" s="3">
        <v>41532</v>
      </c>
      <c r="D3854" t="s">
        <v>148</v>
      </c>
      <c r="E3854">
        <v>19</v>
      </c>
      <c r="F3854" s="3">
        <f ca="1">41533+(RANDBETWEEN(1,10))</f>
        <v>41542</v>
      </c>
      <c r="G3854" t="s">
        <v>26</v>
      </c>
      <c r="H3854" t="s">
        <v>27</v>
      </c>
      <c r="I3854" t="s">
        <v>28</v>
      </c>
      <c r="J3854">
        <v>2153.9699999999998</v>
      </c>
      <c r="K3854">
        <v>0</v>
      </c>
      <c r="L3854">
        <v>0.64</v>
      </c>
      <c r="M3854">
        <v>22.75</v>
      </c>
      <c r="N3854">
        <v>-5129.2219999999998</v>
      </c>
      <c r="O3854" s="1" t="s">
        <v>53</v>
      </c>
      <c r="P3854" s="1" t="s">
        <v>9189</v>
      </c>
      <c r="Q3854" s="1" t="s">
        <v>9190</v>
      </c>
      <c r="R3854" s="1" t="s">
        <v>440</v>
      </c>
      <c r="S3854" s="1" t="s">
        <v>9191</v>
      </c>
      <c r="T3854" s="1" t="s">
        <v>9192</v>
      </c>
      <c r="U3854" s="2" t="s">
        <v>2033</v>
      </c>
      <c r="V3854" s="2" t="s">
        <v>36</v>
      </c>
      <c r="W3854" s="2" t="s">
        <v>60</v>
      </c>
      <c r="X3854" s="2">
        <v>108.43</v>
      </c>
    </row>
    <row r="3855" spans="1:24" x14ac:dyDescent="0.3">
      <c r="A3855">
        <v>21703</v>
      </c>
      <c r="B3855" t="s">
        <v>9188</v>
      </c>
      <c r="C3855" s="3">
        <v>41532</v>
      </c>
      <c r="D3855" t="s">
        <v>148</v>
      </c>
      <c r="E3855">
        <v>18</v>
      </c>
      <c r="F3855" s="3">
        <f ca="1">41532+(RANDBETWEEN(1,10))</f>
        <v>41533</v>
      </c>
      <c r="G3855" t="s">
        <v>26</v>
      </c>
      <c r="H3855" t="s">
        <v>27</v>
      </c>
      <c r="I3855" t="s">
        <v>28</v>
      </c>
      <c r="J3855">
        <v>289.34500000000003</v>
      </c>
      <c r="K3855">
        <v>0.04</v>
      </c>
      <c r="L3855">
        <v>0.4</v>
      </c>
      <c r="M3855">
        <v>20.09</v>
      </c>
      <c r="N3855">
        <v>64.438500000000005</v>
      </c>
      <c r="O3855" s="1" t="s">
        <v>53</v>
      </c>
      <c r="P3855" s="1" t="s">
        <v>9189</v>
      </c>
      <c r="Q3855" s="1" t="s">
        <v>9190</v>
      </c>
      <c r="R3855" s="1" t="s">
        <v>440</v>
      </c>
      <c r="S3855" s="1" t="s">
        <v>9191</v>
      </c>
      <c r="T3855" s="1" t="s">
        <v>9192</v>
      </c>
      <c r="U3855" s="2" t="s">
        <v>6105</v>
      </c>
      <c r="V3855" s="2" t="s">
        <v>47</v>
      </c>
      <c r="W3855" s="2" t="s">
        <v>74</v>
      </c>
      <c r="X3855" s="2">
        <v>14.98</v>
      </c>
    </row>
    <row r="3856" spans="1:24" x14ac:dyDescent="0.3">
      <c r="A3856">
        <v>21704</v>
      </c>
      <c r="B3856" t="s">
        <v>9188</v>
      </c>
      <c r="C3856" s="3">
        <v>41532</v>
      </c>
      <c r="D3856" t="s">
        <v>148</v>
      </c>
      <c r="E3856">
        <v>11</v>
      </c>
      <c r="F3856" s="3">
        <f ca="1">41534+(RANDBETWEEN(1,10))</f>
        <v>41544</v>
      </c>
      <c r="G3856" t="s">
        <v>26</v>
      </c>
      <c r="H3856" t="s">
        <v>27</v>
      </c>
      <c r="I3856" t="s">
        <v>28</v>
      </c>
      <c r="J3856">
        <v>1970.115</v>
      </c>
      <c r="K3856">
        <v>0.1</v>
      </c>
      <c r="L3856">
        <v>0.57999999999999996</v>
      </c>
      <c r="M3856">
        <v>17.465</v>
      </c>
      <c r="N3856">
        <v>-426.34410000000003</v>
      </c>
      <c r="O3856" s="1" t="s">
        <v>53</v>
      </c>
      <c r="P3856" s="1" t="s">
        <v>9189</v>
      </c>
      <c r="Q3856" s="1" t="s">
        <v>9190</v>
      </c>
      <c r="R3856" s="1" t="s">
        <v>440</v>
      </c>
      <c r="S3856" s="1" t="s">
        <v>9191</v>
      </c>
      <c r="T3856" s="1" t="s">
        <v>9192</v>
      </c>
      <c r="U3856" s="2" t="s">
        <v>9193</v>
      </c>
      <c r="V3856" s="2" t="s">
        <v>36</v>
      </c>
      <c r="W3856" s="2" t="s">
        <v>37</v>
      </c>
      <c r="X3856" s="2">
        <v>230.965</v>
      </c>
    </row>
    <row r="3857" spans="1:24" x14ac:dyDescent="0.3">
      <c r="A3857">
        <v>21705</v>
      </c>
      <c r="B3857" t="s">
        <v>9194</v>
      </c>
      <c r="C3857" s="3">
        <v>41619</v>
      </c>
      <c r="D3857" t="s">
        <v>39</v>
      </c>
      <c r="E3857">
        <v>13</v>
      </c>
      <c r="F3857" s="3">
        <f ca="1">41619+(RANDBETWEEN(1,10))</f>
        <v>41625</v>
      </c>
      <c r="G3857" t="s">
        <v>26</v>
      </c>
      <c r="H3857" t="s">
        <v>27</v>
      </c>
      <c r="I3857" t="s">
        <v>28</v>
      </c>
      <c r="J3857">
        <v>488.81</v>
      </c>
      <c r="K3857">
        <v>0.03</v>
      </c>
      <c r="L3857">
        <v>0.59</v>
      </c>
      <c r="M3857">
        <v>15.75</v>
      </c>
      <c r="N3857">
        <v>-46.077500000000001</v>
      </c>
      <c r="O3857" s="1" t="s">
        <v>87</v>
      </c>
      <c r="P3857" s="1" t="s">
        <v>2731</v>
      </c>
      <c r="Q3857" s="1" t="s">
        <v>2732</v>
      </c>
      <c r="R3857" s="1" t="s">
        <v>398</v>
      </c>
      <c r="S3857" s="1" t="s">
        <v>2733</v>
      </c>
      <c r="T3857" s="1" t="s">
        <v>735</v>
      </c>
      <c r="U3857" s="2" t="s">
        <v>767</v>
      </c>
      <c r="V3857" s="2" t="s">
        <v>47</v>
      </c>
      <c r="W3857" s="2" t="s">
        <v>71</v>
      </c>
      <c r="X3857" s="2">
        <v>38.115000000000002</v>
      </c>
    </row>
    <row r="3858" spans="1:24" x14ac:dyDescent="0.3">
      <c r="A3858">
        <v>21706</v>
      </c>
      <c r="B3858" t="s">
        <v>9194</v>
      </c>
      <c r="C3858" s="3">
        <v>41619</v>
      </c>
      <c r="D3858" t="s">
        <v>39</v>
      </c>
      <c r="E3858">
        <v>13</v>
      </c>
      <c r="F3858" s="3">
        <f ca="1">41620+(RANDBETWEEN(1,10))</f>
        <v>41624</v>
      </c>
      <c r="G3858" t="s">
        <v>26</v>
      </c>
      <c r="H3858" t="s">
        <v>63</v>
      </c>
      <c r="I3858" t="s">
        <v>28</v>
      </c>
      <c r="J3858">
        <v>2241.1550000000002</v>
      </c>
      <c r="K3858">
        <v>0.06</v>
      </c>
      <c r="L3858">
        <v>0.55000000000000004</v>
      </c>
      <c r="M3858">
        <v>77.84</v>
      </c>
      <c r="N3858">
        <v>395.64</v>
      </c>
      <c r="O3858" s="1" t="s">
        <v>87</v>
      </c>
      <c r="P3858" s="1" t="s">
        <v>2731</v>
      </c>
      <c r="Q3858" s="1" t="s">
        <v>2732</v>
      </c>
      <c r="R3858" s="1" t="s">
        <v>398</v>
      </c>
      <c r="S3858" s="1" t="s">
        <v>2733</v>
      </c>
      <c r="T3858" s="1" t="s">
        <v>735</v>
      </c>
      <c r="U3858" s="2" t="s">
        <v>5109</v>
      </c>
      <c r="V3858" s="2" t="s">
        <v>83</v>
      </c>
      <c r="W3858" s="2" t="s">
        <v>178</v>
      </c>
      <c r="X3858" s="2">
        <v>178.43</v>
      </c>
    </row>
    <row r="3859" spans="1:24" x14ac:dyDescent="0.3">
      <c r="A3859">
        <v>21707</v>
      </c>
      <c r="B3859" t="s">
        <v>9195</v>
      </c>
      <c r="C3859" s="3">
        <v>40705</v>
      </c>
      <c r="D3859" t="s">
        <v>62</v>
      </c>
      <c r="E3859">
        <v>11</v>
      </c>
      <c r="F3859" s="3">
        <f ca="1">40706+(RANDBETWEEN(1,10))</f>
        <v>40713</v>
      </c>
      <c r="G3859" t="s">
        <v>26</v>
      </c>
      <c r="H3859" t="s">
        <v>96</v>
      </c>
      <c r="I3859" t="s">
        <v>28</v>
      </c>
      <c r="J3859">
        <v>1207.7449999999999</v>
      </c>
      <c r="K3859">
        <v>0.01</v>
      </c>
      <c r="L3859">
        <v>0.38</v>
      </c>
      <c r="M3859">
        <v>20.965</v>
      </c>
      <c r="N3859">
        <v>-212.464</v>
      </c>
      <c r="O3859" s="1" t="s">
        <v>87</v>
      </c>
      <c r="P3859" s="1" t="s">
        <v>6919</v>
      </c>
      <c r="Q3859" s="1" t="s">
        <v>6920</v>
      </c>
      <c r="R3859" s="1" t="s">
        <v>646</v>
      </c>
      <c r="S3859" s="1" t="s">
        <v>6921</v>
      </c>
      <c r="T3859" s="1" t="s">
        <v>6922</v>
      </c>
      <c r="U3859" s="2" t="s">
        <v>5234</v>
      </c>
      <c r="V3859" s="2" t="s">
        <v>36</v>
      </c>
      <c r="W3859" s="2" t="s">
        <v>37</v>
      </c>
      <c r="X3859" s="2">
        <v>125.965</v>
      </c>
    </row>
    <row r="3860" spans="1:24" x14ac:dyDescent="0.3">
      <c r="A3860">
        <v>21708</v>
      </c>
      <c r="B3860" t="s">
        <v>9196</v>
      </c>
      <c r="C3860" s="3">
        <v>41850</v>
      </c>
      <c r="D3860" t="s">
        <v>148</v>
      </c>
      <c r="E3860">
        <v>1</v>
      </c>
      <c r="F3860" s="3">
        <f ca="1">41852+(RANDBETWEEN(1,10))</f>
        <v>41858</v>
      </c>
      <c r="G3860" t="s">
        <v>26</v>
      </c>
      <c r="H3860" t="s">
        <v>27</v>
      </c>
      <c r="I3860" t="s">
        <v>97</v>
      </c>
      <c r="J3860">
        <v>6480.67</v>
      </c>
      <c r="K3860">
        <v>0.03</v>
      </c>
      <c r="L3860">
        <v>0.36</v>
      </c>
      <c r="M3860">
        <v>69.965000000000003</v>
      </c>
      <c r="N3860">
        <v>2670.230528</v>
      </c>
      <c r="O3860" s="1" t="s">
        <v>29</v>
      </c>
      <c r="P3860" s="1" t="s">
        <v>9197</v>
      </c>
      <c r="Q3860" s="1" t="s">
        <v>9198</v>
      </c>
      <c r="R3860" s="1" t="s">
        <v>675</v>
      </c>
      <c r="S3860" s="1" t="s">
        <v>9199</v>
      </c>
      <c r="T3860" s="1" t="s">
        <v>9200</v>
      </c>
      <c r="U3860" s="2" t="s">
        <v>9201</v>
      </c>
      <c r="V3860" s="2" t="s">
        <v>47</v>
      </c>
      <c r="W3860" s="2" t="s">
        <v>111</v>
      </c>
      <c r="X3860" s="2">
        <v>6614.9650000000001</v>
      </c>
    </row>
    <row r="3861" spans="1:24" x14ac:dyDescent="0.3">
      <c r="A3861">
        <v>21709</v>
      </c>
      <c r="B3861" t="s">
        <v>9196</v>
      </c>
      <c r="C3861" s="3">
        <v>41850</v>
      </c>
      <c r="D3861" t="s">
        <v>148</v>
      </c>
      <c r="E3861">
        <v>18</v>
      </c>
      <c r="F3861" s="3">
        <f ca="1">41851+(RANDBETWEEN(1,10))</f>
        <v>41857</v>
      </c>
      <c r="G3861" t="s">
        <v>26</v>
      </c>
      <c r="H3861" t="s">
        <v>27</v>
      </c>
      <c r="I3861" t="s">
        <v>97</v>
      </c>
      <c r="J3861">
        <v>441</v>
      </c>
      <c r="K3861">
        <v>0.04</v>
      </c>
      <c r="L3861">
        <v>0.37</v>
      </c>
      <c r="M3861">
        <v>24.254999999999999</v>
      </c>
      <c r="N3861">
        <v>-425.90856000000002</v>
      </c>
      <c r="O3861" s="1" t="s">
        <v>29</v>
      </c>
      <c r="P3861" s="1" t="s">
        <v>9197</v>
      </c>
      <c r="Q3861" s="1" t="s">
        <v>9198</v>
      </c>
      <c r="R3861" s="1" t="s">
        <v>675</v>
      </c>
      <c r="S3861" s="1" t="s">
        <v>9199</v>
      </c>
      <c r="T3861" s="1" t="s">
        <v>9200</v>
      </c>
      <c r="U3861" s="2" t="s">
        <v>2817</v>
      </c>
      <c r="V3861" s="2" t="s">
        <v>47</v>
      </c>
      <c r="W3861" s="2" t="s">
        <v>74</v>
      </c>
      <c r="X3861" s="2">
        <v>23.38</v>
      </c>
    </row>
    <row r="3862" spans="1:24" x14ac:dyDescent="0.3">
      <c r="A3862">
        <v>21710</v>
      </c>
      <c r="B3862" t="s">
        <v>9202</v>
      </c>
      <c r="C3862" s="3">
        <v>40623</v>
      </c>
      <c r="D3862" t="s">
        <v>39</v>
      </c>
      <c r="E3862">
        <v>10</v>
      </c>
      <c r="F3862" s="3">
        <f ca="1">40624+(RANDBETWEEN(1,10))</f>
        <v>40632</v>
      </c>
      <c r="G3862" t="s">
        <v>26</v>
      </c>
      <c r="H3862" t="s">
        <v>27</v>
      </c>
      <c r="I3862" t="s">
        <v>97</v>
      </c>
      <c r="J3862">
        <v>15435.665000000001</v>
      </c>
      <c r="K3862">
        <v>0.03</v>
      </c>
      <c r="L3862">
        <v>0.35</v>
      </c>
      <c r="M3862">
        <v>69.965000000000003</v>
      </c>
      <c r="N3862">
        <v>10650.608850000001</v>
      </c>
      <c r="O3862" s="1" t="s">
        <v>29</v>
      </c>
      <c r="P3862" s="1" t="s">
        <v>1367</v>
      </c>
      <c r="Q3862" s="1" t="s">
        <v>1368</v>
      </c>
      <c r="R3862" s="1" t="s">
        <v>32</v>
      </c>
      <c r="S3862" s="1" t="s">
        <v>1369</v>
      </c>
      <c r="T3862" s="1" t="s">
        <v>1370</v>
      </c>
      <c r="U3862" s="2" t="s">
        <v>1352</v>
      </c>
      <c r="V3862" s="2" t="s">
        <v>47</v>
      </c>
      <c r="W3862" s="2" t="s">
        <v>111</v>
      </c>
      <c r="X3862" s="2">
        <v>1473.43</v>
      </c>
    </row>
    <row r="3863" spans="1:24" x14ac:dyDescent="0.3">
      <c r="A3863">
        <v>21711</v>
      </c>
      <c r="B3863" t="s">
        <v>9203</v>
      </c>
      <c r="C3863" s="3">
        <v>40960</v>
      </c>
      <c r="D3863" t="s">
        <v>148</v>
      </c>
      <c r="E3863">
        <v>3</v>
      </c>
      <c r="F3863" s="3">
        <f ca="1">40961+(RANDBETWEEN(1,10))</f>
        <v>40962</v>
      </c>
      <c r="G3863" t="s">
        <v>26</v>
      </c>
      <c r="H3863" t="s">
        <v>27</v>
      </c>
      <c r="I3863" t="s">
        <v>28</v>
      </c>
      <c r="J3863">
        <v>30.94</v>
      </c>
      <c r="K3863">
        <v>0.05</v>
      </c>
      <c r="L3863">
        <v>0.39</v>
      </c>
      <c r="M3863">
        <v>1.75</v>
      </c>
      <c r="N3863">
        <v>21.348600000000001</v>
      </c>
      <c r="O3863" s="1" t="s">
        <v>40</v>
      </c>
      <c r="P3863" s="1" t="s">
        <v>4254</v>
      </c>
      <c r="Q3863" s="1" t="s">
        <v>4255</v>
      </c>
      <c r="R3863" s="1" t="s">
        <v>220</v>
      </c>
      <c r="S3863" s="1" t="s">
        <v>4256</v>
      </c>
      <c r="T3863" s="1" t="s">
        <v>4257</v>
      </c>
      <c r="U3863" s="2" t="s">
        <v>9204</v>
      </c>
      <c r="V3863" s="2" t="s">
        <v>47</v>
      </c>
      <c r="W3863" s="2" t="s">
        <v>203</v>
      </c>
      <c r="X3863" s="2">
        <v>10.08</v>
      </c>
    </row>
    <row r="3864" spans="1:24" x14ac:dyDescent="0.3">
      <c r="A3864">
        <v>21712</v>
      </c>
      <c r="B3864" t="s">
        <v>9205</v>
      </c>
      <c r="C3864" s="3">
        <v>41385</v>
      </c>
      <c r="D3864" t="s">
        <v>148</v>
      </c>
      <c r="E3864">
        <v>13</v>
      </c>
      <c r="F3864" s="3">
        <f ca="1">41387+(RANDBETWEEN(1,10))</f>
        <v>41397</v>
      </c>
      <c r="G3864" t="s">
        <v>26</v>
      </c>
      <c r="H3864" t="s">
        <v>27</v>
      </c>
      <c r="I3864" t="s">
        <v>86</v>
      </c>
      <c r="J3864">
        <v>650.33500000000004</v>
      </c>
      <c r="K3864">
        <v>0.1</v>
      </c>
      <c r="L3864">
        <v>0.38</v>
      </c>
      <c r="M3864">
        <v>4.8650000000000002</v>
      </c>
      <c r="N3864">
        <v>216.636</v>
      </c>
      <c r="O3864" s="1" t="s">
        <v>40</v>
      </c>
      <c r="P3864" s="1" t="s">
        <v>7621</v>
      </c>
      <c r="Q3864" s="1" t="s">
        <v>7622</v>
      </c>
      <c r="R3864" s="1" t="s">
        <v>220</v>
      </c>
      <c r="S3864" s="1" t="s">
        <v>7623</v>
      </c>
      <c r="T3864" s="1" t="s">
        <v>7624</v>
      </c>
      <c r="U3864" s="2" t="s">
        <v>2327</v>
      </c>
      <c r="V3864" s="2" t="s">
        <v>47</v>
      </c>
      <c r="W3864" s="2" t="s">
        <v>48</v>
      </c>
      <c r="X3864" s="2">
        <v>54.494999999999997</v>
      </c>
    </row>
    <row r="3865" spans="1:24" x14ac:dyDescent="0.3">
      <c r="A3865">
        <v>21713</v>
      </c>
      <c r="B3865" t="s">
        <v>9205</v>
      </c>
      <c r="C3865" s="3">
        <v>41385</v>
      </c>
      <c r="D3865" t="s">
        <v>148</v>
      </c>
      <c r="E3865">
        <v>3</v>
      </c>
      <c r="F3865" s="3">
        <f ca="1">41386+(RANDBETWEEN(1,10))</f>
        <v>41390</v>
      </c>
      <c r="G3865" t="s">
        <v>26</v>
      </c>
      <c r="H3865" t="s">
        <v>27</v>
      </c>
      <c r="I3865" t="s">
        <v>86</v>
      </c>
      <c r="J3865">
        <v>229.32</v>
      </c>
      <c r="K3865">
        <v>0.01</v>
      </c>
      <c r="L3865">
        <v>0.49</v>
      </c>
      <c r="M3865">
        <v>36.715000000000003</v>
      </c>
      <c r="N3865">
        <v>1269.366</v>
      </c>
      <c r="O3865" s="1" t="s">
        <v>40</v>
      </c>
      <c r="P3865" s="1" t="s">
        <v>7621</v>
      </c>
      <c r="Q3865" s="1" t="s">
        <v>7622</v>
      </c>
      <c r="R3865" s="1" t="s">
        <v>220</v>
      </c>
      <c r="S3865" s="1" t="s">
        <v>7623</v>
      </c>
      <c r="T3865" s="1" t="s">
        <v>7624</v>
      </c>
      <c r="U3865" s="2" t="s">
        <v>2586</v>
      </c>
      <c r="V3865" s="2" t="s">
        <v>83</v>
      </c>
      <c r="W3865" s="2" t="s">
        <v>178</v>
      </c>
      <c r="X3865" s="2">
        <v>69.930000000000007</v>
      </c>
    </row>
    <row r="3866" spans="1:24" x14ac:dyDescent="0.3">
      <c r="A3866">
        <v>21714</v>
      </c>
      <c r="B3866" t="s">
        <v>9206</v>
      </c>
      <c r="C3866" s="3">
        <v>41302</v>
      </c>
      <c r="D3866" t="s">
        <v>25</v>
      </c>
      <c r="E3866">
        <v>5</v>
      </c>
      <c r="F3866" s="3">
        <f ca="1">41306+(RANDBETWEEN(1,10))</f>
        <v>41316</v>
      </c>
      <c r="G3866" t="s">
        <v>26</v>
      </c>
      <c r="H3866" t="s">
        <v>27</v>
      </c>
      <c r="I3866" t="s">
        <v>52</v>
      </c>
      <c r="J3866">
        <v>207.655</v>
      </c>
      <c r="K3866">
        <v>0.05</v>
      </c>
      <c r="L3866">
        <v>0.36</v>
      </c>
      <c r="M3866">
        <v>39.375</v>
      </c>
      <c r="N3866">
        <v>-354.18740000000003</v>
      </c>
      <c r="O3866" s="1" t="s">
        <v>87</v>
      </c>
      <c r="P3866" s="1" t="s">
        <v>6952</v>
      </c>
      <c r="Q3866" s="1" t="s">
        <v>6953</v>
      </c>
      <c r="R3866" s="1" t="s">
        <v>497</v>
      </c>
      <c r="S3866" s="1" t="s">
        <v>5554</v>
      </c>
      <c r="T3866" s="1" t="s">
        <v>5555</v>
      </c>
      <c r="U3866" s="2" t="s">
        <v>1911</v>
      </c>
      <c r="V3866" s="2" t="s">
        <v>47</v>
      </c>
      <c r="W3866" s="2" t="s">
        <v>74</v>
      </c>
      <c r="X3866" s="2">
        <v>39.69</v>
      </c>
    </row>
    <row r="3867" spans="1:24" x14ac:dyDescent="0.3">
      <c r="A3867">
        <v>21715</v>
      </c>
      <c r="B3867" t="s">
        <v>9206</v>
      </c>
      <c r="C3867" s="3">
        <v>41302</v>
      </c>
      <c r="D3867" t="s">
        <v>25</v>
      </c>
      <c r="E3867">
        <v>11</v>
      </c>
      <c r="F3867" s="3">
        <f ca="1">41306+(RANDBETWEEN(1,10))</f>
        <v>41309</v>
      </c>
      <c r="G3867" t="s">
        <v>76</v>
      </c>
      <c r="H3867" t="s">
        <v>77</v>
      </c>
      <c r="I3867" t="s">
        <v>52</v>
      </c>
      <c r="J3867">
        <v>11385.815000000001</v>
      </c>
      <c r="K3867">
        <v>0.08</v>
      </c>
      <c r="L3867">
        <v>0.56999999999999995</v>
      </c>
      <c r="M3867">
        <v>51.45</v>
      </c>
      <c r="N3867">
        <v>-258.23489999999998</v>
      </c>
      <c r="O3867" s="1" t="s">
        <v>53</v>
      </c>
      <c r="P3867" s="1" t="s">
        <v>9207</v>
      </c>
      <c r="Q3867" s="1" t="s">
        <v>9208</v>
      </c>
      <c r="R3867" s="1" t="s">
        <v>100</v>
      </c>
      <c r="S3867" s="1" t="s">
        <v>9209</v>
      </c>
      <c r="T3867" s="1" t="s">
        <v>9210</v>
      </c>
      <c r="U3867" s="2" t="s">
        <v>7593</v>
      </c>
      <c r="V3867" s="2" t="s">
        <v>36</v>
      </c>
      <c r="W3867" s="2" t="s">
        <v>142</v>
      </c>
      <c r="X3867" s="2">
        <v>1041.74</v>
      </c>
    </row>
    <row r="3868" spans="1:24" x14ac:dyDescent="0.3">
      <c r="A3868">
        <v>21716</v>
      </c>
      <c r="B3868" t="s">
        <v>9211</v>
      </c>
      <c r="C3868" s="3">
        <v>41445</v>
      </c>
      <c r="D3868" t="s">
        <v>148</v>
      </c>
      <c r="E3868">
        <v>11</v>
      </c>
      <c r="F3868" s="3">
        <f ca="1">41447+(RANDBETWEEN(1,10))</f>
        <v>41457</v>
      </c>
      <c r="G3868" t="s">
        <v>26</v>
      </c>
      <c r="H3868" t="s">
        <v>27</v>
      </c>
      <c r="I3868" t="s">
        <v>28</v>
      </c>
      <c r="J3868">
        <v>6943.2650000000003</v>
      </c>
      <c r="K3868">
        <v>0</v>
      </c>
      <c r="L3868">
        <v>0.56000000000000005</v>
      </c>
      <c r="M3868">
        <v>18.41</v>
      </c>
      <c r="N3868">
        <v>4790.8528500000002</v>
      </c>
      <c r="O3868" s="1" t="s">
        <v>40</v>
      </c>
      <c r="P3868" s="1" t="s">
        <v>5465</v>
      </c>
      <c r="Q3868" s="1" t="s">
        <v>5466</v>
      </c>
      <c r="R3868" s="1" t="s">
        <v>43</v>
      </c>
      <c r="S3868" s="1" t="s">
        <v>5467</v>
      </c>
      <c r="T3868" s="1" t="s">
        <v>5468</v>
      </c>
      <c r="U3868" s="2" t="s">
        <v>1881</v>
      </c>
      <c r="V3868" s="2" t="s">
        <v>36</v>
      </c>
      <c r="W3868" s="2" t="s">
        <v>37</v>
      </c>
      <c r="X3868" s="2">
        <v>720.96500000000003</v>
      </c>
    </row>
    <row r="3869" spans="1:24" x14ac:dyDescent="0.3">
      <c r="A3869">
        <v>21717</v>
      </c>
      <c r="B3869" t="s">
        <v>9212</v>
      </c>
      <c r="C3869" s="3">
        <v>41718</v>
      </c>
      <c r="D3869" t="s">
        <v>50</v>
      </c>
      <c r="E3869">
        <v>8</v>
      </c>
      <c r="F3869" s="3">
        <f ca="1">41720+(RANDBETWEEN(1,10))</f>
        <v>41729</v>
      </c>
      <c r="G3869" t="s">
        <v>26</v>
      </c>
      <c r="H3869" t="s">
        <v>27</v>
      </c>
      <c r="I3869" t="s">
        <v>28</v>
      </c>
      <c r="J3869">
        <v>120.22499999999999</v>
      </c>
      <c r="K3869">
        <v>0.02</v>
      </c>
      <c r="L3869">
        <v>0.38</v>
      </c>
      <c r="M3869">
        <v>18.41</v>
      </c>
      <c r="N3869">
        <v>-361.24374999999998</v>
      </c>
      <c r="O3869" s="1" t="s">
        <v>87</v>
      </c>
      <c r="P3869" s="1" t="s">
        <v>732</v>
      </c>
      <c r="Q3869" s="1" t="s">
        <v>733</v>
      </c>
      <c r="R3869" s="1" t="s">
        <v>398</v>
      </c>
      <c r="S3869" s="1" t="s">
        <v>734</v>
      </c>
      <c r="T3869" s="1" t="s">
        <v>735</v>
      </c>
      <c r="U3869" s="2" t="s">
        <v>1287</v>
      </c>
      <c r="V3869" s="2" t="s">
        <v>47</v>
      </c>
      <c r="W3869" s="2" t="s">
        <v>111</v>
      </c>
      <c r="X3869" s="2">
        <v>13.93</v>
      </c>
    </row>
    <row r="3870" spans="1:24" x14ac:dyDescent="0.3">
      <c r="A3870">
        <v>21718</v>
      </c>
      <c r="B3870" t="s">
        <v>9213</v>
      </c>
      <c r="C3870" s="3">
        <v>40837</v>
      </c>
      <c r="D3870" t="s">
        <v>148</v>
      </c>
      <c r="E3870">
        <v>22</v>
      </c>
      <c r="F3870" s="3">
        <f ca="1">40838+(RANDBETWEEN(1,10))</f>
        <v>40844</v>
      </c>
      <c r="G3870" t="s">
        <v>26</v>
      </c>
      <c r="H3870" t="s">
        <v>27</v>
      </c>
      <c r="I3870" t="s">
        <v>28</v>
      </c>
      <c r="J3870">
        <v>33530</v>
      </c>
      <c r="K3870">
        <v>0.02</v>
      </c>
      <c r="L3870">
        <v>0.57999999999999996</v>
      </c>
      <c r="M3870">
        <v>69.965000000000003</v>
      </c>
      <c r="N3870">
        <v>23135.7</v>
      </c>
      <c r="O3870" s="1" t="s">
        <v>40</v>
      </c>
      <c r="P3870" s="1" t="s">
        <v>9214</v>
      </c>
      <c r="Q3870" s="1" t="s">
        <v>9215</v>
      </c>
      <c r="R3870" s="1" t="s">
        <v>43</v>
      </c>
      <c r="S3870" s="1" t="s">
        <v>6731</v>
      </c>
      <c r="T3870" s="1" t="s">
        <v>6732</v>
      </c>
      <c r="U3870" s="2" t="s">
        <v>3569</v>
      </c>
      <c r="V3870" s="2" t="s">
        <v>47</v>
      </c>
      <c r="W3870" s="2" t="s">
        <v>119</v>
      </c>
      <c r="X3870" s="2">
        <v>1467.165</v>
      </c>
    </row>
    <row r="3871" spans="1:24" x14ac:dyDescent="0.3">
      <c r="A3871">
        <v>21719</v>
      </c>
      <c r="B3871" t="s">
        <v>9216</v>
      </c>
      <c r="C3871" s="3">
        <v>40790</v>
      </c>
      <c r="D3871" t="s">
        <v>62</v>
      </c>
      <c r="E3871">
        <v>4</v>
      </c>
      <c r="F3871" s="3">
        <f ca="1">40790+(RANDBETWEEN(1,10))</f>
        <v>40795</v>
      </c>
      <c r="G3871" t="s">
        <v>26</v>
      </c>
      <c r="H3871" t="s">
        <v>27</v>
      </c>
      <c r="I3871" t="s">
        <v>28</v>
      </c>
      <c r="J3871">
        <v>88.724999999999994</v>
      </c>
      <c r="K3871">
        <v>0.08</v>
      </c>
      <c r="L3871">
        <v>0.37</v>
      </c>
      <c r="M3871">
        <v>27.23</v>
      </c>
      <c r="N3871">
        <v>-154.238</v>
      </c>
      <c r="O3871" s="1" t="s">
        <v>53</v>
      </c>
      <c r="P3871" s="1" t="s">
        <v>9217</v>
      </c>
      <c r="Q3871" s="1" t="s">
        <v>9218</v>
      </c>
      <c r="R3871" s="1" t="s">
        <v>100</v>
      </c>
      <c r="S3871" s="1" t="s">
        <v>9219</v>
      </c>
      <c r="T3871" s="1" t="s">
        <v>4918</v>
      </c>
      <c r="U3871" s="2" t="s">
        <v>599</v>
      </c>
      <c r="V3871" s="2" t="s">
        <v>47</v>
      </c>
      <c r="W3871" s="2" t="s">
        <v>111</v>
      </c>
      <c r="X3871" s="2">
        <v>18.899999999999999</v>
      </c>
    </row>
    <row r="3872" spans="1:24" x14ac:dyDescent="0.3">
      <c r="A3872">
        <v>21720</v>
      </c>
      <c r="B3872" t="s">
        <v>9216</v>
      </c>
      <c r="C3872" s="3">
        <v>40790</v>
      </c>
      <c r="D3872" t="s">
        <v>62</v>
      </c>
      <c r="E3872">
        <v>5</v>
      </c>
      <c r="F3872" s="3">
        <f ca="1">40793+(RANDBETWEEN(1,10))</f>
        <v>40802</v>
      </c>
      <c r="G3872" t="s">
        <v>156</v>
      </c>
      <c r="H3872" t="s">
        <v>51</v>
      </c>
      <c r="I3872" t="s">
        <v>28</v>
      </c>
      <c r="J3872">
        <v>157.60499999999999</v>
      </c>
      <c r="K3872">
        <v>0.09</v>
      </c>
      <c r="L3872">
        <v>0.79</v>
      </c>
      <c r="M3872">
        <v>31.465</v>
      </c>
      <c r="N3872">
        <v>-351.78500000000003</v>
      </c>
      <c r="O3872" s="1" t="s">
        <v>53</v>
      </c>
      <c r="P3872" s="1" t="s">
        <v>9217</v>
      </c>
      <c r="Q3872" s="1" t="s">
        <v>9218</v>
      </c>
      <c r="R3872" s="1" t="s">
        <v>100</v>
      </c>
      <c r="S3872" s="1" t="s">
        <v>9219</v>
      </c>
      <c r="T3872" s="1" t="s">
        <v>4918</v>
      </c>
      <c r="U3872" s="2" t="s">
        <v>413</v>
      </c>
      <c r="V3872" s="2" t="s">
        <v>36</v>
      </c>
      <c r="W3872" s="2" t="s">
        <v>60</v>
      </c>
      <c r="X3872" s="2">
        <v>29.61</v>
      </c>
    </row>
    <row r="3873" spans="1:24" x14ac:dyDescent="0.3">
      <c r="A3873">
        <v>21721</v>
      </c>
      <c r="B3873" t="s">
        <v>9216</v>
      </c>
      <c r="C3873" s="3">
        <v>40790</v>
      </c>
      <c r="D3873" t="s">
        <v>62</v>
      </c>
      <c r="E3873">
        <v>10</v>
      </c>
      <c r="F3873" s="3">
        <f ca="1">40791+(RANDBETWEEN(1,10))</f>
        <v>40801</v>
      </c>
      <c r="G3873" t="s">
        <v>26</v>
      </c>
      <c r="H3873" t="s">
        <v>51</v>
      </c>
      <c r="I3873" t="s">
        <v>28</v>
      </c>
      <c r="J3873">
        <v>538.54499999999996</v>
      </c>
      <c r="K3873">
        <v>0.21</v>
      </c>
      <c r="L3873">
        <v>0.39</v>
      </c>
      <c r="M3873">
        <v>31.465</v>
      </c>
      <c r="N3873">
        <v>-62.125</v>
      </c>
      <c r="O3873" s="1" t="s">
        <v>53</v>
      </c>
      <c r="P3873" s="1" t="s">
        <v>9217</v>
      </c>
      <c r="Q3873" s="1" t="s">
        <v>9218</v>
      </c>
      <c r="R3873" s="1" t="s">
        <v>100</v>
      </c>
      <c r="S3873" s="1" t="s">
        <v>9219</v>
      </c>
      <c r="T3873" s="1" t="s">
        <v>4918</v>
      </c>
      <c r="U3873" s="2" t="s">
        <v>2064</v>
      </c>
      <c r="V3873" s="2" t="s">
        <v>83</v>
      </c>
      <c r="W3873" s="2" t="s">
        <v>178</v>
      </c>
      <c r="X3873" s="2">
        <v>52.43</v>
      </c>
    </row>
    <row r="3874" spans="1:24" x14ac:dyDescent="0.3">
      <c r="A3874">
        <v>21722</v>
      </c>
      <c r="B3874" t="s">
        <v>9216</v>
      </c>
      <c r="C3874" s="3">
        <v>40790</v>
      </c>
      <c r="D3874" t="s">
        <v>62</v>
      </c>
      <c r="E3874">
        <v>22</v>
      </c>
      <c r="F3874" s="3">
        <f ca="1">40791+(RANDBETWEEN(1,10))</f>
        <v>40792</v>
      </c>
      <c r="G3874" t="s">
        <v>26</v>
      </c>
      <c r="H3874" t="s">
        <v>27</v>
      </c>
      <c r="I3874" t="s">
        <v>28</v>
      </c>
      <c r="J3874">
        <v>9801.1550000000007</v>
      </c>
      <c r="K3874">
        <v>0.04</v>
      </c>
      <c r="L3874">
        <v>0.6</v>
      </c>
      <c r="M3874">
        <v>28.28</v>
      </c>
      <c r="N3874">
        <v>4812.3180000000002</v>
      </c>
      <c r="O3874" s="1" t="s">
        <v>53</v>
      </c>
      <c r="P3874" s="1" t="s">
        <v>9217</v>
      </c>
      <c r="Q3874" s="1" t="s">
        <v>9218</v>
      </c>
      <c r="R3874" s="1" t="s">
        <v>100</v>
      </c>
      <c r="S3874" s="1" t="s">
        <v>9219</v>
      </c>
      <c r="T3874" s="1" t="s">
        <v>4918</v>
      </c>
      <c r="U3874" s="2" t="s">
        <v>7517</v>
      </c>
      <c r="V3874" s="2" t="s">
        <v>36</v>
      </c>
      <c r="W3874" s="2" t="s">
        <v>37</v>
      </c>
      <c r="X3874" s="2">
        <v>545.96500000000003</v>
      </c>
    </row>
    <row r="3875" spans="1:24" x14ac:dyDescent="0.3">
      <c r="A3875">
        <v>21723</v>
      </c>
      <c r="B3875" t="s">
        <v>9220</v>
      </c>
      <c r="C3875" s="3">
        <v>40846</v>
      </c>
      <c r="D3875" t="s">
        <v>148</v>
      </c>
      <c r="E3875">
        <v>11</v>
      </c>
      <c r="F3875" s="3">
        <f ca="1">40846+(RANDBETWEEN(1,10))</f>
        <v>40855</v>
      </c>
      <c r="G3875" t="s">
        <v>26</v>
      </c>
      <c r="H3875" t="s">
        <v>96</v>
      </c>
      <c r="I3875" t="s">
        <v>97</v>
      </c>
      <c r="J3875">
        <v>59.08</v>
      </c>
      <c r="K3875">
        <v>0.1</v>
      </c>
      <c r="L3875">
        <v>0.42</v>
      </c>
      <c r="M3875">
        <v>4.5149999999999997</v>
      </c>
      <c r="N3875">
        <v>-52.4664</v>
      </c>
      <c r="O3875" s="1" t="s">
        <v>87</v>
      </c>
      <c r="P3875" s="1" t="s">
        <v>7176</v>
      </c>
      <c r="Q3875" s="1" t="s">
        <v>7177</v>
      </c>
      <c r="R3875" s="1" t="s">
        <v>646</v>
      </c>
      <c r="S3875" s="1" t="s">
        <v>7178</v>
      </c>
      <c r="T3875" s="1" t="s">
        <v>7179</v>
      </c>
      <c r="U3875" s="2" t="s">
        <v>9221</v>
      </c>
      <c r="V3875" s="2" t="s">
        <v>47</v>
      </c>
      <c r="W3875" s="2" t="s">
        <v>104</v>
      </c>
      <c r="X3875" s="2">
        <v>5.6</v>
      </c>
    </row>
    <row r="3876" spans="1:24" x14ac:dyDescent="0.3">
      <c r="A3876">
        <v>21724</v>
      </c>
      <c r="B3876" t="s">
        <v>9222</v>
      </c>
      <c r="C3876" s="3">
        <v>40734</v>
      </c>
      <c r="D3876" t="s">
        <v>39</v>
      </c>
      <c r="E3876">
        <v>11</v>
      </c>
      <c r="F3876" s="3">
        <f ca="1">40735+(RANDBETWEEN(1,10))</f>
        <v>40738</v>
      </c>
      <c r="G3876" t="s">
        <v>26</v>
      </c>
      <c r="H3876" t="s">
        <v>63</v>
      </c>
      <c r="I3876" t="s">
        <v>52</v>
      </c>
      <c r="J3876">
        <v>22244.915000000001</v>
      </c>
      <c r="K3876">
        <v>0.1</v>
      </c>
      <c r="L3876">
        <v>0.5</v>
      </c>
      <c r="M3876">
        <v>85.715000000000003</v>
      </c>
      <c r="N3876">
        <v>-1200.941</v>
      </c>
      <c r="O3876" s="1" t="s">
        <v>87</v>
      </c>
      <c r="P3876" s="1" t="s">
        <v>5501</v>
      </c>
      <c r="Q3876" s="1" t="s">
        <v>5502</v>
      </c>
      <c r="R3876" s="1" t="s">
        <v>497</v>
      </c>
      <c r="S3876" s="1" t="s">
        <v>5503</v>
      </c>
      <c r="T3876" s="1" t="s">
        <v>5504</v>
      </c>
      <c r="U3876" s="2" t="s">
        <v>5807</v>
      </c>
      <c r="V3876" s="2" t="s">
        <v>36</v>
      </c>
      <c r="W3876" s="2" t="s">
        <v>1327</v>
      </c>
      <c r="X3876" s="2">
        <v>2099.9650000000001</v>
      </c>
    </row>
    <row r="3877" spans="1:24" x14ac:dyDescent="0.3">
      <c r="A3877">
        <v>21725</v>
      </c>
      <c r="B3877" t="s">
        <v>9222</v>
      </c>
      <c r="C3877" s="3">
        <v>40734</v>
      </c>
      <c r="D3877" t="s">
        <v>39</v>
      </c>
      <c r="E3877">
        <v>10</v>
      </c>
      <c r="F3877" s="3">
        <f ca="1">40736+(RANDBETWEEN(1,10))</f>
        <v>40737</v>
      </c>
      <c r="G3877" t="s">
        <v>26</v>
      </c>
      <c r="H3877" t="s">
        <v>96</v>
      </c>
      <c r="I3877" t="s">
        <v>52</v>
      </c>
      <c r="J3877">
        <v>98.314999999999998</v>
      </c>
      <c r="K3877">
        <v>0.06</v>
      </c>
      <c r="L3877">
        <v>0.59</v>
      </c>
      <c r="M3877">
        <v>4.375</v>
      </c>
      <c r="N3877">
        <v>232.26</v>
      </c>
      <c r="O3877" s="1" t="s">
        <v>87</v>
      </c>
      <c r="P3877" s="1" t="s">
        <v>5501</v>
      </c>
      <c r="Q3877" s="1" t="s">
        <v>5502</v>
      </c>
      <c r="R3877" s="1" t="s">
        <v>497</v>
      </c>
      <c r="S3877" s="1" t="s">
        <v>5503</v>
      </c>
      <c r="T3877" s="1" t="s">
        <v>5504</v>
      </c>
      <c r="U3877" s="2" t="s">
        <v>2386</v>
      </c>
      <c r="V3877" s="2" t="s">
        <v>47</v>
      </c>
      <c r="W3877" s="2" t="s">
        <v>104</v>
      </c>
      <c r="X3877" s="2">
        <v>9.73</v>
      </c>
    </row>
    <row r="3878" spans="1:24" x14ac:dyDescent="0.3">
      <c r="A3878">
        <v>21726</v>
      </c>
      <c r="B3878" t="s">
        <v>9223</v>
      </c>
      <c r="C3878" s="3">
        <v>41240</v>
      </c>
      <c r="D3878" t="s">
        <v>39</v>
      </c>
      <c r="E3878">
        <v>8</v>
      </c>
      <c r="F3878" s="3">
        <f ca="1">41242+(RANDBETWEEN(1,10))</f>
        <v>41244</v>
      </c>
      <c r="G3878" t="s">
        <v>26</v>
      </c>
      <c r="H3878" t="s">
        <v>27</v>
      </c>
      <c r="I3878" t="s">
        <v>28</v>
      </c>
      <c r="J3878">
        <v>204.29499999999999</v>
      </c>
      <c r="K3878">
        <v>0.02</v>
      </c>
      <c r="L3878">
        <v>0.37</v>
      </c>
      <c r="M3878">
        <v>25.795000000000002</v>
      </c>
      <c r="N3878">
        <v>24.64</v>
      </c>
      <c r="O3878" s="1" t="s">
        <v>40</v>
      </c>
      <c r="P3878" s="1" t="s">
        <v>7704</v>
      </c>
      <c r="Q3878" s="1" t="s">
        <v>7705</v>
      </c>
      <c r="R3878" s="1" t="s">
        <v>43</v>
      </c>
      <c r="S3878" s="1" t="s">
        <v>7706</v>
      </c>
      <c r="T3878" s="1" t="s">
        <v>7707</v>
      </c>
      <c r="U3878" s="2" t="s">
        <v>2975</v>
      </c>
      <c r="V3878" s="2" t="s">
        <v>47</v>
      </c>
      <c r="W3878" s="2" t="s">
        <v>74</v>
      </c>
      <c r="X3878" s="2">
        <v>22.68</v>
      </c>
    </row>
    <row r="3879" spans="1:24" x14ac:dyDescent="0.3">
      <c r="A3879">
        <v>21727</v>
      </c>
      <c r="B3879" t="s">
        <v>9224</v>
      </c>
      <c r="C3879" s="3">
        <v>41214</v>
      </c>
      <c r="D3879" t="s">
        <v>62</v>
      </c>
      <c r="E3879">
        <v>31</v>
      </c>
      <c r="F3879" s="3">
        <f ca="1">41214+(RANDBETWEEN(1,10))</f>
        <v>41215</v>
      </c>
      <c r="G3879" t="s">
        <v>26</v>
      </c>
      <c r="H3879" t="s">
        <v>27</v>
      </c>
      <c r="I3879" t="s">
        <v>28</v>
      </c>
      <c r="J3879">
        <v>679.31500000000005</v>
      </c>
      <c r="K3879">
        <v>0</v>
      </c>
      <c r="L3879">
        <v>0.4</v>
      </c>
      <c r="M3879">
        <v>36.365000000000002</v>
      </c>
      <c r="N3879">
        <v>168.89599999999999</v>
      </c>
      <c r="O3879" s="1" t="s">
        <v>87</v>
      </c>
      <c r="P3879" s="1" t="s">
        <v>4509</v>
      </c>
      <c r="Q3879" s="1" t="s">
        <v>4510</v>
      </c>
      <c r="R3879" s="1" t="s">
        <v>646</v>
      </c>
      <c r="S3879" s="1" t="s">
        <v>4511</v>
      </c>
      <c r="T3879" s="1" t="s">
        <v>4512</v>
      </c>
      <c r="U3879" s="2" t="s">
        <v>3250</v>
      </c>
      <c r="V3879" s="2" t="s">
        <v>47</v>
      </c>
      <c r="W3879" s="2" t="s">
        <v>74</v>
      </c>
      <c r="X3879" s="2">
        <v>20.93</v>
      </c>
    </row>
    <row r="3880" spans="1:24" x14ac:dyDescent="0.3">
      <c r="A3880">
        <v>21728</v>
      </c>
      <c r="B3880" t="s">
        <v>9225</v>
      </c>
      <c r="C3880" s="3">
        <v>41911</v>
      </c>
      <c r="D3880" t="s">
        <v>148</v>
      </c>
      <c r="E3880">
        <v>15</v>
      </c>
      <c r="F3880" s="3">
        <f ca="1">41913+(RANDBETWEEN(1,10))</f>
        <v>41923</v>
      </c>
      <c r="G3880" t="s">
        <v>26</v>
      </c>
      <c r="H3880" t="s">
        <v>27</v>
      </c>
      <c r="I3880" t="s">
        <v>97</v>
      </c>
      <c r="J3880">
        <v>2076.83</v>
      </c>
      <c r="K3880">
        <v>0.06</v>
      </c>
      <c r="L3880">
        <v>0.37</v>
      </c>
      <c r="M3880">
        <v>26.145</v>
      </c>
      <c r="N3880">
        <v>-568.49800000000005</v>
      </c>
      <c r="O3880" s="1" t="s">
        <v>29</v>
      </c>
      <c r="P3880" s="1" t="s">
        <v>8924</v>
      </c>
      <c r="Q3880" s="1" t="s">
        <v>8925</v>
      </c>
      <c r="R3880" s="1" t="s">
        <v>32</v>
      </c>
      <c r="S3880" s="1" t="s">
        <v>8926</v>
      </c>
      <c r="T3880" s="1" t="s">
        <v>8927</v>
      </c>
      <c r="U3880" s="2" t="s">
        <v>1126</v>
      </c>
      <c r="V3880" s="2" t="s">
        <v>47</v>
      </c>
      <c r="W3880" s="2" t="s">
        <v>111</v>
      </c>
      <c r="X3880" s="2">
        <v>143.43</v>
      </c>
    </row>
    <row r="3881" spans="1:24" x14ac:dyDescent="0.3">
      <c r="A3881">
        <v>21729</v>
      </c>
      <c r="B3881" t="s">
        <v>9226</v>
      </c>
      <c r="C3881" s="3">
        <v>41630</v>
      </c>
      <c r="D3881" t="s">
        <v>39</v>
      </c>
      <c r="E3881">
        <v>9</v>
      </c>
      <c r="F3881" s="3">
        <f ca="1">41630+(RANDBETWEEN(1,10))</f>
        <v>41634</v>
      </c>
      <c r="G3881" t="s">
        <v>26</v>
      </c>
      <c r="H3881" t="s">
        <v>27</v>
      </c>
      <c r="I3881" t="s">
        <v>86</v>
      </c>
      <c r="J3881">
        <v>134.785</v>
      </c>
      <c r="K3881">
        <v>0.05</v>
      </c>
      <c r="L3881">
        <v>0.38</v>
      </c>
      <c r="M3881">
        <v>18.41</v>
      </c>
      <c r="N3881">
        <v>-101.30925000000001</v>
      </c>
      <c r="O3881" s="1" t="s">
        <v>87</v>
      </c>
      <c r="P3881" s="1" t="s">
        <v>9227</v>
      </c>
      <c r="Q3881" s="1" t="s">
        <v>9228</v>
      </c>
      <c r="R3881" s="1" t="s">
        <v>398</v>
      </c>
      <c r="S3881" s="1" t="s">
        <v>4471</v>
      </c>
      <c r="T3881" s="1" t="s">
        <v>4472</v>
      </c>
      <c r="U3881" s="2" t="s">
        <v>1287</v>
      </c>
      <c r="V3881" s="2" t="s">
        <v>47</v>
      </c>
      <c r="W3881" s="2" t="s">
        <v>111</v>
      </c>
      <c r="X3881" s="2">
        <v>13.93</v>
      </c>
    </row>
    <row r="3882" spans="1:24" x14ac:dyDescent="0.3">
      <c r="A3882">
        <v>21730</v>
      </c>
      <c r="B3882" t="s">
        <v>9229</v>
      </c>
      <c r="C3882" s="3">
        <v>41716</v>
      </c>
      <c r="D3882" t="s">
        <v>148</v>
      </c>
      <c r="E3882">
        <v>1</v>
      </c>
      <c r="F3882" s="3">
        <f ca="1">41716+(RANDBETWEEN(1,10))</f>
        <v>41718</v>
      </c>
      <c r="G3882" t="s">
        <v>26</v>
      </c>
      <c r="H3882" t="s">
        <v>96</v>
      </c>
      <c r="I3882" t="s">
        <v>97</v>
      </c>
      <c r="J3882">
        <v>35.805</v>
      </c>
      <c r="K3882">
        <v>0.1</v>
      </c>
      <c r="L3882">
        <v>0.39</v>
      </c>
      <c r="M3882">
        <v>7.0350000000000001</v>
      </c>
      <c r="N3882">
        <v>-14.77</v>
      </c>
      <c r="O3882" s="1" t="s">
        <v>53</v>
      </c>
      <c r="P3882" s="1" t="s">
        <v>7603</v>
      </c>
      <c r="Q3882" s="1" t="s">
        <v>7604</v>
      </c>
      <c r="R3882" s="1" t="s">
        <v>56</v>
      </c>
      <c r="S3882" s="1" t="s">
        <v>7605</v>
      </c>
      <c r="T3882" s="1" t="s">
        <v>7606</v>
      </c>
      <c r="U3882" s="2" t="s">
        <v>7728</v>
      </c>
      <c r="V3882" s="2" t="s">
        <v>47</v>
      </c>
      <c r="W3882" s="2" t="s">
        <v>74</v>
      </c>
      <c r="X3882" s="2">
        <v>31.324999999999999</v>
      </c>
    </row>
    <row r="3883" spans="1:24" x14ac:dyDescent="0.3">
      <c r="A3883">
        <v>21731</v>
      </c>
      <c r="B3883" t="s">
        <v>9230</v>
      </c>
      <c r="C3883" s="3">
        <v>41992</v>
      </c>
      <c r="D3883" t="s">
        <v>148</v>
      </c>
      <c r="E3883">
        <v>16</v>
      </c>
      <c r="F3883" s="3">
        <f ca="1">41993+(RANDBETWEEN(1,10))</f>
        <v>41997</v>
      </c>
      <c r="G3883" t="s">
        <v>26</v>
      </c>
      <c r="H3883" t="s">
        <v>27</v>
      </c>
      <c r="I3883" t="s">
        <v>28</v>
      </c>
      <c r="J3883">
        <v>3201.45</v>
      </c>
      <c r="K3883">
        <v>0.02</v>
      </c>
      <c r="L3883">
        <v>0.56999999999999995</v>
      </c>
      <c r="M3883">
        <v>17.465</v>
      </c>
      <c r="N3883">
        <v>2209.0005000000001</v>
      </c>
      <c r="O3883" s="1" t="s">
        <v>40</v>
      </c>
      <c r="P3883" s="1" t="s">
        <v>6603</v>
      </c>
      <c r="Q3883" s="1" t="s">
        <v>6604</v>
      </c>
      <c r="R3883" s="1" t="s">
        <v>43</v>
      </c>
      <c r="S3883" s="1" t="s">
        <v>6605</v>
      </c>
      <c r="T3883" s="1" t="s">
        <v>6606</v>
      </c>
      <c r="U3883" s="2" t="s">
        <v>5920</v>
      </c>
      <c r="V3883" s="2" t="s">
        <v>36</v>
      </c>
      <c r="W3883" s="2" t="s">
        <v>37</v>
      </c>
      <c r="X3883" s="2">
        <v>230.965</v>
      </c>
    </row>
    <row r="3884" spans="1:24" x14ac:dyDescent="0.3">
      <c r="A3884">
        <v>21732</v>
      </c>
      <c r="B3884" t="s">
        <v>9231</v>
      </c>
      <c r="C3884" s="3">
        <v>41139</v>
      </c>
      <c r="D3884" t="s">
        <v>148</v>
      </c>
      <c r="E3884">
        <v>9</v>
      </c>
      <c r="F3884" s="3">
        <f ca="1">41141+(RANDBETWEEN(1,10))</f>
        <v>41145</v>
      </c>
      <c r="G3884" t="s">
        <v>26</v>
      </c>
      <c r="H3884" t="s">
        <v>27</v>
      </c>
      <c r="I3884" t="s">
        <v>97</v>
      </c>
      <c r="J3884">
        <v>636.19500000000005</v>
      </c>
      <c r="K3884">
        <v>0.06</v>
      </c>
      <c r="L3884">
        <v>0.56999999999999995</v>
      </c>
      <c r="M3884">
        <v>13.965</v>
      </c>
      <c r="N3884">
        <v>296.14060000000001</v>
      </c>
      <c r="O3884" s="1" t="s">
        <v>29</v>
      </c>
      <c r="P3884" s="1" t="s">
        <v>8287</v>
      </c>
      <c r="Q3884" s="1" t="s">
        <v>8288</v>
      </c>
      <c r="R3884" s="1" t="s">
        <v>32</v>
      </c>
      <c r="S3884" s="1" t="s">
        <v>3689</v>
      </c>
      <c r="T3884" s="1" t="s">
        <v>3690</v>
      </c>
      <c r="U3884" s="2" t="s">
        <v>9232</v>
      </c>
      <c r="V3884" s="2" t="s">
        <v>47</v>
      </c>
      <c r="W3884" s="2" t="s">
        <v>71</v>
      </c>
      <c r="X3884" s="2">
        <v>70.944999999999993</v>
      </c>
    </row>
    <row r="3885" spans="1:24" x14ac:dyDescent="0.3">
      <c r="A3885">
        <v>21733</v>
      </c>
      <c r="B3885" t="s">
        <v>9231</v>
      </c>
      <c r="C3885" s="3">
        <v>41139</v>
      </c>
      <c r="D3885" t="s">
        <v>148</v>
      </c>
      <c r="E3885">
        <v>3</v>
      </c>
      <c r="F3885" s="3">
        <f ca="1">41140+(RANDBETWEEN(1,10))</f>
        <v>41147</v>
      </c>
      <c r="G3885" t="s">
        <v>26</v>
      </c>
      <c r="H3885" t="s">
        <v>96</v>
      </c>
      <c r="I3885" t="s">
        <v>97</v>
      </c>
      <c r="J3885">
        <v>104.09</v>
      </c>
      <c r="K3885">
        <v>0.09</v>
      </c>
      <c r="L3885">
        <v>0.43</v>
      </c>
      <c r="M3885">
        <v>3.8149999999999999</v>
      </c>
      <c r="N3885">
        <v>62.263599999999997</v>
      </c>
      <c r="O3885" s="1" t="s">
        <v>29</v>
      </c>
      <c r="P3885" s="1" t="s">
        <v>8287</v>
      </c>
      <c r="Q3885" s="1" t="s">
        <v>8288</v>
      </c>
      <c r="R3885" s="1" t="s">
        <v>32</v>
      </c>
      <c r="S3885" s="1" t="s">
        <v>3689</v>
      </c>
      <c r="T3885" s="1" t="s">
        <v>3690</v>
      </c>
      <c r="U3885" s="2" t="s">
        <v>1067</v>
      </c>
      <c r="V3885" s="2" t="s">
        <v>47</v>
      </c>
      <c r="W3885" s="2" t="s">
        <v>104</v>
      </c>
      <c r="X3885" s="2">
        <v>34.755000000000003</v>
      </c>
    </row>
    <row r="3886" spans="1:24" x14ac:dyDescent="0.3">
      <c r="A3886">
        <v>21734</v>
      </c>
      <c r="B3886" t="s">
        <v>9233</v>
      </c>
      <c r="C3886" s="3">
        <v>40815</v>
      </c>
      <c r="D3886" t="s">
        <v>39</v>
      </c>
      <c r="E3886">
        <v>1</v>
      </c>
      <c r="F3886" s="3">
        <f ca="1">40818+(RANDBETWEEN(1,10))</f>
        <v>40822</v>
      </c>
      <c r="G3886" t="s">
        <v>26</v>
      </c>
      <c r="H3886" t="s">
        <v>51</v>
      </c>
      <c r="I3886" t="s">
        <v>28</v>
      </c>
      <c r="J3886">
        <v>347.27</v>
      </c>
      <c r="K3886">
        <v>0.01</v>
      </c>
      <c r="L3886">
        <v>0.35</v>
      </c>
      <c r="M3886">
        <v>31.465</v>
      </c>
      <c r="N3886">
        <v>-306.11</v>
      </c>
      <c r="O3886" s="1" t="s">
        <v>87</v>
      </c>
      <c r="P3886" s="1" t="s">
        <v>2731</v>
      </c>
      <c r="Q3886" s="1" t="s">
        <v>2732</v>
      </c>
      <c r="R3886" s="1" t="s">
        <v>398</v>
      </c>
      <c r="S3886" s="1" t="s">
        <v>2733</v>
      </c>
      <c r="T3886" s="1" t="s">
        <v>735</v>
      </c>
      <c r="U3886" s="2" t="s">
        <v>177</v>
      </c>
      <c r="V3886" s="2" t="s">
        <v>83</v>
      </c>
      <c r="W3886" s="2" t="s">
        <v>178</v>
      </c>
      <c r="X3886" s="2">
        <v>347.30500000000001</v>
      </c>
    </row>
    <row r="3887" spans="1:24" x14ac:dyDescent="0.3">
      <c r="A3887">
        <v>21735</v>
      </c>
      <c r="B3887" t="s">
        <v>9234</v>
      </c>
      <c r="C3887" s="3">
        <v>41854</v>
      </c>
      <c r="D3887" t="s">
        <v>50</v>
      </c>
      <c r="E3887">
        <v>19</v>
      </c>
      <c r="F3887" s="3">
        <f ca="1">41855+(RANDBETWEEN(1,10))</f>
        <v>41861</v>
      </c>
      <c r="G3887" t="s">
        <v>26</v>
      </c>
      <c r="H3887" t="s">
        <v>27</v>
      </c>
      <c r="I3887" t="s">
        <v>28</v>
      </c>
      <c r="J3887">
        <v>486.04500000000002</v>
      </c>
      <c r="K3887">
        <v>7.0000000000000007E-2</v>
      </c>
      <c r="L3887">
        <v>0.35</v>
      </c>
      <c r="M3887">
        <v>21.56</v>
      </c>
      <c r="N3887">
        <v>-123.404246</v>
      </c>
      <c r="O3887" s="1" t="s">
        <v>29</v>
      </c>
      <c r="P3887" s="1" t="s">
        <v>1803</v>
      </c>
      <c r="Q3887" s="1" t="s">
        <v>1804</v>
      </c>
      <c r="R3887" s="1" t="s">
        <v>675</v>
      </c>
      <c r="S3887" s="1" t="s">
        <v>1805</v>
      </c>
      <c r="T3887" s="1" t="s">
        <v>1806</v>
      </c>
      <c r="U3887" s="2" t="s">
        <v>3717</v>
      </c>
      <c r="V3887" s="2" t="s">
        <v>47</v>
      </c>
      <c r="W3887" s="2" t="s">
        <v>111</v>
      </c>
      <c r="X3887" s="2">
        <v>26.88</v>
      </c>
    </row>
    <row r="3888" spans="1:24" x14ac:dyDescent="0.3">
      <c r="A3888">
        <v>21736</v>
      </c>
      <c r="B3888" t="s">
        <v>9235</v>
      </c>
      <c r="C3888" s="3">
        <v>41142</v>
      </c>
      <c r="D3888" t="s">
        <v>148</v>
      </c>
      <c r="E3888">
        <v>20</v>
      </c>
      <c r="F3888" s="3">
        <f ca="1">41144+(RANDBETWEEN(1,10))</f>
        <v>41145</v>
      </c>
      <c r="G3888" t="s">
        <v>156</v>
      </c>
      <c r="H3888" t="s">
        <v>51</v>
      </c>
      <c r="I3888" t="s">
        <v>28</v>
      </c>
      <c r="J3888">
        <v>3332.91</v>
      </c>
      <c r="K3888">
        <v>0.06</v>
      </c>
      <c r="L3888">
        <v>0.55000000000000004</v>
      </c>
      <c r="M3888">
        <v>4.375</v>
      </c>
      <c r="N3888">
        <v>-53.802</v>
      </c>
      <c r="O3888" s="1" t="s">
        <v>40</v>
      </c>
      <c r="P3888" s="1" t="s">
        <v>4389</v>
      </c>
      <c r="Q3888" s="1" t="s">
        <v>4390</v>
      </c>
      <c r="R3888" s="1" t="s">
        <v>43</v>
      </c>
      <c r="S3888" s="1" t="s">
        <v>4391</v>
      </c>
      <c r="T3888" s="1" t="s">
        <v>4392</v>
      </c>
      <c r="U3888" s="2" t="s">
        <v>3075</v>
      </c>
      <c r="V3888" s="2" t="s">
        <v>36</v>
      </c>
      <c r="W3888" s="2" t="s">
        <v>37</v>
      </c>
      <c r="X3888" s="2">
        <v>195.965</v>
      </c>
    </row>
    <row r="3889" spans="1:24" x14ac:dyDescent="0.3">
      <c r="A3889">
        <v>21737</v>
      </c>
      <c r="B3889" t="s">
        <v>9236</v>
      </c>
      <c r="C3889" s="3">
        <v>41066</v>
      </c>
      <c r="D3889" t="s">
        <v>50</v>
      </c>
      <c r="E3889">
        <v>16</v>
      </c>
      <c r="F3889" s="3">
        <f ca="1">41068+(RANDBETWEEN(1,10))</f>
        <v>41078</v>
      </c>
      <c r="G3889" t="s">
        <v>26</v>
      </c>
      <c r="H3889" t="s">
        <v>96</v>
      </c>
      <c r="I3889" t="s">
        <v>28</v>
      </c>
      <c r="J3889">
        <v>478.1</v>
      </c>
      <c r="K3889">
        <v>0.01</v>
      </c>
      <c r="L3889">
        <v>0.35</v>
      </c>
      <c r="M3889">
        <v>5.0049999999999999</v>
      </c>
      <c r="N3889">
        <v>-0.14699999999999999</v>
      </c>
      <c r="O3889" s="1" t="s">
        <v>87</v>
      </c>
      <c r="P3889" s="1" t="s">
        <v>9237</v>
      </c>
      <c r="Q3889" s="1" t="s">
        <v>9238</v>
      </c>
      <c r="R3889" s="1" t="s">
        <v>398</v>
      </c>
      <c r="S3889" s="1" t="s">
        <v>4220</v>
      </c>
      <c r="T3889" s="1" t="s">
        <v>4221</v>
      </c>
      <c r="U3889" s="2" t="s">
        <v>2263</v>
      </c>
      <c r="V3889" s="2" t="s">
        <v>47</v>
      </c>
      <c r="W3889" s="2" t="s">
        <v>74</v>
      </c>
      <c r="X3889" s="2">
        <v>29.19</v>
      </c>
    </row>
    <row r="3890" spans="1:24" x14ac:dyDescent="0.3">
      <c r="A3890">
        <v>21738</v>
      </c>
      <c r="B3890" t="s">
        <v>9239</v>
      </c>
      <c r="C3890" s="3">
        <v>41336</v>
      </c>
      <c r="D3890" t="s">
        <v>25</v>
      </c>
      <c r="E3890">
        <v>2</v>
      </c>
      <c r="F3890" s="3">
        <f ca="1">41341+(RANDBETWEEN(1,10))</f>
        <v>41342</v>
      </c>
      <c r="G3890" t="s">
        <v>26</v>
      </c>
      <c r="H3890" t="s">
        <v>27</v>
      </c>
      <c r="I3890" t="s">
        <v>52</v>
      </c>
      <c r="J3890">
        <v>386.57499999999999</v>
      </c>
      <c r="K3890">
        <v>0.03</v>
      </c>
      <c r="L3890">
        <v>0.59</v>
      </c>
      <c r="M3890">
        <v>26.914999999999999</v>
      </c>
      <c r="N3890">
        <v>-705.20450000000005</v>
      </c>
      <c r="O3890" s="1" t="s">
        <v>225</v>
      </c>
      <c r="P3890" s="1" t="s">
        <v>5834</v>
      </c>
      <c r="Q3890" s="1" t="s">
        <v>5835</v>
      </c>
      <c r="R3890" s="1" t="s">
        <v>228</v>
      </c>
      <c r="S3890" s="1" t="s">
        <v>5836</v>
      </c>
      <c r="T3890" s="1" t="s">
        <v>5837</v>
      </c>
      <c r="U3890" s="2">
        <v>5190</v>
      </c>
      <c r="V3890" s="2" t="s">
        <v>36</v>
      </c>
      <c r="W3890" s="2" t="s">
        <v>37</v>
      </c>
      <c r="X3890" s="2">
        <v>230.965</v>
      </c>
    </row>
    <row r="3891" spans="1:24" x14ac:dyDescent="0.3">
      <c r="A3891">
        <v>21739</v>
      </c>
      <c r="B3891" t="s">
        <v>9240</v>
      </c>
      <c r="C3891" s="3">
        <v>40580</v>
      </c>
      <c r="D3891" t="s">
        <v>62</v>
      </c>
      <c r="E3891">
        <v>1</v>
      </c>
      <c r="F3891" s="3">
        <f ca="1">40582+(RANDBETWEEN(1,10))</f>
        <v>40591</v>
      </c>
      <c r="G3891" t="s">
        <v>26</v>
      </c>
      <c r="H3891" t="s">
        <v>281</v>
      </c>
      <c r="I3891" t="s">
        <v>86</v>
      </c>
      <c r="J3891">
        <v>3216.8150000000001</v>
      </c>
      <c r="K3891">
        <v>0.09</v>
      </c>
      <c r="L3891">
        <v>0.36</v>
      </c>
      <c r="M3891">
        <v>48.965000000000003</v>
      </c>
      <c r="N3891">
        <v>-8860.1887499999993</v>
      </c>
      <c r="O3891" s="1" t="s">
        <v>29</v>
      </c>
      <c r="P3891" s="1" t="s">
        <v>9241</v>
      </c>
      <c r="Q3891" s="1" t="s">
        <v>9242</v>
      </c>
      <c r="R3891" s="1" t="s">
        <v>32</v>
      </c>
      <c r="S3891" s="1" t="s">
        <v>9243</v>
      </c>
      <c r="T3891" s="1" t="s">
        <v>9244</v>
      </c>
      <c r="U3891" s="2" t="s">
        <v>4901</v>
      </c>
      <c r="V3891" s="2" t="s">
        <v>36</v>
      </c>
      <c r="W3891" s="2" t="s">
        <v>142</v>
      </c>
      <c r="X3891" s="2">
        <v>3499.9650000000001</v>
      </c>
    </row>
    <row r="3892" spans="1:24" x14ac:dyDescent="0.3">
      <c r="A3892">
        <v>21740</v>
      </c>
      <c r="B3892" t="s">
        <v>9245</v>
      </c>
      <c r="C3892" s="3">
        <v>42000</v>
      </c>
      <c r="D3892" t="s">
        <v>39</v>
      </c>
      <c r="E3892">
        <v>19</v>
      </c>
      <c r="F3892" s="3">
        <f ca="1">42000+(RANDBETWEEN(1,10))</f>
        <v>42007</v>
      </c>
      <c r="G3892" t="s">
        <v>26</v>
      </c>
      <c r="H3892" t="s">
        <v>27</v>
      </c>
      <c r="I3892" t="s">
        <v>86</v>
      </c>
      <c r="J3892">
        <v>311.11500000000001</v>
      </c>
      <c r="K3892">
        <v>0.02</v>
      </c>
      <c r="L3892">
        <v>0.59</v>
      </c>
      <c r="M3892">
        <v>18.024999999999999</v>
      </c>
      <c r="N3892">
        <v>-142.97808000000001</v>
      </c>
      <c r="O3892" s="1" t="s">
        <v>225</v>
      </c>
      <c r="P3892" s="1" t="s">
        <v>7674</v>
      </c>
      <c r="Q3892" s="1" t="s">
        <v>7675</v>
      </c>
      <c r="R3892" s="1" t="s">
        <v>391</v>
      </c>
      <c r="S3892" s="1" t="s">
        <v>7676</v>
      </c>
      <c r="T3892" s="1" t="s">
        <v>7677</v>
      </c>
      <c r="U3892" s="2" t="s">
        <v>3610</v>
      </c>
      <c r="V3892" s="2" t="s">
        <v>47</v>
      </c>
      <c r="W3892" s="2" t="s">
        <v>71</v>
      </c>
      <c r="X3892" s="2">
        <v>15.295</v>
      </c>
    </row>
    <row r="3893" spans="1:24" x14ac:dyDescent="0.3">
      <c r="A3893">
        <v>21741</v>
      </c>
      <c r="B3893" t="s">
        <v>9245</v>
      </c>
      <c r="C3893" s="3">
        <v>42000</v>
      </c>
      <c r="D3893" t="s">
        <v>39</v>
      </c>
      <c r="E3893">
        <v>6</v>
      </c>
      <c r="F3893" s="3">
        <f ca="1">42002+(RANDBETWEEN(1,10))</f>
        <v>42009</v>
      </c>
      <c r="G3893" t="s">
        <v>26</v>
      </c>
      <c r="H3893" t="s">
        <v>63</v>
      </c>
      <c r="I3893" t="s">
        <v>86</v>
      </c>
      <c r="J3893">
        <v>165.48</v>
      </c>
      <c r="K3893">
        <v>0.08</v>
      </c>
      <c r="L3893">
        <v>0.59</v>
      </c>
      <c r="M3893">
        <v>171.5</v>
      </c>
      <c r="N3893">
        <v>-558.49415999999997</v>
      </c>
      <c r="O3893" s="1" t="s">
        <v>225</v>
      </c>
      <c r="P3893" s="1" t="s">
        <v>7674</v>
      </c>
      <c r="Q3893" s="1" t="s">
        <v>7675</v>
      </c>
      <c r="R3893" s="1" t="s">
        <v>391</v>
      </c>
      <c r="S3893" s="1" t="s">
        <v>7676</v>
      </c>
      <c r="T3893" s="1" t="s">
        <v>7677</v>
      </c>
      <c r="U3893" s="2" t="s">
        <v>9246</v>
      </c>
      <c r="V3893" s="2" t="s">
        <v>47</v>
      </c>
      <c r="W3893" s="2" t="s">
        <v>71</v>
      </c>
      <c r="X3893" s="2">
        <v>12.18</v>
      </c>
    </row>
    <row r="3894" spans="1:24" x14ac:dyDescent="0.3">
      <c r="A3894">
        <v>21742</v>
      </c>
      <c r="B3894" t="s">
        <v>9245</v>
      </c>
      <c r="C3894" s="3">
        <v>42000</v>
      </c>
      <c r="D3894" t="s">
        <v>39</v>
      </c>
      <c r="E3894">
        <v>21</v>
      </c>
      <c r="F3894" s="3">
        <f ca="1">42001+(RANDBETWEEN(1,10))</f>
        <v>42005</v>
      </c>
      <c r="G3894" t="s">
        <v>26</v>
      </c>
      <c r="H3894" t="s">
        <v>27</v>
      </c>
      <c r="I3894" t="s">
        <v>86</v>
      </c>
      <c r="J3894">
        <v>1494.22</v>
      </c>
      <c r="K3894">
        <v>0.05</v>
      </c>
      <c r="L3894">
        <v>0.35</v>
      </c>
      <c r="M3894">
        <v>5.2149999999999999</v>
      </c>
      <c r="N3894">
        <v>1031.0118</v>
      </c>
      <c r="O3894" s="1" t="s">
        <v>225</v>
      </c>
      <c r="P3894" s="1" t="s">
        <v>7674</v>
      </c>
      <c r="Q3894" s="1" t="s">
        <v>7675</v>
      </c>
      <c r="R3894" s="1" t="s">
        <v>391</v>
      </c>
      <c r="S3894" s="1" t="s">
        <v>7676</v>
      </c>
      <c r="T3894" s="1" t="s">
        <v>7677</v>
      </c>
      <c r="U3894" s="2" t="s">
        <v>3361</v>
      </c>
      <c r="V3894" s="2" t="s">
        <v>47</v>
      </c>
      <c r="W3894" s="2" t="s">
        <v>111</v>
      </c>
      <c r="X3894" s="2">
        <v>73.430000000000007</v>
      </c>
    </row>
    <row r="3895" spans="1:24" x14ac:dyDescent="0.3">
      <c r="A3895">
        <v>21743</v>
      </c>
      <c r="B3895" t="s">
        <v>9247</v>
      </c>
      <c r="C3895" s="3">
        <v>41769</v>
      </c>
      <c r="D3895" t="s">
        <v>148</v>
      </c>
      <c r="E3895">
        <v>8</v>
      </c>
      <c r="F3895" s="3">
        <f ca="1">41769+(RANDBETWEEN(1,10))</f>
        <v>41775</v>
      </c>
      <c r="G3895" t="s">
        <v>26</v>
      </c>
      <c r="H3895" t="s">
        <v>27</v>
      </c>
      <c r="I3895" t="s">
        <v>97</v>
      </c>
      <c r="J3895">
        <v>859.32</v>
      </c>
      <c r="K3895">
        <v>7.0000000000000007E-2</v>
      </c>
      <c r="L3895">
        <v>0.74</v>
      </c>
      <c r="M3895">
        <v>14</v>
      </c>
      <c r="N3895">
        <v>-103.46</v>
      </c>
      <c r="O3895" s="1" t="s">
        <v>64</v>
      </c>
      <c r="P3895" s="1" t="s">
        <v>631</v>
      </c>
      <c r="Q3895" s="1" t="s">
        <v>632</v>
      </c>
      <c r="R3895" s="1" t="s">
        <v>67</v>
      </c>
      <c r="S3895" s="1" t="s">
        <v>633</v>
      </c>
      <c r="T3895" s="1" t="s">
        <v>634</v>
      </c>
      <c r="U3895" s="2" t="s">
        <v>2704</v>
      </c>
      <c r="V3895" s="2" t="s">
        <v>36</v>
      </c>
      <c r="W3895" s="2" t="s">
        <v>60</v>
      </c>
      <c r="X3895" s="2">
        <v>108.395</v>
      </c>
    </row>
    <row r="3896" spans="1:24" x14ac:dyDescent="0.3">
      <c r="A3896">
        <v>21744</v>
      </c>
      <c r="B3896" t="s">
        <v>9247</v>
      </c>
      <c r="C3896" s="3">
        <v>41769</v>
      </c>
      <c r="D3896" t="s">
        <v>148</v>
      </c>
      <c r="E3896">
        <v>13</v>
      </c>
      <c r="F3896" s="3">
        <f ca="1">41771+(RANDBETWEEN(1,10))</f>
        <v>41772</v>
      </c>
      <c r="G3896" t="s">
        <v>26</v>
      </c>
      <c r="H3896" t="s">
        <v>27</v>
      </c>
      <c r="I3896" t="s">
        <v>97</v>
      </c>
      <c r="J3896">
        <v>288.78500000000003</v>
      </c>
      <c r="K3896">
        <v>0.09</v>
      </c>
      <c r="L3896">
        <v>0.37</v>
      </c>
      <c r="M3896">
        <v>21.77</v>
      </c>
      <c r="N3896">
        <v>-363.19499999999999</v>
      </c>
      <c r="O3896" s="1" t="s">
        <v>64</v>
      </c>
      <c r="P3896" s="1" t="s">
        <v>631</v>
      </c>
      <c r="Q3896" s="1" t="s">
        <v>632</v>
      </c>
      <c r="R3896" s="1" t="s">
        <v>67</v>
      </c>
      <c r="S3896" s="1" t="s">
        <v>633</v>
      </c>
      <c r="T3896" s="1" t="s">
        <v>634</v>
      </c>
      <c r="U3896" s="2" t="s">
        <v>4158</v>
      </c>
      <c r="V3896" s="2" t="s">
        <v>47</v>
      </c>
      <c r="W3896" s="2" t="s">
        <v>74</v>
      </c>
      <c r="X3896" s="2">
        <v>22.68</v>
      </c>
    </row>
    <row r="3897" spans="1:24" x14ac:dyDescent="0.3">
      <c r="A3897">
        <v>21745</v>
      </c>
      <c r="B3897" t="s">
        <v>9247</v>
      </c>
      <c r="C3897" s="3">
        <v>41769</v>
      </c>
      <c r="D3897" t="s">
        <v>148</v>
      </c>
      <c r="E3897">
        <v>7</v>
      </c>
      <c r="F3897" s="3">
        <f ca="1">41771+(RANDBETWEEN(1,10))</f>
        <v>41779</v>
      </c>
      <c r="G3897" t="s">
        <v>26</v>
      </c>
      <c r="H3897" t="s">
        <v>27</v>
      </c>
      <c r="I3897" t="s">
        <v>97</v>
      </c>
      <c r="J3897">
        <v>156.69499999999999</v>
      </c>
      <c r="K3897">
        <v>7.0000000000000007E-2</v>
      </c>
      <c r="L3897">
        <v>0.37</v>
      </c>
      <c r="M3897">
        <v>25.795000000000002</v>
      </c>
      <c r="N3897">
        <v>-281.435</v>
      </c>
      <c r="O3897" s="1" t="s">
        <v>64</v>
      </c>
      <c r="P3897" s="1" t="s">
        <v>631</v>
      </c>
      <c r="Q3897" s="1" t="s">
        <v>632</v>
      </c>
      <c r="R3897" s="1" t="s">
        <v>67</v>
      </c>
      <c r="S3897" s="1" t="s">
        <v>633</v>
      </c>
      <c r="T3897" s="1" t="s">
        <v>634</v>
      </c>
      <c r="U3897" s="2" t="s">
        <v>2975</v>
      </c>
      <c r="V3897" s="2" t="s">
        <v>47</v>
      </c>
      <c r="W3897" s="2" t="s">
        <v>74</v>
      </c>
      <c r="X3897" s="2">
        <v>22.68</v>
      </c>
    </row>
    <row r="3898" spans="1:24" x14ac:dyDescent="0.3">
      <c r="A3898">
        <v>21746</v>
      </c>
      <c r="B3898" t="s">
        <v>9248</v>
      </c>
      <c r="C3898" s="3">
        <v>40686</v>
      </c>
      <c r="D3898" t="s">
        <v>50</v>
      </c>
      <c r="E3898">
        <v>17</v>
      </c>
      <c r="F3898" s="3">
        <f ca="1">40688+(RANDBETWEEN(1,10))</f>
        <v>40698</v>
      </c>
      <c r="G3898" t="s">
        <v>156</v>
      </c>
      <c r="H3898" t="s">
        <v>27</v>
      </c>
      <c r="I3898" t="s">
        <v>97</v>
      </c>
      <c r="J3898">
        <v>4551.8900000000003</v>
      </c>
      <c r="K3898">
        <v>0.09</v>
      </c>
      <c r="L3898">
        <v>0.76</v>
      </c>
      <c r="M3898">
        <v>14</v>
      </c>
      <c r="N3898">
        <v>-3452.8339999999998</v>
      </c>
      <c r="O3898" s="1" t="s">
        <v>40</v>
      </c>
      <c r="P3898" s="1" t="s">
        <v>7802</v>
      </c>
      <c r="Q3898" s="1" t="s">
        <v>7803</v>
      </c>
      <c r="R3898" s="1" t="s">
        <v>220</v>
      </c>
      <c r="S3898" s="1" t="s">
        <v>7804</v>
      </c>
      <c r="T3898" s="1" t="s">
        <v>7805</v>
      </c>
      <c r="U3898" s="2" t="s">
        <v>8145</v>
      </c>
      <c r="V3898" s="2" t="s">
        <v>36</v>
      </c>
      <c r="W3898" s="2" t="s">
        <v>60</v>
      </c>
      <c r="X3898" s="2">
        <v>271.28500000000003</v>
      </c>
    </row>
    <row r="3899" spans="1:24" x14ac:dyDescent="0.3">
      <c r="A3899">
        <v>21747</v>
      </c>
      <c r="B3899" t="s">
        <v>9248</v>
      </c>
      <c r="C3899" s="3">
        <v>40686</v>
      </c>
      <c r="D3899" t="s">
        <v>50</v>
      </c>
      <c r="E3899">
        <v>13</v>
      </c>
      <c r="F3899" s="3">
        <f ca="1">40688+(RANDBETWEEN(1,10))</f>
        <v>40698</v>
      </c>
      <c r="G3899" t="s">
        <v>26</v>
      </c>
      <c r="H3899" t="s">
        <v>96</v>
      </c>
      <c r="I3899" t="s">
        <v>97</v>
      </c>
      <c r="J3899">
        <v>133.21</v>
      </c>
      <c r="K3899">
        <v>0</v>
      </c>
      <c r="L3899">
        <v>0.56000000000000005</v>
      </c>
      <c r="M3899">
        <v>2.4500000000000002</v>
      </c>
      <c r="N3899">
        <v>-495.83100000000002</v>
      </c>
      <c r="O3899" s="1" t="s">
        <v>40</v>
      </c>
      <c r="P3899" s="1" t="s">
        <v>7802</v>
      </c>
      <c r="Q3899" s="1" t="s">
        <v>7803</v>
      </c>
      <c r="R3899" s="1" t="s">
        <v>220</v>
      </c>
      <c r="S3899" s="1" t="s">
        <v>7804</v>
      </c>
      <c r="T3899" s="1" t="s">
        <v>7805</v>
      </c>
      <c r="U3899" s="2" t="s">
        <v>443</v>
      </c>
      <c r="V3899" s="2" t="s">
        <v>47</v>
      </c>
      <c r="W3899" s="2" t="s">
        <v>104</v>
      </c>
      <c r="X3899" s="2">
        <v>10.08</v>
      </c>
    </row>
    <row r="3900" spans="1:24" x14ac:dyDescent="0.3">
      <c r="A3900">
        <v>21748</v>
      </c>
      <c r="B3900" t="s">
        <v>9249</v>
      </c>
      <c r="C3900" s="3">
        <v>41664</v>
      </c>
      <c r="D3900" t="s">
        <v>50</v>
      </c>
      <c r="E3900">
        <v>8</v>
      </c>
      <c r="F3900" s="3">
        <f ca="1">41666+(RANDBETWEEN(1,10))</f>
        <v>41671</v>
      </c>
      <c r="G3900" t="s">
        <v>26</v>
      </c>
      <c r="H3900" t="s">
        <v>27</v>
      </c>
      <c r="I3900" t="s">
        <v>52</v>
      </c>
      <c r="J3900">
        <v>234.36</v>
      </c>
      <c r="K3900">
        <v>0.03</v>
      </c>
      <c r="L3900">
        <v>0.35</v>
      </c>
      <c r="M3900">
        <v>16.484999999999999</v>
      </c>
      <c r="N3900">
        <v>26.70241</v>
      </c>
      <c r="O3900" s="1" t="s">
        <v>53</v>
      </c>
      <c r="P3900" s="1" t="s">
        <v>3013</v>
      </c>
      <c r="Q3900" s="1" t="s">
        <v>3014</v>
      </c>
      <c r="R3900" s="1" t="s">
        <v>440</v>
      </c>
      <c r="S3900" s="1" t="s">
        <v>3015</v>
      </c>
      <c r="T3900" s="1" t="s">
        <v>3016</v>
      </c>
      <c r="U3900" s="2" t="s">
        <v>2245</v>
      </c>
      <c r="V3900" s="2" t="s">
        <v>47</v>
      </c>
      <c r="W3900" s="2" t="s">
        <v>111</v>
      </c>
      <c r="X3900" s="2">
        <v>27.44</v>
      </c>
    </row>
    <row r="3901" spans="1:24" x14ac:dyDescent="0.3">
      <c r="A3901">
        <v>21749</v>
      </c>
      <c r="B3901" t="s">
        <v>9250</v>
      </c>
      <c r="C3901" s="3">
        <v>41113</v>
      </c>
      <c r="D3901" t="s">
        <v>62</v>
      </c>
      <c r="E3901">
        <v>4</v>
      </c>
      <c r="F3901" s="3">
        <f ca="1">41114+(RANDBETWEEN(1,10))</f>
        <v>41119</v>
      </c>
      <c r="G3901" t="s">
        <v>76</v>
      </c>
      <c r="H3901" t="s">
        <v>77</v>
      </c>
      <c r="I3901" t="s">
        <v>52</v>
      </c>
      <c r="J3901">
        <v>1711.43</v>
      </c>
      <c r="K3901">
        <v>0.02</v>
      </c>
      <c r="L3901">
        <v>0.64</v>
      </c>
      <c r="M3901">
        <v>105</v>
      </c>
      <c r="N3901">
        <v>-224.49</v>
      </c>
      <c r="O3901" s="1" t="s">
        <v>53</v>
      </c>
      <c r="P3901" s="1" t="s">
        <v>9251</v>
      </c>
      <c r="Q3901" s="1" t="s">
        <v>9252</v>
      </c>
      <c r="R3901" s="1" t="s">
        <v>56</v>
      </c>
      <c r="S3901" s="1" t="s">
        <v>9253</v>
      </c>
      <c r="T3901" s="1" t="s">
        <v>9254</v>
      </c>
      <c r="U3901" s="2" t="s">
        <v>2044</v>
      </c>
      <c r="V3901" s="2" t="s">
        <v>83</v>
      </c>
      <c r="W3901" s="2" t="s">
        <v>84</v>
      </c>
      <c r="X3901" s="2">
        <v>423.43</v>
      </c>
    </row>
    <row r="3902" spans="1:24" x14ac:dyDescent="0.3">
      <c r="A3902">
        <v>21750</v>
      </c>
      <c r="B3902" t="s">
        <v>9250</v>
      </c>
      <c r="C3902" s="3">
        <v>41113</v>
      </c>
      <c r="D3902" t="s">
        <v>62</v>
      </c>
      <c r="E3902">
        <v>10</v>
      </c>
      <c r="F3902" s="3">
        <f ca="1">41114+(RANDBETWEEN(1,10))</f>
        <v>41120</v>
      </c>
      <c r="G3902" t="s">
        <v>26</v>
      </c>
      <c r="H3902" t="s">
        <v>281</v>
      </c>
      <c r="I3902" t="s">
        <v>52</v>
      </c>
      <c r="J3902">
        <v>466.9</v>
      </c>
      <c r="K3902">
        <v>0.09</v>
      </c>
      <c r="L3902">
        <v>0.39</v>
      </c>
      <c r="M3902">
        <v>26.285</v>
      </c>
      <c r="N3902">
        <v>-132.79245</v>
      </c>
      <c r="O3902" s="1" t="s">
        <v>87</v>
      </c>
      <c r="P3902" s="1" t="s">
        <v>9255</v>
      </c>
      <c r="Q3902" s="1" t="s">
        <v>9256</v>
      </c>
      <c r="R3902" s="1" t="s">
        <v>398</v>
      </c>
      <c r="S3902" s="1" t="s">
        <v>1799</v>
      </c>
      <c r="T3902" s="1" t="s">
        <v>1800</v>
      </c>
      <c r="U3902" s="2" t="s">
        <v>1079</v>
      </c>
      <c r="V3902" s="2" t="s">
        <v>36</v>
      </c>
      <c r="W3902" s="2" t="s">
        <v>142</v>
      </c>
      <c r="X3902" s="2">
        <v>48.965000000000003</v>
      </c>
    </row>
    <row r="3903" spans="1:24" x14ac:dyDescent="0.3">
      <c r="A3903">
        <v>21751</v>
      </c>
      <c r="B3903" t="s">
        <v>9257</v>
      </c>
      <c r="C3903" s="3">
        <v>41006</v>
      </c>
      <c r="D3903" t="s">
        <v>148</v>
      </c>
      <c r="E3903">
        <v>7</v>
      </c>
      <c r="F3903" s="3">
        <f ca="1">41007+(RANDBETWEEN(1,10))</f>
        <v>41014</v>
      </c>
      <c r="G3903" t="s">
        <v>26</v>
      </c>
      <c r="H3903" t="s">
        <v>27</v>
      </c>
      <c r="I3903" t="s">
        <v>28</v>
      </c>
      <c r="J3903">
        <v>250.88</v>
      </c>
      <c r="K3903">
        <v>0.08</v>
      </c>
      <c r="L3903">
        <v>0.57999999999999996</v>
      </c>
      <c r="M3903">
        <v>13.965</v>
      </c>
      <c r="N3903">
        <v>-88.935000000000002</v>
      </c>
      <c r="O3903" s="1" t="s">
        <v>29</v>
      </c>
      <c r="P3903" s="1" t="s">
        <v>3083</v>
      </c>
      <c r="Q3903" s="1" t="s">
        <v>3084</v>
      </c>
      <c r="R3903" s="1" t="s">
        <v>460</v>
      </c>
      <c r="S3903" s="1" t="s">
        <v>3085</v>
      </c>
      <c r="T3903" s="1" t="s">
        <v>3086</v>
      </c>
      <c r="U3903" s="2" t="s">
        <v>4098</v>
      </c>
      <c r="V3903" s="2" t="s">
        <v>47</v>
      </c>
      <c r="W3903" s="2" t="s">
        <v>71</v>
      </c>
      <c r="X3903" s="2">
        <v>38.43</v>
      </c>
    </row>
    <row r="3904" spans="1:24" x14ac:dyDescent="0.3">
      <c r="A3904">
        <v>21752</v>
      </c>
      <c r="B3904" t="s">
        <v>9258</v>
      </c>
      <c r="C3904" s="3">
        <v>41536</v>
      </c>
      <c r="D3904" t="s">
        <v>39</v>
      </c>
      <c r="E3904">
        <v>12</v>
      </c>
      <c r="F3904" s="3">
        <f ca="1">41538+(RANDBETWEEN(1,10))</f>
        <v>41546</v>
      </c>
      <c r="G3904" t="s">
        <v>156</v>
      </c>
      <c r="H3904" t="s">
        <v>27</v>
      </c>
      <c r="I3904" t="s">
        <v>86</v>
      </c>
      <c r="J3904">
        <v>1881.46</v>
      </c>
      <c r="K3904">
        <v>0.08</v>
      </c>
      <c r="L3904">
        <v>0.37</v>
      </c>
      <c r="M3904">
        <v>20.265000000000001</v>
      </c>
      <c r="N3904">
        <v>1992.4590000000001</v>
      </c>
      <c r="O3904" s="1" t="s">
        <v>29</v>
      </c>
      <c r="P3904" s="1" t="s">
        <v>8176</v>
      </c>
      <c r="Q3904" s="1" t="s">
        <v>8177</v>
      </c>
      <c r="R3904" s="1" t="s">
        <v>675</v>
      </c>
      <c r="S3904" s="1" t="s">
        <v>8178</v>
      </c>
      <c r="T3904" s="1" t="s">
        <v>8179</v>
      </c>
      <c r="U3904" s="2" t="s">
        <v>8002</v>
      </c>
      <c r="V3904" s="2" t="s">
        <v>47</v>
      </c>
      <c r="W3904" s="2" t="s">
        <v>74</v>
      </c>
      <c r="X3904" s="2">
        <v>168.14</v>
      </c>
    </row>
    <row r="3905" spans="1:24" x14ac:dyDescent="0.3">
      <c r="A3905">
        <v>21753</v>
      </c>
      <c r="B3905" t="s">
        <v>9259</v>
      </c>
      <c r="C3905" s="3">
        <v>41393</v>
      </c>
      <c r="D3905" t="s">
        <v>25</v>
      </c>
      <c r="E3905">
        <v>13</v>
      </c>
      <c r="F3905" s="3">
        <f ca="1">41400+(RANDBETWEEN(1,10))</f>
        <v>41402</v>
      </c>
      <c r="G3905" t="s">
        <v>26</v>
      </c>
      <c r="H3905" t="s">
        <v>27</v>
      </c>
      <c r="I3905" t="s">
        <v>97</v>
      </c>
      <c r="J3905">
        <v>506.03</v>
      </c>
      <c r="K3905">
        <v>0.08</v>
      </c>
      <c r="L3905">
        <v>0.59</v>
      </c>
      <c r="M3905">
        <v>17.605</v>
      </c>
      <c r="N3905">
        <v>-168.7</v>
      </c>
      <c r="O3905" s="1" t="s">
        <v>29</v>
      </c>
      <c r="P3905" s="1" t="s">
        <v>5215</v>
      </c>
      <c r="Q3905" s="1" t="s">
        <v>5216</v>
      </c>
      <c r="R3905" s="1" t="s">
        <v>32</v>
      </c>
      <c r="S3905" s="1" t="s">
        <v>5217</v>
      </c>
      <c r="T3905" s="1" t="s">
        <v>5218</v>
      </c>
      <c r="U3905" s="2" t="s">
        <v>3292</v>
      </c>
      <c r="V3905" s="2" t="s">
        <v>47</v>
      </c>
      <c r="W3905" s="2" t="s">
        <v>119</v>
      </c>
      <c r="X3905" s="2">
        <v>39.515000000000001</v>
      </c>
    </row>
    <row r="3906" spans="1:24" x14ac:dyDescent="0.3">
      <c r="A3906">
        <v>21754</v>
      </c>
      <c r="B3906" t="s">
        <v>9260</v>
      </c>
      <c r="C3906" s="3">
        <v>41647</v>
      </c>
      <c r="D3906" t="s">
        <v>50</v>
      </c>
      <c r="E3906">
        <v>6</v>
      </c>
      <c r="F3906" s="3">
        <f ca="1">41648+(RANDBETWEEN(1,10))</f>
        <v>41652</v>
      </c>
      <c r="G3906" t="s">
        <v>26</v>
      </c>
      <c r="H3906" t="s">
        <v>27</v>
      </c>
      <c r="I3906" t="s">
        <v>86</v>
      </c>
      <c r="J3906">
        <v>185.185</v>
      </c>
      <c r="K3906">
        <v>0.05</v>
      </c>
      <c r="L3906">
        <v>0.36</v>
      </c>
      <c r="M3906">
        <v>19.600000000000001</v>
      </c>
      <c r="N3906">
        <v>-84.547539999999998</v>
      </c>
      <c r="O3906" s="1" t="s">
        <v>29</v>
      </c>
      <c r="P3906" s="1" t="s">
        <v>9261</v>
      </c>
      <c r="Q3906" s="1" t="s">
        <v>9262</v>
      </c>
      <c r="R3906" s="1" t="s">
        <v>460</v>
      </c>
      <c r="S3906" s="1" t="s">
        <v>9263</v>
      </c>
      <c r="T3906" s="1" t="s">
        <v>9264</v>
      </c>
      <c r="U3906" s="2" t="s">
        <v>3792</v>
      </c>
      <c r="V3906" s="2" t="s">
        <v>47</v>
      </c>
      <c r="W3906" s="2" t="s">
        <v>111</v>
      </c>
      <c r="X3906" s="2">
        <v>30.975000000000001</v>
      </c>
    </row>
    <row r="3907" spans="1:24" x14ac:dyDescent="0.3">
      <c r="A3907">
        <v>21755</v>
      </c>
      <c r="B3907" t="s">
        <v>9260</v>
      </c>
      <c r="C3907" s="3">
        <v>41647</v>
      </c>
      <c r="D3907" t="s">
        <v>50</v>
      </c>
      <c r="E3907">
        <v>1</v>
      </c>
      <c r="F3907" s="3">
        <f ca="1">41649+(RANDBETWEEN(1,10))</f>
        <v>41657</v>
      </c>
      <c r="G3907" t="s">
        <v>156</v>
      </c>
      <c r="H3907" t="s">
        <v>27</v>
      </c>
      <c r="I3907" t="s">
        <v>86</v>
      </c>
      <c r="J3907">
        <v>54.88</v>
      </c>
      <c r="K3907">
        <v>0.01</v>
      </c>
      <c r="L3907">
        <v>0.57999999999999996</v>
      </c>
      <c r="M3907">
        <v>17.43</v>
      </c>
      <c r="N3907">
        <v>-22.394400000000001</v>
      </c>
      <c r="O3907" s="1" t="s">
        <v>87</v>
      </c>
      <c r="P3907" s="1" t="s">
        <v>9265</v>
      </c>
      <c r="Q3907" s="1" t="s">
        <v>9266</v>
      </c>
      <c r="R3907" s="1" t="s">
        <v>90</v>
      </c>
      <c r="S3907" s="1" t="s">
        <v>5918</v>
      </c>
      <c r="T3907" s="1" t="s">
        <v>5919</v>
      </c>
      <c r="U3907" s="2" t="s">
        <v>5213</v>
      </c>
      <c r="V3907" s="2" t="s">
        <v>47</v>
      </c>
      <c r="W3907" s="2" t="s">
        <v>71</v>
      </c>
      <c r="X3907" s="2">
        <v>41.895000000000003</v>
      </c>
    </row>
    <row r="3908" spans="1:24" x14ac:dyDescent="0.3">
      <c r="A3908">
        <v>21756</v>
      </c>
      <c r="B3908" t="s">
        <v>9260</v>
      </c>
      <c r="C3908" s="3">
        <v>41647</v>
      </c>
      <c r="D3908" t="s">
        <v>50</v>
      </c>
      <c r="E3908">
        <v>10</v>
      </c>
      <c r="F3908" s="3">
        <f ca="1">41648+(RANDBETWEEN(1,10))</f>
        <v>41658</v>
      </c>
      <c r="G3908" t="s">
        <v>26</v>
      </c>
      <c r="H3908" t="s">
        <v>27</v>
      </c>
      <c r="I3908" t="s">
        <v>86</v>
      </c>
      <c r="J3908">
        <v>244.37</v>
      </c>
      <c r="K3908">
        <v>0.1</v>
      </c>
      <c r="L3908">
        <v>0.38</v>
      </c>
      <c r="M3908">
        <v>27.02</v>
      </c>
      <c r="N3908">
        <v>-703.93064000000004</v>
      </c>
      <c r="O3908" s="1" t="s">
        <v>87</v>
      </c>
      <c r="P3908" s="1" t="s">
        <v>9265</v>
      </c>
      <c r="Q3908" s="1" t="s">
        <v>9266</v>
      </c>
      <c r="R3908" s="1" t="s">
        <v>90</v>
      </c>
      <c r="S3908" s="1" t="s">
        <v>5918</v>
      </c>
      <c r="T3908" s="1" t="s">
        <v>5919</v>
      </c>
      <c r="U3908" s="2" t="s">
        <v>823</v>
      </c>
      <c r="V3908" s="2" t="s">
        <v>47</v>
      </c>
      <c r="W3908" s="2" t="s">
        <v>111</v>
      </c>
      <c r="X3908" s="2">
        <v>25.55</v>
      </c>
    </row>
    <row r="3909" spans="1:24" x14ac:dyDescent="0.3">
      <c r="A3909">
        <v>21757</v>
      </c>
      <c r="B3909" t="s">
        <v>9267</v>
      </c>
      <c r="C3909" s="3">
        <v>41479</v>
      </c>
      <c r="D3909" t="s">
        <v>39</v>
      </c>
      <c r="E3909">
        <v>15</v>
      </c>
      <c r="F3909" s="3">
        <f ca="1">41481+(RANDBETWEEN(1,10))</f>
        <v>41488</v>
      </c>
      <c r="G3909" t="s">
        <v>26</v>
      </c>
      <c r="H3909" t="s">
        <v>51</v>
      </c>
      <c r="I3909" t="s">
        <v>28</v>
      </c>
      <c r="J3909">
        <v>87.85</v>
      </c>
      <c r="K3909">
        <v>7.0000000000000007E-2</v>
      </c>
      <c r="L3909">
        <v>0.51</v>
      </c>
      <c r="M3909">
        <v>6.9649999999999999</v>
      </c>
      <c r="N3909">
        <v>-206.04499999999999</v>
      </c>
      <c r="O3909" s="1" t="s">
        <v>64</v>
      </c>
      <c r="P3909" s="1" t="s">
        <v>9268</v>
      </c>
      <c r="Q3909" s="1" t="s">
        <v>9269</v>
      </c>
      <c r="R3909" s="1" t="s">
        <v>67</v>
      </c>
      <c r="S3909" s="1" t="s">
        <v>6687</v>
      </c>
      <c r="T3909" s="1" t="s">
        <v>6688</v>
      </c>
      <c r="U3909" s="2" t="s">
        <v>6841</v>
      </c>
      <c r="V3909" s="2" t="s">
        <v>36</v>
      </c>
      <c r="W3909" s="2" t="s">
        <v>60</v>
      </c>
      <c r="X3909" s="2">
        <v>5.95</v>
      </c>
    </row>
    <row r="3910" spans="1:24" x14ac:dyDescent="0.3">
      <c r="A3910">
        <v>21758</v>
      </c>
      <c r="B3910" t="s">
        <v>9270</v>
      </c>
      <c r="C3910" s="3">
        <v>41704</v>
      </c>
      <c r="D3910" t="s">
        <v>62</v>
      </c>
      <c r="E3910">
        <v>1</v>
      </c>
      <c r="F3910" s="3">
        <f ca="1">41706+(RANDBETWEEN(1,10))</f>
        <v>41715</v>
      </c>
      <c r="G3910" t="s">
        <v>26</v>
      </c>
      <c r="H3910" t="s">
        <v>27</v>
      </c>
      <c r="I3910" t="s">
        <v>52</v>
      </c>
      <c r="J3910">
        <v>27.684999999999999</v>
      </c>
      <c r="K3910">
        <v>0.06</v>
      </c>
      <c r="L3910">
        <v>0.36</v>
      </c>
      <c r="M3910">
        <v>21.245000000000001</v>
      </c>
      <c r="N3910">
        <v>-34.58</v>
      </c>
      <c r="O3910" s="1" t="s">
        <v>53</v>
      </c>
      <c r="P3910" s="1" t="s">
        <v>8963</v>
      </c>
      <c r="Q3910" s="1" t="s">
        <v>8964</v>
      </c>
      <c r="R3910" s="1" t="s">
        <v>56</v>
      </c>
      <c r="S3910" s="1" t="s">
        <v>8965</v>
      </c>
      <c r="T3910" s="1" t="s">
        <v>8966</v>
      </c>
      <c r="U3910" s="2" t="s">
        <v>250</v>
      </c>
      <c r="V3910" s="2" t="s">
        <v>47</v>
      </c>
      <c r="W3910" s="2" t="s">
        <v>74</v>
      </c>
      <c r="X3910" s="2">
        <v>17.43</v>
      </c>
    </row>
    <row r="3911" spans="1:24" x14ac:dyDescent="0.3">
      <c r="A3911">
        <v>21759</v>
      </c>
      <c r="B3911" t="s">
        <v>9271</v>
      </c>
      <c r="C3911" s="3">
        <v>41802</v>
      </c>
      <c r="D3911" t="s">
        <v>25</v>
      </c>
      <c r="E3911">
        <v>8</v>
      </c>
      <c r="F3911" s="3">
        <f ca="1">41806+(RANDBETWEEN(1,10))</f>
        <v>41809</v>
      </c>
      <c r="G3911" t="s">
        <v>26</v>
      </c>
      <c r="H3911" t="s">
        <v>27</v>
      </c>
      <c r="I3911" t="s">
        <v>86</v>
      </c>
      <c r="J3911">
        <v>85.924999999999997</v>
      </c>
      <c r="K3911">
        <v>0</v>
      </c>
      <c r="L3911">
        <v>0.36</v>
      </c>
      <c r="M3911">
        <v>22.225000000000001</v>
      </c>
      <c r="N3911">
        <v>-249.256</v>
      </c>
      <c r="O3911" s="1" t="s">
        <v>40</v>
      </c>
      <c r="P3911" s="1" t="s">
        <v>4497</v>
      </c>
      <c r="Q3911" s="1" t="s">
        <v>4498</v>
      </c>
      <c r="R3911" s="1" t="s">
        <v>43</v>
      </c>
      <c r="S3911" s="1" t="s">
        <v>4499</v>
      </c>
      <c r="T3911" s="1" t="s">
        <v>4500</v>
      </c>
      <c r="U3911" s="2" t="s">
        <v>9272</v>
      </c>
      <c r="V3911" s="2" t="s">
        <v>47</v>
      </c>
      <c r="W3911" s="2" t="s">
        <v>48</v>
      </c>
      <c r="X3911" s="2">
        <v>9.31</v>
      </c>
    </row>
    <row r="3912" spans="1:24" x14ac:dyDescent="0.3">
      <c r="A3912">
        <v>21760</v>
      </c>
      <c r="B3912" t="s">
        <v>9273</v>
      </c>
      <c r="C3912" s="3">
        <v>40715</v>
      </c>
      <c r="D3912" t="s">
        <v>50</v>
      </c>
      <c r="E3912">
        <v>1</v>
      </c>
      <c r="F3912" s="3">
        <f ca="1">40716+(RANDBETWEEN(1,10))</f>
        <v>40720</v>
      </c>
      <c r="G3912" t="s">
        <v>26</v>
      </c>
      <c r="H3912" t="s">
        <v>51</v>
      </c>
      <c r="I3912" t="s">
        <v>97</v>
      </c>
      <c r="J3912">
        <v>119.38500000000001</v>
      </c>
      <c r="K3912">
        <v>0.02</v>
      </c>
      <c r="L3912">
        <v>0.5</v>
      </c>
      <c r="M3912">
        <v>31.465</v>
      </c>
      <c r="N3912">
        <v>-36.26</v>
      </c>
      <c r="O3912" s="1" t="s">
        <v>64</v>
      </c>
      <c r="P3912" s="1" t="s">
        <v>9274</v>
      </c>
      <c r="Q3912" s="1" t="s">
        <v>9275</v>
      </c>
      <c r="R3912" s="1" t="s">
        <v>128</v>
      </c>
      <c r="S3912" s="1" t="s">
        <v>9276</v>
      </c>
      <c r="T3912" s="1" t="s">
        <v>9277</v>
      </c>
      <c r="U3912" s="2" t="s">
        <v>2788</v>
      </c>
      <c r="V3912" s="2" t="s">
        <v>83</v>
      </c>
      <c r="W3912" s="2" t="s">
        <v>178</v>
      </c>
      <c r="X3912" s="2">
        <v>88.83</v>
      </c>
    </row>
    <row r="3913" spans="1:24" x14ac:dyDescent="0.3">
      <c r="A3913">
        <v>21761</v>
      </c>
      <c r="B3913" t="s">
        <v>9278</v>
      </c>
      <c r="C3913" s="3">
        <v>40617</v>
      </c>
      <c r="D3913" t="s">
        <v>39</v>
      </c>
      <c r="E3913">
        <v>3</v>
      </c>
      <c r="F3913" s="3">
        <f ca="1">40618+(RANDBETWEEN(1,10))</f>
        <v>40627</v>
      </c>
      <c r="G3913" t="s">
        <v>26</v>
      </c>
      <c r="H3913" t="s">
        <v>51</v>
      </c>
      <c r="I3913" t="s">
        <v>86</v>
      </c>
      <c r="J3913">
        <v>319.86500000000001</v>
      </c>
      <c r="K3913">
        <v>0.08</v>
      </c>
      <c r="L3913">
        <v>0.44</v>
      </c>
      <c r="M3913">
        <v>13.72</v>
      </c>
      <c r="N3913">
        <v>220.70685</v>
      </c>
      <c r="O3913" s="1" t="s">
        <v>87</v>
      </c>
      <c r="P3913" s="1" t="s">
        <v>6572</v>
      </c>
      <c r="Q3913" s="1" t="s">
        <v>6573</v>
      </c>
      <c r="R3913" s="1" t="s">
        <v>497</v>
      </c>
      <c r="S3913" s="1" t="s">
        <v>6574</v>
      </c>
      <c r="T3913" s="1" t="s">
        <v>6575</v>
      </c>
      <c r="U3913" s="2" t="s">
        <v>449</v>
      </c>
      <c r="V3913" s="2" t="s">
        <v>83</v>
      </c>
      <c r="W3913" s="2" t="s">
        <v>178</v>
      </c>
      <c r="X3913" s="2">
        <v>108.255</v>
      </c>
    </row>
    <row r="3914" spans="1:24" x14ac:dyDescent="0.3">
      <c r="A3914">
        <v>21762</v>
      </c>
      <c r="B3914" t="s">
        <v>9279</v>
      </c>
      <c r="C3914" s="3">
        <v>40756</v>
      </c>
      <c r="D3914" t="s">
        <v>25</v>
      </c>
      <c r="E3914">
        <v>12</v>
      </c>
      <c r="F3914" s="3">
        <f ca="1">40760+(RANDBETWEEN(1,10))</f>
        <v>40768</v>
      </c>
      <c r="G3914" t="s">
        <v>76</v>
      </c>
      <c r="H3914" t="s">
        <v>258</v>
      </c>
      <c r="I3914" t="s">
        <v>86</v>
      </c>
      <c r="J3914">
        <v>17273.27</v>
      </c>
      <c r="K3914">
        <v>0.05</v>
      </c>
      <c r="L3914">
        <v>0.67</v>
      </c>
      <c r="M3914">
        <v>385.7</v>
      </c>
      <c r="N3914">
        <v>-746.90980000000002</v>
      </c>
      <c r="O3914" s="1" t="s">
        <v>29</v>
      </c>
      <c r="P3914" s="1" t="s">
        <v>6739</v>
      </c>
      <c r="Q3914" s="1" t="s">
        <v>6740</v>
      </c>
      <c r="R3914" s="1" t="s">
        <v>32</v>
      </c>
      <c r="S3914" s="1" t="s">
        <v>3689</v>
      </c>
      <c r="T3914" s="1" t="s">
        <v>3690</v>
      </c>
      <c r="U3914" s="2" t="s">
        <v>9280</v>
      </c>
      <c r="V3914" s="2" t="s">
        <v>83</v>
      </c>
      <c r="W3914" s="2" t="s">
        <v>263</v>
      </c>
      <c r="X3914" s="2">
        <v>1484.7349999999999</v>
      </c>
    </row>
    <row r="3915" spans="1:24" x14ac:dyDescent="0.3">
      <c r="A3915">
        <v>21763</v>
      </c>
      <c r="B3915" t="s">
        <v>9281</v>
      </c>
      <c r="C3915" s="3">
        <v>41409</v>
      </c>
      <c r="D3915" t="s">
        <v>62</v>
      </c>
      <c r="E3915">
        <v>15</v>
      </c>
      <c r="F3915" s="3">
        <f ca="1">41410+(RANDBETWEEN(1,10))</f>
        <v>41414</v>
      </c>
      <c r="G3915" t="s">
        <v>156</v>
      </c>
      <c r="H3915" t="s">
        <v>27</v>
      </c>
      <c r="I3915" t="s">
        <v>86</v>
      </c>
      <c r="J3915">
        <v>2262.7150000000001</v>
      </c>
      <c r="K3915">
        <v>0.08</v>
      </c>
      <c r="L3915">
        <v>0.56000000000000005</v>
      </c>
      <c r="M3915">
        <v>16.170000000000002</v>
      </c>
      <c r="N3915">
        <v>1561.2733499999999</v>
      </c>
      <c r="O3915" s="1" t="s">
        <v>40</v>
      </c>
      <c r="P3915" s="1" t="s">
        <v>7211</v>
      </c>
      <c r="Q3915" s="1" t="s">
        <v>7212</v>
      </c>
      <c r="R3915" s="1" t="s">
        <v>43</v>
      </c>
      <c r="S3915" s="1" t="s">
        <v>7213</v>
      </c>
      <c r="T3915" s="1" t="s">
        <v>7214</v>
      </c>
      <c r="U3915" s="2" t="s">
        <v>5674</v>
      </c>
      <c r="V3915" s="2" t="s">
        <v>47</v>
      </c>
      <c r="W3915" s="2" t="s">
        <v>71</v>
      </c>
      <c r="X3915" s="2">
        <v>150.43</v>
      </c>
    </row>
    <row r="3916" spans="1:24" x14ac:dyDescent="0.3">
      <c r="A3916">
        <v>21764</v>
      </c>
      <c r="B3916" t="s">
        <v>9281</v>
      </c>
      <c r="C3916" s="3">
        <v>41409</v>
      </c>
      <c r="D3916" t="s">
        <v>62</v>
      </c>
      <c r="E3916">
        <v>9</v>
      </c>
      <c r="F3916" s="3">
        <f ca="1">41409+(RANDBETWEEN(1,10))</f>
        <v>41418</v>
      </c>
      <c r="G3916" t="s">
        <v>156</v>
      </c>
      <c r="H3916" t="s">
        <v>27</v>
      </c>
      <c r="I3916" t="s">
        <v>86</v>
      </c>
      <c r="J3916">
        <v>265.47500000000002</v>
      </c>
      <c r="K3916">
        <v>7.0000000000000007E-2</v>
      </c>
      <c r="L3916">
        <v>0.4</v>
      </c>
      <c r="M3916">
        <v>31.29</v>
      </c>
      <c r="N3916">
        <v>-409.86574999999999</v>
      </c>
      <c r="O3916" s="1" t="s">
        <v>40</v>
      </c>
      <c r="P3916" s="1" t="s">
        <v>7211</v>
      </c>
      <c r="Q3916" s="1" t="s">
        <v>7212</v>
      </c>
      <c r="R3916" s="1" t="s">
        <v>43</v>
      </c>
      <c r="S3916" s="1" t="s">
        <v>7213</v>
      </c>
      <c r="T3916" s="1" t="s">
        <v>7214</v>
      </c>
      <c r="U3916" s="2" t="s">
        <v>2966</v>
      </c>
      <c r="V3916" s="2" t="s">
        <v>47</v>
      </c>
      <c r="W3916" s="2" t="s">
        <v>111</v>
      </c>
      <c r="X3916" s="2">
        <v>28.14</v>
      </c>
    </row>
    <row r="3917" spans="1:24" x14ac:dyDescent="0.3">
      <c r="A3917">
        <v>21765</v>
      </c>
      <c r="B3917" t="s">
        <v>9282</v>
      </c>
      <c r="C3917" s="3">
        <v>41756</v>
      </c>
      <c r="D3917" t="s">
        <v>25</v>
      </c>
      <c r="E3917">
        <v>5</v>
      </c>
      <c r="F3917" s="3">
        <f ca="1">41760+(RANDBETWEEN(1,10))</f>
        <v>41767</v>
      </c>
      <c r="G3917" t="s">
        <v>26</v>
      </c>
      <c r="H3917" t="s">
        <v>27</v>
      </c>
      <c r="I3917" t="s">
        <v>97</v>
      </c>
      <c r="J3917">
        <v>3049.0949999999998</v>
      </c>
      <c r="K3917">
        <v>7.0000000000000007E-2</v>
      </c>
      <c r="L3917">
        <v>0.56000000000000005</v>
      </c>
      <c r="M3917">
        <v>18.41</v>
      </c>
      <c r="N3917">
        <v>1539.2159999999999</v>
      </c>
      <c r="O3917" s="1" t="s">
        <v>40</v>
      </c>
      <c r="P3917" s="1" t="s">
        <v>9283</v>
      </c>
      <c r="Q3917" s="1" t="s">
        <v>9284</v>
      </c>
      <c r="R3917" s="1" t="s">
        <v>43</v>
      </c>
      <c r="S3917" s="1" t="s">
        <v>9285</v>
      </c>
      <c r="T3917" s="1" t="s">
        <v>9286</v>
      </c>
      <c r="U3917" s="2" t="s">
        <v>1881</v>
      </c>
      <c r="V3917" s="2" t="s">
        <v>36</v>
      </c>
      <c r="W3917" s="2" t="s">
        <v>37</v>
      </c>
      <c r="X3917" s="2">
        <v>720.96500000000003</v>
      </c>
    </row>
    <row r="3918" spans="1:24" x14ac:dyDescent="0.3">
      <c r="A3918">
        <v>21766</v>
      </c>
      <c r="B3918" t="s">
        <v>9282</v>
      </c>
      <c r="C3918" s="3">
        <v>41756</v>
      </c>
      <c r="D3918" t="s">
        <v>25</v>
      </c>
      <c r="E3918">
        <v>5</v>
      </c>
      <c r="F3918" s="3">
        <f ca="1">41765+(RANDBETWEEN(1,10))</f>
        <v>41770</v>
      </c>
      <c r="G3918" t="s">
        <v>26</v>
      </c>
      <c r="H3918" t="s">
        <v>27</v>
      </c>
      <c r="I3918" t="s">
        <v>97</v>
      </c>
      <c r="J3918">
        <v>908.42499999999995</v>
      </c>
      <c r="K3918">
        <v>0.08</v>
      </c>
      <c r="L3918">
        <v>0.62</v>
      </c>
      <c r="M3918">
        <v>19.25</v>
      </c>
      <c r="N3918">
        <v>195.54499999999999</v>
      </c>
      <c r="O3918" s="1" t="s">
        <v>29</v>
      </c>
      <c r="P3918" s="1" t="s">
        <v>9287</v>
      </c>
      <c r="Q3918" s="1" t="s">
        <v>9288</v>
      </c>
      <c r="R3918" s="1" t="s">
        <v>32</v>
      </c>
      <c r="S3918" s="1" t="s">
        <v>9289</v>
      </c>
      <c r="T3918" s="1" t="s">
        <v>9290</v>
      </c>
      <c r="U3918" s="2" t="s">
        <v>2236</v>
      </c>
      <c r="V3918" s="2" t="s">
        <v>36</v>
      </c>
      <c r="W3918" s="2" t="s">
        <v>60</v>
      </c>
      <c r="X3918" s="2">
        <v>188.93</v>
      </c>
    </row>
    <row r="3919" spans="1:24" x14ac:dyDescent="0.3">
      <c r="A3919">
        <v>21767</v>
      </c>
      <c r="B3919" t="s">
        <v>9291</v>
      </c>
      <c r="C3919" s="3">
        <v>40815</v>
      </c>
      <c r="D3919" t="s">
        <v>39</v>
      </c>
      <c r="E3919">
        <v>5</v>
      </c>
      <c r="F3919" s="3">
        <f ca="1">40817+(RANDBETWEEN(1,10))</f>
        <v>40822</v>
      </c>
      <c r="G3919" t="s">
        <v>26</v>
      </c>
      <c r="H3919" t="s">
        <v>27</v>
      </c>
      <c r="I3919" t="s">
        <v>52</v>
      </c>
      <c r="J3919">
        <v>1022.8049999999999</v>
      </c>
      <c r="K3919">
        <v>0.01</v>
      </c>
      <c r="L3919">
        <v>0.6</v>
      </c>
      <c r="M3919">
        <v>31.465</v>
      </c>
      <c r="N3919">
        <v>342.51</v>
      </c>
      <c r="O3919" s="1" t="s">
        <v>40</v>
      </c>
      <c r="P3919" s="1" t="s">
        <v>8226</v>
      </c>
      <c r="Q3919" s="1" t="s">
        <v>8227</v>
      </c>
      <c r="R3919" s="1" t="s">
        <v>43</v>
      </c>
      <c r="S3919" s="1" t="s">
        <v>8228</v>
      </c>
      <c r="T3919" s="1" t="s">
        <v>8229</v>
      </c>
      <c r="U3919" s="2" t="s">
        <v>8372</v>
      </c>
      <c r="V3919" s="2" t="s">
        <v>36</v>
      </c>
      <c r="W3919" s="2" t="s">
        <v>37</v>
      </c>
      <c r="X3919" s="2">
        <v>230.965</v>
      </c>
    </row>
    <row r="3920" spans="1:24" x14ac:dyDescent="0.3">
      <c r="A3920">
        <v>21768</v>
      </c>
      <c r="B3920" t="s">
        <v>9292</v>
      </c>
      <c r="C3920" s="3">
        <v>40639</v>
      </c>
      <c r="D3920" t="s">
        <v>25</v>
      </c>
      <c r="E3920">
        <v>4</v>
      </c>
      <c r="F3920" s="3">
        <f ca="1">40648+(RANDBETWEEN(1,10))</f>
        <v>40653</v>
      </c>
      <c r="G3920" t="s">
        <v>26</v>
      </c>
      <c r="H3920" t="s">
        <v>96</v>
      </c>
      <c r="I3920" t="s">
        <v>97</v>
      </c>
      <c r="J3920">
        <v>68.215000000000003</v>
      </c>
      <c r="K3920">
        <v>0.05</v>
      </c>
      <c r="L3920">
        <v>0.52</v>
      </c>
      <c r="M3920">
        <v>2.4849999999999999</v>
      </c>
      <c r="N3920">
        <v>47.068350000000002</v>
      </c>
      <c r="O3920" s="1" t="s">
        <v>40</v>
      </c>
      <c r="P3920" s="1" t="s">
        <v>4497</v>
      </c>
      <c r="Q3920" s="1" t="s">
        <v>4498</v>
      </c>
      <c r="R3920" s="1" t="s">
        <v>43</v>
      </c>
      <c r="S3920" s="1" t="s">
        <v>4499</v>
      </c>
      <c r="T3920" s="1" t="s">
        <v>4500</v>
      </c>
      <c r="U3920" s="2" t="s">
        <v>2636</v>
      </c>
      <c r="V3920" s="2" t="s">
        <v>47</v>
      </c>
      <c r="W3920" s="2" t="s">
        <v>104</v>
      </c>
      <c r="X3920" s="2">
        <v>16.940000000000001</v>
      </c>
    </row>
    <row r="3921" spans="1:24" x14ac:dyDescent="0.3">
      <c r="A3921">
        <v>21769</v>
      </c>
      <c r="B3921" t="s">
        <v>9293</v>
      </c>
      <c r="C3921" s="3">
        <v>41983</v>
      </c>
      <c r="D3921" t="s">
        <v>25</v>
      </c>
      <c r="E3921">
        <v>6</v>
      </c>
      <c r="F3921" s="3">
        <f ca="1">41985+(RANDBETWEEN(1,10))</f>
        <v>41989</v>
      </c>
      <c r="G3921" t="s">
        <v>26</v>
      </c>
      <c r="H3921" t="s">
        <v>63</v>
      </c>
      <c r="I3921" t="s">
        <v>97</v>
      </c>
      <c r="J3921">
        <v>6185.48</v>
      </c>
      <c r="K3921">
        <v>0.03</v>
      </c>
      <c r="L3921">
        <v>0.52</v>
      </c>
      <c r="M3921">
        <v>85.715000000000003</v>
      </c>
      <c r="N3921">
        <v>3.927</v>
      </c>
      <c r="O3921" s="1" t="s">
        <v>225</v>
      </c>
      <c r="P3921" s="1" t="s">
        <v>9294</v>
      </c>
      <c r="Q3921" s="1" t="s">
        <v>9295</v>
      </c>
      <c r="R3921" s="1" t="s">
        <v>391</v>
      </c>
      <c r="S3921" s="1" t="s">
        <v>9296</v>
      </c>
      <c r="T3921" s="1" t="s">
        <v>9297</v>
      </c>
      <c r="U3921" s="2" t="s">
        <v>70</v>
      </c>
      <c r="V3921" s="2" t="s">
        <v>47</v>
      </c>
      <c r="W3921" s="2" t="s">
        <v>71</v>
      </c>
      <c r="X3921" s="2">
        <v>1052.2750000000001</v>
      </c>
    </row>
    <row r="3922" spans="1:24" x14ac:dyDescent="0.3">
      <c r="A3922">
        <v>21770</v>
      </c>
      <c r="B3922" t="s">
        <v>9293</v>
      </c>
      <c r="C3922" s="3">
        <v>41983</v>
      </c>
      <c r="D3922" t="s">
        <v>25</v>
      </c>
      <c r="E3922">
        <v>16</v>
      </c>
      <c r="F3922" s="3">
        <f ca="1">41985+(RANDBETWEEN(1,10))</f>
        <v>41989</v>
      </c>
      <c r="G3922" t="s">
        <v>26</v>
      </c>
      <c r="H3922" t="s">
        <v>27</v>
      </c>
      <c r="I3922" t="s">
        <v>97</v>
      </c>
      <c r="J3922">
        <v>271.74</v>
      </c>
      <c r="K3922">
        <v>0.1</v>
      </c>
      <c r="L3922">
        <v>0.38</v>
      </c>
      <c r="M3922">
        <v>26.39</v>
      </c>
      <c r="N3922">
        <v>841.44899999999996</v>
      </c>
      <c r="O3922" s="1" t="s">
        <v>225</v>
      </c>
      <c r="P3922" s="1" t="s">
        <v>9294</v>
      </c>
      <c r="Q3922" s="1" t="s">
        <v>9295</v>
      </c>
      <c r="R3922" s="1" t="s">
        <v>391</v>
      </c>
      <c r="S3922" s="1" t="s">
        <v>9296</v>
      </c>
      <c r="T3922" s="1" t="s">
        <v>9297</v>
      </c>
      <c r="U3922" s="2" t="s">
        <v>9298</v>
      </c>
      <c r="V3922" s="2" t="s">
        <v>47</v>
      </c>
      <c r="W3922" s="2" t="s">
        <v>74</v>
      </c>
      <c r="X3922" s="2">
        <v>17.43</v>
      </c>
    </row>
    <row r="3923" spans="1:24" x14ac:dyDescent="0.3">
      <c r="A3923">
        <v>21771</v>
      </c>
      <c r="B3923" t="s">
        <v>9299</v>
      </c>
      <c r="C3923" s="3">
        <v>40854</v>
      </c>
      <c r="D3923" t="s">
        <v>62</v>
      </c>
      <c r="E3923">
        <v>5</v>
      </c>
      <c r="F3923" s="3">
        <f ca="1">40857+(RANDBETWEEN(1,10))</f>
        <v>40863</v>
      </c>
      <c r="G3923" t="s">
        <v>26</v>
      </c>
      <c r="H3923" t="s">
        <v>27</v>
      </c>
      <c r="I3923" t="s">
        <v>97</v>
      </c>
      <c r="J3923">
        <v>1323.8050000000001</v>
      </c>
      <c r="K3923">
        <v>0.02</v>
      </c>
      <c r="L3923">
        <v>0.65</v>
      </c>
      <c r="M3923">
        <v>50.82</v>
      </c>
      <c r="N3923">
        <v>152.38300000000001</v>
      </c>
      <c r="O3923" s="1" t="s">
        <v>64</v>
      </c>
      <c r="P3923" s="1" t="s">
        <v>6650</v>
      </c>
      <c r="Q3923" s="1" t="s">
        <v>6651</v>
      </c>
      <c r="R3923" s="1" t="s">
        <v>67</v>
      </c>
      <c r="S3923" s="1" t="s">
        <v>6652</v>
      </c>
      <c r="T3923" s="1" t="s">
        <v>6653</v>
      </c>
      <c r="U3923" s="2" t="s">
        <v>2448</v>
      </c>
      <c r="V3923" s="2" t="s">
        <v>36</v>
      </c>
      <c r="W3923" s="2" t="s">
        <v>60</v>
      </c>
      <c r="X3923" s="2">
        <v>258.93</v>
      </c>
    </row>
    <row r="3924" spans="1:24" x14ac:dyDescent="0.3">
      <c r="A3924">
        <v>21772</v>
      </c>
      <c r="B3924" t="s">
        <v>9300</v>
      </c>
      <c r="C3924" s="3">
        <v>40579</v>
      </c>
      <c r="D3924" t="s">
        <v>62</v>
      </c>
      <c r="E3924">
        <v>7</v>
      </c>
      <c r="F3924" s="3">
        <f ca="1">40579+(RANDBETWEEN(1,10))</f>
        <v>40583</v>
      </c>
      <c r="G3924" t="s">
        <v>26</v>
      </c>
      <c r="H3924" t="s">
        <v>96</v>
      </c>
      <c r="I3924" t="s">
        <v>97</v>
      </c>
      <c r="J3924">
        <v>186.97</v>
      </c>
      <c r="K3924">
        <v>0</v>
      </c>
      <c r="L3924">
        <v>0.37</v>
      </c>
      <c r="M3924">
        <v>6.1950000000000003</v>
      </c>
      <c r="N3924">
        <v>585.05999999999995</v>
      </c>
      <c r="O3924" s="1" t="s">
        <v>225</v>
      </c>
      <c r="P3924" s="1" t="s">
        <v>9294</v>
      </c>
      <c r="Q3924" s="1" t="s">
        <v>9295</v>
      </c>
      <c r="R3924" s="1" t="s">
        <v>391</v>
      </c>
      <c r="S3924" s="1" t="s">
        <v>9296</v>
      </c>
      <c r="T3924" s="1" t="s">
        <v>9297</v>
      </c>
      <c r="U3924" s="2" t="s">
        <v>5351</v>
      </c>
      <c r="V3924" s="2" t="s">
        <v>47</v>
      </c>
      <c r="W3924" s="2" t="s">
        <v>74</v>
      </c>
      <c r="X3924" s="2">
        <v>25.48</v>
      </c>
    </row>
    <row r="3925" spans="1:24" x14ac:dyDescent="0.3">
      <c r="A3925">
        <v>21773</v>
      </c>
      <c r="B3925" t="s">
        <v>9301</v>
      </c>
      <c r="C3925" s="3">
        <v>41064</v>
      </c>
      <c r="D3925" t="s">
        <v>39</v>
      </c>
      <c r="E3925">
        <v>2</v>
      </c>
      <c r="F3925" s="3">
        <f ca="1">41067+(RANDBETWEEN(1,10))</f>
        <v>41076</v>
      </c>
      <c r="G3925" t="s">
        <v>76</v>
      </c>
      <c r="H3925" t="s">
        <v>77</v>
      </c>
      <c r="I3925" t="s">
        <v>28</v>
      </c>
      <c r="J3925">
        <v>817.53</v>
      </c>
      <c r="K3925">
        <v>0.01</v>
      </c>
      <c r="L3925">
        <v>0.59</v>
      </c>
      <c r="M3925">
        <v>210</v>
      </c>
      <c r="N3925">
        <v>-594.55200000000002</v>
      </c>
      <c r="O3925" s="1" t="s">
        <v>40</v>
      </c>
      <c r="P3925" s="1" t="s">
        <v>2725</v>
      </c>
      <c r="Q3925" s="1" t="s">
        <v>2726</v>
      </c>
      <c r="R3925" s="1" t="s">
        <v>43</v>
      </c>
      <c r="S3925" s="1" t="s">
        <v>2727</v>
      </c>
      <c r="T3925" s="1" t="s">
        <v>2728</v>
      </c>
      <c r="U3925" s="2" t="s">
        <v>1185</v>
      </c>
      <c r="V3925" s="2" t="s">
        <v>83</v>
      </c>
      <c r="W3925" s="2" t="s">
        <v>263</v>
      </c>
      <c r="X3925" s="2">
        <v>352.8</v>
      </c>
    </row>
    <row r="3926" spans="1:24" x14ac:dyDescent="0.3">
      <c r="A3926">
        <v>21774</v>
      </c>
      <c r="B3926" t="s">
        <v>3572</v>
      </c>
      <c r="C3926" s="3">
        <v>41600</v>
      </c>
      <c r="D3926" t="s">
        <v>39</v>
      </c>
      <c r="E3926">
        <v>18</v>
      </c>
      <c r="F3926" s="3">
        <f ca="1">41601+(RANDBETWEEN(1,10))</f>
        <v>41605</v>
      </c>
      <c r="G3926" t="s">
        <v>156</v>
      </c>
      <c r="H3926" t="s">
        <v>96</v>
      </c>
      <c r="I3926" t="s">
        <v>97</v>
      </c>
      <c r="J3926">
        <v>610.64499999999998</v>
      </c>
      <c r="K3926">
        <v>0.03</v>
      </c>
      <c r="L3926">
        <v>0.52</v>
      </c>
      <c r="M3926">
        <v>7.875</v>
      </c>
      <c r="N3926">
        <v>297.22000000000003</v>
      </c>
      <c r="O3926" s="1" t="s">
        <v>53</v>
      </c>
      <c r="P3926" s="1" t="s">
        <v>4985</v>
      </c>
      <c r="Q3926" s="1" t="s">
        <v>4986</v>
      </c>
      <c r="R3926" s="1" t="s">
        <v>440</v>
      </c>
      <c r="S3926" s="1" t="s">
        <v>4987</v>
      </c>
      <c r="T3926" s="1" t="s">
        <v>4988</v>
      </c>
      <c r="U3926" s="2" t="s">
        <v>419</v>
      </c>
      <c r="V3926" s="2" t="s">
        <v>47</v>
      </c>
      <c r="W3926" s="2" t="s">
        <v>104</v>
      </c>
      <c r="X3926" s="2">
        <v>31.885000000000002</v>
      </c>
    </row>
    <row r="3927" spans="1:24" x14ac:dyDescent="0.3">
      <c r="A3927">
        <v>21775</v>
      </c>
      <c r="B3927" t="s">
        <v>3572</v>
      </c>
      <c r="C3927" s="3">
        <v>41600</v>
      </c>
      <c r="D3927" t="s">
        <v>39</v>
      </c>
      <c r="E3927">
        <v>32</v>
      </c>
      <c r="F3927" s="3">
        <f ca="1">41601+(RANDBETWEEN(1,10))</f>
        <v>41603</v>
      </c>
      <c r="G3927" t="s">
        <v>26</v>
      </c>
      <c r="H3927" t="s">
        <v>27</v>
      </c>
      <c r="I3927" t="s">
        <v>97</v>
      </c>
      <c r="J3927">
        <v>807.24</v>
      </c>
      <c r="K3927">
        <v>0.05</v>
      </c>
      <c r="L3927">
        <v>0.38</v>
      </c>
      <c r="M3927">
        <v>27.02</v>
      </c>
      <c r="N3927">
        <v>886.68299999999999</v>
      </c>
      <c r="O3927" s="1" t="s">
        <v>40</v>
      </c>
      <c r="P3927" s="1" t="s">
        <v>9302</v>
      </c>
      <c r="Q3927" s="1" t="s">
        <v>9303</v>
      </c>
      <c r="R3927" s="1" t="s">
        <v>43</v>
      </c>
      <c r="S3927" s="1" t="s">
        <v>9304</v>
      </c>
      <c r="T3927" s="1" t="s">
        <v>9305</v>
      </c>
      <c r="U3927" s="2" t="s">
        <v>823</v>
      </c>
      <c r="V3927" s="2" t="s">
        <v>47</v>
      </c>
      <c r="W3927" s="2" t="s">
        <v>111</v>
      </c>
      <c r="X3927" s="2">
        <v>25.55</v>
      </c>
    </row>
    <row r="3928" spans="1:24" x14ac:dyDescent="0.3">
      <c r="A3928">
        <v>21776</v>
      </c>
      <c r="B3928" t="s">
        <v>9306</v>
      </c>
      <c r="C3928" s="3">
        <v>40770</v>
      </c>
      <c r="D3928" t="s">
        <v>62</v>
      </c>
      <c r="E3928">
        <v>22</v>
      </c>
      <c r="F3928" s="3">
        <f ca="1">40772+(RANDBETWEEN(1,10))</f>
        <v>40775</v>
      </c>
      <c r="G3928" t="s">
        <v>26</v>
      </c>
      <c r="H3928" t="s">
        <v>51</v>
      </c>
      <c r="I3928" t="s">
        <v>97</v>
      </c>
      <c r="J3928">
        <v>739.02499999999998</v>
      </c>
      <c r="K3928">
        <v>0.06</v>
      </c>
      <c r="L3928">
        <v>0.45</v>
      </c>
      <c r="M3928">
        <v>25.515000000000001</v>
      </c>
      <c r="N3928">
        <v>-188.33359999999999</v>
      </c>
      <c r="O3928" s="1" t="s">
        <v>40</v>
      </c>
      <c r="P3928" s="1" t="s">
        <v>9307</v>
      </c>
      <c r="Q3928" s="1" t="s">
        <v>9308</v>
      </c>
      <c r="R3928" s="1" t="s">
        <v>220</v>
      </c>
      <c r="S3928" s="1" t="s">
        <v>4479</v>
      </c>
      <c r="T3928" s="1" t="s">
        <v>4480</v>
      </c>
      <c r="U3928" s="2" t="s">
        <v>2315</v>
      </c>
      <c r="V3928" s="2" t="s">
        <v>83</v>
      </c>
      <c r="W3928" s="2" t="s">
        <v>178</v>
      </c>
      <c r="X3928" s="2">
        <v>33.18</v>
      </c>
    </row>
    <row r="3929" spans="1:24" x14ac:dyDescent="0.3">
      <c r="A3929">
        <v>21777</v>
      </c>
      <c r="B3929" t="s">
        <v>9309</v>
      </c>
      <c r="C3929" s="3">
        <v>41007</v>
      </c>
      <c r="D3929" t="s">
        <v>50</v>
      </c>
      <c r="E3929">
        <v>1</v>
      </c>
      <c r="F3929" s="3">
        <f ca="1">41008+(RANDBETWEEN(1,10))</f>
        <v>41015</v>
      </c>
      <c r="G3929" t="s">
        <v>26</v>
      </c>
      <c r="H3929" t="s">
        <v>281</v>
      </c>
      <c r="I3929" t="s">
        <v>97</v>
      </c>
      <c r="J3929">
        <v>527.1</v>
      </c>
      <c r="K3929">
        <v>0.05</v>
      </c>
      <c r="L3929">
        <v>0.38</v>
      </c>
      <c r="M3929">
        <v>48.965000000000003</v>
      </c>
      <c r="N3929">
        <v>-1479.3394000000001</v>
      </c>
      <c r="O3929" s="1" t="s">
        <v>29</v>
      </c>
      <c r="P3929" s="1" t="s">
        <v>9310</v>
      </c>
      <c r="Q3929" s="1" t="s">
        <v>9311</v>
      </c>
      <c r="R3929" s="1" t="s">
        <v>32</v>
      </c>
      <c r="S3929" s="1" t="s">
        <v>2418</v>
      </c>
      <c r="T3929" s="1" t="s">
        <v>2419</v>
      </c>
      <c r="U3929" s="2" t="s">
        <v>480</v>
      </c>
      <c r="V3929" s="2" t="s">
        <v>36</v>
      </c>
      <c r="W3929" s="2" t="s">
        <v>142</v>
      </c>
      <c r="X3929" s="2">
        <v>528.42999999999995</v>
      </c>
    </row>
    <row r="3930" spans="1:24" x14ac:dyDescent="0.3">
      <c r="A3930">
        <v>21778</v>
      </c>
      <c r="B3930" t="s">
        <v>9312</v>
      </c>
      <c r="C3930" s="3">
        <v>41414</v>
      </c>
      <c r="D3930" t="s">
        <v>50</v>
      </c>
      <c r="E3930">
        <v>17</v>
      </c>
      <c r="F3930" s="3">
        <f ca="1">41415+(RANDBETWEEN(1,10))</f>
        <v>41418</v>
      </c>
      <c r="G3930" t="s">
        <v>26</v>
      </c>
      <c r="H3930" t="s">
        <v>27</v>
      </c>
      <c r="I3930" t="s">
        <v>97</v>
      </c>
      <c r="J3930">
        <v>986.82500000000005</v>
      </c>
      <c r="K3930">
        <v>0.02</v>
      </c>
      <c r="L3930">
        <v>0.38</v>
      </c>
      <c r="M3930">
        <v>4.8650000000000002</v>
      </c>
      <c r="N3930">
        <v>680.90925000000004</v>
      </c>
      <c r="O3930" s="1" t="s">
        <v>87</v>
      </c>
      <c r="P3930" s="1" t="s">
        <v>2842</v>
      </c>
      <c r="Q3930" s="1" t="s">
        <v>2843</v>
      </c>
      <c r="R3930" s="1" t="s">
        <v>398</v>
      </c>
      <c r="S3930" s="1" t="s">
        <v>2733</v>
      </c>
      <c r="T3930" s="1" t="s">
        <v>2844</v>
      </c>
      <c r="U3930" s="2" t="s">
        <v>2854</v>
      </c>
      <c r="V3930" s="2" t="s">
        <v>47</v>
      </c>
      <c r="W3930" s="2" t="s">
        <v>48</v>
      </c>
      <c r="X3930" s="2">
        <v>54.844999999999999</v>
      </c>
    </row>
    <row r="3931" spans="1:24" x14ac:dyDescent="0.3">
      <c r="A3931">
        <v>21779</v>
      </c>
      <c r="B3931" t="s">
        <v>9312</v>
      </c>
      <c r="C3931" s="3">
        <v>41414</v>
      </c>
      <c r="D3931" t="s">
        <v>50</v>
      </c>
      <c r="E3931">
        <v>11</v>
      </c>
      <c r="F3931" s="3">
        <f ca="1">41416+(RANDBETWEEN(1,10))</f>
        <v>41417</v>
      </c>
      <c r="G3931" t="s">
        <v>26</v>
      </c>
      <c r="H3931" t="s">
        <v>281</v>
      </c>
      <c r="I3931" t="s">
        <v>97</v>
      </c>
      <c r="J3931">
        <v>1948.66</v>
      </c>
      <c r="K3931">
        <v>7.0000000000000007E-2</v>
      </c>
      <c r="L3931">
        <v>0.65</v>
      </c>
      <c r="M3931">
        <v>64.575000000000003</v>
      </c>
      <c r="N3931">
        <v>223.58</v>
      </c>
      <c r="O3931" s="1" t="s">
        <v>87</v>
      </c>
      <c r="P3931" s="1" t="s">
        <v>2842</v>
      </c>
      <c r="Q3931" s="1" t="s">
        <v>2843</v>
      </c>
      <c r="R3931" s="1" t="s">
        <v>398</v>
      </c>
      <c r="S3931" s="1" t="s">
        <v>2733</v>
      </c>
      <c r="T3931" s="1" t="s">
        <v>2844</v>
      </c>
      <c r="U3931" s="2" t="s">
        <v>3758</v>
      </c>
      <c r="V3931" s="2" t="s">
        <v>83</v>
      </c>
      <c r="W3931" s="2" t="s">
        <v>178</v>
      </c>
      <c r="X3931" s="2">
        <v>180.77500000000001</v>
      </c>
    </row>
    <row r="3932" spans="1:24" x14ac:dyDescent="0.3">
      <c r="A3932">
        <v>21780</v>
      </c>
      <c r="B3932" t="s">
        <v>9312</v>
      </c>
      <c r="C3932" s="3">
        <v>41414</v>
      </c>
      <c r="D3932" t="s">
        <v>50</v>
      </c>
      <c r="E3932">
        <v>4</v>
      </c>
      <c r="F3932" s="3">
        <f ca="1">41415+(RANDBETWEEN(1,10))</f>
        <v>41417</v>
      </c>
      <c r="G3932" t="s">
        <v>156</v>
      </c>
      <c r="H3932" t="s">
        <v>27</v>
      </c>
      <c r="I3932" t="s">
        <v>97</v>
      </c>
      <c r="J3932">
        <v>1469.93</v>
      </c>
      <c r="K3932">
        <v>0.04</v>
      </c>
      <c r="L3932">
        <v>0.56999999999999995</v>
      </c>
      <c r="M3932">
        <v>31.465</v>
      </c>
      <c r="N3932">
        <v>-616.1925</v>
      </c>
      <c r="O3932" s="1" t="s">
        <v>87</v>
      </c>
      <c r="P3932" s="1" t="s">
        <v>2842</v>
      </c>
      <c r="Q3932" s="1" t="s">
        <v>2843</v>
      </c>
      <c r="R3932" s="1" t="s">
        <v>398</v>
      </c>
      <c r="S3932" s="1" t="s">
        <v>2733</v>
      </c>
      <c r="T3932" s="1" t="s">
        <v>2844</v>
      </c>
      <c r="U3932" s="2" t="s">
        <v>5713</v>
      </c>
      <c r="V3932" s="2" t="s">
        <v>36</v>
      </c>
      <c r="W3932" s="2" t="s">
        <v>37</v>
      </c>
      <c r="X3932" s="2">
        <v>440.96499999999997</v>
      </c>
    </row>
    <row r="3933" spans="1:24" x14ac:dyDescent="0.3">
      <c r="A3933">
        <v>21781</v>
      </c>
      <c r="B3933" t="s">
        <v>9313</v>
      </c>
      <c r="C3933" s="3">
        <v>41085</v>
      </c>
      <c r="D3933" t="s">
        <v>148</v>
      </c>
      <c r="E3933">
        <v>17</v>
      </c>
      <c r="F3933" s="3">
        <f ca="1">41087+(RANDBETWEEN(1,10))</f>
        <v>41097</v>
      </c>
      <c r="G3933" t="s">
        <v>26</v>
      </c>
      <c r="H3933" t="s">
        <v>63</v>
      </c>
      <c r="I3933" t="s">
        <v>97</v>
      </c>
      <c r="J3933">
        <v>36056.404999999999</v>
      </c>
      <c r="K3933">
        <v>0</v>
      </c>
      <c r="L3933">
        <v>0.44</v>
      </c>
      <c r="M3933">
        <v>85.715000000000003</v>
      </c>
      <c r="N3933">
        <v>-1779.932</v>
      </c>
      <c r="O3933" s="1" t="s">
        <v>64</v>
      </c>
      <c r="P3933" s="1" t="s">
        <v>9314</v>
      </c>
      <c r="Q3933" s="1" t="s">
        <v>9315</v>
      </c>
      <c r="R3933" s="1" t="s">
        <v>128</v>
      </c>
      <c r="S3933" s="1" t="s">
        <v>9316</v>
      </c>
      <c r="T3933" s="1" t="s">
        <v>9317</v>
      </c>
      <c r="U3933" s="2" t="s">
        <v>6295</v>
      </c>
      <c r="V3933" s="2" t="s">
        <v>36</v>
      </c>
      <c r="W3933" s="2" t="s">
        <v>1327</v>
      </c>
      <c r="X3933" s="2">
        <v>2099.9650000000001</v>
      </c>
    </row>
    <row r="3934" spans="1:24" x14ac:dyDescent="0.3">
      <c r="A3934">
        <v>21782</v>
      </c>
      <c r="B3934" t="s">
        <v>9313</v>
      </c>
      <c r="C3934" s="3">
        <v>41085</v>
      </c>
      <c r="D3934" t="s">
        <v>148</v>
      </c>
      <c r="E3934">
        <v>18</v>
      </c>
      <c r="F3934" s="3">
        <f ca="1">41087+(RANDBETWEEN(1,10))</f>
        <v>41097</v>
      </c>
      <c r="G3934" t="s">
        <v>26</v>
      </c>
      <c r="H3934" t="s">
        <v>27</v>
      </c>
      <c r="I3934" t="s">
        <v>97</v>
      </c>
      <c r="J3934">
        <v>2610.58</v>
      </c>
      <c r="K3934">
        <v>0.04</v>
      </c>
      <c r="L3934">
        <v>0.36</v>
      </c>
      <c r="M3934">
        <v>20.51</v>
      </c>
      <c r="N3934">
        <v>1801.3001999999999</v>
      </c>
      <c r="O3934" s="1" t="s">
        <v>64</v>
      </c>
      <c r="P3934" s="1" t="s">
        <v>9314</v>
      </c>
      <c r="Q3934" s="1" t="s">
        <v>9315</v>
      </c>
      <c r="R3934" s="1" t="s">
        <v>128</v>
      </c>
      <c r="S3934" s="1" t="s">
        <v>9316</v>
      </c>
      <c r="T3934" s="1" t="s">
        <v>9317</v>
      </c>
      <c r="U3934" s="2" t="s">
        <v>7775</v>
      </c>
      <c r="V3934" s="2" t="s">
        <v>47</v>
      </c>
      <c r="W3934" s="2" t="s">
        <v>74</v>
      </c>
      <c r="X3934" s="2">
        <v>143.465</v>
      </c>
    </row>
    <row r="3935" spans="1:24" x14ac:dyDescent="0.3">
      <c r="A3935">
        <v>21783</v>
      </c>
      <c r="B3935" t="s">
        <v>9313</v>
      </c>
      <c r="C3935" s="3">
        <v>41085</v>
      </c>
      <c r="D3935" t="s">
        <v>148</v>
      </c>
      <c r="E3935">
        <v>18</v>
      </c>
      <c r="F3935" s="3">
        <f ca="1">41087+(RANDBETWEEN(1,10))</f>
        <v>41094</v>
      </c>
      <c r="G3935" t="s">
        <v>156</v>
      </c>
      <c r="H3935" t="s">
        <v>27</v>
      </c>
      <c r="I3935" t="s">
        <v>97</v>
      </c>
      <c r="J3935">
        <v>932.92499999999995</v>
      </c>
      <c r="K3935">
        <v>0.09</v>
      </c>
      <c r="L3935">
        <v>0.56999999999999995</v>
      </c>
      <c r="M3935">
        <v>30.73</v>
      </c>
      <c r="N3935">
        <v>-440.83199999999999</v>
      </c>
      <c r="O3935" s="1" t="s">
        <v>64</v>
      </c>
      <c r="P3935" s="1" t="s">
        <v>9314</v>
      </c>
      <c r="Q3935" s="1" t="s">
        <v>9315</v>
      </c>
      <c r="R3935" s="1" t="s">
        <v>128</v>
      </c>
      <c r="S3935" s="1" t="s">
        <v>9316</v>
      </c>
      <c r="T3935" s="1" t="s">
        <v>9317</v>
      </c>
      <c r="U3935" s="2" t="s">
        <v>3278</v>
      </c>
      <c r="V3935" s="2" t="s">
        <v>47</v>
      </c>
      <c r="W3935" s="2" t="s">
        <v>119</v>
      </c>
      <c r="X3935" s="2">
        <v>53.585000000000001</v>
      </c>
    </row>
    <row r="3936" spans="1:24" x14ac:dyDescent="0.3">
      <c r="A3936">
        <v>21784</v>
      </c>
      <c r="B3936" t="s">
        <v>9313</v>
      </c>
      <c r="C3936" s="3">
        <v>41085</v>
      </c>
      <c r="D3936" t="s">
        <v>148</v>
      </c>
      <c r="E3936">
        <v>1</v>
      </c>
      <c r="F3936" s="3">
        <f ca="1">41086+(RANDBETWEEN(1,10))</f>
        <v>41087</v>
      </c>
      <c r="G3936" t="s">
        <v>26</v>
      </c>
      <c r="H3936" t="s">
        <v>27</v>
      </c>
      <c r="I3936" t="s">
        <v>97</v>
      </c>
      <c r="J3936">
        <v>85.47</v>
      </c>
      <c r="K3936">
        <v>0.01</v>
      </c>
      <c r="L3936">
        <v>0.37</v>
      </c>
      <c r="M3936">
        <v>31.605</v>
      </c>
      <c r="N3936">
        <v>-59.36</v>
      </c>
      <c r="O3936" s="1" t="s">
        <v>40</v>
      </c>
      <c r="P3936" s="1" t="s">
        <v>7694</v>
      </c>
      <c r="Q3936" s="1" t="s">
        <v>7695</v>
      </c>
      <c r="R3936" s="1" t="s">
        <v>220</v>
      </c>
      <c r="S3936" s="1" t="s">
        <v>7696</v>
      </c>
      <c r="T3936" s="1" t="s">
        <v>7268</v>
      </c>
      <c r="U3936" s="2" t="s">
        <v>482</v>
      </c>
      <c r="V3936" s="2" t="s">
        <v>47</v>
      </c>
      <c r="W3936" s="2" t="s">
        <v>74</v>
      </c>
      <c r="X3936" s="2">
        <v>66.394999999999996</v>
      </c>
    </row>
    <row r="3937" spans="1:24" x14ac:dyDescent="0.3">
      <c r="A3937">
        <v>21785</v>
      </c>
      <c r="B3937" t="s">
        <v>9318</v>
      </c>
      <c r="C3937" s="3">
        <v>41726</v>
      </c>
      <c r="D3937" t="s">
        <v>148</v>
      </c>
      <c r="E3937">
        <v>11</v>
      </c>
      <c r="F3937" s="3">
        <f ca="1">41728+(RANDBETWEEN(1,10))</f>
        <v>41729</v>
      </c>
      <c r="G3937" t="s">
        <v>26</v>
      </c>
      <c r="H3937" t="s">
        <v>96</v>
      </c>
      <c r="I3937" t="s">
        <v>28</v>
      </c>
      <c r="J3937">
        <v>301.73500000000001</v>
      </c>
      <c r="K3937">
        <v>0.05</v>
      </c>
      <c r="L3937">
        <v>0.35</v>
      </c>
      <c r="M3937">
        <v>4.375</v>
      </c>
      <c r="N3937">
        <v>208.19714999999999</v>
      </c>
      <c r="O3937" s="1" t="s">
        <v>53</v>
      </c>
      <c r="P3937" s="1" t="s">
        <v>6046</v>
      </c>
      <c r="Q3937" s="1" t="s">
        <v>6047</v>
      </c>
      <c r="R3937" s="1" t="s">
        <v>100</v>
      </c>
      <c r="S3937" s="1" t="s">
        <v>3524</v>
      </c>
      <c r="T3937" s="1" t="s">
        <v>3525</v>
      </c>
      <c r="U3937" s="2" t="s">
        <v>9319</v>
      </c>
      <c r="V3937" s="2" t="s">
        <v>47</v>
      </c>
      <c r="W3937" s="2" t="s">
        <v>74</v>
      </c>
      <c r="X3937" s="2">
        <v>27.93</v>
      </c>
    </row>
    <row r="3938" spans="1:24" x14ac:dyDescent="0.3">
      <c r="A3938">
        <v>21786</v>
      </c>
      <c r="B3938" t="s">
        <v>9318</v>
      </c>
      <c r="C3938" s="3">
        <v>41726</v>
      </c>
      <c r="D3938" t="s">
        <v>148</v>
      </c>
      <c r="E3938">
        <v>13</v>
      </c>
      <c r="F3938" s="3">
        <f ca="1">41728+(RANDBETWEEN(1,10))</f>
        <v>41736</v>
      </c>
      <c r="G3938" t="s">
        <v>26</v>
      </c>
      <c r="H3938" t="s">
        <v>27</v>
      </c>
      <c r="I3938" t="s">
        <v>28</v>
      </c>
      <c r="J3938">
        <v>5544.84</v>
      </c>
      <c r="K3938">
        <v>0.09</v>
      </c>
      <c r="L3938">
        <v>0.6</v>
      </c>
      <c r="M3938">
        <v>28.28</v>
      </c>
      <c r="N3938">
        <v>3825.9396000000002</v>
      </c>
      <c r="O3938" s="1" t="s">
        <v>53</v>
      </c>
      <c r="P3938" s="1" t="s">
        <v>6046</v>
      </c>
      <c r="Q3938" s="1" t="s">
        <v>6047</v>
      </c>
      <c r="R3938" s="1" t="s">
        <v>100</v>
      </c>
      <c r="S3938" s="1" t="s">
        <v>3524</v>
      </c>
      <c r="T3938" s="1" t="s">
        <v>3525</v>
      </c>
      <c r="U3938" s="2" t="s">
        <v>630</v>
      </c>
      <c r="V3938" s="2" t="s">
        <v>36</v>
      </c>
      <c r="W3938" s="2" t="s">
        <v>37</v>
      </c>
      <c r="X3938" s="2">
        <v>545.96500000000003</v>
      </c>
    </row>
    <row r="3939" spans="1:24" x14ac:dyDescent="0.3">
      <c r="A3939">
        <v>21787</v>
      </c>
      <c r="B3939" t="s">
        <v>9320</v>
      </c>
      <c r="C3939" s="3">
        <v>41881</v>
      </c>
      <c r="D3939" t="s">
        <v>148</v>
      </c>
      <c r="E3939">
        <v>7</v>
      </c>
      <c r="F3939" s="3">
        <f ca="1">41881+(RANDBETWEEN(1,10))</f>
        <v>41883</v>
      </c>
      <c r="G3939" t="s">
        <v>26</v>
      </c>
      <c r="H3939" t="s">
        <v>51</v>
      </c>
      <c r="I3939" t="s">
        <v>97</v>
      </c>
      <c r="J3939">
        <v>1137.08</v>
      </c>
      <c r="K3939">
        <v>0.08</v>
      </c>
      <c r="L3939">
        <v>0.35</v>
      </c>
      <c r="M3939">
        <v>4.375</v>
      </c>
      <c r="N3939">
        <v>784.58519999999999</v>
      </c>
      <c r="O3939" s="1" t="s">
        <v>53</v>
      </c>
      <c r="P3939" s="1" t="s">
        <v>6812</v>
      </c>
      <c r="Q3939" s="1" t="s">
        <v>6813</v>
      </c>
      <c r="R3939" s="1" t="s">
        <v>56</v>
      </c>
      <c r="S3939" s="1" t="s">
        <v>6814</v>
      </c>
      <c r="T3939" s="1" t="s">
        <v>6815</v>
      </c>
      <c r="U3939" s="2" t="s">
        <v>2368</v>
      </c>
      <c r="V3939" s="2" t="s">
        <v>36</v>
      </c>
      <c r="W3939" s="2" t="s">
        <v>37</v>
      </c>
      <c r="X3939" s="2">
        <v>195.965</v>
      </c>
    </row>
    <row r="3940" spans="1:24" x14ac:dyDescent="0.3">
      <c r="A3940">
        <v>21788</v>
      </c>
      <c r="B3940" t="s">
        <v>9320</v>
      </c>
      <c r="C3940" s="3">
        <v>41881</v>
      </c>
      <c r="D3940" t="s">
        <v>148</v>
      </c>
      <c r="E3940">
        <v>22</v>
      </c>
      <c r="F3940" s="3">
        <f ca="1">41882+(RANDBETWEEN(1,10))</f>
        <v>41891</v>
      </c>
      <c r="G3940" t="s">
        <v>26</v>
      </c>
      <c r="H3940" t="s">
        <v>27</v>
      </c>
      <c r="I3940" t="s">
        <v>97</v>
      </c>
      <c r="J3940">
        <v>1348.4449999999999</v>
      </c>
      <c r="K3940">
        <v>0.04</v>
      </c>
      <c r="L3940">
        <v>0.57999999999999996</v>
      </c>
      <c r="M3940">
        <v>21.875</v>
      </c>
      <c r="N3940">
        <v>166.41772</v>
      </c>
      <c r="O3940" s="1" t="s">
        <v>29</v>
      </c>
      <c r="P3940" s="1" t="s">
        <v>9321</v>
      </c>
      <c r="Q3940" s="1" t="s">
        <v>9322</v>
      </c>
      <c r="R3940" s="1" t="s">
        <v>32</v>
      </c>
      <c r="S3940" s="1" t="s">
        <v>3129</v>
      </c>
      <c r="T3940" s="1" t="s">
        <v>3130</v>
      </c>
      <c r="U3940" s="2" t="s">
        <v>306</v>
      </c>
      <c r="V3940" s="2" t="s">
        <v>47</v>
      </c>
      <c r="W3940" s="2" t="s">
        <v>119</v>
      </c>
      <c r="X3940" s="2">
        <v>59.185000000000002</v>
      </c>
    </row>
    <row r="3941" spans="1:24" x14ac:dyDescent="0.3">
      <c r="A3941">
        <v>21789</v>
      </c>
      <c r="B3941" t="s">
        <v>9323</v>
      </c>
      <c r="C3941" s="3">
        <v>41757</v>
      </c>
      <c r="D3941" t="s">
        <v>50</v>
      </c>
      <c r="E3941">
        <v>9</v>
      </c>
      <c r="F3941" s="3">
        <f ca="1">41758+(RANDBETWEEN(1,10))</f>
        <v>41766</v>
      </c>
      <c r="G3941" t="s">
        <v>156</v>
      </c>
      <c r="H3941" t="s">
        <v>27</v>
      </c>
      <c r="I3941" t="s">
        <v>86</v>
      </c>
      <c r="J3941">
        <v>1689.59</v>
      </c>
      <c r="K3941">
        <v>0.05</v>
      </c>
      <c r="L3941">
        <v>0.37</v>
      </c>
      <c r="M3941">
        <v>50.05</v>
      </c>
      <c r="N3941">
        <v>1165.8171</v>
      </c>
      <c r="O3941" s="1" t="s">
        <v>40</v>
      </c>
      <c r="P3941" s="1" t="s">
        <v>6962</v>
      </c>
      <c r="Q3941" s="1" t="s">
        <v>6963</v>
      </c>
      <c r="R3941" s="1" t="s">
        <v>43</v>
      </c>
      <c r="S3941" s="1" t="s">
        <v>6964</v>
      </c>
      <c r="T3941" s="1" t="s">
        <v>6965</v>
      </c>
      <c r="U3941" s="2" t="s">
        <v>1168</v>
      </c>
      <c r="V3941" s="2" t="s">
        <v>47</v>
      </c>
      <c r="W3941" s="2" t="s">
        <v>74</v>
      </c>
      <c r="X3941" s="2">
        <v>194.18</v>
      </c>
    </row>
    <row r="3942" spans="1:24" x14ac:dyDescent="0.3">
      <c r="A3942">
        <v>21790</v>
      </c>
      <c r="B3942" t="s">
        <v>9324</v>
      </c>
      <c r="C3942" s="3">
        <v>41273</v>
      </c>
      <c r="D3942" t="s">
        <v>148</v>
      </c>
      <c r="E3942">
        <v>2</v>
      </c>
      <c r="F3942" s="3">
        <f ca="1">41273+(RANDBETWEEN(1,10))</f>
        <v>41277</v>
      </c>
      <c r="G3942" t="s">
        <v>26</v>
      </c>
      <c r="H3942" t="s">
        <v>27</v>
      </c>
      <c r="I3942" t="s">
        <v>97</v>
      </c>
      <c r="J3942">
        <v>75.11</v>
      </c>
      <c r="K3942">
        <v>0.09</v>
      </c>
      <c r="L3942">
        <v>0.35</v>
      </c>
      <c r="M3942">
        <v>4.8650000000000002</v>
      </c>
      <c r="N3942">
        <v>29.872499999999999</v>
      </c>
      <c r="O3942" s="1" t="s">
        <v>64</v>
      </c>
      <c r="P3942" s="1" t="s">
        <v>501</v>
      </c>
      <c r="Q3942" s="1" t="s">
        <v>502</v>
      </c>
      <c r="R3942" s="1" t="s">
        <v>128</v>
      </c>
      <c r="S3942" s="1" t="s">
        <v>503</v>
      </c>
      <c r="T3942" s="1" t="s">
        <v>504</v>
      </c>
      <c r="U3942" s="2" t="s">
        <v>9325</v>
      </c>
      <c r="V3942" s="2" t="s">
        <v>47</v>
      </c>
      <c r="W3942" s="2" t="s">
        <v>48</v>
      </c>
      <c r="X3942" s="2">
        <v>38.29</v>
      </c>
    </row>
    <row r="3943" spans="1:24" x14ac:dyDescent="0.3">
      <c r="A3943">
        <v>21791</v>
      </c>
      <c r="B3943" t="s">
        <v>9326</v>
      </c>
      <c r="C3943" s="3">
        <v>40729</v>
      </c>
      <c r="D3943" t="s">
        <v>25</v>
      </c>
      <c r="E3943">
        <v>8</v>
      </c>
      <c r="F3943" s="3">
        <f ca="1">40733+(RANDBETWEEN(1,10))</f>
        <v>40734</v>
      </c>
      <c r="G3943" t="s">
        <v>26</v>
      </c>
      <c r="H3943" t="s">
        <v>63</v>
      </c>
      <c r="I3943" t="s">
        <v>97</v>
      </c>
      <c r="J3943">
        <v>2232.16</v>
      </c>
      <c r="K3943">
        <v>0.05</v>
      </c>
      <c r="L3943">
        <v>0.81</v>
      </c>
      <c r="M3943">
        <v>122.5</v>
      </c>
      <c r="N3943">
        <v>-2612.54</v>
      </c>
      <c r="O3943" s="1" t="s">
        <v>87</v>
      </c>
      <c r="P3943" s="1" t="s">
        <v>8313</v>
      </c>
      <c r="Q3943" s="1" t="s">
        <v>8314</v>
      </c>
      <c r="R3943" s="1" t="s">
        <v>646</v>
      </c>
      <c r="S3943" s="1" t="s">
        <v>8315</v>
      </c>
      <c r="T3943" s="1" t="s">
        <v>8316</v>
      </c>
      <c r="U3943" s="2" t="s">
        <v>166</v>
      </c>
      <c r="V3943" s="2" t="s">
        <v>47</v>
      </c>
      <c r="W3943" s="2" t="s">
        <v>119</v>
      </c>
      <c r="X3943" s="2">
        <v>283.43</v>
      </c>
    </row>
    <row r="3944" spans="1:24" x14ac:dyDescent="0.3">
      <c r="A3944">
        <v>21792</v>
      </c>
      <c r="B3944" t="s">
        <v>9326</v>
      </c>
      <c r="C3944" s="3">
        <v>40729</v>
      </c>
      <c r="D3944" t="s">
        <v>25</v>
      </c>
      <c r="E3944">
        <v>8</v>
      </c>
      <c r="F3944" s="3">
        <f ca="1">40729+(RANDBETWEEN(1,10))</f>
        <v>40736</v>
      </c>
      <c r="G3944" t="s">
        <v>26</v>
      </c>
      <c r="H3944" t="s">
        <v>63</v>
      </c>
      <c r="I3944" t="s">
        <v>97</v>
      </c>
      <c r="J3944">
        <v>7546.21</v>
      </c>
      <c r="K3944">
        <v>0.05</v>
      </c>
      <c r="L3944">
        <v>0.8</v>
      </c>
      <c r="M3944">
        <v>122.5</v>
      </c>
      <c r="N3944">
        <v>-962.32500000000005</v>
      </c>
      <c r="O3944" s="1" t="s">
        <v>87</v>
      </c>
      <c r="P3944" s="1" t="s">
        <v>8313</v>
      </c>
      <c r="Q3944" s="1" t="s">
        <v>8314</v>
      </c>
      <c r="R3944" s="1" t="s">
        <v>646</v>
      </c>
      <c r="S3944" s="1" t="s">
        <v>8315</v>
      </c>
      <c r="T3944" s="1" t="s">
        <v>8316</v>
      </c>
      <c r="U3944" s="2" t="s">
        <v>2645</v>
      </c>
      <c r="V3944" s="2" t="s">
        <v>47</v>
      </c>
      <c r="W3944" s="2" t="s">
        <v>119</v>
      </c>
      <c r="X3944" s="2">
        <v>978.18</v>
      </c>
    </row>
    <row r="3945" spans="1:24" x14ac:dyDescent="0.3">
      <c r="A3945">
        <v>21793</v>
      </c>
      <c r="B3945" t="s">
        <v>9327</v>
      </c>
      <c r="C3945" s="3">
        <v>41639</v>
      </c>
      <c r="D3945" t="s">
        <v>25</v>
      </c>
      <c r="E3945">
        <v>12</v>
      </c>
      <c r="F3945" s="3">
        <f ca="1">41639+(RANDBETWEEN(1,10))</f>
        <v>41640</v>
      </c>
      <c r="G3945" t="s">
        <v>26</v>
      </c>
      <c r="H3945" t="s">
        <v>27</v>
      </c>
      <c r="I3945" t="s">
        <v>97</v>
      </c>
      <c r="J3945">
        <v>2343.7049999999999</v>
      </c>
      <c r="K3945">
        <v>0.03</v>
      </c>
      <c r="L3945">
        <v>0.56000000000000005</v>
      </c>
      <c r="M3945">
        <v>46.27</v>
      </c>
      <c r="N3945">
        <v>748.17750000000001</v>
      </c>
      <c r="O3945" s="1" t="s">
        <v>64</v>
      </c>
      <c r="P3945" s="1" t="s">
        <v>6432</v>
      </c>
      <c r="Q3945" s="1" t="s">
        <v>6433</v>
      </c>
      <c r="R3945" s="1" t="s">
        <v>67</v>
      </c>
      <c r="S3945" s="1" t="s">
        <v>6434</v>
      </c>
      <c r="T3945" s="1" t="s">
        <v>6435</v>
      </c>
      <c r="U3945" s="2" t="s">
        <v>2644</v>
      </c>
      <c r="V3945" s="2" t="s">
        <v>47</v>
      </c>
      <c r="W3945" s="2" t="s">
        <v>71</v>
      </c>
      <c r="X3945" s="2">
        <v>199.36</v>
      </c>
    </row>
    <row r="3946" spans="1:24" x14ac:dyDescent="0.3">
      <c r="A3946">
        <v>21794</v>
      </c>
      <c r="B3946" t="s">
        <v>9328</v>
      </c>
      <c r="C3946" s="3">
        <v>41235</v>
      </c>
      <c r="D3946" t="s">
        <v>39</v>
      </c>
      <c r="E3946">
        <v>21</v>
      </c>
      <c r="F3946" s="3">
        <f ca="1">41236+(RANDBETWEEN(1,10))</f>
        <v>41246</v>
      </c>
      <c r="G3946" t="s">
        <v>26</v>
      </c>
      <c r="H3946" t="s">
        <v>63</v>
      </c>
      <c r="I3946" t="s">
        <v>52</v>
      </c>
      <c r="J3946">
        <v>41867.839999999997</v>
      </c>
      <c r="K3946">
        <v>0.06</v>
      </c>
      <c r="L3946">
        <v>0.5</v>
      </c>
      <c r="M3946">
        <v>85.715000000000003</v>
      </c>
      <c r="N3946">
        <v>24090.913</v>
      </c>
      <c r="O3946" s="1" t="s">
        <v>40</v>
      </c>
      <c r="P3946" s="1" t="s">
        <v>5266</v>
      </c>
      <c r="Q3946" s="1" t="s">
        <v>5267</v>
      </c>
      <c r="R3946" s="1" t="s">
        <v>43</v>
      </c>
      <c r="S3946" s="1" t="s">
        <v>5268</v>
      </c>
      <c r="T3946" s="1" t="s">
        <v>5269</v>
      </c>
      <c r="U3946" s="2" t="s">
        <v>5807</v>
      </c>
      <c r="V3946" s="2" t="s">
        <v>36</v>
      </c>
      <c r="W3946" s="2" t="s">
        <v>1327</v>
      </c>
      <c r="X3946" s="2">
        <v>2099.9650000000001</v>
      </c>
    </row>
    <row r="3947" spans="1:24" x14ac:dyDescent="0.3">
      <c r="A3947">
        <v>21795</v>
      </c>
      <c r="B3947" t="s">
        <v>9328</v>
      </c>
      <c r="C3947" s="3">
        <v>41235</v>
      </c>
      <c r="D3947" t="s">
        <v>39</v>
      </c>
      <c r="E3947">
        <v>32</v>
      </c>
      <c r="F3947" s="3">
        <f ca="1">41236+(RANDBETWEEN(1,10))</f>
        <v>41238</v>
      </c>
      <c r="G3947" t="s">
        <v>26</v>
      </c>
      <c r="H3947" t="s">
        <v>27</v>
      </c>
      <c r="I3947" t="s">
        <v>52</v>
      </c>
      <c r="J3947">
        <v>493.43</v>
      </c>
      <c r="K3947">
        <v>0.05</v>
      </c>
      <c r="L3947">
        <v>0.4</v>
      </c>
      <c r="M3947">
        <v>23.52</v>
      </c>
      <c r="N3947">
        <v>113.099</v>
      </c>
      <c r="O3947" s="1" t="s">
        <v>40</v>
      </c>
      <c r="P3947" s="1" t="s">
        <v>5266</v>
      </c>
      <c r="Q3947" s="1" t="s">
        <v>5267</v>
      </c>
      <c r="R3947" s="1" t="s">
        <v>43</v>
      </c>
      <c r="S3947" s="1" t="s">
        <v>5268</v>
      </c>
      <c r="T3947" s="1" t="s">
        <v>5269</v>
      </c>
      <c r="U3947" s="2" t="s">
        <v>2298</v>
      </c>
      <c r="V3947" s="2" t="s">
        <v>47</v>
      </c>
      <c r="W3947" s="2" t="s">
        <v>74</v>
      </c>
      <c r="X3947" s="2">
        <v>14.98</v>
      </c>
    </row>
    <row r="3948" spans="1:24" x14ac:dyDescent="0.3">
      <c r="A3948">
        <v>21796</v>
      </c>
      <c r="B3948" t="s">
        <v>9329</v>
      </c>
      <c r="C3948" s="3">
        <v>40983</v>
      </c>
      <c r="D3948" t="s">
        <v>62</v>
      </c>
      <c r="E3948">
        <v>3</v>
      </c>
      <c r="F3948" s="3">
        <f ca="1">40985+(RANDBETWEEN(1,10))</f>
        <v>40986</v>
      </c>
      <c r="G3948" t="s">
        <v>26</v>
      </c>
      <c r="H3948" t="s">
        <v>281</v>
      </c>
      <c r="I3948" t="s">
        <v>86</v>
      </c>
      <c r="J3948">
        <v>1539.615</v>
      </c>
      <c r="K3948">
        <v>0</v>
      </c>
      <c r="L3948">
        <v>0.37</v>
      </c>
      <c r="M3948">
        <v>48.965000000000003</v>
      </c>
      <c r="N3948">
        <v>1062.3343500000001</v>
      </c>
      <c r="O3948" s="1" t="s">
        <v>40</v>
      </c>
      <c r="P3948" s="1" t="s">
        <v>8981</v>
      </c>
      <c r="Q3948" s="1" t="s">
        <v>8982</v>
      </c>
      <c r="R3948" s="1" t="s">
        <v>220</v>
      </c>
      <c r="S3948" s="1" t="s">
        <v>8983</v>
      </c>
      <c r="T3948" s="1" t="s">
        <v>8984</v>
      </c>
      <c r="U3948" s="2" t="s">
        <v>7910</v>
      </c>
      <c r="V3948" s="2" t="s">
        <v>36</v>
      </c>
      <c r="W3948" s="2" t="s">
        <v>142</v>
      </c>
      <c r="X3948" s="2">
        <v>493.46499999999997</v>
      </c>
    </row>
    <row r="3949" spans="1:24" x14ac:dyDescent="0.3">
      <c r="A3949">
        <v>21797</v>
      </c>
      <c r="B3949" t="s">
        <v>9330</v>
      </c>
      <c r="C3949" s="3">
        <v>41863</v>
      </c>
      <c r="D3949" t="s">
        <v>50</v>
      </c>
      <c r="E3949">
        <v>11</v>
      </c>
      <c r="F3949" s="3">
        <f ca="1">41864+(RANDBETWEEN(1,10))</f>
        <v>41871</v>
      </c>
      <c r="G3949" t="s">
        <v>26</v>
      </c>
      <c r="H3949" t="s">
        <v>27</v>
      </c>
      <c r="I3949" t="s">
        <v>28</v>
      </c>
      <c r="J3949">
        <v>266.77</v>
      </c>
      <c r="K3949">
        <v>0.03</v>
      </c>
      <c r="L3949">
        <v>0.36</v>
      </c>
      <c r="M3949">
        <v>20.51</v>
      </c>
      <c r="N3949">
        <v>16.695</v>
      </c>
      <c r="O3949" s="1" t="s">
        <v>29</v>
      </c>
      <c r="P3949" s="1" t="s">
        <v>8361</v>
      </c>
      <c r="Q3949" s="1" t="s">
        <v>8362</v>
      </c>
      <c r="R3949" s="1" t="s">
        <v>460</v>
      </c>
      <c r="S3949" s="1" t="s">
        <v>8363</v>
      </c>
      <c r="T3949" s="1" t="s">
        <v>8364</v>
      </c>
      <c r="U3949" s="2" t="s">
        <v>2014</v>
      </c>
      <c r="V3949" s="2" t="s">
        <v>47</v>
      </c>
      <c r="W3949" s="2" t="s">
        <v>74</v>
      </c>
      <c r="X3949" s="2">
        <v>22.68</v>
      </c>
    </row>
    <row r="3950" spans="1:24" x14ac:dyDescent="0.3">
      <c r="A3950">
        <v>21798</v>
      </c>
      <c r="B3950" t="s">
        <v>9331</v>
      </c>
      <c r="C3950" s="3">
        <v>41321</v>
      </c>
      <c r="D3950" t="s">
        <v>50</v>
      </c>
      <c r="E3950">
        <v>10</v>
      </c>
      <c r="F3950" s="3">
        <f ca="1">41322+(RANDBETWEEN(1,10))</f>
        <v>41324</v>
      </c>
      <c r="G3950" t="s">
        <v>26</v>
      </c>
      <c r="H3950" t="s">
        <v>27</v>
      </c>
      <c r="I3950" t="s">
        <v>97</v>
      </c>
      <c r="J3950">
        <v>211.64500000000001</v>
      </c>
      <c r="K3950">
        <v>0.01</v>
      </c>
      <c r="L3950">
        <v>0.36</v>
      </c>
      <c r="M3950">
        <v>8.75</v>
      </c>
      <c r="N3950">
        <v>138.70500000000001</v>
      </c>
      <c r="O3950" s="1" t="s">
        <v>64</v>
      </c>
      <c r="P3950" s="1" t="s">
        <v>620</v>
      </c>
      <c r="Q3950" s="1" t="s">
        <v>621</v>
      </c>
      <c r="R3950" s="1" t="s">
        <v>128</v>
      </c>
      <c r="S3950" s="1" t="s">
        <v>622</v>
      </c>
      <c r="T3950" s="1" t="s">
        <v>623</v>
      </c>
      <c r="U3950" s="2" t="s">
        <v>1486</v>
      </c>
      <c r="V3950" s="2" t="s">
        <v>47</v>
      </c>
      <c r="W3950" s="2" t="s">
        <v>48</v>
      </c>
      <c r="X3950" s="2">
        <v>20.93</v>
      </c>
    </row>
    <row r="3951" spans="1:24" x14ac:dyDescent="0.3">
      <c r="A3951">
        <v>21799</v>
      </c>
      <c r="B3951" t="s">
        <v>9331</v>
      </c>
      <c r="C3951" s="3">
        <v>41321</v>
      </c>
      <c r="D3951" t="s">
        <v>50</v>
      </c>
      <c r="E3951">
        <v>1</v>
      </c>
      <c r="F3951" s="3">
        <f ca="1">41322+(RANDBETWEEN(1,10))</f>
        <v>41327</v>
      </c>
      <c r="G3951" t="s">
        <v>26</v>
      </c>
      <c r="H3951" t="s">
        <v>51</v>
      </c>
      <c r="I3951" t="s">
        <v>97</v>
      </c>
      <c r="J3951">
        <v>46.935000000000002</v>
      </c>
      <c r="K3951">
        <v>0</v>
      </c>
      <c r="L3951">
        <v>0.51</v>
      </c>
      <c r="M3951">
        <v>18.899999999999999</v>
      </c>
      <c r="N3951">
        <v>32.385150000000003</v>
      </c>
      <c r="O3951" s="1" t="s">
        <v>64</v>
      </c>
      <c r="P3951" s="1" t="s">
        <v>620</v>
      </c>
      <c r="Q3951" s="1" t="s">
        <v>621</v>
      </c>
      <c r="R3951" s="1" t="s">
        <v>128</v>
      </c>
      <c r="S3951" s="1" t="s">
        <v>622</v>
      </c>
      <c r="T3951" s="1" t="s">
        <v>623</v>
      </c>
      <c r="U3951" s="2" t="s">
        <v>4601</v>
      </c>
      <c r="V3951" s="2" t="s">
        <v>83</v>
      </c>
      <c r="W3951" s="2" t="s">
        <v>178</v>
      </c>
      <c r="X3951" s="2">
        <v>36.4</v>
      </c>
    </row>
    <row r="3952" spans="1:24" x14ac:dyDescent="0.3">
      <c r="A3952">
        <v>2180</v>
      </c>
      <c r="B3952" t="s">
        <v>9332</v>
      </c>
      <c r="C3952" s="3">
        <v>41460</v>
      </c>
      <c r="D3952" t="s">
        <v>39</v>
      </c>
      <c r="E3952">
        <v>68</v>
      </c>
      <c r="F3952" s="3">
        <f ca="1">41462+(RANDBETWEEN(1,10))</f>
        <v>41467</v>
      </c>
      <c r="G3952" t="s">
        <v>156</v>
      </c>
      <c r="H3952" t="s">
        <v>27</v>
      </c>
      <c r="I3952" t="s">
        <v>97</v>
      </c>
      <c r="J3952">
        <v>11950.995000000001</v>
      </c>
      <c r="K3952">
        <v>0.01</v>
      </c>
      <c r="L3952">
        <v>0.56999999999999995</v>
      </c>
      <c r="M3952">
        <v>69.965000000000003</v>
      </c>
      <c r="N3952">
        <v>12.6</v>
      </c>
      <c r="O3952" s="1" t="s">
        <v>87</v>
      </c>
      <c r="P3952" s="1" t="s">
        <v>5156</v>
      </c>
      <c r="Q3952" s="1" t="s">
        <v>5157</v>
      </c>
      <c r="R3952" s="1" t="s">
        <v>398</v>
      </c>
      <c r="S3952" s="1" t="s">
        <v>3179</v>
      </c>
      <c r="T3952" s="1" t="s">
        <v>5158</v>
      </c>
      <c r="U3952" s="2" t="s">
        <v>3665</v>
      </c>
      <c r="V3952" s="2" t="s">
        <v>47</v>
      </c>
      <c r="W3952" s="2" t="s">
        <v>71</v>
      </c>
      <c r="X3952" s="2">
        <v>173.005</v>
      </c>
    </row>
    <row r="3953" spans="1:24" x14ac:dyDescent="0.3">
      <c r="A3953">
        <v>21800</v>
      </c>
      <c r="B3953" t="s">
        <v>9333</v>
      </c>
      <c r="C3953" s="3">
        <v>41609</v>
      </c>
      <c r="D3953" t="s">
        <v>39</v>
      </c>
      <c r="E3953">
        <v>1</v>
      </c>
      <c r="F3953" s="3">
        <f ca="1">41611+(RANDBETWEEN(1,10))</f>
        <v>41618</v>
      </c>
      <c r="G3953" t="s">
        <v>26</v>
      </c>
      <c r="H3953" t="s">
        <v>27</v>
      </c>
      <c r="I3953" t="s">
        <v>97</v>
      </c>
      <c r="J3953">
        <v>48.86</v>
      </c>
      <c r="K3953">
        <v>0.06</v>
      </c>
      <c r="L3953">
        <v>0.38</v>
      </c>
      <c r="M3953">
        <v>10.465</v>
      </c>
      <c r="N3953">
        <v>-8.2311250000000005</v>
      </c>
      <c r="O3953" s="1" t="s">
        <v>225</v>
      </c>
      <c r="P3953" s="1" t="s">
        <v>6401</v>
      </c>
      <c r="Q3953" s="1" t="s">
        <v>6402</v>
      </c>
      <c r="R3953" s="1" t="s">
        <v>228</v>
      </c>
      <c r="S3953" s="1" t="s">
        <v>6403</v>
      </c>
      <c r="T3953" s="1" t="s">
        <v>6404</v>
      </c>
      <c r="U3953" s="2" t="s">
        <v>1610</v>
      </c>
      <c r="V3953" s="2" t="s">
        <v>47</v>
      </c>
      <c r="W3953" s="2" t="s">
        <v>111</v>
      </c>
      <c r="X3953" s="2">
        <v>38.185000000000002</v>
      </c>
    </row>
    <row r="3954" spans="1:24" x14ac:dyDescent="0.3">
      <c r="A3954">
        <v>21801</v>
      </c>
      <c r="B3954" t="s">
        <v>9333</v>
      </c>
      <c r="C3954" s="3">
        <v>41609</v>
      </c>
      <c r="D3954" t="s">
        <v>39</v>
      </c>
      <c r="E3954">
        <v>25</v>
      </c>
      <c r="F3954" s="3">
        <f ca="1">41609+(RANDBETWEEN(1,10))</f>
        <v>41614</v>
      </c>
      <c r="G3954" t="s">
        <v>26</v>
      </c>
      <c r="H3954" t="s">
        <v>27</v>
      </c>
      <c r="I3954" t="s">
        <v>97</v>
      </c>
      <c r="J3954">
        <v>930.09</v>
      </c>
      <c r="K3954">
        <v>0.08</v>
      </c>
      <c r="L3954">
        <v>0.39</v>
      </c>
      <c r="M3954">
        <v>4.8650000000000002</v>
      </c>
      <c r="N3954">
        <v>641.76210000000003</v>
      </c>
      <c r="O3954" s="1" t="s">
        <v>225</v>
      </c>
      <c r="P3954" s="1" t="s">
        <v>6401</v>
      </c>
      <c r="Q3954" s="1" t="s">
        <v>6402</v>
      </c>
      <c r="R3954" s="1" t="s">
        <v>228</v>
      </c>
      <c r="S3954" s="1" t="s">
        <v>6403</v>
      </c>
      <c r="T3954" s="1" t="s">
        <v>6404</v>
      </c>
      <c r="U3954" s="2" t="s">
        <v>9334</v>
      </c>
      <c r="V3954" s="2" t="s">
        <v>47</v>
      </c>
      <c r="W3954" s="2" t="s">
        <v>48</v>
      </c>
      <c r="X3954" s="2">
        <v>37.344999999999999</v>
      </c>
    </row>
    <row r="3955" spans="1:24" x14ac:dyDescent="0.3">
      <c r="A3955">
        <v>21802</v>
      </c>
      <c r="B3955" t="s">
        <v>9333</v>
      </c>
      <c r="C3955" s="3">
        <v>41609</v>
      </c>
      <c r="D3955" t="s">
        <v>39</v>
      </c>
      <c r="E3955">
        <v>15</v>
      </c>
      <c r="F3955" s="3">
        <f ca="1">41611+(RANDBETWEEN(1,10))</f>
        <v>41615</v>
      </c>
      <c r="G3955" t="s">
        <v>76</v>
      </c>
      <c r="H3955" t="s">
        <v>77</v>
      </c>
      <c r="I3955" t="s">
        <v>97</v>
      </c>
      <c r="J3955">
        <v>6380.64</v>
      </c>
      <c r="K3955">
        <v>0.08</v>
      </c>
      <c r="L3955">
        <v>0.78</v>
      </c>
      <c r="M3955">
        <v>105</v>
      </c>
      <c r="N3955">
        <v>-997.81500000000005</v>
      </c>
      <c r="O3955" s="1" t="s">
        <v>29</v>
      </c>
      <c r="P3955" s="1" t="s">
        <v>9335</v>
      </c>
      <c r="Q3955" s="1" t="s">
        <v>9336</v>
      </c>
      <c r="R3955" s="1" t="s">
        <v>32</v>
      </c>
      <c r="S3955" s="1" t="s">
        <v>33</v>
      </c>
      <c r="T3955" s="1" t="s">
        <v>9337</v>
      </c>
      <c r="U3955" s="2" t="s">
        <v>2894</v>
      </c>
      <c r="V3955" s="2" t="s">
        <v>83</v>
      </c>
      <c r="W3955" s="2" t="s">
        <v>84</v>
      </c>
      <c r="X3955" s="2">
        <v>458.43</v>
      </c>
    </row>
    <row r="3956" spans="1:24" x14ac:dyDescent="0.3">
      <c r="A3956">
        <v>21803</v>
      </c>
      <c r="B3956" t="s">
        <v>9333</v>
      </c>
      <c r="C3956" s="3">
        <v>41609</v>
      </c>
      <c r="D3956" t="s">
        <v>39</v>
      </c>
      <c r="E3956">
        <v>21</v>
      </c>
      <c r="F3956" s="3">
        <f ca="1">41611+(RANDBETWEEN(1,10))</f>
        <v>41612</v>
      </c>
      <c r="G3956" t="s">
        <v>26</v>
      </c>
      <c r="H3956" t="s">
        <v>51</v>
      </c>
      <c r="I3956" t="s">
        <v>97</v>
      </c>
      <c r="J3956">
        <v>1558.585</v>
      </c>
      <c r="K3956">
        <v>0.05</v>
      </c>
      <c r="L3956">
        <v>0.52</v>
      </c>
      <c r="M3956">
        <v>12.705</v>
      </c>
      <c r="N3956">
        <v>1075.42365</v>
      </c>
      <c r="O3956" s="1" t="s">
        <v>29</v>
      </c>
      <c r="P3956" s="1" t="s">
        <v>9335</v>
      </c>
      <c r="Q3956" s="1" t="s">
        <v>9336</v>
      </c>
      <c r="R3956" s="1" t="s">
        <v>32</v>
      </c>
      <c r="S3956" s="1" t="s">
        <v>33</v>
      </c>
      <c r="T3956" s="1" t="s">
        <v>9337</v>
      </c>
      <c r="U3956" s="2" t="s">
        <v>6058</v>
      </c>
      <c r="V3956" s="2" t="s">
        <v>83</v>
      </c>
      <c r="W3956" s="2" t="s">
        <v>178</v>
      </c>
      <c r="X3956" s="2">
        <v>77.805000000000007</v>
      </c>
    </row>
    <row r="3957" spans="1:24" x14ac:dyDescent="0.3">
      <c r="A3957">
        <v>21804</v>
      </c>
      <c r="B3957" t="s">
        <v>9333</v>
      </c>
      <c r="C3957" s="3">
        <v>41609</v>
      </c>
      <c r="D3957" t="s">
        <v>39</v>
      </c>
      <c r="E3957">
        <v>5</v>
      </c>
      <c r="F3957" s="3">
        <f ca="1">41611+(RANDBETWEEN(1,10))</f>
        <v>41612</v>
      </c>
      <c r="G3957" t="s">
        <v>26</v>
      </c>
      <c r="H3957" t="s">
        <v>96</v>
      </c>
      <c r="I3957" t="s">
        <v>97</v>
      </c>
      <c r="J3957">
        <v>112.35</v>
      </c>
      <c r="K3957">
        <v>0.08</v>
      </c>
      <c r="L3957">
        <v>0.48</v>
      </c>
      <c r="M3957">
        <v>5.25</v>
      </c>
      <c r="N3957">
        <v>19.7925</v>
      </c>
      <c r="O3957" s="1" t="s">
        <v>29</v>
      </c>
      <c r="P3957" s="1" t="s">
        <v>9335</v>
      </c>
      <c r="Q3957" s="1" t="s">
        <v>9336</v>
      </c>
      <c r="R3957" s="1" t="s">
        <v>32</v>
      </c>
      <c r="S3957" s="1" t="s">
        <v>33</v>
      </c>
      <c r="T3957" s="1" t="s">
        <v>9337</v>
      </c>
      <c r="U3957" s="2" t="s">
        <v>2494</v>
      </c>
      <c r="V3957" s="2" t="s">
        <v>47</v>
      </c>
      <c r="W3957" s="2" t="s">
        <v>104</v>
      </c>
      <c r="X3957" s="2">
        <v>23.38</v>
      </c>
    </row>
    <row r="3958" spans="1:24" x14ac:dyDescent="0.3">
      <c r="A3958">
        <v>21805</v>
      </c>
      <c r="B3958" t="s">
        <v>9338</v>
      </c>
      <c r="C3958" s="3">
        <v>41678</v>
      </c>
      <c r="D3958" t="s">
        <v>62</v>
      </c>
      <c r="E3958">
        <v>12</v>
      </c>
      <c r="F3958" s="3">
        <f ca="1">41680+(RANDBETWEEN(1,10))</f>
        <v>41688</v>
      </c>
      <c r="G3958" t="s">
        <v>26</v>
      </c>
      <c r="H3958" t="s">
        <v>27</v>
      </c>
      <c r="I3958" t="s">
        <v>52</v>
      </c>
      <c r="J3958">
        <v>470.96</v>
      </c>
      <c r="K3958">
        <v>0.01</v>
      </c>
      <c r="L3958">
        <v>0.64</v>
      </c>
      <c r="M3958">
        <v>22.75</v>
      </c>
      <c r="N3958">
        <v>-541.30999999999995</v>
      </c>
      <c r="O3958" s="1" t="s">
        <v>53</v>
      </c>
      <c r="P3958" s="1" t="s">
        <v>613</v>
      </c>
      <c r="Q3958" s="1" t="s">
        <v>614</v>
      </c>
      <c r="R3958" s="1" t="s">
        <v>56</v>
      </c>
      <c r="S3958" s="1" t="s">
        <v>615</v>
      </c>
      <c r="T3958" s="1" t="s">
        <v>616</v>
      </c>
      <c r="U3958" s="2" t="s">
        <v>337</v>
      </c>
      <c r="V3958" s="2" t="s">
        <v>36</v>
      </c>
      <c r="W3958" s="2" t="s">
        <v>60</v>
      </c>
      <c r="X3958" s="2">
        <v>38.395000000000003</v>
      </c>
    </row>
    <row r="3959" spans="1:24" x14ac:dyDescent="0.3">
      <c r="A3959">
        <v>21806</v>
      </c>
      <c r="B3959" t="s">
        <v>9339</v>
      </c>
      <c r="C3959" s="3">
        <v>40613</v>
      </c>
      <c r="D3959" t="s">
        <v>39</v>
      </c>
      <c r="E3959">
        <v>3</v>
      </c>
      <c r="F3959" s="3">
        <f ca="1">40616+(RANDBETWEEN(1,10))</f>
        <v>40620</v>
      </c>
      <c r="G3959" t="s">
        <v>26</v>
      </c>
      <c r="H3959" t="s">
        <v>27</v>
      </c>
      <c r="I3959" t="s">
        <v>97</v>
      </c>
      <c r="J3959">
        <v>1015.84</v>
      </c>
      <c r="K3959">
        <v>0.06</v>
      </c>
      <c r="L3959">
        <v>0.52</v>
      </c>
      <c r="M3959">
        <v>69.965000000000003</v>
      </c>
      <c r="N3959">
        <v>-446.46</v>
      </c>
      <c r="O3959" s="1" t="s">
        <v>225</v>
      </c>
      <c r="P3959" s="1" t="s">
        <v>8046</v>
      </c>
      <c r="Q3959" s="1" t="s">
        <v>8047</v>
      </c>
      <c r="R3959" s="1" t="s">
        <v>391</v>
      </c>
      <c r="S3959" s="1" t="s">
        <v>8048</v>
      </c>
      <c r="T3959" s="1" t="s">
        <v>8049</v>
      </c>
      <c r="U3959" s="2" t="s">
        <v>1438</v>
      </c>
      <c r="V3959" s="2" t="s">
        <v>36</v>
      </c>
      <c r="W3959" s="2" t="s">
        <v>60</v>
      </c>
      <c r="X3959" s="2">
        <v>349.96499999999997</v>
      </c>
    </row>
    <row r="3960" spans="1:24" x14ac:dyDescent="0.3">
      <c r="A3960">
        <v>21807</v>
      </c>
      <c r="B3960" t="s">
        <v>9339</v>
      </c>
      <c r="C3960" s="3">
        <v>40613</v>
      </c>
      <c r="D3960" t="s">
        <v>39</v>
      </c>
      <c r="E3960">
        <v>5</v>
      </c>
      <c r="F3960" s="3">
        <f ca="1">40614+(RANDBETWEEN(1,10))</f>
        <v>40623</v>
      </c>
      <c r="G3960" t="s">
        <v>26</v>
      </c>
      <c r="H3960" t="s">
        <v>27</v>
      </c>
      <c r="I3960" t="s">
        <v>97</v>
      </c>
      <c r="J3960">
        <v>3399.9</v>
      </c>
      <c r="K3960">
        <v>0</v>
      </c>
      <c r="L3960">
        <v>0.71</v>
      </c>
      <c r="M3960">
        <v>69.965000000000003</v>
      </c>
      <c r="N3960">
        <v>987.63</v>
      </c>
      <c r="O3960" s="1" t="s">
        <v>225</v>
      </c>
      <c r="P3960" s="1" t="s">
        <v>8046</v>
      </c>
      <c r="Q3960" s="1" t="s">
        <v>8047</v>
      </c>
      <c r="R3960" s="1" t="s">
        <v>391</v>
      </c>
      <c r="S3960" s="1" t="s">
        <v>8048</v>
      </c>
      <c r="T3960" s="1" t="s">
        <v>8049</v>
      </c>
      <c r="U3960" s="2" t="s">
        <v>624</v>
      </c>
      <c r="V3960" s="2" t="s">
        <v>47</v>
      </c>
      <c r="W3960" s="2" t="s">
        <v>119</v>
      </c>
      <c r="X3960" s="2">
        <v>676.09500000000003</v>
      </c>
    </row>
    <row r="3961" spans="1:24" x14ac:dyDescent="0.3">
      <c r="A3961">
        <v>21808</v>
      </c>
      <c r="B3961" t="s">
        <v>9339</v>
      </c>
      <c r="C3961" s="3">
        <v>40613</v>
      </c>
      <c r="D3961" t="s">
        <v>39</v>
      </c>
      <c r="E3961">
        <v>11</v>
      </c>
      <c r="F3961" s="3">
        <f ca="1">40613+(RANDBETWEEN(1,10))</f>
        <v>40616</v>
      </c>
      <c r="G3961" t="s">
        <v>156</v>
      </c>
      <c r="H3961" t="s">
        <v>51</v>
      </c>
      <c r="I3961" t="s">
        <v>97</v>
      </c>
      <c r="J3961">
        <v>677.28499999999997</v>
      </c>
      <c r="K3961">
        <v>0.08</v>
      </c>
      <c r="L3961">
        <v>0.81</v>
      </c>
      <c r="M3961">
        <v>11.55</v>
      </c>
      <c r="N3961">
        <v>-337.18299999999999</v>
      </c>
      <c r="O3961" s="1" t="s">
        <v>225</v>
      </c>
      <c r="P3961" s="1" t="s">
        <v>8046</v>
      </c>
      <c r="Q3961" s="1" t="s">
        <v>8047</v>
      </c>
      <c r="R3961" s="1" t="s">
        <v>391</v>
      </c>
      <c r="S3961" s="1" t="s">
        <v>8048</v>
      </c>
      <c r="T3961" s="1" t="s">
        <v>8049</v>
      </c>
      <c r="U3961" s="2" t="s">
        <v>2224</v>
      </c>
      <c r="V3961" s="2" t="s">
        <v>36</v>
      </c>
      <c r="W3961" s="2" t="s">
        <v>37</v>
      </c>
      <c r="X3961" s="2">
        <v>73.465000000000003</v>
      </c>
    </row>
    <row r="3962" spans="1:24" x14ac:dyDescent="0.3">
      <c r="A3962">
        <v>21809</v>
      </c>
      <c r="B3962" t="s">
        <v>9340</v>
      </c>
      <c r="C3962" s="3">
        <v>41639</v>
      </c>
      <c r="D3962" t="s">
        <v>39</v>
      </c>
      <c r="E3962">
        <v>1</v>
      </c>
      <c r="F3962" s="3">
        <f ca="1">41641+(RANDBETWEEN(1,10))</f>
        <v>41644</v>
      </c>
      <c r="G3962" t="s">
        <v>26</v>
      </c>
      <c r="H3962" t="s">
        <v>27</v>
      </c>
      <c r="I3962" t="s">
        <v>86</v>
      </c>
      <c r="J3962">
        <v>105.98</v>
      </c>
      <c r="K3962">
        <v>0.02</v>
      </c>
      <c r="L3962">
        <v>0.55000000000000004</v>
      </c>
      <c r="M3962">
        <v>3.85</v>
      </c>
      <c r="N3962">
        <v>-289.69324999999998</v>
      </c>
      <c r="O3962" s="1" t="s">
        <v>64</v>
      </c>
      <c r="P3962" s="1" t="s">
        <v>9341</v>
      </c>
      <c r="Q3962" s="1" t="s">
        <v>9342</v>
      </c>
      <c r="R3962" s="1" t="s">
        <v>67</v>
      </c>
      <c r="S3962" s="1" t="s">
        <v>9343</v>
      </c>
      <c r="T3962" s="1" t="s">
        <v>9344</v>
      </c>
      <c r="U3962" s="2" t="s">
        <v>1451</v>
      </c>
      <c r="V3962" s="2" t="s">
        <v>36</v>
      </c>
      <c r="W3962" s="2" t="s">
        <v>37</v>
      </c>
      <c r="X3962" s="2">
        <v>125.965</v>
      </c>
    </row>
    <row r="3963" spans="1:24" x14ac:dyDescent="0.3">
      <c r="A3963">
        <v>21810</v>
      </c>
      <c r="B3963" t="s">
        <v>9345</v>
      </c>
      <c r="C3963" s="3">
        <v>41789</v>
      </c>
      <c r="D3963" t="s">
        <v>39</v>
      </c>
      <c r="E3963">
        <v>10</v>
      </c>
      <c r="F3963" s="3">
        <f ca="1">41791+(RANDBETWEEN(1,10))</f>
        <v>41799</v>
      </c>
      <c r="G3963" t="s">
        <v>76</v>
      </c>
      <c r="H3963" t="s">
        <v>258</v>
      </c>
      <c r="I3963" t="s">
        <v>97</v>
      </c>
      <c r="J3963">
        <v>3360.2449999999999</v>
      </c>
      <c r="K3963">
        <v>7.0000000000000007E-2</v>
      </c>
      <c r="L3963">
        <v>0.62</v>
      </c>
      <c r="M3963">
        <v>125.44</v>
      </c>
      <c r="N3963">
        <v>-971.70500000000004</v>
      </c>
      <c r="O3963" s="1" t="s">
        <v>53</v>
      </c>
      <c r="P3963" s="1" t="s">
        <v>6423</v>
      </c>
      <c r="Q3963" s="1" t="s">
        <v>6424</v>
      </c>
      <c r="R3963" s="1" t="s">
        <v>100</v>
      </c>
      <c r="S3963" s="1" t="s">
        <v>6425</v>
      </c>
      <c r="T3963" s="1" t="s">
        <v>6426</v>
      </c>
      <c r="U3963" s="2" t="s">
        <v>1271</v>
      </c>
      <c r="V3963" s="2" t="s">
        <v>83</v>
      </c>
      <c r="W3963" s="2" t="s">
        <v>298</v>
      </c>
      <c r="X3963" s="2">
        <v>353.43</v>
      </c>
    </row>
    <row r="3964" spans="1:24" x14ac:dyDescent="0.3">
      <c r="A3964">
        <v>21811</v>
      </c>
      <c r="B3964" t="s">
        <v>9345</v>
      </c>
      <c r="C3964" s="3">
        <v>41789</v>
      </c>
      <c r="D3964" t="s">
        <v>39</v>
      </c>
      <c r="E3964">
        <v>12</v>
      </c>
      <c r="F3964" s="3">
        <f ca="1">41791+(RANDBETWEEN(1,10))</f>
        <v>41793</v>
      </c>
      <c r="G3964" t="s">
        <v>26</v>
      </c>
      <c r="H3964" t="s">
        <v>27</v>
      </c>
      <c r="I3964" t="s">
        <v>97</v>
      </c>
      <c r="J3964">
        <v>2150.12</v>
      </c>
      <c r="K3964">
        <v>0.1</v>
      </c>
      <c r="L3964">
        <v>0.57999999999999996</v>
      </c>
      <c r="M3964">
        <v>31.465</v>
      </c>
      <c r="N3964">
        <v>471.55500000000001</v>
      </c>
      <c r="O3964" s="1" t="s">
        <v>53</v>
      </c>
      <c r="P3964" s="1" t="s">
        <v>6423</v>
      </c>
      <c r="Q3964" s="1" t="s">
        <v>6424</v>
      </c>
      <c r="R3964" s="1" t="s">
        <v>100</v>
      </c>
      <c r="S3964" s="1" t="s">
        <v>6425</v>
      </c>
      <c r="T3964" s="1" t="s">
        <v>6426</v>
      </c>
      <c r="U3964" s="2" t="s">
        <v>4501</v>
      </c>
      <c r="V3964" s="2" t="s">
        <v>36</v>
      </c>
      <c r="W3964" s="2" t="s">
        <v>37</v>
      </c>
      <c r="X3964" s="2">
        <v>230.965</v>
      </c>
    </row>
    <row r="3965" spans="1:24" x14ac:dyDescent="0.3">
      <c r="A3965">
        <v>21812</v>
      </c>
      <c r="B3965" t="s">
        <v>9346</v>
      </c>
      <c r="C3965" s="3">
        <v>40943</v>
      </c>
      <c r="D3965" t="s">
        <v>50</v>
      </c>
      <c r="E3965">
        <v>6</v>
      </c>
      <c r="F3965" s="3">
        <f ca="1">40944+(RANDBETWEEN(1,10))</f>
        <v>40952</v>
      </c>
      <c r="G3965" t="s">
        <v>26</v>
      </c>
      <c r="H3965" t="s">
        <v>27</v>
      </c>
      <c r="I3965" t="s">
        <v>28</v>
      </c>
      <c r="J3965">
        <v>416.46499999999997</v>
      </c>
      <c r="K3965">
        <v>0.03</v>
      </c>
      <c r="L3965">
        <v>0.56000000000000005</v>
      </c>
      <c r="M3965">
        <v>22.33</v>
      </c>
      <c r="N3965">
        <v>-3796.9643704999999</v>
      </c>
      <c r="O3965" s="1" t="s">
        <v>64</v>
      </c>
      <c r="P3965" s="1" t="s">
        <v>4339</v>
      </c>
      <c r="Q3965" s="1" t="s">
        <v>4340</v>
      </c>
      <c r="R3965" s="1" t="s">
        <v>128</v>
      </c>
      <c r="S3965" s="1" t="s">
        <v>4341</v>
      </c>
      <c r="T3965" s="1" t="s">
        <v>4342</v>
      </c>
      <c r="U3965" s="2" t="s">
        <v>9347</v>
      </c>
      <c r="V3965" s="2" t="s">
        <v>83</v>
      </c>
      <c r="W3965" s="2" t="s">
        <v>178</v>
      </c>
      <c r="X3965" s="2">
        <v>66.64</v>
      </c>
    </row>
    <row r="3966" spans="1:24" x14ac:dyDescent="0.3">
      <c r="A3966">
        <v>21813</v>
      </c>
      <c r="B3966" t="s">
        <v>9346</v>
      </c>
      <c r="C3966" s="3">
        <v>40943</v>
      </c>
      <c r="D3966" t="s">
        <v>50</v>
      </c>
      <c r="E3966">
        <v>7</v>
      </c>
      <c r="F3966" s="3">
        <f ca="1">40944+(RANDBETWEEN(1,10))</f>
        <v>40950</v>
      </c>
      <c r="G3966" t="s">
        <v>26</v>
      </c>
      <c r="H3966" t="s">
        <v>27</v>
      </c>
      <c r="I3966" t="s">
        <v>28</v>
      </c>
      <c r="J3966">
        <v>1439.83</v>
      </c>
      <c r="K3966">
        <v>0.06</v>
      </c>
      <c r="L3966">
        <v>0.56999999999999995</v>
      </c>
      <c r="M3966">
        <v>33.984999999999999</v>
      </c>
      <c r="N3966">
        <v>179.928</v>
      </c>
      <c r="O3966" s="1" t="s">
        <v>64</v>
      </c>
      <c r="P3966" s="1" t="s">
        <v>4339</v>
      </c>
      <c r="Q3966" s="1" t="s">
        <v>4340</v>
      </c>
      <c r="R3966" s="1" t="s">
        <v>128</v>
      </c>
      <c r="S3966" s="1" t="s">
        <v>4341</v>
      </c>
      <c r="T3966" s="1" t="s">
        <v>4342</v>
      </c>
      <c r="U3966" s="2" t="s">
        <v>5588</v>
      </c>
      <c r="V3966" s="2" t="s">
        <v>47</v>
      </c>
      <c r="W3966" s="2" t="s">
        <v>119</v>
      </c>
      <c r="X3966" s="2">
        <v>209.16</v>
      </c>
    </row>
    <row r="3967" spans="1:24" x14ac:dyDescent="0.3">
      <c r="A3967">
        <v>21814</v>
      </c>
      <c r="B3967" t="s">
        <v>9348</v>
      </c>
      <c r="C3967" s="3">
        <v>41528</v>
      </c>
      <c r="D3967" t="s">
        <v>50</v>
      </c>
      <c r="E3967">
        <v>8</v>
      </c>
      <c r="F3967" s="3">
        <f ca="1">41529+(RANDBETWEEN(1,10))</f>
        <v>41530</v>
      </c>
      <c r="G3967" t="s">
        <v>26</v>
      </c>
      <c r="H3967" t="s">
        <v>27</v>
      </c>
      <c r="I3967" t="s">
        <v>28</v>
      </c>
      <c r="J3967">
        <v>192.32499999999999</v>
      </c>
      <c r="K3967">
        <v>0.01</v>
      </c>
      <c r="L3967">
        <v>0.36</v>
      </c>
      <c r="M3967">
        <v>18.445</v>
      </c>
      <c r="N3967">
        <v>-101.30925000000001</v>
      </c>
      <c r="O3967" s="1" t="s">
        <v>29</v>
      </c>
      <c r="P3967" s="1" t="s">
        <v>7115</v>
      </c>
      <c r="Q3967" s="1" t="s">
        <v>7116</v>
      </c>
      <c r="R3967" s="1" t="s">
        <v>460</v>
      </c>
      <c r="S3967" s="1" t="s">
        <v>7117</v>
      </c>
      <c r="T3967" s="1" t="s">
        <v>7118</v>
      </c>
      <c r="U3967" s="2" t="s">
        <v>588</v>
      </c>
      <c r="V3967" s="2" t="s">
        <v>47</v>
      </c>
      <c r="W3967" s="2" t="s">
        <v>111</v>
      </c>
      <c r="X3967" s="2">
        <v>22.89</v>
      </c>
    </row>
    <row r="3968" spans="1:24" x14ac:dyDescent="0.3">
      <c r="A3968">
        <v>21815</v>
      </c>
      <c r="B3968" t="s">
        <v>9349</v>
      </c>
      <c r="C3968" s="3">
        <v>41555</v>
      </c>
      <c r="D3968" t="s">
        <v>62</v>
      </c>
      <c r="E3968">
        <v>8</v>
      </c>
      <c r="F3968" s="3">
        <f ca="1">41557+(RANDBETWEEN(1,10))</f>
        <v>41558</v>
      </c>
      <c r="G3968" t="s">
        <v>26</v>
      </c>
      <c r="H3968" t="s">
        <v>27</v>
      </c>
      <c r="I3968" t="s">
        <v>28</v>
      </c>
      <c r="J3968">
        <v>786.48500000000001</v>
      </c>
      <c r="K3968">
        <v>0.09</v>
      </c>
      <c r="L3968">
        <v>0.85</v>
      </c>
      <c r="M3968">
        <v>17.5</v>
      </c>
      <c r="N3968">
        <v>-928.23191999999995</v>
      </c>
      <c r="O3968" s="1" t="s">
        <v>40</v>
      </c>
      <c r="P3968" s="1" t="s">
        <v>1542</v>
      </c>
      <c r="Q3968" s="1" t="s">
        <v>1543</v>
      </c>
      <c r="R3968" s="1" t="s">
        <v>220</v>
      </c>
      <c r="S3968" s="1" t="s">
        <v>1544</v>
      </c>
      <c r="T3968" s="1" t="s">
        <v>1545</v>
      </c>
      <c r="U3968" s="2" t="s">
        <v>6099</v>
      </c>
      <c r="V3968" s="2" t="s">
        <v>36</v>
      </c>
      <c r="W3968" s="2" t="s">
        <v>37</v>
      </c>
      <c r="X3968" s="2">
        <v>125.965</v>
      </c>
    </row>
    <row r="3969" spans="1:24" x14ac:dyDescent="0.3">
      <c r="A3969">
        <v>21816</v>
      </c>
      <c r="B3969" t="s">
        <v>9350</v>
      </c>
      <c r="C3969" s="3">
        <v>41845</v>
      </c>
      <c r="D3969" t="s">
        <v>39</v>
      </c>
      <c r="E3969">
        <v>4</v>
      </c>
      <c r="F3969" s="3">
        <f ca="1">41845+(RANDBETWEEN(1,10))</f>
        <v>41848</v>
      </c>
      <c r="G3969" t="s">
        <v>76</v>
      </c>
      <c r="H3969" t="s">
        <v>77</v>
      </c>
      <c r="I3969" t="s">
        <v>28</v>
      </c>
      <c r="J3969">
        <v>7079.66</v>
      </c>
      <c r="K3969">
        <v>0.02</v>
      </c>
      <c r="L3969">
        <v>0.6</v>
      </c>
      <c r="M3969">
        <v>91</v>
      </c>
      <c r="N3969">
        <v>3004.7024000000001</v>
      </c>
      <c r="O3969" s="1" t="s">
        <v>40</v>
      </c>
      <c r="P3969" s="1" t="s">
        <v>5140</v>
      </c>
      <c r="Q3969" s="1" t="s">
        <v>5141</v>
      </c>
      <c r="R3969" s="1" t="s">
        <v>43</v>
      </c>
      <c r="S3969" s="1" t="s">
        <v>5142</v>
      </c>
      <c r="T3969" s="1" t="s">
        <v>5143</v>
      </c>
      <c r="U3969" s="2" t="s">
        <v>1670</v>
      </c>
      <c r="V3969" s="2" t="s">
        <v>83</v>
      </c>
      <c r="W3969" s="2" t="s">
        <v>84</v>
      </c>
      <c r="X3969" s="2">
        <v>1753.43</v>
      </c>
    </row>
    <row r="3970" spans="1:24" x14ac:dyDescent="0.3">
      <c r="A3970">
        <v>21817</v>
      </c>
      <c r="B3970" t="s">
        <v>9350</v>
      </c>
      <c r="C3970" s="3">
        <v>41845</v>
      </c>
      <c r="D3970" t="s">
        <v>39</v>
      </c>
      <c r="E3970">
        <v>16</v>
      </c>
      <c r="F3970" s="3">
        <f ca="1">41845+(RANDBETWEEN(1,10))</f>
        <v>41850</v>
      </c>
      <c r="G3970" t="s">
        <v>76</v>
      </c>
      <c r="H3970" t="s">
        <v>258</v>
      </c>
      <c r="I3970" t="s">
        <v>28</v>
      </c>
      <c r="J3970">
        <v>4355.68</v>
      </c>
      <c r="K3970">
        <v>0.01</v>
      </c>
      <c r="L3970">
        <v>0.72</v>
      </c>
      <c r="M3970">
        <v>312.55</v>
      </c>
      <c r="N3970">
        <v>-8494.9270560000004</v>
      </c>
      <c r="O3970" s="1" t="s">
        <v>40</v>
      </c>
      <c r="P3970" s="1" t="s">
        <v>5140</v>
      </c>
      <c r="Q3970" s="1" t="s">
        <v>5141</v>
      </c>
      <c r="R3970" s="1" t="s">
        <v>43</v>
      </c>
      <c r="S3970" s="1" t="s">
        <v>5142</v>
      </c>
      <c r="T3970" s="1" t="s">
        <v>5143</v>
      </c>
      <c r="U3970" s="2" t="s">
        <v>407</v>
      </c>
      <c r="V3970" s="2" t="s">
        <v>83</v>
      </c>
      <c r="W3970" s="2" t="s">
        <v>263</v>
      </c>
      <c r="X3970" s="2">
        <v>248.11500000000001</v>
      </c>
    </row>
    <row r="3971" spans="1:24" x14ac:dyDescent="0.3">
      <c r="A3971">
        <v>21818</v>
      </c>
      <c r="B3971" t="s">
        <v>9351</v>
      </c>
      <c r="C3971" s="3">
        <v>41050</v>
      </c>
      <c r="D3971" t="s">
        <v>50</v>
      </c>
      <c r="E3971">
        <v>4</v>
      </c>
      <c r="F3971" s="3">
        <f ca="1">41052+(RANDBETWEEN(1,10))</f>
        <v>41057</v>
      </c>
      <c r="G3971" t="s">
        <v>26</v>
      </c>
      <c r="H3971" t="s">
        <v>51</v>
      </c>
      <c r="I3971" t="s">
        <v>28</v>
      </c>
      <c r="J3971">
        <v>101.64</v>
      </c>
      <c r="K3971">
        <v>0.08</v>
      </c>
      <c r="L3971">
        <v>0.68</v>
      </c>
      <c r="M3971">
        <v>12.32</v>
      </c>
      <c r="N3971">
        <v>-152.77500000000001</v>
      </c>
      <c r="O3971" s="1" t="s">
        <v>225</v>
      </c>
      <c r="P3971" s="1" t="s">
        <v>8136</v>
      </c>
      <c r="Q3971" s="1" t="s">
        <v>8137</v>
      </c>
      <c r="R3971" s="1" t="s">
        <v>228</v>
      </c>
      <c r="S3971" s="1" t="s">
        <v>8138</v>
      </c>
      <c r="T3971" s="1" t="s">
        <v>8139</v>
      </c>
      <c r="U3971" s="2" t="s">
        <v>2862</v>
      </c>
      <c r="V3971" s="2" t="s">
        <v>36</v>
      </c>
      <c r="W3971" s="2" t="s">
        <v>60</v>
      </c>
      <c r="X3971" s="2">
        <v>25.48</v>
      </c>
    </row>
    <row r="3972" spans="1:24" x14ac:dyDescent="0.3">
      <c r="A3972">
        <v>21819</v>
      </c>
      <c r="B3972" t="s">
        <v>9352</v>
      </c>
      <c r="C3972" s="3">
        <v>41139</v>
      </c>
      <c r="D3972" t="s">
        <v>50</v>
      </c>
      <c r="E3972">
        <v>9</v>
      </c>
      <c r="F3972" s="3">
        <f ca="1">41141+(RANDBETWEEN(1,10))</f>
        <v>41151</v>
      </c>
      <c r="G3972" t="s">
        <v>26</v>
      </c>
      <c r="H3972" t="s">
        <v>27</v>
      </c>
      <c r="I3972" t="s">
        <v>52</v>
      </c>
      <c r="J3972">
        <v>1059.905</v>
      </c>
      <c r="K3972">
        <v>0.05</v>
      </c>
      <c r="L3972">
        <v>0.59</v>
      </c>
      <c r="M3972">
        <v>27.055</v>
      </c>
      <c r="N3972">
        <v>156.48779999999999</v>
      </c>
      <c r="O3972" s="1" t="s">
        <v>64</v>
      </c>
      <c r="P3972" s="1" t="s">
        <v>4161</v>
      </c>
      <c r="Q3972" s="1" t="s">
        <v>4162</v>
      </c>
      <c r="R3972" s="1" t="s">
        <v>67</v>
      </c>
      <c r="S3972" s="1" t="s">
        <v>4163</v>
      </c>
      <c r="T3972" s="1" t="s">
        <v>4164</v>
      </c>
      <c r="U3972" s="2" t="s">
        <v>9353</v>
      </c>
      <c r="V3972" s="2" t="s">
        <v>47</v>
      </c>
      <c r="W3972" s="2" t="s">
        <v>104</v>
      </c>
      <c r="X3972" s="2">
        <v>122.465</v>
      </c>
    </row>
    <row r="3973" spans="1:24" x14ac:dyDescent="0.3">
      <c r="A3973">
        <v>21820</v>
      </c>
      <c r="B3973" t="s">
        <v>8083</v>
      </c>
      <c r="C3973" s="3">
        <v>41700</v>
      </c>
      <c r="D3973" t="s">
        <v>39</v>
      </c>
      <c r="E3973">
        <v>5</v>
      </c>
      <c r="F3973" s="3">
        <f ca="1">41701+(RANDBETWEEN(1,10))</f>
        <v>41705</v>
      </c>
      <c r="G3973" t="s">
        <v>26</v>
      </c>
      <c r="H3973" t="s">
        <v>27</v>
      </c>
      <c r="I3973" t="s">
        <v>86</v>
      </c>
      <c r="J3973">
        <v>344.15499999999997</v>
      </c>
      <c r="K3973">
        <v>0.04</v>
      </c>
      <c r="L3973">
        <v>0.38</v>
      </c>
      <c r="M3973">
        <v>20.51</v>
      </c>
      <c r="N3973">
        <v>237.46695</v>
      </c>
      <c r="O3973" s="1" t="s">
        <v>87</v>
      </c>
      <c r="P3973" s="1" t="s">
        <v>8201</v>
      </c>
      <c r="Q3973" s="1" t="s">
        <v>8202</v>
      </c>
      <c r="R3973" s="1" t="s">
        <v>398</v>
      </c>
      <c r="S3973" s="1" t="s">
        <v>8203</v>
      </c>
      <c r="T3973" s="1" t="s">
        <v>8204</v>
      </c>
      <c r="U3973" s="2" t="s">
        <v>5113</v>
      </c>
      <c r="V3973" s="2" t="s">
        <v>47</v>
      </c>
      <c r="W3973" s="2" t="s">
        <v>74</v>
      </c>
      <c r="X3973" s="2">
        <v>69.930000000000007</v>
      </c>
    </row>
    <row r="3974" spans="1:24" x14ac:dyDescent="0.3">
      <c r="A3974">
        <v>21821</v>
      </c>
      <c r="B3974" t="s">
        <v>9354</v>
      </c>
      <c r="C3974" s="3">
        <v>41429</v>
      </c>
      <c r="D3974" t="s">
        <v>25</v>
      </c>
      <c r="E3974">
        <v>1</v>
      </c>
      <c r="F3974" s="3">
        <f ca="1">41431+(RANDBETWEEN(1,10))</f>
        <v>41439</v>
      </c>
      <c r="G3974" t="s">
        <v>26</v>
      </c>
      <c r="H3974" t="s">
        <v>63</v>
      </c>
      <c r="I3974" t="s">
        <v>86</v>
      </c>
      <c r="J3974">
        <v>86.38</v>
      </c>
      <c r="K3974">
        <v>0.02</v>
      </c>
      <c r="L3974">
        <v>0.6</v>
      </c>
      <c r="M3974">
        <v>39.094999999999999</v>
      </c>
      <c r="N3974">
        <v>59.602200000000003</v>
      </c>
      <c r="O3974" s="1" t="s">
        <v>87</v>
      </c>
      <c r="P3974" s="1" t="s">
        <v>9355</v>
      </c>
      <c r="Q3974" s="1" t="s">
        <v>9356</v>
      </c>
      <c r="R3974" s="1" t="s">
        <v>646</v>
      </c>
      <c r="S3974" s="1" t="s">
        <v>1955</v>
      </c>
      <c r="T3974" s="1" t="s">
        <v>1956</v>
      </c>
      <c r="U3974" s="2" t="s">
        <v>7243</v>
      </c>
      <c r="V3974" s="2" t="s">
        <v>83</v>
      </c>
      <c r="W3974" s="2" t="s">
        <v>178</v>
      </c>
      <c r="X3974" s="2">
        <v>69.965000000000003</v>
      </c>
    </row>
    <row r="3975" spans="1:24" x14ac:dyDescent="0.3">
      <c r="A3975">
        <v>21822</v>
      </c>
      <c r="B3975" t="s">
        <v>9357</v>
      </c>
      <c r="C3975" s="3">
        <v>41765</v>
      </c>
      <c r="D3975" t="s">
        <v>62</v>
      </c>
      <c r="E3975">
        <v>16</v>
      </c>
      <c r="F3975" s="3">
        <f ca="1">41765+(RANDBETWEEN(1,10))</f>
        <v>41771</v>
      </c>
      <c r="G3975" t="s">
        <v>26</v>
      </c>
      <c r="H3975" t="s">
        <v>63</v>
      </c>
      <c r="I3975" t="s">
        <v>28</v>
      </c>
      <c r="J3975">
        <v>17122</v>
      </c>
      <c r="K3975">
        <v>0.02</v>
      </c>
      <c r="L3975">
        <v>0.5</v>
      </c>
      <c r="M3975">
        <v>40.74</v>
      </c>
      <c r="N3975">
        <v>1172.325</v>
      </c>
      <c r="O3975" s="1" t="s">
        <v>53</v>
      </c>
      <c r="P3975" s="1" t="s">
        <v>2890</v>
      </c>
      <c r="Q3975" s="1" t="s">
        <v>2891</v>
      </c>
      <c r="R3975" s="1" t="s">
        <v>440</v>
      </c>
      <c r="S3975" s="1" t="s">
        <v>2892</v>
      </c>
      <c r="T3975" s="1" t="s">
        <v>2893</v>
      </c>
      <c r="U3975" s="2" t="s">
        <v>2872</v>
      </c>
      <c r="V3975" s="2" t="s">
        <v>36</v>
      </c>
      <c r="W3975" s="2" t="s">
        <v>1327</v>
      </c>
      <c r="X3975" s="2">
        <v>1049.9649999999999</v>
      </c>
    </row>
    <row r="3976" spans="1:24" x14ac:dyDescent="0.3">
      <c r="A3976">
        <v>21823</v>
      </c>
      <c r="B3976" t="s">
        <v>9357</v>
      </c>
      <c r="C3976" s="3">
        <v>41765</v>
      </c>
      <c r="D3976" t="s">
        <v>62</v>
      </c>
      <c r="E3976">
        <v>12</v>
      </c>
      <c r="F3976" s="3">
        <f ca="1">41766+(RANDBETWEEN(1,10))</f>
        <v>41769</v>
      </c>
      <c r="G3976" t="s">
        <v>156</v>
      </c>
      <c r="H3976" t="s">
        <v>27</v>
      </c>
      <c r="I3976" t="s">
        <v>28</v>
      </c>
      <c r="J3976">
        <v>6518.4</v>
      </c>
      <c r="K3976">
        <v>0.05</v>
      </c>
      <c r="L3976">
        <v>0.39</v>
      </c>
      <c r="M3976">
        <v>69.965000000000003</v>
      </c>
      <c r="N3976">
        <v>425.52300000000002</v>
      </c>
      <c r="O3976" s="1" t="s">
        <v>64</v>
      </c>
      <c r="P3976" s="1" t="s">
        <v>9358</v>
      </c>
      <c r="Q3976" s="1" t="s">
        <v>9359</v>
      </c>
      <c r="R3976" s="1" t="s">
        <v>128</v>
      </c>
      <c r="S3976" s="1" t="s">
        <v>4800</v>
      </c>
      <c r="T3976" s="1" t="s">
        <v>4801</v>
      </c>
      <c r="U3976" s="2" t="s">
        <v>2128</v>
      </c>
      <c r="V3976" s="2" t="s">
        <v>47</v>
      </c>
      <c r="W3976" s="2" t="s">
        <v>48</v>
      </c>
      <c r="X3976" s="2">
        <v>570.255</v>
      </c>
    </row>
    <row r="3977" spans="1:24" x14ac:dyDescent="0.3">
      <c r="A3977">
        <v>21824</v>
      </c>
      <c r="B3977" t="s">
        <v>9357</v>
      </c>
      <c r="C3977" s="3">
        <v>41765</v>
      </c>
      <c r="D3977" t="s">
        <v>62</v>
      </c>
      <c r="E3977">
        <v>16</v>
      </c>
      <c r="F3977" s="3">
        <f ca="1">41767+(RANDBETWEEN(1,10))</f>
        <v>41774</v>
      </c>
      <c r="G3977" t="s">
        <v>156</v>
      </c>
      <c r="H3977" t="s">
        <v>96</v>
      </c>
      <c r="I3977" t="s">
        <v>28</v>
      </c>
      <c r="J3977">
        <v>458.745</v>
      </c>
      <c r="K3977">
        <v>0.03</v>
      </c>
      <c r="L3977">
        <v>0.43</v>
      </c>
      <c r="M3977">
        <v>3.36</v>
      </c>
      <c r="N3977">
        <v>-5836.5370000000003</v>
      </c>
      <c r="O3977" s="1" t="s">
        <v>64</v>
      </c>
      <c r="P3977" s="1" t="s">
        <v>9358</v>
      </c>
      <c r="Q3977" s="1" t="s">
        <v>9359</v>
      </c>
      <c r="R3977" s="1" t="s">
        <v>128</v>
      </c>
      <c r="S3977" s="1" t="s">
        <v>4800</v>
      </c>
      <c r="T3977" s="1" t="s">
        <v>4801</v>
      </c>
      <c r="U3977" s="2" t="s">
        <v>2587</v>
      </c>
      <c r="V3977" s="2" t="s">
        <v>83</v>
      </c>
      <c r="W3977" s="2" t="s">
        <v>178</v>
      </c>
      <c r="X3977" s="2">
        <v>29.19</v>
      </c>
    </row>
    <row r="3978" spans="1:24" x14ac:dyDescent="0.3">
      <c r="A3978">
        <v>21825</v>
      </c>
      <c r="B3978" t="s">
        <v>9360</v>
      </c>
      <c r="C3978" s="3">
        <v>41525</v>
      </c>
      <c r="D3978" t="s">
        <v>62</v>
      </c>
      <c r="E3978">
        <v>4</v>
      </c>
      <c r="F3978" s="3">
        <f ca="1">41528+(RANDBETWEEN(1,10))</f>
        <v>41532</v>
      </c>
      <c r="G3978" t="s">
        <v>26</v>
      </c>
      <c r="H3978" t="s">
        <v>51</v>
      </c>
      <c r="I3978" t="s">
        <v>28</v>
      </c>
      <c r="J3978">
        <v>1603.875</v>
      </c>
      <c r="K3978">
        <v>0.03</v>
      </c>
      <c r="L3978">
        <v>0.49</v>
      </c>
      <c r="M3978">
        <v>6.9649999999999999</v>
      </c>
      <c r="N3978">
        <v>137.76</v>
      </c>
      <c r="O3978" s="1" t="s">
        <v>29</v>
      </c>
      <c r="P3978" s="1" t="s">
        <v>7154</v>
      </c>
      <c r="Q3978" s="1" t="s">
        <v>7155</v>
      </c>
      <c r="R3978" s="1" t="s">
        <v>32</v>
      </c>
      <c r="S3978" s="1" t="s">
        <v>7156</v>
      </c>
      <c r="T3978" s="1" t="s">
        <v>7157</v>
      </c>
      <c r="U3978" s="2" t="s">
        <v>436</v>
      </c>
      <c r="V3978" s="2" t="s">
        <v>36</v>
      </c>
      <c r="W3978" s="2" t="s">
        <v>60</v>
      </c>
      <c r="X3978" s="2">
        <v>405.26499999999999</v>
      </c>
    </row>
    <row r="3979" spans="1:24" x14ac:dyDescent="0.3">
      <c r="A3979">
        <v>21826</v>
      </c>
      <c r="B3979" t="s">
        <v>9361</v>
      </c>
      <c r="C3979" s="3">
        <v>41531</v>
      </c>
      <c r="D3979" t="s">
        <v>50</v>
      </c>
      <c r="E3979">
        <v>4</v>
      </c>
      <c r="F3979" s="3">
        <f ca="1">41532+(RANDBETWEEN(1,10))</f>
        <v>41540</v>
      </c>
      <c r="G3979" t="s">
        <v>76</v>
      </c>
      <c r="H3979" t="s">
        <v>77</v>
      </c>
      <c r="I3979" t="s">
        <v>28</v>
      </c>
      <c r="J3979">
        <v>527.76499999999999</v>
      </c>
      <c r="K3979">
        <v>0</v>
      </c>
      <c r="L3979">
        <v>0.57999999999999996</v>
      </c>
      <c r="M3979">
        <v>67.165000000000006</v>
      </c>
      <c r="N3979">
        <v>-270.58499999999998</v>
      </c>
      <c r="O3979" s="1" t="s">
        <v>64</v>
      </c>
      <c r="P3979" s="1" t="s">
        <v>9362</v>
      </c>
      <c r="Q3979" s="1" t="s">
        <v>9363</v>
      </c>
      <c r="R3979" s="1" t="s">
        <v>67</v>
      </c>
      <c r="S3979" s="1" t="s">
        <v>4816</v>
      </c>
      <c r="T3979" s="1" t="s">
        <v>4817</v>
      </c>
      <c r="U3979" s="2" t="s">
        <v>8686</v>
      </c>
      <c r="V3979" s="2" t="s">
        <v>83</v>
      </c>
      <c r="W3979" s="2" t="s">
        <v>84</v>
      </c>
      <c r="X3979" s="2">
        <v>118.79</v>
      </c>
    </row>
    <row r="3980" spans="1:24" x14ac:dyDescent="0.3">
      <c r="A3980">
        <v>21827</v>
      </c>
      <c r="B3980" t="s">
        <v>9364</v>
      </c>
      <c r="C3980" s="3">
        <v>41597</v>
      </c>
      <c r="D3980" t="s">
        <v>25</v>
      </c>
      <c r="E3980">
        <v>34</v>
      </c>
      <c r="F3980" s="3">
        <f ca="1">41601+(RANDBETWEEN(1,10))</f>
        <v>41603</v>
      </c>
      <c r="G3980" t="s">
        <v>26</v>
      </c>
      <c r="H3980" t="s">
        <v>63</v>
      </c>
      <c r="I3980" t="s">
        <v>86</v>
      </c>
      <c r="J3980">
        <v>23245.775000000001</v>
      </c>
      <c r="K3980">
        <v>0.09</v>
      </c>
      <c r="L3980">
        <v>0.46</v>
      </c>
      <c r="M3980">
        <v>85.715000000000003</v>
      </c>
      <c r="N3980">
        <v>16039.58475</v>
      </c>
      <c r="O3980" s="1" t="s">
        <v>87</v>
      </c>
      <c r="P3980" s="1" t="s">
        <v>9365</v>
      </c>
      <c r="Q3980" s="1" t="s">
        <v>9366</v>
      </c>
      <c r="R3980" s="1" t="s">
        <v>646</v>
      </c>
      <c r="S3980" s="1" t="s">
        <v>2982</v>
      </c>
      <c r="T3980" s="1" t="s">
        <v>2686</v>
      </c>
      <c r="U3980" s="2" t="s">
        <v>7870</v>
      </c>
      <c r="V3980" s="2" t="s">
        <v>36</v>
      </c>
      <c r="W3980" s="2" t="s">
        <v>1327</v>
      </c>
      <c r="X3980" s="2">
        <v>699.96500000000003</v>
      </c>
    </row>
    <row r="3981" spans="1:24" x14ac:dyDescent="0.3">
      <c r="A3981">
        <v>21828</v>
      </c>
      <c r="B3981" t="s">
        <v>9364</v>
      </c>
      <c r="C3981" s="3">
        <v>41597</v>
      </c>
      <c r="D3981" t="s">
        <v>25</v>
      </c>
      <c r="E3981">
        <v>26</v>
      </c>
      <c r="F3981" s="3">
        <f ca="1">41602+(RANDBETWEEN(1,10))</f>
        <v>41607</v>
      </c>
      <c r="G3981" t="s">
        <v>26</v>
      </c>
      <c r="H3981" t="s">
        <v>27</v>
      </c>
      <c r="I3981" t="s">
        <v>86</v>
      </c>
      <c r="J3981">
        <v>484.12</v>
      </c>
      <c r="K3981">
        <v>0.04</v>
      </c>
      <c r="L3981">
        <v>0.38</v>
      </c>
      <c r="M3981">
        <v>17.010000000000002</v>
      </c>
      <c r="N3981">
        <v>38.052</v>
      </c>
      <c r="O3981" s="1" t="s">
        <v>87</v>
      </c>
      <c r="P3981" s="1" t="s">
        <v>9365</v>
      </c>
      <c r="Q3981" s="1" t="s">
        <v>9366</v>
      </c>
      <c r="R3981" s="1" t="s">
        <v>646</v>
      </c>
      <c r="S3981" s="1" t="s">
        <v>2982</v>
      </c>
      <c r="T3981" s="1" t="s">
        <v>2686</v>
      </c>
      <c r="U3981" s="2" t="s">
        <v>727</v>
      </c>
      <c r="V3981" s="2" t="s">
        <v>47</v>
      </c>
      <c r="W3981" s="2" t="s">
        <v>74</v>
      </c>
      <c r="X3981" s="2">
        <v>17.43</v>
      </c>
    </row>
    <row r="3982" spans="1:24" x14ac:dyDescent="0.3">
      <c r="A3982">
        <v>21829</v>
      </c>
      <c r="B3982" t="s">
        <v>9367</v>
      </c>
      <c r="C3982" s="3">
        <v>41856</v>
      </c>
      <c r="D3982" t="s">
        <v>62</v>
      </c>
      <c r="E3982">
        <v>21</v>
      </c>
      <c r="F3982" s="3">
        <f ca="1">41858+(RANDBETWEEN(1,10))</f>
        <v>41862</v>
      </c>
      <c r="G3982" t="s">
        <v>26</v>
      </c>
      <c r="H3982" t="s">
        <v>63</v>
      </c>
      <c r="I3982" t="s">
        <v>28</v>
      </c>
      <c r="J3982">
        <v>1438.01</v>
      </c>
      <c r="K3982">
        <v>0.1</v>
      </c>
      <c r="L3982">
        <v>0.56999999999999995</v>
      </c>
      <c r="M3982">
        <v>52.045000000000002</v>
      </c>
      <c r="N3982">
        <v>-435.47980000000001</v>
      </c>
      <c r="O3982" s="1" t="s">
        <v>87</v>
      </c>
      <c r="P3982" s="1" t="s">
        <v>2947</v>
      </c>
      <c r="Q3982" s="1" t="s">
        <v>2948</v>
      </c>
      <c r="R3982" s="1" t="s">
        <v>646</v>
      </c>
      <c r="S3982" s="1" t="s">
        <v>2949</v>
      </c>
      <c r="T3982" s="1" t="s">
        <v>2950</v>
      </c>
      <c r="U3982" s="2" t="s">
        <v>8886</v>
      </c>
      <c r="V3982" s="2" t="s">
        <v>83</v>
      </c>
      <c r="W3982" s="2" t="s">
        <v>178</v>
      </c>
      <c r="X3982" s="2">
        <v>69.790000000000006</v>
      </c>
    </row>
    <row r="3983" spans="1:24" x14ac:dyDescent="0.3">
      <c r="A3983">
        <v>21830</v>
      </c>
      <c r="B3983" t="s">
        <v>9368</v>
      </c>
      <c r="C3983" s="3">
        <v>41912</v>
      </c>
      <c r="D3983" t="s">
        <v>50</v>
      </c>
      <c r="E3983">
        <v>26</v>
      </c>
      <c r="F3983" s="3">
        <f ca="1">41913+(RANDBETWEEN(1,10))</f>
        <v>41919</v>
      </c>
      <c r="G3983" t="s">
        <v>26</v>
      </c>
      <c r="H3983" t="s">
        <v>27</v>
      </c>
      <c r="I3983" t="s">
        <v>52</v>
      </c>
      <c r="J3983">
        <v>6066.2349999999997</v>
      </c>
      <c r="K3983">
        <v>0.1</v>
      </c>
      <c r="L3983">
        <v>0.79</v>
      </c>
      <c r="M3983">
        <v>14</v>
      </c>
      <c r="N3983">
        <v>-273.79660000000001</v>
      </c>
      <c r="O3983" s="1" t="s">
        <v>40</v>
      </c>
      <c r="P3983" s="1" t="s">
        <v>9369</v>
      </c>
      <c r="Q3983" s="1" t="s">
        <v>9370</v>
      </c>
      <c r="R3983" s="1" t="s">
        <v>220</v>
      </c>
      <c r="S3983" s="1" t="s">
        <v>9371</v>
      </c>
      <c r="T3983" s="1" t="s">
        <v>9372</v>
      </c>
      <c r="U3983" s="2" t="s">
        <v>2448</v>
      </c>
      <c r="V3983" s="2" t="s">
        <v>36</v>
      </c>
      <c r="W3983" s="2" t="s">
        <v>60</v>
      </c>
      <c r="X3983" s="2">
        <v>258.93</v>
      </c>
    </row>
    <row r="3984" spans="1:24" x14ac:dyDescent="0.3">
      <c r="A3984">
        <v>21831</v>
      </c>
      <c r="B3984" t="s">
        <v>9368</v>
      </c>
      <c r="C3984" s="3">
        <v>41912</v>
      </c>
      <c r="D3984" t="s">
        <v>50</v>
      </c>
      <c r="E3984">
        <v>14</v>
      </c>
      <c r="F3984" s="3">
        <f ca="1">41912+(RANDBETWEEN(1,10))</f>
        <v>41918</v>
      </c>
      <c r="G3984" t="s">
        <v>26</v>
      </c>
      <c r="H3984" t="s">
        <v>96</v>
      </c>
      <c r="I3984" t="s">
        <v>52</v>
      </c>
      <c r="J3984">
        <v>101.045</v>
      </c>
      <c r="K3984">
        <v>0.04</v>
      </c>
      <c r="L3984">
        <v>0.56999999999999995</v>
      </c>
      <c r="M3984">
        <v>2.4500000000000002</v>
      </c>
      <c r="N3984">
        <v>0.98280000000000001</v>
      </c>
      <c r="O3984" s="1" t="s">
        <v>40</v>
      </c>
      <c r="P3984" s="1" t="s">
        <v>9369</v>
      </c>
      <c r="Q3984" s="1" t="s">
        <v>9370</v>
      </c>
      <c r="R3984" s="1" t="s">
        <v>220</v>
      </c>
      <c r="S3984" s="1" t="s">
        <v>9371</v>
      </c>
      <c r="T3984" s="1" t="s">
        <v>9372</v>
      </c>
      <c r="U3984" s="2" t="s">
        <v>6803</v>
      </c>
      <c r="V3984" s="2" t="s">
        <v>47</v>
      </c>
      <c r="W3984" s="2" t="s">
        <v>104</v>
      </c>
      <c r="X3984" s="2">
        <v>7.35</v>
      </c>
    </row>
    <row r="3985" spans="1:24" x14ac:dyDescent="0.3">
      <c r="A3985">
        <v>21832</v>
      </c>
      <c r="B3985" t="s">
        <v>9373</v>
      </c>
      <c r="C3985" s="3">
        <v>41894</v>
      </c>
      <c r="D3985" t="s">
        <v>25</v>
      </c>
      <c r="E3985">
        <v>8</v>
      </c>
      <c r="F3985" s="3">
        <f ca="1">41894+(RANDBETWEEN(1,10))</f>
        <v>41895</v>
      </c>
      <c r="G3985" t="s">
        <v>26</v>
      </c>
      <c r="H3985" t="s">
        <v>27</v>
      </c>
      <c r="I3985" t="s">
        <v>28</v>
      </c>
      <c r="J3985">
        <v>415.69499999999999</v>
      </c>
      <c r="K3985">
        <v>0.04</v>
      </c>
      <c r="L3985">
        <v>0.43</v>
      </c>
      <c r="M3985">
        <v>30.73</v>
      </c>
      <c r="N3985">
        <v>-368.72500000000002</v>
      </c>
      <c r="O3985" s="1" t="s">
        <v>53</v>
      </c>
      <c r="P3985" s="1" t="s">
        <v>4084</v>
      </c>
      <c r="Q3985" s="1" t="s">
        <v>4085</v>
      </c>
      <c r="R3985" s="1" t="s">
        <v>56</v>
      </c>
      <c r="S3985" s="1" t="s">
        <v>4086</v>
      </c>
      <c r="T3985" s="1" t="s">
        <v>4087</v>
      </c>
      <c r="U3985" s="2" t="s">
        <v>4722</v>
      </c>
      <c r="V3985" s="2" t="s">
        <v>83</v>
      </c>
      <c r="W3985" s="2" t="s">
        <v>178</v>
      </c>
      <c r="X3985" s="2">
        <v>48.265000000000001</v>
      </c>
    </row>
    <row r="3986" spans="1:24" x14ac:dyDescent="0.3">
      <c r="A3986">
        <v>21833</v>
      </c>
      <c r="B3986" t="s">
        <v>9373</v>
      </c>
      <c r="C3986" s="3">
        <v>41894</v>
      </c>
      <c r="D3986" t="s">
        <v>25</v>
      </c>
      <c r="E3986">
        <v>2</v>
      </c>
      <c r="F3986" s="3">
        <f ca="1">41894+(RANDBETWEEN(1,10))</f>
        <v>41904</v>
      </c>
      <c r="G3986" t="s">
        <v>26</v>
      </c>
      <c r="H3986" t="s">
        <v>27</v>
      </c>
      <c r="I3986" t="s">
        <v>28</v>
      </c>
      <c r="J3986">
        <v>334.84500000000003</v>
      </c>
      <c r="K3986">
        <v>0.08</v>
      </c>
      <c r="L3986">
        <v>0.38</v>
      </c>
      <c r="M3986">
        <v>20.335000000000001</v>
      </c>
      <c r="N3986">
        <v>-57.815100000000001</v>
      </c>
      <c r="O3986" s="1" t="s">
        <v>53</v>
      </c>
      <c r="P3986" s="1" t="s">
        <v>4084</v>
      </c>
      <c r="Q3986" s="1" t="s">
        <v>4085</v>
      </c>
      <c r="R3986" s="1" t="s">
        <v>56</v>
      </c>
      <c r="S3986" s="1" t="s">
        <v>4086</v>
      </c>
      <c r="T3986" s="1" t="s">
        <v>4087</v>
      </c>
      <c r="U3986" s="2" t="s">
        <v>1912</v>
      </c>
      <c r="V3986" s="2" t="s">
        <v>47</v>
      </c>
      <c r="W3986" s="2" t="s">
        <v>74</v>
      </c>
      <c r="X3986" s="2">
        <v>171.185</v>
      </c>
    </row>
    <row r="3987" spans="1:24" x14ac:dyDescent="0.3">
      <c r="A3987">
        <v>21834</v>
      </c>
      <c r="B3987" t="s">
        <v>9374</v>
      </c>
      <c r="C3987" s="3">
        <v>40802</v>
      </c>
      <c r="D3987" t="s">
        <v>25</v>
      </c>
      <c r="E3987">
        <v>4</v>
      </c>
      <c r="F3987" s="3">
        <f ca="1">40802+(RANDBETWEEN(1,10))</f>
        <v>40812</v>
      </c>
      <c r="G3987" t="s">
        <v>26</v>
      </c>
      <c r="H3987" t="s">
        <v>281</v>
      </c>
      <c r="I3987" t="s">
        <v>97</v>
      </c>
      <c r="J3987">
        <v>888.54499999999996</v>
      </c>
      <c r="K3987">
        <v>0.05</v>
      </c>
      <c r="L3987">
        <v>0.72</v>
      </c>
      <c r="M3987">
        <v>182.7</v>
      </c>
      <c r="N3987">
        <v>-414.89</v>
      </c>
      <c r="O3987" s="1" t="s">
        <v>64</v>
      </c>
      <c r="P3987" s="1" t="s">
        <v>8746</v>
      </c>
      <c r="Q3987" s="1" t="s">
        <v>8747</v>
      </c>
      <c r="R3987" s="1" t="s">
        <v>67</v>
      </c>
      <c r="S3987" s="1" t="s">
        <v>8748</v>
      </c>
      <c r="T3987" s="1" t="s">
        <v>8749</v>
      </c>
      <c r="U3987" s="2" t="s">
        <v>7095</v>
      </c>
      <c r="V3987" s="2" t="s">
        <v>83</v>
      </c>
      <c r="W3987" s="2" t="s">
        <v>178</v>
      </c>
      <c r="X3987" s="2">
        <v>194.25</v>
      </c>
    </row>
    <row r="3988" spans="1:24" x14ac:dyDescent="0.3">
      <c r="A3988">
        <v>21835</v>
      </c>
      <c r="B3988" t="s">
        <v>9374</v>
      </c>
      <c r="C3988" s="3">
        <v>40802</v>
      </c>
      <c r="D3988" t="s">
        <v>25</v>
      </c>
      <c r="E3988">
        <v>14</v>
      </c>
      <c r="F3988" s="3">
        <f ca="1">40811+(RANDBETWEEN(1,10))</f>
        <v>40813</v>
      </c>
      <c r="G3988" t="s">
        <v>76</v>
      </c>
      <c r="H3988" t="s">
        <v>77</v>
      </c>
      <c r="I3988" t="s">
        <v>97</v>
      </c>
      <c r="J3988">
        <v>20581.61</v>
      </c>
      <c r="K3988">
        <v>0.05</v>
      </c>
      <c r="L3988">
        <v>0.56000000000000005</v>
      </c>
      <c r="M3988">
        <v>51.45</v>
      </c>
      <c r="N3988">
        <v>10372.18</v>
      </c>
      <c r="O3988" s="1" t="s">
        <v>64</v>
      </c>
      <c r="P3988" s="1" t="s">
        <v>8746</v>
      </c>
      <c r="Q3988" s="1" t="s">
        <v>8747</v>
      </c>
      <c r="R3988" s="1" t="s">
        <v>67</v>
      </c>
      <c r="S3988" s="1" t="s">
        <v>8748</v>
      </c>
      <c r="T3988" s="1" t="s">
        <v>8749</v>
      </c>
      <c r="U3988" s="2" t="s">
        <v>3549</v>
      </c>
      <c r="V3988" s="2" t="s">
        <v>36</v>
      </c>
      <c r="W3988" s="2" t="s">
        <v>142</v>
      </c>
      <c r="X3988" s="2">
        <v>1547.49</v>
      </c>
    </row>
    <row r="3989" spans="1:24" x14ac:dyDescent="0.3">
      <c r="A3989">
        <v>21836</v>
      </c>
      <c r="B3989" t="s">
        <v>9375</v>
      </c>
      <c r="C3989" s="3">
        <v>41219</v>
      </c>
      <c r="D3989" t="s">
        <v>25</v>
      </c>
      <c r="E3989">
        <v>20</v>
      </c>
      <c r="F3989" s="3">
        <f ca="1">41219+(RANDBETWEEN(1,10))</f>
        <v>41224</v>
      </c>
      <c r="G3989" t="s">
        <v>26</v>
      </c>
      <c r="H3989" t="s">
        <v>27</v>
      </c>
      <c r="I3989" t="s">
        <v>28</v>
      </c>
      <c r="J3989">
        <v>205.345</v>
      </c>
      <c r="K3989">
        <v>0.03</v>
      </c>
      <c r="L3989">
        <v>0.36</v>
      </c>
      <c r="M3989">
        <v>22.225000000000001</v>
      </c>
      <c r="N3989">
        <v>70.42</v>
      </c>
      <c r="O3989" s="1" t="s">
        <v>64</v>
      </c>
      <c r="P3989" s="1" t="s">
        <v>9376</v>
      </c>
      <c r="Q3989" s="1" t="s">
        <v>9377</v>
      </c>
      <c r="R3989" s="1" t="s">
        <v>67</v>
      </c>
      <c r="S3989" s="1" t="s">
        <v>68</v>
      </c>
      <c r="T3989" s="1" t="s">
        <v>69</v>
      </c>
      <c r="U3989" s="2" t="s">
        <v>9272</v>
      </c>
      <c r="V3989" s="2" t="s">
        <v>47</v>
      </c>
      <c r="W3989" s="2" t="s">
        <v>48</v>
      </c>
      <c r="X3989" s="2">
        <v>9.31</v>
      </c>
    </row>
    <row r="3990" spans="1:24" x14ac:dyDescent="0.3">
      <c r="A3990">
        <v>21837</v>
      </c>
      <c r="B3990" t="s">
        <v>9378</v>
      </c>
      <c r="C3990" s="3">
        <v>41565</v>
      </c>
      <c r="D3990" t="s">
        <v>148</v>
      </c>
      <c r="E3990">
        <v>3</v>
      </c>
      <c r="F3990" s="3">
        <f ca="1">41567+(RANDBETWEEN(1,10))</f>
        <v>41577</v>
      </c>
      <c r="G3990" t="s">
        <v>26</v>
      </c>
      <c r="H3990" t="s">
        <v>63</v>
      </c>
      <c r="I3990" t="s">
        <v>86</v>
      </c>
      <c r="J3990">
        <v>1130.7449999999999</v>
      </c>
      <c r="K3990">
        <v>7.0000000000000007E-2</v>
      </c>
      <c r="L3990">
        <v>0.82</v>
      </c>
      <c r="M3990">
        <v>122.5</v>
      </c>
      <c r="N3990">
        <v>-1004.0436</v>
      </c>
      <c r="O3990" s="1" t="s">
        <v>225</v>
      </c>
      <c r="P3990" s="1" t="s">
        <v>9379</v>
      </c>
      <c r="Q3990" s="1" t="s">
        <v>9380</v>
      </c>
      <c r="R3990" s="1" t="s">
        <v>391</v>
      </c>
      <c r="S3990" s="1" t="s">
        <v>9381</v>
      </c>
      <c r="T3990" s="1" t="s">
        <v>9382</v>
      </c>
      <c r="U3990" s="2" t="s">
        <v>4513</v>
      </c>
      <c r="V3990" s="2" t="s">
        <v>47</v>
      </c>
      <c r="W3990" s="2" t="s">
        <v>119</v>
      </c>
      <c r="X3990" s="2">
        <v>354.935</v>
      </c>
    </row>
    <row r="3991" spans="1:24" x14ac:dyDescent="0.3">
      <c r="A3991">
        <v>21838</v>
      </c>
      <c r="B3991" t="s">
        <v>9378</v>
      </c>
      <c r="C3991" s="3">
        <v>41565</v>
      </c>
      <c r="D3991" t="s">
        <v>148</v>
      </c>
      <c r="E3991">
        <v>8</v>
      </c>
      <c r="F3991" s="3">
        <f ca="1">41566+(RANDBETWEEN(1,10))</f>
        <v>41569</v>
      </c>
      <c r="G3991" t="s">
        <v>26</v>
      </c>
      <c r="H3991" t="s">
        <v>51</v>
      </c>
      <c r="I3991" t="s">
        <v>86</v>
      </c>
      <c r="J3991">
        <v>565.70500000000004</v>
      </c>
      <c r="K3991">
        <v>0.06</v>
      </c>
      <c r="L3991">
        <v>0.49</v>
      </c>
      <c r="M3991">
        <v>23.344999999999999</v>
      </c>
      <c r="N3991">
        <v>2261.9708999999998</v>
      </c>
      <c r="O3991" s="1" t="s">
        <v>40</v>
      </c>
      <c r="P3991" s="1" t="s">
        <v>5034</v>
      </c>
      <c r="Q3991" s="1" t="s">
        <v>5035</v>
      </c>
      <c r="R3991" s="1" t="s">
        <v>220</v>
      </c>
      <c r="S3991" s="1" t="s">
        <v>5036</v>
      </c>
      <c r="T3991" s="1" t="s">
        <v>5037</v>
      </c>
      <c r="U3991" s="2" t="s">
        <v>2831</v>
      </c>
      <c r="V3991" s="2" t="s">
        <v>83</v>
      </c>
      <c r="W3991" s="2" t="s">
        <v>178</v>
      </c>
      <c r="X3991" s="2">
        <v>70.84</v>
      </c>
    </row>
    <row r="3992" spans="1:24" x14ac:dyDescent="0.3">
      <c r="A3992">
        <v>21839</v>
      </c>
      <c r="B3992" t="s">
        <v>9383</v>
      </c>
      <c r="C3992" s="3">
        <v>41414</v>
      </c>
      <c r="D3992" t="s">
        <v>148</v>
      </c>
      <c r="E3992">
        <v>10</v>
      </c>
      <c r="F3992" s="3">
        <f ca="1">41416+(RANDBETWEEN(1,10))</f>
        <v>41417</v>
      </c>
      <c r="G3992" t="s">
        <v>26</v>
      </c>
      <c r="H3992" t="s">
        <v>27</v>
      </c>
      <c r="I3992" t="s">
        <v>28</v>
      </c>
      <c r="J3992">
        <v>103.705</v>
      </c>
      <c r="K3992">
        <v>0.04</v>
      </c>
      <c r="L3992">
        <v>0.36</v>
      </c>
      <c r="M3992">
        <v>5.2149999999999999</v>
      </c>
      <c r="N3992">
        <v>-1037.3054999999999</v>
      </c>
      <c r="O3992" s="1" t="s">
        <v>87</v>
      </c>
      <c r="P3992" s="1" t="s">
        <v>4329</v>
      </c>
      <c r="Q3992" s="1" t="s">
        <v>4330</v>
      </c>
      <c r="R3992" s="1" t="s">
        <v>646</v>
      </c>
      <c r="S3992" s="1" t="s">
        <v>4331</v>
      </c>
      <c r="T3992" s="1" t="s">
        <v>4332</v>
      </c>
      <c r="U3992" s="2" t="s">
        <v>2339</v>
      </c>
      <c r="V3992" s="2" t="s">
        <v>47</v>
      </c>
      <c r="W3992" s="2" t="s">
        <v>111</v>
      </c>
      <c r="X3992" s="2">
        <v>10.08</v>
      </c>
    </row>
    <row r="3993" spans="1:24" x14ac:dyDescent="0.3">
      <c r="A3993">
        <v>21840</v>
      </c>
      <c r="B3993" t="s">
        <v>9383</v>
      </c>
      <c r="C3993" s="3">
        <v>41414</v>
      </c>
      <c r="D3993" t="s">
        <v>148</v>
      </c>
      <c r="E3993">
        <v>11</v>
      </c>
      <c r="F3993" s="3">
        <f ca="1">41416+(RANDBETWEEN(1,10))</f>
        <v>41423</v>
      </c>
      <c r="G3993" t="s">
        <v>26</v>
      </c>
      <c r="H3993" t="s">
        <v>27</v>
      </c>
      <c r="I3993" t="s">
        <v>28</v>
      </c>
      <c r="J3993">
        <v>2029.9649999999999</v>
      </c>
      <c r="K3993">
        <v>0.06</v>
      </c>
      <c r="L3993">
        <v>0.59</v>
      </c>
      <c r="M3993">
        <v>13.965</v>
      </c>
      <c r="N3993">
        <v>75.558000000000007</v>
      </c>
      <c r="O3993" s="1" t="s">
        <v>87</v>
      </c>
      <c r="P3993" s="1" t="s">
        <v>4329</v>
      </c>
      <c r="Q3993" s="1" t="s">
        <v>4330</v>
      </c>
      <c r="R3993" s="1" t="s">
        <v>646</v>
      </c>
      <c r="S3993" s="1" t="s">
        <v>4331</v>
      </c>
      <c r="T3993" s="1" t="s">
        <v>4332</v>
      </c>
      <c r="U3993" s="2" t="s">
        <v>1991</v>
      </c>
      <c r="V3993" s="2" t="s">
        <v>36</v>
      </c>
      <c r="W3993" s="2" t="s">
        <v>37</v>
      </c>
      <c r="X3993" s="2">
        <v>230.965</v>
      </c>
    </row>
    <row r="3994" spans="1:24" x14ac:dyDescent="0.3">
      <c r="A3994">
        <v>21841</v>
      </c>
      <c r="B3994" t="s">
        <v>9384</v>
      </c>
      <c r="C3994" s="3">
        <v>41700</v>
      </c>
      <c r="D3994" t="s">
        <v>25</v>
      </c>
      <c r="E3994">
        <v>9</v>
      </c>
      <c r="F3994" s="3">
        <f ca="1">41709+(RANDBETWEEN(1,10))</f>
        <v>41715</v>
      </c>
      <c r="G3994" t="s">
        <v>26</v>
      </c>
      <c r="H3994" t="s">
        <v>281</v>
      </c>
      <c r="I3994" t="s">
        <v>28</v>
      </c>
      <c r="J3994">
        <v>4898.5649999999996</v>
      </c>
      <c r="K3994">
        <v>0</v>
      </c>
      <c r="L3994">
        <v>0.38</v>
      </c>
      <c r="M3994">
        <v>48.965000000000003</v>
      </c>
      <c r="N3994">
        <v>3380.0098499999999</v>
      </c>
      <c r="O3994" s="1" t="s">
        <v>40</v>
      </c>
      <c r="P3994" s="1" t="s">
        <v>6657</v>
      </c>
      <c r="Q3994" s="1" t="s">
        <v>6658</v>
      </c>
      <c r="R3994" s="1" t="s">
        <v>220</v>
      </c>
      <c r="S3994" s="1" t="s">
        <v>221</v>
      </c>
      <c r="T3994" s="1" t="s">
        <v>6659</v>
      </c>
      <c r="U3994" s="2" t="s">
        <v>480</v>
      </c>
      <c r="V3994" s="2" t="s">
        <v>36</v>
      </c>
      <c r="W3994" s="2" t="s">
        <v>142</v>
      </c>
      <c r="X3994" s="2">
        <v>528.42999999999995</v>
      </c>
    </row>
    <row r="3995" spans="1:24" x14ac:dyDescent="0.3">
      <c r="A3995">
        <v>21842</v>
      </c>
      <c r="B3995" t="s">
        <v>9385</v>
      </c>
      <c r="C3995" s="3">
        <v>41251</v>
      </c>
      <c r="D3995" t="s">
        <v>62</v>
      </c>
      <c r="E3995">
        <v>6</v>
      </c>
      <c r="F3995" s="3">
        <f ca="1">41253+(RANDBETWEEN(1,10))</f>
        <v>41255</v>
      </c>
      <c r="G3995" t="s">
        <v>26</v>
      </c>
      <c r="H3995" t="s">
        <v>281</v>
      </c>
      <c r="I3995" t="s">
        <v>28</v>
      </c>
      <c r="J3995">
        <v>207.48</v>
      </c>
      <c r="K3995">
        <v>7.0000000000000007E-2</v>
      </c>
      <c r="L3995">
        <v>0.48</v>
      </c>
      <c r="M3995">
        <v>21.07</v>
      </c>
      <c r="N3995">
        <v>-54.53</v>
      </c>
      <c r="O3995" s="1" t="s">
        <v>225</v>
      </c>
      <c r="P3995" s="1" t="s">
        <v>8165</v>
      </c>
      <c r="Q3995" s="1" t="s">
        <v>8166</v>
      </c>
      <c r="R3995" s="1" t="s">
        <v>228</v>
      </c>
      <c r="S3995" s="1" t="s">
        <v>8167</v>
      </c>
      <c r="T3995" s="1" t="s">
        <v>8168</v>
      </c>
      <c r="U3995" s="2" t="s">
        <v>3578</v>
      </c>
      <c r="V3995" s="2" t="s">
        <v>83</v>
      </c>
      <c r="W3995" s="2" t="s">
        <v>178</v>
      </c>
      <c r="X3995" s="2">
        <v>34.195</v>
      </c>
    </row>
    <row r="3996" spans="1:24" x14ac:dyDescent="0.3">
      <c r="A3996">
        <v>21843</v>
      </c>
      <c r="B3996" t="s">
        <v>9386</v>
      </c>
      <c r="C3996" s="3">
        <v>40962</v>
      </c>
      <c r="D3996" t="s">
        <v>25</v>
      </c>
      <c r="E3996">
        <v>10</v>
      </c>
      <c r="F3996" s="3">
        <f ca="1">40964+(RANDBETWEEN(1,10))</f>
        <v>40967</v>
      </c>
      <c r="G3996" t="s">
        <v>26</v>
      </c>
      <c r="H3996" t="s">
        <v>27</v>
      </c>
      <c r="I3996" t="s">
        <v>97</v>
      </c>
      <c r="J3996">
        <v>374.46499999999997</v>
      </c>
      <c r="K3996">
        <v>0.01</v>
      </c>
      <c r="L3996">
        <v>0.4</v>
      </c>
      <c r="M3996">
        <v>16.73</v>
      </c>
      <c r="N3996">
        <v>-5746.4750000000004</v>
      </c>
      <c r="O3996" s="1" t="s">
        <v>40</v>
      </c>
      <c r="P3996" s="1" t="s">
        <v>4389</v>
      </c>
      <c r="Q3996" s="1" t="s">
        <v>4390</v>
      </c>
      <c r="R3996" s="1" t="s">
        <v>43</v>
      </c>
      <c r="S3996" s="1" t="s">
        <v>4391</v>
      </c>
      <c r="T3996" s="1" t="s">
        <v>4392</v>
      </c>
      <c r="U3996" s="2" t="s">
        <v>9387</v>
      </c>
      <c r="V3996" s="2" t="s">
        <v>47</v>
      </c>
      <c r="W3996" s="2" t="s">
        <v>74</v>
      </c>
      <c r="X3996" s="2">
        <v>34.965000000000003</v>
      </c>
    </row>
    <row r="3997" spans="1:24" x14ac:dyDescent="0.3">
      <c r="A3997">
        <v>21844</v>
      </c>
      <c r="B3997" t="s">
        <v>9386</v>
      </c>
      <c r="C3997" s="3">
        <v>40962</v>
      </c>
      <c r="D3997" t="s">
        <v>25</v>
      </c>
      <c r="E3997">
        <v>8</v>
      </c>
      <c r="F3997" s="3">
        <f ca="1">40970+(RANDBETWEEN(1,10))</f>
        <v>40977</v>
      </c>
      <c r="G3997" t="s">
        <v>156</v>
      </c>
      <c r="H3997" t="s">
        <v>96</v>
      </c>
      <c r="I3997" t="s">
        <v>97</v>
      </c>
      <c r="J3997">
        <v>364.875</v>
      </c>
      <c r="K3997">
        <v>0.02</v>
      </c>
      <c r="L3997">
        <v>0.82</v>
      </c>
      <c r="M3997">
        <v>16.065000000000001</v>
      </c>
      <c r="N3997">
        <v>-477.94600000000003</v>
      </c>
      <c r="O3997" s="1" t="s">
        <v>40</v>
      </c>
      <c r="P3997" s="1" t="s">
        <v>4389</v>
      </c>
      <c r="Q3997" s="1" t="s">
        <v>4390</v>
      </c>
      <c r="R3997" s="1" t="s">
        <v>43</v>
      </c>
      <c r="S3997" s="1" t="s">
        <v>4391</v>
      </c>
      <c r="T3997" s="1" t="s">
        <v>4392</v>
      </c>
      <c r="U3997" s="2" t="s">
        <v>5077</v>
      </c>
      <c r="V3997" s="2" t="s">
        <v>47</v>
      </c>
      <c r="W3997" s="2" t="s">
        <v>94</v>
      </c>
      <c r="X3997" s="2">
        <v>45.08</v>
      </c>
    </row>
    <row r="3998" spans="1:24" x14ac:dyDescent="0.3">
      <c r="A3998">
        <v>21845</v>
      </c>
      <c r="B3998" t="s">
        <v>9388</v>
      </c>
      <c r="C3998" s="3">
        <v>41305</v>
      </c>
      <c r="D3998" t="s">
        <v>39</v>
      </c>
      <c r="E3998">
        <v>3</v>
      </c>
      <c r="F3998" s="3">
        <f ca="1">41306+(RANDBETWEEN(1,10))</f>
        <v>41309</v>
      </c>
      <c r="G3998" t="s">
        <v>26</v>
      </c>
      <c r="H3998" t="s">
        <v>96</v>
      </c>
      <c r="I3998" t="s">
        <v>86</v>
      </c>
      <c r="J3998">
        <v>72.31</v>
      </c>
      <c r="K3998">
        <v>0.1</v>
      </c>
      <c r="L3998">
        <v>0.47</v>
      </c>
      <c r="M3998">
        <v>8.2249999999999996</v>
      </c>
      <c r="N3998">
        <v>0.93100000000000005</v>
      </c>
      <c r="O3998" s="1" t="s">
        <v>40</v>
      </c>
      <c r="P3998" s="1" t="s">
        <v>9389</v>
      </c>
      <c r="Q3998" s="1" t="s">
        <v>9390</v>
      </c>
      <c r="R3998" s="1" t="s">
        <v>220</v>
      </c>
      <c r="S3998" s="1" t="s">
        <v>9391</v>
      </c>
      <c r="T3998" s="1" t="s">
        <v>9392</v>
      </c>
      <c r="U3998" s="2" t="s">
        <v>6690</v>
      </c>
      <c r="V3998" s="2" t="s">
        <v>47</v>
      </c>
      <c r="W3998" s="2" t="s">
        <v>104</v>
      </c>
      <c r="X3998" s="2">
        <v>24.78</v>
      </c>
    </row>
    <row r="3999" spans="1:24" x14ac:dyDescent="0.3">
      <c r="A3999">
        <v>21846</v>
      </c>
      <c r="B3999" t="s">
        <v>9388</v>
      </c>
      <c r="C3999" s="3">
        <v>41305</v>
      </c>
      <c r="D3999" t="s">
        <v>39</v>
      </c>
      <c r="E3999">
        <v>1</v>
      </c>
      <c r="F3999" s="3">
        <f ca="1">41306+(RANDBETWEEN(1,10))</f>
        <v>41311</v>
      </c>
      <c r="G3999" t="s">
        <v>26</v>
      </c>
      <c r="H3999" t="s">
        <v>281</v>
      </c>
      <c r="I3999" t="s">
        <v>86</v>
      </c>
      <c r="J3999">
        <v>367.815</v>
      </c>
      <c r="K3999">
        <v>0.08</v>
      </c>
      <c r="L3999">
        <v>0.65</v>
      </c>
      <c r="M3999">
        <v>48.965000000000003</v>
      </c>
      <c r="N3999">
        <v>253.79235</v>
      </c>
      <c r="O3999" s="1" t="s">
        <v>40</v>
      </c>
      <c r="P3999" s="1" t="s">
        <v>9393</v>
      </c>
      <c r="Q3999" s="1" t="s">
        <v>9394</v>
      </c>
      <c r="R3999" s="1" t="s">
        <v>43</v>
      </c>
      <c r="S3999" s="1" t="s">
        <v>9395</v>
      </c>
      <c r="T3999" s="1" t="s">
        <v>9396</v>
      </c>
      <c r="U3999" s="2" t="s">
        <v>3518</v>
      </c>
      <c r="V3999" s="2" t="s">
        <v>83</v>
      </c>
      <c r="W3999" s="2" t="s">
        <v>178</v>
      </c>
      <c r="X3999" s="2">
        <v>370.93</v>
      </c>
    </row>
    <row r="4000" spans="1:24" x14ac:dyDescent="0.3">
      <c r="A4000">
        <v>21847</v>
      </c>
      <c r="B4000" t="s">
        <v>9397</v>
      </c>
      <c r="C4000" s="3">
        <v>40643</v>
      </c>
      <c r="D4000" t="s">
        <v>50</v>
      </c>
      <c r="E4000">
        <v>7</v>
      </c>
      <c r="F4000" s="3">
        <f ca="1">40644+(RANDBETWEEN(1,10))</f>
        <v>40646</v>
      </c>
      <c r="G4000" t="s">
        <v>76</v>
      </c>
      <c r="H4000" t="s">
        <v>77</v>
      </c>
      <c r="I4000" t="s">
        <v>97</v>
      </c>
      <c r="J4000">
        <v>8019.8649999999998</v>
      </c>
      <c r="K4000">
        <v>0.05</v>
      </c>
      <c r="L4000">
        <v>0.56999999999999995</v>
      </c>
      <c r="M4000">
        <v>318.67500000000001</v>
      </c>
      <c r="N4000">
        <v>2702.14</v>
      </c>
      <c r="O4000" s="1" t="s">
        <v>53</v>
      </c>
      <c r="P4000" s="1" t="s">
        <v>7055</v>
      </c>
      <c r="Q4000" s="1" t="s">
        <v>7056</v>
      </c>
      <c r="R4000" s="1" t="s">
        <v>440</v>
      </c>
      <c r="S4000" s="1" t="s">
        <v>3015</v>
      </c>
      <c r="T4000" s="1" t="s">
        <v>3016</v>
      </c>
      <c r="U4000" s="2" t="s">
        <v>1589</v>
      </c>
      <c r="V4000" s="2" t="s">
        <v>47</v>
      </c>
      <c r="W4000" s="2" t="s">
        <v>71</v>
      </c>
      <c r="X4000" s="2">
        <v>1148.49</v>
      </c>
    </row>
    <row r="4001" spans="1:24" x14ac:dyDescent="0.3">
      <c r="A4001">
        <v>21848</v>
      </c>
      <c r="B4001" t="s">
        <v>9398</v>
      </c>
      <c r="C4001" s="3">
        <v>40675</v>
      </c>
      <c r="D4001" t="s">
        <v>50</v>
      </c>
      <c r="E4001">
        <v>3</v>
      </c>
      <c r="F4001" s="3">
        <f ca="1">40676+(RANDBETWEEN(1,10))</f>
        <v>40682</v>
      </c>
      <c r="G4001" t="s">
        <v>26</v>
      </c>
      <c r="H4001" t="s">
        <v>281</v>
      </c>
      <c r="I4001" t="s">
        <v>28</v>
      </c>
      <c r="J4001">
        <v>1282.54</v>
      </c>
      <c r="K4001">
        <v>0.08</v>
      </c>
      <c r="L4001" t="s">
        <v>182</v>
      </c>
      <c r="M4001">
        <v>44.274999999999999</v>
      </c>
      <c r="N4001">
        <v>-1327.704</v>
      </c>
      <c r="O4001" s="1" t="s">
        <v>225</v>
      </c>
      <c r="P4001" s="1" t="s">
        <v>3993</v>
      </c>
      <c r="Q4001" s="1" t="s">
        <v>3994</v>
      </c>
      <c r="R4001" s="1" t="s">
        <v>228</v>
      </c>
      <c r="S4001" s="1" t="s">
        <v>3995</v>
      </c>
      <c r="T4001" s="1" t="s">
        <v>3996</v>
      </c>
      <c r="U4001" s="2" t="s">
        <v>1695</v>
      </c>
      <c r="V4001" s="2" t="s">
        <v>83</v>
      </c>
      <c r="W4001" s="2" t="s">
        <v>84</v>
      </c>
      <c r="X4001" s="2">
        <v>448.84</v>
      </c>
    </row>
    <row r="4002" spans="1:24" x14ac:dyDescent="0.3">
      <c r="A4002">
        <v>21849</v>
      </c>
      <c r="B4002" t="s">
        <v>9398</v>
      </c>
      <c r="C4002" s="3">
        <v>40675</v>
      </c>
      <c r="D4002" t="s">
        <v>50</v>
      </c>
      <c r="E4002">
        <v>11</v>
      </c>
      <c r="F4002" s="3">
        <f ca="1">40677+(RANDBETWEEN(1,10))</f>
        <v>40685</v>
      </c>
      <c r="G4002" t="s">
        <v>26</v>
      </c>
      <c r="H4002" t="s">
        <v>51</v>
      </c>
      <c r="I4002" t="s">
        <v>28</v>
      </c>
      <c r="J4002">
        <v>244.125</v>
      </c>
      <c r="K4002">
        <v>0.04</v>
      </c>
      <c r="L4002">
        <v>0.75</v>
      </c>
      <c r="M4002">
        <v>15.33</v>
      </c>
      <c r="N4002">
        <v>-5328.0640000000003</v>
      </c>
      <c r="O4002" s="1" t="s">
        <v>225</v>
      </c>
      <c r="P4002" s="1" t="s">
        <v>3993</v>
      </c>
      <c r="Q4002" s="1" t="s">
        <v>3994</v>
      </c>
      <c r="R4002" s="1" t="s">
        <v>228</v>
      </c>
      <c r="S4002" s="1" t="s">
        <v>3995</v>
      </c>
      <c r="T4002" s="1" t="s">
        <v>3996</v>
      </c>
      <c r="U4002" s="2" t="s">
        <v>1783</v>
      </c>
      <c r="V4002" s="2" t="s">
        <v>36</v>
      </c>
      <c r="W4002" s="2" t="s">
        <v>60</v>
      </c>
      <c r="X4002" s="2">
        <v>20.93</v>
      </c>
    </row>
    <row r="4003" spans="1:24" x14ac:dyDescent="0.3">
      <c r="A4003">
        <v>21850</v>
      </c>
      <c r="B4003" t="s">
        <v>9399</v>
      </c>
      <c r="C4003" s="3">
        <v>40965</v>
      </c>
      <c r="D4003" t="s">
        <v>62</v>
      </c>
      <c r="E4003">
        <v>10</v>
      </c>
      <c r="F4003" s="3">
        <f ca="1">40965+(RANDBETWEEN(1,10))</f>
        <v>40968</v>
      </c>
      <c r="G4003" t="s">
        <v>156</v>
      </c>
      <c r="H4003" t="s">
        <v>27</v>
      </c>
      <c r="I4003" t="s">
        <v>28</v>
      </c>
      <c r="J4003">
        <v>106.68</v>
      </c>
      <c r="K4003">
        <v>0.09</v>
      </c>
      <c r="L4003">
        <v>0.39</v>
      </c>
      <c r="M4003">
        <v>1.75</v>
      </c>
      <c r="N4003">
        <v>73.609200000000001</v>
      </c>
      <c r="O4003" s="1" t="s">
        <v>29</v>
      </c>
      <c r="P4003" s="1" t="s">
        <v>9400</v>
      </c>
      <c r="Q4003" s="1" t="s">
        <v>9401</v>
      </c>
      <c r="R4003" s="1" t="s">
        <v>32</v>
      </c>
      <c r="S4003" s="1" t="s">
        <v>6694</v>
      </c>
      <c r="T4003" s="1" t="s">
        <v>6695</v>
      </c>
      <c r="U4003" s="2" t="s">
        <v>9204</v>
      </c>
      <c r="V4003" s="2" t="s">
        <v>47</v>
      </c>
      <c r="W4003" s="2" t="s">
        <v>203</v>
      </c>
      <c r="X4003" s="2">
        <v>10.08</v>
      </c>
    </row>
    <row r="4004" spans="1:24" x14ac:dyDescent="0.3">
      <c r="A4004">
        <v>21851</v>
      </c>
      <c r="B4004" t="s">
        <v>9399</v>
      </c>
      <c r="C4004" s="3">
        <v>40965</v>
      </c>
      <c r="D4004" t="s">
        <v>62</v>
      </c>
      <c r="E4004">
        <v>7</v>
      </c>
      <c r="F4004" s="3">
        <f ca="1">40965+(RANDBETWEEN(1,10))</f>
        <v>40967</v>
      </c>
      <c r="G4004" t="s">
        <v>26</v>
      </c>
      <c r="H4004" t="s">
        <v>27</v>
      </c>
      <c r="I4004" t="s">
        <v>28</v>
      </c>
      <c r="J4004">
        <v>1032.92</v>
      </c>
      <c r="K4004">
        <v>0.01</v>
      </c>
      <c r="L4004">
        <v>0.36</v>
      </c>
      <c r="M4004">
        <v>69.965000000000003</v>
      </c>
      <c r="N4004">
        <v>387.73</v>
      </c>
      <c r="O4004" s="1" t="s">
        <v>29</v>
      </c>
      <c r="P4004" s="1" t="s">
        <v>9400</v>
      </c>
      <c r="Q4004" s="1" t="s">
        <v>9401</v>
      </c>
      <c r="R4004" s="1" t="s">
        <v>32</v>
      </c>
      <c r="S4004" s="1" t="s">
        <v>6694</v>
      </c>
      <c r="T4004" s="1" t="s">
        <v>6695</v>
      </c>
      <c r="U4004" s="2" t="s">
        <v>1784</v>
      </c>
      <c r="V4004" s="2" t="s">
        <v>47</v>
      </c>
      <c r="W4004" s="2" t="s">
        <v>74</v>
      </c>
      <c r="X4004" s="2">
        <v>143.465</v>
      </c>
    </row>
    <row r="4005" spans="1:24" x14ac:dyDescent="0.3">
      <c r="A4005">
        <v>21852</v>
      </c>
      <c r="B4005" t="s">
        <v>9402</v>
      </c>
      <c r="C4005" s="3">
        <v>40860</v>
      </c>
      <c r="D4005" t="s">
        <v>148</v>
      </c>
      <c r="E4005">
        <v>26</v>
      </c>
      <c r="F4005" s="3">
        <f ca="1">40862+(RANDBETWEEN(1,10))</f>
        <v>40872</v>
      </c>
      <c r="G4005" t="s">
        <v>26</v>
      </c>
      <c r="H4005" t="s">
        <v>51</v>
      </c>
      <c r="I4005" t="s">
        <v>52</v>
      </c>
      <c r="J4005">
        <v>2451.4349999999999</v>
      </c>
      <c r="K4005">
        <v>0</v>
      </c>
      <c r="L4005">
        <v>0.5</v>
      </c>
      <c r="M4005">
        <v>31.465</v>
      </c>
      <c r="N4005">
        <v>1646.183</v>
      </c>
      <c r="O4005" s="1" t="s">
        <v>87</v>
      </c>
      <c r="P4005" s="1" t="s">
        <v>3104</v>
      </c>
      <c r="Q4005" s="1" t="s">
        <v>3105</v>
      </c>
      <c r="R4005" s="1" t="s">
        <v>646</v>
      </c>
      <c r="S4005" s="1" t="s">
        <v>3106</v>
      </c>
      <c r="T4005" s="1" t="s">
        <v>3107</v>
      </c>
      <c r="U4005" s="2" t="s">
        <v>2788</v>
      </c>
      <c r="V4005" s="2" t="s">
        <v>83</v>
      </c>
      <c r="W4005" s="2" t="s">
        <v>178</v>
      </c>
      <c r="X4005" s="2">
        <v>88.83</v>
      </c>
    </row>
    <row r="4006" spans="1:24" x14ac:dyDescent="0.3">
      <c r="A4006">
        <v>21853</v>
      </c>
      <c r="B4006" t="s">
        <v>9403</v>
      </c>
      <c r="C4006" s="3">
        <v>41956</v>
      </c>
      <c r="D4006" t="s">
        <v>148</v>
      </c>
      <c r="E4006">
        <v>9</v>
      </c>
      <c r="F4006" s="3">
        <f ca="1">41957+(RANDBETWEEN(1,10))</f>
        <v>41964</v>
      </c>
      <c r="G4006" t="s">
        <v>26</v>
      </c>
      <c r="H4006" t="s">
        <v>27</v>
      </c>
      <c r="I4006" t="s">
        <v>52</v>
      </c>
      <c r="J4006">
        <v>171.745</v>
      </c>
      <c r="K4006">
        <v>0.01</v>
      </c>
      <c r="L4006">
        <v>0.36</v>
      </c>
      <c r="M4006">
        <v>16.52</v>
      </c>
      <c r="N4006">
        <v>33.405679999999997</v>
      </c>
      <c r="O4006" s="1" t="s">
        <v>87</v>
      </c>
      <c r="P4006" s="1" t="s">
        <v>3104</v>
      </c>
      <c r="Q4006" s="1" t="s">
        <v>3105</v>
      </c>
      <c r="R4006" s="1" t="s">
        <v>646</v>
      </c>
      <c r="S4006" s="1" t="s">
        <v>3106</v>
      </c>
      <c r="T4006" s="1" t="s">
        <v>3107</v>
      </c>
      <c r="U4006" s="2" t="s">
        <v>904</v>
      </c>
      <c r="V4006" s="2" t="s">
        <v>47</v>
      </c>
      <c r="W4006" s="2" t="s">
        <v>74</v>
      </c>
      <c r="X4006" s="2">
        <v>17.43</v>
      </c>
    </row>
    <row r="4007" spans="1:24" x14ac:dyDescent="0.3">
      <c r="A4007">
        <v>21854</v>
      </c>
      <c r="B4007" t="s">
        <v>9404</v>
      </c>
      <c r="C4007" s="3">
        <v>41712</v>
      </c>
      <c r="D4007" t="s">
        <v>50</v>
      </c>
      <c r="E4007">
        <v>5</v>
      </c>
      <c r="F4007" s="3">
        <f ca="1">41714+(RANDBETWEEN(1,10))</f>
        <v>41715</v>
      </c>
      <c r="G4007" t="s">
        <v>26</v>
      </c>
      <c r="H4007" t="s">
        <v>27</v>
      </c>
      <c r="I4007" t="s">
        <v>28</v>
      </c>
      <c r="J4007">
        <v>594.72</v>
      </c>
      <c r="K4007">
        <v>0.02</v>
      </c>
      <c r="L4007">
        <v>0.37</v>
      </c>
      <c r="M4007">
        <v>44.17</v>
      </c>
      <c r="N4007">
        <v>326.298</v>
      </c>
      <c r="O4007" s="1" t="s">
        <v>225</v>
      </c>
      <c r="P4007" s="1" t="s">
        <v>9405</v>
      </c>
      <c r="Q4007" s="1" t="s">
        <v>9406</v>
      </c>
      <c r="R4007" s="1" t="s">
        <v>228</v>
      </c>
      <c r="S4007" s="1" t="s">
        <v>9407</v>
      </c>
      <c r="T4007" s="1" t="s">
        <v>1880</v>
      </c>
      <c r="U4007" s="2" t="s">
        <v>4243</v>
      </c>
      <c r="V4007" s="2" t="s">
        <v>47</v>
      </c>
      <c r="W4007" s="2" t="s">
        <v>111</v>
      </c>
      <c r="X4007" s="2">
        <v>111.09</v>
      </c>
    </row>
    <row r="4008" spans="1:24" x14ac:dyDescent="0.3">
      <c r="A4008">
        <v>21855</v>
      </c>
      <c r="B4008" t="s">
        <v>9408</v>
      </c>
      <c r="C4008" s="3">
        <v>40642</v>
      </c>
      <c r="D4008" t="s">
        <v>50</v>
      </c>
      <c r="E4008">
        <v>3</v>
      </c>
      <c r="F4008" s="3">
        <f ca="1">40644+(RANDBETWEEN(1,10))</f>
        <v>40649</v>
      </c>
      <c r="G4008" t="s">
        <v>26</v>
      </c>
      <c r="H4008" t="s">
        <v>27</v>
      </c>
      <c r="I4008" t="s">
        <v>28</v>
      </c>
      <c r="J4008">
        <v>940.24</v>
      </c>
      <c r="K4008">
        <v>0.04</v>
      </c>
      <c r="L4008">
        <v>0.4</v>
      </c>
      <c r="M4008">
        <v>69.965000000000003</v>
      </c>
      <c r="N4008">
        <v>194.44319999999999</v>
      </c>
      <c r="O4008" s="1" t="s">
        <v>40</v>
      </c>
      <c r="P4008" s="1" t="s">
        <v>7098</v>
      </c>
      <c r="Q4008" s="1" t="s">
        <v>7099</v>
      </c>
      <c r="R4008" s="1" t="s">
        <v>43</v>
      </c>
      <c r="S4008" s="1" t="s">
        <v>7100</v>
      </c>
      <c r="T4008" s="1" t="s">
        <v>7101</v>
      </c>
      <c r="U4008" s="2" t="s">
        <v>2845</v>
      </c>
      <c r="V4008" s="2" t="s">
        <v>47</v>
      </c>
      <c r="W4008" s="2" t="s">
        <v>48</v>
      </c>
      <c r="X4008" s="2">
        <v>316.68</v>
      </c>
    </row>
    <row r="4009" spans="1:24" x14ac:dyDescent="0.3">
      <c r="A4009">
        <v>21856</v>
      </c>
      <c r="B4009" t="s">
        <v>9408</v>
      </c>
      <c r="C4009" s="3">
        <v>40642</v>
      </c>
      <c r="D4009" t="s">
        <v>50</v>
      </c>
      <c r="E4009">
        <v>9</v>
      </c>
      <c r="F4009" s="3">
        <f ca="1">40643+(RANDBETWEEN(1,10))</f>
        <v>40645</v>
      </c>
      <c r="G4009" t="s">
        <v>26</v>
      </c>
      <c r="H4009" t="s">
        <v>281</v>
      </c>
      <c r="I4009" t="s">
        <v>28</v>
      </c>
      <c r="J4009">
        <v>306.88</v>
      </c>
      <c r="K4009">
        <v>0.02</v>
      </c>
      <c r="L4009">
        <v>0.48</v>
      </c>
      <c r="M4009">
        <v>21.07</v>
      </c>
      <c r="N4009">
        <v>-1873.662</v>
      </c>
      <c r="O4009" s="1" t="s">
        <v>40</v>
      </c>
      <c r="P4009" s="1" t="s">
        <v>7098</v>
      </c>
      <c r="Q4009" s="1" t="s">
        <v>7099</v>
      </c>
      <c r="R4009" s="1" t="s">
        <v>43</v>
      </c>
      <c r="S4009" s="1" t="s">
        <v>7100</v>
      </c>
      <c r="T4009" s="1" t="s">
        <v>7101</v>
      </c>
      <c r="U4009" s="2" t="s">
        <v>3578</v>
      </c>
      <c r="V4009" s="2" t="s">
        <v>83</v>
      </c>
      <c r="W4009" s="2" t="s">
        <v>178</v>
      </c>
      <c r="X4009" s="2">
        <v>34.195</v>
      </c>
    </row>
    <row r="4010" spans="1:24" x14ac:dyDescent="0.3">
      <c r="A4010">
        <v>21857</v>
      </c>
      <c r="B4010" t="s">
        <v>9408</v>
      </c>
      <c r="C4010" s="3">
        <v>40642</v>
      </c>
      <c r="D4010" t="s">
        <v>50</v>
      </c>
      <c r="E4010">
        <v>1</v>
      </c>
      <c r="F4010" s="3">
        <f ca="1">40644+(RANDBETWEEN(1,10))</f>
        <v>40651</v>
      </c>
      <c r="G4010" t="s">
        <v>26</v>
      </c>
      <c r="H4010" t="s">
        <v>27</v>
      </c>
      <c r="I4010" t="s">
        <v>28</v>
      </c>
      <c r="J4010">
        <v>131.66999999999999</v>
      </c>
      <c r="K4010">
        <v>0.09</v>
      </c>
      <c r="L4010">
        <v>0.59</v>
      </c>
      <c r="M4010">
        <v>27.055</v>
      </c>
      <c r="N4010">
        <v>-730.52139999999997</v>
      </c>
      <c r="O4010" s="1" t="s">
        <v>40</v>
      </c>
      <c r="P4010" s="1" t="s">
        <v>7098</v>
      </c>
      <c r="Q4010" s="1" t="s">
        <v>7099</v>
      </c>
      <c r="R4010" s="1" t="s">
        <v>43</v>
      </c>
      <c r="S4010" s="1" t="s">
        <v>7100</v>
      </c>
      <c r="T4010" s="1" t="s">
        <v>7101</v>
      </c>
      <c r="U4010" s="2" t="s">
        <v>9353</v>
      </c>
      <c r="V4010" s="2" t="s">
        <v>47</v>
      </c>
      <c r="W4010" s="2" t="s">
        <v>104</v>
      </c>
      <c r="X4010" s="2">
        <v>122.465</v>
      </c>
    </row>
    <row r="4011" spans="1:24" x14ac:dyDescent="0.3">
      <c r="A4011">
        <v>21858</v>
      </c>
      <c r="B4011" t="s">
        <v>9409</v>
      </c>
      <c r="C4011" s="3">
        <v>41671</v>
      </c>
      <c r="D4011" t="s">
        <v>50</v>
      </c>
      <c r="E4011">
        <v>13</v>
      </c>
      <c r="F4011" s="3">
        <f ca="1">41673+(RANDBETWEEN(1,10))</f>
        <v>41683</v>
      </c>
      <c r="G4011" t="s">
        <v>26</v>
      </c>
      <c r="H4011" t="s">
        <v>27</v>
      </c>
      <c r="I4011" t="s">
        <v>52</v>
      </c>
      <c r="J4011">
        <v>312.97000000000003</v>
      </c>
      <c r="K4011">
        <v>0.02</v>
      </c>
      <c r="L4011">
        <v>0.37</v>
      </c>
      <c r="M4011">
        <v>25.795000000000002</v>
      </c>
      <c r="N4011">
        <v>-550.9</v>
      </c>
      <c r="O4011" s="1" t="s">
        <v>53</v>
      </c>
      <c r="P4011" s="1" t="s">
        <v>9410</v>
      </c>
      <c r="Q4011" s="1" t="s">
        <v>9411</v>
      </c>
      <c r="R4011" s="1" t="s">
        <v>56</v>
      </c>
      <c r="S4011" s="1" t="s">
        <v>9412</v>
      </c>
      <c r="T4011" s="1" t="s">
        <v>9413</v>
      </c>
      <c r="U4011" s="2" t="s">
        <v>2975</v>
      </c>
      <c r="V4011" s="2" t="s">
        <v>47</v>
      </c>
      <c r="W4011" s="2" t="s">
        <v>74</v>
      </c>
      <c r="X4011" s="2">
        <v>22.68</v>
      </c>
    </row>
    <row r="4012" spans="1:24" x14ac:dyDescent="0.3">
      <c r="A4012">
        <v>21859</v>
      </c>
      <c r="B4012" t="s">
        <v>9414</v>
      </c>
      <c r="C4012" s="3">
        <v>41243</v>
      </c>
      <c r="D4012" t="s">
        <v>148</v>
      </c>
      <c r="E4012">
        <v>31</v>
      </c>
      <c r="F4012" s="3">
        <f ca="1">41246+(RANDBETWEEN(1,10))</f>
        <v>41250</v>
      </c>
      <c r="G4012" t="s">
        <v>26</v>
      </c>
      <c r="H4012" t="s">
        <v>51</v>
      </c>
      <c r="I4012" t="s">
        <v>52</v>
      </c>
      <c r="J4012">
        <v>1104.2850000000001</v>
      </c>
      <c r="K4012">
        <v>0.09</v>
      </c>
      <c r="L4012">
        <v>0.51</v>
      </c>
      <c r="M4012">
        <v>18.899999999999999</v>
      </c>
      <c r="N4012">
        <v>10.241</v>
      </c>
      <c r="O4012" s="1" t="s">
        <v>87</v>
      </c>
      <c r="P4012" s="1" t="s">
        <v>8375</v>
      </c>
      <c r="Q4012" s="1" t="s">
        <v>8376</v>
      </c>
      <c r="R4012" s="1" t="s">
        <v>646</v>
      </c>
      <c r="S4012" s="1" t="s">
        <v>8377</v>
      </c>
      <c r="T4012" s="1" t="s">
        <v>8378</v>
      </c>
      <c r="U4012" s="2" t="s">
        <v>4601</v>
      </c>
      <c r="V4012" s="2" t="s">
        <v>83</v>
      </c>
      <c r="W4012" s="2" t="s">
        <v>178</v>
      </c>
      <c r="X4012" s="2">
        <v>36.4</v>
      </c>
    </row>
    <row r="4013" spans="1:24" x14ac:dyDescent="0.3">
      <c r="A4013">
        <v>21860</v>
      </c>
      <c r="B4013" t="s">
        <v>9415</v>
      </c>
      <c r="C4013" s="3">
        <v>41498</v>
      </c>
      <c r="D4013" t="s">
        <v>148</v>
      </c>
      <c r="E4013">
        <v>24</v>
      </c>
      <c r="F4013" s="3">
        <f ca="1">41500+(RANDBETWEEN(1,10))</f>
        <v>41505</v>
      </c>
      <c r="G4013" t="s">
        <v>76</v>
      </c>
      <c r="H4013" t="s">
        <v>77</v>
      </c>
      <c r="I4013" t="s">
        <v>28</v>
      </c>
      <c r="J4013">
        <v>31912.09</v>
      </c>
      <c r="K4013">
        <v>0.03</v>
      </c>
      <c r="L4013">
        <v>0.65</v>
      </c>
      <c r="M4013">
        <v>346.5</v>
      </c>
      <c r="N4013">
        <v>6044.6974</v>
      </c>
      <c r="O4013" s="1" t="s">
        <v>87</v>
      </c>
      <c r="P4013" s="1" t="s">
        <v>5737</v>
      </c>
      <c r="Q4013" s="1" t="s">
        <v>5738</v>
      </c>
      <c r="R4013" s="1" t="s">
        <v>90</v>
      </c>
      <c r="S4013" s="1" t="s">
        <v>5739</v>
      </c>
      <c r="T4013" s="1" t="s">
        <v>5740</v>
      </c>
      <c r="U4013" s="2" t="s">
        <v>1540</v>
      </c>
      <c r="V4013" s="2" t="s">
        <v>47</v>
      </c>
      <c r="W4013" s="2" t="s">
        <v>119</v>
      </c>
      <c r="X4013" s="2">
        <v>1298.43</v>
      </c>
    </row>
    <row r="4014" spans="1:24" x14ac:dyDescent="0.3">
      <c r="A4014">
        <v>21861</v>
      </c>
      <c r="B4014" t="s">
        <v>9415</v>
      </c>
      <c r="C4014" s="3">
        <v>41498</v>
      </c>
      <c r="D4014" t="s">
        <v>148</v>
      </c>
      <c r="E4014">
        <v>8</v>
      </c>
      <c r="F4014" s="3">
        <f ca="1">41500+(RANDBETWEEN(1,10))</f>
        <v>41510</v>
      </c>
      <c r="G4014" t="s">
        <v>26</v>
      </c>
      <c r="H4014" t="s">
        <v>281</v>
      </c>
      <c r="I4014" t="s">
        <v>28</v>
      </c>
      <c r="J4014">
        <v>4604.4250000000002</v>
      </c>
      <c r="K4014">
        <v>0</v>
      </c>
      <c r="L4014">
        <v>0.56999999999999995</v>
      </c>
      <c r="M4014">
        <v>48.965000000000003</v>
      </c>
      <c r="N4014">
        <v>1539.01944</v>
      </c>
      <c r="O4014" s="1" t="s">
        <v>87</v>
      </c>
      <c r="P4014" s="1" t="s">
        <v>5737</v>
      </c>
      <c r="Q4014" s="1" t="s">
        <v>5738</v>
      </c>
      <c r="R4014" s="1" t="s">
        <v>90</v>
      </c>
      <c r="S4014" s="1" t="s">
        <v>5739</v>
      </c>
      <c r="T4014" s="1" t="s">
        <v>5740</v>
      </c>
      <c r="U4014" s="2" t="s">
        <v>649</v>
      </c>
      <c r="V4014" s="2" t="s">
        <v>36</v>
      </c>
      <c r="W4014" s="2" t="s">
        <v>37</v>
      </c>
      <c r="X4014" s="2">
        <v>629.96500000000003</v>
      </c>
    </row>
    <row r="4015" spans="1:24" x14ac:dyDescent="0.3">
      <c r="A4015">
        <v>21862</v>
      </c>
      <c r="B4015" t="s">
        <v>9416</v>
      </c>
      <c r="C4015" s="3">
        <v>41343</v>
      </c>
      <c r="D4015" t="s">
        <v>62</v>
      </c>
      <c r="E4015">
        <v>13</v>
      </c>
      <c r="F4015" s="3">
        <f ca="1">41345+(RANDBETWEEN(1,10))</f>
        <v>41350</v>
      </c>
      <c r="G4015" t="s">
        <v>76</v>
      </c>
      <c r="H4015" t="s">
        <v>258</v>
      </c>
      <c r="I4015" t="s">
        <v>86</v>
      </c>
      <c r="J4015">
        <v>12826.485000000001</v>
      </c>
      <c r="K4015">
        <v>0.02</v>
      </c>
      <c r="L4015">
        <v>0.62</v>
      </c>
      <c r="M4015">
        <v>140.66499999999999</v>
      </c>
      <c r="N4015">
        <v>8850.2746499999994</v>
      </c>
      <c r="O4015" s="1" t="s">
        <v>29</v>
      </c>
      <c r="P4015" s="1" t="s">
        <v>9417</v>
      </c>
      <c r="Q4015" s="1" t="s">
        <v>9418</v>
      </c>
      <c r="R4015" s="1" t="s">
        <v>675</v>
      </c>
      <c r="S4015" s="1" t="s">
        <v>7383</v>
      </c>
      <c r="T4015" s="1" t="s">
        <v>9419</v>
      </c>
      <c r="U4015" s="2" t="s">
        <v>3482</v>
      </c>
      <c r="V4015" s="2" t="s">
        <v>83</v>
      </c>
      <c r="W4015" s="2" t="s">
        <v>263</v>
      </c>
      <c r="X4015" s="2">
        <v>1218.7349999999999</v>
      </c>
    </row>
    <row r="4016" spans="1:24" x14ac:dyDescent="0.3">
      <c r="A4016">
        <v>21863</v>
      </c>
      <c r="B4016" t="s">
        <v>9420</v>
      </c>
      <c r="C4016" s="3">
        <v>40787</v>
      </c>
      <c r="D4016" t="s">
        <v>62</v>
      </c>
      <c r="E4016">
        <v>15</v>
      </c>
      <c r="F4016" s="3">
        <f ca="1">40789+(RANDBETWEEN(1,10))</f>
        <v>40794</v>
      </c>
      <c r="G4016" t="s">
        <v>26</v>
      </c>
      <c r="H4016" t="s">
        <v>96</v>
      </c>
      <c r="I4016" t="s">
        <v>52</v>
      </c>
      <c r="J4016">
        <v>343.59500000000003</v>
      </c>
      <c r="K4016">
        <v>0.1</v>
      </c>
      <c r="L4016">
        <v>0.35</v>
      </c>
      <c r="M4016">
        <v>6.02</v>
      </c>
      <c r="N4016">
        <v>228.935</v>
      </c>
      <c r="O4016" s="1" t="s">
        <v>53</v>
      </c>
      <c r="P4016" s="1" t="s">
        <v>5100</v>
      </c>
      <c r="Q4016" s="1" t="s">
        <v>5101</v>
      </c>
      <c r="R4016" s="1" t="s">
        <v>440</v>
      </c>
      <c r="S4016" s="1" t="s">
        <v>3428</v>
      </c>
      <c r="T4016" s="1" t="s">
        <v>3429</v>
      </c>
      <c r="U4016" s="2" t="s">
        <v>9421</v>
      </c>
      <c r="V4016" s="2" t="s">
        <v>47</v>
      </c>
      <c r="W4016" s="2" t="s">
        <v>74</v>
      </c>
      <c r="X4016" s="2">
        <v>23.59</v>
      </c>
    </row>
    <row r="4017" spans="1:24" x14ac:dyDescent="0.3">
      <c r="A4017">
        <v>21864</v>
      </c>
      <c r="B4017" t="s">
        <v>9422</v>
      </c>
      <c r="C4017" s="3">
        <v>41678</v>
      </c>
      <c r="D4017" t="s">
        <v>25</v>
      </c>
      <c r="E4017">
        <v>5</v>
      </c>
      <c r="F4017" s="3">
        <f ca="1">41683+(RANDBETWEEN(1,10))</f>
        <v>41686</v>
      </c>
      <c r="G4017" t="s">
        <v>26</v>
      </c>
      <c r="H4017" t="s">
        <v>27</v>
      </c>
      <c r="I4017" t="s">
        <v>28</v>
      </c>
      <c r="J4017">
        <v>54.564999999999998</v>
      </c>
      <c r="K4017">
        <v>0.02</v>
      </c>
      <c r="L4017">
        <v>0.36</v>
      </c>
      <c r="M4017">
        <v>18.655000000000001</v>
      </c>
      <c r="N4017">
        <v>-204.64500000000001</v>
      </c>
      <c r="O4017" s="1" t="s">
        <v>64</v>
      </c>
      <c r="P4017" s="1" t="s">
        <v>6300</v>
      </c>
      <c r="Q4017" s="1" t="s">
        <v>6301</v>
      </c>
      <c r="R4017" s="1" t="s">
        <v>67</v>
      </c>
      <c r="S4017" s="1" t="s">
        <v>6302</v>
      </c>
      <c r="T4017" s="1" t="s">
        <v>6303</v>
      </c>
      <c r="U4017" s="2" t="s">
        <v>9423</v>
      </c>
      <c r="V4017" s="2" t="s">
        <v>47</v>
      </c>
      <c r="W4017" s="2" t="s">
        <v>203</v>
      </c>
      <c r="X4017" s="2">
        <v>10.08</v>
      </c>
    </row>
    <row r="4018" spans="1:24" x14ac:dyDescent="0.3">
      <c r="A4018">
        <v>21865</v>
      </c>
      <c r="B4018" t="s">
        <v>9424</v>
      </c>
      <c r="C4018" s="3">
        <v>41462</v>
      </c>
      <c r="D4018" t="s">
        <v>50</v>
      </c>
      <c r="E4018">
        <v>7</v>
      </c>
      <c r="F4018" s="3">
        <f ca="1">41463+(RANDBETWEEN(1,10))</f>
        <v>41470</v>
      </c>
      <c r="G4018" t="s">
        <v>26</v>
      </c>
      <c r="H4018" t="s">
        <v>27</v>
      </c>
      <c r="I4018" t="s">
        <v>52</v>
      </c>
      <c r="J4018">
        <v>493.78</v>
      </c>
      <c r="K4018">
        <v>0.1</v>
      </c>
      <c r="L4018">
        <v>0.37</v>
      </c>
      <c r="M4018">
        <v>10.465</v>
      </c>
      <c r="N4018">
        <v>340.70819999999998</v>
      </c>
      <c r="O4018" s="1" t="s">
        <v>87</v>
      </c>
      <c r="P4018" s="1" t="s">
        <v>5403</v>
      </c>
      <c r="Q4018" s="1" t="s">
        <v>5404</v>
      </c>
      <c r="R4018" s="1" t="s">
        <v>90</v>
      </c>
      <c r="S4018" s="1" t="s">
        <v>5405</v>
      </c>
      <c r="T4018" s="1" t="s">
        <v>5406</v>
      </c>
      <c r="U4018" s="2" t="s">
        <v>8868</v>
      </c>
      <c r="V4018" s="2" t="s">
        <v>47</v>
      </c>
      <c r="W4018" s="2" t="s">
        <v>111</v>
      </c>
      <c r="X4018" s="2">
        <v>74.83</v>
      </c>
    </row>
    <row r="4019" spans="1:24" x14ac:dyDescent="0.3">
      <c r="A4019">
        <v>21866</v>
      </c>
      <c r="B4019" t="s">
        <v>9425</v>
      </c>
      <c r="C4019" s="3">
        <v>41577</v>
      </c>
      <c r="D4019" t="s">
        <v>39</v>
      </c>
      <c r="E4019">
        <v>19</v>
      </c>
      <c r="F4019" s="3">
        <f ca="1">41578+(RANDBETWEEN(1,10))</f>
        <v>41582</v>
      </c>
      <c r="G4019" t="s">
        <v>26</v>
      </c>
      <c r="H4019" t="s">
        <v>27</v>
      </c>
      <c r="I4019" t="s">
        <v>97</v>
      </c>
      <c r="J4019">
        <v>815.32500000000005</v>
      </c>
      <c r="K4019">
        <v>0.05</v>
      </c>
      <c r="L4019">
        <v>0.38</v>
      </c>
      <c r="M4019">
        <v>17.010000000000002</v>
      </c>
      <c r="N4019">
        <v>255.47479999999999</v>
      </c>
      <c r="O4019" s="1" t="s">
        <v>53</v>
      </c>
      <c r="P4019" s="1" t="s">
        <v>9426</v>
      </c>
      <c r="Q4019" s="1" t="s">
        <v>9427</v>
      </c>
      <c r="R4019" s="1" t="s">
        <v>56</v>
      </c>
      <c r="S4019" s="1" t="s">
        <v>9428</v>
      </c>
      <c r="T4019" s="1" t="s">
        <v>9429</v>
      </c>
      <c r="U4019" s="2" t="s">
        <v>9430</v>
      </c>
      <c r="V4019" s="2" t="s">
        <v>47</v>
      </c>
      <c r="W4019" s="2" t="s">
        <v>74</v>
      </c>
      <c r="X4019" s="2">
        <v>42.98</v>
      </c>
    </row>
    <row r="4020" spans="1:24" x14ac:dyDescent="0.3">
      <c r="A4020">
        <v>21867</v>
      </c>
      <c r="B4020" t="s">
        <v>9431</v>
      </c>
      <c r="C4020" s="3">
        <v>41532</v>
      </c>
      <c r="D4020" t="s">
        <v>148</v>
      </c>
      <c r="E4020">
        <v>10</v>
      </c>
      <c r="F4020" s="3">
        <f ca="1">41534+(RANDBETWEEN(1,10))</f>
        <v>41538</v>
      </c>
      <c r="G4020" t="s">
        <v>156</v>
      </c>
      <c r="H4020" t="s">
        <v>51</v>
      </c>
      <c r="I4020" t="s">
        <v>28</v>
      </c>
      <c r="J4020">
        <v>1479.9749999999999</v>
      </c>
      <c r="K4020">
        <v>0.02</v>
      </c>
      <c r="L4020">
        <v>0.54</v>
      </c>
      <c r="M4020">
        <v>6.9649999999999999</v>
      </c>
      <c r="N4020">
        <v>775.6</v>
      </c>
      <c r="O4020" s="1" t="s">
        <v>87</v>
      </c>
      <c r="P4020" s="1" t="s">
        <v>8583</v>
      </c>
      <c r="Q4020" s="1" t="s">
        <v>8584</v>
      </c>
      <c r="R4020" s="1" t="s">
        <v>646</v>
      </c>
      <c r="S4020" s="1" t="s">
        <v>8585</v>
      </c>
      <c r="T4020" s="1" t="s">
        <v>8586</v>
      </c>
      <c r="U4020" s="2" t="s">
        <v>685</v>
      </c>
      <c r="V4020" s="2" t="s">
        <v>36</v>
      </c>
      <c r="W4020" s="2" t="s">
        <v>60</v>
      </c>
      <c r="X4020" s="2">
        <v>138.18</v>
      </c>
    </row>
    <row r="4021" spans="1:24" x14ac:dyDescent="0.3">
      <c r="A4021">
        <v>21868</v>
      </c>
      <c r="B4021" t="s">
        <v>9431</v>
      </c>
      <c r="C4021" s="3">
        <v>41532</v>
      </c>
      <c r="D4021" t="s">
        <v>148</v>
      </c>
      <c r="E4021">
        <v>12</v>
      </c>
      <c r="F4021" s="3">
        <f ca="1">41533+(RANDBETWEEN(1,10))</f>
        <v>41540</v>
      </c>
      <c r="G4021" t="s">
        <v>26</v>
      </c>
      <c r="H4021" t="s">
        <v>51</v>
      </c>
      <c r="I4021" t="s">
        <v>28</v>
      </c>
      <c r="J4021">
        <v>784.56</v>
      </c>
      <c r="K4021">
        <v>0.04</v>
      </c>
      <c r="L4021">
        <v>0.47</v>
      </c>
      <c r="M4021">
        <v>31.465</v>
      </c>
      <c r="N4021">
        <v>244.89500000000001</v>
      </c>
      <c r="O4021" s="1" t="s">
        <v>87</v>
      </c>
      <c r="P4021" s="1" t="s">
        <v>8583</v>
      </c>
      <c r="Q4021" s="1" t="s">
        <v>8584</v>
      </c>
      <c r="R4021" s="1" t="s">
        <v>646</v>
      </c>
      <c r="S4021" s="1" t="s">
        <v>8585</v>
      </c>
      <c r="T4021" s="1" t="s">
        <v>8586</v>
      </c>
      <c r="U4021" s="2" t="s">
        <v>1320</v>
      </c>
      <c r="V4021" s="2" t="s">
        <v>83</v>
      </c>
      <c r="W4021" s="2" t="s">
        <v>178</v>
      </c>
      <c r="X4021" s="2">
        <v>61.844999999999999</v>
      </c>
    </row>
    <row r="4022" spans="1:24" x14ac:dyDescent="0.3">
      <c r="A4022">
        <v>21869</v>
      </c>
      <c r="B4022" t="s">
        <v>9431</v>
      </c>
      <c r="C4022" s="3">
        <v>41532</v>
      </c>
      <c r="D4022" t="s">
        <v>148</v>
      </c>
      <c r="E4022">
        <v>18</v>
      </c>
      <c r="F4022" s="3">
        <f ca="1">41533+(RANDBETWEEN(1,10))</f>
        <v>41536</v>
      </c>
      <c r="G4022" t="s">
        <v>26</v>
      </c>
      <c r="H4022" t="s">
        <v>258</v>
      </c>
      <c r="I4022" t="s">
        <v>28</v>
      </c>
      <c r="J4022">
        <v>112.77</v>
      </c>
      <c r="K4022">
        <v>7.0000000000000007E-2</v>
      </c>
      <c r="L4022">
        <v>0.66</v>
      </c>
      <c r="M4022">
        <v>5.2149999999999999</v>
      </c>
      <c r="N4022">
        <v>-65.241225</v>
      </c>
      <c r="O4022" s="1" t="s">
        <v>87</v>
      </c>
      <c r="P4022" s="1" t="s">
        <v>8583</v>
      </c>
      <c r="Q4022" s="1" t="s">
        <v>8584</v>
      </c>
      <c r="R4022" s="1" t="s">
        <v>646</v>
      </c>
      <c r="S4022" s="1" t="s">
        <v>8585</v>
      </c>
      <c r="T4022" s="1" t="s">
        <v>8586</v>
      </c>
      <c r="U4022" s="2" t="s">
        <v>1073</v>
      </c>
      <c r="V4022" s="2" t="s">
        <v>83</v>
      </c>
      <c r="W4022" s="2" t="s">
        <v>263</v>
      </c>
      <c r="X4022" s="2">
        <v>6.58</v>
      </c>
    </row>
    <row r="4023" spans="1:24" x14ac:dyDescent="0.3">
      <c r="A4023">
        <v>21870</v>
      </c>
      <c r="B4023" t="s">
        <v>9432</v>
      </c>
      <c r="C4023" s="3">
        <v>41850</v>
      </c>
      <c r="D4023" t="s">
        <v>25</v>
      </c>
      <c r="E4023">
        <v>1</v>
      </c>
      <c r="F4023" s="3">
        <f ca="1">41852+(RANDBETWEEN(1,10))</f>
        <v>41854</v>
      </c>
      <c r="G4023" t="s">
        <v>26</v>
      </c>
      <c r="H4023" t="s">
        <v>63</v>
      </c>
      <c r="I4023" t="s">
        <v>97</v>
      </c>
      <c r="J4023">
        <v>716.48500000000001</v>
      </c>
      <c r="K4023">
        <v>0.09</v>
      </c>
      <c r="L4023">
        <v>0.46</v>
      </c>
      <c r="M4023">
        <v>85.715000000000003</v>
      </c>
      <c r="N4023">
        <v>-333.98399999999998</v>
      </c>
      <c r="O4023" s="1" t="s">
        <v>64</v>
      </c>
      <c r="P4023" s="1" t="s">
        <v>4974</v>
      </c>
      <c r="Q4023" s="1" t="s">
        <v>4975</v>
      </c>
      <c r="R4023" s="1" t="s">
        <v>67</v>
      </c>
      <c r="S4023" s="1" t="s">
        <v>4976</v>
      </c>
      <c r="T4023" s="1" t="s">
        <v>4977</v>
      </c>
      <c r="U4023" s="2" t="s">
        <v>7870</v>
      </c>
      <c r="V4023" s="2" t="s">
        <v>36</v>
      </c>
      <c r="W4023" s="2" t="s">
        <v>1327</v>
      </c>
      <c r="X4023" s="2">
        <v>699.96500000000003</v>
      </c>
    </row>
    <row r="4024" spans="1:24" x14ac:dyDescent="0.3">
      <c r="A4024">
        <v>21871</v>
      </c>
      <c r="B4024" t="s">
        <v>9433</v>
      </c>
      <c r="C4024" s="3">
        <v>41311</v>
      </c>
      <c r="D4024" t="s">
        <v>148</v>
      </c>
      <c r="E4024">
        <v>1</v>
      </c>
      <c r="F4024" s="3">
        <f ca="1">41312+(RANDBETWEEN(1,10))</f>
        <v>41318</v>
      </c>
      <c r="G4024" t="s">
        <v>76</v>
      </c>
      <c r="H4024" t="s">
        <v>258</v>
      </c>
      <c r="I4024" t="s">
        <v>52</v>
      </c>
      <c r="J4024">
        <v>1120.6300000000001</v>
      </c>
      <c r="K4024">
        <v>0.09</v>
      </c>
      <c r="L4024">
        <v>0.63</v>
      </c>
      <c r="M4024">
        <v>152.495</v>
      </c>
      <c r="N4024">
        <v>-2712.1174080000001</v>
      </c>
      <c r="O4024" s="1" t="s">
        <v>53</v>
      </c>
      <c r="P4024" s="1" t="s">
        <v>4558</v>
      </c>
      <c r="Q4024" s="1" t="s">
        <v>4559</v>
      </c>
      <c r="R4024" s="1" t="s">
        <v>440</v>
      </c>
      <c r="S4024" s="1" t="s">
        <v>4560</v>
      </c>
      <c r="T4024" s="1" t="s">
        <v>4561</v>
      </c>
      <c r="U4024" s="2" t="s">
        <v>3999</v>
      </c>
      <c r="V4024" s="2" t="s">
        <v>83</v>
      </c>
      <c r="W4024" s="2" t="s">
        <v>263</v>
      </c>
      <c r="X4024" s="2">
        <v>1122.24</v>
      </c>
    </row>
    <row r="4025" spans="1:24" x14ac:dyDescent="0.3">
      <c r="A4025">
        <v>21872</v>
      </c>
      <c r="B4025" t="s">
        <v>9434</v>
      </c>
      <c r="C4025" s="3">
        <v>41906</v>
      </c>
      <c r="D4025" t="s">
        <v>39</v>
      </c>
      <c r="E4025">
        <v>6</v>
      </c>
      <c r="F4025" s="3">
        <f ca="1">41908+(RANDBETWEEN(1,10))</f>
        <v>41911</v>
      </c>
      <c r="G4025" t="s">
        <v>26</v>
      </c>
      <c r="H4025" t="s">
        <v>27</v>
      </c>
      <c r="I4025" t="s">
        <v>97</v>
      </c>
      <c r="J4025">
        <v>165.97</v>
      </c>
      <c r="K4025">
        <v>0.02</v>
      </c>
      <c r="L4025">
        <v>0.36</v>
      </c>
      <c r="M4025">
        <v>4.8650000000000002</v>
      </c>
      <c r="N4025">
        <v>112.90860000000001</v>
      </c>
      <c r="O4025" s="1" t="s">
        <v>225</v>
      </c>
      <c r="P4025" s="1" t="s">
        <v>8053</v>
      </c>
      <c r="Q4025" s="1" t="s">
        <v>8054</v>
      </c>
      <c r="R4025" s="1" t="s">
        <v>228</v>
      </c>
      <c r="S4025" s="1" t="s">
        <v>8055</v>
      </c>
      <c r="T4025" s="1" t="s">
        <v>8056</v>
      </c>
      <c r="U4025" s="2" t="s">
        <v>5969</v>
      </c>
      <c r="V4025" s="2" t="s">
        <v>47</v>
      </c>
      <c r="W4025" s="2" t="s">
        <v>48</v>
      </c>
      <c r="X4025" s="2">
        <v>26.74</v>
      </c>
    </row>
    <row r="4026" spans="1:24" x14ac:dyDescent="0.3">
      <c r="A4026">
        <v>21873</v>
      </c>
      <c r="B4026" t="s">
        <v>9435</v>
      </c>
      <c r="C4026" s="3">
        <v>40934</v>
      </c>
      <c r="D4026" t="s">
        <v>62</v>
      </c>
      <c r="E4026">
        <v>8</v>
      </c>
      <c r="F4026" s="3">
        <f ca="1">40935+(RANDBETWEEN(1,10))</f>
        <v>40942</v>
      </c>
      <c r="G4026" t="s">
        <v>26</v>
      </c>
      <c r="H4026" t="s">
        <v>27</v>
      </c>
      <c r="I4026" t="s">
        <v>86</v>
      </c>
      <c r="J4026">
        <v>283.85000000000002</v>
      </c>
      <c r="K4026">
        <v>0.1</v>
      </c>
      <c r="L4026">
        <v>0.59</v>
      </c>
      <c r="M4026">
        <v>15.75</v>
      </c>
      <c r="N4026">
        <v>-203.89320000000001</v>
      </c>
      <c r="O4026" s="1" t="s">
        <v>64</v>
      </c>
      <c r="P4026" s="1" t="s">
        <v>9436</v>
      </c>
      <c r="Q4026" s="1" t="s">
        <v>9437</v>
      </c>
      <c r="R4026" s="1" t="s">
        <v>128</v>
      </c>
      <c r="S4026" s="1" t="s">
        <v>3162</v>
      </c>
      <c r="T4026" s="1" t="s">
        <v>3163</v>
      </c>
      <c r="U4026" s="2" t="s">
        <v>767</v>
      </c>
      <c r="V4026" s="2" t="s">
        <v>47</v>
      </c>
      <c r="W4026" s="2" t="s">
        <v>71</v>
      </c>
      <c r="X4026" s="2">
        <v>38.115000000000002</v>
      </c>
    </row>
    <row r="4027" spans="1:24" x14ac:dyDescent="0.3">
      <c r="A4027">
        <v>21874</v>
      </c>
      <c r="B4027" t="s">
        <v>9435</v>
      </c>
      <c r="C4027" s="3">
        <v>40934</v>
      </c>
      <c r="D4027" t="s">
        <v>62</v>
      </c>
      <c r="E4027">
        <v>5</v>
      </c>
      <c r="F4027" s="3">
        <f ca="1">40935+(RANDBETWEEN(1,10))</f>
        <v>40945</v>
      </c>
      <c r="G4027" t="s">
        <v>26</v>
      </c>
      <c r="H4027" t="s">
        <v>27</v>
      </c>
      <c r="I4027" t="s">
        <v>86</v>
      </c>
      <c r="J4027">
        <v>126.21</v>
      </c>
      <c r="K4027">
        <v>0.01</v>
      </c>
      <c r="L4027">
        <v>0.37</v>
      </c>
      <c r="M4027">
        <v>23.1</v>
      </c>
      <c r="N4027">
        <v>-203.5026</v>
      </c>
      <c r="O4027" s="1" t="s">
        <v>64</v>
      </c>
      <c r="P4027" s="1" t="s">
        <v>9436</v>
      </c>
      <c r="Q4027" s="1" t="s">
        <v>9437</v>
      </c>
      <c r="R4027" s="1" t="s">
        <v>128</v>
      </c>
      <c r="S4027" s="1" t="s">
        <v>3162</v>
      </c>
      <c r="T4027" s="1" t="s">
        <v>3163</v>
      </c>
      <c r="U4027" s="2" t="s">
        <v>241</v>
      </c>
      <c r="V4027" s="2" t="s">
        <v>47</v>
      </c>
      <c r="W4027" s="2" t="s">
        <v>74</v>
      </c>
      <c r="X4027" s="2">
        <v>22.68</v>
      </c>
    </row>
    <row r="4028" spans="1:24" x14ac:dyDescent="0.3">
      <c r="A4028">
        <v>21875</v>
      </c>
      <c r="B4028" t="s">
        <v>9438</v>
      </c>
      <c r="C4028" s="3">
        <v>41237</v>
      </c>
      <c r="D4028" t="s">
        <v>148</v>
      </c>
      <c r="E4028">
        <v>6</v>
      </c>
      <c r="F4028" s="3">
        <f ca="1">41238+(RANDBETWEEN(1,10))</f>
        <v>41246</v>
      </c>
      <c r="G4028" t="s">
        <v>26</v>
      </c>
      <c r="H4028" t="s">
        <v>27</v>
      </c>
      <c r="I4028" t="s">
        <v>97</v>
      </c>
      <c r="J4028">
        <v>113.4</v>
      </c>
      <c r="K4028">
        <v>0.06</v>
      </c>
      <c r="L4028">
        <v>0.38</v>
      </c>
      <c r="M4028">
        <v>16.45</v>
      </c>
      <c r="N4028">
        <v>12.817</v>
      </c>
      <c r="O4028" s="1" t="s">
        <v>87</v>
      </c>
      <c r="P4028" s="1" t="s">
        <v>5700</v>
      </c>
      <c r="Q4028" s="1" t="s">
        <v>5701</v>
      </c>
      <c r="R4028" s="1" t="s">
        <v>398</v>
      </c>
      <c r="S4028" s="1" t="s">
        <v>5702</v>
      </c>
      <c r="T4028" s="1" t="s">
        <v>5703</v>
      </c>
      <c r="U4028" s="2" t="s">
        <v>5182</v>
      </c>
      <c r="V4028" s="2" t="s">
        <v>47</v>
      </c>
      <c r="W4028" s="2" t="s">
        <v>74</v>
      </c>
      <c r="X4028" s="2">
        <v>17.43</v>
      </c>
    </row>
    <row r="4029" spans="1:24" x14ac:dyDescent="0.3">
      <c r="A4029">
        <v>21876</v>
      </c>
      <c r="B4029" t="s">
        <v>9438</v>
      </c>
      <c r="C4029" s="3">
        <v>41237</v>
      </c>
      <c r="D4029" t="s">
        <v>148</v>
      </c>
      <c r="E4029">
        <v>26</v>
      </c>
      <c r="F4029" s="3">
        <f ca="1">41239+(RANDBETWEEN(1,10))</f>
        <v>41245</v>
      </c>
      <c r="G4029" t="s">
        <v>26</v>
      </c>
      <c r="H4029" t="s">
        <v>96</v>
      </c>
      <c r="I4029" t="s">
        <v>97</v>
      </c>
      <c r="J4029">
        <v>555.94000000000005</v>
      </c>
      <c r="K4029">
        <v>0.04</v>
      </c>
      <c r="L4029">
        <v>0.56000000000000005</v>
      </c>
      <c r="M4029">
        <v>4.0949999999999998</v>
      </c>
      <c r="N4029">
        <v>260.87599999999998</v>
      </c>
      <c r="O4029" s="1" t="s">
        <v>87</v>
      </c>
      <c r="P4029" s="1" t="s">
        <v>5700</v>
      </c>
      <c r="Q4029" s="1" t="s">
        <v>5701</v>
      </c>
      <c r="R4029" s="1" t="s">
        <v>398</v>
      </c>
      <c r="S4029" s="1" t="s">
        <v>5702</v>
      </c>
      <c r="T4029" s="1" t="s">
        <v>5703</v>
      </c>
      <c r="U4029" s="2" t="s">
        <v>1781</v>
      </c>
      <c r="V4029" s="2" t="s">
        <v>47</v>
      </c>
      <c r="W4029" s="2" t="s">
        <v>104</v>
      </c>
      <c r="X4029" s="2">
        <v>21.28</v>
      </c>
    </row>
    <row r="4030" spans="1:24" x14ac:dyDescent="0.3">
      <c r="A4030">
        <v>21877</v>
      </c>
      <c r="B4030" t="s">
        <v>9439</v>
      </c>
      <c r="C4030" s="3">
        <v>41522</v>
      </c>
      <c r="D4030" t="s">
        <v>25</v>
      </c>
      <c r="E4030">
        <v>1</v>
      </c>
      <c r="F4030" s="3">
        <f ca="1">41524+(RANDBETWEEN(1,10))</f>
        <v>41529</v>
      </c>
      <c r="G4030" t="s">
        <v>26</v>
      </c>
      <c r="H4030" t="s">
        <v>51</v>
      </c>
      <c r="I4030" t="s">
        <v>28</v>
      </c>
      <c r="J4030">
        <v>45.64</v>
      </c>
      <c r="K4030">
        <v>0.06</v>
      </c>
      <c r="L4030">
        <v>0.6</v>
      </c>
      <c r="M4030">
        <v>10.115</v>
      </c>
      <c r="N4030">
        <v>-23.17</v>
      </c>
      <c r="O4030" s="1" t="s">
        <v>29</v>
      </c>
      <c r="P4030" s="1" t="s">
        <v>4613</v>
      </c>
      <c r="Q4030" s="1" t="s">
        <v>4614</v>
      </c>
      <c r="R4030" s="1" t="s">
        <v>32</v>
      </c>
      <c r="S4030" s="1" t="s">
        <v>4615</v>
      </c>
      <c r="T4030" s="1" t="s">
        <v>4616</v>
      </c>
      <c r="U4030" s="2" t="s">
        <v>6149</v>
      </c>
      <c r="V4030" s="2" t="s">
        <v>47</v>
      </c>
      <c r="W4030" s="2" t="s">
        <v>104</v>
      </c>
      <c r="X4030" s="2">
        <v>36.68</v>
      </c>
    </row>
    <row r="4031" spans="1:24" x14ac:dyDescent="0.3">
      <c r="A4031">
        <v>21878</v>
      </c>
      <c r="B4031" t="s">
        <v>9440</v>
      </c>
      <c r="C4031" s="3">
        <v>41021</v>
      </c>
      <c r="D4031" t="s">
        <v>148</v>
      </c>
      <c r="E4031">
        <v>10</v>
      </c>
      <c r="F4031" s="3">
        <f ca="1">41023+(RANDBETWEEN(1,10))</f>
        <v>41028</v>
      </c>
      <c r="G4031" t="s">
        <v>26</v>
      </c>
      <c r="H4031" t="s">
        <v>27</v>
      </c>
      <c r="I4031" t="s">
        <v>97</v>
      </c>
      <c r="J4031">
        <v>231.45500000000001</v>
      </c>
      <c r="K4031">
        <v>0.1</v>
      </c>
      <c r="L4031">
        <v>0.39</v>
      </c>
      <c r="M4031">
        <v>21.175000000000001</v>
      </c>
      <c r="N4031">
        <v>3817.2959999999998</v>
      </c>
      <c r="O4031" s="1" t="s">
        <v>53</v>
      </c>
      <c r="P4031" s="1" t="s">
        <v>7483</v>
      </c>
      <c r="Q4031" s="1" t="s">
        <v>7484</v>
      </c>
      <c r="R4031" s="1" t="s">
        <v>56</v>
      </c>
      <c r="S4031" s="1" t="s">
        <v>7485</v>
      </c>
      <c r="T4031" s="1" t="s">
        <v>7486</v>
      </c>
      <c r="U4031" s="2" t="s">
        <v>2669</v>
      </c>
      <c r="V4031" s="2" t="s">
        <v>47</v>
      </c>
      <c r="W4031" s="2" t="s">
        <v>111</v>
      </c>
      <c r="X4031" s="2">
        <v>24.85</v>
      </c>
    </row>
    <row r="4032" spans="1:24" x14ac:dyDescent="0.3">
      <c r="A4032">
        <v>21879</v>
      </c>
      <c r="B4032" t="s">
        <v>9441</v>
      </c>
      <c r="C4032" s="3">
        <v>40972</v>
      </c>
      <c r="D4032" t="s">
        <v>25</v>
      </c>
      <c r="E4032">
        <v>5</v>
      </c>
      <c r="F4032" s="3">
        <f ca="1">40979+(RANDBETWEEN(1,10))</f>
        <v>40983</v>
      </c>
      <c r="G4032" t="s">
        <v>26</v>
      </c>
      <c r="H4032" t="s">
        <v>27</v>
      </c>
      <c r="I4032" t="s">
        <v>28</v>
      </c>
      <c r="J4032">
        <v>215.81</v>
      </c>
      <c r="K4032">
        <v>0.08</v>
      </c>
      <c r="L4032">
        <v>0.38</v>
      </c>
      <c r="M4032">
        <v>17.010000000000002</v>
      </c>
      <c r="N4032">
        <v>110.39</v>
      </c>
      <c r="O4032" s="1" t="s">
        <v>87</v>
      </c>
      <c r="P4032" s="1" t="s">
        <v>9442</v>
      </c>
      <c r="Q4032" s="1" t="s">
        <v>9443</v>
      </c>
      <c r="R4032" s="1" t="s">
        <v>646</v>
      </c>
      <c r="S4032" s="1" t="s">
        <v>6191</v>
      </c>
      <c r="T4032" s="1" t="s">
        <v>6192</v>
      </c>
      <c r="U4032" s="2" t="s">
        <v>9430</v>
      </c>
      <c r="V4032" s="2" t="s">
        <v>47</v>
      </c>
      <c r="W4032" s="2" t="s">
        <v>74</v>
      </c>
      <c r="X4032" s="2">
        <v>42.98</v>
      </c>
    </row>
    <row r="4033" spans="1:24" x14ac:dyDescent="0.3">
      <c r="A4033">
        <v>21880</v>
      </c>
      <c r="B4033" t="s">
        <v>9444</v>
      </c>
      <c r="C4033" s="3">
        <v>41536</v>
      </c>
      <c r="D4033" t="s">
        <v>39</v>
      </c>
      <c r="E4033">
        <v>6</v>
      </c>
      <c r="F4033" s="3">
        <f ca="1">41538+(RANDBETWEEN(1,10))</f>
        <v>41541</v>
      </c>
      <c r="G4033" t="s">
        <v>26</v>
      </c>
      <c r="H4033" t="s">
        <v>27</v>
      </c>
      <c r="I4033" t="s">
        <v>52</v>
      </c>
      <c r="J4033">
        <v>165.41</v>
      </c>
      <c r="K4033">
        <v>0.06</v>
      </c>
      <c r="L4033">
        <v>0.4</v>
      </c>
      <c r="M4033">
        <v>21.98</v>
      </c>
      <c r="N4033">
        <v>-126.78749999999999</v>
      </c>
      <c r="O4033" s="1" t="s">
        <v>40</v>
      </c>
      <c r="P4033" s="1" t="s">
        <v>6385</v>
      </c>
      <c r="Q4033" s="1" t="s">
        <v>6386</v>
      </c>
      <c r="R4033" s="1" t="s">
        <v>220</v>
      </c>
      <c r="S4033" s="1" t="s">
        <v>6387</v>
      </c>
      <c r="T4033" s="1" t="s">
        <v>6388</v>
      </c>
      <c r="U4033" s="2" t="s">
        <v>1807</v>
      </c>
      <c r="V4033" s="2" t="s">
        <v>47</v>
      </c>
      <c r="W4033" s="2" t="s">
        <v>111</v>
      </c>
      <c r="X4033" s="2">
        <v>26.074999999999999</v>
      </c>
    </row>
    <row r="4034" spans="1:24" x14ac:dyDescent="0.3">
      <c r="A4034">
        <v>21881</v>
      </c>
      <c r="B4034" t="s">
        <v>9445</v>
      </c>
      <c r="C4034" s="3">
        <v>41573</v>
      </c>
      <c r="D4034" t="s">
        <v>62</v>
      </c>
      <c r="E4034">
        <v>9</v>
      </c>
      <c r="F4034" s="3">
        <f ca="1">41576+(RANDBETWEEN(1,10))</f>
        <v>41577</v>
      </c>
      <c r="G4034" t="s">
        <v>26</v>
      </c>
      <c r="H4034" t="s">
        <v>27</v>
      </c>
      <c r="I4034" t="s">
        <v>28</v>
      </c>
      <c r="J4034">
        <v>124.67</v>
      </c>
      <c r="K4034">
        <v>0.05</v>
      </c>
      <c r="L4034">
        <v>0.37</v>
      </c>
      <c r="M4034">
        <v>26.25</v>
      </c>
      <c r="N4034">
        <v>-265.82499999999999</v>
      </c>
      <c r="O4034" s="1" t="s">
        <v>53</v>
      </c>
      <c r="P4034" s="1" t="s">
        <v>9446</v>
      </c>
      <c r="Q4034" s="1" t="s">
        <v>9447</v>
      </c>
      <c r="R4034" s="1" t="s">
        <v>440</v>
      </c>
      <c r="S4034" s="1" t="s">
        <v>9448</v>
      </c>
      <c r="T4034" s="1" t="s">
        <v>9449</v>
      </c>
      <c r="U4034" s="2" t="s">
        <v>2269</v>
      </c>
      <c r="V4034" s="2" t="s">
        <v>47</v>
      </c>
      <c r="W4034" s="2" t="s">
        <v>203</v>
      </c>
      <c r="X4034" s="2">
        <v>13.125</v>
      </c>
    </row>
    <row r="4035" spans="1:24" x14ac:dyDescent="0.3">
      <c r="A4035">
        <v>21882</v>
      </c>
      <c r="B4035" t="s">
        <v>9450</v>
      </c>
      <c r="C4035" s="3">
        <v>41124</v>
      </c>
      <c r="D4035" t="s">
        <v>62</v>
      </c>
      <c r="E4035">
        <v>10</v>
      </c>
      <c r="F4035" s="3">
        <f ca="1">41125+(RANDBETWEEN(1,10))</f>
        <v>41133</v>
      </c>
      <c r="G4035" t="s">
        <v>26</v>
      </c>
      <c r="H4035" t="s">
        <v>27</v>
      </c>
      <c r="I4035" t="s">
        <v>28</v>
      </c>
      <c r="J4035">
        <v>169.75</v>
      </c>
      <c r="K4035">
        <v>0.01</v>
      </c>
      <c r="L4035">
        <v>0.36</v>
      </c>
      <c r="M4035">
        <v>20.405000000000001</v>
      </c>
      <c r="N4035">
        <v>-139.41472999999999</v>
      </c>
      <c r="O4035" s="1" t="s">
        <v>29</v>
      </c>
      <c r="P4035" s="1" t="s">
        <v>9451</v>
      </c>
      <c r="Q4035" s="1" t="s">
        <v>9452</v>
      </c>
      <c r="R4035" s="1" t="s">
        <v>32</v>
      </c>
      <c r="S4035" s="1" t="s">
        <v>3721</v>
      </c>
      <c r="T4035" s="1" t="s">
        <v>3722</v>
      </c>
      <c r="U4035" s="2" t="s">
        <v>6429</v>
      </c>
      <c r="V4035" s="2" t="s">
        <v>47</v>
      </c>
      <c r="W4035" s="2" t="s">
        <v>111</v>
      </c>
      <c r="X4035" s="2">
        <v>15.89</v>
      </c>
    </row>
    <row r="4036" spans="1:24" x14ac:dyDescent="0.3">
      <c r="A4036">
        <v>21883</v>
      </c>
      <c r="B4036" t="s">
        <v>9453</v>
      </c>
      <c r="C4036" s="3">
        <v>41172</v>
      </c>
      <c r="D4036" t="s">
        <v>25</v>
      </c>
      <c r="E4036">
        <v>19</v>
      </c>
      <c r="F4036" s="3">
        <f ca="1">41176+(RANDBETWEEN(1,10))</f>
        <v>41182</v>
      </c>
      <c r="G4036" t="s">
        <v>76</v>
      </c>
      <c r="H4036" t="s">
        <v>258</v>
      </c>
      <c r="I4036" t="s">
        <v>97</v>
      </c>
      <c r="J4036">
        <v>9937.5849999999991</v>
      </c>
      <c r="K4036">
        <v>0.01</v>
      </c>
      <c r="L4036">
        <v>0.71</v>
      </c>
      <c r="M4036">
        <v>280.7</v>
      </c>
      <c r="N4036">
        <v>-5967.1149999999998</v>
      </c>
      <c r="O4036" s="1" t="s">
        <v>29</v>
      </c>
      <c r="P4036" s="1" t="s">
        <v>8246</v>
      </c>
      <c r="Q4036" s="1" t="s">
        <v>8247</v>
      </c>
      <c r="R4036" s="1" t="s">
        <v>460</v>
      </c>
      <c r="S4036" s="1" t="s">
        <v>8248</v>
      </c>
      <c r="T4036" s="1" t="s">
        <v>8249</v>
      </c>
      <c r="U4036" s="2" t="s">
        <v>696</v>
      </c>
      <c r="V4036" s="2" t="s">
        <v>83</v>
      </c>
      <c r="W4036" s="2" t="s">
        <v>263</v>
      </c>
      <c r="X4036" s="2">
        <v>511.17500000000001</v>
      </c>
    </row>
    <row r="4037" spans="1:24" x14ac:dyDescent="0.3">
      <c r="A4037">
        <v>21884</v>
      </c>
      <c r="B4037" t="s">
        <v>9454</v>
      </c>
      <c r="C4037" s="3">
        <v>41247</v>
      </c>
      <c r="D4037" t="s">
        <v>62</v>
      </c>
      <c r="E4037">
        <v>1</v>
      </c>
      <c r="F4037" s="3">
        <f ca="1">41248+(RANDBETWEEN(1,10))</f>
        <v>41256</v>
      </c>
      <c r="G4037" t="s">
        <v>26</v>
      </c>
      <c r="H4037" t="s">
        <v>27</v>
      </c>
      <c r="I4037" t="s">
        <v>52</v>
      </c>
      <c r="J4037">
        <v>101.605</v>
      </c>
      <c r="K4037">
        <v>0.1</v>
      </c>
      <c r="L4037">
        <v>0.54</v>
      </c>
      <c r="M4037">
        <v>27.545000000000002</v>
      </c>
      <c r="N4037">
        <v>-74.777500000000003</v>
      </c>
      <c r="O4037" s="1" t="s">
        <v>87</v>
      </c>
      <c r="P4037" s="1" t="s">
        <v>9455</v>
      </c>
      <c r="Q4037" s="1" t="s">
        <v>9456</v>
      </c>
      <c r="R4037" s="1" t="s">
        <v>90</v>
      </c>
      <c r="S4037" s="1" t="s">
        <v>9457</v>
      </c>
      <c r="T4037" s="1" t="s">
        <v>9458</v>
      </c>
      <c r="U4037" s="2" t="s">
        <v>5532</v>
      </c>
      <c r="V4037" s="2" t="s">
        <v>83</v>
      </c>
      <c r="W4037" s="2" t="s">
        <v>178</v>
      </c>
      <c r="X4037" s="2">
        <v>102.69</v>
      </c>
    </row>
    <row r="4038" spans="1:24" x14ac:dyDescent="0.3">
      <c r="A4038">
        <v>21885</v>
      </c>
      <c r="B4038" t="s">
        <v>9454</v>
      </c>
      <c r="C4038" s="3">
        <v>41247</v>
      </c>
      <c r="D4038" t="s">
        <v>62</v>
      </c>
      <c r="E4038">
        <v>19</v>
      </c>
      <c r="F4038" s="3">
        <f ca="1">41248+(RANDBETWEEN(1,10))</f>
        <v>41258</v>
      </c>
      <c r="G4038" t="s">
        <v>26</v>
      </c>
      <c r="H4038" t="s">
        <v>96</v>
      </c>
      <c r="I4038" t="s">
        <v>52</v>
      </c>
      <c r="J4038">
        <v>310.48500000000001</v>
      </c>
      <c r="K4038">
        <v>7.0000000000000007E-2</v>
      </c>
      <c r="L4038">
        <v>0.39</v>
      </c>
      <c r="M4038">
        <v>3.08</v>
      </c>
      <c r="N4038">
        <v>214.23464999999999</v>
      </c>
      <c r="O4038" s="1" t="s">
        <v>87</v>
      </c>
      <c r="P4038" s="1" t="s">
        <v>9455</v>
      </c>
      <c r="Q4038" s="1" t="s">
        <v>9456</v>
      </c>
      <c r="R4038" s="1" t="s">
        <v>90</v>
      </c>
      <c r="S4038" s="1" t="s">
        <v>9457</v>
      </c>
      <c r="T4038" s="1" t="s">
        <v>9458</v>
      </c>
      <c r="U4038" s="2" t="s">
        <v>1743</v>
      </c>
      <c r="V4038" s="2" t="s">
        <v>47</v>
      </c>
      <c r="W4038" s="2" t="s">
        <v>74</v>
      </c>
      <c r="X4038" s="2">
        <v>16.66</v>
      </c>
    </row>
    <row r="4039" spans="1:24" x14ac:dyDescent="0.3">
      <c r="A4039">
        <v>21886</v>
      </c>
      <c r="B4039" t="s">
        <v>9454</v>
      </c>
      <c r="C4039" s="3">
        <v>41247</v>
      </c>
      <c r="D4039" t="s">
        <v>62</v>
      </c>
      <c r="E4039">
        <v>1</v>
      </c>
      <c r="F4039" s="3">
        <f ca="1">41247+(RANDBETWEEN(1,10))</f>
        <v>41251</v>
      </c>
      <c r="G4039" t="s">
        <v>26</v>
      </c>
      <c r="H4039" t="s">
        <v>63</v>
      </c>
      <c r="I4039" t="s">
        <v>52</v>
      </c>
      <c r="J4039">
        <v>1797.5650000000001</v>
      </c>
      <c r="K4039">
        <v>0.04</v>
      </c>
      <c r="L4039">
        <v>0.36</v>
      </c>
      <c r="M4039">
        <v>85.715000000000003</v>
      </c>
      <c r="N4039">
        <v>-2752.12</v>
      </c>
      <c r="O4039" s="1" t="s">
        <v>64</v>
      </c>
      <c r="P4039" s="1" t="s">
        <v>5078</v>
      </c>
      <c r="Q4039" s="1" t="s">
        <v>5079</v>
      </c>
      <c r="R4039" s="1" t="s">
        <v>128</v>
      </c>
      <c r="S4039" s="1" t="s">
        <v>5080</v>
      </c>
      <c r="T4039" s="1" t="s">
        <v>5081</v>
      </c>
      <c r="U4039" s="2" t="s">
        <v>3414</v>
      </c>
      <c r="V4039" s="2" t="s">
        <v>36</v>
      </c>
      <c r="W4039" s="2" t="s">
        <v>1327</v>
      </c>
      <c r="X4039" s="2">
        <v>1749.9649999999999</v>
      </c>
    </row>
    <row r="4040" spans="1:24" x14ac:dyDescent="0.3">
      <c r="A4040">
        <v>21887</v>
      </c>
      <c r="B4040" t="s">
        <v>9459</v>
      </c>
      <c r="C4040" s="3">
        <v>41931</v>
      </c>
      <c r="D4040" t="s">
        <v>25</v>
      </c>
      <c r="E4040">
        <v>6</v>
      </c>
      <c r="F4040" s="3">
        <f ca="1">41935+(RANDBETWEEN(1,10))</f>
        <v>41936</v>
      </c>
      <c r="G4040" t="s">
        <v>76</v>
      </c>
      <c r="H4040" t="s">
        <v>258</v>
      </c>
      <c r="I4040" t="s">
        <v>86</v>
      </c>
      <c r="J4040">
        <v>1346.0650000000001</v>
      </c>
      <c r="K4040">
        <v>0</v>
      </c>
      <c r="L4040">
        <v>0.61</v>
      </c>
      <c r="M4040">
        <v>128.13499999999999</v>
      </c>
      <c r="N4040">
        <v>-742.03499999999997</v>
      </c>
      <c r="O4040" s="1" t="s">
        <v>87</v>
      </c>
      <c r="P4040" s="1" t="s">
        <v>9460</v>
      </c>
      <c r="Q4040" s="1" t="s">
        <v>9461</v>
      </c>
      <c r="R4040" s="1" t="s">
        <v>90</v>
      </c>
      <c r="S4040" s="1" t="s">
        <v>9462</v>
      </c>
      <c r="T4040" s="1" t="s">
        <v>9463</v>
      </c>
      <c r="U4040" s="2" t="s">
        <v>4050</v>
      </c>
      <c r="V4040" s="2" t="s">
        <v>83</v>
      </c>
      <c r="W4040" s="2" t="s">
        <v>298</v>
      </c>
      <c r="X4040" s="2">
        <v>203.49</v>
      </c>
    </row>
    <row r="4041" spans="1:24" x14ac:dyDescent="0.3">
      <c r="A4041">
        <v>21888</v>
      </c>
      <c r="B4041" t="s">
        <v>9459</v>
      </c>
      <c r="C4041" s="3">
        <v>41931</v>
      </c>
      <c r="D4041" t="s">
        <v>25</v>
      </c>
      <c r="E4041">
        <v>9</v>
      </c>
      <c r="F4041" s="3">
        <f ca="1">41931+(RANDBETWEEN(1,10))</f>
        <v>41941</v>
      </c>
      <c r="G4041" t="s">
        <v>76</v>
      </c>
      <c r="H4041" t="s">
        <v>77</v>
      </c>
      <c r="I4041" t="s">
        <v>86</v>
      </c>
      <c r="J4041">
        <v>12898.97</v>
      </c>
      <c r="K4041">
        <v>0.09</v>
      </c>
      <c r="L4041">
        <v>0.38</v>
      </c>
      <c r="M4041">
        <v>171.5</v>
      </c>
      <c r="N4041">
        <v>3499.5275000000001</v>
      </c>
      <c r="O4041" s="1" t="s">
        <v>87</v>
      </c>
      <c r="P4041" s="1" t="s">
        <v>9460</v>
      </c>
      <c r="Q4041" s="1" t="s">
        <v>9461</v>
      </c>
      <c r="R4041" s="1" t="s">
        <v>90</v>
      </c>
      <c r="S4041" s="1" t="s">
        <v>9462</v>
      </c>
      <c r="T4041" s="1" t="s">
        <v>9463</v>
      </c>
      <c r="U4041" s="2" t="s">
        <v>1480</v>
      </c>
      <c r="V4041" s="2" t="s">
        <v>36</v>
      </c>
      <c r="W4041" s="2" t="s">
        <v>1327</v>
      </c>
      <c r="X4041" s="2">
        <v>1574.9649999999999</v>
      </c>
    </row>
    <row r="4042" spans="1:24" x14ac:dyDescent="0.3">
      <c r="A4042">
        <v>21889</v>
      </c>
      <c r="B4042" t="s">
        <v>9464</v>
      </c>
      <c r="C4042" s="3">
        <v>41033</v>
      </c>
      <c r="D4042" t="s">
        <v>25</v>
      </c>
      <c r="E4042">
        <v>15</v>
      </c>
      <c r="F4042" s="3">
        <f ca="1">41037+(RANDBETWEEN(1,10))</f>
        <v>41043</v>
      </c>
      <c r="G4042" t="s">
        <v>156</v>
      </c>
      <c r="H4042" t="s">
        <v>27</v>
      </c>
      <c r="I4042" t="s">
        <v>28</v>
      </c>
      <c r="J4042">
        <v>290.255</v>
      </c>
      <c r="K4042">
        <v>0.04</v>
      </c>
      <c r="L4042">
        <v>0.38</v>
      </c>
      <c r="M4042">
        <v>25.48</v>
      </c>
      <c r="N4042">
        <v>-35.573999999999998</v>
      </c>
      <c r="O4042" s="1" t="s">
        <v>87</v>
      </c>
      <c r="P4042" s="1" t="s">
        <v>9465</v>
      </c>
      <c r="Q4042" s="1" t="s">
        <v>9466</v>
      </c>
      <c r="R4042" s="1" t="s">
        <v>646</v>
      </c>
      <c r="S4042" s="1" t="s">
        <v>9467</v>
      </c>
      <c r="T4042" s="1" t="s">
        <v>9468</v>
      </c>
      <c r="U4042" s="2" t="s">
        <v>4530</v>
      </c>
      <c r="V4042" s="2" t="s">
        <v>47</v>
      </c>
      <c r="W4042" s="2" t="s">
        <v>74</v>
      </c>
      <c r="X4042" s="2">
        <v>17.43</v>
      </c>
    </row>
    <row r="4043" spans="1:24" x14ac:dyDescent="0.3">
      <c r="A4043">
        <v>21890</v>
      </c>
      <c r="B4043" t="s">
        <v>9469</v>
      </c>
      <c r="C4043" s="3">
        <v>41519</v>
      </c>
      <c r="D4043" t="s">
        <v>62</v>
      </c>
      <c r="E4043">
        <v>5</v>
      </c>
      <c r="F4043" s="3">
        <f ca="1">41521+(RANDBETWEEN(1,10))</f>
        <v>41523</v>
      </c>
      <c r="G4043" t="s">
        <v>26</v>
      </c>
      <c r="H4043" t="s">
        <v>63</v>
      </c>
      <c r="I4043" t="s">
        <v>28</v>
      </c>
      <c r="J4043">
        <v>11113.025</v>
      </c>
      <c r="K4043">
        <v>0.02</v>
      </c>
      <c r="L4043">
        <v>0.5</v>
      </c>
      <c r="M4043">
        <v>85.715000000000003</v>
      </c>
      <c r="N4043">
        <v>1510.4459999999999</v>
      </c>
      <c r="O4043" s="1" t="s">
        <v>53</v>
      </c>
      <c r="P4043" s="1" t="s">
        <v>2827</v>
      </c>
      <c r="Q4043" s="1" t="s">
        <v>2828</v>
      </c>
      <c r="R4043" s="1" t="s">
        <v>100</v>
      </c>
      <c r="S4043" s="1" t="s">
        <v>2829</v>
      </c>
      <c r="T4043" s="1" t="s">
        <v>2830</v>
      </c>
      <c r="U4043" s="2" t="s">
        <v>5807</v>
      </c>
      <c r="V4043" s="2" t="s">
        <v>36</v>
      </c>
      <c r="W4043" s="2" t="s">
        <v>1327</v>
      </c>
      <c r="X4043" s="2">
        <v>2099.9650000000001</v>
      </c>
    </row>
    <row r="4044" spans="1:24" x14ac:dyDescent="0.3">
      <c r="A4044">
        <v>21891</v>
      </c>
      <c r="B4044" t="s">
        <v>9469</v>
      </c>
      <c r="C4044" s="3">
        <v>41519</v>
      </c>
      <c r="D4044" t="s">
        <v>62</v>
      </c>
      <c r="E4044">
        <v>1</v>
      </c>
      <c r="F4044" s="3">
        <f ca="1">41521+(RANDBETWEEN(1,10))</f>
        <v>41522</v>
      </c>
      <c r="G4044" t="s">
        <v>26</v>
      </c>
      <c r="H4044" t="s">
        <v>27</v>
      </c>
      <c r="I4044" t="s">
        <v>28</v>
      </c>
      <c r="J4044">
        <v>814.34500000000003</v>
      </c>
      <c r="K4044">
        <v>0.02</v>
      </c>
      <c r="L4044">
        <v>0.38</v>
      </c>
      <c r="M4044">
        <v>52.534999999999997</v>
      </c>
      <c r="N4044">
        <v>-368.00574999999998</v>
      </c>
      <c r="O4044" s="1" t="s">
        <v>64</v>
      </c>
      <c r="P4044" s="1" t="s">
        <v>9470</v>
      </c>
      <c r="Q4044" s="1" t="s">
        <v>9471</v>
      </c>
      <c r="R4044" s="1" t="s">
        <v>128</v>
      </c>
      <c r="S4044" s="1" t="s">
        <v>9472</v>
      </c>
      <c r="T4044" s="1" t="s">
        <v>9473</v>
      </c>
      <c r="U4044" s="2" t="s">
        <v>9474</v>
      </c>
      <c r="V4044" s="2" t="s">
        <v>47</v>
      </c>
      <c r="W4044" s="2" t="s">
        <v>111</v>
      </c>
      <c r="X4044" s="2">
        <v>783.93</v>
      </c>
    </row>
    <row r="4045" spans="1:24" x14ac:dyDescent="0.3">
      <c r="A4045">
        <v>21892</v>
      </c>
      <c r="B4045" t="s">
        <v>9469</v>
      </c>
      <c r="C4045" s="3">
        <v>41519</v>
      </c>
      <c r="D4045" t="s">
        <v>62</v>
      </c>
      <c r="E4045">
        <v>17</v>
      </c>
      <c r="F4045" s="3">
        <f ca="1">41521+(RANDBETWEEN(1,10))</f>
        <v>41524</v>
      </c>
      <c r="G4045" t="s">
        <v>76</v>
      </c>
      <c r="H4045" t="s">
        <v>258</v>
      </c>
      <c r="I4045" t="s">
        <v>28</v>
      </c>
      <c r="J4045">
        <v>8410.36</v>
      </c>
      <c r="K4045">
        <v>7.0000000000000007E-2</v>
      </c>
      <c r="L4045">
        <v>0.77</v>
      </c>
      <c r="M4045">
        <v>126.315</v>
      </c>
      <c r="N4045">
        <v>-1378.86</v>
      </c>
      <c r="O4045" s="1" t="s">
        <v>64</v>
      </c>
      <c r="P4045" s="1" t="s">
        <v>9470</v>
      </c>
      <c r="Q4045" s="1" t="s">
        <v>9471</v>
      </c>
      <c r="R4045" s="1" t="s">
        <v>128</v>
      </c>
      <c r="S4045" s="1" t="s">
        <v>9472</v>
      </c>
      <c r="T4045" s="1" t="s">
        <v>9473</v>
      </c>
      <c r="U4045" s="2" t="s">
        <v>3136</v>
      </c>
      <c r="V4045" s="2" t="s">
        <v>83</v>
      </c>
      <c r="W4045" s="2" t="s">
        <v>298</v>
      </c>
      <c r="X4045" s="2">
        <v>493.43</v>
      </c>
    </row>
    <row r="4046" spans="1:24" x14ac:dyDescent="0.3">
      <c r="A4046">
        <v>21893</v>
      </c>
      <c r="B4046" t="s">
        <v>9475</v>
      </c>
      <c r="C4046" s="3">
        <v>41932</v>
      </c>
      <c r="D4046" t="s">
        <v>62</v>
      </c>
      <c r="E4046">
        <v>9</v>
      </c>
      <c r="F4046" s="3">
        <f ca="1">41933+(RANDBETWEEN(1,10))</f>
        <v>41935</v>
      </c>
      <c r="G4046" t="s">
        <v>26</v>
      </c>
      <c r="H4046" t="s">
        <v>27</v>
      </c>
      <c r="I4046" t="s">
        <v>86</v>
      </c>
      <c r="J4046">
        <v>98.734999999999999</v>
      </c>
      <c r="K4046">
        <v>0.02</v>
      </c>
      <c r="L4046">
        <v>0.37</v>
      </c>
      <c r="M4046">
        <v>3.4649999999999999</v>
      </c>
      <c r="N4046">
        <v>41.72</v>
      </c>
      <c r="O4046" s="1" t="s">
        <v>87</v>
      </c>
      <c r="P4046" s="1" t="s">
        <v>7458</v>
      </c>
      <c r="Q4046" s="1" t="s">
        <v>7459</v>
      </c>
      <c r="R4046" s="1" t="s">
        <v>497</v>
      </c>
      <c r="S4046" s="1" t="s">
        <v>7460</v>
      </c>
      <c r="T4046" s="1" t="s">
        <v>7461</v>
      </c>
      <c r="U4046" s="2" t="s">
        <v>796</v>
      </c>
      <c r="V4046" s="2" t="s">
        <v>47</v>
      </c>
      <c r="W4046" s="2" t="s">
        <v>203</v>
      </c>
      <c r="X4046" s="2">
        <v>10.78</v>
      </c>
    </row>
    <row r="4047" spans="1:24" x14ac:dyDescent="0.3">
      <c r="A4047">
        <v>21894</v>
      </c>
      <c r="B4047" t="s">
        <v>9475</v>
      </c>
      <c r="C4047" s="3">
        <v>41932</v>
      </c>
      <c r="D4047" t="s">
        <v>62</v>
      </c>
      <c r="E4047">
        <v>20</v>
      </c>
      <c r="F4047" s="3">
        <f ca="1">41932+(RANDBETWEEN(1,10))</f>
        <v>41934</v>
      </c>
      <c r="G4047" t="s">
        <v>26</v>
      </c>
      <c r="H4047" t="s">
        <v>96</v>
      </c>
      <c r="I4047" t="s">
        <v>86</v>
      </c>
      <c r="J4047">
        <v>265.125</v>
      </c>
      <c r="K4047">
        <v>0</v>
      </c>
      <c r="L4047">
        <v>0.83</v>
      </c>
      <c r="M4047">
        <v>4.62</v>
      </c>
      <c r="N4047">
        <v>-105.875</v>
      </c>
      <c r="O4047" s="1" t="s">
        <v>87</v>
      </c>
      <c r="P4047" s="1" t="s">
        <v>7458</v>
      </c>
      <c r="Q4047" s="1" t="s">
        <v>7459</v>
      </c>
      <c r="R4047" s="1" t="s">
        <v>497</v>
      </c>
      <c r="S4047" s="1" t="s">
        <v>7460</v>
      </c>
      <c r="T4047" s="1" t="s">
        <v>7461</v>
      </c>
      <c r="U4047" s="2" t="s">
        <v>3023</v>
      </c>
      <c r="V4047" s="2" t="s">
        <v>47</v>
      </c>
      <c r="W4047" s="2" t="s">
        <v>94</v>
      </c>
      <c r="X4047" s="2">
        <v>12.88</v>
      </c>
    </row>
    <row r="4048" spans="1:24" x14ac:dyDescent="0.3">
      <c r="A4048">
        <v>21895</v>
      </c>
      <c r="B4048" t="s">
        <v>9475</v>
      </c>
      <c r="C4048" s="3">
        <v>41932</v>
      </c>
      <c r="D4048" t="s">
        <v>62</v>
      </c>
      <c r="E4048">
        <v>20</v>
      </c>
      <c r="F4048" s="3">
        <f ca="1">41933+(RANDBETWEEN(1,10))</f>
        <v>41938</v>
      </c>
      <c r="G4048" t="s">
        <v>26</v>
      </c>
      <c r="H4048" t="s">
        <v>51</v>
      </c>
      <c r="I4048" t="s">
        <v>86</v>
      </c>
      <c r="J4048">
        <v>3012.415</v>
      </c>
      <c r="K4048">
        <v>0.05</v>
      </c>
      <c r="L4048">
        <v>0.44</v>
      </c>
      <c r="M4048">
        <v>6.9649999999999999</v>
      </c>
      <c r="N4048">
        <v>2078.5663500000001</v>
      </c>
      <c r="O4048" s="1" t="s">
        <v>40</v>
      </c>
      <c r="P4048" s="1" t="s">
        <v>9476</v>
      </c>
      <c r="Q4048" s="1" t="s">
        <v>9477</v>
      </c>
      <c r="R4048" s="1" t="s">
        <v>220</v>
      </c>
      <c r="S4048" s="1" t="s">
        <v>1544</v>
      </c>
      <c r="T4048" s="1" t="s">
        <v>1545</v>
      </c>
      <c r="U4048" s="2" t="s">
        <v>2902</v>
      </c>
      <c r="V4048" s="2" t="s">
        <v>36</v>
      </c>
      <c r="W4048" s="2" t="s">
        <v>60</v>
      </c>
      <c r="X4048" s="2">
        <v>153.93</v>
      </c>
    </row>
    <row r="4049" spans="1:24" x14ac:dyDescent="0.3">
      <c r="A4049">
        <v>21896</v>
      </c>
      <c r="B4049" t="s">
        <v>9478</v>
      </c>
      <c r="C4049" s="3">
        <v>41532</v>
      </c>
      <c r="D4049" t="s">
        <v>39</v>
      </c>
      <c r="E4049">
        <v>23</v>
      </c>
      <c r="F4049" s="3">
        <f ca="1">41534+(RANDBETWEEN(1,10))</f>
        <v>41537</v>
      </c>
      <c r="G4049" t="s">
        <v>26</v>
      </c>
      <c r="H4049" t="s">
        <v>27</v>
      </c>
      <c r="I4049" t="s">
        <v>86</v>
      </c>
      <c r="J4049">
        <v>310.24</v>
      </c>
      <c r="K4049">
        <v>0</v>
      </c>
      <c r="L4049">
        <v>0.39</v>
      </c>
      <c r="M4049">
        <v>8.75</v>
      </c>
      <c r="N4049">
        <v>-39.865000000000002</v>
      </c>
      <c r="O4049" s="1" t="s">
        <v>87</v>
      </c>
      <c r="P4049" s="1" t="s">
        <v>6318</v>
      </c>
      <c r="Q4049" s="1" t="s">
        <v>6319</v>
      </c>
      <c r="R4049" s="1" t="s">
        <v>646</v>
      </c>
      <c r="S4049" s="1" t="s">
        <v>6320</v>
      </c>
      <c r="T4049" s="1" t="s">
        <v>6321</v>
      </c>
      <c r="U4049" s="2" t="s">
        <v>7012</v>
      </c>
      <c r="V4049" s="2" t="s">
        <v>47</v>
      </c>
      <c r="W4049" s="2" t="s">
        <v>48</v>
      </c>
      <c r="X4049" s="2">
        <v>12.914999999999999</v>
      </c>
    </row>
    <row r="4050" spans="1:24" x14ac:dyDescent="0.3">
      <c r="A4050">
        <v>21897</v>
      </c>
      <c r="B4050" t="s">
        <v>9479</v>
      </c>
      <c r="C4050" s="3">
        <v>40934</v>
      </c>
      <c r="D4050" t="s">
        <v>25</v>
      </c>
      <c r="E4050">
        <v>2</v>
      </c>
      <c r="F4050" s="3">
        <f ca="1">40941+(RANDBETWEEN(1,10))</f>
        <v>40946</v>
      </c>
      <c r="G4050" t="s">
        <v>156</v>
      </c>
      <c r="H4050" t="s">
        <v>51</v>
      </c>
      <c r="I4050" t="s">
        <v>52</v>
      </c>
      <c r="J4050">
        <v>152.53</v>
      </c>
      <c r="K4050">
        <v>0.01</v>
      </c>
      <c r="L4050">
        <v>0.48</v>
      </c>
      <c r="M4050">
        <v>6.9649999999999999</v>
      </c>
      <c r="N4050">
        <v>11.730600000000001</v>
      </c>
      <c r="O4050" s="1" t="s">
        <v>53</v>
      </c>
      <c r="P4050" s="1" t="s">
        <v>4921</v>
      </c>
      <c r="Q4050" s="1" t="s">
        <v>4922</v>
      </c>
      <c r="R4050" s="1" t="s">
        <v>56</v>
      </c>
      <c r="S4050" s="1" t="s">
        <v>4923</v>
      </c>
      <c r="T4050" s="1" t="s">
        <v>4924</v>
      </c>
      <c r="U4050" s="2" t="s">
        <v>5583</v>
      </c>
      <c r="V4050" s="2" t="s">
        <v>36</v>
      </c>
      <c r="W4050" s="2" t="s">
        <v>60</v>
      </c>
      <c r="X4050" s="2">
        <v>73.114999999999995</v>
      </c>
    </row>
    <row r="4051" spans="1:24" x14ac:dyDescent="0.3">
      <c r="A4051">
        <v>21898</v>
      </c>
      <c r="B4051" t="s">
        <v>9480</v>
      </c>
      <c r="C4051" s="3">
        <v>40936</v>
      </c>
      <c r="D4051" t="s">
        <v>39</v>
      </c>
      <c r="E4051">
        <v>8</v>
      </c>
      <c r="F4051" s="3">
        <f ca="1">40938+(RANDBETWEEN(1,10))</f>
        <v>40945</v>
      </c>
      <c r="G4051" t="s">
        <v>156</v>
      </c>
      <c r="H4051" t="s">
        <v>27</v>
      </c>
      <c r="I4051" t="s">
        <v>52</v>
      </c>
      <c r="J4051">
        <v>189.45500000000001</v>
      </c>
      <c r="K4051">
        <v>0.02</v>
      </c>
      <c r="L4051">
        <v>0.39</v>
      </c>
      <c r="M4051">
        <v>1.75</v>
      </c>
      <c r="N4051">
        <v>-132.006</v>
      </c>
      <c r="O4051" s="1" t="s">
        <v>53</v>
      </c>
      <c r="P4051" s="1" t="s">
        <v>9481</v>
      </c>
      <c r="Q4051" s="1" t="s">
        <v>9482</v>
      </c>
      <c r="R4051" s="1" t="s">
        <v>440</v>
      </c>
      <c r="S4051" s="1" t="s">
        <v>9483</v>
      </c>
      <c r="T4051" s="1" t="s">
        <v>9484</v>
      </c>
      <c r="U4051" s="2" t="s">
        <v>2675</v>
      </c>
      <c r="V4051" s="2" t="s">
        <v>47</v>
      </c>
      <c r="W4051" s="2" t="s">
        <v>203</v>
      </c>
      <c r="X4051" s="2">
        <v>22.05</v>
      </c>
    </row>
    <row r="4052" spans="1:24" x14ac:dyDescent="0.3">
      <c r="A4052">
        <v>21899</v>
      </c>
      <c r="B4052" t="s">
        <v>9485</v>
      </c>
      <c r="C4052" s="3">
        <v>41337</v>
      </c>
      <c r="D4052" t="s">
        <v>50</v>
      </c>
      <c r="E4052">
        <v>9</v>
      </c>
      <c r="F4052" s="3">
        <f ca="1">41339+(RANDBETWEEN(1,10))</f>
        <v>41343</v>
      </c>
      <c r="G4052" t="s">
        <v>26</v>
      </c>
      <c r="H4052" t="s">
        <v>27</v>
      </c>
      <c r="I4052" t="s">
        <v>86</v>
      </c>
      <c r="J4052">
        <v>200.76</v>
      </c>
      <c r="K4052">
        <v>0.09</v>
      </c>
      <c r="L4052">
        <v>0.37</v>
      </c>
      <c r="M4052">
        <v>19.18</v>
      </c>
      <c r="N4052">
        <v>-257.68049999999999</v>
      </c>
      <c r="O4052" s="1" t="s">
        <v>225</v>
      </c>
      <c r="P4052" s="1" t="s">
        <v>9486</v>
      </c>
      <c r="Q4052" s="1" t="s">
        <v>9487</v>
      </c>
      <c r="R4052" s="1" t="s">
        <v>228</v>
      </c>
      <c r="S4052" s="1" t="s">
        <v>9488</v>
      </c>
      <c r="T4052" s="1" t="s">
        <v>9489</v>
      </c>
      <c r="U4052" s="2" t="s">
        <v>5054</v>
      </c>
      <c r="V4052" s="2" t="s">
        <v>47</v>
      </c>
      <c r="W4052" s="2" t="s">
        <v>111</v>
      </c>
      <c r="X4052" s="2">
        <v>23.835000000000001</v>
      </c>
    </row>
    <row r="4053" spans="1:24" x14ac:dyDescent="0.3">
      <c r="A4053">
        <v>21900</v>
      </c>
      <c r="B4053" t="s">
        <v>9485</v>
      </c>
      <c r="C4053" s="3">
        <v>41337</v>
      </c>
      <c r="D4053" t="s">
        <v>50</v>
      </c>
      <c r="E4053">
        <v>1</v>
      </c>
      <c r="F4053" s="3">
        <f ca="1">41338+(RANDBETWEEN(1,10))</f>
        <v>41341</v>
      </c>
      <c r="G4053" t="s">
        <v>26</v>
      </c>
      <c r="H4053" t="s">
        <v>27</v>
      </c>
      <c r="I4053" t="s">
        <v>86</v>
      </c>
      <c r="J4053">
        <v>64.680000000000007</v>
      </c>
      <c r="K4053">
        <v>0.06</v>
      </c>
      <c r="L4053">
        <v>0.37</v>
      </c>
      <c r="M4053">
        <v>46.13</v>
      </c>
      <c r="N4053">
        <v>-138.74175</v>
      </c>
      <c r="O4053" s="1" t="s">
        <v>87</v>
      </c>
      <c r="P4053" s="1" t="s">
        <v>2849</v>
      </c>
      <c r="Q4053" s="1" t="s">
        <v>2850</v>
      </c>
      <c r="R4053" s="1" t="s">
        <v>398</v>
      </c>
      <c r="S4053" s="1" t="s">
        <v>2851</v>
      </c>
      <c r="T4053" s="1" t="s">
        <v>2852</v>
      </c>
      <c r="U4053" s="2" t="s">
        <v>197</v>
      </c>
      <c r="V4053" s="2" t="s">
        <v>47</v>
      </c>
      <c r="W4053" s="2" t="s">
        <v>111</v>
      </c>
      <c r="X4053" s="2">
        <v>55.965000000000003</v>
      </c>
    </row>
    <row r="4054" spans="1:24" x14ac:dyDescent="0.3">
      <c r="A4054">
        <v>21901</v>
      </c>
      <c r="B4054" t="s">
        <v>9490</v>
      </c>
      <c r="C4054" s="3">
        <v>40555</v>
      </c>
      <c r="D4054" t="s">
        <v>148</v>
      </c>
      <c r="E4054">
        <v>3</v>
      </c>
      <c r="F4054" s="3">
        <f ca="1">40557+(RANDBETWEEN(1,10))</f>
        <v>40562</v>
      </c>
      <c r="G4054" t="s">
        <v>26</v>
      </c>
      <c r="H4054" t="s">
        <v>27</v>
      </c>
      <c r="I4054" t="s">
        <v>52</v>
      </c>
      <c r="J4054">
        <v>421.19</v>
      </c>
      <c r="K4054">
        <v>0.1</v>
      </c>
      <c r="L4054">
        <v>0.74</v>
      </c>
      <c r="M4054">
        <v>22.75</v>
      </c>
      <c r="N4054">
        <v>233.982</v>
      </c>
      <c r="O4054" s="1" t="s">
        <v>87</v>
      </c>
      <c r="P4054" s="1" t="s">
        <v>9465</v>
      </c>
      <c r="Q4054" s="1" t="s">
        <v>9466</v>
      </c>
      <c r="R4054" s="1" t="s">
        <v>646</v>
      </c>
      <c r="S4054" s="1" t="s">
        <v>9467</v>
      </c>
      <c r="T4054" s="1" t="s">
        <v>9468</v>
      </c>
      <c r="U4054" s="2" t="s">
        <v>4349</v>
      </c>
      <c r="V4054" s="2" t="s">
        <v>36</v>
      </c>
      <c r="W4054" s="2" t="s">
        <v>60</v>
      </c>
      <c r="X4054" s="2">
        <v>143.43</v>
      </c>
    </row>
    <row r="4055" spans="1:24" x14ac:dyDescent="0.3">
      <c r="A4055">
        <v>21902</v>
      </c>
      <c r="B4055" t="s">
        <v>9491</v>
      </c>
      <c r="C4055" s="3">
        <v>40727</v>
      </c>
      <c r="D4055" t="s">
        <v>39</v>
      </c>
      <c r="E4055">
        <v>2</v>
      </c>
      <c r="F4055" s="3">
        <f ca="1">40728+(RANDBETWEEN(1,10))</f>
        <v>40738</v>
      </c>
      <c r="G4055" t="s">
        <v>76</v>
      </c>
      <c r="H4055" t="s">
        <v>258</v>
      </c>
      <c r="I4055" t="s">
        <v>97</v>
      </c>
      <c r="J4055">
        <v>1058.19</v>
      </c>
      <c r="K4055">
        <v>0.09</v>
      </c>
      <c r="L4055">
        <v>0.65</v>
      </c>
      <c r="M4055">
        <v>231.94499999999999</v>
      </c>
      <c r="N4055">
        <v>-1427.4749999999999</v>
      </c>
      <c r="O4055" s="1" t="s">
        <v>64</v>
      </c>
      <c r="P4055" s="1" t="s">
        <v>6432</v>
      </c>
      <c r="Q4055" s="1" t="s">
        <v>6433</v>
      </c>
      <c r="R4055" s="1" t="s">
        <v>67</v>
      </c>
      <c r="S4055" s="1" t="s">
        <v>6434</v>
      </c>
      <c r="T4055" s="1" t="s">
        <v>6435</v>
      </c>
      <c r="U4055" s="2" t="s">
        <v>3398</v>
      </c>
      <c r="V4055" s="2" t="s">
        <v>83</v>
      </c>
      <c r="W4055" s="2" t="s">
        <v>298</v>
      </c>
      <c r="X4055" s="2">
        <v>528.42999999999995</v>
      </c>
    </row>
    <row r="4056" spans="1:24" x14ac:dyDescent="0.3">
      <c r="A4056">
        <v>21903</v>
      </c>
      <c r="B4056" t="s">
        <v>9492</v>
      </c>
      <c r="C4056" s="3">
        <v>41898</v>
      </c>
      <c r="D4056" t="s">
        <v>39</v>
      </c>
      <c r="E4056">
        <v>17</v>
      </c>
      <c r="F4056" s="3">
        <f ca="1">41900+(RANDBETWEEN(1,10))</f>
        <v>41906</v>
      </c>
      <c r="G4056" t="s">
        <v>26</v>
      </c>
      <c r="H4056" t="s">
        <v>96</v>
      </c>
      <c r="I4056" t="s">
        <v>28</v>
      </c>
      <c r="J4056">
        <v>122.325</v>
      </c>
      <c r="K4056">
        <v>0.05</v>
      </c>
      <c r="L4056">
        <v>0.56999999999999995</v>
      </c>
      <c r="M4056">
        <v>2.4500000000000002</v>
      </c>
      <c r="N4056">
        <v>3.9689999999999999</v>
      </c>
      <c r="O4056" s="1" t="s">
        <v>225</v>
      </c>
      <c r="P4056" s="1" t="s">
        <v>883</v>
      </c>
      <c r="Q4056" s="1" t="s">
        <v>884</v>
      </c>
      <c r="R4056" s="1" t="s">
        <v>228</v>
      </c>
      <c r="S4056" s="1" t="s">
        <v>885</v>
      </c>
      <c r="T4056" s="1" t="s">
        <v>886</v>
      </c>
      <c r="U4056" s="2" t="s">
        <v>6803</v>
      </c>
      <c r="V4056" s="2" t="s">
        <v>47</v>
      </c>
      <c r="W4056" s="2" t="s">
        <v>104</v>
      </c>
      <c r="X4056" s="2">
        <v>7.35</v>
      </c>
    </row>
    <row r="4057" spans="1:24" x14ac:dyDescent="0.3">
      <c r="A4057">
        <v>21904</v>
      </c>
      <c r="B4057" t="s">
        <v>9493</v>
      </c>
      <c r="C4057" s="3">
        <v>41157</v>
      </c>
      <c r="D4057" t="s">
        <v>148</v>
      </c>
      <c r="E4057">
        <v>12</v>
      </c>
      <c r="F4057" s="3">
        <f ca="1">41159+(RANDBETWEEN(1,10))</f>
        <v>41163</v>
      </c>
      <c r="G4057" t="s">
        <v>26</v>
      </c>
      <c r="H4057" t="s">
        <v>51</v>
      </c>
      <c r="I4057" t="s">
        <v>97</v>
      </c>
      <c r="J4057">
        <v>225.54</v>
      </c>
      <c r="K4057">
        <v>0.01</v>
      </c>
      <c r="L4057">
        <v>0.66</v>
      </c>
      <c r="M4057">
        <v>17.254999999999999</v>
      </c>
      <c r="N4057">
        <v>-322.14</v>
      </c>
      <c r="O4057" s="1" t="s">
        <v>29</v>
      </c>
      <c r="P4057" s="1" t="s">
        <v>8801</v>
      </c>
      <c r="Q4057" s="1" t="s">
        <v>8802</v>
      </c>
      <c r="R4057" s="1" t="s">
        <v>675</v>
      </c>
      <c r="S4057" s="1" t="s">
        <v>8803</v>
      </c>
      <c r="T4057" s="1" t="s">
        <v>8804</v>
      </c>
      <c r="U4057" s="2" t="s">
        <v>1387</v>
      </c>
      <c r="V4057" s="2" t="s">
        <v>36</v>
      </c>
      <c r="W4057" s="2" t="s">
        <v>60</v>
      </c>
      <c r="X4057" s="2">
        <v>17.114999999999998</v>
      </c>
    </row>
    <row r="4058" spans="1:24" x14ac:dyDescent="0.3">
      <c r="A4058">
        <v>21905</v>
      </c>
      <c r="B4058" t="s">
        <v>9494</v>
      </c>
      <c r="C4058" s="3">
        <v>41454</v>
      </c>
      <c r="D4058" t="s">
        <v>25</v>
      </c>
      <c r="E4058">
        <v>1</v>
      </c>
      <c r="F4058" s="3">
        <f ca="1">41461+(RANDBETWEEN(1,10))</f>
        <v>41468</v>
      </c>
      <c r="G4058" t="s">
        <v>26</v>
      </c>
      <c r="H4058" t="s">
        <v>27</v>
      </c>
      <c r="I4058" t="s">
        <v>97</v>
      </c>
      <c r="J4058">
        <v>38.78</v>
      </c>
      <c r="K4058">
        <v>0.09</v>
      </c>
      <c r="L4058">
        <v>0.4</v>
      </c>
      <c r="M4058">
        <v>19.565000000000001</v>
      </c>
      <c r="N4058">
        <v>-27.144600000000001</v>
      </c>
      <c r="O4058" s="1" t="s">
        <v>64</v>
      </c>
      <c r="P4058" s="1" t="s">
        <v>9495</v>
      </c>
      <c r="Q4058" s="1" t="s">
        <v>9496</v>
      </c>
      <c r="R4058" s="1" t="s">
        <v>128</v>
      </c>
      <c r="S4058" s="1" t="s">
        <v>423</v>
      </c>
      <c r="T4058" s="1" t="s">
        <v>424</v>
      </c>
      <c r="U4058" s="2" t="s">
        <v>3005</v>
      </c>
      <c r="V4058" s="2" t="s">
        <v>47</v>
      </c>
      <c r="W4058" s="2" t="s">
        <v>111</v>
      </c>
      <c r="X4058" s="2">
        <v>20.3</v>
      </c>
    </row>
    <row r="4059" spans="1:24" x14ac:dyDescent="0.3">
      <c r="A4059">
        <v>21906</v>
      </c>
      <c r="B4059" t="s">
        <v>9494</v>
      </c>
      <c r="C4059" s="3">
        <v>41454</v>
      </c>
      <c r="D4059" t="s">
        <v>25</v>
      </c>
      <c r="E4059">
        <v>11</v>
      </c>
      <c r="F4059" s="3">
        <f ca="1">41456+(RANDBETWEEN(1,10))</f>
        <v>41460</v>
      </c>
      <c r="G4059" t="s">
        <v>26</v>
      </c>
      <c r="H4059" t="s">
        <v>27</v>
      </c>
      <c r="I4059" t="s">
        <v>97</v>
      </c>
      <c r="J4059">
        <v>193.72499999999999</v>
      </c>
      <c r="K4059">
        <v>0.04</v>
      </c>
      <c r="L4059">
        <v>0.38</v>
      </c>
      <c r="M4059">
        <v>19.215</v>
      </c>
      <c r="N4059">
        <v>-205.57599999999999</v>
      </c>
      <c r="O4059" s="1" t="s">
        <v>29</v>
      </c>
      <c r="P4059" s="1" t="s">
        <v>4366</v>
      </c>
      <c r="Q4059" s="1" t="s">
        <v>4367</v>
      </c>
      <c r="R4059" s="1" t="s">
        <v>32</v>
      </c>
      <c r="S4059" s="1" t="s">
        <v>4368</v>
      </c>
      <c r="T4059" s="1" t="s">
        <v>4369</v>
      </c>
      <c r="U4059" s="2" t="s">
        <v>236</v>
      </c>
      <c r="V4059" s="2" t="s">
        <v>47</v>
      </c>
      <c r="W4059" s="2" t="s">
        <v>74</v>
      </c>
      <c r="X4059" s="2">
        <v>17.43</v>
      </c>
    </row>
    <row r="4060" spans="1:24" x14ac:dyDescent="0.3">
      <c r="A4060">
        <v>21907</v>
      </c>
      <c r="B4060" t="s">
        <v>9497</v>
      </c>
      <c r="C4060" s="3">
        <v>41468</v>
      </c>
      <c r="D4060" t="s">
        <v>50</v>
      </c>
      <c r="E4060">
        <v>12</v>
      </c>
      <c r="F4060" s="3">
        <f ca="1">41469+(RANDBETWEEN(1,10))</f>
        <v>41472</v>
      </c>
      <c r="G4060" t="s">
        <v>26</v>
      </c>
      <c r="H4060" t="s">
        <v>27</v>
      </c>
      <c r="I4060" t="s">
        <v>86</v>
      </c>
      <c r="J4060">
        <v>257.18</v>
      </c>
      <c r="K4060">
        <v>0.1</v>
      </c>
      <c r="L4060">
        <v>0.39</v>
      </c>
      <c r="M4060">
        <v>1.75</v>
      </c>
      <c r="N4060">
        <v>-297.25850000000003</v>
      </c>
      <c r="O4060" s="1" t="s">
        <v>64</v>
      </c>
      <c r="P4060" s="1" t="s">
        <v>4798</v>
      </c>
      <c r="Q4060" s="1" t="s">
        <v>4799</v>
      </c>
      <c r="R4060" s="1" t="s">
        <v>128</v>
      </c>
      <c r="S4060" s="1" t="s">
        <v>4800</v>
      </c>
      <c r="T4060" s="1" t="s">
        <v>4801</v>
      </c>
      <c r="U4060" s="2" t="s">
        <v>2675</v>
      </c>
      <c r="V4060" s="2" t="s">
        <v>47</v>
      </c>
      <c r="W4060" s="2" t="s">
        <v>203</v>
      </c>
      <c r="X4060" s="2">
        <v>22.05</v>
      </c>
    </row>
    <row r="4061" spans="1:24" x14ac:dyDescent="0.3">
      <c r="A4061">
        <v>21908</v>
      </c>
      <c r="B4061" t="s">
        <v>9498</v>
      </c>
      <c r="C4061" s="3">
        <v>41560</v>
      </c>
      <c r="D4061" t="s">
        <v>50</v>
      </c>
      <c r="E4061">
        <v>12</v>
      </c>
      <c r="F4061" s="3">
        <f ca="1">41562+(RANDBETWEEN(1,10))</f>
        <v>41568</v>
      </c>
      <c r="G4061" t="s">
        <v>26</v>
      </c>
      <c r="H4061" t="s">
        <v>27</v>
      </c>
      <c r="I4061" t="s">
        <v>28</v>
      </c>
      <c r="J4061">
        <v>653.03</v>
      </c>
      <c r="K4061">
        <v>0.01</v>
      </c>
      <c r="L4061">
        <v>0.38</v>
      </c>
      <c r="M4061">
        <v>25.445</v>
      </c>
      <c r="N4061">
        <v>117.30782000000001</v>
      </c>
      <c r="O4061" s="1" t="s">
        <v>40</v>
      </c>
      <c r="P4061" s="1" t="s">
        <v>9499</v>
      </c>
      <c r="Q4061" s="1" t="s">
        <v>9500</v>
      </c>
      <c r="R4061" s="1" t="s">
        <v>220</v>
      </c>
      <c r="S4061" s="1" t="s">
        <v>9501</v>
      </c>
      <c r="T4061" s="1" t="s">
        <v>9502</v>
      </c>
      <c r="U4061" s="2" t="s">
        <v>3821</v>
      </c>
      <c r="V4061" s="2" t="s">
        <v>47</v>
      </c>
      <c r="W4061" s="2" t="s">
        <v>111</v>
      </c>
      <c r="X4061" s="2">
        <v>49.945</v>
      </c>
    </row>
    <row r="4062" spans="1:24" x14ac:dyDescent="0.3">
      <c r="A4062">
        <v>21909</v>
      </c>
      <c r="B4062" t="s">
        <v>9503</v>
      </c>
      <c r="C4062" s="3">
        <v>40994</v>
      </c>
      <c r="D4062" t="s">
        <v>25</v>
      </c>
      <c r="E4062">
        <v>1</v>
      </c>
      <c r="F4062" s="3">
        <f ca="1">40999+(RANDBETWEEN(1,10))</f>
        <v>41002</v>
      </c>
      <c r="G4062" t="s">
        <v>26</v>
      </c>
      <c r="H4062" t="s">
        <v>63</v>
      </c>
      <c r="I4062" t="s">
        <v>52</v>
      </c>
      <c r="J4062">
        <v>45.465000000000003</v>
      </c>
      <c r="K4062">
        <v>0.1</v>
      </c>
      <c r="L4062">
        <v>0.59</v>
      </c>
      <c r="M4062">
        <v>171.5</v>
      </c>
      <c r="N4062">
        <v>-3904.1387</v>
      </c>
      <c r="O4062" s="1" t="s">
        <v>64</v>
      </c>
      <c r="P4062" s="1" t="s">
        <v>9504</v>
      </c>
      <c r="Q4062" s="1" t="s">
        <v>9505</v>
      </c>
      <c r="R4062" s="1" t="s">
        <v>128</v>
      </c>
      <c r="S4062" s="1" t="s">
        <v>9506</v>
      </c>
      <c r="T4062" s="1" t="s">
        <v>9507</v>
      </c>
      <c r="U4062" s="2" t="s">
        <v>9246</v>
      </c>
      <c r="V4062" s="2" t="s">
        <v>47</v>
      </c>
      <c r="W4062" s="2" t="s">
        <v>71</v>
      </c>
      <c r="X4062" s="2">
        <v>12.18</v>
      </c>
    </row>
    <row r="4063" spans="1:24" x14ac:dyDescent="0.3">
      <c r="A4063">
        <v>21910</v>
      </c>
      <c r="B4063" t="s">
        <v>9508</v>
      </c>
      <c r="C4063" s="3">
        <v>41159</v>
      </c>
      <c r="D4063" t="s">
        <v>25</v>
      </c>
      <c r="E4063">
        <v>20</v>
      </c>
      <c r="F4063" s="3">
        <f ca="1">41166+(RANDBETWEEN(1,10))</f>
        <v>41171</v>
      </c>
      <c r="G4063" t="s">
        <v>26</v>
      </c>
      <c r="H4063" t="s">
        <v>51</v>
      </c>
      <c r="I4063" t="s">
        <v>28</v>
      </c>
      <c r="J4063">
        <v>1237.145</v>
      </c>
      <c r="K4063">
        <v>0.03</v>
      </c>
      <c r="L4063">
        <v>0.56000000000000005</v>
      </c>
      <c r="M4063">
        <v>31.465</v>
      </c>
      <c r="N4063">
        <v>-246.89</v>
      </c>
      <c r="O4063" s="1" t="s">
        <v>40</v>
      </c>
      <c r="P4063" s="1" t="s">
        <v>9509</v>
      </c>
      <c r="Q4063" s="1" t="s">
        <v>9510</v>
      </c>
      <c r="R4063" s="1" t="s">
        <v>43</v>
      </c>
      <c r="S4063" s="1" t="s">
        <v>9511</v>
      </c>
      <c r="T4063" s="1" t="s">
        <v>9512</v>
      </c>
      <c r="U4063" s="2" t="s">
        <v>4099</v>
      </c>
      <c r="V4063" s="2" t="s">
        <v>47</v>
      </c>
      <c r="W4063" s="2" t="s">
        <v>104</v>
      </c>
      <c r="X4063" s="2">
        <v>59.465000000000003</v>
      </c>
    </row>
    <row r="4064" spans="1:24" x14ac:dyDescent="0.3">
      <c r="A4064">
        <v>21911</v>
      </c>
      <c r="B4064" t="s">
        <v>9513</v>
      </c>
      <c r="C4064" s="3">
        <v>40965</v>
      </c>
      <c r="D4064" t="s">
        <v>148</v>
      </c>
      <c r="E4064">
        <v>11</v>
      </c>
      <c r="F4064" s="3">
        <f ca="1">40966+(RANDBETWEEN(1,10))</f>
        <v>40973</v>
      </c>
      <c r="G4064" t="s">
        <v>26</v>
      </c>
      <c r="H4064" t="s">
        <v>27</v>
      </c>
      <c r="I4064" t="s">
        <v>86</v>
      </c>
      <c r="J4064">
        <v>585.375</v>
      </c>
      <c r="K4064">
        <v>0.08</v>
      </c>
      <c r="L4064">
        <v>0.4</v>
      </c>
      <c r="M4064">
        <v>4.8650000000000002</v>
      </c>
      <c r="N4064">
        <v>706.14599999999996</v>
      </c>
      <c r="O4064" s="1" t="s">
        <v>87</v>
      </c>
      <c r="P4064" s="1" t="s">
        <v>6487</v>
      </c>
      <c r="Q4064" s="1" t="s">
        <v>6488</v>
      </c>
      <c r="R4064" s="1" t="s">
        <v>497</v>
      </c>
      <c r="S4064" s="1" t="s">
        <v>6489</v>
      </c>
      <c r="T4064" s="1" t="s">
        <v>6490</v>
      </c>
      <c r="U4064" s="2" t="s">
        <v>1095</v>
      </c>
      <c r="V4064" s="2" t="s">
        <v>47</v>
      </c>
      <c r="W4064" s="2" t="s">
        <v>48</v>
      </c>
      <c r="X4064" s="2">
        <v>55.09</v>
      </c>
    </row>
    <row r="4065" spans="1:24" x14ac:dyDescent="0.3">
      <c r="A4065">
        <v>21912</v>
      </c>
      <c r="B4065" t="s">
        <v>9513</v>
      </c>
      <c r="C4065" s="3">
        <v>40965</v>
      </c>
      <c r="D4065" t="s">
        <v>148</v>
      </c>
      <c r="E4065">
        <v>8</v>
      </c>
      <c r="F4065" s="3">
        <f ca="1">40967+(RANDBETWEEN(1,10))</f>
        <v>40969</v>
      </c>
      <c r="G4065" t="s">
        <v>156</v>
      </c>
      <c r="H4065" t="s">
        <v>27</v>
      </c>
      <c r="I4065" t="s">
        <v>86</v>
      </c>
      <c r="J4065">
        <v>281.505</v>
      </c>
      <c r="K4065">
        <v>0.01</v>
      </c>
      <c r="L4065">
        <v>0.55000000000000004</v>
      </c>
      <c r="M4065">
        <v>21.77</v>
      </c>
      <c r="N4065">
        <v>8.19</v>
      </c>
      <c r="O4065" s="1" t="s">
        <v>87</v>
      </c>
      <c r="P4065" s="1" t="s">
        <v>6487</v>
      </c>
      <c r="Q4065" s="1" t="s">
        <v>6488</v>
      </c>
      <c r="R4065" s="1" t="s">
        <v>497</v>
      </c>
      <c r="S4065" s="1" t="s">
        <v>6489</v>
      </c>
      <c r="T4065" s="1" t="s">
        <v>6490</v>
      </c>
      <c r="U4065" s="2" t="s">
        <v>1422</v>
      </c>
      <c r="V4065" s="2" t="s">
        <v>83</v>
      </c>
      <c r="W4065" s="2" t="s">
        <v>178</v>
      </c>
      <c r="X4065" s="2">
        <v>33.774999999999999</v>
      </c>
    </row>
    <row r="4066" spans="1:24" x14ac:dyDescent="0.3">
      <c r="A4066">
        <v>21913</v>
      </c>
      <c r="B4066" t="s">
        <v>9514</v>
      </c>
      <c r="C4066" s="3">
        <v>41520</v>
      </c>
      <c r="D4066" t="s">
        <v>39</v>
      </c>
      <c r="E4066">
        <v>4</v>
      </c>
      <c r="F4066" s="3">
        <f ca="1">41521+(RANDBETWEEN(1,10))</f>
        <v>41522</v>
      </c>
      <c r="G4066" t="s">
        <v>26</v>
      </c>
      <c r="H4066" t="s">
        <v>27</v>
      </c>
      <c r="I4066" t="s">
        <v>52</v>
      </c>
      <c r="J4066">
        <v>806.01499999999999</v>
      </c>
      <c r="K4066">
        <v>0.02</v>
      </c>
      <c r="L4066">
        <v>0.56000000000000005</v>
      </c>
      <c r="M4066">
        <v>31.465</v>
      </c>
      <c r="N4066">
        <v>-599.21400000000006</v>
      </c>
      <c r="O4066" s="1" t="s">
        <v>53</v>
      </c>
      <c r="P4066" s="1" t="s">
        <v>2923</v>
      </c>
      <c r="Q4066" s="1" t="s">
        <v>2924</v>
      </c>
      <c r="R4066" s="1" t="s">
        <v>56</v>
      </c>
      <c r="S4066" s="1" t="s">
        <v>2786</v>
      </c>
      <c r="T4066" s="1" t="s">
        <v>2787</v>
      </c>
      <c r="U4066" s="2" t="s">
        <v>164</v>
      </c>
      <c r="V4066" s="2" t="s">
        <v>36</v>
      </c>
      <c r="W4066" s="2" t="s">
        <v>37</v>
      </c>
      <c r="X4066" s="2">
        <v>230.965</v>
      </c>
    </row>
    <row r="4067" spans="1:24" x14ac:dyDescent="0.3">
      <c r="A4067">
        <v>21914</v>
      </c>
      <c r="B4067" t="s">
        <v>9515</v>
      </c>
      <c r="C4067" s="3">
        <v>41677</v>
      </c>
      <c r="D4067" t="s">
        <v>62</v>
      </c>
      <c r="E4067">
        <v>1</v>
      </c>
      <c r="F4067" s="3">
        <f ca="1">41679+(RANDBETWEEN(1,10))</f>
        <v>41681</v>
      </c>
      <c r="G4067" t="s">
        <v>26</v>
      </c>
      <c r="H4067" t="s">
        <v>27</v>
      </c>
      <c r="I4067" t="s">
        <v>28</v>
      </c>
      <c r="J4067">
        <v>217.91</v>
      </c>
      <c r="K4067">
        <v>0.09</v>
      </c>
      <c r="L4067">
        <v>0.36</v>
      </c>
      <c r="M4067">
        <v>37.625</v>
      </c>
      <c r="N4067">
        <v>-81.34</v>
      </c>
      <c r="O4067" s="1" t="s">
        <v>53</v>
      </c>
      <c r="P4067" s="1" t="s">
        <v>6556</v>
      </c>
      <c r="Q4067" s="1" t="s">
        <v>6557</v>
      </c>
      <c r="R4067" s="1" t="s">
        <v>56</v>
      </c>
      <c r="S4067" s="1" t="s">
        <v>6558</v>
      </c>
      <c r="T4067" s="1" t="s">
        <v>6559</v>
      </c>
      <c r="U4067" s="2" t="s">
        <v>5401</v>
      </c>
      <c r="V4067" s="2" t="s">
        <v>47</v>
      </c>
      <c r="W4067" s="2" t="s">
        <v>74</v>
      </c>
      <c r="X4067" s="2">
        <v>192.36</v>
      </c>
    </row>
    <row r="4068" spans="1:24" x14ac:dyDescent="0.3">
      <c r="A4068">
        <v>21915</v>
      </c>
      <c r="B4068" t="s">
        <v>9515</v>
      </c>
      <c r="C4068" s="3">
        <v>41677</v>
      </c>
      <c r="D4068" t="s">
        <v>62</v>
      </c>
      <c r="E4068">
        <v>12</v>
      </c>
      <c r="F4068" s="3">
        <f ca="1">41680+(RANDBETWEEN(1,10))</f>
        <v>41690</v>
      </c>
      <c r="G4068" t="s">
        <v>26</v>
      </c>
      <c r="H4068" t="s">
        <v>96</v>
      </c>
      <c r="I4068" t="s">
        <v>28</v>
      </c>
      <c r="J4068">
        <v>52.29</v>
      </c>
      <c r="K4068">
        <v>7.0000000000000007E-2</v>
      </c>
      <c r="L4068">
        <v>0.81</v>
      </c>
      <c r="M4068">
        <v>2.4500000000000002</v>
      </c>
      <c r="N4068">
        <v>-87.01</v>
      </c>
      <c r="O4068" s="1" t="s">
        <v>53</v>
      </c>
      <c r="P4068" s="1" t="s">
        <v>6556</v>
      </c>
      <c r="Q4068" s="1" t="s">
        <v>6557</v>
      </c>
      <c r="R4068" s="1" t="s">
        <v>56</v>
      </c>
      <c r="S4068" s="1" t="s">
        <v>6558</v>
      </c>
      <c r="T4068" s="1" t="s">
        <v>6559</v>
      </c>
      <c r="U4068" s="2" t="s">
        <v>925</v>
      </c>
      <c r="V4068" s="2" t="s">
        <v>47</v>
      </c>
      <c r="W4068" s="2" t="s">
        <v>176</v>
      </c>
      <c r="X4068" s="2">
        <v>4.41</v>
      </c>
    </row>
    <row r="4069" spans="1:24" x14ac:dyDescent="0.3">
      <c r="A4069">
        <v>21916</v>
      </c>
      <c r="B4069" t="s">
        <v>9516</v>
      </c>
      <c r="C4069" s="3">
        <v>41462</v>
      </c>
      <c r="D4069" t="s">
        <v>39</v>
      </c>
      <c r="E4069">
        <v>8</v>
      </c>
      <c r="F4069" s="3">
        <f ca="1">41464+(RANDBETWEEN(1,10))</f>
        <v>41471</v>
      </c>
      <c r="G4069" t="s">
        <v>26</v>
      </c>
      <c r="H4069" t="s">
        <v>51</v>
      </c>
      <c r="I4069" t="s">
        <v>52</v>
      </c>
      <c r="J4069">
        <v>1251.67</v>
      </c>
      <c r="K4069">
        <v>7.0000000000000007E-2</v>
      </c>
      <c r="L4069">
        <v>0.35</v>
      </c>
      <c r="M4069">
        <v>4.375</v>
      </c>
      <c r="N4069">
        <v>-87.759</v>
      </c>
      <c r="O4069" s="1" t="s">
        <v>225</v>
      </c>
      <c r="P4069" s="1" t="s">
        <v>3116</v>
      </c>
      <c r="Q4069" s="1" t="s">
        <v>3117</v>
      </c>
      <c r="R4069" s="1" t="s">
        <v>228</v>
      </c>
      <c r="S4069" s="1" t="s">
        <v>1879</v>
      </c>
      <c r="T4069" s="1" t="s">
        <v>1880</v>
      </c>
      <c r="U4069" s="2" t="s">
        <v>2368</v>
      </c>
      <c r="V4069" s="2" t="s">
        <v>36</v>
      </c>
      <c r="W4069" s="2" t="s">
        <v>37</v>
      </c>
      <c r="X4069" s="2">
        <v>195.965</v>
      </c>
    </row>
    <row r="4070" spans="1:24" x14ac:dyDescent="0.3">
      <c r="A4070">
        <v>21917</v>
      </c>
      <c r="B4070" t="s">
        <v>9516</v>
      </c>
      <c r="C4070" s="3">
        <v>41462</v>
      </c>
      <c r="D4070" t="s">
        <v>39</v>
      </c>
      <c r="E4070">
        <v>1</v>
      </c>
      <c r="F4070" s="3">
        <f ca="1">41464+(RANDBETWEEN(1,10))</f>
        <v>41471</v>
      </c>
      <c r="G4070" t="s">
        <v>76</v>
      </c>
      <c r="H4070" t="s">
        <v>258</v>
      </c>
      <c r="I4070" t="s">
        <v>52</v>
      </c>
      <c r="J4070">
        <v>10701.04</v>
      </c>
      <c r="K4070">
        <v>0.06</v>
      </c>
      <c r="L4070">
        <v>0.56999999999999995</v>
      </c>
      <c r="M4070">
        <v>30.555</v>
      </c>
      <c r="N4070">
        <v>-29996.569049999998</v>
      </c>
      <c r="O4070" s="1" t="s">
        <v>40</v>
      </c>
      <c r="P4070" s="1" t="s">
        <v>9517</v>
      </c>
      <c r="Q4070" s="1" t="s">
        <v>9518</v>
      </c>
      <c r="R4070" s="1" t="s">
        <v>43</v>
      </c>
      <c r="S4070" s="1" t="s">
        <v>3608</v>
      </c>
      <c r="T4070" s="1" t="s">
        <v>3609</v>
      </c>
      <c r="U4070" s="2" t="s">
        <v>1769</v>
      </c>
      <c r="V4070" s="2" t="s">
        <v>36</v>
      </c>
      <c r="W4070" s="2" t="s">
        <v>142</v>
      </c>
      <c r="X4070" s="2">
        <v>12257.49</v>
      </c>
    </row>
    <row r="4071" spans="1:24" x14ac:dyDescent="0.3">
      <c r="A4071">
        <v>21918</v>
      </c>
      <c r="B4071" t="s">
        <v>9519</v>
      </c>
      <c r="C4071" s="3">
        <v>40668</v>
      </c>
      <c r="D4071" t="s">
        <v>148</v>
      </c>
      <c r="E4071">
        <v>15</v>
      </c>
      <c r="F4071" s="3">
        <f ca="1">40668+(RANDBETWEEN(1,10))</f>
        <v>40674</v>
      </c>
      <c r="G4071" t="s">
        <v>26</v>
      </c>
      <c r="H4071" t="s">
        <v>27</v>
      </c>
      <c r="I4071" t="s">
        <v>97</v>
      </c>
      <c r="J4071">
        <v>1618.9949999999999</v>
      </c>
      <c r="K4071">
        <v>0.05</v>
      </c>
      <c r="L4071">
        <v>0.4</v>
      </c>
      <c r="M4071">
        <v>32.130000000000003</v>
      </c>
      <c r="N4071">
        <v>1080.345</v>
      </c>
      <c r="O4071" s="1" t="s">
        <v>53</v>
      </c>
      <c r="P4071" s="1" t="s">
        <v>9520</v>
      </c>
      <c r="Q4071" s="1" t="s">
        <v>9521</v>
      </c>
      <c r="R4071" s="1" t="s">
        <v>56</v>
      </c>
      <c r="S4071" s="1" t="s">
        <v>3216</v>
      </c>
      <c r="T4071" s="1" t="s">
        <v>3217</v>
      </c>
      <c r="U4071" s="2" t="s">
        <v>7249</v>
      </c>
      <c r="V4071" s="2" t="s">
        <v>47</v>
      </c>
      <c r="W4071" s="2" t="s">
        <v>74</v>
      </c>
      <c r="X4071" s="2">
        <v>108.43</v>
      </c>
    </row>
    <row r="4072" spans="1:24" x14ac:dyDescent="0.3">
      <c r="A4072">
        <v>21919</v>
      </c>
      <c r="B4072" t="s">
        <v>9522</v>
      </c>
      <c r="C4072" s="3">
        <v>41739</v>
      </c>
      <c r="D4072" t="s">
        <v>148</v>
      </c>
      <c r="E4072">
        <v>2</v>
      </c>
      <c r="F4072" s="3">
        <f ca="1">41741+(RANDBETWEEN(1,10))</f>
        <v>41750</v>
      </c>
      <c r="G4072" t="s">
        <v>26</v>
      </c>
      <c r="H4072" t="s">
        <v>27</v>
      </c>
      <c r="I4072" t="s">
        <v>28</v>
      </c>
      <c r="J4072">
        <v>52.64</v>
      </c>
      <c r="K4072">
        <v>0</v>
      </c>
      <c r="L4072">
        <v>0.37</v>
      </c>
      <c r="M4072">
        <v>19.809999999999999</v>
      </c>
      <c r="N4072">
        <v>-63.84</v>
      </c>
      <c r="O4072" s="1" t="s">
        <v>87</v>
      </c>
      <c r="P4072" s="1" t="s">
        <v>9523</v>
      </c>
      <c r="Q4072" s="1" t="s">
        <v>9524</v>
      </c>
      <c r="R4072" s="1" t="s">
        <v>398</v>
      </c>
      <c r="S4072" s="1" t="s">
        <v>689</v>
      </c>
      <c r="T4072" s="1" t="s">
        <v>690</v>
      </c>
      <c r="U4072" s="2" t="s">
        <v>1796</v>
      </c>
      <c r="V4072" s="2" t="s">
        <v>47</v>
      </c>
      <c r="W4072" s="2" t="s">
        <v>74</v>
      </c>
      <c r="X4072" s="2">
        <v>23.38</v>
      </c>
    </row>
    <row r="4073" spans="1:24" x14ac:dyDescent="0.3">
      <c r="A4073">
        <v>21920</v>
      </c>
      <c r="B4073" t="s">
        <v>9525</v>
      </c>
      <c r="C4073" s="3">
        <v>41798</v>
      </c>
      <c r="D4073" t="s">
        <v>25</v>
      </c>
      <c r="E4073">
        <v>16</v>
      </c>
      <c r="F4073" s="3">
        <f ca="1">41805+(RANDBETWEEN(1,10))</f>
        <v>41807</v>
      </c>
      <c r="G4073" t="s">
        <v>76</v>
      </c>
      <c r="H4073" t="s">
        <v>258</v>
      </c>
      <c r="I4073" t="s">
        <v>97</v>
      </c>
      <c r="J4073">
        <v>7394.45</v>
      </c>
      <c r="K4073">
        <v>0.04</v>
      </c>
      <c r="L4073">
        <v>0.69</v>
      </c>
      <c r="M4073">
        <v>191.59</v>
      </c>
      <c r="N4073">
        <v>-2307.4520000000002</v>
      </c>
      <c r="O4073" s="1" t="s">
        <v>225</v>
      </c>
      <c r="P4073" s="1" t="s">
        <v>8969</v>
      </c>
      <c r="Q4073" s="1" t="s">
        <v>8970</v>
      </c>
      <c r="R4073" s="1" t="s">
        <v>228</v>
      </c>
      <c r="S4073" s="1" t="s">
        <v>8971</v>
      </c>
      <c r="T4073" s="1" t="s">
        <v>8972</v>
      </c>
      <c r="U4073" s="2" t="s">
        <v>493</v>
      </c>
      <c r="V4073" s="2" t="s">
        <v>83</v>
      </c>
      <c r="W4073" s="2" t="s">
        <v>298</v>
      </c>
      <c r="X4073" s="2">
        <v>458.43</v>
      </c>
    </row>
    <row r="4074" spans="1:24" x14ac:dyDescent="0.3">
      <c r="A4074">
        <v>21921</v>
      </c>
      <c r="B4074" t="s">
        <v>9526</v>
      </c>
      <c r="C4074" s="3">
        <v>41068</v>
      </c>
      <c r="D4074" t="s">
        <v>25</v>
      </c>
      <c r="E4074">
        <v>3</v>
      </c>
      <c r="F4074" s="3">
        <f ca="1">41072+(RANDBETWEEN(1,10))</f>
        <v>41081</v>
      </c>
      <c r="G4074" t="s">
        <v>26</v>
      </c>
      <c r="H4074" t="s">
        <v>27</v>
      </c>
      <c r="I4074" t="s">
        <v>97</v>
      </c>
      <c r="J4074">
        <v>854.84</v>
      </c>
      <c r="K4074">
        <v>0.03</v>
      </c>
      <c r="L4074">
        <v>0.45</v>
      </c>
      <c r="M4074">
        <v>21.454999999999998</v>
      </c>
      <c r="N4074">
        <v>36.119999999999997</v>
      </c>
      <c r="O4074" s="1" t="s">
        <v>225</v>
      </c>
      <c r="P4074" s="1" t="s">
        <v>8969</v>
      </c>
      <c r="Q4074" s="1" t="s">
        <v>8970</v>
      </c>
      <c r="R4074" s="1" t="s">
        <v>228</v>
      </c>
      <c r="S4074" s="1" t="s">
        <v>8971</v>
      </c>
      <c r="T4074" s="1" t="s">
        <v>8972</v>
      </c>
      <c r="U4074" s="2" t="s">
        <v>3335</v>
      </c>
      <c r="V4074" s="2" t="s">
        <v>36</v>
      </c>
      <c r="W4074" s="2" t="s">
        <v>60</v>
      </c>
      <c r="X4074" s="2">
        <v>290.85000000000002</v>
      </c>
    </row>
    <row r="4075" spans="1:24" x14ac:dyDescent="0.3">
      <c r="A4075">
        <v>21922</v>
      </c>
      <c r="B4075" t="s">
        <v>9525</v>
      </c>
      <c r="C4075" s="3">
        <v>41798</v>
      </c>
      <c r="D4075" t="s">
        <v>25</v>
      </c>
      <c r="E4075">
        <v>12</v>
      </c>
      <c r="F4075" s="3">
        <f ca="1">41803+(RANDBETWEEN(1,10))</f>
        <v>41806</v>
      </c>
      <c r="G4075" t="s">
        <v>76</v>
      </c>
      <c r="H4075" t="s">
        <v>77</v>
      </c>
      <c r="I4075" t="s">
        <v>97</v>
      </c>
      <c r="J4075">
        <v>902.3</v>
      </c>
      <c r="K4075">
        <v>0.1</v>
      </c>
      <c r="L4075">
        <v>0.78</v>
      </c>
      <c r="M4075">
        <v>185.60499999999999</v>
      </c>
      <c r="N4075">
        <v>-4292.82</v>
      </c>
      <c r="O4075" s="1" t="s">
        <v>225</v>
      </c>
      <c r="P4075" s="1" t="s">
        <v>8969</v>
      </c>
      <c r="Q4075" s="1" t="s">
        <v>8970</v>
      </c>
      <c r="R4075" s="1" t="s">
        <v>228</v>
      </c>
      <c r="S4075" s="1" t="s">
        <v>8971</v>
      </c>
      <c r="T4075" s="1" t="s">
        <v>8972</v>
      </c>
      <c r="U4075" s="2" t="s">
        <v>583</v>
      </c>
      <c r="V4075" s="2" t="s">
        <v>47</v>
      </c>
      <c r="W4075" s="2" t="s">
        <v>119</v>
      </c>
      <c r="X4075" s="2">
        <v>73.430000000000007</v>
      </c>
    </row>
    <row r="4076" spans="1:24" x14ac:dyDescent="0.3">
      <c r="A4076">
        <v>21923</v>
      </c>
      <c r="B4076" t="s">
        <v>9527</v>
      </c>
      <c r="C4076" s="3">
        <v>41189</v>
      </c>
      <c r="D4076" t="s">
        <v>39</v>
      </c>
      <c r="E4076">
        <v>16</v>
      </c>
      <c r="F4076" s="3">
        <f ca="1">41190+(RANDBETWEEN(1,10))</f>
        <v>41194</v>
      </c>
      <c r="G4076" t="s">
        <v>26</v>
      </c>
      <c r="H4076" t="s">
        <v>281</v>
      </c>
      <c r="I4076" t="s">
        <v>97</v>
      </c>
      <c r="J4076">
        <v>1435.875</v>
      </c>
      <c r="K4076">
        <v>0.08</v>
      </c>
      <c r="L4076" t="s">
        <v>182</v>
      </c>
      <c r="M4076">
        <v>18.55</v>
      </c>
      <c r="N4076">
        <v>409.48739999999998</v>
      </c>
      <c r="O4076" s="1" t="s">
        <v>40</v>
      </c>
      <c r="P4076" s="1" t="s">
        <v>3896</v>
      </c>
      <c r="Q4076" s="1" t="s">
        <v>3897</v>
      </c>
      <c r="R4076" s="1" t="s">
        <v>43</v>
      </c>
      <c r="S4076" s="1" t="s">
        <v>3898</v>
      </c>
      <c r="T4076" s="1" t="s">
        <v>3899</v>
      </c>
      <c r="U4076" s="2" t="s">
        <v>9528</v>
      </c>
      <c r="V4076" s="2" t="s">
        <v>83</v>
      </c>
      <c r="W4076" s="2" t="s">
        <v>84</v>
      </c>
      <c r="X4076" s="2">
        <v>93.24</v>
      </c>
    </row>
    <row r="4077" spans="1:24" x14ac:dyDescent="0.3">
      <c r="A4077">
        <v>21924</v>
      </c>
      <c r="B4077" t="s">
        <v>9527</v>
      </c>
      <c r="C4077" s="3">
        <v>41189</v>
      </c>
      <c r="D4077" t="s">
        <v>39</v>
      </c>
      <c r="E4077">
        <v>12</v>
      </c>
      <c r="F4077" s="3">
        <f ca="1">41190+(RANDBETWEEN(1,10))</f>
        <v>41199</v>
      </c>
      <c r="G4077" t="s">
        <v>26</v>
      </c>
      <c r="H4077" t="s">
        <v>96</v>
      </c>
      <c r="I4077" t="s">
        <v>97</v>
      </c>
      <c r="J4077">
        <v>476.03500000000003</v>
      </c>
      <c r="K4077">
        <v>0.08</v>
      </c>
      <c r="L4077">
        <v>0.52</v>
      </c>
      <c r="M4077">
        <v>21.7</v>
      </c>
      <c r="N4077">
        <v>-25.326000000000001</v>
      </c>
      <c r="O4077" s="1" t="s">
        <v>40</v>
      </c>
      <c r="P4077" s="1" t="s">
        <v>3896</v>
      </c>
      <c r="Q4077" s="1" t="s">
        <v>3897</v>
      </c>
      <c r="R4077" s="1" t="s">
        <v>43</v>
      </c>
      <c r="S4077" s="1" t="s">
        <v>3898</v>
      </c>
      <c r="T4077" s="1" t="s">
        <v>3899</v>
      </c>
      <c r="U4077" s="2" t="s">
        <v>2413</v>
      </c>
      <c r="V4077" s="2" t="s">
        <v>83</v>
      </c>
      <c r="W4077" s="2" t="s">
        <v>178</v>
      </c>
      <c r="X4077" s="2">
        <v>42.244999999999997</v>
      </c>
    </row>
    <row r="4078" spans="1:24" x14ac:dyDescent="0.3">
      <c r="A4078">
        <v>21925</v>
      </c>
      <c r="B4078" t="s">
        <v>9527</v>
      </c>
      <c r="C4078" s="3">
        <v>41189</v>
      </c>
      <c r="D4078" t="s">
        <v>39</v>
      </c>
      <c r="E4078">
        <v>14</v>
      </c>
      <c r="F4078" s="3">
        <f ca="1">41191+(RANDBETWEEN(1,10))</f>
        <v>41200</v>
      </c>
      <c r="G4078" t="s">
        <v>156</v>
      </c>
      <c r="H4078" t="s">
        <v>51</v>
      </c>
      <c r="I4078" t="s">
        <v>97</v>
      </c>
      <c r="J4078">
        <v>1285.7249999999999</v>
      </c>
      <c r="K4078">
        <v>0.09</v>
      </c>
      <c r="L4078">
        <v>0.4</v>
      </c>
      <c r="M4078">
        <v>6.9649999999999999</v>
      </c>
      <c r="N4078">
        <v>887.15025000000003</v>
      </c>
      <c r="O4078" s="1" t="s">
        <v>29</v>
      </c>
      <c r="P4078" s="1" t="s">
        <v>9529</v>
      </c>
      <c r="Q4078" s="1" t="s">
        <v>9530</v>
      </c>
      <c r="R4078" s="1" t="s">
        <v>32</v>
      </c>
      <c r="S4078" s="1" t="s">
        <v>1928</v>
      </c>
      <c r="T4078" s="1" t="s">
        <v>1929</v>
      </c>
      <c r="U4078" s="2" t="s">
        <v>1109</v>
      </c>
      <c r="V4078" s="2" t="s">
        <v>36</v>
      </c>
      <c r="W4078" s="2" t="s">
        <v>60</v>
      </c>
      <c r="X4078" s="2">
        <v>99.68</v>
      </c>
    </row>
    <row r="4079" spans="1:24" x14ac:dyDescent="0.3">
      <c r="A4079">
        <v>21926</v>
      </c>
      <c r="B4079" t="s">
        <v>9531</v>
      </c>
      <c r="C4079" s="3">
        <v>41804</v>
      </c>
      <c r="D4079" t="s">
        <v>62</v>
      </c>
      <c r="E4079">
        <v>15</v>
      </c>
      <c r="F4079" s="3">
        <f ca="1">41804+(RANDBETWEEN(1,10))</f>
        <v>41812</v>
      </c>
      <c r="G4079" t="s">
        <v>26</v>
      </c>
      <c r="H4079" t="s">
        <v>63</v>
      </c>
      <c r="I4079" t="s">
        <v>97</v>
      </c>
      <c r="J4079">
        <v>11471.215</v>
      </c>
      <c r="K4079">
        <v>0.02</v>
      </c>
      <c r="L4079">
        <v>0.59</v>
      </c>
      <c r="M4079">
        <v>74.234999999999999</v>
      </c>
      <c r="N4079">
        <v>7915.1383500000002</v>
      </c>
      <c r="O4079" s="1" t="s">
        <v>40</v>
      </c>
      <c r="P4079" s="1" t="s">
        <v>9532</v>
      </c>
      <c r="Q4079" s="1" t="s">
        <v>9533</v>
      </c>
      <c r="R4079" s="1" t="s">
        <v>220</v>
      </c>
      <c r="S4079" s="1" t="s">
        <v>3859</v>
      </c>
      <c r="T4079" s="1" t="s">
        <v>3860</v>
      </c>
      <c r="U4079" s="2" t="s">
        <v>3118</v>
      </c>
      <c r="V4079" s="2" t="s">
        <v>83</v>
      </c>
      <c r="W4079" s="2" t="s">
        <v>178</v>
      </c>
      <c r="X4079" s="2">
        <v>734.44</v>
      </c>
    </row>
    <row r="4080" spans="1:24" x14ac:dyDescent="0.3">
      <c r="A4080">
        <v>21927</v>
      </c>
      <c r="B4080" t="s">
        <v>9531</v>
      </c>
      <c r="C4080" s="3">
        <v>41804</v>
      </c>
      <c r="D4080" t="s">
        <v>62</v>
      </c>
      <c r="E4080">
        <v>8</v>
      </c>
      <c r="F4080" s="3">
        <f ca="1">41806+(RANDBETWEEN(1,10))</f>
        <v>41809</v>
      </c>
      <c r="G4080" t="s">
        <v>26</v>
      </c>
      <c r="H4080" t="s">
        <v>63</v>
      </c>
      <c r="I4080" t="s">
        <v>97</v>
      </c>
      <c r="J4080">
        <v>5601.4350000000004</v>
      </c>
      <c r="K4080">
        <v>0.01</v>
      </c>
      <c r="L4080">
        <v>0.59</v>
      </c>
      <c r="M4080">
        <v>40.39</v>
      </c>
      <c r="N4080">
        <v>3864.9901500000001</v>
      </c>
      <c r="O4080" s="1" t="s">
        <v>40</v>
      </c>
      <c r="P4080" s="1" t="s">
        <v>9534</v>
      </c>
      <c r="Q4080" s="1" t="s">
        <v>9535</v>
      </c>
      <c r="R4080" s="1" t="s">
        <v>220</v>
      </c>
      <c r="S4080" s="1" t="s">
        <v>5869</v>
      </c>
      <c r="T4080" s="1" t="s">
        <v>5870</v>
      </c>
      <c r="U4080" s="2" t="s">
        <v>5469</v>
      </c>
      <c r="V4080" s="2" t="s">
        <v>83</v>
      </c>
      <c r="W4080" s="2" t="s">
        <v>178</v>
      </c>
      <c r="X4080" s="2">
        <v>680.05</v>
      </c>
    </row>
    <row r="4081" spans="1:24" x14ac:dyDescent="0.3">
      <c r="A4081">
        <v>21928</v>
      </c>
      <c r="B4081" t="s">
        <v>9536</v>
      </c>
      <c r="C4081" s="3">
        <v>40826</v>
      </c>
      <c r="D4081" t="s">
        <v>62</v>
      </c>
      <c r="E4081">
        <v>2</v>
      </c>
      <c r="F4081" s="3">
        <f ca="1">40828+(RANDBETWEEN(1,10))</f>
        <v>40837</v>
      </c>
      <c r="G4081" t="s">
        <v>26</v>
      </c>
      <c r="H4081" t="s">
        <v>96</v>
      </c>
      <c r="I4081" t="s">
        <v>97</v>
      </c>
      <c r="J4081">
        <v>60.97</v>
      </c>
      <c r="K4081">
        <v>0.1</v>
      </c>
      <c r="L4081">
        <v>0.4</v>
      </c>
      <c r="M4081">
        <v>7.5250000000000004</v>
      </c>
      <c r="N4081">
        <v>-13.7592</v>
      </c>
      <c r="O4081" s="1" t="s">
        <v>225</v>
      </c>
      <c r="P4081" s="1" t="s">
        <v>4208</v>
      </c>
      <c r="Q4081" s="1" t="s">
        <v>4209</v>
      </c>
      <c r="R4081" s="1" t="s">
        <v>391</v>
      </c>
      <c r="S4081" s="1" t="s">
        <v>4210</v>
      </c>
      <c r="T4081" s="1" t="s">
        <v>4211</v>
      </c>
      <c r="U4081" s="2" t="s">
        <v>4359</v>
      </c>
      <c r="V4081" s="2" t="s">
        <v>47</v>
      </c>
      <c r="W4081" s="2" t="s">
        <v>74</v>
      </c>
      <c r="X4081" s="2">
        <v>31.885000000000002</v>
      </c>
    </row>
    <row r="4082" spans="1:24" x14ac:dyDescent="0.3">
      <c r="A4082">
        <v>21929</v>
      </c>
      <c r="B4082" t="s">
        <v>9537</v>
      </c>
      <c r="C4082" s="3">
        <v>41352</v>
      </c>
      <c r="D4082" t="s">
        <v>62</v>
      </c>
      <c r="E4082">
        <v>9</v>
      </c>
      <c r="F4082" s="3">
        <f ca="1">41354+(RANDBETWEEN(1,10))</f>
        <v>41362</v>
      </c>
      <c r="G4082" t="s">
        <v>26</v>
      </c>
      <c r="H4082" t="s">
        <v>27</v>
      </c>
      <c r="I4082" t="s">
        <v>28</v>
      </c>
      <c r="J4082">
        <v>160.33500000000001</v>
      </c>
      <c r="K4082">
        <v>0.09</v>
      </c>
      <c r="L4082">
        <v>0.36</v>
      </c>
      <c r="M4082">
        <v>21.245000000000001</v>
      </c>
      <c r="N4082">
        <v>-335.72</v>
      </c>
      <c r="O4082" s="1" t="s">
        <v>29</v>
      </c>
      <c r="P4082" s="1" t="s">
        <v>9092</v>
      </c>
      <c r="Q4082" s="1" t="s">
        <v>9093</v>
      </c>
      <c r="R4082" s="1" t="s">
        <v>32</v>
      </c>
      <c r="S4082" s="1" t="s">
        <v>8270</v>
      </c>
      <c r="T4082" s="1" t="s">
        <v>8271</v>
      </c>
      <c r="U4082" s="2" t="s">
        <v>250</v>
      </c>
      <c r="V4082" s="2" t="s">
        <v>47</v>
      </c>
      <c r="W4082" s="2" t="s">
        <v>74</v>
      </c>
      <c r="X4082" s="2">
        <v>17.43</v>
      </c>
    </row>
    <row r="4083" spans="1:24" x14ac:dyDescent="0.3">
      <c r="A4083">
        <v>21930</v>
      </c>
      <c r="B4083" t="s">
        <v>9538</v>
      </c>
      <c r="C4083" s="3">
        <v>41737</v>
      </c>
      <c r="D4083" t="s">
        <v>50</v>
      </c>
      <c r="E4083">
        <v>6</v>
      </c>
      <c r="F4083" s="3">
        <f ca="1">41738+(RANDBETWEEN(1,10))</f>
        <v>41747</v>
      </c>
      <c r="G4083" t="s">
        <v>26</v>
      </c>
      <c r="H4083" t="s">
        <v>63</v>
      </c>
      <c r="I4083" t="s">
        <v>86</v>
      </c>
      <c r="J4083">
        <v>117.74</v>
      </c>
      <c r="K4083">
        <v>0.03</v>
      </c>
      <c r="L4083">
        <v>0.59</v>
      </c>
      <c r="M4083">
        <v>171.5</v>
      </c>
      <c r="N4083">
        <v>-3658.375</v>
      </c>
      <c r="O4083" s="1" t="s">
        <v>225</v>
      </c>
      <c r="P4083" s="1" t="s">
        <v>9379</v>
      </c>
      <c r="Q4083" s="1" t="s">
        <v>9380</v>
      </c>
      <c r="R4083" s="1" t="s">
        <v>391</v>
      </c>
      <c r="S4083" s="1" t="s">
        <v>9381</v>
      </c>
      <c r="T4083" s="1" t="s">
        <v>9382</v>
      </c>
      <c r="U4083" s="2" t="s">
        <v>9246</v>
      </c>
      <c r="V4083" s="2" t="s">
        <v>47</v>
      </c>
      <c r="W4083" s="2" t="s">
        <v>71</v>
      </c>
      <c r="X4083" s="2">
        <v>12.18</v>
      </c>
    </row>
    <row r="4084" spans="1:24" x14ac:dyDescent="0.3">
      <c r="A4084">
        <v>21931</v>
      </c>
      <c r="B4084" t="s">
        <v>9539</v>
      </c>
      <c r="C4084" s="3">
        <v>41007</v>
      </c>
      <c r="D4084" t="s">
        <v>50</v>
      </c>
      <c r="E4084">
        <v>5</v>
      </c>
      <c r="F4084" s="3">
        <f ca="1">41008+(RANDBETWEEN(1,10))</f>
        <v>41010</v>
      </c>
      <c r="G4084" t="s">
        <v>26</v>
      </c>
      <c r="H4084" t="s">
        <v>51</v>
      </c>
      <c r="I4084" t="s">
        <v>86</v>
      </c>
      <c r="J4084">
        <v>208.91499999999999</v>
      </c>
      <c r="K4084">
        <v>0.02</v>
      </c>
      <c r="L4084">
        <v>0.57999999999999996</v>
      </c>
      <c r="M4084">
        <v>27.824999999999999</v>
      </c>
      <c r="N4084">
        <v>-275.83499999999998</v>
      </c>
      <c r="O4084" s="1" t="s">
        <v>225</v>
      </c>
      <c r="P4084" s="1" t="s">
        <v>9379</v>
      </c>
      <c r="Q4084" s="1" t="s">
        <v>9380</v>
      </c>
      <c r="R4084" s="1" t="s">
        <v>391</v>
      </c>
      <c r="S4084" s="1" t="s">
        <v>9381</v>
      </c>
      <c r="T4084" s="1" t="s">
        <v>9382</v>
      </c>
      <c r="U4084" s="2" t="s">
        <v>248</v>
      </c>
      <c r="V4084" s="2" t="s">
        <v>47</v>
      </c>
      <c r="W4084" s="2" t="s">
        <v>104</v>
      </c>
      <c r="X4084" s="2">
        <v>40.81</v>
      </c>
    </row>
    <row r="4085" spans="1:24" x14ac:dyDescent="0.3">
      <c r="A4085">
        <v>21932</v>
      </c>
      <c r="B4085" t="s">
        <v>9539</v>
      </c>
      <c r="C4085" s="3">
        <v>41007</v>
      </c>
      <c r="D4085" t="s">
        <v>50</v>
      </c>
      <c r="E4085">
        <v>5</v>
      </c>
      <c r="F4085" s="3">
        <f ca="1">41008+(RANDBETWEEN(1,10))</f>
        <v>41011</v>
      </c>
      <c r="G4085" t="s">
        <v>26</v>
      </c>
      <c r="H4085" t="s">
        <v>51</v>
      </c>
      <c r="I4085" t="s">
        <v>86</v>
      </c>
      <c r="J4085">
        <v>225.19</v>
      </c>
      <c r="K4085">
        <v>0.04</v>
      </c>
      <c r="L4085">
        <v>0.6</v>
      </c>
      <c r="M4085">
        <v>10.99</v>
      </c>
      <c r="N4085">
        <v>44.87</v>
      </c>
      <c r="O4085" s="1" t="s">
        <v>225</v>
      </c>
      <c r="P4085" s="1" t="s">
        <v>9379</v>
      </c>
      <c r="Q4085" s="1" t="s">
        <v>9380</v>
      </c>
      <c r="R4085" s="1" t="s">
        <v>391</v>
      </c>
      <c r="S4085" s="1" t="s">
        <v>9381</v>
      </c>
      <c r="T4085" s="1" t="s">
        <v>9382</v>
      </c>
      <c r="U4085" s="2" t="s">
        <v>536</v>
      </c>
      <c r="V4085" s="2" t="s">
        <v>47</v>
      </c>
      <c r="W4085" s="2" t="s">
        <v>94</v>
      </c>
      <c r="X4085" s="2">
        <v>45.43</v>
      </c>
    </row>
    <row r="4086" spans="1:24" x14ac:dyDescent="0.3">
      <c r="A4086">
        <v>21933</v>
      </c>
      <c r="B4086" t="s">
        <v>9540</v>
      </c>
      <c r="C4086" s="3">
        <v>41166</v>
      </c>
      <c r="D4086" t="s">
        <v>39</v>
      </c>
      <c r="E4086">
        <v>7</v>
      </c>
      <c r="F4086" s="3">
        <f ca="1">41168+(RANDBETWEEN(1,10))</f>
        <v>41170</v>
      </c>
      <c r="G4086" t="s">
        <v>76</v>
      </c>
      <c r="H4086" t="s">
        <v>77</v>
      </c>
      <c r="I4086" t="s">
        <v>28</v>
      </c>
      <c r="J4086">
        <v>4328.6949999999997</v>
      </c>
      <c r="K4086">
        <v>7.0000000000000007E-2</v>
      </c>
      <c r="L4086">
        <v>0.59</v>
      </c>
      <c r="M4086">
        <v>91.7</v>
      </c>
      <c r="N4086">
        <v>1180.5150000000001</v>
      </c>
      <c r="O4086" s="1" t="s">
        <v>87</v>
      </c>
      <c r="P4086" s="1" t="s">
        <v>5512</v>
      </c>
      <c r="Q4086" s="1" t="s">
        <v>5513</v>
      </c>
      <c r="R4086" s="1" t="s">
        <v>90</v>
      </c>
      <c r="S4086" s="1" t="s">
        <v>5514</v>
      </c>
      <c r="T4086" s="1" t="s">
        <v>5515</v>
      </c>
      <c r="U4086" s="2" t="s">
        <v>4925</v>
      </c>
      <c r="V4086" s="2" t="s">
        <v>83</v>
      </c>
      <c r="W4086" s="2" t="s">
        <v>84</v>
      </c>
      <c r="X4086" s="2">
        <v>633.42999999999995</v>
      </c>
    </row>
    <row r="4087" spans="1:24" x14ac:dyDescent="0.3">
      <c r="A4087">
        <v>21934</v>
      </c>
      <c r="B4087" t="s">
        <v>9540</v>
      </c>
      <c r="C4087" s="3">
        <v>41166</v>
      </c>
      <c r="D4087" t="s">
        <v>39</v>
      </c>
      <c r="E4087">
        <v>17</v>
      </c>
      <c r="F4087" s="3">
        <f ca="1">41168+(RANDBETWEEN(1,10))</f>
        <v>41172</v>
      </c>
      <c r="G4087" t="s">
        <v>76</v>
      </c>
      <c r="H4087" t="s">
        <v>77</v>
      </c>
      <c r="I4087" t="s">
        <v>28</v>
      </c>
      <c r="J4087">
        <v>12599.16</v>
      </c>
      <c r="K4087">
        <v>0.04</v>
      </c>
      <c r="L4087">
        <v>0.59</v>
      </c>
      <c r="M4087">
        <v>224.7</v>
      </c>
      <c r="N4087">
        <v>1042.2650000000001</v>
      </c>
      <c r="O4087" s="1" t="s">
        <v>87</v>
      </c>
      <c r="P4087" s="1" t="s">
        <v>5512</v>
      </c>
      <c r="Q4087" s="1" t="s">
        <v>5513</v>
      </c>
      <c r="R4087" s="1" t="s">
        <v>90</v>
      </c>
      <c r="S4087" s="1" t="s">
        <v>5514</v>
      </c>
      <c r="T4087" s="1" t="s">
        <v>5515</v>
      </c>
      <c r="U4087" s="2" t="s">
        <v>2488</v>
      </c>
      <c r="V4087" s="2" t="s">
        <v>83</v>
      </c>
      <c r="W4087" s="2" t="s">
        <v>84</v>
      </c>
      <c r="X4087" s="2">
        <v>758.1</v>
      </c>
    </row>
    <row r="4088" spans="1:24" x14ac:dyDescent="0.3">
      <c r="A4088">
        <v>21935</v>
      </c>
      <c r="B4088" t="s">
        <v>9541</v>
      </c>
      <c r="C4088" s="3">
        <v>41896</v>
      </c>
      <c r="D4088" t="s">
        <v>39</v>
      </c>
      <c r="E4088">
        <v>9</v>
      </c>
      <c r="F4088" s="3">
        <f ca="1">41899+(RANDBETWEEN(1,10))</f>
        <v>41902</v>
      </c>
      <c r="G4088" t="s">
        <v>26</v>
      </c>
      <c r="H4088" t="s">
        <v>51</v>
      </c>
      <c r="I4088" t="s">
        <v>28</v>
      </c>
      <c r="J4088">
        <v>223.23</v>
      </c>
      <c r="K4088">
        <v>0.01</v>
      </c>
      <c r="L4088">
        <v>0.66</v>
      </c>
      <c r="M4088">
        <v>14.244999999999999</v>
      </c>
      <c r="N4088">
        <v>-183.89420000000001</v>
      </c>
      <c r="O4088" s="1" t="s">
        <v>87</v>
      </c>
      <c r="P4088" s="1" t="s">
        <v>5512</v>
      </c>
      <c r="Q4088" s="1" t="s">
        <v>5513</v>
      </c>
      <c r="R4088" s="1" t="s">
        <v>90</v>
      </c>
      <c r="S4088" s="1" t="s">
        <v>5514</v>
      </c>
      <c r="T4088" s="1" t="s">
        <v>5515</v>
      </c>
      <c r="U4088" s="2" t="s">
        <v>5294</v>
      </c>
      <c r="V4088" s="2" t="s">
        <v>36</v>
      </c>
      <c r="W4088" s="2" t="s">
        <v>60</v>
      </c>
      <c r="X4088" s="2">
        <v>23.1</v>
      </c>
    </row>
    <row r="4089" spans="1:24" x14ac:dyDescent="0.3">
      <c r="A4089">
        <v>21936</v>
      </c>
      <c r="B4089" t="s">
        <v>9542</v>
      </c>
      <c r="C4089" s="3">
        <v>41402</v>
      </c>
      <c r="D4089" t="s">
        <v>50</v>
      </c>
      <c r="E4089">
        <v>7</v>
      </c>
      <c r="F4089" s="3">
        <f ca="1">41404+(RANDBETWEEN(1,10))</f>
        <v>41413</v>
      </c>
      <c r="G4089" t="s">
        <v>26</v>
      </c>
      <c r="H4089" t="s">
        <v>27</v>
      </c>
      <c r="I4089" t="s">
        <v>97</v>
      </c>
      <c r="J4089">
        <v>485.1</v>
      </c>
      <c r="K4089">
        <v>0.03</v>
      </c>
      <c r="L4089">
        <v>0.37</v>
      </c>
      <c r="M4089">
        <v>18.305</v>
      </c>
      <c r="N4089">
        <v>313.44600000000003</v>
      </c>
      <c r="O4089" s="1" t="s">
        <v>64</v>
      </c>
      <c r="P4089" s="1" t="s">
        <v>9543</v>
      </c>
      <c r="Q4089" s="1" t="s">
        <v>9544</v>
      </c>
      <c r="R4089" s="1" t="s">
        <v>128</v>
      </c>
      <c r="S4089" s="1" t="s">
        <v>2117</v>
      </c>
      <c r="T4089" s="1" t="s">
        <v>1313</v>
      </c>
      <c r="U4089" s="2" t="s">
        <v>8169</v>
      </c>
      <c r="V4089" s="2" t="s">
        <v>47</v>
      </c>
      <c r="W4089" s="2" t="s">
        <v>111</v>
      </c>
      <c r="X4089" s="2">
        <v>66.465000000000003</v>
      </c>
    </row>
    <row r="4090" spans="1:24" x14ac:dyDescent="0.3">
      <c r="A4090">
        <v>21937</v>
      </c>
      <c r="B4090" t="s">
        <v>9545</v>
      </c>
      <c r="C4090" s="3">
        <v>40889</v>
      </c>
      <c r="D4090" t="s">
        <v>39</v>
      </c>
      <c r="E4090">
        <v>14</v>
      </c>
      <c r="F4090" s="3">
        <f ca="1">40890+(RANDBETWEEN(1,10))</f>
        <v>40892</v>
      </c>
      <c r="G4090" t="s">
        <v>26</v>
      </c>
      <c r="H4090" t="s">
        <v>27</v>
      </c>
      <c r="I4090" t="s">
        <v>28</v>
      </c>
      <c r="J4090">
        <v>321.72000000000003</v>
      </c>
      <c r="K4090">
        <v>0.06</v>
      </c>
      <c r="L4090">
        <v>0.37</v>
      </c>
      <c r="M4090">
        <v>24.254999999999999</v>
      </c>
      <c r="N4090">
        <v>26.685749999999999</v>
      </c>
      <c r="O4090" s="1" t="s">
        <v>64</v>
      </c>
      <c r="P4090" s="1" t="s">
        <v>9546</v>
      </c>
      <c r="Q4090" s="1" t="s">
        <v>9547</v>
      </c>
      <c r="R4090" s="1" t="s">
        <v>67</v>
      </c>
      <c r="S4090" s="1" t="s">
        <v>9548</v>
      </c>
      <c r="T4090" s="1" t="s">
        <v>9549</v>
      </c>
      <c r="U4090" s="2" t="s">
        <v>2817</v>
      </c>
      <c r="V4090" s="2" t="s">
        <v>47</v>
      </c>
      <c r="W4090" s="2" t="s">
        <v>74</v>
      </c>
      <c r="X4090" s="2">
        <v>23.38</v>
      </c>
    </row>
    <row r="4091" spans="1:24" x14ac:dyDescent="0.3">
      <c r="A4091">
        <v>21938</v>
      </c>
      <c r="B4091" t="s">
        <v>9550</v>
      </c>
      <c r="C4091" s="3">
        <v>41154</v>
      </c>
      <c r="D4091" t="s">
        <v>148</v>
      </c>
      <c r="E4091">
        <v>20</v>
      </c>
      <c r="F4091" s="3">
        <f ca="1">41154+(RANDBETWEEN(1,10))</f>
        <v>41161</v>
      </c>
      <c r="G4091" t="s">
        <v>26</v>
      </c>
      <c r="H4091" t="s">
        <v>96</v>
      </c>
      <c r="I4091" t="s">
        <v>97</v>
      </c>
      <c r="J4091">
        <v>1394.2249999999999</v>
      </c>
      <c r="K4091">
        <v>0.03</v>
      </c>
      <c r="L4091">
        <v>0.44</v>
      </c>
      <c r="M4091">
        <v>14.35</v>
      </c>
      <c r="N4091">
        <v>927.85</v>
      </c>
      <c r="O4091" s="1" t="s">
        <v>29</v>
      </c>
      <c r="P4091" s="1" t="s">
        <v>9197</v>
      </c>
      <c r="Q4091" s="1" t="s">
        <v>9198</v>
      </c>
      <c r="R4091" s="1" t="s">
        <v>675</v>
      </c>
      <c r="S4091" s="1" t="s">
        <v>9199</v>
      </c>
      <c r="T4091" s="1" t="s">
        <v>9200</v>
      </c>
      <c r="U4091" s="2" t="s">
        <v>550</v>
      </c>
      <c r="V4091" s="2" t="s">
        <v>47</v>
      </c>
      <c r="W4091" s="2" t="s">
        <v>104</v>
      </c>
      <c r="X4091" s="2">
        <v>69.44</v>
      </c>
    </row>
    <row r="4092" spans="1:24" x14ac:dyDescent="0.3">
      <c r="A4092">
        <v>21939</v>
      </c>
      <c r="B4092" t="s">
        <v>9550</v>
      </c>
      <c r="C4092" s="3">
        <v>41154</v>
      </c>
      <c r="D4092" t="s">
        <v>148</v>
      </c>
      <c r="E4092">
        <v>1</v>
      </c>
      <c r="F4092" s="3">
        <f ca="1">41154+(RANDBETWEEN(1,10))</f>
        <v>41163</v>
      </c>
      <c r="G4092" t="s">
        <v>26</v>
      </c>
      <c r="H4092" t="s">
        <v>96</v>
      </c>
      <c r="I4092" t="s">
        <v>97</v>
      </c>
      <c r="J4092">
        <v>23.625</v>
      </c>
      <c r="K4092">
        <v>0.08</v>
      </c>
      <c r="L4092">
        <v>0.38</v>
      </c>
      <c r="M4092">
        <v>3.5</v>
      </c>
      <c r="N4092">
        <v>-8.0850000000000009</v>
      </c>
      <c r="O4092" s="1" t="s">
        <v>29</v>
      </c>
      <c r="P4092" s="1" t="s">
        <v>9197</v>
      </c>
      <c r="Q4092" s="1" t="s">
        <v>9198</v>
      </c>
      <c r="R4092" s="1" t="s">
        <v>675</v>
      </c>
      <c r="S4092" s="1" t="s">
        <v>9199</v>
      </c>
      <c r="T4092" s="1" t="s">
        <v>9200</v>
      </c>
      <c r="U4092" s="2" t="s">
        <v>3510</v>
      </c>
      <c r="V4092" s="2" t="s">
        <v>47</v>
      </c>
      <c r="W4092" s="2" t="s">
        <v>104</v>
      </c>
      <c r="X4092" s="2">
        <v>20.440000000000001</v>
      </c>
    </row>
    <row r="4093" spans="1:24" x14ac:dyDescent="0.3">
      <c r="A4093">
        <v>21940</v>
      </c>
      <c r="B4093" t="s">
        <v>9551</v>
      </c>
      <c r="C4093" s="3">
        <v>41147</v>
      </c>
      <c r="D4093" t="s">
        <v>25</v>
      </c>
      <c r="E4093">
        <v>10</v>
      </c>
      <c r="F4093" s="3">
        <f ca="1">41149+(RANDBETWEEN(1,10))</f>
        <v>41156</v>
      </c>
      <c r="G4093" t="s">
        <v>26</v>
      </c>
      <c r="H4093" t="s">
        <v>27</v>
      </c>
      <c r="I4093" t="s">
        <v>28</v>
      </c>
      <c r="J4093">
        <v>961.73</v>
      </c>
      <c r="K4093">
        <v>0.08</v>
      </c>
      <c r="L4093">
        <v>0.75</v>
      </c>
      <c r="M4093">
        <v>14</v>
      </c>
      <c r="N4093">
        <v>-80.007199999999997</v>
      </c>
      <c r="O4093" s="1" t="s">
        <v>40</v>
      </c>
      <c r="P4093" s="1" t="s">
        <v>8594</v>
      </c>
      <c r="Q4093" s="1" t="s">
        <v>8595</v>
      </c>
      <c r="R4093" s="1" t="s">
        <v>43</v>
      </c>
      <c r="S4093" s="1" t="s">
        <v>8596</v>
      </c>
      <c r="T4093" s="1" t="s">
        <v>8597</v>
      </c>
      <c r="U4093" s="2" t="s">
        <v>4155</v>
      </c>
      <c r="V4093" s="2" t="s">
        <v>36</v>
      </c>
      <c r="W4093" s="2" t="s">
        <v>60</v>
      </c>
      <c r="X4093" s="2">
        <v>96.18</v>
      </c>
    </row>
    <row r="4094" spans="1:24" x14ac:dyDescent="0.3">
      <c r="A4094">
        <v>21941</v>
      </c>
      <c r="B4094" t="s">
        <v>9552</v>
      </c>
      <c r="C4094" s="3">
        <v>41780</v>
      </c>
      <c r="D4094" t="s">
        <v>25</v>
      </c>
      <c r="E4094">
        <v>1</v>
      </c>
      <c r="F4094" s="3">
        <f ca="1">41785+(RANDBETWEEN(1,10))</f>
        <v>41786</v>
      </c>
      <c r="G4094" t="s">
        <v>156</v>
      </c>
      <c r="H4094" t="s">
        <v>96</v>
      </c>
      <c r="I4094" t="s">
        <v>86</v>
      </c>
      <c r="J4094">
        <v>35.594999999999999</v>
      </c>
      <c r="K4094">
        <v>0.02</v>
      </c>
      <c r="L4094">
        <v>0.36</v>
      </c>
      <c r="M4094">
        <v>7.14</v>
      </c>
      <c r="N4094">
        <v>-14.315</v>
      </c>
      <c r="O4094" s="1" t="s">
        <v>53</v>
      </c>
      <c r="P4094" s="1" t="s">
        <v>6121</v>
      </c>
      <c r="Q4094" s="1" t="s">
        <v>6122</v>
      </c>
      <c r="R4094" s="1" t="s">
        <v>56</v>
      </c>
      <c r="S4094" s="1" t="s">
        <v>5336</v>
      </c>
      <c r="T4094" s="1" t="s">
        <v>5337</v>
      </c>
      <c r="U4094" s="2" t="s">
        <v>204</v>
      </c>
      <c r="V4094" s="2" t="s">
        <v>47</v>
      </c>
      <c r="W4094" s="2" t="s">
        <v>74</v>
      </c>
      <c r="X4094" s="2">
        <v>18.13</v>
      </c>
    </row>
    <row r="4095" spans="1:24" x14ac:dyDescent="0.3">
      <c r="A4095">
        <v>21942</v>
      </c>
      <c r="B4095" t="s">
        <v>9553</v>
      </c>
      <c r="C4095" s="3">
        <v>40684</v>
      </c>
      <c r="D4095" t="s">
        <v>25</v>
      </c>
      <c r="E4095">
        <v>1</v>
      </c>
      <c r="F4095" s="3">
        <f ca="1">40688+(RANDBETWEEN(1,10))</f>
        <v>40698</v>
      </c>
      <c r="G4095" t="s">
        <v>26</v>
      </c>
      <c r="H4095" t="s">
        <v>96</v>
      </c>
      <c r="I4095" t="s">
        <v>86</v>
      </c>
      <c r="J4095">
        <v>20.65</v>
      </c>
      <c r="K4095">
        <v>0.09</v>
      </c>
      <c r="L4095">
        <v>0.49</v>
      </c>
      <c r="M4095">
        <v>2.9049999999999998</v>
      </c>
      <c r="N4095">
        <v>-10.045</v>
      </c>
      <c r="O4095" s="1" t="s">
        <v>53</v>
      </c>
      <c r="P4095" s="1" t="s">
        <v>6121</v>
      </c>
      <c r="Q4095" s="1" t="s">
        <v>6122</v>
      </c>
      <c r="R4095" s="1" t="s">
        <v>56</v>
      </c>
      <c r="S4095" s="1" t="s">
        <v>5336</v>
      </c>
      <c r="T4095" s="1" t="s">
        <v>5337</v>
      </c>
      <c r="U4095" s="2" t="s">
        <v>982</v>
      </c>
      <c r="V4095" s="2" t="s">
        <v>47</v>
      </c>
      <c r="W4095" s="2" t="s">
        <v>104</v>
      </c>
      <c r="X4095" s="2">
        <v>20.440000000000001</v>
      </c>
    </row>
    <row r="4096" spans="1:24" x14ac:dyDescent="0.3">
      <c r="A4096">
        <v>21943</v>
      </c>
      <c r="B4096" t="s">
        <v>9554</v>
      </c>
      <c r="C4096" s="3">
        <v>41772</v>
      </c>
      <c r="D4096" t="s">
        <v>148</v>
      </c>
      <c r="E4096">
        <v>14</v>
      </c>
      <c r="F4096" s="3">
        <f ca="1">41775+(RANDBETWEEN(1,10))</f>
        <v>41785</v>
      </c>
      <c r="G4096" t="s">
        <v>26</v>
      </c>
      <c r="H4096" t="s">
        <v>281</v>
      </c>
      <c r="I4096" t="s">
        <v>97</v>
      </c>
      <c r="J4096">
        <v>2779</v>
      </c>
      <c r="K4096">
        <v>0</v>
      </c>
      <c r="L4096">
        <v>0.72</v>
      </c>
      <c r="M4096">
        <v>182.7</v>
      </c>
      <c r="N4096">
        <v>-4946.13</v>
      </c>
      <c r="O4096" s="1" t="s">
        <v>53</v>
      </c>
      <c r="P4096" s="1" t="s">
        <v>5116</v>
      </c>
      <c r="Q4096" s="1" t="s">
        <v>5117</v>
      </c>
      <c r="R4096" s="1" t="s">
        <v>56</v>
      </c>
      <c r="S4096" s="1" t="s">
        <v>5118</v>
      </c>
      <c r="T4096" s="1" t="s">
        <v>5119</v>
      </c>
      <c r="U4096" s="2" t="s">
        <v>7095</v>
      </c>
      <c r="V4096" s="2" t="s">
        <v>83</v>
      </c>
      <c r="W4096" s="2" t="s">
        <v>178</v>
      </c>
      <c r="X4096" s="2">
        <v>194.25</v>
      </c>
    </row>
    <row r="4097" spans="1:24" x14ac:dyDescent="0.3">
      <c r="A4097">
        <v>21944</v>
      </c>
      <c r="B4097" t="s">
        <v>9555</v>
      </c>
      <c r="C4097" s="3">
        <v>41665</v>
      </c>
      <c r="D4097" t="s">
        <v>148</v>
      </c>
      <c r="E4097">
        <v>1</v>
      </c>
      <c r="F4097" s="3">
        <f ca="1">41666+(RANDBETWEEN(1,10))</f>
        <v>41673</v>
      </c>
      <c r="G4097" t="s">
        <v>26</v>
      </c>
      <c r="H4097" t="s">
        <v>27</v>
      </c>
      <c r="I4097" t="s">
        <v>86</v>
      </c>
      <c r="J4097">
        <v>75.180000000000007</v>
      </c>
      <c r="K4097">
        <v>0.05</v>
      </c>
      <c r="L4097">
        <v>0.38</v>
      </c>
      <c r="M4097">
        <v>20.51</v>
      </c>
      <c r="N4097">
        <v>0.50539999999999996</v>
      </c>
      <c r="O4097" s="1" t="s">
        <v>225</v>
      </c>
      <c r="P4097" s="1" t="s">
        <v>9556</v>
      </c>
      <c r="Q4097" s="1" t="s">
        <v>9557</v>
      </c>
      <c r="R4097" s="1" t="s">
        <v>228</v>
      </c>
      <c r="S4097" s="1" t="s">
        <v>6990</v>
      </c>
      <c r="T4097" s="1" t="s">
        <v>6991</v>
      </c>
      <c r="U4097" s="2" t="s">
        <v>5113</v>
      </c>
      <c r="V4097" s="2" t="s">
        <v>47</v>
      </c>
      <c r="W4097" s="2" t="s">
        <v>74</v>
      </c>
      <c r="X4097" s="2">
        <v>69.930000000000007</v>
      </c>
    </row>
    <row r="4098" spans="1:24" x14ac:dyDescent="0.3">
      <c r="A4098">
        <v>21945</v>
      </c>
      <c r="B4098" t="s">
        <v>9558</v>
      </c>
      <c r="C4098" s="3">
        <v>40754</v>
      </c>
      <c r="D4098" t="s">
        <v>25</v>
      </c>
      <c r="E4098">
        <v>7</v>
      </c>
      <c r="F4098" s="3">
        <f ca="1">40758+(RANDBETWEEN(1,10))</f>
        <v>40760</v>
      </c>
      <c r="G4098" t="s">
        <v>156</v>
      </c>
      <c r="H4098" t="s">
        <v>27</v>
      </c>
      <c r="I4098" t="s">
        <v>28</v>
      </c>
      <c r="J4098">
        <v>430.60500000000002</v>
      </c>
      <c r="K4098">
        <v>0.02</v>
      </c>
      <c r="L4098">
        <v>0.37</v>
      </c>
      <c r="M4098">
        <v>46.13</v>
      </c>
      <c r="N4098">
        <v>-269.47375</v>
      </c>
      <c r="O4098" s="1" t="s">
        <v>64</v>
      </c>
      <c r="P4098" s="1" t="s">
        <v>9559</v>
      </c>
      <c r="Q4098" s="1" t="s">
        <v>9560</v>
      </c>
      <c r="R4098" s="1" t="s">
        <v>67</v>
      </c>
      <c r="S4098" s="1" t="s">
        <v>9561</v>
      </c>
      <c r="T4098" s="1" t="s">
        <v>9562</v>
      </c>
      <c r="U4098" s="2" t="s">
        <v>197</v>
      </c>
      <c r="V4098" s="2" t="s">
        <v>47</v>
      </c>
      <c r="W4098" s="2" t="s">
        <v>111</v>
      </c>
      <c r="X4098" s="2">
        <v>55.965000000000003</v>
      </c>
    </row>
    <row r="4099" spans="1:24" x14ac:dyDescent="0.3">
      <c r="A4099">
        <v>21946</v>
      </c>
      <c r="B4099" t="s">
        <v>9558</v>
      </c>
      <c r="C4099" s="3">
        <v>40754</v>
      </c>
      <c r="D4099" t="s">
        <v>25</v>
      </c>
      <c r="E4099">
        <v>10</v>
      </c>
      <c r="F4099" s="3">
        <f ca="1">40754+(RANDBETWEEN(1,10))</f>
        <v>40760</v>
      </c>
      <c r="G4099" t="s">
        <v>156</v>
      </c>
      <c r="H4099" t="s">
        <v>27</v>
      </c>
      <c r="I4099" t="s">
        <v>28</v>
      </c>
      <c r="J4099">
        <v>1511.44</v>
      </c>
      <c r="K4099">
        <v>0.09</v>
      </c>
      <c r="L4099">
        <v>0.44</v>
      </c>
      <c r="M4099">
        <v>23.695</v>
      </c>
      <c r="N4099">
        <v>1042.8936000000001</v>
      </c>
      <c r="O4099" s="1" t="s">
        <v>64</v>
      </c>
      <c r="P4099" s="1" t="s">
        <v>9559</v>
      </c>
      <c r="Q4099" s="1" t="s">
        <v>9560</v>
      </c>
      <c r="R4099" s="1" t="s">
        <v>67</v>
      </c>
      <c r="S4099" s="1" t="s">
        <v>9561</v>
      </c>
      <c r="T4099" s="1" t="s">
        <v>9562</v>
      </c>
      <c r="U4099" s="2" t="s">
        <v>4573</v>
      </c>
      <c r="V4099" s="2" t="s">
        <v>83</v>
      </c>
      <c r="W4099" s="2" t="s">
        <v>178</v>
      </c>
      <c r="X4099" s="2">
        <v>164.29</v>
      </c>
    </row>
    <row r="4100" spans="1:24" x14ac:dyDescent="0.3">
      <c r="A4100">
        <v>21947</v>
      </c>
      <c r="B4100" t="s">
        <v>9563</v>
      </c>
      <c r="C4100" s="3">
        <v>40811</v>
      </c>
      <c r="D4100" t="s">
        <v>62</v>
      </c>
      <c r="E4100">
        <v>17</v>
      </c>
      <c r="F4100" s="3">
        <f ca="1">40813+(RANDBETWEEN(1,10))</f>
        <v>40822</v>
      </c>
      <c r="G4100" t="s">
        <v>26</v>
      </c>
      <c r="H4100" t="s">
        <v>281</v>
      </c>
      <c r="I4100" t="s">
        <v>28</v>
      </c>
      <c r="J4100">
        <v>2574.9499999999998</v>
      </c>
      <c r="K4100">
        <v>0.08</v>
      </c>
      <c r="L4100">
        <v>0.46</v>
      </c>
      <c r="M4100">
        <v>17.850000000000001</v>
      </c>
      <c r="N4100">
        <v>1776.7155</v>
      </c>
      <c r="O4100" s="1" t="s">
        <v>53</v>
      </c>
      <c r="P4100" s="1" t="s">
        <v>9564</v>
      </c>
      <c r="Q4100" s="1" t="s">
        <v>9565</v>
      </c>
      <c r="R4100" s="1" t="s">
        <v>440</v>
      </c>
      <c r="S4100" s="1" t="s">
        <v>9566</v>
      </c>
      <c r="T4100" s="1" t="s">
        <v>1345</v>
      </c>
      <c r="U4100" s="2" t="s">
        <v>4675</v>
      </c>
      <c r="V4100" s="2" t="s">
        <v>47</v>
      </c>
      <c r="W4100" s="2" t="s">
        <v>71</v>
      </c>
      <c r="X4100" s="2">
        <v>164.11500000000001</v>
      </c>
    </row>
    <row r="4101" spans="1:24" x14ac:dyDescent="0.3">
      <c r="A4101">
        <v>21948</v>
      </c>
      <c r="B4101" t="s">
        <v>9563</v>
      </c>
      <c r="C4101" s="3">
        <v>40811</v>
      </c>
      <c r="D4101" t="s">
        <v>62</v>
      </c>
      <c r="E4101">
        <v>18</v>
      </c>
      <c r="F4101" s="3">
        <f ca="1">40811+(RANDBETWEEN(1,10))</f>
        <v>40821</v>
      </c>
      <c r="G4101" t="s">
        <v>26</v>
      </c>
      <c r="H4101" t="s">
        <v>51</v>
      </c>
      <c r="I4101" t="s">
        <v>28</v>
      </c>
      <c r="J4101">
        <v>789.56500000000005</v>
      </c>
      <c r="K4101">
        <v>0.05</v>
      </c>
      <c r="L4101">
        <v>0.6</v>
      </c>
      <c r="M4101">
        <v>10.99</v>
      </c>
      <c r="N4101">
        <v>133.80500000000001</v>
      </c>
      <c r="O4101" s="1" t="s">
        <v>53</v>
      </c>
      <c r="P4101" s="1" t="s">
        <v>9564</v>
      </c>
      <c r="Q4101" s="1" t="s">
        <v>9565</v>
      </c>
      <c r="R4101" s="1" t="s">
        <v>440</v>
      </c>
      <c r="S4101" s="1" t="s">
        <v>9566</v>
      </c>
      <c r="T4101" s="1" t="s">
        <v>1345</v>
      </c>
      <c r="U4101" s="2" t="s">
        <v>536</v>
      </c>
      <c r="V4101" s="2" t="s">
        <v>47</v>
      </c>
      <c r="W4101" s="2" t="s">
        <v>94</v>
      </c>
      <c r="X4101" s="2">
        <v>45.43</v>
      </c>
    </row>
    <row r="4102" spans="1:24" x14ac:dyDescent="0.3">
      <c r="A4102">
        <v>21949</v>
      </c>
      <c r="B4102" t="s">
        <v>9567</v>
      </c>
      <c r="C4102" s="3">
        <v>40709</v>
      </c>
      <c r="D4102" t="s">
        <v>50</v>
      </c>
      <c r="E4102">
        <v>4</v>
      </c>
      <c r="F4102" s="3">
        <f ca="1">40710+(RANDBETWEEN(1,10))</f>
        <v>40712</v>
      </c>
      <c r="G4102" t="s">
        <v>76</v>
      </c>
      <c r="H4102" t="s">
        <v>258</v>
      </c>
      <c r="I4102" t="s">
        <v>52</v>
      </c>
      <c r="J4102">
        <v>1097.7049999999999</v>
      </c>
      <c r="K4102">
        <v>0.02</v>
      </c>
      <c r="L4102">
        <v>0.56000000000000005</v>
      </c>
      <c r="M4102">
        <v>163.59</v>
      </c>
      <c r="N4102">
        <v>-623.75599999999997</v>
      </c>
      <c r="O4102" s="1" t="s">
        <v>87</v>
      </c>
      <c r="P4102" s="1" t="s">
        <v>9568</v>
      </c>
      <c r="Q4102" s="1" t="s">
        <v>9569</v>
      </c>
      <c r="R4102" s="1" t="s">
        <v>646</v>
      </c>
      <c r="S4102" s="1" t="s">
        <v>9570</v>
      </c>
      <c r="T4102" s="1" t="s">
        <v>9571</v>
      </c>
      <c r="U4102" s="2" t="s">
        <v>1107</v>
      </c>
      <c r="V4102" s="2" t="s">
        <v>83</v>
      </c>
      <c r="W4102" s="2" t="s">
        <v>298</v>
      </c>
      <c r="X4102" s="2">
        <v>248.43</v>
      </c>
    </row>
    <row r="4103" spans="1:24" x14ac:dyDescent="0.3">
      <c r="A4103">
        <v>21950</v>
      </c>
      <c r="B4103" t="s">
        <v>9567</v>
      </c>
      <c r="C4103" s="3">
        <v>40709</v>
      </c>
      <c r="D4103" t="s">
        <v>50</v>
      </c>
      <c r="E4103">
        <v>6</v>
      </c>
      <c r="F4103" s="3">
        <f ca="1">40711+(RANDBETWEEN(1,10))</f>
        <v>40712</v>
      </c>
      <c r="G4103" t="s">
        <v>76</v>
      </c>
      <c r="H4103" t="s">
        <v>77</v>
      </c>
      <c r="I4103" t="s">
        <v>52</v>
      </c>
      <c r="J4103">
        <v>7039.62</v>
      </c>
      <c r="K4103">
        <v>0.06</v>
      </c>
      <c r="L4103">
        <v>0.61</v>
      </c>
      <c r="M4103">
        <v>105</v>
      </c>
      <c r="N4103">
        <v>2792.4960000000001</v>
      </c>
      <c r="O4103" s="1" t="s">
        <v>87</v>
      </c>
      <c r="P4103" s="1" t="s">
        <v>9572</v>
      </c>
      <c r="Q4103" s="1" t="s">
        <v>9573</v>
      </c>
      <c r="R4103" s="1" t="s">
        <v>90</v>
      </c>
      <c r="S4103" s="1" t="s">
        <v>5203</v>
      </c>
      <c r="T4103" s="1" t="s">
        <v>5204</v>
      </c>
      <c r="U4103" s="2" t="s">
        <v>8147</v>
      </c>
      <c r="V4103" s="2" t="s">
        <v>83</v>
      </c>
      <c r="W4103" s="2" t="s">
        <v>84</v>
      </c>
      <c r="X4103" s="2">
        <v>1228.43</v>
      </c>
    </row>
    <row r="4104" spans="1:24" x14ac:dyDescent="0.3">
      <c r="A4104">
        <v>21951</v>
      </c>
      <c r="B4104" t="s">
        <v>9567</v>
      </c>
      <c r="C4104" s="3">
        <v>40709</v>
      </c>
      <c r="D4104" t="s">
        <v>50</v>
      </c>
      <c r="E4104">
        <v>15</v>
      </c>
      <c r="F4104" s="3">
        <f ca="1">40711+(RANDBETWEEN(1,10))</f>
        <v>40714</v>
      </c>
      <c r="G4104" t="s">
        <v>26</v>
      </c>
      <c r="H4104" t="s">
        <v>27</v>
      </c>
      <c r="I4104" t="s">
        <v>52</v>
      </c>
      <c r="J4104">
        <v>1390.095</v>
      </c>
      <c r="K4104">
        <v>0.04</v>
      </c>
      <c r="L4104">
        <v>0.75</v>
      </c>
      <c r="M4104">
        <v>14</v>
      </c>
      <c r="N4104">
        <v>-93.296000000000006</v>
      </c>
      <c r="O4104" s="1" t="s">
        <v>29</v>
      </c>
      <c r="P4104" s="1" t="s">
        <v>9574</v>
      </c>
      <c r="Q4104" s="1" t="s">
        <v>9575</v>
      </c>
      <c r="R4104" s="1" t="s">
        <v>460</v>
      </c>
      <c r="S4104" s="1" t="s">
        <v>9576</v>
      </c>
      <c r="T4104" s="1" t="s">
        <v>9577</v>
      </c>
      <c r="U4104" s="2" t="s">
        <v>4155</v>
      </c>
      <c r="V4104" s="2" t="s">
        <v>36</v>
      </c>
      <c r="W4104" s="2" t="s">
        <v>60</v>
      </c>
      <c r="X4104" s="2">
        <v>96.18</v>
      </c>
    </row>
    <row r="4105" spans="1:24" x14ac:dyDescent="0.3">
      <c r="A4105">
        <v>21952</v>
      </c>
      <c r="B4105" t="s">
        <v>9578</v>
      </c>
      <c r="C4105" s="3">
        <v>41829</v>
      </c>
      <c r="D4105" t="s">
        <v>50</v>
      </c>
      <c r="E4105">
        <v>1</v>
      </c>
      <c r="F4105" s="3">
        <f ca="1">41831+(RANDBETWEEN(1,10))</f>
        <v>41840</v>
      </c>
      <c r="G4105" t="s">
        <v>26</v>
      </c>
      <c r="H4105" t="s">
        <v>27</v>
      </c>
      <c r="I4105" t="s">
        <v>28</v>
      </c>
      <c r="J4105">
        <v>43.68</v>
      </c>
      <c r="K4105">
        <v>0.05</v>
      </c>
      <c r="L4105">
        <v>0.38</v>
      </c>
      <c r="M4105">
        <v>10.465</v>
      </c>
      <c r="N4105">
        <v>-40.856003999999999</v>
      </c>
      <c r="O4105" s="1" t="s">
        <v>40</v>
      </c>
      <c r="P4105" s="1" t="s">
        <v>5829</v>
      </c>
      <c r="Q4105" s="1" t="s">
        <v>5830</v>
      </c>
      <c r="R4105" s="1" t="s">
        <v>43</v>
      </c>
      <c r="S4105" s="1" t="s">
        <v>5831</v>
      </c>
      <c r="T4105" s="1" t="s">
        <v>5832</v>
      </c>
      <c r="U4105" s="2" t="s">
        <v>1610</v>
      </c>
      <c r="V4105" s="2" t="s">
        <v>47</v>
      </c>
      <c r="W4105" s="2" t="s">
        <v>111</v>
      </c>
      <c r="X4105" s="2">
        <v>38.185000000000002</v>
      </c>
    </row>
    <row r="4106" spans="1:24" x14ac:dyDescent="0.3">
      <c r="A4106">
        <v>21953</v>
      </c>
      <c r="B4106" t="s">
        <v>9579</v>
      </c>
      <c r="C4106" s="3">
        <v>41678</v>
      </c>
      <c r="D4106" t="s">
        <v>148</v>
      </c>
      <c r="E4106">
        <v>13</v>
      </c>
      <c r="F4106" s="3">
        <f ca="1">41679+(RANDBETWEEN(1,10))</f>
        <v>41688</v>
      </c>
      <c r="G4106" t="s">
        <v>26</v>
      </c>
      <c r="H4106" t="s">
        <v>27</v>
      </c>
      <c r="I4106" t="s">
        <v>52</v>
      </c>
      <c r="J4106">
        <v>7010.6049999999996</v>
      </c>
      <c r="K4106">
        <v>0</v>
      </c>
      <c r="L4106">
        <v>0.56999999999999995</v>
      </c>
      <c r="M4106">
        <v>31.465</v>
      </c>
      <c r="N4106">
        <v>-18.62</v>
      </c>
      <c r="O4106" s="1" t="s">
        <v>225</v>
      </c>
      <c r="P4106" s="1" t="s">
        <v>5757</v>
      </c>
      <c r="Q4106" s="1" t="s">
        <v>5758</v>
      </c>
      <c r="R4106" s="1" t="s">
        <v>228</v>
      </c>
      <c r="S4106" s="1" t="s">
        <v>1658</v>
      </c>
      <c r="T4106" s="1" t="s">
        <v>1659</v>
      </c>
      <c r="U4106" s="2">
        <v>2180</v>
      </c>
      <c r="V4106" s="2" t="s">
        <v>36</v>
      </c>
      <c r="W4106" s="2" t="s">
        <v>37</v>
      </c>
      <c r="X4106" s="2">
        <v>615.96500000000003</v>
      </c>
    </row>
    <row r="4107" spans="1:24" x14ac:dyDescent="0.3">
      <c r="A4107">
        <v>21954</v>
      </c>
      <c r="B4107" t="s">
        <v>9580</v>
      </c>
      <c r="C4107" s="3">
        <v>41992</v>
      </c>
      <c r="D4107" t="s">
        <v>62</v>
      </c>
      <c r="E4107">
        <v>13</v>
      </c>
      <c r="F4107" s="3">
        <f ca="1">41993+(RANDBETWEEN(1,10))</f>
        <v>41996</v>
      </c>
      <c r="G4107" t="s">
        <v>26</v>
      </c>
      <c r="H4107" t="s">
        <v>27</v>
      </c>
      <c r="I4107" t="s">
        <v>28</v>
      </c>
      <c r="J4107">
        <v>297.39499999999998</v>
      </c>
      <c r="K4107">
        <v>7.0000000000000007E-2</v>
      </c>
      <c r="L4107">
        <v>0.36</v>
      </c>
      <c r="M4107">
        <v>24.395</v>
      </c>
      <c r="N4107">
        <v>-107.33998800000001</v>
      </c>
      <c r="O4107" s="1" t="s">
        <v>87</v>
      </c>
      <c r="P4107" s="1" t="s">
        <v>1567</v>
      </c>
      <c r="Q4107" s="1" t="s">
        <v>1568</v>
      </c>
      <c r="R4107" s="1" t="s">
        <v>646</v>
      </c>
      <c r="S4107" s="1" t="s">
        <v>1569</v>
      </c>
      <c r="T4107" s="1" t="s">
        <v>1570</v>
      </c>
      <c r="U4107" s="2" t="s">
        <v>9581</v>
      </c>
      <c r="V4107" s="2" t="s">
        <v>47</v>
      </c>
      <c r="W4107" s="2" t="s">
        <v>111</v>
      </c>
      <c r="X4107" s="2">
        <v>21.805</v>
      </c>
    </row>
    <row r="4108" spans="1:24" x14ac:dyDescent="0.3">
      <c r="A4108">
        <v>21955</v>
      </c>
      <c r="B4108" t="s">
        <v>9582</v>
      </c>
      <c r="C4108" s="3">
        <v>40565</v>
      </c>
      <c r="D4108" t="s">
        <v>62</v>
      </c>
      <c r="E4108">
        <v>3</v>
      </c>
      <c r="F4108" s="3">
        <f ca="1">40567+(RANDBETWEEN(1,10))</f>
        <v>40576</v>
      </c>
      <c r="G4108" t="s">
        <v>26</v>
      </c>
      <c r="H4108" t="s">
        <v>63</v>
      </c>
      <c r="I4108" t="s">
        <v>28</v>
      </c>
      <c r="J4108">
        <v>937.40499999999997</v>
      </c>
      <c r="K4108">
        <v>0.01</v>
      </c>
      <c r="L4108">
        <v>0.83</v>
      </c>
      <c r="M4108">
        <v>122.5</v>
      </c>
      <c r="N4108">
        <v>-1432.8076000000001</v>
      </c>
      <c r="O4108" s="1" t="s">
        <v>87</v>
      </c>
      <c r="P4108" s="1" t="s">
        <v>5169</v>
      </c>
      <c r="Q4108" s="1" t="s">
        <v>5170</v>
      </c>
      <c r="R4108" s="1" t="s">
        <v>398</v>
      </c>
      <c r="S4108" s="1" t="s">
        <v>5171</v>
      </c>
      <c r="T4108" s="1" t="s">
        <v>5172</v>
      </c>
      <c r="U4108" s="2" t="s">
        <v>6492</v>
      </c>
      <c r="V4108" s="2" t="s">
        <v>47</v>
      </c>
      <c r="W4108" s="2" t="s">
        <v>119</v>
      </c>
      <c r="X4108" s="2">
        <v>283.43</v>
      </c>
    </row>
    <row r="4109" spans="1:24" x14ac:dyDescent="0.3">
      <c r="A4109">
        <v>21956</v>
      </c>
      <c r="B4109" t="s">
        <v>9583</v>
      </c>
      <c r="C4109" s="3">
        <v>41661</v>
      </c>
      <c r="D4109" t="s">
        <v>62</v>
      </c>
      <c r="E4109">
        <v>2</v>
      </c>
      <c r="F4109" s="3">
        <f ca="1">41661+(RANDBETWEEN(1,10))</f>
        <v>41662</v>
      </c>
      <c r="G4109" t="s">
        <v>26</v>
      </c>
      <c r="H4109" t="s">
        <v>27</v>
      </c>
      <c r="I4109" t="s">
        <v>28</v>
      </c>
      <c r="J4109">
        <v>160.26499999999999</v>
      </c>
      <c r="K4109">
        <v>0</v>
      </c>
      <c r="L4109">
        <v>0.47</v>
      </c>
      <c r="M4109">
        <v>50.365000000000002</v>
      </c>
      <c r="N4109">
        <v>-216.1754</v>
      </c>
      <c r="O4109" s="1" t="s">
        <v>87</v>
      </c>
      <c r="P4109" s="1" t="s">
        <v>9159</v>
      </c>
      <c r="Q4109" s="1" t="s">
        <v>9160</v>
      </c>
      <c r="R4109" s="1" t="s">
        <v>398</v>
      </c>
      <c r="S4109" s="1" t="s">
        <v>9161</v>
      </c>
      <c r="T4109" s="1" t="s">
        <v>9162</v>
      </c>
      <c r="U4109" s="2" t="s">
        <v>3841</v>
      </c>
      <c r="V4109" s="2" t="s">
        <v>83</v>
      </c>
      <c r="W4109" s="2" t="s">
        <v>178</v>
      </c>
      <c r="X4109" s="2">
        <v>70.98</v>
      </c>
    </row>
    <row r="4110" spans="1:24" x14ac:dyDescent="0.3">
      <c r="A4110">
        <v>21957</v>
      </c>
      <c r="B4110" t="s">
        <v>9584</v>
      </c>
      <c r="C4110" s="3">
        <v>41831</v>
      </c>
      <c r="D4110" t="s">
        <v>50</v>
      </c>
      <c r="E4110">
        <v>2</v>
      </c>
      <c r="F4110" s="3">
        <f ca="1">41832+(RANDBETWEEN(1,10))</f>
        <v>41834</v>
      </c>
      <c r="G4110" t="s">
        <v>26</v>
      </c>
      <c r="H4110" t="s">
        <v>27</v>
      </c>
      <c r="I4110" t="s">
        <v>86</v>
      </c>
      <c r="J4110">
        <v>484.71499999999997</v>
      </c>
      <c r="K4110">
        <v>0</v>
      </c>
      <c r="L4110">
        <v>0.38</v>
      </c>
      <c r="M4110">
        <v>69.965000000000003</v>
      </c>
      <c r="N4110">
        <v>498.69540000000001</v>
      </c>
      <c r="O4110" s="1" t="s">
        <v>87</v>
      </c>
      <c r="P4110" s="1" t="s">
        <v>4027</v>
      </c>
      <c r="Q4110" s="1" t="s">
        <v>4028</v>
      </c>
      <c r="R4110" s="1" t="s">
        <v>90</v>
      </c>
      <c r="S4110" s="1" t="s">
        <v>4029</v>
      </c>
      <c r="T4110" s="1" t="s">
        <v>4030</v>
      </c>
      <c r="U4110" s="2" t="s">
        <v>3909</v>
      </c>
      <c r="V4110" s="2" t="s">
        <v>47</v>
      </c>
      <c r="W4110" s="2" t="s">
        <v>48</v>
      </c>
      <c r="X4110" s="2">
        <v>213.43</v>
      </c>
    </row>
    <row r="4111" spans="1:24" x14ac:dyDescent="0.3">
      <c r="A4111">
        <v>21958</v>
      </c>
      <c r="B4111" t="s">
        <v>9585</v>
      </c>
      <c r="C4111" s="3">
        <v>40597</v>
      </c>
      <c r="D4111" t="s">
        <v>39</v>
      </c>
      <c r="E4111">
        <v>5</v>
      </c>
      <c r="F4111" s="3">
        <f ca="1">40597+(RANDBETWEEN(1,10))</f>
        <v>40601</v>
      </c>
      <c r="G4111" t="s">
        <v>76</v>
      </c>
      <c r="H4111" t="s">
        <v>77</v>
      </c>
      <c r="I4111" t="s">
        <v>28</v>
      </c>
      <c r="J4111">
        <v>430.5</v>
      </c>
      <c r="K4111">
        <v>0.01</v>
      </c>
      <c r="L4111">
        <v>0.78</v>
      </c>
      <c r="M4111">
        <v>185.60499999999999</v>
      </c>
      <c r="N4111">
        <v>-987.28629999999998</v>
      </c>
      <c r="O4111" s="1" t="s">
        <v>53</v>
      </c>
      <c r="P4111" s="1" t="s">
        <v>1691</v>
      </c>
      <c r="Q4111" s="1" t="s">
        <v>1692</v>
      </c>
      <c r="R4111" s="1" t="s">
        <v>440</v>
      </c>
      <c r="S4111" s="1" t="s">
        <v>1693</v>
      </c>
      <c r="T4111" s="1" t="s">
        <v>1694</v>
      </c>
      <c r="U4111" s="2" t="s">
        <v>583</v>
      </c>
      <c r="V4111" s="2" t="s">
        <v>47</v>
      </c>
      <c r="W4111" s="2" t="s">
        <v>119</v>
      </c>
      <c r="X4111" s="2">
        <v>73.430000000000007</v>
      </c>
    </row>
    <row r="4112" spans="1:24" x14ac:dyDescent="0.3">
      <c r="A4112">
        <v>21959</v>
      </c>
      <c r="B4112" t="s">
        <v>9586</v>
      </c>
      <c r="C4112" s="3">
        <v>40615</v>
      </c>
      <c r="D4112" t="s">
        <v>62</v>
      </c>
      <c r="E4112">
        <v>1</v>
      </c>
      <c r="F4112" s="3">
        <f ca="1">40615+(RANDBETWEEN(1,10))</f>
        <v>40617</v>
      </c>
      <c r="G4112" t="s">
        <v>26</v>
      </c>
      <c r="H4112" t="s">
        <v>27</v>
      </c>
      <c r="I4112" t="s">
        <v>97</v>
      </c>
      <c r="J4112">
        <v>352.065</v>
      </c>
      <c r="K4112">
        <v>7.0000000000000007E-2</v>
      </c>
      <c r="L4112">
        <v>0.6</v>
      </c>
      <c r="M4112">
        <v>8.75</v>
      </c>
      <c r="N4112">
        <v>-2115.4209999999998</v>
      </c>
      <c r="O4112" s="1" t="s">
        <v>53</v>
      </c>
      <c r="P4112" s="1" t="s">
        <v>6140</v>
      </c>
      <c r="Q4112" s="1" t="s">
        <v>6141</v>
      </c>
      <c r="R4112" s="1" t="s">
        <v>100</v>
      </c>
      <c r="S4112" s="1" t="s">
        <v>6142</v>
      </c>
      <c r="T4112" s="1" t="s">
        <v>6143</v>
      </c>
      <c r="U4112" s="2" t="s">
        <v>4222</v>
      </c>
      <c r="V4112" s="2" t="s">
        <v>36</v>
      </c>
      <c r="W4112" s="2" t="s">
        <v>37</v>
      </c>
      <c r="X4112" s="2">
        <v>440.96499999999997</v>
      </c>
    </row>
    <row r="4113" spans="1:24" x14ac:dyDescent="0.3">
      <c r="A4113">
        <v>21960</v>
      </c>
      <c r="B4113" t="s">
        <v>9586</v>
      </c>
      <c r="C4113" s="3">
        <v>40615</v>
      </c>
      <c r="D4113" t="s">
        <v>62</v>
      </c>
      <c r="E4113">
        <v>6</v>
      </c>
      <c r="F4113" s="3">
        <f ca="1">40616+(RANDBETWEEN(1,10))</f>
        <v>40619</v>
      </c>
      <c r="G4113" t="s">
        <v>26</v>
      </c>
      <c r="H4113" t="s">
        <v>27</v>
      </c>
      <c r="I4113" t="s">
        <v>97</v>
      </c>
      <c r="J4113">
        <v>2094.33</v>
      </c>
      <c r="K4113">
        <v>0.03</v>
      </c>
      <c r="L4113">
        <v>0.52</v>
      </c>
      <c r="M4113">
        <v>69.965000000000003</v>
      </c>
      <c r="N4113">
        <v>1027.81</v>
      </c>
      <c r="O4113" s="1" t="s">
        <v>40</v>
      </c>
      <c r="P4113" s="1" t="s">
        <v>9587</v>
      </c>
      <c r="Q4113" s="1" t="s">
        <v>9588</v>
      </c>
      <c r="R4113" s="1" t="s">
        <v>220</v>
      </c>
      <c r="S4113" s="1" t="s">
        <v>4945</v>
      </c>
      <c r="T4113" s="1" t="s">
        <v>4946</v>
      </c>
      <c r="U4113" s="2" t="s">
        <v>1438</v>
      </c>
      <c r="V4113" s="2" t="s">
        <v>36</v>
      </c>
      <c r="W4113" s="2" t="s">
        <v>60</v>
      </c>
      <c r="X4113" s="2">
        <v>349.96499999999997</v>
      </c>
    </row>
    <row r="4114" spans="1:24" x14ac:dyDescent="0.3">
      <c r="A4114">
        <v>21961</v>
      </c>
      <c r="B4114" t="s">
        <v>9589</v>
      </c>
      <c r="C4114" s="3">
        <v>40851</v>
      </c>
      <c r="D4114" t="s">
        <v>39</v>
      </c>
      <c r="E4114">
        <v>19</v>
      </c>
      <c r="F4114" s="3">
        <f ca="1">40853+(RANDBETWEEN(1,10))</f>
        <v>40857</v>
      </c>
      <c r="G4114" t="s">
        <v>26</v>
      </c>
      <c r="H4114" t="s">
        <v>27</v>
      </c>
      <c r="I4114" t="s">
        <v>52</v>
      </c>
      <c r="J4114">
        <v>753.375</v>
      </c>
      <c r="K4114">
        <v>0.06</v>
      </c>
      <c r="L4114">
        <v>0.64</v>
      </c>
      <c r="M4114">
        <v>22.75</v>
      </c>
      <c r="N4114">
        <v>229.59299999999999</v>
      </c>
      <c r="O4114" s="1" t="s">
        <v>64</v>
      </c>
      <c r="P4114" s="1" t="s">
        <v>6438</v>
      </c>
      <c r="Q4114" s="1" t="s">
        <v>6439</v>
      </c>
      <c r="R4114" s="1" t="s">
        <v>67</v>
      </c>
      <c r="S4114" s="1" t="s">
        <v>6440</v>
      </c>
      <c r="T4114" s="1" t="s">
        <v>6441</v>
      </c>
      <c r="U4114" s="2" t="s">
        <v>337</v>
      </c>
      <c r="V4114" s="2" t="s">
        <v>36</v>
      </c>
      <c r="W4114" s="2" t="s">
        <v>60</v>
      </c>
      <c r="X4114" s="2">
        <v>38.395000000000003</v>
      </c>
    </row>
    <row r="4115" spans="1:24" x14ac:dyDescent="0.3">
      <c r="A4115">
        <v>21962</v>
      </c>
      <c r="B4115" t="s">
        <v>9590</v>
      </c>
      <c r="C4115" s="3">
        <v>41274</v>
      </c>
      <c r="D4115" t="s">
        <v>148</v>
      </c>
      <c r="E4115">
        <v>12</v>
      </c>
      <c r="F4115" s="3">
        <f ca="1">41275+(RANDBETWEEN(1,10))</f>
        <v>41278</v>
      </c>
      <c r="G4115" t="s">
        <v>26</v>
      </c>
      <c r="H4115" t="s">
        <v>27</v>
      </c>
      <c r="I4115" t="s">
        <v>86</v>
      </c>
      <c r="J4115">
        <v>483.17500000000001</v>
      </c>
      <c r="K4115">
        <v>0.05</v>
      </c>
      <c r="L4115">
        <v>0.36</v>
      </c>
      <c r="M4115">
        <v>17.535</v>
      </c>
      <c r="N4115">
        <v>210.1575</v>
      </c>
      <c r="O4115" s="1" t="s">
        <v>29</v>
      </c>
      <c r="P4115" s="1" t="s">
        <v>3679</v>
      </c>
      <c r="Q4115" s="1" t="s">
        <v>3680</v>
      </c>
      <c r="R4115" s="1" t="s">
        <v>675</v>
      </c>
      <c r="S4115" s="1" t="s">
        <v>3681</v>
      </c>
      <c r="T4115" s="1" t="s">
        <v>3682</v>
      </c>
      <c r="U4115" s="2" t="s">
        <v>4556</v>
      </c>
      <c r="V4115" s="2" t="s">
        <v>47</v>
      </c>
      <c r="W4115" s="2" t="s">
        <v>74</v>
      </c>
      <c r="X4115" s="2">
        <v>39.69</v>
      </c>
    </row>
    <row r="4116" spans="1:24" x14ac:dyDescent="0.3">
      <c r="A4116">
        <v>21963</v>
      </c>
      <c r="B4116" t="s">
        <v>9591</v>
      </c>
      <c r="C4116" s="3">
        <v>40922</v>
      </c>
      <c r="D4116" t="s">
        <v>39</v>
      </c>
      <c r="E4116">
        <v>8</v>
      </c>
      <c r="F4116" s="3">
        <f ca="1">40923+(RANDBETWEEN(1,10))</f>
        <v>40932</v>
      </c>
      <c r="G4116" t="s">
        <v>26</v>
      </c>
      <c r="H4116" t="s">
        <v>27</v>
      </c>
      <c r="I4116" t="s">
        <v>28</v>
      </c>
      <c r="J4116">
        <v>150.60499999999999</v>
      </c>
      <c r="K4116">
        <v>0.01</v>
      </c>
      <c r="L4116">
        <v>0.36</v>
      </c>
      <c r="M4116">
        <v>16.625</v>
      </c>
      <c r="N4116">
        <v>-199.77019999999999</v>
      </c>
      <c r="O4116" s="1" t="s">
        <v>40</v>
      </c>
      <c r="P4116" s="1" t="s">
        <v>1478</v>
      </c>
      <c r="Q4116" s="1" t="s">
        <v>1479</v>
      </c>
      <c r="R4116" s="1" t="s">
        <v>43</v>
      </c>
      <c r="S4116" s="1" t="s">
        <v>783</v>
      </c>
      <c r="T4116" s="1" t="s">
        <v>784</v>
      </c>
      <c r="U4116" s="2" t="s">
        <v>1528</v>
      </c>
      <c r="V4116" s="2" t="s">
        <v>47</v>
      </c>
      <c r="W4116" s="2" t="s">
        <v>74</v>
      </c>
      <c r="X4116" s="2">
        <v>17.43</v>
      </c>
    </row>
    <row r="4117" spans="1:24" x14ac:dyDescent="0.3">
      <c r="A4117">
        <v>21964</v>
      </c>
      <c r="B4117" t="s">
        <v>9592</v>
      </c>
      <c r="C4117" s="3">
        <v>40553</v>
      </c>
      <c r="D4117" t="s">
        <v>25</v>
      </c>
      <c r="E4117">
        <v>11</v>
      </c>
      <c r="F4117" s="3">
        <f ca="1">40557+(RANDBETWEEN(1,10))</f>
        <v>40561</v>
      </c>
      <c r="G4117" t="s">
        <v>156</v>
      </c>
      <c r="H4117" t="s">
        <v>27</v>
      </c>
      <c r="I4117" t="s">
        <v>97</v>
      </c>
      <c r="J4117">
        <v>1170.54</v>
      </c>
      <c r="K4117">
        <v>0.05</v>
      </c>
      <c r="L4117">
        <v>0.74</v>
      </c>
      <c r="M4117">
        <v>30.274999999999999</v>
      </c>
      <c r="N4117">
        <v>-669.40160000000003</v>
      </c>
      <c r="O4117" s="1" t="s">
        <v>40</v>
      </c>
      <c r="P4117" s="1" t="s">
        <v>9593</v>
      </c>
      <c r="Q4117" s="1" t="s">
        <v>9594</v>
      </c>
      <c r="R4117" s="1" t="s">
        <v>220</v>
      </c>
      <c r="S4117" s="1" t="s">
        <v>9595</v>
      </c>
      <c r="T4117" s="1" t="s">
        <v>9596</v>
      </c>
      <c r="U4117" s="2" t="s">
        <v>344</v>
      </c>
      <c r="V4117" s="2" t="s">
        <v>36</v>
      </c>
      <c r="W4117" s="2" t="s">
        <v>60</v>
      </c>
      <c r="X4117" s="2">
        <v>106.47</v>
      </c>
    </row>
    <row r="4118" spans="1:24" x14ac:dyDescent="0.3">
      <c r="A4118">
        <v>21965</v>
      </c>
      <c r="B4118" t="s">
        <v>9597</v>
      </c>
      <c r="C4118" s="3">
        <v>41649</v>
      </c>
      <c r="D4118" t="s">
        <v>25</v>
      </c>
      <c r="E4118">
        <v>1</v>
      </c>
      <c r="F4118" s="3">
        <f ca="1">41651+(RANDBETWEEN(1,10))</f>
        <v>41654</v>
      </c>
      <c r="G4118" t="s">
        <v>156</v>
      </c>
      <c r="H4118" t="s">
        <v>27</v>
      </c>
      <c r="I4118" t="s">
        <v>97</v>
      </c>
      <c r="J4118">
        <v>610.85500000000002</v>
      </c>
      <c r="K4118">
        <v>0.01</v>
      </c>
      <c r="L4118">
        <v>0.66</v>
      </c>
      <c r="M4118">
        <v>69.965000000000003</v>
      </c>
      <c r="N4118">
        <v>-778.42240000000004</v>
      </c>
      <c r="O4118" s="1" t="s">
        <v>40</v>
      </c>
      <c r="P4118" s="1" t="s">
        <v>9593</v>
      </c>
      <c r="Q4118" s="1" t="s">
        <v>9594</v>
      </c>
      <c r="R4118" s="1" t="s">
        <v>220</v>
      </c>
      <c r="S4118" s="1" t="s">
        <v>9595</v>
      </c>
      <c r="T4118" s="1" t="s">
        <v>9596</v>
      </c>
      <c r="U4118" s="2" t="s">
        <v>6421</v>
      </c>
      <c r="V4118" s="2" t="s">
        <v>47</v>
      </c>
      <c r="W4118" s="2" t="s">
        <v>119</v>
      </c>
      <c r="X4118" s="2">
        <v>565.42499999999995</v>
      </c>
    </row>
    <row r="4119" spans="1:24" x14ac:dyDescent="0.3">
      <c r="A4119">
        <v>21966</v>
      </c>
      <c r="B4119" t="s">
        <v>9598</v>
      </c>
      <c r="C4119" s="3">
        <v>40606</v>
      </c>
      <c r="D4119" t="s">
        <v>62</v>
      </c>
      <c r="E4119">
        <v>4</v>
      </c>
      <c r="F4119" s="3">
        <f ca="1">40607+(RANDBETWEEN(1,10))</f>
        <v>40611</v>
      </c>
      <c r="G4119" t="s">
        <v>76</v>
      </c>
      <c r="H4119" t="s">
        <v>77</v>
      </c>
      <c r="I4119" t="s">
        <v>52</v>
      </c>
      <c r="J4119">
        <v>3950.59</v>
      </c>
      <c r="K4119">
        <v>0.02</v>
      </c>
      <c r="L4119">
        <v>0.78</v>
      </c>
      <c r="M4119">
        <v>199.5</v>
      </c>
      <c r="N4119">
        <v>3996.279</v>
      </c>
      <c r="O4119" s="1" t="s">
        <v>87</v>
      </c>
      <c r="P4119" s="1" t="s">
        <v>3148</v>
      </c>
      <c r="Q4119" s="1" t="s">
        <v>3149</v>
      </c>
      <c r="R4119" s="1" t="s">
        <v>646</v>
      </c>
      <c r="S4119" s="1" t="s">
        <v>3150</v>
      </c>
      <c r="T4119" s="1" t="s">
        <v>3151</v>
      </c>
      <c r="U4119" s="2" t="s">
        <v>3811</v>
      </c>
      <c r="V4119" s="2" t="s">
        <v>83</v>
      </c>
      <c r="W4119" s="2" t="s">
        <v>84</v>
      </c>
      <c r="X4119" s="2">
        <v>983.43</v>
      </c>
    </row>
    <row r="4120" spans="1:24" x14ac:dyDescent="0.3">
      <c r="A4120">
        <v>21967</v>
      </c>
      <c r="B4120" t="s">
        <v>9599</v>
      </c>
      <c r="C4120" s="3">
        <v>41781</v>
      </c>
      <c r="D4120" t="s">
        <v>39</v>
      </c>
      <c r="E4120">
        <v>15</v>
      </c>
      <c r="F4120" s="3">
        <f ca="1">41782+(RANDBETWEEN(1,10))</f>
        <v>41787</v>
      </c>
      <c r="G4120" t="s">
        <v>26</v>
      </c>
      <c r="H4120" t="s">
        <v>96</v>
      </c>
      <c r="I4120" t="s">
        <v>28</v>
      </c>
      <c r="J4120">
        <v>70.91</v>
      </c>
      <c r="K4120">
        <v>0</v>
      </c>
      <c r="L4120">
        <v>0.81</v>
      </c>
      <c r="M4120">
        <v>2.4500000000000002</v>
      </c>
      <c r="N4120">
        <v>-344.51900000000001</v>
      </c>
      <c r="O4120" s="1" t="s">
        <v>40</v>
      </c>
      <c r="P4120" s="1" t="s">
        <v>9108</v>
      </c>
      <c r="Q4120" s="1" t="s">
        <v>9109</v>
      </c>
      <c r="R4120" s="1" t="s">
        <v>43</v>
      </c>
      <c r="S4120" s="1" t="s">
        <v>9110</v>
      </c>
      <c r="T4120" s="1" t="s">
        <v>9111</v>
      </c>
      <c r="U4120" s="2" t="s">
        <v>925</v>
      </c>
      <c r="V4120" s="2" t="s">
        <v>47</v>
      </c>
      <c r="W4120" s="2" t="s">
        <v>176</v>
      </c>
      <c r="X4120" s="2">
        <v>4.41</v>
      </c>
    </row>
    <row r="4121" spans="1:24" x14ac:dyDescent="0.3">
      <c r="A4121">
        <v>21968</v>
      </c>
      <c r="B4121" t="s">
        <v>9600</v>
      </c>
      <c r="C4121" s="3">
        <v>41122</v>
      </c>
      <c r="D4121" t="s">
        <v>148</v>
      </c>
      <c r="E4121">
        <v>13</v>
      </c>
      <c r="F4121" s="3">
        <f ca="1">41122+(RANDBETWEEN(1,10))</f>
        <v>41127</v>
      </c>
      <c r="G4121" t="s">
        <v>26</v>
      </c>
      <c r="H4121" t="s">
        <v>27</v>
      </c>
      <c r="I4121" t="s">
        <v>52</v>
      </c>
      <c r="J4121">
        <v>147.07</v>
      </c>
      <c r="K4121">
        <v>0.03</v>
      </c>
      <c r="L4121">
        <v>0.37</v>
      </c>
      <c r="M4121">
        <v>3.4649999999999999</v>
      </c>
      <c r="N4121">
        <v>101.4783</v>
      </c>
      <c r="O4121" s="1" t="s">
        <v>87</v>
      </c>
      <c r="P4121" s="1" t="s">
        <v>8263</v>
      </c>
      <c r="Q4121" s="1" t="s">
        <v>8264</v>
      </c>
      <c r="R4121" s="1" t="s">
        <v>646</v>
      </c>
      <c r="S4121" s="1" t="s">
        <v>8265</v>
      </c>
      <c r="T4121" s="1" t="s">
        <v>1527</v>
      </c>
      <c r="U4121" s="2" t="s">
        <v>7368</v>
      </c>
      <c r="V4121" s="2" t="s">
        <v>47</v>
      </c>
      <c r="W4121" s="2" t="s">
        <v>203</v>
      </c>
      <c r="X4121" s="2">
        <v>10.78</v>
      </c>
    </row>
    <row r="4122" spans="1:24" x14ac:dyDescent="0.3">
      <c r="A4122">
        <v>21969</v>
      </c>
      <c r="B4122" t="s">
        <v>9601</v>
      </c>
      <c r="C4122" s="3">
        <v>41493</v>
      </c>
      <c r="D4122" t="s">
        <v>39</v>
      </c>
      <c r="E4122">
        <v>24</v>
      </c>
      <c r="F4122" s="3">
        <f ca="1">41495+(RANDBETWEEN(1,10))</f>
        <v>41500</v>
      </c>
      <c r="G4122" t="s">
        <v>26</v>
      </c>
      <c r="H4122" t="s">
        <v>27</v>
      </c>
      <c r="I4122" t="s">
        <v>86</v>
      </c>
      <c r="J4122">
        <v>675.5</v>
      </c>
      <c r="K4122">
        <v>0.09</v>
      </c>
      <c r="L4122">
        <v>0.57999999999999996</v>
      </c>
      <c r="M4122">
        <v>12.25</v>
      </c>
      <c r="N4122">
        <v>-74.110399999999998</v>
      </c>
      <c r="O4122" s="1" t="s">
        <v>87</v>
      </c>
      <c r="P4122" s="1" t="s">
        <v>9096</v>
      </c>
      <c r="Q4122" s="1" t="s">
        <v>9097</v>
      </c>
      <c r="R4122" s="1" t="s">
        <v>90</v>
      </c>
      <c r="S4122" s="1" t="s">
        <v>9098</v>
      </c>
      <c r="T4122" s="1" t="s">
        <v>9099</v>
      </c>
      <c r="U4122" s="2" t="s">
        <v>2447</v>
      </c>
      <c r="V4122" s="2" t="s">
        <v>47</v>
      </c>
      <c r="W4122" s="2" t="s">
        <v>71</v>
      </c>
      <c r="X4122" s="2">
        <v>30.344999999999999</v>
      </c>
    </row>
    <row r="4123" spans="1:24" x14ac:dyDescent="0.3">
      <c r="A4123">
        <v>21970</v>
      </c>
      <c r="B4123" t="s">
        <v>9602</v>
      </c>
      <c r="C4123" s="3">
        <v>40629</v>
      </c>
      <c r="D4123" t="s">
        <v>25</v>
      </c>
      <c r="E4123">
        <v>9</v>
      </c>
      <c r="F4123" s="3">
        <f ca="1">40634+(RANDBETWEEN(1,10))</f>
        <v>40644</v>
      </c>
      <c r="G4123" t="s">
        <v>26</v>
      </c>
      <c r="H4123" t="s">
        <v>27</v>
      </c>
      <c r="I4123" t="s">
        <v>28</v>
      </c>
      <c r="J4123">
        <v>470.33</v>
      </c>
      <c r="K4123">
        <v>0.1</v>
      </c>
      <c r="L4123">
        <v>0.37</v>
      </c>
      <c r="M4123">
        <v>14</v>
      </c>
      <c r="N4123">
        <v>324.52769999999998</v>
      </c>
      <c r="O4123" s="1" t="s">
        <v>40</v>
      </c>
      <c r="P4123" s="1" t="s">
        <v>9603</v>
      </c>
      <c r="Q4123" s="1" t="s">
        <v>9604</v>
      </c>
      <c r="R4123" s="1" t="s">
        <v>43</v>
      </c>
      <c r="S4123" s="1" t="s">
        <v>5786</v>
      </c>
      <c r="T4123" s="1" t="s">
        <v>5787</v>
      </c>
      <c r="U4123" s="2" t="s">
        <v>1006</v>
      </c>
      <c r="V4123" s="2" t="s">
        <v>36</v>
      </c>
      <c r="W4123" s="2" t="s">
        <v>60</v>
      </c>
      <c r="X4123" s="2">
        <v>55.93</v>
      </c>
    </row>
    <row r="4124" spans="1:24" x14ac:dyDescent="0.3">
      <c r="A4124">
        <v>21971</v>
      </c>
      <c r="B4124" t="s">
        <v>9605</v>
      </c>
      <c r="C4124" s="3">
        <v>41780</v>
      </c>
      <c r="D4124" t="s">
        <v>50</v>
      </c>
      <c r="E4124">
        <v>16</v>
      </c>
      <c r="F4124" s="3">
        <f ca="1">41781+(RANDBETWEEN(1,10))</f>
        <v>41782</v>
      </c>
      <c r="G4124" t="s">
        <v>26</v>
      </c>
      <c r="H4124" t="s">
        <v>27</v>
      </c>
      <c r="I4124" t="s">
        <v>97</v>
      </c>
      <c r="J4124">
        <v>437.32499999999999</v>
      </c>
      <c r="K4124">
        <v>0.02</v>
      </c>
      <c r="L4124">
        <v>0.38</v>
      </c>
      <c r="M4124">
        <v>27.02</v>
      </c>
      <c r="N4124">
        <v>-599.08100000000002</v>
      </c>
      <c r="O4124" s="1" t="s">
        <v>64</v>
      </c>
      <c r="P4124" s="1" t="s">
        <v>5730</v>
      </c>
      <c r="Q4124" s="1" t="s">
        <v>5731</v>
      </c>
      <c r="R4124" s="1" t="s">
        <v>67</v>
      </c>
      <c r="S4124" s="1" t="s">
        <v>5732</v>
      </c>
      <c r="T4124" s="1" t="s">
        <v>5733</v>
      </c>
      <c r="U4124" s="2" t="s">
        <v>823</v>
      </c>
      <c r="V4124" s="2" t="s">
        <v>47</v>
      </c>
      <c r="W4124" s="2" t="s">
        <v>111</v>
      </c>
      <c r="X4124" s="2">
        <v>25.55</v>
      </c>
    </row>
    <row r="4125" spans="1:24" x14ac:dyDescent="0.3">
      <c r="A4125">
        <v>21972</v>
      </c>
      <c r="B4125" t="s">
        <v>9606</v>
      </c>
      <c r="C4125" s="3">
        <v>41050</v>
      </c>
      <c r="D4125" t="s">
        <v>50</v>
      </c>
      <c r="E4125">
        <v>16</v>
      </c>
      <c r="F4125" s="3">
        <f ca="1">41051+(RANDBETWEEN(1,10))</f>
        <v>41060</v>
      </c>
      <c r="G4125" t="s">
        <v>26</v>
      </c>
      <c r="H4125" t="s">
        <v>96</v>
      </c>
      <c r="I4125" t="s">
        <v>97</v>
      </c>
      <c r="J4125">
        <v>147.73500000000001</v>
      </c>
      <c r="K4125">
        <v>0.02</v>
      </c>
      <c r="L4125">
        <v>0.38</v>
      </c>
      <c r="M4125">
        <v>3.57</v>
      </c>
      <c r="N4125">
        <v>84.944999999999993</v>
      </c>
      <c r="O4125" s="1" t="s">
        <v>64</v>
      </c>
      <c r="P4125" s="1" t="s">
        <v>5730</v>
      </c>
      <c r="Q4125" s="1" t="s">
        <v>5731</v>
      </c>
      <c r="R4125" s="1" t="s">
        <v>67</v>
      </c>
      <c r="S4125" s="1" t="s">
        <v>5732</v>
      </c>
      <c r="T4125" s="1" t="s">
        <v>5733</v>
      </c>
      <c r="U4125" s="2" t="s">
        <v>9094</v>
      </c>
      <c r="V4125" s="2" t="s">
        <v>47</v>
      </c>
      <c r="W4125" s="2" t="s">
        <v>176</v>
      </c>
      <c r="X4125" s="2">
        <v>8.6449999999999996</v>
      </c>
    </row>
    <row r="4126" spans="1:24" x14ac:dyDescent="0.3">
      <c r="A4126">
        <v>21973</v>
      </c>
      <c r="B4126" t="s">
        <v>9607</v>
      </c>
      <c r="C4126" s="3">
        <v>41819</v>
      </c>
      <c r="D4126" t="s">
        <v>50</v>
      </c>
      <c r="E4126">
        <v>14</v>
      </c>
      <c r="F4126" s="3">
        <f ca="1">41820+(RANDBETWEEN(1,10))</f>
        <v>41823</v>
      </c>
      <c r="G4126" t="s">
        <v>26</v>
      </c>
      <c r="H4126" t="s">
        <v>27</v>
      </c>
      <c r="I4126" t="s">
        <v>52</v>
      </c>
      <c r="J4126">
        <v>4255.0200000000004</v>
      </c>
      <c r="K4126">
        <v>0.03</v>
      </c>
      <c r="L4126">
        <v>0.38</v>
      </c>
      <c r="M4126">
        <v>69.965000000000003</v>
      </c>
      <c r="N4126">
        <v>2935.9638</v>
      </c>
      <c r="O4126" s="1" t="s">
        <v>40</v>
      </c>
      <c r="P4126" s="1" t="s">
        <v>4125</v>
      </c>
      <c r="Q4126" s="1" t="s">
        <v>4126</v>
      </c>
      <c r="R4126" s="1" t="s">
        <v>220</v>
      </c>
      <c r="S4126" s="1" t="s">
        <v>4127</v>
      </c>
      <c r="T4126" s="1" t="s">
        <v>4128</v>
      </c>
      <c r="U4126" s="2" t="s">
        <v>6175</v>
      </c>
      <c r="V4126" s="2" t="s">
        <v>47</v>
      </c>
      <c r="W4126" s="2" t="s">
        <v>48</v>
      </c>
      <c r="X4126" s="2">
        <v>293.755</v>
      </c>
    </row>
    <row r="4127" spans="1:24" x14ac:dyDescent="0.3">
      <c r="A4127">
        <v>21974</v>
      </c>
      <c r="B4127" t="s">
        <v>9607</v>
      </c>
      <c r="C4127" s="3">
        <v>41819</v>
      </c>
      <c r="D4127" t="s">
        <v>50</v>
      </c>
      <c r="E4127">
        <v>5</v>
      </c>
      <c r="F4127" s="3">
        <f ca="1">41820+(RANDBETWEEN(1,10))</f>
        <v>41822</v>
      </c>
      <c r="G4127" t="s">
        <v>26</v>
      </c>
      <c r="H4127" t="s">
        <v>27</v>
      </c>
      <c r="I4127" t="s">
        <v>52</v>
      </c>
      <c r="J4127">
        <v>394.34500000000003</v>
      </c>
      <c r="K4127">
        <v>0.06</v>
      </c>
      <c r="L4127">
        <v>0.39</v>
      </c>
      <c r="M4127">
        <v>19.145</v>
      </c>
      <c r="N4127">
        <v>253.512</v>
      </c>
      <c r="O4127" s="1" t="s">
        <v>40</v>
      </c>
      <c r="P4127" s="1" t="s">
        <v>4125</v>
      </c>
      <c r="Q4127" s="1" t="s">
        <v>4126</v>
      </c>
      <c r="R4127" s="1" t="s">
        <v>220</v>
      </c>
      <c r="S4127" s="1" t="s">
        <v>4127</v>
      </c>
      <c r="T4127" s="1" t="s">
        <v>4128</v>
      </c>
      <c r="U4127" s="2" t="s">
        <v>1861</v>
      </c>
      <c r="V4127" s="2" t="s">
        <v>47</v>
      </c>
      <c r="W4127" s="2" t="s">
        <v>74</v>
      </c>
      <c r="X4127" s="2">
        <v>79.94</v>
      </c>
    </row>
    <row r="4128" spans="1:24" x14ac:dyDescent="0.3">
      <c r="A4128">
        <v>21975</v>
      </c>
      <c r="B4128" t="s">
        <v>9608</v>
      </c>
      <c r="C4128" s="3">
        <v>40850</v>
      </c>
      <c r="D4128" t="s">
        <v>39</v>
      </c>
      <c r="E4128">
        <v>19</v>
      </c>
      <c r="F4128" s="3">
        <f ca="1">40851+(RANDBETWEEN(1,10))</f>
        <v>40859</v>
      </c>
      <c r="G4128" t="s">
        <v>26</v>
      </c>
      <c r="H4128" t="s">
        <v>51</v>
      </c>
      <c r="I4128" t="s">
        <v>97</v>
      </c>
      <c r="J4128">
        <v>2020.375</v>
      </c>
      <c r="K4128">
        <v>7.0000000000000007E-2</v>
      </c>
      <c r="L4128">
        <v>0.44</v>
      </c>
      <c r="M4128">
        <v>13.72</v>
      </c>
      <c r="N4128">
        <v>1394.0587499999999</v>
      </c>
      <c r="O4128" s="1" t="s">
        <v>64</v>
      </c>
      <c r="P4128" s="1" t="s">
        <v>8746</v>
      </c>
      <c r="Q4128" s="1" t="s">
        <v>8747</v>
      </c>
      <c r="R4128" s="1" t="s">
        <v>67</v>
      </c>
      <c r="S4128" s="1" t="s">
        <v>8748</v>
      </c>
      <c r="T4128" s="1" t="s">
        <v>8749</v>
      </c>
      <c r="U4128" s="2" t="s">
        <v>449</v>
      </c>
      <c r="V4128" s="2" t="s">
        <v>83</v>
      </c>
      <c r="W4128" s="2" t="s">
        <v>178</v>
      </c>
      <c r="X4128" s="2">
        <v>108.255</v>
      </c>
    </row>
    <row r="4129" spans="1:24" x14ac:dyDescent="0.3">
      <c r="A4129">
        <v>21976</v>
      </c>
      <c r="B4129" t="s">
        <v>9608</v>
      </c>
      <c r="C4129" s="3">
        <v>40850</v>
      </c>
      <c r="D4129" t="s">
        <v>39</v>
      </c>
      <c r="E4129">
        <v>14</v>
      </c>
      <c r="F4129" s="3">
        <f ca="1">40851+(RANDBETWEEN(1,10))</f>
        <v>40859</v>
      </c>
      <c r="G4129" t="s">
        <v>76</v>
      </c>
      <c r="H4129" t="s">
        <v>77</v>
      </c>
      <c r="I4129" t="s">
        <v>97</v>
      </c>
      <c r="J4129">
        <v>14263.13</v>
      </c>
      <c r="K4129">
        <v>0.05</v>
      </c>
      <c r="L4129">
        <v>0.6</v>
      </c>
      <c r="M4129">
        <v>63.21</v>
      </c>
      <c r="N4129">
        <v>2484.482</v>
      </c>
      <c r="O4129" s="1" t="s">
        <v>64</v>
      </c>
      <c r="P4129" s="1" t="s">
        <v>8746</v>
      </c>
      <c r="Q4129" s="1" t="s">
        <v>8747</v>
      </c>
      <c r="R4129" s="1" t="s">
        <v>67</v>
      </c>
      <c r="S4129" s="1" t="s">
        <v>8748</v>
      </c>
      <c r="T4129" s="1" t="s">
        <v>8749</v>
      </c>
      <c r="U4129" s="2" t="s">
        <v>7593</v>
      </c>
      <c r="V4129" s="2" t="s">
        <v>36</v>
      </c>
      <c r="W4129" s="2" t="s">
        <v>142</v>
      </c>
      <c r="X4129" s="2">
        <v>1041.18</v>
      </c>
    </row>
    <row r="4130" spans="1:24" x14ac:dyDescent="0.3">
      <c r="A4130">
        <v>21977</v>
      </c>
      <c r="B4130" t="s">
        <v>9608</v>
      </c>
      <c r="C4130" s="3">
        <v>40850</v>
      </c>
      <c r="D4130" t="s">
        <v>39</v>
      </c>
      <c r="E4130">
        <v>6</v>
      </c>
      <c r="F4130" s="3">
        <f ca="1">40852+(RANDBETWEEN(1,10))</f>
        <v>40855</v>
      </c>
      <c r="G4130" t="s">
        <v>76</v>
      </c>
      <c r="H4130" t="s">
        <v>258</v>
      </c>
      <c r="I4130" t="s">
        <v>97</v>
      </c>
      <c r="J4130">
        <v>6293.8050000000003</v>
      </c>
      <c r="K4130">
        <v>7.0000000000000007E-2</v>
      </c>
      <c r="L4130">
        <v>0.76</v>
      </c>
      <c r="M4130">
        <v>189.42</v>
      </c>
      <c r="N4130">
        <v>282.8322</v>
      </c>
      <c r="O4130" s="1" t="s">
        <v>64</v>
      </c>
      <c r="P4130" s="1" t="s">
        <v>8746</v>
      </c>
      <c r="Q4130" s="1" t="s">
        <v>8747</v>
      </c>
      <c r="R4130" s="1" t="s">
        <v>67</v>
      </c>
      <c r="S4130" s="1" t="s">
        <v>8748</v>
      </c>
      <c r="T4130" s="1" t="s">
        <v>8749</v>
      </c>
      <c r="U4130" s="2" t="s">
        <v>1007</v>
      </c>
      <c r="V4130" s="2" t="s">
        <v>83</v>
      </c>
      <c r="W4130" s="2" t="s">
        <v>263</v>
      </c>
      <c r="X4130" s="2">
        <v>1036.6300000000001</v>
      </c>
    </row>
    <row r="4131" spans="1:24" x14ac:dyDescent="0.3">
      <c r="A4131">
        <v>21978</v>
      </c>
      <c r="B4131" t="s">
        <v>9609</v>
      </c>
      <c r="C4131" s="3">
        <v>41677</v>
      </c>
      <c r="D4131" t="s">
        <v>39</v>
      </c>
      <c r="E4131">
        <v>11</v>
      </c>
      <c r="F4131" s="3">
        <f ca="1">41679+(RANDBETWEEN(1,10))</f>
        <v>41684</v>
      </c>
      <c r="G4131" t="s">
        <v>26</v>
      </c>
      <c r="H4131" t="s">
        <v>27</v>
      </c>
      <c r="I4131" t="s">
        <v>86</v>
      </c>
      <c r="J4131">
        <v>708.54</v>
      </c>
      <c r="K4131">
        <v>0.1</v>
      </c>
      <c r="L4131">
        <v>0.53</v>
      </c>
      <c r="M4131">
        <v>23.38</v>
      </c>
      <c r="N4131">
        <v>292.18</v>
      </c>
      <c r="O4131" s="1" t="s">
        <v>87</v>
      </c>
      <c r="P4131" s="1" t="s">
        <v>9610</v>
      </c>
      <c r="Q4131" s="1" t="s">
        <v>9611</v>
      </c>
      <c r="R4131" s="1" t="s">
        <v>90</v>
      </c>
      <c r="S4131" s="1" t="s">
        <v>8471</v>
      </c>
      <c r="T4131" s="1" t="s">
        <v>8472</v>
      </c>
      <c r="U4131" s="2" t="s">
        <v>223</v>
      </c>
      <c r="V4131" s="2" t="s">
        <v>83</v>
      </c>
      <c r="W4131" s="2" t="s">
        <v>178</v>
      </c>
      <c r="X4131" s="2">
        <v>70.98</v>
      </c>
    </row>
    <row r="4132" spans="1:24" x14ac:dyDescent="0.3">
      <c r="A4132">
        <v>21979</v>
      </c>
      <c r="B4132" t="s">
        <v>9612</v>
      </c>
      <c r="C4132" s="3">
        <v>40847</v>
      </c>
      <c r="D4132" t="s">
        <v>25</v>
      </c>
      <c r="E4132">
        <v>4</v>
      </c>
      <c r="F4132" s="3">
        <f ca="1">40851+(RANDBETWEEN(1,10))</f>
        <v>40861</v>
      </c>
      <c r="G4132" t="s">
        <v>156</v>
      </c>
      <c r="H4132" t="s">
        <v>27</v>
      </c>
      <c r="I4132" t="s">
        <v>52</v>
      </c>
      <c r="J4132">
        <v>208.215</v>
      </c>
      <c r="K4132">
        <v>0.03</v>
      </c>
      <c r="L4132">
        <v>0.59</v>
      </c>
      <c r="M4132">
        <v>15.785</v>
      </c>
      <c r="N4132">
        <v>-896.06299999999999</v>
      </c>
      <c r="O4132" s="1" t="s">
        <v>64</v>
      </c>
      <c r="P4132" s="1" t="s">
        <v>9613</v>
      </c>
      <c r="Q4132" s="1" t="s">
        <v>9614</v>
      </c>
      <c r="R4132" s="1" t="s">
        <v>67</v>
      </c>
      <c r="S4132" s="1" t="s">
        <v>9615</v>
      </c>
      <c r="T4132" s="1" t="s">
        <v>9616</v>
      </c>
      <c r="U4132" s="2" t="s">
        <v>1495</v>
      </c>
      <c r="V4132" s="2" t="s">
        <v>47</v>
      </c>
      <c r="W4132" s="2" t="s">
        <v>119</v>
      </c>
      <c r="X4132" s="2">
        <v>47.18</v>
      </c>
    </row>
    <row r="4133" spans="1:24" x14ac:dyDescent="0.3">
      <c r="A4133">
        <v>21980</v>
      </c>
      <c r="B4133" t="s">
        <v>9617</v>
      </c>
      <c r="C4133" s="3">
        <v>41906</v>
      </c>
      <c r="D4133" t="s">
        <v>25</v>
      </c>
      <c r="E4133">
        <v>1</v>
      </c>
      <c r="F4133" s="3">
        <f ca="1">41906+(RANDBETWEEN(1,10))</f>
        <v>41913</v>
      </c>
      <c r="G4133" t="s">
        <v>156</v>
      </c>
      <c r="H4133" t="s">
        <v>27</v>
      </c>
      <c r="I4133" t="s">
        <v>28</v>
      </c>
      <c r="J4133">
        <v>79.87</v>
      </c>
      <c r="K4133">
        <v>0.08</v>
      </c>
      <c r="L4133">
        <v>0.38</v>
      </c>
      <c r="M4133">
        <v>4.8650000000000002</v>
      </c>
      <c r="N4133">
        <v>-0.35420000000000001</v>
      </c>
      <c r="O4133" s="1" t="s">
        <v>40</v>
      </c>
      <c r="P4133" s="1" t="s">
        <v>9618</v>
      </c>
      <c r="Q4133" s="1" t="s">
        <v>9619</v>
      </c>
      <c r="R4133" s="1" t="s">
        <v>43</v>
      </c>
      <c r="S4133" s="1" t="s">
        <v>9620</v>
      </c>
      <c r="T4133" s="1" t="s">
        <v>9621</v>
      </c>
      <c r="U4133" s="2" t="s">
        <v>2327</v>
      </c>
      <c r="V4133" s="2" t="s">
        <v>47</v>
      </c>
      <c r="W4133" s="2" t="s">
        <v>48</v>
      </c>
      <c r="X4133" s="2">
        <v>54.494999999999997</v>
      </c>
    </row>
    <row r="4134" spans="1:24" x14ac:dyDescent="0.3">
      <c r="A4134">
        <v>21981</v>
      </c>
      <c r="B4134" t="s">
        <v>9622</v>
      </c>
      <c r="C4134" s="3">
        <v>40548</v>
      </c>
      <c r="D4134" t="s">
        <v>62</v>
      </c>
      <c r="E4134">
        <v>5</v>
      </c>
      <c r="F4134" s="3">
        <f ca="1">40550+(RANDBETWEEN(1,10))</f>
        <v>40554</v>
      </c>
      <c r="G4134" t="s">
        <v>26</v>
      </c>
      <c r="H4134" t="s">
        <v>63</v>
      </c>
      <c r="I4134" t="s">
        <v>86</v>
      </c>
      <c r="J4134">
        <v>3500.91</v>
      </c>
      <c r="K4134">
        <v>0.01</v>
      </c>
      <c r="L4134">
        <v>0.59</v>
      </c>
      <c r="M4134">
        <v>40.39</v>
      </c>
      <c r="N4134">
        <v>2415.6279</v>
      </c>
      <c r="O4134" s="1" t="s">
        <v>87</v>
      </c>
      <c r="P4134" s="1" t="s">
        <v>7513</v>
      </c>
      <c r="Q4134" s="1" t="s">
        <v>7514</v>
      </c>
      <c r="R4134" s="1" t="s">
        <v>90</v>
      </c>
      <c r="S4134" s="1" t="s">
        <v>7515</v>
      </c>
      <c r="T4134" s="1" t="s">
        <v>7516</v>
      </c>
      <c r="U4134" s="2" t="s">
        <v>5469</v>
      </c>
      <c r="V4134" s="2" t="s">
        <v>83</v>
      </c>
      <c r="W4134" s="2" t="s">
        <v>178</v>
      </c>
      <c r="X4134" s="2">
        <v>680.05</v>
      </c>
    </row>
    <row r="4135" spans="1:24" x14ac:dyDescent="0.3">
      <c r="A4135">
        <v>21982</v>
      </c>
      <c r="B4135" t="s">
        <v>9622</v>
      </c>
      <c r="C4135" s="3">
        <v>40548</v>
      </c>
      <c r="D4135" t="s">
        <v>62</v>
      </c>
      <c r="E4135">
        <v>10</v>
      </c>
      <c r="F4135" s="3">
        <f ca="1">40549+(RANDBETWEEN(1,10))</f>
        <v>40557</v>
      </c>
      <c r="G4135" t="s">
        <v>26</v>
      </c>
      <c r="H4135" t="s">
        <v>63</v>
      </c>
      <c r="I4135" t="s">
        <v>86</v>
      </c>
      <c r="J4135">
        <v>7647.4650000000001</v>
      </c>
      <c r="K4135">
        <v>0.02</v>
      </c>
      <c r="L4135">
        <v>0.59</v>
      </c>
      <c r="M4135">
        <v>74.234999999999999</v>
      </c>
      <c r="N4135">
        <v>5276.7508500000004</v>
      </c>
      <c r="O4135" s="1" t="s">
        <v>87</v>
      </c>
      <c r="P4135" s="1" t="s">
        <v>7513</v>
      </c>
      <c r="Q4135" s="1" t="s">
        <v>7514</v>
      </c>
      <c r="R4135" s="1" t="s">
        <v>90</v>
      </c>
      <c r="S4135" s="1" t="s">
        <v>7515</v>
      </c>
      <c r="T4135" s="1" t="s">
        <v>7516</v>
      </c>
      <c r="U4135" s="2" t="s">
        <v>3118</v>
      </c>
      <c r="V4135" s="2" t="s">
        <v>83</v>
      </c>
      <c r="W4135" s="2" t="s">
        <v>178</v>
      </c>
      <c r="X4135" s="2">
        <v>734.44</v>
      </c>
    </row>
    <row r="4136" spans="1:24" x14ac:dyDescent="0.3">
      <c r="A4136">
        <v>21983</v>
      </c>
      <c r="B4136" t="s">
        <v>9622</v>
      </c>
      <c r="C4136" s="3">
        <v>40548</v>
      </c>
      <c r="D4136" t="s">
        <v>62</v>
      </c>
      <c r="E4136">
        <v>8</v>
      </c>
      <c r="F4136" s="3">
        <f ca="1">40550+(RANDBETWEEN(1,10))</f>
        <v>40551</v>
      </c>
      <c r="G4136" t="s">
        <v>76</v>
      </c>
      <c r="H4136" t="s">
        <v>77</v>
      </c>
      <c r="I4136" t="s">
        <v>86</v>
      </c>
      <c r="J4136">
        <v>4169.2</v>
      </c>
      <c r="K4136">
        <v>0</v>
      </c>
      <c r="L4136">
        <v>0.56000000000000005</v>
      </c>
      <c r="M4136">
        <v>62.475000000000001</v>
      </c>
      <c r="N4136">
        <v>2806.1138000000001</v>
      </c>
      <c r="O4136" s="1" t="s">
        <v>87</v>
      </c>
      <c r="P4136" s="1" t="s">
        <v>7513</v>
      </c>
      <c r="Q4136" s="1" t="s">
        <v>7514</v>
      </c>
      <c r="R4136" s="1" t="s">
        <v>90</v>
      </c>
      <c r="S4136" s="1" t="s">
        <v>7515</v>
      </c>
      <c r="T4136" s="1" t="s">
        <v>7516</v>
      </c>
      <c r="U4136" s="2" t="s">
        <v>881</v>
      </c>
      <c r="V4136" s="2" t="s">
        <v>36</v>
      </c>
      <c r="W4136" s="2" t="s">
        <v>142</v>
      </c>
      <c r="X4136" s="2">
        <v>509.07499999999999</v>
      </c>
    </row>
    <row r="4137" spans="1:24" x14ac:dyDescent="0.3">
      <c r="A4137">
        <v>21984</v>
      </c>
      <c r="B4137" t="s">
        <v>9623</v>
      </c>
      <c r="C4137" s="3">
        <v>42001</v>
      </c>
      <c r="D4137" t="s">
        <v>62</v>
      </c>
      <c r="E4137">
        <v>13</v>
      </c>
      <c r="F4137" s="3">
        <f ca="1">42001+(RANDBETWEEN(1,10))</f>
        <v>42008</v>
      </c>
      <c r="G4137" t="s">
        <v>26</v>
      </c>
      <c r="H4137" t="s">
        <v>281</v>
      </c>
      <c r="I4137" t="s">
        <v>97</v>
      </c>
      <c r="J4137">
        <v>980.07</v>
      </c>
      <c r="K4137">
        <v>0.04</v>
      </c>
      <c r="L4137">
        <v>0.52</v>
      </c>
      <c r="M4137">
        <v>48.965000000000003</v>
      </c>
      <c r="N4137">
        <v>-23.274999999999999</v>
      </c>
      <c r="O4137" s="1" t="s">
        <v>29</v>
      </c>
      <c r="P4137" s="1" t="s">
        <v>3094</v>
      </c>
      <c r="Q4137" s="1" t="s">
        <v>3095</v>
      </c>
      <c r="R4137" s="1" t="s">
        <v>675</v>
      </c>
      <c r="S4137" s="1" t="s">
        <v>3096</v>
      </c>
      <c r="T4137" s="1" t="s">
        <v>3097</v>
      </c>
      <c r="U4137" s="2" t="s">
        <v>5849</v>
      </c>
      <c r="V4137" s="2" t="s">
        <v>47</v>
      </c>
      <c r="W4137" s="2" t="s">
        <v>71</v>
      </c>
      <c r="X4137" s="2">
        <v>75.81</v>
      </c>
    </row>
    <row r="4138" spans="1:24" x14ac:dyDescent="0.3">
      <c r="A4138">
        <v>21985</v>
      </c>
      <c r="B4138" t="s">
        <v>9624</v>
      </c>
      <c r="C4138" s="3">
        <v>41857</v>
      </c>
      <c r="D4138" t="s">
        <v>148</v>
      </c>
      <c r="E4138">
        <v>13</v>
      </c>
      <c r="F4138" s="3">
        <f ca="1">41858+(RANDBETWEEN(1,10))</f>
        <v>41866</v>
      </c>
      <c r="G4138" t="s">
        <v>26</v>
      </c>
      <c r="H4138" t="s">
        <v>27</v>
      </c>
      <c r="I4138" t="s">
        <v>28</v>
      </c>
      <c r="J4138">
        <v>286.47500000000002</v>
      </c>
      <c r="K4138">
        <v>7.0000000000000007E-2</v>
      </c>
      <c r="L4138">
        <v>0.37</v>
      </c>
      <c r="M4138">
        <v>23.59</v>
      </c>
      <c r="N4138">
        <v>-124.65600000000001</v>
      </c>
      <c r="O4138" s="1" t="s">
        <v>53</v>
      </c>
      <c r="P4138" s="1" t="s">
        <v>6508</v>
      </c>
      <c r="Q4138" s="1" t="s">
        <v>6509</v>
      </c>
      <c r="R4138" s="1" t="s">
        <v>440</v>
      </c>
      <c r="S4138" s="1" t="s">
        <v>6510</v>
      </c>
      <c r="T4138" s="1" t="s">
        <v>6511</v>
      </c>
      <c r="U4138" s="2" t="s">
        <v>2671</v>
      </c>
      <c r="V4138" s="2" t="s">
        <v>47</v>
      </c>
      <c r="W4138" s="2" t="s">
        <v>74</v>
      </c>
      <c r="X4138" s="2">
        <v>22.68</v>
      </c>
    </row>
    <row r="4139" spans="1:24" x14ac:dyDescent="0.3">
      <c r="A4139">
        <v>21986</v>
      </c>
      <c r="B4139" t="s">
        <v>9625</v>
      </c>
      <c r="C4139" s="3">
        <v>41059</v>
      </c>
      <c r="D4139" t="s">
        <v>148</v>
      </c>
      <c r="E4139">
        <v>4</v>
      </c>
      <c r="F4139" s="3">
        <f ca="1">41061+(RANDBETWEEN(1,10))</f>
        <v>41065</v>
      </c>
      <c r="G4139" t="s">
        <v>26</v>
      </c>
      <c r="H4139" t="s">
        <v>27</v>
      </c>
      <c r="I4139" t="s">
        <v>86</v>
      </c>
      <c r="J4139">
        <v>296.48500000000001</v>
      </c>
      <c r="K4139">
        <v>0.06</v>
      </c>
      <c r="L4139">
        <v>0.65</v>
      </c>
      <c r="M4139">
        <v>20.965</v>
      </c>
      <c r="N4139">
        <v>-275.21339999999998</v>
      </c>
      <c r="O4139" s="1" t="s">
        <v>87</v>
      </c>
      <c r="P4139" s="1" t="s">
        <v>7125</v>
      </c>
      <c r="Q4139" s="1" t="s">
        <v>7126</v>
      </c>
      <c r="R4139" s="1" t="s">
        <v>646</v>
      </c>
      <c r="S4139" s="1" t="s">
        <v>7127</v>
      </c>
      <c r="T4139" s="1" t="s">
        <v>7128</v>
      </c>
      <c r="U4139" s="2" t="s">
        <v>3946</v>
      </c>
      <c r="V4139" s="2" t="s">
        <v>36</v>
      </c>
      <c r="W4139" s="2" t="s">
        <v>60</v>
      </c>
      <c r="X4139" s="2">
        <v>73.325000000000003</v>
      </c>
    </row>
    <row r="4140" spans="1:24" x14ac:dyDescent="0.3">
      <c r="A4140">
        <v>21987</v>
      </c>
      <c r="B4140" t="s">
        <v>9625</v>
      </c>
      <c r="C4140" s="3">
        <v>41059</v>
      </c>
      <c r="D4140" t="s">
        <v>148</v>
      </c>
      <c r="E4140">
        <v>13</v>
      </c>
      <c r="F4140" s="3">
        <f ca="1">41060+(RANDBETWEEN(1,10))</f>
        <v>41061</v>
      </c>
      <c r="G4140" t="s">
        <v>26</v>
      </c>
      <c r="H4140" t="s">
        <v>51</v>
      </c>
      <c r="I4140" t="s">
        <v>86</v>
      </c>
      <c r="J4140">
        <v>943.25</v>
      </c>
      <c r="K4140">
        <v>0.02</v>
      </c>
      <c r="L4140">
        <v>0.48</v>
      </c>
      <c r="M4140">
        <v>6.9649999999999999</v>
      </c>
      <c r="N4140">
        <v>-93.394000000000005</v>
      </c>
      <c r="O4140" s="1" t="s">
        <v>87</v>
      </c>
      <c r="P4140" s="1" t="s">
        <v>7125</v>
      </c>
      <c r="Q4140" s="1" t="s">
        <v>7126</v>
      </c>
      <c r="R4140" s="1" t="s">
        <v>646</v>
      </c>
      <c r="S4140" s="1" t="s">
        <v>7127</v>
      </c>
      <c r="T4140" s="1" t="s">
        <v>7128</v>
      </c>
      <c r="U4140" s="2" t="s">
        <v>5583</v>
      </c>
      <c r="V4140" s="2" t="s">
        <v>36</v>
      </c>
      <c r="W4140" s="2" t="s">
        <v>60</v>
      </c>
      <c r="X4140" s="2">
        <v>73.114999999999995</v>
      </c>
    </row>
    <row r="4141" spans="1:24" x14ac:dyDescent="0.3">
      <c r="A4141">
        <v>21988</v>
      </c>
      <c r="B4141" t="s">
        <v>9626</v>
      </c>
      <c r="C4141" s="3">
        <v>40617</v>
      </c>
      <c r="D4141" t="s">
        <v>148</v>
      </c>
      <c r="E4141">
        <v>4</v>
      </c>
      <c r="F4141" s="3">
        <f ca="1">40618+(RANDBETWEEN(1,10))</f>
        <v>40627</v>
      </c>
      <c r="G4141" t="s">
        <v>26</v>
      </c>
      <c r="H4141" t="s">
        <v>96</v>
      </c>
      <c r="I4141" t="s">
        <v>28</v>
      </c>
      <c r="J4141">
        <v>25.2</v>
      </c>
      <c r="K4141">
        <v>0.01</v>
      </c>
      <c r="L4141">
        <v>0.56000000000000005</v>
      </c>
      <c r="M4141">
        <v>2.4500000000000002</v>
      </c>
      <c r="N4141">
        <v>-5.46</v>
      </c>
      <c r="O4141" s="1" t="s">
        <v>29</v>
      </c>
      <c r="P4141" s="1" t="s">
        <v>7710</v>
      </c>
      <c r="Q4141" s="1" t="s">
        <v>7711</v>
      </c>
      <c r="R4141" s="1" t="s">
        <v>32</v>
      </c>
      <c r="S4141" s="1" t="s">
        <v>7712</v>
      </c>
      <c r="T4141" s="1" t="s">
        <v>7713</v>
      </c>
      <c r="U4141" s="2" t="s">
        <v>384</v>
      </c>
      <c r="V4141" s="2" t="s">
        <v>47</v>
      </c>
      <c r="W4141" s="2" t="s">
        <v>104</v>
      </c>
      <c r="X4141" s="2">
        <v>6.16</v>
      </c>
    </row>
    <row r="4142" spans="1:24" x14ac:dyDescent="0.3">
      <c r="A4142">
        <v>21989</v>
      </c>
      <c r="B4142" t="s">
        <v>9627</v>
      </c>
      <c r="C4142" s="3">
        <v>40976</v>
      </c>
      <c r="D4142" t="s">
        <v>62</v>
      </c>
      <c r="E4142">
        <v>6</v>
      </c>
      <c r="F4142" s="3">
        <f ca="1">40978+(RANDBETWEEN(1,10))</f>
        <v>40982</v>
      </c>
      <c r="G4142" t="s">
        <v>26</v>
      </c>
      <c r="H4142" t="s">
        <v>96</v>
      </c>
      <c r="I4142" t="s">
        <v>97</v>
      </c>
      <c r="J4142">
        <v>114.205</v>
      </c>
      <c r="K4142">
        <v>0.03</v>
      </c>
      <c r="L4142">
        <v>0.51</v>
      </c>
      <c r="M4142">
        <v>12.705</v>
      </c>
      <c r="N4142">
        <v>-95.864999999999995</v>
      </c>
      <c r="O4142" s="1" t="s">
        <v>40</v>
      </c>
      <c r="P4142" s="1" t="s">
        <v>705</v>
      </c>
      <c r="Q4142" s="1" t="s">
        <v>706</v>
      </c>
      <c r="R4142" s="1" t="s">
        <v>220</v>
      </c>
      <c r="S4142" s="1" t="s">
        <v>707</v>
      </c>
      <c r="T4142" s="1" t="s">
        <v>708</v>
      </c>
      <c r="U4142" s="2" t="s">
        <v>4165</v>
      </c>
      <c r="V4142" s="2" t="s">
        <v>83</v>
      </c>
      <c r="W4142" s="2" t="s">
        <v>178</v>
      </c>
      <c r="X4142" s="2">
        <v>17.78</v>
      </c>
    </row>
    <row r="4143" spans="1:24" x14ac:dyDescent="0.3">
      <c r="A4143">
        <v>21990</v>
      </c>
      <c r="B4143" t="s">
        <v>9627</v>
      </c>
      <c r="C4143" s="3">
        <v>40976</v>
      </c>
      <c r="D4143" t="s">
        <v>62</v>
      </c>
      <c r="E4143">
        <v>10</v>
      </c>
      <c r="F4143" s="3">
        <f ca="1">40976+(RANDBETWEEN(1,10))</f>
        <v>40980</v>
      </c>
      <c r="G4143" t="s">
        <v>26</v>
      </c>
      <c r="H4143" t="s">
        <v>27</v>
      </c>
      <c r="I4143" t="s">
        <v>97</v>
      </c>
      <c r="J4143">
        <v>155.68</v>
      </c>
      <c r="K4143">
        <v>0</v>
      </c>
      <c r="L4143">
        <v>0.4</v>
      </c>
      <c r="M4143">
        <v>23.52</v>
      </c>
      <c r="N4143">
        <v>-587.72</v>
      </c>
      <c r="O4143" s="1" t="s">
        <v>40</v>
      </c>
      <c r="P4143" s="1" t="s">
        <v>705</v>
      </c>
      <c r="Q4143" s="1" t="s">
        <v>706</v>
      </c>
      <c r="R4143" s="1" t="s">
        <v>220</v>
      </c>
      <c r="S4143" s="1" t="s">
        <v>707</v>
      </c>
      <c r="T4143" s="1" t="s">
        <v>708</v>
      </c>
      <c r="U4143" s="2" t="s">
        <v>2298</v>
      </c>
      <c r="V4143" s="2" t="s">
        <v>47</v>
      </c>
      <c r="W4143" s="2" t="s">
        <v>74</v>
      </c>
      <c r="X4143" s="2">
        <v>14.98</v>
      </c>
    </row>
    <row r="4144" spans="1:24" x14ac:dyDescent="0.3">
      <c r="A4144">
        <v>21991</v>
      </c>
      <c r="B4144" t="s">
        <v>9628</v>
      </c>
      <c r="C4144" s="3">
        <v>41651</v>
      </c>
      <c r="D4144" t="s">
        <v>39</v>
      </c>
      <c r="E4144">
        <v>3</v>
      </c>
      <c r="F4144" s="3">
        <f ca="1">41651+(RANDBETWEEN(1,10))</f>
        <v>41654</v>
      </c>
      <c r="G4144" t="s">
        <v>26</v>
      </c>
      <c r="H4144" t="s">
        <v>96</v>
      </c>
      <c r="I4144" t="s">
        <v>52</v>
      </c>
      <c r="J4144">
        <v>43.05</v>
      </c>
      <c r="K4144">
        <v>7.0000000000000007E-2</v>
      </c>
      <c r="L4144">
        <v>0.56000000000000005</v>
      </c>
      <c r="M4144">
        <v>3.29</v>
      </c>
      <c r="N4144">
        <v>1.5427999999999999</v>
      </c>
      <c r="O4144" s="1" t="s">
        <v>40</v>
      </c>
      <c r="P4144" s="1" t="s">
        <v>8352</v>
      </c>
      <c r="Q4144" s="1" t="s">
        <v>8353</v>
      </c>
      <c r="R4144" s="1" t="s">
        <v>43</v>
      </c>
      <c r="S4144" s="1" t="s">
        <v>6018</v>
      </c>
      <c r="T4144" s="1" t="s">
        <v>6019</v>
      </c>
      <c r="U4144" s="2" t="s">
        <v>331</v>
      </c>
      <c r="V4144" s="2" t="s">
        <v>47</v>
      </c>
      <c r="W4144" s="2" t="s">
        <v>104</v>
      </c>
      <c r="X4144" s="2">
        <v>14.98</v>
      </c>
    </row>
    <row r="4145" spans="1:24" x14ac:dyDescent="0.3">
      <c r="A4145">
        <v>21992</v>
      </c>
      <c r="B4145" t="s">
        <v>9629</v>
      </c>
      <c r="C4145" s="3">
        <v>40781</v>
      </c>
      <c r="D4145" t="s">
        <v>39</v>
      </c>
      <c r="E4145">
        <v>1</v>
      </c>
      <c r="F4145" s="3">
        <f ca="1">40782+(RANDBETWEEN(1,10))</f>
        <v>40789</v>
      </c>
      <c r="G4145" t="s">
        <v>26</v>
      </c>
      <c r="H4145" t="s">
        <v>27</v>
      </c>
      <c r="I4145" t="s">
        <v>28</v>
      </c>
      <c r="J4145">
        <v>1419.4949999999999</v>
      </c>
      <c r="K4145">
        <v>0.08</v>
      </c>
      <c r="L4145">
        <v>0.56999999999999995</v>
      </c>
      <c r="M4145">
        <v>39.795000000000002</v>
      </c>
      <c r="N4145">
        <v>-941.79539999999997</v>
      </c>
      <c r="O4145" s="1" t="s">
        <v>29</v>
      </c>
      <c r="P4145" s="1" t="s">
        <v>9630</v>
      </c>
      <c r="Q4145" s="1" t="s">
        <v>9631</v>
      </c>
      <c r="R4145" s="1" t="s">
        <v>32</v>
      </c>
      <c r="S4145" s="1" t="s">
        <v>9632</v>
      </c>
      <c r="T4145" s="1" t="s">
        <v>9633</v>
      </c>
      <c r="U4145" s="2" t="s">
        <v>1298</v>
      </c>
      <c r="V4145" s="2" t="s">
        <v>47</v>
      </c>
      <c r="W4145" s="2" t="s">
        <v>119</v>
      </c>
      <c r="X4145" s="2">
        <v>1455.58</v>
      </c>
    </row>
    <row r="4146" spans="1:24" x14ac:dyDescent="0.3">
      <c r="A4146">
        <v>21993</v>
      </c>
      <c r="B4146" t="s">
        <v>9634</v>
      </c>
      <c r="C4146" s="3">
        <v>41026</v>
      </c>
      <c r="D4146" t="s">
        <v>148</v>
      </c>
      <c r="E4146">
        <v>3</v>
      </c>
      <c r="F4146" s="3">
        <f ca="1">41027+(RANDBETWEEN(1,10))</f>
        <v>41029</v>
      </c>
      <c r="G4146" t="s">
        <v>26</v>
      </c>
      <c r="H4146" t="s">
        <v>27</v>
      </c>
      <c r="I4146" t="s">
        <v>28</v>
      </c>
      <c r="J4146">
        <v>309.19</v>
      </c>
      <c r="K4146">
        <v>0.09</v>
      </c>
      <c r="L4146">
        <v>0.75</v>
      </c>
      <c r="M4146">
        <v>14</v>
      </c>
      <c r="N4146">
        <v>-241.68514999999999</v>
      </c>
      <c r="O4146" s="1" t="s">
        <v>40</v>
      </c>
      <c r="P4146" s="1" t="s">
        <v>9108</v>
      </c>
      <c r="Q4146" s="1" t="s">
        <v>9109</v>
      </c>
      <c r="R4146" s="1" t="s">
        <v>43</v>
      </c>
      <c r="S4146" s="1" t="s">
        <v>9110</v>
      </c>
      <c r="T4146" s="1" t="s">
        <v>9111</v>
      </c>
      <c r="U4146" s="2" t="s">
        <v>216</v>
      </c>
      <c r="V4146" s="2" t="s">
        <v>36</v>
      </c>
      <c r="W4146" s="2" t="s">
        <v>60</v>
      </c>
      <c r="X4146" s="2">
        <v>107.55500000000001</v>
      </c>
    </row>
    <row r="4147" spans="1:24" x14ac:dyDescent="0.3">
      <c r="A4147">
        <v>21994</v>
      </c>
      <c r="B4147" t="s">
        <v>9634</v>
      </c>
      <c r="C4147" s="3">
        <v>41026</v>
      </c>
      <c r="D4147" t="s">
        <v>148</v>
      </c>
      <c r="E4147">
        <v>3</v>
      </c>
      <c r="F4147" s="3">
        <f ca="1">41028+(RANDBETWEEN(1,10))</f>
        <v>41029</v>
      </c>
      <c r="G4147" t="s">
        <v>26</v>
      </c>
      <c r="H4147" t="s">
        <v>27</v>
      </c>
      <c r="I4147" t="s">
        <v>28</v>
      </c>
      <c r="J4147">
        <v>194.88</v>
      </c>
      <c r="K4147">
        <v>0.1</v>
      </c>
      <c r="L4147">
        <v>0.38</v>
      </c>
      <c r="M4147">
        <v>20.195</v>
      </c>
      <c r="N4147">
        <v>320.85899999999998</v>
      </c>
      <c r="O4147" s="1" t="s">
        <v>40</v>
      </c>
      <c r="P4147" s="1" t="s">
        <v>9108</v>
      </c>
      <c r="Q4147" s="1" t="s">
        <v>9109</v>
      </c>
      <c r="R4147" s="1" t="s">
        <v>43</v>
      </c>
      <c r="S4147" s="1" t="s">
        <v>9110</v>
      </c>
      <c r="T4147" s="1" t="s">
        <v>9111</v>
      </c>
      <c r="U4147" s="2" t="s">
        <v>5065</v>
      </c>
      <c r="V4147" s="2" t="s">
        <v>47</v>
      </c>
      <c r="W4147" s="2" t="s">
        <v>74</v>
      </c>
      <c r="X4147" s="2">
        <v>69.930000000000007</v>
      </c>
    </row>
    <row r="4148" spans="1:24" x14ac:dyDescent="0.3">
      <c r="A4148">
        <v>21995</v>
      </c>
      <c r="B4148" t="s">
        <v>9634</v>
      </c>
      <c r="C4148" s="3">
        <v>41026</v>
      </c>
      <c r="D4148" t="s">
        <v>148</v>
      </c>
      <c r="E4148">
        <v>5</v>
      </c>
      <c r="F4148" s="3">
        <f ca="1">41028+(RANDBETWEEN(1,10))</f>
        <v>41037</v>
      </c>
      <c r="G4148" t="s">
        <v>26</v>
      </c>
      <c r="H4148" t="s">
        <v>27</v>
      </c>
      <c r="I4148" t="s">
        <v>28</v>
      </c>
      <c r="J4148">
        <v>6969.0249999999996</v>
      </c>
      <c r="K4148">
        <v>0.05</v>
      </c>
      <c r="L4148">
        <v>0.57999999999999996</v>
      </c>
      <c r="M4148">
        <v>69.965000000000003</v>
      </c>
      <c r="N4148">
        <v>288.94319999999999</v>
      </c>
      <c r="O4148" s="1" t="s">
        <v>40</v>
      </c>
      <c r="P4148" s="1" t="s">
        <v>9108</v>
      </c>
      <c r="Q4148" s="1" t="s">
        <v>9109</v>
      </c>
      <c r="R4148" s="1" t="s">
        <v>43</v>
      </c>
      <c r="S4148" s="1" t="s">
        <v>9110</v>
      </c>
      <c r="T4148" s="1" t="s">
        <v>9111</v>
      </c>
      <c r="U4148" s="2" t="s">
        <v>3569</v>
      </c>
      <c r="V4148" s="2" t="s">
        <v>47</v>
      </c>
      <c r="W4148" s="2" t="s">
        <v>119</v>
      </c>
      <c r="X4148" s="2">
        <v>1467.165</v>
      </c>
    </row>
    <row r="4149" spans="1:24" x14ac:dyDescent="0.3">
      <c r="A4149">
        <v>21996</v>
      </c>
      <c r="B4149" t="s">
        <v>9635</v>
      </c>
      <c r="C4149" s="3">
        <v>41090</v>
      </c>
      <c r="D4149" t="s">
        <v>39</v>
      </c>
      <c r="E4149">
        <v>18</v>
      </c>
      <c r="F4149" s="3">
        <f ca="1">41092+(RANDBETWEEN(1,10))</f>
        <v>41095</v>
      </c>
      <c r="G4149" t="s">
        <v>26</v>
      </c>
      <c r="H4149" t="s">
        <v>51</v>
      </c>
      <c r="I4149" t="s">
        <v>28</v>
      </c>
      <c r="J4149">
        <v>498.47</v>
      </c>
      <c r="K4149">
        <v>0.1</v>
      </c>
      <c r="L4149">
        <v>0.74</v>
      </c>
      <c r="M4149">
        <v>8.33</v>
      </c>
      <c r="N4149">
        <v>-200.452</v>
      </c>
      <c r="O4149" s="1" t="s">
        <v>64</v>
      </c>
      <c r="P4149" s="1" t="s">
        <v>9636</v>
      </c>
      <c r="Q4149" s="1" t="s">
        <v>9637</v>
      </c>
      <c r="R4149" s="1" t="s">
        <v>128</v>
      </c>
      <c r="S4149" s="1" t="s">
        <v>2332</v>
      </c>
      <c r="T4149" s="1" t="s">
        <v>2333</v>
      </c>
      <c r="U4149" s="2" t="s">
        <v>152</v>
      </c>
      <c r="V4149" s="2" t="s">
        <v>36</v>
      </c>
      <c r="W4149" s="2" t="s">
        <v>60</v>
      </c>
      <c r="X4149" s="2">
        <v>29.12</v>
      </c>
    </row>
    <row r="4150" spans="1:24" x14ac:dyDescent="0.3">
      <c r="A4150">
        <v>21997</v>
      </c>
      <c r="B4150" t="s">
        <v>9635</v>
      </c>
      <c r="C4150" s="3">
        <v>41090</v>
      </c>
      <c r="D4150" t="s">
        <v>39</v>
      </c>
      <c r="E4150">
        <v>12</v>
      </c>
      <c r="F4150" s="3">
        <f ca="1">41091+(RANDBETWEEN(1,10))</f>
        <v>41099</v>
      </c>
      <c r="G4150" t="s">
        <v>26</v>
      </c>
      <c r="H4150" t="s">
        <v>27</v>
      </c>
      <c r="I4150" t="s">
        <v>28</v>
      </c>
      <c r="J4150">
        <v>955.64</v>
      </c>
      <c r="K4150">
        <v>0</v>
      </c>
      <c r="L4150">
        <v>0.36</v>
      </c>
      <c r="M4150">
        <v>10.465</v>
      </c>
      <c r="N4150">
        <v>659.39160000000004</v>
      </c>
      <c r="O4150" s="1" t="s">
        <v>87</v>
      </c>
      <c r="P4150" s="1" t="s">
        <v>9638</v>
      </c>
      <c r="Q4150" s="1" t="s">
        <v>9639</v>
      </c>
      <c r="R4150" s="1" t="s">
        <v>90</v>
      </c>
      <c r="S4150" s="1" t="s">
        <v>7009</v>
      </c>
      <c r="T4150" s="1" t="s">
        <v>7010</v>
      </c>
      <c r="U4150" s="2" t="s">
        <v>5355</v>
      </c>
      <c r="V4150" s="2" t="s">
        <v>47</v>
      </c>
      <c r="W4150" s="2" t="s">
        <v>111</v>
      </c>
      <c r="X4150" s="2">
        <v>74.83</v>
      </c>
    </row>
    <row r="4151" spans="1:24" x14ac:dyDescent="0.3">
      <c r="A4151">
        <v>21998</v>
      </c>
      <c r="B4151" t="s">
        <v>9640</v>
      </c>
      <c r="C4151" s="3">
        <v>41082</v>
      </c>
      <c r="D4151" t="s">
        <v>39</v>
      </c>
      <c r="E4151">
        <v>2</v>
      </c>
      <c r="F4151" s="3">
        <f ca="1">41084+(RANDBETWEEN(1,10))</f>
        <v>41093</v>
      </c>
      <c r="G4151" t="s">
        <v>26</v>
      </c>
      <c r="H4151" t="s">
        <v>96</v>
      </c>
      <c r="I4151" t="s">
        <v>52</v>
      </c>
      <c r="J4151">
        <v>470.26</v>
      </c>
      <c r="K4151">
        <v>0.09</v>
      </c>
      <c r="L4151">
        <v>0.55000000000000004</v>
      </c>
      <c r="M4151">
        <v>3.4649999999999999</v>
      </c>
      <c r="N4151">
        <v>-945.43679999999995</v>
      </c>
      <c r="O4151" s="1" t="s">
        <v>87</v>
      </c>
      <c r="P4151" s="1" t="s">
        <v>7080</v>
      </c>
      <c r="Q4151" s="1" t="s">
        <v>7081</v>
      </c>
      <c r="R4151" s="1" t="s">
        <v>497</v>
      </c>
      <c r="S4151" s="1" t="s">
        <v>1105</v>
      </c>
      <c r="T4151" s="1" t="s">
        <v>1106</v>
      </c>
      <c r="U4151" s="2" t="s">
        <v>5311</v>
      </c>
      <c r="V4151" s="2" t="s">
        <v>36</v>
      </c>
      <c r="W4151" s="2" t="s">
        <v>37</v>
      </c>
      <c r="X4151" s="2">
        <v>300.96499999999997</v>
      </c>
    </row>
    <row r="4152" spans="1:24" x14ac:dyDescent="0.3">
      <c r="A4152">
        <v>21999</v>
      </c>
      <c r="B4152" t="s">
        <v>9641</v>
      </c>
      <c r="C4152" s="3">
        <v>41879</v>
      </c>
      <c r="D4152" t="s">
        <v>62</v>
      </c>
      <c r="E4152">
        <v>12</v>
      </c>
      <c r="F4152" s="3">
        <f ca="1">41880+(RANDBETWEEN(1,10))</f>
        <v>41882</v>
      </c>
      <c r="G4152" t="s">
        <v>26</v>
      </c>
      <c r="H4152" t="s">
        <v>27</v>
      </c>
      <c r="I4152" t="s">
        <v>52</v>
      </c>
      <c r="J4152">
        <v>119.875</v>
      </c>
      <c r="K4152">
        <v>7.0000000000000007E-2</v>
      </c>
      <c r="L4152">
        <v>0.36</v>
      </c>
      <c r="M4152">
        <v>5.2149999999999999</v>
      </c>
      <c r="N4152">
        <v>14.815975999999999</v>
      </c>
      <c r="O4152" s="1" t="s">
        <v>29</v>
      </c>
      <c r="P4152" s="1" t="s">
        <v>8784</v>
      </c>
      <c r="Q4152" s="1" t="s">
        <v>8785</v>
      </c>
      <c r="R4152" s="1" t="s">
        <v>32</v>
      </c>
      <c r="S4152" s="1" t="s">
        <v>8786</v>
      </c>
      <c r="T4152" s="1" t="s">
        <v>8787</v>
      </c>
      <c r="U4152" s="2" t="s">
        <v>1534</v>
      </c>
      <c r="V4152" s="2" t="s">
        <v>47</v>
      </c>
      <c r="W4152" s="2" t="s">
        <v>111</v>
      </c>
      <c r="X4152" s="2">
        <v>9.73</v>
      </c>
    </row>
    <row r="4153" spans="1:24" x14ac:dyDescent="0.3">
      <c r="A4153">
        <v>22000</v>
      </c>
      <c r="B4153" t="s">
        <v>9642</v>
      </c>
      <c r="C4153" s="3">
        <v>41509</v>
      </c>
      <c r="D4153" t="s">
        <v>39</v>
      </c>
      <c r="E4153">
        <v>7</v>
      </c>
      <c r="F4153" s="3">
        <f ca="1">41510+(RANDBETWEEN(1,10))</f>
        <v>41518</v>
      </c>
      <c r="G4153" t="s">
        <v>26</v>
      </c>
      <c r="H4153" t="s">
        <v>27</v>
      </c>
      <c r="I4153" t="s">
        <v>97</v>
      </c>
      <c r="J4153">
        <v>8650.4599999999991</v>
      </c>
      <c r="K4153">
        <v>0.1</v>
      </c>
      <c r="L4153">
        <v>0.56999999999999995</v>
      </c>
      <c r="M4153">
        <v>69.965000000000003</v>
      </c>
      <c r="N4153">
        <v>-3382.029</v>
      </c>
      <c r="O4153" s="1" t="s">
        <v>53</v>
      </c>
      <c r="P4153" s="1" t="s">
        <v>2762</v>
      </c>
      <c r="Q4153" s="1" t="s">
        <v>2763</v>
      </c>
      <c r="R4153" s="1" t="s">
        <v>100</v>
      </c>
      <c r="S4153" s="1" t="s">
        <v>2764</v>
      </c>
      <c r="T4153" s="1" t="s">
        <v>2765</v>
      </c>
      <c r="U4153" s="2" t="s">
        <v>572</v>
      </c>
      <c r="V4153" s="2" t="s">
        <v>47</v>
      </c>
      <c r="W4153" s="2" t="s">
        <v>71</v>
      </c>
      <c r="X4153" s="2">
        <v>1271.375</v>
      </c>
    </row>
    <row r="4154" spans="1:24" x14ac:dyDescent="0.3">
      <c r="A4154">
        <v>22001</v>
      </c>
      <c r="B4154" t="s">
        <v>9643</v>
      </c>
      <c r="C4154" s="3">
        <v>41353</v>
      </c>
      <c r="D4154" t="s">
        <v>50</v>
      </c>
      <c r="E4154">
        <v>12</v>
      </c>
      <c r="F4154" s="3">
        <f ca="1">41356+(RANDBETWEEN(1,10))</f>
        <v>41361</v>
      </c>
      <c r="G4154" t="s">
        <v>76</v>
      </c>
      <c r="H4154" t="s">
        <v>77</v>
      </c>
      <c r="I4154" t="s">
        <v>28</v>
      </c>
      <c r="J4154">
        <v>20553.505000000001</v>
      </c>
      <c r="K4154">
        <v>0.09</v>
      </c>
      <c r="L4154">
        <v>0.37</v>
      </c>
      <c r="M4154">
        <v>242.55</v>
      </c>
      <c r="N4154">
        <v>-407.58199999999999</v>
      </c>
      <c r="O4154" s="1" t="s">
        <v>87</v>
      </c>
      <c r="P4154" s="1" t="s">
        <v>7777</v>
      </c>
      <c r="Q4154" s="1" t="s">
        <v>7778</v>
      </c>
      <c r="R4154" s="1" t="s">
        <v>398</v>
      </c>
      <c r="S4154" s="1" t="s">
        <v>7779</v>
      </c>
      <c r="T4154" s="1" t="s">
        <v>7780</v>
      </c>
      <c r="U4154" s="2" t="s">
        <v>5361</v>
      </c>
      <c r="V4154" s="2" t="s">
        <v>36</v>
      </c>
      <c r="W4154" s="2" t="s">
        <v>142</v>
      </c>
      <c r="X4154" s="2">
        <v>1753.395</v>
      </c>
    </row>
    <row r="4155" spans="1:24" x14ac:dyDescent="0.3">
      <c r="A4155">
        <v>22002</v>
      </c>
      <c r="B4155" t="s">
        <v>9643</v>
      </c>
      <c r="C4155" s="3">
        <v>41353</v>
      </c>
      <c r="D4155" t="s">
        <v>50</v>
      </c>
      <c r="E4155">
        <v>1</v>
      </c>
      <c r="F4155" s="3">
        <f ca="1">41354+(RANDBETWEEN(1,10))</f>
        <v>41358</v>
      </c>
      <c r="G4155" t="s">
        <v>26</v>
      </c>
      <c r="H4155" t="s">
        <v>96</v>
      </c>
      <c r="I4155" t="s">
        <v>28</v>
      </c>
      <c r="J4155">
        <v>26.74</v>
      </c>
      <c r="K4155">
        <v>0.1</v>
      </c>
      <c r="L4155">
        <v>0.36</v>
      </c>
      <c r="M4155">
        <v>10.535</v>
      </c>
      <c r="N4155">
        <v>-581.13755000000003</v>
      </c>
      <c r="O4155" s="1" t="s">
        <v>87</v>
      </c>
      <c r="P4155" s="1" t="s">
        <v>7777</v>
      </c>
      <c r="Q4155" s="1" t="s">
        <v>7778</v>
      </c>
      <c r="R4155" s="1" t="s">
        <v>398</v>
      </c>
      <c r="S4155" s="1" t="s">
        <v>7779</v>
      </c>
      <c r="T4155" s="1" t="s">
        <v>7780</v>
      </c>
      <c r="U4155" s="2" t="s">
        <v>4183</v>
      </c>
      <c r="V4155" s="2" t="s">
        <v>47</v>
      </c>
      <c r="W4155" s="2" t="s">
        <v>74</v>
      </c>
      <c r="X4155" s="2">
        <v>16.66</v>
      </c>
    </row>
    <row r="4156" spans="1:24" x14ac:dyDescent="0.3">
      <c r="A4156">
        <v>22003</v>
      </c>
      <c r="B4156" t="s">
        <v>9644</v>
      </c>
      <c r="C4156" s="3">
        <v>41615</v>
      </c>
      <c r="D4156" t="s">
        <v>148</v>
      </c>
      <c r="E4156">
        <v>1</v>
      </c>
      <c r="F4156" s="3">
        <f ca="1">41617+(RANDBETWEEN(1,10))</f>
        <v>41621</v>
      </c>
      <c r="G4156" t="s">
        <v>26</v>
      </c>
      <c r="H4156" t="s">
        <v>27</v>
      </c>
      <c r="I4156" t="s">
        <v>97</v>
      </c>
      <c r="J4156">
        <v>127.4</v>
      </c>
      <c r="K4156">
        <v>0.06</v>
      </c>
      <c r="L4156">
        <v>0.39</v>
      </c>
      <c r="M4156">
        <v>45.43</v>
      </c>
      <c r="N4156">
        <v>-72.731750000000005</v>
      </c>
      <c r="O4156" s="1" t="s">
        <v>53</v>
      </c>
      <c r="P4156" s="1" t="s">
        <v>7603</v>
      </c>
      <c r="Q4156" s="1" t="s">
        <v>7604</v>
      </c>
      <c r="R4156" s="1" t="s">
        <v>56</v>
      </c>
      <c r="S4156" s="1" t="s">
        <v>7605</v>
      </c>
      <c r="T4156" s="1" t="s">
        <v>7606</v>
      </c>
      <c r="U4156" s="2" t="s">
        <v>559</v>
      </c>
      <c r="V4156" s="2" t="s">
        <v>47</v>
      </c>
      <c r="W4156" s="2" t="s">
        <v>111</v>
      </c>
      <c r="X4156" s="2">
        <v>87.22</v>
      </c>
    </row>
    <row r="4157" spans="1:24" x14ac:dyDescent="0.3">
      <c r="A4157">
        <v>22004</v>
      </c>
      <c r="B4157" t="s">
        <v>9644</v>
      </c>
      <c r="C4157" s="3">
        <v>41615</v>
      </c>
      <c r="D4157" t="s">
        <v>148</v>
      </c>
      <c r="E4157">
        <v>18</v>
      </c>
      <c r="F4157" s="3">
        <f ca="1">41617+(RANDBETWEEN(1,10))</f>
        <v>41623</v>
      </c>
      <c r="G4157" t="s">
        <v>26</v>
      </c>
      <c r="H4157" t="s">
        <v>96</v>
      </c>
      <c r="I4157" t="s">
        <v>97</v>
      </c>
      <c r="J4157">
        <v>308.63</v>
      </c>
      <c r="K4157">
        <v>0.04</v>
      </c>
      <c r="L4157">
        <v>0.36</v>
      </c>
      <c r="M4157">
        <v>2.8</v>
      </c>
      <c r="N4157">
        <v>212.9547</v>
      </c>
      <c r="O4157" s="1" t="s">
        <v>53</v>
      </c>
      <c r="P4157" s="1" t="s">
        <v>7603</v>
      </c>
      <c r="Q4157" s="1" t="s">
        <v>7604</v>
      </c>
      <c r="R4157" s="1" t="s">
        <v>56</v>
      </c>
      <c r="S4157" s="1" t="s">
        <v>7605</v>
      </c>
      <c r="T4157" s="1" t="s">
        <v>7606</v>
      </c>
      <c r="U4157" s="2" t="s">
        <v>1416</v>
      </c>
      <c r="V4157" s="2" t="s">
        <v>47</v>
      </c>
      <c r="W4157" s="2" t="s">
        <v>74</v>
      </c>
      <c r="X4157" s="2">
        <v>17.43</v>
      </c>
    </row>
    <row r="4158" spans="1:24" x14ac:dyDescent="0.3">
      <c r="A4158">
        <v>22005</v>
      </c>
      <c r="B4158" t="s">
        <v>9645</v>
      </c>
      <c r="C4158" s="3">
        <v>41661</v>
      </c>
      <c r="D4158" t="s">
        <v>50</v>
      </c>
      <c r="E4158">
        <v>11</v>
      </c>
      <c r="F4158" s="3">
        <f ca="1">41662+(RANDBETWEEN(1,10))</f>
        <v>41664</v>
      </c>
      <c r="G4158" t="s">
        <v>156</v>
      </c>
      <c r="H4158" t="s">
        <v>51</v>
      </c>
      <c r="I4158" t="s">
        <v>97</v>
      </c>
      <c r="J4158">
        <v>1443.925</v>
      </c>
      <c r="K4158">
        <v>0.06</v>
      </c>
      <c r="L4158">
        <v>0.51</v>
      </c>
      <c r="M4158">
        <v>6.9649999999999999</v>
      </c>
      <c r="N4158">
        <v>996.30825000000004</v>
      </c>
      <c r="O4158" s="1" t="s">
        <v>53</v>
      </c>
      <c r="P4158" s="1" t="s">
        <v>9646</v>
      </c>
      <c r="Q4158" s="1" t="s">
        <v>9647</v>
      </c>
      <c r="R4158" s="1" t="s">
        <v>56</v>
      </c>
      <c r="S4158" s="1" t="s">
        <v>9648</v>
      </c>
      <c r="T4158" s="1" t="s">
        <v>9649</v>
      </c>
      <c r="U4158" s="2" t="s">
        <v>7488</v>
      </c>
      <c r="V4158" s="2" t="s">
        <v>36</v>
      </c>
      <c r="W4158" s="2" t="s">
        <v>60</v>
      </c>
      <c r="X4158" s="2">
        <v>137.34</v>
      </c>
    </row>
    <row r="4159" spans="1:24" x14ac:dyDescent="0.3">
      <c r="A4159">
        <v>22006</v>
      </c>
      <c r="B4159" t="s">
        <v>9645</v>
      </c>
      <c r="C4159" s="3">
        <v>41661</v>
      </c>
      <c r="D4159" t="s">
        <v>50</v>
      </c>
      <c r="E4159">
        <v>12</v>
      </c>
      <c r="F4159" s="3">
        <f ca="1">41662+(RANDBETWEEN(1,10))</f>
        <v>41670</v>
      </c>
      <c r="G4159" t="s">
        <v>26</v>
      </c>
      <c r="H4159" t="s">
        <v>96</v>
      </c>
      <c r="I4159" t="s">
        <v>97</v>
      </c>
      <c r="J4159">
        <v>352.17</v>
      </c>
      <c r="K4159">
        <v>0.02</v>
      </c>
      <c r="L4159">
        <v>0.4</v>
      </c>
      <c r="M4159">
        <v>10.045</v>
      </c>
      <c r="N4159">
        <v>233.9736</v>
      </c>
      <c r="O4159" s="1" t="s">
        <v>53</v>
      </c>
      <c r="P4159" s="1" t="s">
        <v>9646</v>
      </c>
      <c r="Q4159" s="1" t="s">
        <v>9647</v>
      </c>
      <c r="R4159" s="1" t="s">
        <v>56</v>
      </c>
      <c r="S4159" s="1" t="s">
        <v>9648</v>
      </c>
      <c r="T4159" s="1" t="s">
        <v>9649</v>
      </c>
      <c r="U4159" s="2" t="s">
        <v>1846</v>
      </c>
      <c r="V4159" s="2" t="s">
        <v>47</v>
      </c>
      <c r="W4159" s="2" t="s">
        <v>74</v>
      </c>
      <c r="X4159" s="2">
        <v>28.035</v>
      </c>
    </row>
    <row r="4160" spans="1:24" x14ac:dyDescent="0.3">
      <c r="A4160">
        <v>22007</v>
      </c>
      <c r="B4160" t="s">
        <v>9650</v>
      </c>
      <c r="C4160" s="3">
        <v>40859</v>
      </c>
      <c r="D4160" t="s">
        <v>62</v>
      </c>
      <c r="E4160">
        <v>21</v>
      </c>
      <c r="F4160" s="3">
        <f ca="1">40860+(RANDBETWEEN(1,10))</f>
        <v>40867</v>
      </c>
      <c r="G4160" t="s">
        <v>26</v>
      </c>
      <c r="H4160" t="s">
        <v>27</v>
      </c>
      <c r="I4160" t="s">
        <v>86</v>
      </c>
      <c r="J4160">
        <v>17086.439999999999</v>
      </c>
      <c r="K4160">
        <v>0.03</v>
      </c>
      <c r="L4160">
        <v>0.38</v>
      </c>
      <c r="M4160">
        <v>52.534999999999997</v>
      </c>
      <c r="N4160">
        <v>2.4359999999999999</v>
      </c>
      <c r="O4160" s="1" t="s">
        <v>53</v>
      </c>
      <c r="P4160" s="1" t="s">
        <v>9651</v>
      </c>
      <c r="Q4160" s="1" t="s">
        <v>9652</v>
      </c>
      <c r="R4160" s="1" t="s">
        <v>440</v>
      </c>
      <c r="S4160" s="1" t="s">
        <v>9653</v>
      </c>
      <c r="T4160" s="1" t="s">
        <v>9654</v>
      </c>
      <c r="U4160" s="2" t="s">
        <v>9474</v>
      </c>
      <c r="V4160" s="2" t="s">
        <v>47</v>
      </c>
      <c r="W4160" s="2" t="s">
        <v>111</v>
      </c>
      <c r="X4160" s="2">
        <v>783.93</v>
      </c>
    </row>
    <row r="4161" spans="1:24" x14ac:dyDescent="0.3">
      <c r="A4161">
        <v>22008</v>
      </c>
      <c r="B4161" t="s">
        <v>9655</v>
      </c>
      <c r="C4161" s="3">
        <v>42000</v>
      </c>
      <c r="D4161" t="s">
        <v>25</v>
      </c>
      <c r="E4161">
        <v>15</v>
      </c>
      <c r="F4161" s="3">
        <f ca="1">42003+(RANDBETWEEN(1,10))</f>
        <v>42012</v>
      </c>
      <c r="G4161" t="s">
        <v>26</v>
      </c>
      <c r="H4161" t="s">
        <v>27</v>
      </c>
      <c r="I4161" t="s">
        <v>52</v>
      </c>
      <c r="J4161">
        <v>26840.764999999999</v>
      </c>
      <c r="K4161">
        <v>0.1</v>
      </c>
      <c r="L4161">
        <v>0.37</v>
      </c>
      <c r="M4161">
        <v>69.965000000000003</v>
      </c>
      <c r="N4161">
        <v>18520.127850000001</v>
      </c>
      <c r="O4161" s="1" t="s">
        <v>40</v>
      </c>
      <c r="P4161" s="1" t="s">
        <v>6061</v>
      </c>
      <c r="Q4161" s="1" t="s">
        <v>6062</v>
      </c>
      <c r="R4161" s="1" t="s">
        <v>43</v>
      </c>
      <c r="S4161" s="1" t="s">
        <v>6063</v>
      </c>
      <c r="T4161" s="1" t="s">
        <v>6064</v>
      </c>
      <c r="U4161" s="2" t="s">
        <v>3284</v>
      </c>
      <c r="V4161" s="2" t="s">
        <v>47</v>
      </c>
      <c r="W4161" s="2" t="s">
        <v>111</v>
      </c>
      <c r="X4161" s="2">
        <v>1840.93</v>
      </c>
    </row>
    <row r="4162" spans="1:24" x14ac:dyDescent="0.3">
      <c r="A4162">
        <v>22009</v>
      </c>
      <c r="B4162" t="s">
        <v>9655</v>
      </c>
      <c r="C4162" s="3">
        <v>42000</v>
      </c>
      <c r="D4162" t="s">
        <v>25</v>
      </c>
      <c r="E4162">
        <v>21</v>
      </c>
      <c r="F4162" s="3">
        <f ca="1">42002+(RANDBETWEEN(1,10))</f>
        <v>42006</v>
      </c>
      <c r="G4162" t="s">
        <v>26</v>
      </c>
      <c r="H4162" t="s">
        <v>27</v>
      </c>
      <c r="I4162" t="s">
        <v>52</v>
      </c>
      <c r="J4162">
        <v>6796.09</v>
      </c>
      <c r="K4162">
        <v>0.1</v>
      </c>
      <c r="L4162">
        <v>0.57999999999999996</v>
      </c>
      <c r="M4162">
        <v>31.465</v>
      </c>
      <c r="N4162">
        <v>4118.5347840000004</v>
      </c>
      <c r="O4162" s="1" t="s">
        <v>40</v>
      </c>
      <c r="P4162" s="1" t="s">
        <v>6061</v>
      </c>
      <c r="Q4162" s="1" t="s">
        <v>6062</v>
      </c>
      <c r="R4162" s="1" t="s">
        <v>43</v>
      </c>
      <c r="S4162" s="1" t="s">
        <v>6063</v>
      </c>
      <c r="T4162" s="1" t="s">
        <v>6064</v>
      </c>
      <c r="U4162" s="2">
        <v>5185</v>
      </c>
      <c r="V4162" s="2" t="s">
        <v>36</v>
      </c>
      <c r="W4162" s="2" t="s">
        <v>37</v>
      </c>
      <c r="X4162" s="2">
        <v>405.96499999999997</v>
      </c>
    </row>
    <row r="4163" spans="1:24" x14ac:dyDescent="0.3">
      <c r="A4163">
        <v>22010</v>
      </c>
      <c r="B4163" t="s">
        <v>9656</v>
      </c>
      <c r="C4163" s="3">
        <v>40835</v>
      </c>
      <c r="D4163" t="s">
        <v>62</v>
      </c>
      <c r="E4163">
        <v>23</v>
      </c>
      <c r="F4163" s="3">
        <f ca="1">40837+(RANDBETWEEN(1,10))</f>
        <v>40843</v>
      </c>
      <c r="G4163" t="s">
        <v>26</v>
      </c>
      <c r="H4163" t="s">
        <v>27</v>
      </c>
      <c r="I4163" t="s">
        <v>52</v>
      </c>
      <c r="J4163">
        <v>12602.275</v>
      </c>
      <c r="K4163">
        <v>0.05</v>
      </c>
      <c r="L4163">
        <v>0.49</v>
      </c>
      <c r="M4163">
        <v>19.25</v>
      </c>
      <c r="N4163">
        <v>42.923999999999999</v>
      </c>
      <c r="O4163" s="1" t="s">
        <v>87</v>
      </c>
      <c r="P4163" s="1" t="s">
        <v>8724</v>
      </c>
      <c r="Q4163" s="1" t="s">
        <v>8725</v>
      </c>
      <c r="R4163" s="1" t="s">
        <v>398</v>
      </c>
      <c r="S4163" s="1" t="s">
        <v>8726</v>
      </c>
      <c r="T4163" s="1" t="s">
        <v>8727</v>
      </c>
      <c r="U4163" s="2" t="s">
        <v>3822</v>
      </c>
      <c r="V4163" s="2" t="s">
        <v>36</v>
      </c>
      <c r="W4163" s="2" t="s">
        <v>60</v>
      </c>
      <c r="X4163" s="2">
        <v>559.96500000000003</v>
      </c>
    </row>
    <row r="4164" spans="1:24" x14ac:dyDescent="0.3">
      <c r="A4164">
        <v>22011</v>
      </c>
      <c r="B4164" t="s">
        <v>9657</v>
      </c>
      <c r="C4164" s="3">
        <v>41559</v>
      </c>
      <c r="D4164" t="s">
        <v>50</v>
      </c>
      <c r="E4164">
        <v>16</v>
      </c>
      <c r="F4164" s="3">
        <f ca="1">41560+(RANDBETWEEN(1,10))</f>
        <v>41564</v>
      </c>
      <c r="G4164" t="s">
        <v>156</v>
      </c>
      <c r="H4164" t="s">
        <v>51</v>
      </c>
      <c r="I4164" t="s">
        <v>97</v>
      </c>
      <c r="J4164">
        <v>472.85</v>
      </c>
      <c r="K4164">
        <v>0.05</v>
      </c>
      <c r="L4164">
        <v>0.74</v>
      </c>
      <c r="M4164">
        <v>8.33</v>
      </c>
      <c r="N4164">
        <v>-463.49099999999999</v>
      </c>
      <c r="O4164" s="1" t="s">
        <v>40</v>
      </c>
      <c r="P4164" s="1" t="s">
        <v>9658</v>
      </c>
      <c r="Q4164" s="1" t="s">
        <v>9659</v>
      </c>
      <c r="R4164" s="1" t="s">
        <v>43</v>
      </c>
      <c r="S4164" s="1" t="s">
        <v>2030</v>
      </c>
      <c r="T4164" s="1" t="s">
        <v>2031</v>
      </c>
      <c r="U4164" s="2" t="s">
        <v>152</v>
      </c>
      <c r="V4164" s="2" t="s">
        <v>36</v>
      </c>
      <c r="W4164" s="2" t="s">
        <v>60</v>
      </c>
      <c r="X4164" s="2">
        <v>29.12</v>
      </c>
    </row>
    <row r="4165" spans="1:24" x14ac:dyDescent="0.3">
      <c r="A4165">
        <v>22012</v>
      </c>
      <c r="B4165" t="s">
        <v>9660</v>
      </c>
      <c r="C4165" s="3">
        <v>41292</v>
      </c>
      <c r="D4165" t="s">
        <v>39</v>
      </c>
      <c r="E4165">
        <v>11</v>
      </c>
      <c r="F4165" s="3">
        <f ca="1">41294+(RANDBETWEEN(1,10))</f>
        <v>41295</v>
      </c>
      <c r="G4165" t="s">
        <v>26</v>
      </c>
      <c r="H4165" t="s">
        <v>27</v>
      </c>
      <c r="I4165" t="s">
        <v>28</v>
      </c>
      <c r="J4165">
        <v>216.26499999999999</v>
      </c>
      <c r="K4165">
        <v>0</v>
      </c>
      <c r="L4165">
        <v>0.37</v>
      </c>
      <c r="M4165">
        <v>10.465</v>
      </c>
      <c r="N4165">
        <v>38.527439999999999</v>
      </c>
      <c r="O4165" s="1" t="s">
        <v>87</v>
      </c>
      <c r="P4165" s="1" t="s">
        <v>7513</v>
      </c>
      <c r="Q4165" s="1" t="s">
        <v>7514</v>
      </c>
      <c r="R4165" s="1" t="s">
        <v>90</v>
      </c>
      <c r="S4165" s="1" t="s">
        <v>7515</v>
      </c>
      <c r="T4165" s="1" t="s">
        <v>7516</v>
      </c>
      <c r="U4165" s="2" t="s">
        <v>1041</v>
      </c>
      <c r="V4165" s="2" t="s">
        <v>47</v>
      </c>
      <c r="W4165" s="2" t="s">
        <v>111</v>
      </c>
      <c r="X4165" s="2">
        <v>18.48</v>
      </c>
    </row>
    <row r="4166" spans="1:24" x14ac:dyDescent="0.3">
      <c r="A4166">
        <v>22013</v>
      </c>
      <c r="B4166" t="s">
        <v>9660</v>
      </c>
      <c r="C4166" s="3">
        <v>41292</v>
      </c>
      <c r="D4166" t="s">
        <v>39</v>
      </c>
      <c r="E4166">
        <v>8</v>
      </c>
      <c r="F4166" s="3">
        <f ca="1">41294+(RANDBETWEEN(1,10))</f>
        <v>41298</v>
      </c>
      <c r="G4166" t="s">
        <v>26</v>
      </c>
      <c r="H4166" t="s">
        <v>27</v>
      </c>
      <c r="I4166" t="s">
        <v>28</v>
      </c>
      <c r="J4166">
        <v>1651.02</v>
      </c>
      <c r="K4166">
        <v>0</v>
      </c>
      <c r="L4166">
        <v>0.59</v>
      </c>
      <c r="M4166">
        <v>69.965000000000003</v>
      </c>
      <c r="N4166">
        <v>-228.72234</v>
      </c>
      <c r="O4166" s="1" t="s">
        <v>87</v>
      </c>
      <c r="P4166" s="1" t="s">
        <v>7513</v>
      </c>
      <c r="Q4166" s="1" t="s">
        <v>7514</v>
      </c>
      <c r="R4166" s="1" t="s">
        <v>90</v>
      </c>
      <c r="S4166" s="1" t="s">
        <v>7515</v>
      </c>
      <c r="T4166" s="1" t="s">
        <v>7516</v>
      </c>
      <c r="U4166" s="2" t="s">
        <v>730</v>
      </c>
      <c r="V4166" s="2" t="s">
        <v>36</v>
      </c>
      <c r="W4166" s="2" t="s">
        <v>37</v>
      </c>
      <c r="X4166" s="2">
        <v>230.965</v>
      </c>
    </row>
    <row r="4167" spans="1:24" x14ac:dyDescent="0.3">
      <c r="A4167">
        <v>22014</v>
      </c>
      <c r="B4167" t="s">
        <v>9661</v>
      </c>
      <c r="C4167" s="3">
        <v>41026</v>
      </c>
      <c r="D4167" t="s">
        <v>50</v>
      </c>
      <c r="E4167">
        <v>4</v>
      </c>
      <c r="F4167" s="3">
        <f ca="1">41027+(RANDBETWEEN(1,10))</f>
        <v>41030</v>
      </c>
      <c r="G4167" t="s">
        <v>26</v>
      </c>
      <c r="H4167" t="s">
        <v>27</v>
      </c>
      <c r="I4167" t="s">
        <v>52</v>
      </c>
      <c r="J4167">
        <v>577.08000000000004</v>
      </c>
      <c r="K4167">
        <v>0.09</v>
      </c>
      <c r="L4167">
        <v>0.35</v>
      </c>
      <c r="M4167">
        <v>10.465</v>
      </c>
      <c r="N4167">
        <v>398.18520000000001</v>
      </c>
      <c r="O4167" s="1" t="s">
        <v>53</v>
      </c>
      <c r="P4167" s="1" t="s">
        <v>6959</v>
      </c>
      <c r="Q4167" s="1" t="s">
        <v>6960</v>
      </c>
      <c r="R4167" s="1" t="s">
        <v>100</v>
      </c>
      <c r="S4167" s="1" t="s">
        <v>4428</v>
      </c>
      <c r="T4167" s="1" t="s">
        <v>4429</v>
      </c>
      <c r="U4167" s="2" t="s">
        <v>4761</v>
      </c>
      <c r="V4167" s="2" t="s">
        <v>47</v>
      </c>
      <c r="W4167" s="2" t="s">
        <v>111</v>
      </c>
      <c r="X4167" s="2">
        <v>146.79</v>
      </c>
    </row>
    <row r="4168" spans="1:24" x14ac:dyDescent="0.3">
      <c r="A4168">
        <v>22015</v>
      </c>
      <c r="B4168" t="s">
        <v>9662</v>
      </c>
      <c r="C4168" s="3">
        <v>40616</v>
      </c>
      <c r="D4168" t="s">
        <v>62</v>
      </c>
      <c r="E4168">
        <v>10</v>
      </c>
      <c r="F4168" s="3">
        <f ca="1">40617+(RANDBETWEEN(1,10))</f>
        <v>40627</v>
      </c>
      <c r="G4168" t="s">
        <v>156</v>
      </c>
      <c r="H4168" t="s">
        <v>63</v>
      </c>
      <c r="I4168" t="s">
        <v>28</v>
      </c>
      <c r="J4168">
        <v>5231.2049999999999</v>
      </c>
      <c r="K4168">
        <v>0.09</v>
      </c>
      <c r="L4168">
        <v>0.68</v>
      </c>
      <c r="M4168">
        <v>241.5</v>
      </c>
      <c r="N4168">
        <v>-6173.1169499999996</v>
      </c>
      <c r="O4168" s="1" t="s">
        <v>53</v>
      </c>
      <c r="P4168" s="1" t="s">
        <v>7603</v>
      </c>
      <c r="Q4168" s="1" t="s">
        <v>7604</v>
      </c>
      <c r="R4168" s="1" t="s">
        <v>56</v>
      </c>
      <c r="S4168" s="1" t="s">
        <v>7605</v>
      </c>
      <c r="T4168" s="1" t="s">
        <v>7606</v>
      </c>
      <c r="U4168" s="2" t="s">
        <v>7427</v>
      </c>
      <c r="V4168" s="2" t="s">
        <v>83</v>
      </c>
      <c r="W4168" s="2" t="s">
        <v>263</v>
      </c>
      <c r="X4168" s="2">
        <v>539.45500000000004</v>
      </c>
    </row>
    <row r="4169" spans="1:24" x14ac:dyDescent="0.3">
      <c r="A4169">
        <v>22016</v>
      </c>
      <c r="B4169" t="s">
        <v>9663</v>
      </c>
      <c r="C4169" s="3">
        <v>41501</v>
      </c>
      <c r="D4169" t="s">
        <v>39</v>
      </c>
      <c r="E4169">
        <v>13</v>
      </c>
      <c r="F4169" s="3">
        <f ca="1">41502+(RANDBETWEEN(1,10))</f>
        <v>41503</v>
      </c>
      <c r="G4169" t="s">
        <v>26</v>
      </c>
      <c r="H4169" t="s">
        <v>27</v>
      </c>
      <c r="I4169" t="s">
        <v>97</v>
      </c>
      <c r="J4169">
        <v>283.43</v>
      </c>
      <c r="K4169">
        <v>0</v>
      </c>
      <c r="L4169">
        <v>0.36</v>
      </c>
      <c r="M4169">
        <v>19.844999999999999</v>
      </c>
      <c r="N4169">
        <v>3460.2687000000001</v>
      </c>
      <c r="O4169" s="1" t="s">
        <v>87</v>
      </c>
      <c r="P4169" s="1" t="s">
        <v>2364</v>
      </c>
      <c r="Q4169" s="1" t="s">
        <v>2365</v>
      </c>
      <c r="R4169" s="1" t="s">
        <v>90</v>
      </c>
      <c r="S4169" s="1" t="s">
        <v>2366</v>
      </c>
      <c r="T4169" s="1" t="s">
        <v>2367</v>
      </c>
      <c r="U4169" s="2" t="s">
        <v>1621</v>
      </c>
      <c r="V4169" s="2" t="s">
        <v>47</v>
      </c>
      <c r="W4169" s="2" t="s">
        <v>74</v>
      </c>
      <c r="X4169" s="2">
        <v>20.23</v>
      </c>
    </row>
    <row r="4170" spans="1:24" x14ac:dyDescent="0.3">
      <c r="A4170">
        <v>22017</v>
      </c>
      <c r="B4170" t="s">
        <v>9664</v>
      </c>
      <c r="C4170" s="3">
        <v>41920</v>
      </c>
      <c r="D4170" t="s">
        <v>62</v>
      </c>
      <c r="E4170">
        <v>8</v>
      </c>
      <c r="F4170" s="3">
        <f ca="1">41921+(RANDBETWEEN(1,10))</f>
        <v>41924</v>
      </c>
      <c r="G4170" t="s">
        <v>26</v>
      </c>
      <c r="H4170" t="s">
        <v>27</v>
      </c>
      <c r="I4170" t="s">
        <v>52</v>
      </c>
      <c r="J4170">
        <v>1535.9749999999999</v>
      </c>
      <c r="K4170">
        <v>0.1</v>
      </c>
      <c r="L4170">
        <v>0.55000000000000004</v>
      </c>
      <c r="M4170">
        <v>20.72</v>
      </c>
      <c r="N4170">
        <v>15.372</v>
      </c>
      <c r="O4170" s="1" t="s">
        <v>53</v>
      </c>
      <c r="P4170" s="1" t="s">
        <v>5100</v>
      </c>
      <c r="Q4170" s="1" t="s">
        <v>5101</v>
      </c>
      <c r="R4170" s="1" t="s">
        <v>440</v>
      </c>
      <c r="S4170" s="1" t="s">
        <v>3428</v>
      </c>
      <c r="T4170" s="1" t="s">
        <v>3429</v>
      </c>
      <c r="U4170" s="2">
        <v>252</v>
      </c>
      <c r="V4170" s="2" t="s">
        <v>36</v>
      </c>
      <c r="W4170" s="2" t="s">
        <v>37</v>
      </c>
      <c r="X4170" s="2">
        <v>230.965</v>
      </c>
    </row>
    <row r="4171" spans="1:24" x14ac:dyDescent="0.3">
      <c r="A4171">
        <v>22018</v>
      </c>
      <c r="B4171" t="s">
        <v>9665</v>
      </c>
      <c r="C4171" s="3">
        <v>40654</v>
      </c>
      <c r="D4171" t="s">
        <v>39</v>
      </c>
      <c r="E4171">
        <v>7</v>
      </c>
      <c r="F4171" s="3">
        <f ca="1">40654+(RANDBETWEEN(1,10))</f>
        <v>40658</v>
      </c>
      <c r="G4171" t="s">
        <v>26</v>
      </c>
      <c r="H4171" t="s">
        <v>27</v>
      </c>
      <c r="I4171" t="s">
        <v>86</v>
      </c>
      <c r="J4171">
        <v>969.92</v>
      </c>
      <c r="K4171">
        <v>0.06</v>
      </c>
      <c r="L4171">
        <v>0.36</v>
      </c>
      <c r="M4171">
        <v>61.18</v>
      </c>
      <c r="N4171">
        <v>382.06</v>
      </c>
      <c r="O4171" s="1" t="s">
        <v>225</v>
      </c>
      <c r="P4171" s="1" t="s">
        <v>9666</v>
      </c>
      <c r="Q4171" s="1" t="s">
        <v>9667</v>
      </c>
      <c r="R4171" s="1" t="s">
        <v>228</v>
      </c>
      <c r="S4171" s="1" t="s">
        <v>2430</v>
      </c>
      <c r="T4171" s="1" t="s">
        <v>2431</v>
      </c>
      <c r="U4171" s="2" t="s">
        <v>1688</v>
      </c>
      <c r="V4171" s="2" t="s">
        <v>47</v>
      </c>
      <c r="W4171" s="2" t="s">
        <v>74</v>
      </c>
      <c r="X4171" s="2">
        <v>143.465</v>
      </c>
    </row>
    <row r="4172" spans="1:24" x14ac:dyDescent="0.3">
      <c r="A4172">
        <v>22019</v>
      </c>
      <c r="B4172" t="s">
        <v>9668</v>
      </c>
      <c r="C4172" s="3">
        <v>41550</v>
      </c>
      <c r="D4172" t="s">
        <v>62</v>
      </c>
      <c r="E4172">
        <v>25</v>
      </c>
      <c r="F4172" s="3">
        <f ca="1">41552+(RANDBETWEEN(1,10))</f>
        <v>41562</v>
      </c>
      <c r="G4172" t="s">
        <v>26</v>
      </c>
      <c r="H4172" t="s">
        <v>51</v>
      </c>
      <c r="I4172" t="s">
        <v>97</v>
      </c>
      <c r="J4172">
        <v>723.41499999999996</v>
      </c>
      <c r="K4172">
        <v>0.04</v>
      </c>
      <c r="L4172">
        <v>0.55000000000000004</v>
      </c>
      <c r="M4172">
        <v>27.195</v>
      </c>
      <c r="N4172">
        <v>-848.26980000000003</v>
      </c>
      <c r="O4172" s="1" t="s">
        <v>29</v>
      </c>
      <c r="P4172" s="1" t="s">
        <v>8246</v>
      </c>
      <c r="Q4172" s="1" t="s">
        <v>8247</v>
      </c>
      <c r="R4172" s="1" t="s">
        <v>460</v>
      </c>
      <c r="S4172" s="1" t="s">
        <v>8248</v>
      </c>
      <c r="T4172" s="1" t="s">
        <v>8249</v>
      </c>
      <c r="U4172" s="2" t="s">
        <v>6938</v>
      </c>
      <c r="V4172" s="2" t="s">
        <v>47</v>
      </c>
      <c r="W4172" s="2" t="s">
        <v>94</v>
      </c>
      <c r="X4172" s="2">
        <v>29.574999999999999</v>
      </c>
    </row>
    <row r="4173" spans="1:24" x14ac:dyDescent="0.3">
      <c r="A4173">
        <v>22020</v>
      </c>
      <c r="B4173" t="s">
        <v>9668</v>
      </c>
      <c r="C4173" s="3">
        <v>41550</v>
      </c>
      <c r="D4173" t="s">
        <v>62</v>
      </c>
      <c r="E4173">
        <v>8</v>
      </c>
      <c r="F4173" s="3">
        <f ca="1">41552+(RANDBETWEEN(1,10))</f>
        <v>41557</v>
      </c>
      <c r="G4173" t="s">
        <v>26</v>
      </c>
      <c r="H4173" t="s">
        <v>27</v>
      </c>
      <c r="I4173" t="s">
        <v>97</v>
      </c>
      <c r="J4173">
        <v>2835.63</v>
      </c>
      <c r="K4173">
        <v>0.04</v>
      </c>
      <c r="L4173">
        <v>0.56000000000000005</v>
      </c>
      <c r="M4173">
        <v>14.805</v>
      </c>
      <c r="N4173">
        <v>780.66323999999997</v>
      </c>
      <c r="O4173" s="1" t="s">
        <v>29</v>
      </c>
      <c r="P4173" s="1" t="s">
        <v>8246</v>
      </c>
      <c r="Q4173" s="1" t="s">
        <v>8247</v>
      </c>
      <c r="R4173" s="1" t="s">
        <v>460</v>
      </c>
      <c r="S4173" s="1" t="s">
        <v>8248</v>
      </c>
      <c r="T4173" s="1" t="s">
        <v>8249</v>
      </c>
      <c r="U4173" s="2">
        <v>282</v>
      </c>
      <c r="V4173" s="2" t="s">
        <v>36</v>
      </c>
      <c r="W4173" s="2" t="s">
        <v>37</v>
      </c>
      <c r="X4173" s="2">
        <v>405.96499999999997</v>
      </c>
    </row>
    <row r="4174" spans="1:24" x14ac:dyDescent="0.3">
      <c r="A4174">
        <v>22021</v>
      </c>
      <c r="B4174" t="s">
        <v>9669</v>
      </c>
      <c r="C4174" s="3">
        <v>41861</v>
      </c>
      <c r="D4174" t="s">
        <v>148</v>
      </c>
      <c r="E4174">
        <v>1</v>
      </c>
      <c r="F4174" s="3">
        <f ca="1">41863+(RANDBETWEEN(1,10))</f>
        <v>41867</v>
      </c>
      <c r="G4174" t="s">
        <v>26</v>
      </c>
      <c r="H4174" t="s">
        <v>27</v>
      </c>
      <c r="I4174" t="s">
        <v>86</v>
      </c>
      <c r="J4174">
        <v>41.195</v>
      </c>
      <c r="K4174">
        <v>0.03</v>
      </c>
      <c r="L4174">
        <v>0.38</v>
      </c>
      <c r="M4174">
        <v>21.664999999999999</v>
      </c>
      <c r="N4174">
        <v>66.191999999999993</v>
      </c>
      <c r="O4174" s="1" t="s">
        <v>87</v>
      </c>
      <c r="P4174" s="1" t="s">
        <v>5275</v>
      </c>
      <c r="Q4174" s="1" t="s">
        <v>5276</v>
      </c>
      <c r="R4174" s="1" t="s">
        <v>646</v>
      </c>
      <c r="S4174" s="1" t="s">
        <v>5277</v>
      </c>
      <c r="T4174" s="1" t="s">
        <v>5278</v>
      </c>
      <c r="U4174" s="2" t="s">
        <v>1202</v>
      </c>
      <c r="V4174" s="2" t="s">
        <v>47</v>
      </c>
      <c r="W4174" s="2" t="s">
        <v>111</v>
      </c>
      <c r="X4174" s="2">
        <v>30.1</v>
      </c>
    </row>
    <row r="4175" spans="1:24" x14ac:dyDescent="0.3">
      <c r="A4175">
        <v>22022</v>
      </c>
      <c r="B4175" t="s">
        <v>9669</v>
      </c>
      <c r="C4175" s="3">
        <v>41861</v>
      </c>
      <c r="D4175" t="s">
        <v>148</v>
      </c>
      <c r="E4175">
        <v>5</v>
      </c>
      <c r="F4175" s="3">
        <f ca="1">41862+(RANDBETWEEN(1,10))</f>
        <v>41866</v>
      </c>
      <c r="G4175" t="s">
        <v>26</v>
      </c>
      <c r="H4175" t="s">
        <v>27</v>
      </c>
      <c r="I4175" t="s">
        <v>86</v>
      </c>
      <c r="J4175">
        <v>2694.72</v>
      </c>
      <c r="K4175">
        <v>0.08</v>
      </c>
      <c r="L4175">
        <v>0.59</v>
      </c>
      <c r="M4175">
        <v>69.965000000000003</v>
      </c>
      <c r="N4175">
        <v>28014.545999999998</v>
      </c>
      <c r="O4175" s="1" t="s">
        <v>87</v>
      </c>
      <c r="P4175" s="1" t="s">
        <v>5275</v>
      </c>
      <c r="Q4175" s="1" t="s">
        <v>5276</v>
      </c>
      <c r="R4175" s="1" t="s">
        <v>646</v>
      </c>
      <c r="S4175" s="1" t="s">
        <v>5277</v>
      </c>
      <c r="T4175" s="1" t="s">
        <v>5278</v>
      </c>
      <c r="U4175" s="2" t="s">
        <v>2230</v>
      </c>
      <c r="V4175" s="2" t="s">
        <v>47</v>
      </c>
      <c r="W4175" s="2" t="s">
        <v>119</v>
      </c>
      <c r="X4175" s="2">
        <v>578.20000000000005</v>
      </c>
    </row>
    <row r="4176" spans="1:24" x14ac:dyDescent="0.3">
      <c r="A4176">
        <v>22023</v>
      </c>
      <c r="B4176" t="s">
        <v>9670</v>
      </c>
      <c r="C4176" s="3">
        <v>41333</v>
      </c>
      <c r="D4176" t="s">
        <v>50</v>
      </c>
      <c r="E4176">
        <v>4</v>
      </c>
      <c r="F4176" s="3">
        <f ca="1">41333+(RANDBETWEEN(1,10))</f>
        <v>41338</v>
      </c>
      <c r="G4176" t="s">
        <v>26</v>
      </c>
      <c r="H4176" t="s">
        <v>96</v>
      </c>
      <c r="I4176" t="s">
        <v>86</v>
      </c>
      <c r="J4176">
        <v>75.53</v>
      </c>
      <c r="K4176">
        <v>0.02</v>
      </c>
      <c r="L4176">
        <v>0.36</v>
      </c>
      <c r="M4176">
        <v>3.3250000000000002</v>
      </c>
      <c r="N4176">
        <v>-1947.8921</v>
      </c>
      <c r="O4176" s="1" t="s">
        <v>87</v>
      </c>
      <c r="P4176" s="1" t="s">
        <v>9671</v>
      </c>
      <c r="Q4176" s="1" t="s">
        <v>9672</v>
      </c>
      <c r="R4176" s="1" t="s">
        <v>646</v>
      </c>
      <c r="S4176" s="1" t="s">
        <v>9673</v>
      </c>
      <c r="T4176" s="1" t="s">
        <v>9674</v>
      </c>
      <c r="U4176" s="2" t="s">
        <v>3882</v>
      </c>
      <c r="V4176" s="2" t="s">
        <v>47</v>
      </c>
      <c r="W4176" s="2" t="s">
        <v>74</v>
      </c>
      <c r="X4176" s="2">
        <v>19.004999999999999</v>
      </c>
    </row>
    <row r="4177" spans="1:24" x14ac:dyDescent="0.3">
      <c r="A4177">
        <v>22024</v>
      </c>
      <c r="B4177" t="s">
        <v>9670</v>
      </c>
      <c r="C4177" s="3">
        <v>41333</v>
      </c>
      <c r="D4177" t="s">
        <v>50</v>
      </c>
      <c r="E4177">
        <v>1</v>
      </c>
      <c r="F4177" s="3">
        <f ca="1">41333+(RANDBETWEEN(1,10))</f>
        <v>41336</v>
      </c>
      <c r="G4177" t="s">
        <v>26</v>
      </c>
      <c r="H4177" t="s">
        <v>51</v>
      </c>
      <c r="I4177" t="s">
        <v>86</v>
      </c>
      <c r="J4177">
        <v>41.825000000000003</v>
      </c>
      <c r="K4177">
        <v>0.04</v>
      </c>
      <c r="L4177">
        <v>0.56999999999999995</v>
      </c>
      <c r="M4177">
        <v>11.795</v>
      </c>
      <c r="N4177">
        <v>-481.73615000000001</v>
      </c>
      <c r="O4177" s="1" t="s">
        <v>87</v>
      </c>
      <c r="P4177" s="1" t="s">
        <v>9671</v>
      </c>
      <c r="Q4177" s="1" t="s">
        <v>9672</v>
      </c>
      <c r="R4177" s="1" t="s">
        <v>646</v>
      </c>
      <c r="S4177" s="1" t="s">
        <v>9673</v>
      </c>
      <c r="T4177" s="1" t="s">
        <v>9674</v>
      </c>
      <c r="U4177" s="2" t="s">
        <v>5857</v>
      </c>
      <c r="V4177" s="2" t="s">
        <v>47</v>
      </c>
      <c r="W4177" s="2" t="s">
        <v>94</v>
      </c>
      <c r="X4177" s="2">
        <v>38.43</v>
      </c>
    </row>
    <row r="4178" spans="1:24" x14ac:dyDescent="0.3">
      <c r="A4178">
        <v>22025</v>
      </c>
      <c r="B4178" t="s">
        <v>9675</v>
      </c>
      <c r="C4178" s="3">
        <v>41758</v>
      </c>
      <c r="D4178" t="s">
        <v>25</v>
      </c>
      <c r="E4178">
        <v>9</v>
      </c>
      <c r="F4178" s="3">
        <f ca="1">41758+(RANDBETWEEN(1,10))</f>
        <v>41763</v>
      </c>
      <c r="G4178" t="s">
        <v>26</v>
      </c>
      <c r="H4178" t="s">
        <v>27</v>
      </c>
      <c r="I4178" t="s">
        <v>28</v>
      </c>
      <c r="J4178">
        <v>529.13</v>
      </c>
      <c r="K4178">
        <v>0.09</v>
      </c>
      <c r="L4178">
        <v>0.57999999999999996</v>
      </c>
      <c r="M4178">
        <v>21.875</v>
      </c>
      <c r="N4178">
        <v>-806.49099999999999</v>
      </c>
      <c r="O4178" s="1" t="s">
        <v>53</v>
      </c>
      <c r="P4178" s="1" t="s">
        <v>8182</v>
      </c>
      <c r="Q4178" s="1" t="s">
        <v>8183</v>
      </c>
      <c r="R4178" s="1" t="s">
        <v>100</v>
      </c>
      <c r="S4178" s="1" t="s">
        <v>8184</v>
      </c>
      <c r="T4178" s="1" t="s">
        <v>8185</v>
      </c>
      <c r="U4178" s="2" t="s">
        <v>306</v>
      </c>
      <c r="V4178" s="2" t="s">
        <v>47</v>
      </c>
      <c r="W4178" s="2" t="s">
        <v>119</v>
      </c>
      <c r="X4178" s="2">
        <v>59.185000000000002</v>
      </c>
    </row>
    <row r="4179" spans="1:24" x14ac:dyDescent="0.3">
      <c r="A4179">
        <v>22026</v>
      </c>
      <c r="B4179" t="s">
        <v>9675</v>
      </c>
      <c r="C4179" s="3">
        <v>41758</v>
      </c>
      <c r="D4179" t="s">
        <v>25</v>
      </c>
      <c r="E4179">
        <v>2</v>
      </c>
      <c r="F4179" s="3">
        <f ca="1">41765+(RANDBETWEEN(1,10))</f>
        <v>41768</v>
      </c>
      <c r="G4179" t="s">
        <v>76</v>
      </c>
      <c r="H4179" t="s">
        <v>258</v>
      </c>
      <c r="I4179" t="s">
        <v>28</v>
      </c>
      <c r="J4179">
        <v>2171.4699999999998</v>
      </c>
      <c r="K4179">
        <v>0.04</v>
      </c>
      <c r="L4179">
        <v>0.74</v>
      </c>
      <c r="M4179">
        <v>299.70499999999998</v>
      </c>
      <c r="N4179">
        <v>186.48</v>
      </c>
      <c r="O4179" s="1" t="s">
        <v>53</v>
      </c>
      <c r="P4179" s="1" t="s">
        <v>8182</v>
      </c>
      <c r="Q4179" s="1" t="s">
        <v>8183</v>
      </c>
      <c r="R4179" s="1" t="s">
        <v>100</v>
      </c>
      <c r="S4179" s="1" t="s">
        <v>8184</v>
      </c>
      <c r="T4179" s="1" t="s">
        <v>8185</v>
      </c>
      <c r="U4179" s="2" t="s">
        <v>3542</v>
      </c>
      <c r="V4179" s="2" t="s">
        <v>83</v>
      </c>
      <c r="W4179" s="2" t="s">
        <v>263</v>
      </c>
      <c r="X4179" s="2">
        <v>1316.4549999999999</v>
      </c>
    </row>
    <row r="4180" spans="1:24" x14ac:dyDescent="0.3">
      <c r="A4180">
        <v>22027</v>
      </c>
      <c r="B4180" t="s">
        <v>9676</v>
      </c>
      <c r="C4180" s="3">
        <v>41149</v>
      </c>
      <c r="D4180" t="s">
        <v>25</v>
      </c>
      <c r="E4180">
        <v>3</v>
      </c>
      <c r="F4180" s="3">
        <f ca="1">41149+(RANDBETWEEN(1,10))</f>
        <v>41151</v>
      </c>
      <c r="G4180" t="s">
        <v>26</v>
      </c>
      <c r="H4180" t="s">
        <v>51</v>
      </c>
      <c r="I4180" t="s">
        <v>52</v>
      </c>
      <c r="J4180">
        <v>342.58</v>
      </c>
      <c r="K4180">
        <v>0.02</v>
      </c>
      <c r="L4180">
        <v>0.41</v>
      </c>
      <c r="M4180">
        <v>6.9649999999999999</v>
      </c>
      <c r="N4180">
        <v>1298.556</v>
      </c>
      <c r="O4180" s="1" t="s">
        <v>53</v>
      </c>
      <c r="P4180" s="1" t="s">
        <v>7874</v>
      </c>
      <c r="Q4180" s="1" t="s">
        <v>7875</v>
      </c>
      <c r="R4180" s="1" t="s">
        <v>440</v>
      </c>
      <c r="S4180" s="1" t="s">
        <v>7876</v>
      </c>
      <c r="T4180" s="1" t="s">
        <v>7877</v>
      </c>
      <c r="U4180" s="2" t="s">
        <v>6117</v>
      </c>
      <c r="V4180" s="2" t="s">
        <v>36</v>
      </c>
      <c r="W4180" s="2" t="s">
        <v>60</v>
      </c>
      <c r="X4180" s="2">
        <v>116.515</v>
      </c>
    </row>
    <row r="4181" spans="1:24" x14ac:dyDescent="0.3">
      <c r="A4181">
        <v>22028</v>
      </c>
      <c r="B4181" t="s">
        <v>9677</v>
      </c>
      <c r="C4181" s="3">
        <v>40580</v>
      </c>
      <c r="D4181" t="s">
        <v>39</v>
      </c>
      <c r="E4181">
        <v>4</v>
      </c>
      <c r="F4181" s="3">
        <f ca="1">40581+(RANDBETWEEN(1,10))</f>
        <v>40586</v>
      </c>
      <c r="G4181" t="s">
        <v>26</v>
      </c>
      <c r="H4181" t="s">
        <v>63</v>
      </c>
      <c r="I4181" t="s">
        <v>86</v>
      </c>
      <c r="J4181">
        <v>831.67</v>
      </c>
      <c r="K4181">
        <v>0.02</v>
      </c>
      <c r="L4181">
        <v>0.68</v>
      </c>
      <c r="M4181">
        <v>241.5</v>
      </c>
      <c r="N4181">
        <v>-1539.6780000000001</v>
      </c>
      <c r="O4181" s="1" t="s">
        <v>87</v>
      </c>
      <c r="P4181" s="1" t="s">
        <v>9678</v>
      </c>
      <c r="Q4181" s="1" t="s">
        <v>9679</v>
      </c>
      <c r="R4181" s="1" t="s">
        <v>398</v>
      </c>
      <c r="S4181" s="1" t="s">
        <v>9680</v>
      </c>
      <c r="T4181" s="1" t="s">
        <v>9681</v>
      </c>
      <c r="U4181" s="2" t="s">
        <v>1152</v>
      </c>
      <c r="V4181" s="2" t="s">
        <v>83</v>
      </c>
      <c r="W4181" s="2" t="s">
        <v>263</v>
      </c>
      <c r="X4181" s="2">
        <v>249.79499999999999</v>
      </c>
    </row>
    <row r="4182" spans="1:24" x14ac:dyDescent="0.3">
      <c r="A4182">
        <v>22029</v>
      </c>
      <c r="B4182" t="s">
        <v>9677</v>
      </c>
      <c r="C4182" s="3">
        <v>40580</v>
      </c>
      <c r="D4182" t="s">
        <v>39</v>
      </c>
      <c r="E4182">
        <v>1</v>
      </c>
      <c r="F4182" s="3">
        <f ca="1">40582+(RANDBETWEEN(1,10))</f>
        <v>40587</v>
      </c>
      <c r="G4182" t="s">
        <v>156</v>
      </c>
      <c r="H4182" t="s">
        <v>27</v>
      </c>
      <c r="I4182" t="s">
        <v>86</v>
      </c>
      <c r="J4182">
        <v>617.47</v>
      </c>
      <c r="K4182">
        <v>0.03</v>
      </c>
      <c r="L4182">
        <v>0.6</v>
      </c>
      <c r="M4182">
        <v>31.465</v>
      </c>
      <c r="N4182">
        <v>3807.0059999999999</v>
      </c>
      <c r="O4182" s="1" t="s">
        <v>87</v>
      </c>
      <c r="P4182" s="1" t="s">
        <v>9678</v>
      </c>
      <c r="Q4182" s="1" t="s">
        <v>9679</v>
      </c>
      <c r="R4182" s="1" t="s">
        <v>398</v>
      </c>
      <c r="S4182" s="1" t="s">
        <v>9680</v>
      </c>
      <c r="T4182" s="1" t="s">
        <v>9681</v>
      </c>
      <c r="U4182" s="2" t="s">
        <v>2580</v>
      </c>
      <c r="V4182" s="2" t="s">
        <v>36</v>
      </c>
      <c r="W4182" s="2" t="s">
        <v>37</v>
      </c>
      <c r="X4182" s="2">
        <v>720.96500000000003</v>
      </c>
    </row>
    <row r="4183" spans="1:24" x14ac:dyDescent="0.3">
      <c r="A4183">
        <v>22030</v>
      </c>
      <c r="B4183" t="s">
        <v>9682</v>
      </c>
      <c r="C4183" s="3">
        <v>41315</v>
      </c>
      <c r="D4183" t="s">
        <v>25</v>
      </c>
      <c r="E4183">
        <v>13</v>
      </c>
      <c r="F4183" s="3">
        <f ca="1">41322+(RANDBETWEEN(1,10))</f>
        <v>41328</v>
      </c>
      <c r="G4183" t="s">
        <v>26</v>
      </c>
      <c r="H4183" t="s">
        <v>51</v>
      </c>
      <c r="I4183" t="s">
        <v>86</v>
      </c>
      <c r="J4183">
        <v>2061.1849999999999</v>
      </c>
      <c r="K4183">
        <v>0.05</v>
      </c>
      <c r="L4183">
        <v>0.83</v>
      </c>
      <c r="M4183">
        <v>17.5</v>
      </c>
      <c r="N4183">
        <v>-740.9325</v>
      </c>
      <c r="O4183" s="1" t="s">
        <v>225</v>
      </c>
      <c r="P4183" s="1" t="s">
        <v>8320</v>
      </c>
      <c r="Q4183" s="1" t="s">
        <v>8321</v>
      </c>
      <c r="R4183" s="1" t="s">
        <v>391</v>
      </c>
      <c r="S4183" s="1" t="s">
        <v>8322</v>
      </c>
      <c r="T4183" s="1" t="s">
        <v>8323</v>
      </c>
      <c r="U4183" s="2" t="s">
        <v>4376</v>
      </c>
      <c r="V4183" s="2" t="s">
        <v>36</v>
      </c>
      <c r="W4183" s="2" t="s">
        <v>37</v>
      </c>
      <c r="X4183" s="2">
        <v>195.965</v>
      </c>
    </row>
    <row r="4184" spans="1:24" x14ac:dyDescent="0.3">
      <c r="A4184">
        <v>22031</v>
      </c>
      <c r="B4184" t="s">
        <v>9683</v>
      </c>
      <c r="C4184" s="3">
        <v>41640</v>
      </c>
      <c r="D4184" t="s">
        <v>39</v>
      </c>
      <c r="E4184">
        <v>9</v>
      </c>
      <c r="F4184" s="3">
        <f ca="1">41641+(RANDBETWEEN(1,10))</f>
        <v>41643</v>
      </c>
      <c r="G4184" t="s">
        <v>26</v>
      </c>
      <c r="H4184" t="s">
        <v>27</v>
      </c>
      <c r="I4184" t="s">
        <v>86</v>
      </c>
      <c r="J4184">
        <v>177.55500000000001</v>
      </c>
      <c r="K4184">
        <v>0.1</v>
      </c>
      <c r="L4184">
        <v>0.68</v>
      </c>
      <c r="M4184">
        <v>16.414999999999999</v>
      </c>
      <c r="N4184">
        <v>-485.21199999999999</v>
      </c>
      <c r="O4184" s="1" t="s">
        <v>29</v>
      </c>
      <c r="P4184" s="1" t="s">
        <v>4435</v>
      </c>
      <c r="Q4184" s="1" t="s">
        <v>4436</v>
      </c>
      <c r="R4184" s="1" t="s">
        <v>32</v>
      </c>
      <c r="S4184" s="1" t="s">
        <v>4437</v>
      </c>
      <c r="T4184" s="1" t="s">
        <v>4438</v>
      </c>
      <c r="U4184" s="2" t="s">
        <v>2362</v>
      </c>
      <c r="V4184" s="2" t="s">
        <v>47</v>
      </c>
      <c r="W4184" s="2" t="s">
        <v>119</v>
      </c>
      <c r="X4184" s="2">
        <v>20.93</v>
      </c>
    </row>
    <row r="4185" spans="1:24" x14ac:dyDescent="0.3">
      <c r="A4185">
        <v>22032</v>
      </c>
      <c r="B4185" t="s">
        <v>9684</v>
      </c>
      <c r="C4185" s="3">
        <v>41217</v>
      </c>
      <c r="D4185" t="s">
        <v>39</v>
      </c>
      <c r="E4185">
        <v>20</v>
      </c>
      <c r="F4185" s="3">
        <f ca="1">41219+(RANDBETWEEN(1,10))</f>
        <v>41228</v>
      </c>
      <c r="G4185" t="s">
        <v>156</v>
      </c>
      <c r="H4185" t="s">
        <v>51</v>
      </c>
      <c r="I4185" t="s">
        <v>97</v>
      </c>
      <c r="J4185">
        <v>1259.405</v>
      </c>
      <c r="K4185">
        <v>0.08</v>
      </c>
      <c r="L4185">
        <v>0.47</v>
      </c>
      <c r="M4185">
        <v>31.465</v>
      </c>
      <c r="N4185">
        <v>395.47199999999998</v>
      </c>
      <c r="O4185" s="1" t="s">
        <v>64</v>
      </c>
      <c r="P4185" s="1" t="s">
        <v>620</v>
      </c>
      <c r="Q4185" s="1" t="s">
        <v>621</v>
      </c>
      <c r="R4185" s="1" t="s">
        <v>128</v>
      </c>
      <c r="S4185" s="1" t="s">
        <v>622</v>
      </c>
      <c r="T4185" s="1" t="s">
        <v>623</v>
      </c>
      <c r="U4185" s="2" t="s">
        <v>1320</v>
      </c>
      <c r="V4185" s="2" t="s">
        <v>83</v>
      </c>
      <c r="W4185" s="2" t="s">
        <v>178</v>
      </c>
      <c r="X4185" s="2">
        <v>61.844999999999999</v>
      </c>
    </row>
    <row r="4186" spans="1:24" x14ac:dyDescent="0.3">
      <c r="A4186">
        <v>22033</v>
      </c>
      <c r="B4186" t="s">
        <v>9684</v>
      </c>
      <c r="C4186" s="3">
        <v>41217</v>
      </c>
      <c r="D4186" t="s">
        <v>39</v>
      </c>
      <c r="E4186">
        <v>31</v>
      </c>
      <c r="F4186" s="3">
        <f ca="1">41220+(RANDBETWEEN(1,10))</f>
        <v>41227</v>
      </c>
      <c r="G4186" t="s">
        <v>156</v>
      </c>
      <c r="H4186" t="s">
        <v>27</v>
      </c>
      <c r="I4186" t="s">
        <v>97</v>
      </c>
      <c r="J4186">
        <v>1013.425</v>
      </c>
      <c r="K4186">
        <v>0</v>
      </c>
      <c r="L4186">
        <v>0.4</v>
      </c>
      <c r="M4186">
        <v>16.87</v>
      </c>
      <c r="N4186">
        <v>199.815</v>
      </c>
      <c r="O4186" s="1" t="s">
        <v>87</v>
      </c>
      <c r="P4186" s="1" t="s">
        <v>9685</v>
      </c>
      <c r="Q4186" s="1" t="s">
        <v>9686</v>
      </c>
      <c r="R4186" s="1" t="s">
        <v>646</v>
      </c>
      <c r="S4186" s="1" t="s">
        <v>9687</v>
      </c>
      <c r="T4186" s="1" t="s">
        <v>9688</v>
      </c>
      <c r="U4186" s="2" t="s">
        <v>1488</v>
      </c>
      <c r="V4186" s="2" t="s">
        <v>47</v>
      </c>
      <c r="W4186" s="2" t="s">
        <v>74</v>
      </c>
      <c r="X4186" s="2">
        <v>29.19</v>
      </c>
    </row>
    <row r="4187" spans="1:24" x14ac:dyDescent="0.3">
      <c r="A4187">
        <v>22034</v>
      </c>
      <c r="B4187" t="s">
        <v>9684</v>
      </c>
      <c r="C4187" s="3">
        <v>41217</v>
      </c>
      <c r="D4187" t="s">
        <v>39</v>
      </c>
      <c r="E4187">
        <v>19</v>
      </c>
      <c r="F4187" s="3">
        <f ca="1">41219+(RANDBETWEEN(1,10))</f>
        <v>41223</v>
      </c>
      <c r="G4187" t="s">
        <v>26</v>
      </c>
      <c r="H4187" t="s">
        <v>27</v>
      </c>
      <c r="I4187" t="s">
        <v>97</v>
      </c>
      <c r="J4187">
        <v>12095.334999999999</v>
      </c>
      <c r="K4187">
        <v>0.02</v>
      </c>
      <c r="L4187">
        <v>0.57999999999999996</v>
      </c>
      <c r="M4187">
        <v>10.5</v>
      </c>
      <c r="N4187">
        <v>6813.7839000000004</v>
      </c>
      <c r="O4187" s="1" t="s">
        <v>87</v>
      </c>
      <c r="P4187" s="1" t="s">
        <v>9685</v>
      </c>
      <c r="Q4187" s="1" t="s">
        <v>9686</v>
      </c>
      <c r="R4187" s="1" t="s">
        <v>646</v>
      </c>
      <c r="S4187" s="1" t="s">
        <v>9687</v>
      </c>
      <c r="T4187" s="1" t="s">
        <v>9688</v>
      </c>
      <c r="U4187" s="2">
        <v>6185</v>
      </c>
      <c r="V4187" s="2" t="s">
        <v>36</v>
      </c>
      <c r="W4187" s="2" t="s">
        <v>37</v>
      </c>
      <c r="X4187" s="2">
        <v>720.96500000000003</v>
      </c>
    </row>
    <row r="4188" spans="1:24" x14ac:dyDescent="0.3">
      <c r="A4188">
        <v>22035</v>
      </c>
      <c r="B4188" t="s">
        <v>9689</v>
      </c>
      <c r="C4188" s="3">
        <v>41366</v>
      </c>
      <c r="D4188" t="s">
        <v>148</v>
      </c>
      <c r="E4188">
        <v>4</v>
      </c>
      <c r="F4188" s="3">
        <f ca="1">41368+(RANDBETWEEN(1,10))</f>
        <v>41375</v>
      </c>
      <c r="G4188" t="s">
        <v>26</v>
      </c>
      <c r="H4188" t="s">
        <v>63</v>
      </c>
      <c r="I4188" t="s">
        <v>28</v>
      </c>
      <c r="J4188">
        <v>97.93</v>
      </c>
      <c r="K4188">
        <v>7.0000000000000007E-2</v>
      </c>
      <c r="L4188">
        <v>0.59</v>
      </c>
      <c r="M4188">
        <v>171.5</v>
      </c>
      <c r="N4188">
        <v>-2158.835</v>
      </c>
      <c r="O4188" s="1" t="s">
        <v>53</v>
      </c>
      <c r="P4188" s="1" t="s">
        <v>4130</v>
      </c>
      <c r="Q4188" s="1" t="s">
        <v>4131</v>
      </c>
      <c r="R4188" s="1" t="s">
        <v>100</v>
      </c>
      <c r="S4188" s="1" t="s">
        <v>4132</v>
      </c>
      <c r="T4188" s="1" t="s">
        <v>4133</v>
      </c>
      <c r="U4188" s="2" t="s">
        <v>9246</v>
      </c>
      <c r="V4188" s="2" t="s">
        <v>47</v>
      </c>
      <c r="W4188" s="2" t="s">
        <v>71</v>
      </c>
      <c r="X4188" s="2">
        <v>12.18</v>
      </c>
    </row>
    <row r="4189" spans="1:24" x14ac:dyDescent="0.3">
      <c r="A4189">
        <v>22036</v>
      </c>
      <c r="B4189" t="s">
        <v>9689</v>
      </c>
      <c r="C4189" s="3">
        <v>41366</v>
      </c>
      <c r="D4189" t="s">
        <v>148</v>
      </c>
      <c r="E4189">
        <v>1</v>
      </c>
      <c r="F4189" s="3">
        <f ca="1">41368+(RANDBETWEEN(1,10))</f>
        <v>41369</v>
      </c>
      <c r="G4189" t="s">
        <v>26</v>
      </c>
      <c r="H4189" t="s">
        <v>27</v>
      </c>
      <c r="I4189" t="s">
        <v>28</v>
      </c>
      <c r="J4189">
        <v>22.33</v>
      </c>
      <c r="K4189">
        <v>7.0000000000000007E-2</v>
      </c>
      <c r="L4189">
        <v>0.39</v>
      </c>
      <c r="M4189">
        <v>5.2149999999999999</v>
      </c>
      <c r="N4189">
        <v>-6.9632500000000004</v>
      </c>
      <c r="O4189" s="1" t="s">
        <v>53</v>
      </c>
      <c r="P4189" s="1" t="s">
        <v>4130</v>
      </c>
      <c r="Q4189" s="1" t="s">
        <v>4131</v>
      </c>
      <c r="R4189" s="1" t="s">
        <v>100</v>
      </c>
      <c r="S4189" s="1" t="s">
        <v>4132</v>
      </c>
      <c r="T4189" s="1" t="s">
        <v>4133</v>
      </c>
      <c r="U4189" s="2" t="s">
        <v>1062</v>
      </c>
      <c r="V4189" s="2" t="s">
        <v>47</v>
      </c>
      <c r="W4189" s="2" t="s">
        <v>111</v>
      </c>
      <c r="X4189" s="2">
        <v>20.93</v>
      </c>
    </row>
    <row r="4190" spans="1:24" x14ac:dyDescent="0.3">
      <c r="A4190">
        <v>22037</v>
      </c>
      <c r="B4190" t="s">
        <v>9689</v>
      </c>
      <c r="C4190" s="3">
        <v>41366</v>
      </c>
      <c r="D4190" t="s">
        <v>148</v>
      </c>
      <c r="E4190">
        <v>13</v>
      </c>
      <c r="F4190" s="3">
        <f ca="1">41368+(RANDBETWEEN(1,10))</f>
        <v>41377</v>
      </c>
      <c r="G4190" t="s">
        <v>26</v>
      </c>
      <c r="H4190" t="s">
        <v>51</v>
      </c>
      <c r="I4190" t="s">
        <v>28</v>
      </c>
      <c r="J4190">
        <v>482.19499999999999</v>
      </c>
      <c r="K4190">
        <v>0.05</v>
      </c>
      <c r="L4190">
        <v>0.59</v>
      </c>
      <c r="M4190">
        <v>16.38</v>
      </c>
      <c r="N4190">
        <v>-90.58</v>
      </c>
      <c r="O4190" s="1" t="s">
        <v>53</v>
      </c>
      <c r="P4190" s="1" t="s">
        <v>4130</v>
      </c>
      <c r="Q4190" s="1" t="s">
        <v>4131</v>
      </c>
      <c r="R4190" s="1" t="s">
        <v>100</v>
      </c>
      <c r="S4190" s="1" t="s">
        <v>4132</v>
      </c>
      <c r="T4190" s="1" t="s">
        <v>4133</v>
      </c>
      <c r="U4190" s="2" t="s">
        <v>3567</v>
      </c>
      <c r="V4190" s="2" t="s">
        <v>47</v>
      </c>
      <c r="W4190" s="2" t="s">
        <v>94</v>
      </c>
      <c r="X4190" s="2">
        <v>35.805</v>
      </c>
    </row>
    <row r="4191" spans="1:24" x14ac:dyDescent="0.3">
      <c r="A4191">
        <v>22038</v>
      </c>
      <c r="B4191" t="s">
        <v>9690</v>
      </c>
      <c r="C4191" s="3">
        <v>41364</v>
      </c>
      <c r="D4191" t="s">
        <v>39</v>
      </c>
      <c r="E4191">
        <v>3</v>
      </c>
      <c r="F4191" s="3">
        <f ca="1">41365+(RANDBETWEEN(1,10))</f>
        <v>41368</v>
      </c>
      <c r="G4191" t="s">
        <v>156</v>
      </c>
      <c r="H4191" t="s">
        <v>27</v>
      </c>
      <c r="I4191" t="s">
        <v>52</v>
      </c>
      <c r="J4191">
        <v>69.23</v>
      </c>
      <c r="K4191">
        <v>0.02</v>
      </c>
      <c r="L4191">
        <v>0.38</v>
      </c>
      <c r="M4191">
        <v>29.155000000000001</v>
      </c>
      <c r="N4191">
        <v>-149.13499999999999</v>
      </c>
      <c r="O4191" s="1" t="s">
        <v>87</v>
      </c>
      <c r="P4191" s="1" t="s">
        <v>9691</v>
      </c>
      <c r="Q4191" s="1" t="s">
        <v>9692</v>
      </c>
      <c r="R4191" s="1" t="s">
        <v>398</v>
      </c>
      <c r="S4191" s="1" t="s">
        <v>9693</v>
      </c>
      <c r="T4191" s="1" t="s">
        <v>9694</v>
      </c>
      <c r="U4191" s="2" t="s">
        <v>867</v>
      </c>
      <c r="V4191" s="2" t="s">
        <v>47</v>
      </c>
      <c r="W4191" s="2" t="s">
        <v>74</v>
      </c>
      <c r="X4191" s="2">
        <v>17.43</v>
      </c>
    </row>
    <row r="4192" spans="1:24" x14ac:dyDescent="0.3">
      <c r="A4192">
        <v>22039</v>
      </c>
      <c r="B4192" t="s">
        <v>9695</v>
      </c>
      <c r="C4192" s="3">
        <v>41176</v>
      </c>
      <c r="D4192" t="s">
        <v>148</v>
      </c>
      <c r="E4192">
        <v>21</v>
      </c>
      <c r="F4192" s="3">
        <f ca="1">41177+(RANDBETWEEN(1,10))</f>
        <v>41182</v>
      </c>
      <c r="G4192" t="s">
        <v>156</v>
      </c>
      <c r="H4192" t="s">
        <v>27</v>
      </c>
      <c r="I4192" t="s">
        <v>28</v>
      </c>
      <c r="J4192">
        <v>2398.0949999999998</v>
      </c>
      <c r="K4192">
        <v>0.1</v>
      </c>
      <c r="L4192">
        <v>0.4</v>
      </c>
      <c r="M4192">
        <v>51.52</v>
      </c>
      <c r="N4192">
        <v>320.45999999999998</v>
      </c>
      <c r="O4192" s="1" t="s">
        <v>40</v>
      </c>
      <c r="P4192" s="1" t="s">
        <v>5592</v>
      </c>
      <c r="Q4192" s="1" t="s">
        <v>5593</v>
      </c>
      <c r="R4192" s="1" t="s">
        <v>43</v>
      </c>
      <c r="S4192" s="1" t="s">
        <v>1414</v>
      </c>
      <c r="T4192" s="1" t="s">
        <v>1415</v>
      </c>
      <c r="U4192" s="2" t="s">
        <v>5698</v>
      </c>
      <c r="V4192" s="2" t="s">
        <v>47</v>
      </c>
      <c r="W4192" s="2" t="s">
        <v>48</v>
      </c>
      <c r="X4192" s="2">
        <v>125.61499999999999</v>
      </c>
    </row>
    <row r="4193" spans="1:24" x14ac:dyDescent="0.3">
      <c r="A4193">
        <v>22040</v>
      </c>
      <c r="B4193" t="s">
        <v>9695</v>
      </c>
      <c r="C4193" s="3">
        <v>41176</v>
      </c>
      <c r="D4193" t="s">
        <v>148</v>
      </c>
      <c r="E4193">
        <v>20</v>
      </c>
      <c r="F4193" s="3">
        <f ca="1">41178+(RANDBETWEEN(1,10))</f>
        <v>41184</v>
      </c>
      <c r="G4193" t="s">
        <v>26</v>
      </c>
      <c r="H4193" t="s">
        <v>27</v>
      </c>
      <c r="I4193" t="s">
        <v>28</v>
      </c>
      <c r="J4193">
        <v>153.44</v>
      </c>
      <c r="K4193">
        <v>0.03</v>
      </c>
      <c r="L4193">
        <v>0.38</v>
      </c>
      <c r="M4193">
        <v>5.2149999999999999</v>
      </c>
      <c r="N4193">
        <v>-32.763500000000001</v>
      </c>
      <c r="O4193" s="1" t="s">
        <v>40</v>
      </c>
      <c r="P4193" s="1" t="s">
        <v>9603</v>
      </c>
      <c r="Q4193" s="1" t="s">
        <v>9604</v>
      </c>
      <c r="R4193" s="1" t="s">
        <v>43</v>
      </c>
      <c r="S4193" s="1" t="s">
        <v>5786</v>
      </c>
      <c r="T4193" s="1" t="s">
        <v>5787</v>
      </c>
      <c r="U4193" s="2" t="s">
        <v>7281</v>
      </c>
      <c r="V4193" s="2" t="s">
        <v>47</v>
      </c>
      <c r="W4193" s="2" t="s">
        <v>111</v>
      </c>
      <c r="X4193" s="2">
        <v>7.28</v>
      </c>
    </row>
    <row r="4194" spans="1:24" x14ac:dyDescent="0.3">
      <c r="A4194">
        <v>22041</v>
      </c>
      <c r="B4194" t="s">
        <v>9696</v>
      </c>
      <c r="C4194" s="3">
        <v>41729</v>
      </c>
      <c r="D4194" t="s">
        <v>50</v>
      </c>
      <c r="E4194">
        <v>1</v>
      </c>
      <c r="F4194" s="3">
        <f ca="1">41731+(RANDBETWEEN(1,10))</f>
        <v>41735</v>
      </c>
      <c r="G4194" t="s">
        <v>26</v>
      </c>
      <c r="H4194" t="s">
        <v>27</v>
      </c>
      <c r="I4194" t="s">
        <v>86</v>
      </c>
      <c r="J4194">
        <v>644.63</v>
      </c>
      <c r="K4194">
        <v>0.08</v>
      </c>
      <c r="L4194">
        <v>0.55000000000000004</v>
      </c>
      <c r="M4194">
        <v>69.965000000000003</v>
      </c>
      <c r="N4194">
        <v>-393.54</v>
      </c>
      <c r="O4194" s="1" t="s">
        <v>87</v>
      </c>
      <c r="P4194" s="1" t="s">
        <v>3444</v>
      </c>
      <c r="Q4194" s="1" t="s">
        <v>3445</v>
      </c>
      <c r="R4194" s="1" t="s">
        <v>646</v>
      </c>
      <c r="S4194" s="1" t="s">
        <v>3446</v>
      </c>
      <c r="T4194" s="1" t="s">
        <v>3447</v>
      </c>
      <c r="U4194" s="2" t="s">
        <v>721</v>
      </c>
      <c r="V4194" s="2" t="s">
        <v>47</v>
      </c>
      <c r="W4194" s="2" t="s">
        <v>119</v>
      </c>
      <c r="X4194" s="2">
        <v>624.64499999999998</v>
      </c>
    </row>
    <row r="4195" spans="1:24" x14ac:dyDescent="0.3">
      <c r="A4195">
        <v>22042</v>
      </c>
      <c r="B4195" t="s">
        <v>9697</v>
      </c>
      <c r="C4195" s="3">
        <v>41206</v>
      </c>
      <c r="D4195" t="s">
        <v>39</v>
      </c>
      <c r="E4195">
        <v>23</v>
      </c>
      <c r="F4195" s="3">
        <f ca="1">41207+(RANDBETWEEN(1,10))</f>
        <v>41215</v>
      </c>
      <c r="G4195" t="s">
        <v>26</v>
      </c>
      <c r="H4195" t="s">
        <v>27</v>
      </c>
      <c r="I4195" t="s">
        <v>28</v>
      </c>
      <c r="J4195">
        <v>13236.3</v>
      </c>
      <c r="K4195">
        <v>0.06</v>
      </c>
      <c r="L4195">
        <v>0.6</v>
      </c>
      <c r="M4195">
        <v>14.7</v>
      </c>
      <c r="N4195">
        <v>7541.9290799999999</v>
      </c>
      <c r="O4195" s="1" t="s">
        <v>87</v>
      </c>
      <c r="P4195" s="1" t="s">
        <v>2778</v>
      </c>
      <c r="Q4195" s="1" t="s">
        <v>2779</v>
      </c>
      <c r="R4195" s="1" t="s">
        <v>398</v>
      </c>
      <c r="S4195" s="1" t="s">
        <v>2780</v>
      </c>
      <c r="T4195" s="1" t="s">
        <v>2781</v>
      </c>
      <c r="U4195" s="2">
        <v>688</v>
      </c>
      <c r="V4195" s="2" t="s">
        <v>36</v>
      </c>
      <c r="W4195" s="2" t="s">
        <v>37</v>
      </c>
      <c r="X4195" s="2">
        <v>685.96500000000003</v>
      </c>
    </row>
    <row r="4196" spans="1:24" x14ac:dyDescent="0.3">
      <c r="A4196">
        <v>22043</v>
      </c>
      <c r="B4196" t="s">
        <v>9697</v>
      </c>
      <c r="C4196" s="3">
        <v>41206</v>
      </c>
      <c r="D4196" t="s">
        <v>39</v>
      </c>
      <c r="E4196">
        <v>3</v>
      </c>
      <c r="F4196" s="3">
        <f ca="1">41208+(RANDBETWEEN(1,10))</f>
        <v>41215</v>
      </c>
      <c r="G4196" t="s">
        <v>26</v>
      </c>
      <c r="H4196" t="s">
        <v>27</v>
      </c>
      <c r="I4196" t="s">
        <v>28</v>
      </c>
      <c r="J4196">
        <v>1737.4</v>
      </c>
      <c r="K4196">
        <v>0.06</v>
      </c>
      <c r="L4196">
        <v>0.39</v>
      </c>
      <c r="M4196">
        <v>69.965000000000003</v>
      </c>
      <c r="N4196">
        <v>547.64633000000003</v>
      </c>
      <c r="O4196" s="1" t="s">
        <v>53</v>
      </c>
      <c r="P4196" s="1" t="s">
        <v>9698</v>
      </c>
      <c r="Q4196" s="1" t="s">
        <v>9699</v>
      </c>
      <c r="R4196" s="1" t="s">
        <v>56</v>
      </c>
      <c r="S4196" s="1" t="s">
        <v>9700</v>
      </c>
      <c r="T4196" s="1" t="s">
        <v>9701</v>
      </c>
      <c r="U4196" s="2" t="s">
        <v>3970</v>
      </c>
      <c r="V4196" s="2" t="s">
        <v>47</v>
      </c>
      <c r="W4196" s="2" t="s">
        <v>111</v>
      </c>
      <c r="X4196" s="2">
        <v>605.46500000000003</v>
      </c>
    </row>
    <row r="4197" spans="1:24" x14ac:dyDescent="0.3">
      <c r="A4197">
        <v>22044</v>
      </c>
      <c r="B4197" t="s">
        <v>9702</v>
      </c>
      <c r="C4197" s="3">
        <v>40661</v>
      </c>
      <c r="D4197" t="s">
        <v>25</v>
      </c>
      <c r="E4197">
        <v>8</v>
      </c>
      <c r="F4197" s="3">
        <f ca="1">40663+(RANDBETWEEN(1,10))</f>
        <v>40671</v>
      </c>
      <c r="G4197" t="s">
        <v>156</v>
      </c>
      <c r="H4197" t="s">
        <v>96</v>
      </c>
      <c r="I4197" t="s">
        <v>86</v>
      </c>
      <c r="J4197">
        <v>96.075000000000003</v>
      </c>
      <c r="K4197">
        <v>0.06</v>
      </c>
      <c r="L4197">
        <v>0.54</v>
      </c>
      <c r="M4197">
        <v>26.215</v>
      </c>
      <c r="N4197">
        <v>-615.51</v>
      </c>
      <c r="O4197" s="1" t="s">
        <v>225</v>
      </c>
      <c r="P4197" s="1" t="s">
        <v>9703</v>
      </c>
      <c r="Q4197" s="1" t="s">
        <v>9704</v>
      </c>
      <c r="R4197" s="1" t="s">
        <v>228</v>
      </c>
      <c r="S4197" s="1" t="s">
        <v>4175</v>
      </c>
      <c r="T4197" s="1" t="s">
        <v>2326</v>
      </c>
      <c r="U4197" s="2" t="s">
        <v>6714</v>
      </c>
      <c r="V4197" s="2" t="s">
        <v>47</v>
      </c>
      <c r="W4197" s="2" t="s">
        <v>104</v>
      </c>
      <c r="X4197" s="2">
        <v>11.69</v>
      </c>
    </row>
    <row r="4198" spans="1:24" x14ac:dyDescent="0.3">
      <c r="A4198">
        <v>22045</v>
      </c>
      <c r="B4198" t="s">
        <v>9705</v>
      </c>
      <c r="C4198" s="3">
        <v>41477</v>
      </c>
      <c r="D4198" t="s">
        <v>148</v>
      </c>
      <c r="E4198">
        <v>15</v>
      </c>
      <c r="F4198" s="3">
        <f ca="1">41478+(RANDBETWEEN(1,10))</f>
        <v>41487</v>
      </c>
      <c r="G4198" t="s">
        <v>26</v>
      </c>
      <c r="H4198" t="s">
        <v>27</v>
      </c>
      <c r="I4198" t="s">
        <v>28</v>
      </c>
      <c r="J4198">
        <v>1058.2249999999999</v>
      </c>
      <c r="K4198">
        <v>0.1</v>
      </c>
      <c r="L4198">
        <v>0.78</v>
      </c>
      <c r="M4198">
        <v>22.75</v>
      </c>
      <c r="N4198">
        <v>-606.66899999999998</v>
      </c>
      <c r="O4198" s="1" t="s">
        <v>64</v>
      </c>
      <c r="P4198" s="1" t="s">
        <v>9546</v>
      </c>
      <c r="Q4198" s="1" t="s">
        <v>9547</v>
      </c>
      <c r="R4198" s="1" t="s">
        <v>67</v>
      </c>
      <c r="S4198" s="1" t="s">
        <v>9548</v>
      </c>
      <c r="T4198" s="1" t="s">
        <v>9549</v>
      </c>
      <c r="U4198" s="2" t="s">
        <v>1138</v>
      </c>
      <c r="V4198" s="2" t="s">
        <v>36</v>
      </c>
      <c r="W4198" s="2" t="s">
        <v>60</v>
      </c>
      <c r="X4198" s="2">
        <v>73.394999999999996</v>
      </c>
    </row>
    <row r="4199" spans="1:24" x14ac:dyDescent="0.3">
      <c r="A4199">
        <v>22046</v>
      </c>
      <c r="B4199" t="s">
        <v>9705</v>
      </c>
      <c r="C4199" s="3">
        <v>41477</v>
      </c>
      <c r="D4199" t="s">
        <v>148</v>
      </c>
      <c r="E4199">
        <v>2</v>
      </c>
      <c r="F4199" s="3">
        <f ca="1">41478+(RANDBETWEEN(1,10))</f>
        <v>41485</v>
      </c>
      <c r="G4199" t="s">
        <v>26</v>
      </c>
      <c r="H4199" t="s">
        <v>27</v>
      </c>
      <c r="I4199" t="s">
        <v>28</v>
      </c>
      <c r="J4199">
        <v>749.49</v>
      </c>
      <c r="K4199">
        <v>0.03</v>
      </c>
      <c r="L4199">
        <v>0.37</v>
      </c>
      <c r="M4199">
        <v>69.965000000000003</v>
      </c>
      <c r="N4199">
        <v>476.11200000000002</v>
      </c>
      <c r="O4199" s="1" t="s">
        <v>64</v>
      </c>
      <c r="P4199" s="1" t="s">
        <v>9546</v>
      </c>
      <c r="Q4199" s="1" t="s">
        <v>9547</v>
      </c>
      <c r="R4199" s="1" t="s">
        <v>67</v>
      </c>
      <c r="S4199" s="1" t="s">
        <v>9548</v>
      </c>
      <c r="T4199" s="1" t="s">
        <v>9549</v>
      </c>
      <c r="U4199" s="2" t="s">
        <v>9706</v>
      </c>
      <c r="V4199" s="2" t="s">
        <v>47</v>
      </c>
      <c r="W4199" s="2" t="s">
        <v>74</v>
      </c>
      <c r="X4199" s="2">
        <v>366.97500000000002</v>
      </c>
    </row>
    <row r="4200" spans="1:24" x14ac:dyDescent="0.3">
      <c r="A4200">
        <v>22047</v>
      </c>
      <c r="B4200" t="s">
        <v>9705</v>
      </c>
      <c r="C4200" s="3">
        <v>41477</v>
      </c>
      <c r="D4200" t="s">
        <v>148</v>
      </c>
      <c r="E4200">
        <v>9</v>
      </c>
      <c r="F4200" s="3">
        <f ca="1">41479+(RANDBETWEEN(1,10))</f>
        <v>41486</v>
      </c>
      <c r="G4200" t="s">
        <v>26</v>
      </c>
      <c r="H4200" t="s">
        <v>27</v>
      </c>
      <c r="I4200" t="s">
        <v>28</v>
      </c>
      <c r="J4200">
        <v>2628.7449999999999</v>
      </c>
      <c r="K4200">
        <v>0.02</v>
      </c>
      <c r="L4200">
        <v>0.56999999999999995</v>
      </c>
      <c r="M4200">
        <v>31.465</v>
      </c>
      <c r="N4200">
        <v>685.77599999999995</v>
      </c>
      <c r="O4200" s="1" t="s">
        <v>64</v>
      </c>
      <c r="P4200" s="1" t="s">
        <v>9546</v>
      </c>
      <c r="Q4200" s="1" t="s">
        <v>9547</v>
      </c>
      <c r="R4200" s="1" t="s">
        <v>67</v>
      </c>
      <c r="S4200" s="1" t="s">
        <v>9548</v>
      </c>
      <c r="T4200" s="1" t="s">
        <v>9549</v>
      </c>
      <c r="U4200" s="2" t="s">
        <v>5003</v>
      </c>
      <c r="V4200" s="2" t="s">
        <v>36</v>
      </c>
      <c r="W4200" s="2" t="s">
        <v>37</v>
      </c>
      <c r="X4200" s="2">
        <v>335.96499999999997</v>
      </c>
    </row>
    <row r="4201" spans="1:24" x14ac:dyDescent="0.3">
      <c r="A4201">
        <v>22048</v>
      </c>
      <c r="B4201" t="s">
        <v>9707</v>
      </c>
      <c r="C4201" s="3">
        <v>41734</v>
      </c>
      <c r="D4201" t="s">
        <v>39</v>
      </c>
      <c r="E4201">
        <v>8</v>
      </c>
      <c r="F4201" s="3">
        <f ca="1">41735+(RANDBETWEEN(1,10))</f>
        <v>41738</v>
      </c>
      <c r="G4201" t="s">
        <v>26</v>
      </c>
      <c r="H4201" t="s">
        <v>27</v>
      </c>
      <c r="I4201" t="s">
        <v>86</v>
      </c>
      <c r="J4201">
        <v>190.85499999999999</v>
      </c>
      <c r="K4201">
        <v>0.05</v>
      </c>
      <c r="L4201">
        <v>0.37</v>
      </c>
      <c r="M4201">
        <v>30.555</v>
      </c>
      <c r="N4201">
        <v>-498.05</v>
      </c>
      <c r="O4201" s="1" t="s">
        <v>64</v>
      </c>
      <c r="P4201" s="1" t="s">
        <v>9177</v>
      </c>
      <c r="Q4201" s="1" t="s">
        <v>9178</v>
      </c>
      <c r="R4201" s="1" t="s">
        <v>67</v>
      </c>
      <c r="S4201" s="1" t="s">
        <v>1022</v>
      </c>
      <c r="T4201" s="1" t="s">
        <v>9179</v>
      </c>
      <c r="U4201" s="2" t="s">
        <v>2564</v>
      </c>
      <c r="V4201" s="2" t="s">
        <v>47</v>
      </c>
      <c r="W4201" s="2" t="s">
        <v>74</v>
      </c>
      <c r="X4201" s="2">
        <v>22.68</v>
      </c>
    </row>
    <row r="4202" spans="1:24" x14ac:dyDescent="0.3">
      <c r="A4202">
        <v>22049</v>
      </c>
      <c r="B4202" t="s">
        <v>9708</v>
      </c>
      <c r="C4202" s="3">
        <v>41588</v>
      </c>
      <c r="D4202" t="s">
        <v>39</v>
      </c>
      <c r="E4202">
        <v>23</v>
      </c>
      <c r="F4202" s="3">
        <f ca="1">41589+(RANDBETWEEN(1,10))</f>
        <v>41594</v>
      </c>
      <c r="G4202" t="s">
        <v>26</v>
      </c>
      <c r="H4202" t="s">
        <v>27</v>
      </c>
      <c r="I4202" t="s">
        <v>28</v>
      </c>
      <c r="J4202">
        <v>3443.3</v>
      </c>
      <c r="K4202">
        <v>0.03</v>
      </c>
      <c r="L4202">
        <v>0.64</v>
      </c>
      <c r="M4202">
        <v>22.75</v>
      </c>
      <c r="N4202">
        <v>1275.2397000000001</v>
      </c>
      <c r="O4202" s="1" t="s">
        <v>87</v>
      </c>
      <c r="P4202" s="1" t="s">
        <v>7777</v>
      </c>
      <c r="Q4202" s="1" t="s">
        <v>7778</v>
      </c>
      <c r="R4202" s="1" t="s">
        <v>398</v>
      </c>
      <c r="S4202" s="1" t="s">
        <v>7779</v>
      </c>
      <c r="T4202" s="1" t="s">
        <v>7780</v>
      </c>
      <c r="U4202" s="2" t="s">
        <v>4481</v>
      </c>
      <c r="V4202" s="2" t="s">
        <v>36</v>
      </c>
      <c r="W4202" s="2" t="s">
        <v>60</v>
      </c>
      <c r="X4202" s="2">
        <v>143.43</v>
      </c>
    </row>
    <row r="4203" spans="1:24" x14ac:dyDescent="0.3">
      <c r="A4203">
        <v>22050</v>
      </c>
      <c r="B4203" t="s">
        <v>9708</v>
      </c>
      <c r="C4203" s="3">
        <v>41588</v>
      </c>
      <c r="D4203" t="s">
        <v>39</v>
      </c>
      <c r="E4203">
        <v>30</v>
      </c>
      <c r="F4203" s="3">
        <f ca="1">41591+(RANDBETWEEN(1,10))</f>
        <v>41594</v>
      </c>
      <c r="G4203" t="s">
        <v>26</v>
      </c>
      <c r="H4203" t="s">
        <v>27</v>
      </c>
      <c r="I4203" t="s">
        <v>28</v>
      </c>
      <c r="J4203">
        <v>9932.8250000000007</v>
      </c>
      <c r="K4203">
        <v>0.05</v>
      </c>
      <c r="L4203">
        <v>0.56999999999999995</v>
      </c>
      <c r="M4203">
        <v>8.75</v>
      </c>
      <c r="N4203">
        <v>6332.4953999999998</v>
      </c>
      <c r="O4203" s="1" t="s">
        <v>87</v>
      </c>
      <c r="P4203" s="1" t="s">
        <v>9709</v>
      </c>
      <c r="Q4203" s="1" t="s">
        <v>9710</v>
      </c>
      <c r="R4203" s="1" t="s">
        <v>646</v>
      </c>
      <c r="S4203" s="1" t="s">
        <v>9711</v>
      </c>
      <c r="T4203" s="1" t="s">
        <v>3696</v>
      </c>
      <c r="U4203" s="2">
        <v>6160</v>
      </c>
      <c r="V4203" s="2" t="s">
        <v>36</v>
      </c>
      <c r="W4203" s="2" t="s">
        <v>37</v>
      </c>
      <c r="X4203" s="2">
        <v>405.96499999999997</v>
      </c>
    </row>
    <row r="4204" spans="1:24" x14ac:dyDescent="0.3">
      <c r="A4204">
        <v>22051</v>
      </c>
      <c r="B4204" t="s">
        <v>9712</v>
      </c>
      <c r="C4204" s="3">
        <v>41744</v>
      </c>
      <c r="D4204" t="s">
        <v>39</v>
      </c>
      <c r="E4204">
        <v>3</v>
      </c>
      <c r="F4204" s="3">
        <f ca="1">41744+(RANDBETWEEN(1,10))</f>
        <v>41747</v>
      </c>
      <c r="G4204" t="s">
        <v>26</v>
      </c>
      <c r="H4204" t="s">
        <v>51</v>
      </c>
      <c r="I4204" t="s">
        <v>86</v>
      </c>
      <c r="J4204">
        <v>57.784999999999997</v>
      </c>
      <c r="K4204">
        <v>0.08</v>
      </c>
      <c r="L4204">
        <v>0.79</v>
      </c>
      <c r="M4204">
        <v>17.989999999999998</v>
      </c>
      <c r="N4204">
        <v>-196.42</v>
      </c>
      <c r="O4204" s="1" t="s">
        <v>40</v>
      </c>
      <c r="P4204" s="1" t="s">
        <v>1037</v>
      </c>
      <c r="Q4204" s="1" t="s">
        <v>1038</v>
      </c>
      <c r="R4204" s="1" t="s">
        <v>220</v>
      </c>
      <c r="S4204" s="1" t="s">
        <v>1039</v>
      </c>
      <c r="T4204" s="1" t="s">
        <v>1040</v>
      </c>
      <c r="U4204" s="2" t="s">
        <v>1639</v>
      </c>
      <c r="V4204" s="2" t="s">
        <v>36</v>
      </c>
      <c r="W4204" s="2" t="s">
        <v>60</v>
      </c>
      <c r="X4204" s="2">
        <v>17.57</v>
      </c>
    </row>
    <row r="4205" spans="1:24" x14ac:dyDescent="0.3">
      <c r="A4205">
        <v>22052</v>
      </c>
      <c r="B4205" t="s">
        <v>9713</v>
      </c>
      <c r="C4205" s="3">
        <v>40779</v>
      </c>
      <c r="D4205" t="s">
        <v>148</v>
      </c>
      <c r="E4205">
        <v>16</v>
      </c>
      <c r="F4205" s="3">
        <f ca="1">40781+(RANDBETWEEN(1,10))</f>
        <v>40784</v>
      </c>
      <c r="G4205" t="s">
        <v>26</v>
      </c>
      <c r="H4205" t="s">
        <v>27</v>
      </c>
      <c r="I4205" t="s">
        <v>52</v>
      </c>
      <c r="J4205">
        <v>233.83500000000001</v>
      </c>
      <c r="K4205">
        <v>0.02</v>
      </c>
      <c r="L4205">
        <v>0.6</v>
      </c>
      <c r="M4205">
        <v>24.114999999999998</v>
      </c>
      <c r="N4205">
        <v>-328.07319999999999</v>
      </c>
      <c r="O4205" s="1" t="s">
        <v>29</v>
      </c>
      <c r="P4205" s="1" t="s">
        <v>9714</v>
      </c>
      <c r="Q4205" s="1" t="s">
        <v>9715</v>
      </c>
      <c r="R4205" s="1" t="s">
        <v>32</v>
      </c>
      <c r="S4205" s="1" t="s">
        <v>9716</v>
      </c>
      <c r="T4205" s="1" t="s">
        <v>9717</v>
      </c>
      <c r="U4205" s="2" t="s">
        <v>3815</v>
      </c>
      <c r="V4205" s="2" t="s">
        <v>47</v>
      </c>
      <c r="W4205" s="2" t="s">
        <v>71</v>
      </c>
      <c r="X4205" s="2">
        <v>14.21</v>
      </c>
    </row>
    <row r="4206" spans="1:24" x14ac:dyDescent="0.3">
      <c r="A4206">
        <v>22053</v>
      </c>
      <c r="B4206" t="s">
        <v>9718</v>
      </c>
      <c r="C4206" s="3">
        <v>41875</v>
      </c>
      <c r="D4206" t="s">
        <v>148</v>
      </c>
      <c r="E4206">
        <v>7</v>
      </c>
      <c r="F4206" s="3">
        <f ca="1">41877+(RANDBETWEEN(1,10))</f>
        <v>41886</v>
      </c>
      <c r="G4206" t="s">
        <v>26</v>
      </c>
      <c r="H4206" t="s">
        <v>27</v>
      </c>
      <c r="I4206" t="s">
        <v>52</v>
      </c>
      <c r="J4206">
        <v>1535.59</v>
      </c>
      <c r="K4206">
        <v>7.0000000000000007E-2</v>
      </c>
      <c r="L4206">
        <v>0.38</v>
      </c>
      <c r="M4206">
        <v>69.965000000000003</v>
      </c>
      <c r="N4206">
        <v>834.23983999999996</v>
      </c>
      <c r="O4206" s="1" t="s">
        <v>29</v>
      </c>
      <c r="P4206" s="1" t="s">
        <v>9714</v>
      </c>
      <c r="Q4206" s="1" t="s">
        <v>9715</v>
      </c>
      <c r="R4206" s="1" t="s">
        <v>32</v>
      </c>
      <c r="S4206" s="1" t="s">
        <v>9716</v>
      </c>
      <c r="T4206" s="1" t="s">
        <v>9717</v>
      </c>
      <c r="U4206" s="2" t="s">
        <v>3909</v>
      </c>
      <c r="V4206" s="2" t="s">
        <v>47</v>
      </c>
      <c r="W4206" s="2" t="s">
        <v>48</v>
      </c>
      <c r="X4206" s="2">
        <v>213.43</v>
      </c>
    </row>
    <row r="4207" spans="1:24" x14ac:dyDescent="0.3">
      <c r="A4207">
        <v>22054</v>
      </c>
      <c r="B4207" t="s">
        <v>9719</v>
      </c>
      <c r="C4207" s="3">
        <v>41422</v>
      </c>
      <c r="D4207" t="s">
        <v>25</v>
      </c>
      <c r="E4207">
        <v>17</v>
      </c>
      <c r="F4207" s="3">
        <f ca="1">41422+(RANDBETWEEN(1,10))</f>
        <v>41430</v>
      </c>
      <c r="G4207" t="s">
        <v>26</v>
      </c>
      <c r="H4207" t="s">
        <v>27</v>
      </c>
      <c r="I4207" t="s">
        <v>28</v>
      </c>
      <c r="J4207">
        <v>332.67500000000001</v>
      </c>
      <c r="K4207">
        <v>0.1</v>
      </c>
      <c r="L4207">
        <v>0.36</v>
      </c>
      <c r="M4207">
        <v>27.86</v>
      </c>
      <c r="N4207">
        <v>-725.76</v>
      </c>
      <c r="O4207" s="1" t="s">
        <v>64</v>
      </c>
      <c r="P4207" s="1" t="s">
        <v>7416</v>
      </c>
      <c r="Q4207" s="1" t="s">
        <v>7417</v>
      </c>
      <c r="R4207" s="1" t="s">
        <v>67</v>
      </c>
      <c r="S4207" s="1" t="s">
        <v>7418</v>
      </c>
      <c r="T4207" s="1" t="s">
        <v>7419</v>
      </c>
      <c r="U4207" s="2" t="s">
        <v>3042</v>
      </c>
      <c r="V4207" s="2" t="s">
        <v>47</v>
      </c>
      <c r="W4207" s="2" t="s">
        <v>74</v>
      </c>
      <c r="X4207" s="2">
        <v>20.23</v>
      </c>
    </row>
    <row r="4208" spans="1:24" x14ac:dyDescent="0.3">
      <c r="A4208">
        <v>22055</v>
      </c>
      <c r="B4208" t="s">
        <v>9720</v>
      </c>
      <c r="C4208" s="3">
        <v>41804</v>
      </c>
      <c r="D4208" t="s">
        <v>25</v>
      </c>
      <c r="E4208">
        <v>10</v>
      </c>
      <c r="F4208" s="3">
        <f ca="1">41806+(RANDBETWEEN(1,10))</f>
        <v>41816</v>
      </c>
      <c r="G4208" t="s">
        <v>26</v>
      </c>
      <c r="H4208" t="s">
        <v>27</v>
      </c>
      <c r="I4208" t="s">
        <v>52</v>
      </c>
      <c r="J4208">
        <v>5818.12</v>
      </c>
      <c r="K4208">
        <v>0.06</v>
      </c>
      <c r="L4208">
        <v>0.59</v>
      </c>
      <c r="M4208">
        <v>17.5</v>
      </c>
      <c r="N4208">
        <v>-78.203999999999994</v>
      </c>
      <c r="O4208" s="1" t="s">
        <v>87</v>
      </c>
      <c r="P4208" s="1" t="s">
        <v>9721</v>
      </c>
      <c r="Q4208" s="1" t="s">
        <v>9722</v>
      </c>
      <c r="R4208" s="1" t="s">
        <v>646</v>
      </c>
      <c r="S4208" s="1" t="s">
        <v>9723</v>
      </c>
      <c r="T4208" s="1" t="s">
        <v>9724</v>
      </c>
      <c r="U4208" s="2" t="s">
        <v>6973</v>
      </c>
      <c r="V4208" s="2" t="s">
        <v>36</v>
      </c>
      <c r="W4208" s="2" t="s">
        <v>37</v>
      </c>
      <c r="X4208" s="2">
        <v>720.96500000000003</v>
      </c>
    </row>
    <row r="4209" spans="1:24" x14ac:dyDescent="0.3">
      <c r="A4209">
        <v>22056</v>
      </c>
      <c r="B4209" t="s">
        <v>9725</v>
      </c>
      <c r="C4209" s="3">
        <v>41801</v>
      </c>
      <c r="D4209" t="s">
        <v>39</v>
      </c>
      <c r="E4209">
        <v>9</v>
      </c>
      <c r="F4209" s="3">
        <f ca="1">41802+(RANDBETWEEN(1,10))</f>
        <v>41806</v>
      </c>
      <c r="G4209" t="s">
        <v>26</v>
      </c>
      <c r="H4209" t="s">
        <v>27</v>
      </c>
      <c r="I4209" t="s">
        <v>86</v>
      </c>
      <c r="J4209">
        <v>1193.325</v>
      </c>
      <c r="K4209">
        <v>0.1</v>
      </c>
      <c r="L4209">
        <v>0.36</v>
      </c>
      <c r="M4209">
        <v>20.51</v>
      </c>
      <c r="N4209">
        <v>823.39425000000006</v>
      </c>
      <c r="O4209" s="1" t="s">
        <v>87</v>
      </c>
      <c r="P4209" s="1" t="s">
        <v>4297</v>
      </c>
      <c r="Q4209" s="1" t="s">
        <v>4298</v>
      </c>
      <c r="R4209" s="1" t="s">
        <v>90</v>
      </c>
      <c r="S4209" s="1" t="s">
        <v>4299</v>
      </c>
      <c r="T4209" s="1" t="s">
        <v>4300</v>
      </c>
      <c r="U4209" s="2" t="s">
        <v>7775</v>
      </c>
      <c r="V4209" s="2" t="s">
        <v>47</v>
      </c>
      <c r="W4209" s="2" t="s">
        <v>74</v>
      </c>
      <c r="X4209" s="2">
        <v>143.465</v>
      </c>
    </row>
    <row r="4210" spans="1:24" x14ac:dyDescent="0.3">
      <c r="A4210">
        <v>22057</v>
      </c>
      <c r="B4210" t="s">
        <v>9726</v>
      </c>
      <c r="C4210" s="3">
        <v>41029</v>
      </c>
      <c r="D4210" t="s">
        <v>25</v>
      </c>
      <c r="E4210">
        <v>1</v>
      </c>
      <c r="F4210" s="3">
        <f ca="1">41031+(RANDBETWEEN(1,10))</f>
        <v>41039</v>
      </c>
      <c r="G4210" t="s">
        <v>26</v>
      </c>
      <c r="H4210" t="s">
        <v>27</v>
      </c>
      <c r="I4210" t="s">
        <v>28</v>
      </c>
      <c r="J4210">
        <v>216.02</v>
      </c>
      <c r="K4210">
        <v>0.02</v>
      </c>
      <c r="L4210">
        <v>0.56999999999999995</v>
      </c>
      <c r="M4210">
        <v>13.965</v>
      </c>
      <c r="N4210">
        <v>2505.6990000000001</v>
      </c>
      <c r="O4210" s="1" t="s">
        <v>53</v>
      </c>
      <c r="P4210" s="1" t="s">
        <v>7275</v>
      </c>
      <c r="Q4210" s="1" t="s">
        <v>7276</v>
      </c>
      <c r="R4210" s="1" t="s">
        <v>100</v>
      </c>
      <c r="S4210" s="1" t="s">
        <v>7277</v>
      </c>
      <c r="T4210" s="1" t="s">
        <v>7278</v>
      </c>
      <c r="U4210" s="2" t="s">
        <v>1024</v>
      </c>
      <c r="V4210" s="2" t="s">
        <v>47</v>
      </c>
      <c r="W4210" s="2" t="s">
        <v>71</v>
      </c>
      <c r="X4210" s="2">
        <v>209.93</v>
      </c>
    </row>
    <row r="4211" spans="1:24" x14ac:dyDescent="0.3">
      <c r="A4211">
        <v>22058</v>
      </c>
      <c r="B4211" t="s">
        <v>9726</v>
      </c>
      <c r="C4211" s="3">
        <v>41029</v>
      </c>
      <c r="D4211" t="s">
        <v>25</v>
      </c>
      <c r="E4211">
        <v>6</v>
      </c>
      <c r="F4211" s="3">
        <f ca="1">41029+(RANDBETWEEN(1,10))</f>
        <v>41038</v>
      </c>
      <c r="G4211" t="s">
        <v>26</v>
      </c>
      <c r="H4211" t="s">
        <v>27</v>
      </c>
      <c r="I4211" t="s">
        <v>28</v>
      </c>
      <c r="J4211">
        <v>4911.0950000000003</v>
      </c>
      <c r="K4211">
        <v>0.09</v>
      </c>
      <c r="L4211">
        <v>0.51</v>
      </c>
      <c r="M4211">
        <v>39.375</v>
      </c>
      <c r="N4211">
        <v>17479.118999999999</v>
      </c>
      <c r="O4211" s="1" t="s">
        <v>53</v>
      </c>
      <c r="P4211" s="1" t="s">
        <v>7275</v>
      </c>
      <c r="Q4211" s="1" t="s">
        <v>7276</v>
      </c>
      <c r="R4211" s="1" t="s">
        <v>100</v>
      </c>
      <c r="S4211" s="1" t="s">
        <v>7277</v>
      </c>
      <c r="T4211" s="1" t="s">
        <v>7278</v>
      </c>
      <c r="U4211" s="2" t="s">
        <v>8299</v>
      </c>
      <c r="V4211" s="2" t="s">
        <v>36</v>
      </c>
      <c r="W4211" s="2" t="s">
        <v>60</v>
      </c>
      <c r="X4211" s="2">
        <v>899.46500000000003</v>
      </c>
    </row>
    <row r="4212" spans="1:24" x14ac:dyDescent="0.3">
      <c r="A4212">
        <v>22059</v>
      </c>
      <c r="B4212" t="s">
        <v>9726</v>
      </c>
      <c r="C4212" s="3">
        <v>41029</v>
      </c>
      <c r="D4212" t="s">
        <v>25</v>
      </c>
      <c r="E4212">
        <v>12</v>
      </c>
      <c r="F4212" s="3">
        <f ca="1">41031+(RANDBETWEEN(1,10))</f>
        <v>41035</v>
      </c>
      <c r="G4212" t="s">
        <v>26</v>
      </c>
      <c r="H4212" t="s">
        <v>96</v>
      </c>
      <c r="I4212" t="s">
        <v>28</v>
      </c>
      <c r="J4212">
        <v>1275.855</v>
      </c>
      <c r="K4212">
        <v>0.01</v>
      </c>
      <c r="L4212">
        <v>0.82</v>
      </c>
      <c r="M4212">
        <v>17.5</v>
      </c>
      <c r="N4212">
        <v>-32.340000000000003</v>
      </c>
      <c r="O4212" s="1" t="s">
        <v>53</v>
      </c>
      <c r="P4212" s="1" t="s">
        <v>7275</v>
      </c>
      <c r="Q4212" s="1" t="s">
        <v>7276</v>
      </c>
      <c r="R4212" s="1" t="s">
        <v>100</v>
      </c>
      <c r="S4212" s="1" t="s">
        <v>7277</v>
      </c>
      <c r="T4212" s="1" t="s">
        <v>7278</v>
      </c>
      <c r="U4212" s="2" t="s">
        <v>361</v>
      </c>
      <c r="V4212" s="2" t="s">
        <v>36</v>
      </c>
      <c r="W4212" s="2" t="s">
        <v>37</v>
      </c>
      <c r="X4212" s="2">
        <v>125.965</v>
      </c>
    </row>
    <row r="4213" spans="1:24" x14ac:dyDescent="0.3">
      <c r="A4213">
        <v>2206</v>
      </c>
      <c r="B4213" t="s">
        <v>9727</v>
      </c>
      <c r="C4213" s="3">
        <v>41375</v>
      </c>
      <c r="D4213" t="s">
        <v>39</v>
      </c>
      <c r="E4213">
        <v>40</v>
      </c>
      <c r="F4213" s="3">
        <f ca="1">41377+(RANDBETWEEN(1,10))</f>
        <v>41387</v>
      </c>
      <c r="G4213" t="s">
        <v>76</v>
      </c>
      <c r="H4213" t="s">
        <v>258</v>
      </c>
      <c r="I4213" t="s">
        <v>97</v>
      </c>
      <c r="J4213">
        <v>7145.6</v>
      </c>
      <c r="K4213">
        <v>0.01</v>
      </c>
      <c r="L4213">
        <v>0.69</v>
      </c>
      <c r="M4213">
        <v>189.38499999999999</v>
      </c>
      <c r="N4213">
        <v>-4950.4350000000004</v>
      </c>
      <c r="O4213" s="1" t="s">
        <v>40</v>
      </c>
      <c r="P4213" s="1" t="s">
        <v>9728</v>
      </c>
      <c r="Q4213" s="1" t="s">
        <v>9729</v>
      </c>
      <c r="R4213" s="1" t="s">
        <v>43</v>
      </c>
      <c r="S4213" s="1" t="s">
        <v>80</v>
      </c>
      <c r="T4213" s="1" t="s">
        <v>9730</v>
      </c>
      <c r="U4213" s="2" t="s">
        <v>684</v>
      </c>
      <c r="V4213" s="2" t="s">
        <v>83</v>
      </c>
      <c r="W4213" s="2" t="s">
        <v>298</v>
      </c>
      <c r="X4213" s="2">
        <v>170.03</v>
      </c>
    </row>
    <row r="4214" spans="1:24" x14ac:dyDescent="0.3">
      <c r="A4214">
        <v>22060</v>
      </c>
      <c r="B4214" t="s">
        <v>9731</v>
      </c>
      <c r="C4214" s="3">
        <v>41921</v>
      </c>
      <c r="D4214" t="s">
        <v>148</v>
      </c>
      <c r="E4214">
        <v>19</v>
      </c>
      <c r="F4214" s="3">
        <f ca="1">41922+(RANDBETWEEN(1,10))</f>
        <v>41926</v>
      </c>
      <c r="G4214" t="s">
        <v>26</v>
      </c>
      <c r="H4214" t="s">
        <v>27</v>
      </c>
      <c r="I4214" t="s">
        <v>28</v>
      </c>
      <c r="J4214">
        <v>415.13499999999999</v>
      </c>
      <c r="K4214">
        <v>0.08</v>
      </c>
      <c r="L4214">
        <v>0.37</v>
      </c>
      <c r="M4214">
        <v>28.664999999999999</v>
      </c>
      <c r="N4214">
        <v>183.96209999999999</v>
      </c>
      <c r="O4214" s="1" t="s">
        <v>53</v>
      </c>
      <c r="P4214" s="1" t="s">
        <v>5045</v>
      </c>
      <c r="Q4214" s="1" t="s">
        <v>5046</v>
      </c>
      <c r="R4214" s="1" t="s">
        <v>100</v>
      </c>
      <c r="S4214" s="1" t="s">
        <v>5047</v>
      </c>
      <c r="T4214" s="1" t="s">
        <v>5048</v>
      </c>
      <c r="U4214" s="2" t="s">
        <v>474</v>
      </c>
      <c r="V4214" s="2" t="s">
        <v>47</v>
      </c>
      <c r="W4214" s="2" t="s">
        <v>74</v>
      </c>
      <c r="X4214" s="2">
        <v>22.68</v>
      </c>
    </row>
    <row r="4215" spans="1:24" x14ac:dyDescent="0.3">
      <c r="A4215">
        <v>22061</v>
      </c>
      <c r="B4215" t="s">
        <v>9731</v>
      </c>
      <c r="C4215" s="3">
        <v>41921</v>
      </c>
      <c r="D4215" t="s">
        <v>148</v>
      </c>
      <c r="E4215">
        <v>24</v>
      </c>
      <c r="F4215" s="3">
        <f ca="1">41923+(RANDBETWEEN(1,10))</f>
        <v>41930</v>
      </c>
      <c r="G4215" t="s">
        <v>26</v>
      </c>
      <c r="H4215" t="s">
        <v>27</v>
      </c>
      <c r="I4215" t="s">
        <v>28</v>
      </c>
      <c r="J4215">
        <v>1320.585</v>
      </c>
      <c r="K4215">
        <v>0.09</v>
      </c>
      <c r="L4215">
        <v>0.35</v>
      </c>
      <c r="M4215">
        <v>43.365000000000002</v>
      </c>
      <c r="N4215">
        <v>-811.57230000000004</v>
      </c>
      <c r="O4215" s="1" t="s">
        <v>87</v>
      </c>
      <c r="P4215" s="1" t="s">
        <v>9732</v>
      </c>
      <c r="Q4215" s="1" t="s">
        <v>9733</v>
      </c>
      <c r="R4215" s="1" t="s">
        <v>90</v>
      </c>
      <c r="S4215" s="1" t="s">
        <v>2642</v>
      </c>
      <c r="T4215" s="1" t="s">
        <v>2643</v>
      </c>
      <c r="U4215" s="2" t="s">
        <v>46</v>
      </c>
      <c r="V4215" s="2" t="s">
        <v>47</v>
      </c>
      <c r="W4215" s="2" t="s">
        <v>48</v>
      </c>
      <c r="X4215" s="2">
        <v>59.43</v>
      </c>
    </row>
    <row r="4216" spans="1:24" x14ac:dyDescent="0.3">
      <c r="A4216">
        <v>22062</v>
      </c>
      <c r="B4216" t="s">
        <v>9734</v>
      </c>
      <c r="C4216" s="3">
        <v>41111</v>
      </c>
      <c r="D4216" t="s">
        <v>25</v>
      </c>
      <c r="E4216">
        <v>7</v>
      </c>
      <c r="F4216" s="3">
        <f ca="1">41111+(RANDBETWEEN(1,10))</f>
        <v>41114</v>
      </c>
      <c r="G4216" t="s">
        <v>156</v>
      </c>
      <c r="H4216" t="s">
        <v>51</v>
      </c>
      <c r="I4216" t="s">
        <v>52</v>
      </c>
      <c r="J4216">
        <v>275.17</v>
      </c>
      <c r="K4216">
        <v>0</v>
      </c>
      <c r="L4216">
        <v>0.51</v>
      </c>
      <c r="M4216">
        <v>18.899999999999999</v>
      </c>
      <c r="N4216">
        <v>117.145</v>
      </c>
      <c r="O4216" s="1" t="s">
        <v>40</v>
      </c>
      <c r="P4216" s="1" t="s">
        <v>7808</v>
      </c>
      <c r="Q4216" s="1" t="s">
        <v>7809</v>
      </c>
      <c r="R4216" s="1" t="s">
        <v>43</v>
      </c>
      <c r="S4216" s="1" t="s">
        <v>7810</v>
      </c>
      <c r="T4216" s="1" t="s">
        <v>7811</v>
      </c>
      <c r="U4216" s="2" t="s">
        <v>4601</v>
      </c>
      <c r="V4216" s="2" t="s">
        <v>83</v>
      </c>
      <c r="W4216" s="2" t="s">
        <v>178</v>
      </c>
      <c r="X4216" s="2">
        <v>36.4</v>
      </c>
    </row>
    <row r="4217" spans="1:24" x14ac:dyDescent="0.3">
      <c r="A4217">
        <v>22063</v>
      </c>
      <c r="B4217" t="s">
        <v>9734</v>
      </c>
      <c r="C4217" s="3">
        <v>41111</v>
      </c>
      <c r="D4217" t="s">
        <v>25</v>
      </c>
      <c r="E4217">
        <v>5</v>
      </c>
      <c r="F4217" s="3">
        <f ca="1">41118+(RANDBETWEEN(1,10))</f>
        <v>41123</v>
      </c>
      <c r="G4217" t="s">
        <v>26</v>
      </c>
      <c r="H4217" t="s">
        <v>96</v>
      </c>
      <c r="I4217" t="s">
        <v>52</v>
      </c>
      <c r="J4217">
        <v>96.18</v>
      </c>
      <c r="K4217">
        <v>0.1</v>
      </c>
      <c r="L4217">
        <v>0.56000000000000005</v>
      </c>
      <c r="M4217">
        <v>7.9450000000000003</v>
      </c>
      <c r="N4217">
        <v>-44.064999999999998</v>
      </c>
      <c r="O4217" s="1" t="s">
        <v>53</v>
      </c>
      <c r="P4217" s="1" t="s">
        <v>9735</v>
      </c>
      <c r="Q4217" s="1" t="s">
        <v>9736</v>
      </c>
      <c r="R4217" s="1" t="s">
        <v>100</v>
      </c>
      <c r="S4217" s="1" t="s">
        <v>2308</v>
      </c>
      <c r="T4217" s="1" t="s">
        <v>2309</v>
      </c>
      <c r="U4217" s="2" t="s">
        <v>212</v>
      </c>
      <c r="V4217" s="2" t="s">
        <v>47</v>
      </c>
      <c r="W4217" s="2" t="s">
        <v>104</v>
      </c>
      <c r="X4217" s="2">
        <v>20.475000000000001</v>
      </c>
    </row>
    <row r="4218" spans="1:24" x14ac:dyDescent="0.3">
      <c r="A4218">
        <v>22064</v>
      </c>
      <c r="B4218" t="s">
        <v>9737</v>
      </c>
      <c r="C4218" s="3">
        <v>40733</v>
      </c>
      <c r="D4218" t="s">
        <v>62</v>
      </c>
      <c r="E4218">
        <v>1</v>
      </c>
      <c r="F4218" s="3">
        <f ca="1">40734+(RANDBETWEEN(1,10))</f>
        <v>40740</v>
      </c>
      <c r="G4218" t="s">
        <v>26</v>
      </c>
      <c r="H4218" t="s">
        <v>27</v>
      </c>
      <c r="I4218" t="s">
        <v>28</v>
      </c>
      <c r="J4218">
        <v>39.06</v>
      </c>
      <c r="K4218">
        <v>0.01</v>
      </c>
      <c r="L4218">
        <v>0.35</v>
      </c>
      <c r="M4218">
        <v>18.55</v>
      </c>
      <c r="N4218">
        <v>-25.375</v>
      </c>
      <c r="O4218" s="1" t="s">
        <v>53</v>
      </c>
      <c r="P4218" s="1" t="s">
        <v>5752</v>
      </c>
      <c r="Q4218" s="1" t="s">
        <v>5753</v>
      </c>
      <c r="R4218" s="1" t="s">
        <v>56</v>
      </c>
      <c r="S4218" s="1" t="s">
        <v>5754</v>
      </c>
      <c r="T4218" s="1" t="s">
        <v>5755</v>
      </c>
      <c r="U4218" s="2" t="s">
        <v>2464</v>
      </c>
      <c r="V4218" s="2" t="s">
        <v>47</v>
      </c>
      <c r="W4218" s="2" t="s">
        <v>48</v>
      </c>
      <c r="X4218" s="2">
        <v>19.53</v>
      </c>
    </row>
    <row r="4219" spans="1:24" x14ac:dyDescent="0.3">
      <c r="A4219">
        <v>22065</v>
      </c>
      <c r="B4219" t="s">
        <v>9737</v>
      </c>
      <c r="C4219" s="3">
        <v>40733</v>
      </c>
      <c r="D4219" t="s">
        <v>62</v>
      </c>
      <c r="E4219">
        <v>11</v>
      </c>
      <c r="F4219" s="3">
        <f ca="1">40734+(RANDBETWEEN(1,10))</f>
        <v>40740</v>
      </c>
      <c r="G4219" t="s">
        <v>26</v>
      </c>
      <c r="H4219" t="s">
        <v>96</v>
      </c>
      <c r="I4219" t="s">
        <v>28</v>
      </c>
      <c r="J4219">
        <v>158.27000000000001</v>
      </c>
      <c r="K4219">
        <v>0.03</v>
      </c>
      <c r="L4219">
        <v>0.52</v>
      </c>
      <c r="M4219">
        <v>2.4500000000000002</v>
      </c>
      <c r="N4219">
        <v>109.2063</v>
      </c>
      <c r="O4219" s="1" t="s">
        <v>53</v>
      </c>
      <c r="P4219" s="1" t="s">
        <v>5752</v>
      </c>
      <c r="Q4219" s="1" t="s">
        <v>5753</v>
      </c>
      <c r="R4219" s="1" t="s">
        <v>56</v>
      </c>
      <c r="S4219" s="1" t="s">
        <v>5754</v>
      </c>
      <c r="T4219" s="1" t="s">
        <v>5755</v>
      </c>
      <c r="U4219" s="2" t="s">
        <v>2896</v>
      </c>
      <c r="V4219" s="2" t="s">
        <v>47</v>
      </c>
      <c r="W4219" s="2" t="s">
        <v>104</v>
      </c>
      <c r="X4219" s="2">
        <v>13.93</v>
      </c>
    </row>
    <row r="4220" spans="1:24" x14ac:dyDescent="0.3">
      <c r="A4220">
        <v>22066</v>
      </c>
      <c r="B4220" t="s">
        <v>9738</v>
      </c>
      <c r="C4220" s="3">
        <v>41971</v>
      </c>
      <c r="D4220" t="s">
        <v>148</v>
      </c>
      <c r="E4220">
        <v>11</v>
      </c>
      <c r="F4220" s="3">
        <f ca="1">41972+(RANDBETWEEN(1,10))</f>
        <v>41981</v>
      </c>
      <c r="G4220" t="s">
        <v>26</v>
      </c>
      <c r="H4220" t="s">
        <v>27</v>
      </c>
      <c r="I4220" t="s">
        <v>52</v>
      </c>
      <c r="J4220">
        <v>4082.12</v>
      </c>
      <c r="K4220">
        <v>0</v>
      </c>
      <c r="L4220">
        <v>0.4</v>
      </c>
      <c r="M4220">
        <v>25.13</v>
      </c>
      <c r="N4220">
        <v>2566.24368</v>
      </c>
      <c r="O4220" s="1" t="s">
        <v>53</v>
      </c>
      <c r="P4220" s="1" t="s">
        <v>5422</v>
      </c>
      <c r="Q4220" s="1" t="s">
        <v>5423</v>
      </c>
      <c r="R4220" s="1" t="s">
        <v>100</v>
      </c>
      <c r="S4220" s="1" t="s">
        <v>5424</v>
      </c>
      <c r="T4220" s="1" t="s">
        <v>5425</v>
      </c>
      <c r="U4220" s="2" t="s">
        <v>5772</v>
      </c>
      <c r="V4220" s="2" t="s">
        <v>36</v>
      </c>
      <c r="W4220" s="2" t="s">
        <v>60</v>
      </c>
      <c r="X4220" s="2">
        <v>353.43</v>
      </c>
    </row>
    <row r="4221" spans="1:24" x14ac:dyDescent="0.3">
      <c r="A4221">
        <v>22067</v>
      </c>
      <c r="B4221" t="s">
        <v>9738</v>
      </c>
      <c r="C4221" s="3">
        <v>41971</v>
      </c>
      <c r="D4221" t="s">
        <v>148</v>
      </c>
      <c r="E4221">
        <v>23</v>
      </c>
      <c r="F4221" s="3">
        <f ca="1">41973+(RANDBETWEEN(1,10))</f>
        <v>41978</v>
      </c>
      <c r="G4221" t="s">
        <v>76</v>
      </c>
      <c r="H4221" t="s">
        <v>77</v>
      </c>
      <c r="I4221" t="s">
        <v>52</v>
      </c>
      <c r="J4221">
        <v>12385.695</v>
      </c>
      <c r="K4221">
        <v>7.0000000000000007E-2</v>
      </c>
      <c r="L4221">
        <v>0.62</v>
      </c>
      <c r="M4221">
        <v>105</v>
      </c>
      <c r="N4221">
        <v>2616.4353599999999</v>
      </c>
      <c r="O4221" s="1" t="s">
        <v>53</v>
      </c>
      <c r="P4221" s="1" t="s">
        <v>9739</v>
      </c>
      <c r="Q4221" s="1" t="s">
        <v>9740</v>
      </c>
      <c r="R4221" s="1" t="s">
        <v>440</v>
      </c>
      <c r="S4221" s="1" t="s">
        <v>4505</v>
      </c>
      <c r="T4221" s="1" t="s">
        <v>4506</v>
      </c>
      <c r="U4221" s="2" t="s">
        <v>2089</v>
      </c>
      <c r="V4221" s="2" t="s">
        <v>83</v>
      </c>
      <c r="W4221" s="2" t="s">
        <v>84</v>
      </c>
      <c r="X4221" s="2">
        <v>563.42999999999995</v>
      </c>
    </row>
    <row r="4222" spans="1:24" x14ac:dyDescent="0.3">
      <c r="A4222">
        <v>22068</v>
      </c>
      <c r="B4222" t="s">
        <v>9738</v>
      </c>
      <c r="C4222" s="3">
        <v>41971</v>
      </c>
      <c r="D4222" t="s">
        <v>148</v>
      </c>
      <c r="E4222">
        <v>23</v>
      </c>
      <c r="F4222" s="3">
        <f ca="1">41973+(RANDBETWEEN(1,10))</f>
        <v>41982</v>
      </c>
      <c r="G4222" t="s">
        <v>156</v>
      </c>
      <c r="H4222" t="s">
        <v>281</v>
      </c>
      <c r="I4222" t="s">
        <v>52</v>
      </c>
      <c r="J4222">
        <v>10393.530000000001</v>
      </c>
      <c r="K4222">
        <v>0</v>
      </c>
      <c r="L4222">
        <v>0.36</v>
      </c>
      <c r="M4222">
        <v>24.885000000000002</v>
      </c>
      <c r="N4222">
        <v>7171.5357000000004</v>
      </c>
      <c r="O4222" s="1" t="s">
        <v>53</v>
      </c>
      <c r="P4222" s="1" t="s">
        <v>9739</v>
      </c>
      <c r="Q4222" s="1" t="s">
        <v>9740</v>
      </c>
      <c r="R4222" s="1" t="s">
        <v>440</v>
      </c>
      <c r="S4222" s="1" t="s">
        <v>4505</v>
      </c>
      <c r="T4222" s="1" t="s">
        <v>4506</v>
      </c>
      <c r="U4222" s="2" t="s">
        <v>2811</v>
      </c>
      <c r="V4222" s="2" t="s">
        <v>36</v>
      </c>
      <c r="W4222" s="2" t="s">
        <v>142</v>
      </c>
      <c r="X4222" s="2">
        <v>423.39499999999998</v>
      </c>
    </row>
    <row r="4223" spans="1:24" x14ac:dyDescent="0.3">
      <c r="A4223">
        <v>22069</v>
      </c>
      <c r="B4223" t="s">
        <v>9741</v>
      </c>
      <c r="C4223" s="3">
        <v>41612</v>
      </c>
      <c r="D4223" t="s">
        <v>50</v>
      </c>
      <c r="E4223">
        <v>19</v>
      </c>
      <c r="F4223" s="3">
        <f ca="1">41614+(RANDBETWEEN(1,10))</f>
        <v>41616</v>
      </c>
      <c r="G4223" t="s">
        <v>26</v>
      </c>
      <c r="H4223" t="s">
        <v>27</v>
      </c>
      <c r="I4223" t="s">
        <v>97</v>
      </c>
      <c r="J4223">
        <v>10913.525</v>
      </c>
      <c r="K4223">
        <v>0.09</v>
      </c>
      <c r="L4223">
        <v>0.59</v>
      </c>
      <c r="M4223">
        <v>8.75</v>
      </c>
      <c r="N4223">
        <v>158.13</v>
      </c>
      <c r="O4223" s="1" t="s">
        <v>64</v>
      </c>
      <c r="P4223" s="1" t="s">
        <v>5560</v>
      </c>
      <c r="Q4223" s="1" t="s">
        <v>5561</v>
      </c>
      <c r="R4223" s="1" t="s">
        <v>128</v>
      </c>
      <c r="S4223" s="1" t="s">
        <v>5562</v>
      </c>
      <c r="T4223" s="1" t="s">
        <v>5563</v>
      </c>
      <c r="U4223" s="2" t="s">
        <v>5038</v>
      </c>
      <c r="V4223" s="2" t="s">
        <v>36</v>
      </c>
      <c r="W4223" s="2" t="s">
        <v>37</v>
      </c>
      <c r="X4223" s="2">
        <v>720.96500000000003</v>
      </c>
    </row>
    <row r="4224" spans="1:24" x14ac:dyDescent="0.3">
      <c r="A4224">
        <v>2207</v>
      </c>
      <c r="B4224" t="s">
        <v>9727</v>
      </c>
      <c r="C4224" s="3">
        <v>41375</v>
      </c>
      <c r="D4224" t="s">
        <v>39</v>
      </c>
      <c r="E4224">
        <v>40</v>
      </c>
      <c r="F4224" s="3">
        <f ca="1">41378+(RANDBETWEEN(1,10))</f>
        <v>41386</v>
      </c>
      <c r="G4224" t="s">
        <v>156</v>
      </c>
      <c r="H4224" t="s">
        <v>281</v>
      </c>
      <c r="I4224" t="s">
        <v>97</v>
      </c>
      <c r="J4224">
        <v>14475.58</v>
      </c>
      <c r="K4224">
        <v>0.04</v>
      </c>
      <c r="L4224">
        <v>0.65</v>
      </c>
      <c r="M4224">
        <v>48.965000000000003</v>
      </c>
      <c r="N4224">
        <v>3327.38</v>
      </c>
      <c r="O4224" s="1" t="s">
        <v>40</v>
      </c>
      <c r="P4224" s="1" t="s">
        <v>9728</v>
      </c>
      <c r="Q4224" s="1" t="s">
        <v>9729</v>
      </c>
      <c r="R4224" s="1" t="s">
        <v>43</v>
      </c>
      <c r="S4224" s="1" t="s">
        <v>80</v>
      </c>
      <c r="T4224" s="1" t="s">
        <v>9730</v>
      </c>
      <c r="U4224" s="2" t="s">
        <v>3518</v>
      </c>
      <c r="V4224" s="2" t="s">
        <v>83</v>
      </c>
      <c r="W4224" s="2" t="s">
        <v>178</v>
      </c>
      <c r="X4224" s="2">
        <v>370.93</v>
      </c>
    </row>
    <row r="4225" spans="1:24" x14ac:dyDescent="0.3">
      <c r="A4225">
        <v>22070</v>
      </c>
      <c r="B4225" t="s">
        <v>9742</v>
      </c>
      <c r="C4225" s="3">
        <v>41536</v>
      </c>
      <c r="D4225" t="s">
        <v>62</v>
      </c>
      <c r="E4225">
        <v>20</v>
      </c>
      <c r="F4225" s="3">
        <f ca="1">41537+(RANDBETWEEN(1,10))</f>
        <v>41541</v>
      </c>
      <c r="G4225" t="s">
        <v>156</v>
      </c>
      <c r="H4225" t="s">
        <v>27</v>
      </c>
      <c r="I4225" t="s">
        <v>52</v>
      </c>
      <c r="J4225">
        <v>11718.945</v>
      </c>
      <c r="K4225">
        <v>0.1</v>
      </c>
      <c r="L4225">
        <v>0.55000000000000004</v>
      </c>
      <c r="M4225">
        <v>69.965000000000003</v>
      </c>
      <c r="N4225">
        <v>5820.22</v>
      </c>
      <c r="O4225" s="1" t="s">
        <v>40</v>
      </c>
      <c r="P4225" s="1" t="s">
        <v>9743</v>
      </c>
      <c r="Q4225" s="1" t="s">
        <v>9744</v>
      </c>
      <c r="R4225" s="1" t="s">
        <v>43</v>
      </c>
      <c r="S4225" s="1" t="s">
        <v>9745</v>
      </c>
      <c r="T4225" s="1" t="s">
        <v>9746</v>
      </c>
      <c r="U4225" s="2" t="s">
        <v>721</v>
      </c>
      <c r="V4225" s="2" t="s">
        <v>47</v>
      </c>
      <c r="W4225" s="2" t="s">
        <v>119</v>
      </c>
      <c r="X4225" s="2">
        <v>624.64499999999998</v>
      </c>
    </row>
    <row r="4226" spans="1:24" x14ac:dyDescent="0.3">
      <c r="A4226">
        <v>22071</v>
      </c>
      <c r="B4226" t="s">
        <v>9747</v>
      </c>
      <c r="C4226" s="3">
        <v>41041</v>
      </c>
      <c r="D4226" t="s">
        <v>39</v>
      </c>
      <c r="E4226">
        <v>3</v>
      </c>
      <c r="F4226" s="3">
        <f ca="1">41042+(RANDBETWEEN(1,10))</f>
        <v>41052</v>
      </c>
      <c r="G4226" t="s">
        <v>26</v>
      </c>
      <c r="H4226" t="s">
        <v>27</v>
      </c>
      <c r="I4226" t="s">
        <v>28</v>
      </c>
      <c r="J4226">
        <v>348.28500000000003</v>
      </c>
      <c r="K4226">
        <v>0</v>
      </c>
      <c r="L4226">
        <v>0.4</v>
      </c>
      <c r="M4226">
        <v>20.16</v>
      </c>
      <c r="N4226">
        <v>240.31665000000001</v>
      </c>
      <c r="O4226" s="1" t="s">
        <v>40</v>
      </c>
      <c r="P4226" s="1" t="s">
        <v>5244</v>
      </c>
      <c r="Q4226" s="1" t="s">
        <v>5245</v>
      </c>
      <c r="R4226" s="1" t="s">
        <v>43</v>
      </c>
      <c r="S4226" s="1" t="s">
        <v>5246</v>
      </c>
      <c r="T4226" s="1" t="s">
        <v>5247</v>
      </c>
      <c r="U4226" s="2" t="s">
        <v>2045</v>
      </c>
      <c r="V4226" s="2" t="s">
        <v>47</v>
      </c>
      <c r="W4226" s="2" t="s">
        <v>74</v>
      </c>
      <c r="X4226" s="2">
        <v>108.43</v>
      </c>
    </row>
    <row r="4227" spans="1:24" x14ac:dyDescent="0.3">
      <c r="A4227">
        <v>22072</v>
      </c>
      <c r="B4227" t="s">
        <v>9747</v>
      </c>
      <c r="C4227" s="3">
        <v>41041</v>
      </c>
      <c r="D4227" t="s">
        <v>39</v>
      </c>
      <c r="E4227">
        <v>12</v>
      </c>
      <c r="F4227" s="3">
        <f ca="1">41042+(RANDBETWEEN(1,10))</f>
        <v>41048</v>
      </c>
      <c r="G4227" t="s">
        <v>26</v>
      </c>
      <c r="H4227" t="s">
        <v>27</v>
      </c>
      <c r="I4227" t="s">
        <v>28</v>
      </c>
      <c r="J4227">
        <v>824.39</v>
      </c>
      <c r="K4227">
        <v>0.04</v>
      </c>
      <c r="L4227">
        <v>0.37</v>
      </c>
      <c r="M4227">
        <v>30.38</v>
      </c>
      <c r="N4227">
        <v>283.22000000000003</v>
      </c>
      <c r="O4227" s="1" t="s">
        <v>40</v>
      </c>
      <c r="P4227" s="1" t="s">
        <v>5244</v>
      </c>
      <c r="Q4227" s="1" t="s">
        <v>5245</v>
      </c>
      <c r="R4227" s="1" t="s">
        <v>43</v>
      </c>
      <c r="S4227" s="1" t="s">
        <v>5246</v>
      </c>
      <c r="T4227" s="1" t="s">
        <v>5247</v>
      </c>
      <c r="U4227" s="2" t="s">
        <v>3983</v>
      </c>
      <c r="V4227" s="2" t="s">
        <v>47</v>
      </c>
      <c r="W4227" s="2" t="s">
        <v>74</v>
      </c>
      <c r="X4227" s="2">
        <v>69.930000000000007</v>
      </c>
    </row>
    <row r="4228" spans="1:24" x14ac:dyDescent="0.3">
      <c r="A4228">
        <v>22073</v>
      </c>
      <c r="B4228" t="s">
        <v>9748</v>
      </c>
      <c r="C4228" s="3">
        <v>41649</v>
      </c>
      <c r="D4228" t="s">
        <v>39</v>
      </c>
      <c r="E4228">
        <v>9</v>
      </c>
      <c r="F4228" s="3">
        <f ca="1">41650+(RANDBETWEEN(1,10))</f>
        <v>41657</v>
      </c>
      <c r="G4228" t="s">
        <v>26</v>
      </c>
      <c r="H4228" t="s">
        <v>51</v>
      </c>
      <c r="I4228" t="s">
        <v>28</v>
      </c>
      <c r="J4228">
        <v>1090.915</v>
      </c>
      <c r="K4228">
        <v>0.02</v>
      </c>
      <c r="L4228">
        <v>0.45</v>
      </c>
      <c r="M4228">
        <v>6.9649999999999999</v>
      </c>
      <c r="N4228">
        <v>752.73135000000002</v>
      </c>
      <c r="O4228" s="1" t="s">
        <v>40</v>
      </c>
      <c r="P4228" s="1" t="s">
        <v>9749</v>
      </c>
      <c r="Q4228" s="1" t="s">
        <v>9750</v>
      </c>
      <c r="R4228" s="1" t="s">
        <v>43</v>
      </c>
      <c r="S4228" s="1" t="s">
        <v>5804</v>
      </c>
      <c r="T4228" s="1" t="s">
        <v>5805</v>
      </c>
      <c r="U4228" s="2" t="s">
        <v>2969</v>
      </c>
      <c r="V4228" s="2" t="s">
        <v>36</v>
      </c>
      <c r="W4228" s="2" t="s">
        <v>60</v>
      </c>
      <c r="X4228" s="2">
        <v>118.93</v>
      </c>
    </row>
    <row r="4229" spans="1:24" x14ac:dyDescent="0.3">
      <c r="A4229">
        <v>22074</v>
      </c>
      <c r="B4229" t="s">
        <v>9751</v>
      </c>
      <c r="C4229" s="3">
        <v>41310</v>
      </c>
      <c r="D4229" t="s">
        <v>62</v>
      </c>
      <c r="E4229">
        <v>12</v>
      </c>
      <c r="F4229" s="3">
        <f ca="1">41312+(RANDBETWEEN(1,10))</f>
        <v>41321</v>
      </c>
      <c r="G4229" t="s">
        <v>76</v>
      </c>
      <c r="H4229" t="s">
        <v>77</v>
      </c>
      <c r="I4229" t="s">
        <v>28</v>
      </c>
      <c r="J4229">
        <v>16732.939999999999</v>
      </c>
      <c r="K4229">
        <v>0.08</v>
      </c>
      <c r="L4229">
        <v>0.59</v>
      </c>
      <c r="M4229">
        <v>51.45</v>
      </c>
      <c r="N4229">
        <v>-409.93400000000003</v>
      </c>
      <c r="O4229" s="1" t="s">
        <v>40</v>
      </c>
      <c r="P4229" s="1" t="s">
        <v>7471</v>
      </c>
      <c r="Q4229" s="1" t="s">
        <v>7472</v>
      </c>
      <c r="R4229" s="1" t="s">
        <v>220</v>
      </c>
      <c r="S4229" s="1" t="s">
        <v>7473</v>
      </c>
      <c r="T4229" s="1" t="s">
        <v>7474</v>
      </c>
      <c r="U4229" s="2" t="s">
        <v>9752</v>
      </c>
      <c r="V4229" s="2" t="s">
        <v>36</v>
      </c>
      <c r="W4229" s="2" t="s">
        <v>142</v>
      </c>
      <c r="X4229" s="2">
        <v>1403.395</v>
      </c>
    </row>
    <row r="4230" spans="1:24" x14ac:dyDescent="0.3">
      <c r="A4230">
        <v>22075</v>
      </c>
      <c r="B4230" t="s">
        <v>9753</v>
      </c>
      <c r="C4230" s="3">
        <v>41641</v>
      </c>
      <c r="D4230" t="s">
        <v>148</v>
      </c>
      <c r="E4230">
        <v>3</v>
      </c>
      <c r="F4230" s="3">
        <f ca="1">41642+(RANDBETWEEN(1,10))</f>
        <v>41643</v>
      </c>
      <c r="G4230" t="s">
        <v>26</v>
      </c>
      <c r="H4230" t="s">
        <v>96</v>
      </c>
      <c r="I4230" t="s">
        <v>28</v>
      </c>
      <c r="J4230">
        <v>202.19499999999999</v>
      </c>
      <c r="K4230">
        <v>0.05</v>
      </c>
      <c r="L4230">
        <v>0.44</v>
      </c>
      <c r="M4230">
        <v>14.35</v>
      </c>
      <c r="N4230">
        <v>65.436000000000007</v>
      </c>
      <c r="O4230" s="1" t="s">
        <v>64</v>
      </c>
      <c r="P4230" s="1" t="s">
        <v>9470</v>
      </c>
      <c r="Q4230" s="1" t="s">
        <v>9471</v>
      </c>
      <c r="R4230" s="1" t="s">
        <v>128</v>
      </c>
      <c r="S4230" s="1" t="s">
        <v>9472</v>
      </c>
      <c r="T4230" s="1" t="s">
        <v>9473</v>
      </c>
      <c r="U4230" s="2" t="s">
        <v>550</v>
      </c>
      <c r="V4230" s="2" t="s">
        <v>47</v>
      </c>
      <c r="W4230" s="2" t="s">
        <v>104</v>
      </c>
      <c r="X4230" s="2">
        <v>69.44</v>
      </c>
    </row>
    <row r="4231" spans="1:24" x14ac:dyDescent="0.3">
      <c r="A4231">
        <v>22076</v>
      </c>
      <c r="B4231" t="s">
        <v>9754</v>
      </c>
      <c r="C4231" s="3">
        <v>40911</v>
      </c>
      <c r="D4231" t="s">
        <v>39</v>
      </c>
      <c r="E4231">
        <v>11</v>
      </c>
      <c r="F4231" s="3">
        <f ca="1">40913+(RANDBETWEEN(1,10))</f>
        <v>40920</v>
      </c>
      <c r="G4231" t="s">
        <v>26</v>
      </c>
      <c r="H4231" t="s">
        <v>27</v>
      </c>
      <c r="I4231" t="s">
        <v>52</v>
      </c>
      <c r="J4231">
        <v>257.495</v>
      </c>
      <c r="K4231">
        <v>0.02</v>
      </c>
      <c r="L4231">
        <v>0.37</v>
      </c>
      <c r="M4231">
        <v>22.225000000000001</v>
      </c>
      <c r="N4231">
        <v>-6.0270000000000001</v>
      </c>
      <c r="O4231" s="1" t="s">
        <v>225</v>
      </c>
      <c r="P4231" s="1" t="s">
        <v>7392</v>
      </c>
      <c r="Q4231" s="1" t="s">
        <v>7393</v>
      </c>
      <c r="R4231" s="1" t="s">
        <v>228</v>
      </c>
      <c r="S4231" s="1" t="s">
        <v>7394</v>
      </c>
      <c r="T4231" s="1" t="s">
        <v>7395</v>
      </c>
      <c r="U4231" s="2" t="s">
        <v>3424</v>
      </c>
      <c r="V4231" s="2" t="s">
        <v>47</v>
      </c>
      <c r="W4231" s="2" t="s">
        <v>74</v>
      </c>
      <c r="X4231" s="2">
        <v>22.68</v>
      </c>
    </row>
    <row r="4232" spans="1:24" x14ac:dyDescent="0.3">
      <c r="A4232">
        <v>22077</v>
      </c>
      <c r="B4232" t="s">
        <v>9754</v>
      </c>
      <c r="C4232" s="3">
        <v>40911</v>
      </c>
      <c r="D4232" t="s">
        <v>39</v>
      </c>
      <c r="E4232">
        <v>6</v>
      </c>
      <c r="F4232" s="3">
        <f ca="1">40912+(RANDBETWEEN(1,10))</f>
        <v>40917</v>
      </c>
      <c r="G4232" t="s">
        <v>26</v>
      </c>
      <c r="H4232" t="s">
        <v>96</v>
      </c>
      <c r="I4232" t="s">
        <v>52</v>
      </c>
      <c r="J4232">
        <v>117.355</v>
      </c>
      <c r="K4232">
        <v>0.06</v>
      </c>
      <c r="L4232">
        <v>0.38</v>
      </c>
      <c r="M4232">
        <v>3.5</v>
      </c>
      <c r="N4232">
        <v>-563.0394</v>
      </c>
      <c r="O4232" s="1" t="s">
        <v>225</v>
      </c>
      <c r="P4232" s="1" t="s">
        <v>7392</v>
      </c>
      <c r="Q4232" s="1" t="s">
        <v>7393</v>
      </c>
      <c r="R4232" s="1" t="s">
        <v>228</v>
      </c>
      <c r="S4232" s="1" t="s">
        <v>7394</v>
      </c>
      <c r="T4232" s="1" t="s">
        <v>7395</v>
      </c>
      <c r="U4232" s="2" t="s">
        <v>3510</v>
      </c>
      <c r="V4232" s="2" t="s">
        <v>47</v>
      </c>
      <c r="W4232" s="2" t="s">
        <v>104</v>
      </c>
      <c r="X4232" s="2">
        <v>20.440000000000001</v>
      </c>
    </row>
    <row r="4233" spans="1:24" x14ac:dyDescent="0.3">
      <c r="A4233">
        <v>22078</v>
      </c>
      <c r="B4233" t="s">
        <v>9754</v>
      </c>
      <c r="C4233" s="3">
        <v>40911</v>
      </c>
      <c r="D4233" t="s">
        <v>39</v>
      </c>
      <c r="E4233">
        <v>10</v>
      </c>
      <c r="F4233" s="3">
        <f ca="1">40911+(RANDBETWEEN(1,10))</f>
        <v>40916</v>
      </c>
      <c r="G4233" t="s">
        <v>26</v>
      </c>
      <c r="H4233" t="s">
        <v>27</v>
      </c>
      <c r="I4233" t="s">
        <v>52</v>
      </c>
      <c r="J4233">
        <v>863.625</v>
      </c>
      <c r="K4233">
        <v>0.04</v>
      </c>
      <c r="L4233">
        <v>0.66</v>
      </c>
      <c r="M4233">
        <v>30.765000000000001</v>
      </c>
      <c r="N4233">
        <v>179.571</v>
      </c>
      <c r="O4233" s="1" t="s">
        <v>225</v>
      </c>
      <c r="P4233" s="1" t="s">
        <v>7392</v>
      </c>
      <c r="Q4233" s="1" t="s">
        <v>7393</v>
      </c>
      <c r="R4233" s="1" t="s">
        <v>228</v>
      </c>
      <c r="S4233" s="1" t="s">
        <v>7394</v>
      </c>
      <c r="T4233" s="1" t="s">
        <v>7395</v>
      </c>
      <c r="U4233" s="2" t="s">
        <v>5412</v>
      </c>
      <c r="V4233" s="2" t="s">
        <v>47</v>
      </c>
      <c r="W4233" s="2" t="s">
        <v>119</v>
      </c>
      <c r="X4233" s="2">
        <v>87.43</v>
      </c>
    </row>
    <row r="4234" spans="1:24" x14ac:dyDescent="0.3">
      <c r="A4234">
        <v>22079</v>
      </c>
      <c r="B4234" t="s">
        <v>9754</v>
      </c>
      <c r="C4234" s="3">
        <v>40911</v>
      </c>
      <c r="D4234" t="s">
        <v>39</v>
      </c>
      <c r="E4234">
        <v>8</v>
      </c>
      <c r="F4234" s="3">
        <f ca="1">40913+(RANDBETWEEN(1,10))</f>
        <v>40919</v>
      </c>
      <c r="G4234" t="s">
        <v>76</v>
      </c>
      <c r="H4234" t="s">
        <v>258</v>
      </c>
      <c r="I4234" t="s">
        <v>52</v>
      </c>
      <c r="J4234">
        <v>24087.77</v>
      </c>
      <c r="K4234">
        <v>7.0000000000000007E-2</v>
      </c>
      <c r="L4234">
        <v>0.62</v>
      </c>
      <c r="M4234">
        <v>155.92500000000001</v>
      </c>
      <c r="N4234">
        <v>16620.561300000001</v>
      </c>
      <c r="O4234" s="1" t="s">
        <v>87</v>
      </c>
      <c r="P4234" s="1" t="s">
        <v>9755</v>
      </c>
      <c r="Q4234" s="1" t="s">
        <v>9756</v>
      </c>
      <c r="R4234" s="1" t="s">
        <v>646</v>
      </c>
      <c r="S4234" s="1" t="s">
        <v>9757</v>
      </c>
      <c r="T4234" s="1" t="s">
        <v>9758</v>
      </c>
      <c r="U4234" s="2" t="s">
        <v>1930</v>
      </c>
      <c r="V4234" s="2" t="s">
        <v>83</v>
      </c>
      <c r="W4234" s="2" t="s">
        <v>298</v>
      </c>
      <c r="X4234" s="2">
        <v>3083.43</v>
      </c>
    </row>
    <row r="4235" spans="1:24" x14ac:dyDescent="0.3">
      <c r="A4235">
        <v>2208</v>
      </c>
      <c r="B4235" t="s">
        <v>9727</v>
      </c>
      <c r="C4235" s="3">
        <v>41375</v>
      </c>
      <c r="D4235" t="s">
        <v>39</v>
      </c>
      <c r="E4235">
        <v>4</v>
      </c>
      <c r="F4235" s="3">
        <f ca="1">41376+(RANDBETWEEN(1,10))</f>
        <v>41381</v>
      </c>
      <c r="G4235" t="s">
        <v>26</v>
      </c>
      <c r="H4235" t="s">
        <v>96</v>
      </c>
      <c r="I4235" t="s">
        <v>97</v>
      </c>
      <c r="J4235">
        <v>98.174999999999997</v>
      </c>
      <c r="K4235">
        <v>0.09</v>
      </c>
      <c r="L4235">
        <v>0.38</v>
      </c>
      <c r="M4235">
        <v>7.5949999999999998</v>
      </c>
      <c r="N4235">
        <v>-18.934999999999999</v>
      </c>
      <c r="O4235" s="1" t="s">
        <v>40</v>
      </c>
      <c r="P4235" s="1" t="s">
        <v>9728</v>
      </c>
      <c r="Q4235" s="1" t="s">
        <v>9729</v>
      </c>
      <c r="R4235" s="1" t="s">
        <v>43</v>
      </c>
      <c r="S4235" s="1" t="s">
        <v>80</v>
      </c>
      <c r="T4235" s="1" t="s">
        <v>9730</v>
      </c>
      <c r="U4235" s="2" t="s">
        <v>6554</v>
      </c>
      <c r="V4235" s="2" t="s">
        <v>47</v>
      </c>
      <c r="W4235" s="2" t="s">
        <v>74</v>
      </c>
      <c r="X4235" s="2">
        <v>24.64</v>
      </c>
    </row>
    <row r="4236" spans="1:24" x14ac:dyDescent="0.3">
      <c r="A4236">
        <v>22080</v>
      </c>
      <c r="B4236" t="s">
        <v>9759</v>
      </c>
      <c r="C4236" s="3">
        <v>41655</v>
      </c>
      <c r="D4236" t="s">
        <v>148</v>
      </c>
      <c r="E4236">
        <v>7</v>
      </c>
      <c r="F4236" s="3">
        <f ca="1">41656+(RANDBETWEEN(1,10))</f>
        <v>41665</v>
      </c>
      <c r="G4236" t="s">
        <v>26</v>
      </c>
      <c r="H4236" t="s">
        <v>27</v>
      </c>
      <c r="I4236" t="s">
        <v>52</v>
      </c>
      <c r="J4236">
        <v>101.15</v>
      </c>
      <c r="K4236">
        <v>0.02</v>
      </c>
      <c r="L4236">
        <v>0.39</v>
      </c>
      <c r="M4236">
        <v>3.4649999999999999</v>
      </c>
      <c r="N4236">
        <v>69.793499999999995</v>
      </c>
      <c r="O4236" s="1" t="s">
        <v>87</v>
      </c>
      <c r="P4236" s="1" t="s">
        <v>6241</v>
      </c>
      <c r="Q4236" s="1" t="s">
        <v>6242</v>
      </c>
      <c r="R4236" s="1" t="s">
        <v>497</v>
      </c>
      <c r="S4236" s="1" t="s">
        <v>6243</v>
      </c>
      <c r="T4236" s="1" t="s">
        <v>6244</v>
      </c>
      <c r="U4236" s="2" t="s">
        <v>2720</v>
      </c>
      <c r="V4236" s="2" t="s">
        <v>47</v>
      </c>
      <c r="W4236" s="2" t="s">
        <v>203</v>
      </c>
      <c r="X4236" s="2">
        <v>14.455</v>
      </c>
    </row>
    <row r="4237" spans="1:24" x14ac:dyDescent="0.3">
      <c r="A4237">
        <v>22081</v>
      </c>
      <c r="B4237" t="s">
        <v>9759</v>
      </c>
      <c r="C4237" s="3">
        <v>41655</v>
      </c>
      <c r="D4237" t="s">
        <v>148</v>
      </c>
      <c r="E4237">
        <v>10</v>
      </c>
      <c r="F4237" s="3">
        <f ca="1">41655+(RANDBETWEEN(1,10))</f>
        <v>41662</v>
      </c>
      <c r="G4237" t="s">
        <v>26</v>
      </c>
      <c r="H4237" t="s">
        <v>27</v>
      </c>
      <c r="I4237" t="s">
        <v>52</v>
      </c>
      <c r="J4237">
        <v>369.77499999999998</v>
      </c>
      <c r="K4237">
        <v>0.02</v>
      </c>
      <c r="L4237">
        <v>0.57999999999999996</v>
      </c>
      <c r="M4237">
        <v>24.184999999999999</v>
      </c>
      <c r="N4237">
        <v>-469.58800000000002</v>
      </c>
      <c r="O4237" s="1" t="s">
        <v>87</v>
      </c>
      <c r="P4237" s="1" t="s">
        <v>6241</v>
      </c>
      <c r="Q4237" s="1" t="s">
        <v>6242</v>
      </c>
      <c r="R4237" s="1" t="s">
        <v>497</v>
      </c>
      <c r="S4237" s="1" t="s">
        <v>6243</v>
      </c>
      <c r="T4237" s="1" t="s">
        <v>6244</v>
      </c>
      <c r="U4237" s="2" t="s">
        <v>9760</v>
      </c>
      <c r="V4237" s="2" t="s">
        <v>47</v>
      </c>
      <c r="W4237" s="2" t="s">
        <v>119</v>
      </c>
      <c r="X4237" s="2">
        <v>36.68</v>
      </c>
    </row>
    <row r="4238" spans="1:24" x14ac:dyDescent="0.3">
      <c r="A4238">
        <v>22082</v>
      </c>
      <c r="B4238" t="s">
        <v>9761</v>
      </c>
      <c r="C4238" s="3">
        <v>41341</v>
      </c>
      <c r="D4238" t="s">
        <v>50</v>
      </c>
      <c r="E4238">
        <v>11</v>
      </c>
      <c r="F4238" s="3">
        <f ca="1">41342+(RANDBETWEEN(1,10))</f>
        <v>41350</v>
      </c>
      <c r="G4238" t="s">
        <v>26</v>
      </c>
      <c r="H4238" t="s">
        <v>27</v>
      </c>
      <c r="I4238" t="s">
        <v>86</v>
      </c>
      <c r="J4238">
        <v>280.73500000000001</v>
      </c>
      <c r="K4238">
        <v>0.01</v>
      </c>
      <c r="L4238">
        <v>0.35</v>
      </c>
      <c r="M4238">
        <v>10.465</v>
      </c>
      <c r="N4238">
        <v>190.60825</v>
      </c>
      <c r="O4238" s="1" t="s">
        <v>64</v>
      </c>
      <c r="P4238" s="1" t="s">
        <v>9436</v>
      </c>
      <c r="Q4238" s="1" t="s">
        <v>9437</v>
      </c>
      <c r="R4238" s="1" t="s">
        <v>128</v>
      </c>
      <c r="S4238" s="1" t="s">
        <v>3162</v>
      </c>
      <c r="T4238" s="1" t="s">
        <v>3163</v>
      </c>
      <c r="U4238" s="2" t="s">
        <v>4681</v>
      </c>
      <c r="V4238" s="2" t="s">
        <v>47</v>
      </c>
      <c r="W4238" s="2" t="s">
        <v>111</v>
      </c>
      <c r="X4238" s="2">
        <v>23.625</v>
      </c>
    </row>
    <row r="4239" spans="1:24" x14ac:dyDescent="0.3">
      <c r="A4239">
        <v>22083</v>
      </c>
      <c r="B4239" t="s">
        <v>9762</v>
      </c>
      <c r="C4239" s="3">
        <v>41041</v>
      </c>
      <c r="D4239" t="s">
        <v>25</v>
      </c>
      <c r="E4239">
        <v>16</v>
      </c>
      <c r="F4239" s="3">
        <f ca="1">41043+(RANDBETWEEN(1,10))</f>
        <v>41048</v>
      </c>
      <c r="G4239" t="s">
        <v>26</v>
      </c>
      <c r="H4239" t="s">
        <v>27</v>
      </c>
      <c r="I4239" t="s">
        <v>52</v>
      </c>
      <c r="J4239">
        <v>2184.35</v>
      </c>
      <c r="K4239">
        <v>0.08</v>
      </c>
      <c r="L4239">
        <v>0.37</v>
      </c>
      <c r="M4239">
        <v>26.145</v>
      </c>
      <c r="N4239">
        <v>232.12979999999999</v>
      </c>
      <c r="O4239" s="1" t="s">
        <v>87</v>
      </c>
      <c r="P4239" s="1" t="s">
        <v>9026</v>
      </c>
      <c r="Q4239" s="1" t="s">
        <v>9027</v>
      </c>
      <c r="R4239" s="1" t="s">
        <v>398</v>
      </c>
      <c r="S4239" s="1" t="s">
        <v>9028</v>
      </c>
      <c r="T4239" s="1" t="s">
        <v>9029</v>
      </c>
      <c r="U4239" s="2" t="s">
        <v>1126</v>
      </c>
      <c r="V4239" s="2" t="s">
        <v>47</v>
      </c>
      <c r="W4239" s="2" t="s">
        <v>111</v>
      </c>
      <c r="X4239" s="2">
        <v>143.43</v>
      </c>
    </row>
    <row r="4240" spans="1:24" x14ac:dyDescent="0.3">
      <c r="A4240">
        <v>22084</v>
      </c>
      <c r="B4240" t="s">
        <v>9762</v>
      </c>
      <c r="C4240" s="3">
        <v>41041</v>
      </c>
      <c r="D4240" t="s">
        <v>25</v>
      </c>
      <c r="E4240">
        <v>8</v>
      </c>
      <c r="F4240" s="3">
        <f ca="1">41046+(RANDBETWEEN(1,10))</f>
        <v>41049</v>
      </c>
      <c r="G4240" t="s">
        <v>76</v>
      </c>
      <c r="H4240" t="s">
        <v>258</v>
      </c>
      <c r="I4240" t="s">
        <v>52</v>
      </c>
      <c r="J4240">
        <v>2074.7649999999999</v>
      </c>
      <c r="K4240">
        <v>0.05</v>
      </c>
      <c r="L4240">
        <v>0.6</v>
      </c>
      <c r="M4240">
        <v>93.59</v>
      </c>
      <c r="N4240">
        <v>-155.96700000000001</v>
      </c>
      <c r="O4240" s="1" t="s">
        <v>87</v>
      </c>
      <c r="P4240" s="1" t="s">
        <v>9026</v>
      </c>
      <c r="Q4240" s="1" t="s">
        <v>9027</v>
      </c>
      <c r="R4240" s="1" t="s">
        <v>398</v>
      </c>
      <c r="S4240" s="1" t="s">
        <v>9028</v>
      </c>
      <c r="T4240" s="1" t="s">
        <v>9029</v>
      </c>
      <c r="U4240" s="2" t="s">
        <v>3851</v>
      </c>
      <c r="V4240" s="2" t="s">
        <v>83</v>
      </c>
      <c r="W4240" s="2" t="s">
        <v>298</v>
      </c>
      <c r="X4240" s="2">
        <v>248.43</v>
      </c>
    </row>
    <row r="4241" spans="1:24" x14ac:dyDescent="0.3">
      <c r="A4241">
        <v>22085</v>
      </c>
      <c r="B4241" t="s">
        <v>9763</v>
      </c>
      <c r="C4241" s="3">
        <v>41010</v>
      </c>
      <c r="D4241" t="s">
        <v>148</v>
      </c>
      <c r="E4241">
        <v>8</v>
      </c>
      <c r="F4241" s="3">
        <f ca="1">41012+(RANDBETWEEN(1,10))</f>
        <v>41014</v>
      </c>
      <c r="G4241" t="s">
        <v>26</v>
      </c>
      <c r="H4241" t="s">
        <v>27</v>
      </c>
      <c r="I4241" t="s">
        <v>28</v>
      </c>
      <c r="J4241">
        <v>2896.6</v>
      </c>
      <c r="K4241">
        <v>0.08</v>
      </c>
      <c r="L4241">
        <v>0.57999999999999996</v>
      </c>
      <c r="M4241">
        <v>26.914999999999999</v>
      </c>
      <c r="N4241">
        <v>1998.654</v>
      </c>
      <c r="O4241" s="1" t="s">
        <v>53</v>
      </c>
      <c r="P4241" s="1" t="s">
        <v>8633</v>
      </c>
      <c r="Q4241" s="1" t="s">
        <v>8634</v>
      </c>
      <c r="R4241" s="1" t="s">
        <v>100</v>
      </c>
      <c r="S4241" s="1" t="s">
        <v>8635</v>
      </c>
      <c r="T4241" s="1" t="s">
        <v>8636</v>
      </c>
      <c r="U4241" s="2" t="s">
        <v>2511</v>
      </c>
      <c r="V4241" s="2" t="s">
        <v>36</v>
      </c>
      <c r="W4241" s="2" t="s">
        <v>37</v>
      </c>
      <c r="X4241" s="2">
        <v>440.96499999999997</v>
      </c>
    </row>
    <row r="4242" spans="1:24" x14ac:dyDescent="0.3">
      <c r="A4242">
        <v>22086</v>
      </c>
      <c r="B4242" t="s">
        <v>9764</v>
      </c>
      <c r="C4242" s="3">
        <v>40633</v>
      </c>
      <c r="D4242" t="s">
        <v>62</v>
      </c>
      <c r="E4242">
        <v>5</v>
      </c>
      <c r="F4242" s="3">
        <f ca="1">40635+(RANDBETWEEN(1,10))</f>
        <v>40642</v>
      </c>
      <c r="G4242" t="s">
        <v>26</v>
      </c>
      <c r="H4242" t="s">
        <v>96</v>
      </c>
      <c r="I4242" t="s">
        <v>52</v>
      </c>
      <c r="J4242">
        <v>30.274999999999999</v>
      </c>
      <c r="K4242">
        <v>0.06</v>
      </c>
      <c r="L4242">
        <v>0.35</v>
      </c>
      <c r="M4242">
        <v>3.5</v>
      </c>
      <c r="N4242">
        <v>-4618.25</v>
      </c>
      <c r="O4242" s="1" t="s">
        <v>53</v>
      </c>
      <c r="P4242" s="1" t="s">
        <v>9765</v>
      </c>
      <c r="Q4242" s="1" t="s">
        <v>9766</v>
      </c>
      <c r="R4242" s="1" t="s">
        <v>440</v>
      </c>
      <c r="S4242" s="1" t="s">
        <v>6211</v>
      </c>
      <c r="T4242" s="1" t="s">
        <v>6212</v>
      </c>
      <c r="U4242" s="2" t="s">
        <v>6252</v>
      </c>
      <c r="V4242" s="2" t="s">
        <v>47</v>
      </c>
      <c r="W4242" s="2" t="s">
        <v>104</v>
      </c>
      <c r="X4242" s="2">
        <v>5.88</v>
      </c>
    </row>
    <row r="4243" spans="1:24" x14ac:dyDescent="0.3">
      <c r="A4243">
        <v>22087</v>
      </c>
      <c r="B4243" t="s">
        <v>9767</v>
      </c>
      <c r="C4243" s="3">
        <v>41478</v>
      </c>
      <c r="D4243" t="s">
        <v>25</v>
      </c>
      <c r="E4243">
        <v>1</v>
      </c>
      <c r="F4243" s="3">
        <f ca="1">41482+(RANDBETWEEN(1,10))</f>
        <v>41486</v>
      </c>
      <c r="G4243" t="s">
        <v>26</v>
      </c>
      <c r="H4243" t="s">
        <v>51</v>
      </c>
      <c r="I4243" t="s">
        <v>86</v>
      </c>
      <c r="J4243">
        <v>68.39</v>
      </c>
      <c r="K4243">
        <v>0</v>
      </c>
      <c r="L4243">
        <v>0.45</v>
      </c>
      <c r="M4243">
        <v>6.9649999999999999</v>
      </c>
      <c r="N4243">
        <v>-50.323</v>
      </c>
      <c r="O4243" s="1" t="s">
        <v>53</v>
      </c>
      <c r="P4243" s="1" t="s">
        <v>5104</v>
      </c>
      <c r="Q4243" s="1" t="s">
        <v>5105</v>
      </c>
      <c r="R4243" s="1" t="s">
        <v>440</v>
      </c>
      <c r="S4243" s="1" t="s">
        <v>5106</v>
      </c>
      <c r="T4243" s="1" t="s">
        <v>5107</v>
      </c>
      <c r="U4243" s="2" t="s">
        <v>59</v>
      </c>
      <c r="V4243" s="2" t="s">
        <v>36</v>
      </c>
      <c r="W4243" s="2" t="s">
        <v>60</v>
      </c>
      <c r="X4243" s="2">
        <v>61.18</v>
      </c>
    </row>
    <row r="4244" spans="1:24" x14ac:dyDescent="0.3">
      <c r="A4244">
        <v>22088</v>
      </c>
      <c r="B4244" t="s">
        <v>9767</v>
      </c>
      <c r="C4244" s="3">
        <v>41478</v>
      </c>
      <c r="D4244" t="s">
        <v>25</v>
      </c>
      <c r="E4244">
        <v>4</v>
      </c>
      <c r="F4244" s="3">
        <f ca="1">41478+(RANDBETWEEN(1,10))</f>
        <v>41482</v>
      </c>
      <c r="G4244" t="s">
        <v>26</v>
      </c>
      <c r="H4244" t="s">
        <v>27</v>
      </c>
      <c r="I4244" t="s">
        <v>86</v>
      </c>
      <c r="J4244">
        <v>102.30500000000001</v>
      </c>
      <c r="K4244">
        <v>0.06</v>
      </c>
      <c r="L4244">
        <v>0.83</v>
      </c>
      <c r="M4244">
        <v>33.914999999999999</v>
      </c>
      <c r="N4244">
        <v>1901.6969999999999</v>
      </c>
      <c r="O4244" s="1" t="s">
        <v>53</v>
      </c>
      <c r="P4244" s="1" t="s">
        <v>5104</v>
      </c>
      <c r="Q4244" s="1" t="s">
        <v>5105</v>
      </c>
      <c r="R4244" s="1" t="s">
        <v>440</v>
      </c>
      <c r="S4244" s="1" t="s">
        <v>5106</v>
      </c>
      <c r="T4244" s="1" t="s">
        <v>5107</v>
      </c>
      <c r="U4244" s="2" t="s">
        <v>6865</v>
      </c>
      <c r="V4244" s="2" t="s">
        <v>47</v>
      </c>
      <c r="W4244" s="2" t="s">
        <v>119</v>
      </c>
      <c r="X4244" s="2">
        <v>24.43</v>
      </c>
    </row>
    <row r="4245" spans="1:24" x14ac:dyDescent="0.3">
      <c r="A4245">
        <v>22089</v>
      </c>
      <c r="B4245" t="s">
        <v>9768</v>
      </c>
      <c r="C4245" s="3">
        <v>40963</v>
      </c>
      <c r="D4245" t="s">
        <v>25</v>
      </c>
      <c r="E4245">
        <v>3</v>
      </c>
      <c r="F4245" s="3">
        <f ca="1">40969+(RANDBETWEEN(1,10))</f>
        <v>40971</v>
      </c>
      <c r="G4245" t="s">
        <v>26</v>
      </c>
      <c r="H4245" t="s">
        <v>27</v>
      </c>
      <c r="I4245" t="s">
        <v>97</v>
      </c>
      <c r="J4245">
        <v>219.20500000000001</v>
      </c>
      <c r="K4245">
        <v>7.0000000000000007E-2</v>
      </c>
      <c r="L4245">
        <v>0.77</v>
      </c>
      <c r="M4245">
        <v>14</v>
      </c>
      <c r="N4245">
        <v>-1798.3098</v>
      </c>
      <c r="O4245" s="1" t="s">
        <v>225</v>
      </c>
      <c r="P4245" s="1" t="s">
        <v>7829</v>
      </c>
      <c r="Q4245" s="1" t="s">
        <v>7830</v>
      </c>
      <c r="R4245" s="1" t="s">
        <v>228</v>
      </c>
      <c r="S4245" s="1" t="s">
        <v>7831</v>
      </c>
      <c r="T4245" s="1" t="s">
        <v>7832</v>
      </c>
      <c r="U4245" s="2" t="s">
        <v>1138</v>
      </c>
      <c r="V4245" s="2" t="s">
        <v>36</v>
      </c>
      <c r="W4245" s="2" t="s">
        <v>60</v>
      </c>
      <c r="X4245" s="2">
        <v>73.394999999999996</v>
      </c>
    </row>
    <row r="4246" spans="1:24" x14ac:dyDescent="0.3">
      <c r="A4246">
        <v>22090</v>
      </c>
      <c r="B4246" t="s">
        <v>9769</v>
      </c>
      <c r="C4246" s="3">
        <v>41567</v>
      </c>
      <c r="D4246" t="s">
        <v>39</v>
      </c>
      <c r="E4246">
        <v>6</v>
      </c>
      <c r="F4246" s="3">
        <f ca="1">41568+(RANDBETWEEN(1,10))</f>
        <v>41575</v>
      </c>
      <c r="G4246" t="s">
        <v>76</v>
      </c>
      <c r="H4246" t="s">
        <v>77</v>
      </c>
      <c r="I4246" t="s">
        <v>97</v>
      </c>
      <c r="J4246">
        <v>3966.7249999999999</v>
      </c>
      <c r="K4246">
        <v>7.0000000000000007E-2</v>
      </c>
      <c r="L4246">
        <v>0.57999999999999996</v>
      </c>
      <c r="M4246">
        <v>83.16</v>
      </c>
      <c r="N4246">
        <v>582.17600000000004</v>
      </c>
      <c r="O4246" s="1" t="s">
        <v>29</v>
      </c>
      <c r="P4246" s="1" t="s">
        <v>7549</v>
      </c>
      <c r="Q4246" s="1" t="s">
        <v>7550</v>
      </c>
      <c r="R4246" s="1" t="s">
        <v>32</v>
      </c>
      <c r="S4246" s="1" t="s">
        <v>7551</v>
      </c>
      <c r="T4246" s="1" t="s">
        <v>7552</v>
      </c>
      <c r="U4246" s="2" t="s">
        <v>3990</v>
      </c>
      <c r="V4246" s="2" t="s">
        <v>83</v>
      </c>
      <c r="W4246" s="2" t="s">
        <v>84</v>
      </c>
      <c r="X4246" s="2">
        <v>703.43</v>
      </c>
    </row>
    <row r="4247" spans="1:24" x14ac:dyDescent="0.3">
      <c r="A4247">
        <v>22091</v>
      </c>
      <c r="B4247" t="s">
        <v>9770</v>
      </c>
      <c r="C4247" s="3">
        <v>40928</v>
      </c>
      <c r="D4247" t="s">
        <v>39</v>
      </c>
      <c r="E4247">
        <v>2</v>
      </c>
      <c r="F4247" s="3">
        <f ca="1">40929+(RANDBETWEEN(1,10))</f>
        <v>40935</v>
      </c>
      <c r="G4247" t="s">
        <v>26</v>
      </c>
      <c r="H4247" t="s">
        <v>27</v>
      </c>
      <c r="I4247" t="s">
        <v>28</v>
      </c>
      <c r="J4247">
        <v>409.92</v>
      </c>
      <c r="K4247">
        <v>0.03</v>
      </c>
      <c r="L4247">
        <v>0.56000000000000005</v>
      </c>
      <c r="M4247">
        <v>46.27</v>
      </c>
      <c r="N4247">
        <v>-27.645800000000001</v>
      </c>
      <c r="O4247" s="1" t="s">
        <v>87</v>
      </c>
      <c r="P4247" s="1" t="s">
        <v>5873</v>
      </c>
      <c r="Q4247" s="1" t="s">
        <v>5874</v>
      </c>
      <c r="R4247" s="1" t="s">
        <v>90</v>
      </c>
      <c r="S4247" s="1" t="s">
        <v>5875</v>
      </c>
      <c r="T4247" s="1" t="s">
        <v>5876</v>
      </c>
      <c r="U4247" s="2" t="s">
        <v>2644</v>
      </c>
      <c r="V4247" s="2" t="s">
        <v>47</v>
      </c>
      <c r="W4247" s="2" t="s">
        <v>71</v>
      </c>
      <c r="X4247" s="2">
        <v>199.36</v>
      </c>
    </row>
    <row r="4248" spans="1:24" x14ac:dyDescent="0.3">
      <c r="A4248">
        <v>22092</v>
      </c>
      <c r="B4248" t="s">
        <v>9770</v>
      </c>
      <c r="C4248" s="3">
        <v>40928</v>
      </c>
      <c r="D4248" t="s">
        <v>39</v>
      </c>
      <c r="E4248">
        <v>12</v>
      </c>
      <c r="F4248" s="3">
        <f ca="1">40930+(RANDBETWEEN(1,10))</f>
        <v>40935</v>
      </c>
      <c r="G4248" t="s">
        <v>156</v>
      </c>
      <c r="H4248" t="s">
        <v>63</v>
      </c>
      <c r="I4248" t="s">
        <v>28</v>
      </c>
      <c r="J4248">
        <v>390.70499999999998</v>
      </c>
      <c r="K4248">
        <v>0.04</v>
      </c>
      <c r="L4248">
        <v>0.59</v>
      </c>
      <c r="M4248">
        <v>35.56</v>
      </c>
      <c r="N4248">
        <v>-1134.693</v>
      </c>
      <c r="O4248" s="1" t="s">
        <v>87</v>
      </c>
      <c r="P4248" s="1" t="s">
        <v>5873</v>
      </c>
      <c r="Q4248" s="1" t="s">
        <v>5874</v>
      </c>
      <c r="R4248" s="1" t="s">
        <v>90</v>
      </c>
      <c r="S4248" s="1" t="s">
        <v>5875</v>
      </c>
      <c r="T4248" s="1" t="s">
        <v>5876</v>
      </c>
      <c r="U4248" s="2" t="s">
        <v>4990</v>
      </c>
      <c r="V4248" s="2" t="s">
        <v>83</v>
      </c>
      <c r="W4248" s="2" t="s">
        <v>178</v>
      </c>
      <c r="X4248" s="2">
        <v>29.295000000000002</v>
      </c>
    </row>
    <row r="4249" spans="1:24" x14ac:dyDescent="0.3">
      <c r="A4249">
        <v>22093</v>
      </c>
      <c r="B4249" t="s">
        <v>9770</v>
      </c>
      <c r="C4249" s="3">
        <v>40928</v>
      </c>
      <c r="D4249" t="s">
        <v>39</v>
      </c>
      <c r="E4249">
        <v>1</v>
      </c>
      <c r="F4249" s="3">
        <f ca="1">40930+(RANDBETWEEN(1,10))</f>
        <v>40935</v>
      </c>
      <c r="G4249" t="s">
        <v>156</v>
      </c>
      <c r="H4249" t="s">
        <v>27</v>
      </c>
      <c r="I4249" t="s">
        <v>28</v>
      </c>
      <c r="J4249">
        <v>152.495</v>
      </c>
      <c r="K4249">
        <v>0.02</v>
      </c>
      <c r="L4249">
        <v>0.36</v>
      </c>
      <c r="M4249">
        <v>61.18</v>
      </c>
      <c r="N4249">
        <v>-109.8454</v>
      </c>
      <c r="O4249" s="1" t="s">
        <v>87</v>
      </c>
      <c r="P4249" s="1" t="s">
        <v>9771</v>
      </c>
      <c r="Q4249" s="1" t="s">
        <v>9772</v>
      </c>
      <c r="R4249" s="1" t="s">
        <v>646</v>
      </c>
      <c r="S4249" s="1" t="s">
        <v>5251</v>
      </c>
      <c r="T4249" s="1" t="s">
        <v>5252</v>
      </c>
      <c r="U4249" s="2" t="s">
        <v>1688</v>
      </c>
      <c r="V4249" s="2" t="s">
        <v>47</v>
      </c>
      <c r="W4249" s="2" t="s">
        <v>74</v>
      </c>
      <c r="X4249" s="2">
        <v>143.465</v>
      </c>
    </row>
    <row r="4250" spans="1:24" x14ac:dyDescent="0.3">
      <c r="A4250">
        <v>22094</v>
      </c>
      <c r="B4250" t="s">
        <v>9773</v>
      </c>
      <c r="C4250" s="3">
        <v>41851</v>
      </c>
      <c r="D4250" t="s">
        <v>25</v>
      </c>
      <c r="E4250">
        <v>2</v>
      </c>
      <c r="F4250" s="3">
        <f ca="1">41855+(RANDBETWEEN(1,10))</f>
        <v>41856</v>
      </c>
      <c r="G4250" t="s">
        <v>26</v>
      </c>
      <c r="H4250" t="s">
        <v>27</v>
      </c>
      <c r="I4250" t="s">
        <v>52</v>
      </c>
      <c r="J4250">
        <v>199.22</v>
      </c>
      <c r="K4250">
        <v>0.03</v>
      </c>
      <c r="L4250">
        <v>0.39</v>
      </c>
      <c r="M4250">
        <v>45.43</v>
      </c>
      <c r="N4250">
        <v>-77.196923999999996</v>
      </c>
      <c r="O4250" s="1" t="s">
        <v>87</v>
      </c>
      <c r="P4250" s="1" t="s">
        <v>9774</v>
      </c>
      <c r="Q4250" s="1" t="s">
        <v>9775</v>
      </c>
      <c r="R4250" s="1" t="s">
        <v>497</v>
      </c>
      <c r="S4250" s="1" t="s">
        <v>9776</v>
      </c>
      <c r="T4250" s="1" t="s">
        <v>9777</v>
      </c>
      <c r="U4250" s="2" t="s">
        <v>559</v>
      </c>
      <c r="V4250" s="2" t="s">
        <v>47</v>
      </c>
      <c r="W4250" s="2" t="s">
        <v>111</v>
      </c>
      <c r="X4250" s="2">
        <v>87.22</v>
      </c>
    </row>
    <row r="4251" spans="1:24" x14ac:dyDescent="0.3">
      <c r="A4251">
        <v>22095</v>
      </c>
      <c r="B4251" t="s">
        <v>9778</v>
      </c>
      <c r="C4251" s="3">
        <v>40755</v>
      </c>
      <c r="D4251" t="s">
        <v>25</v>
      </c>
      <c r="E4251">
        <v>2</v>
      </c>
      <c r="F4251" s="3">
        <f ca="1">40759+(RANDBETWEEN(1,10))</f>
        <v>40769</v>
      </c>
      <c r="G4251" t="s">
        <v>26</v>
      </c>
      <c r="H4251" t="s">
        <v>27</v>
      </c>
      <c r="I4251" t="s">
        <v>52</v>
      </c>
      <c r="J4251">
        <v>19.18</v>
      </c>
      <c r="K4251">
        <v>0.09</v>
      </c>
      <c r="L4251">
        <v>0.37</v>
      </c>
      <c r="M4251">
        <v>21.175000000000001</v>
      </c>
      <c r="N4251">
        <v>-132.26150000000001</v>
      </c>
      <c r="O4251" s="1" t="s">
        <v>87</v>
      </c>
      <c r="P4251" s="1" t="s">
        <v>9774</v>
      </c>
      <c r="Q4251" s="1" t="s">
        <v>9775</v>
      </c>
      <c r="R4251" s="1" t="s">
        <v>497</v>
      </c>
      <c r="S4251" s="1" t="s">
        <v>9776</v>
      </c>
      <c r="T4251" s="1" t="s">
        <v>9777</v>
      </c>
      <c r="U4251" s="2" t="s">
        <v>1376</v>
      </c>
      <c r="V4251" s="2" t="s">
        <v>47</v>
      </c>
      <c r="W4251" s="2" t="s">
        <v>111</v>
      </c>
      <c r="X4251" s="2">
        <v>7.56</v>
      </c>
    </row>
    <row r="4252" spans="1:24" x14ac:dyDescent="0.3">
      <c r="A4252">
        <v>22096</v>
      </c>
      <c r="B4252" t="s">
        <v>9778</v>
      </c>
      <c r="C4252" s="3">
        <v>40755</v>
      </c>
      <c r="D4252" t="s">
        <v>25</v>
      </c>
      <c r="E4252">
        <v>11</v>
      </c>
      <c r="F4252" s="3">
        <f ca="1">40762+(RANDBETWEEN(1,10))</f>
        <v>40766</v>
      </c>
      <c r="G4252" t="s">
        <v>76</v>
      </c>
      <c r="H4252" t="s">
        <v>77</v>
      </c>
      <c r="I4252" t="s">
        <v>52</v>
      </c>
      <c r="J4252">
        <v>28704.654999999999</v>
      </c>
      <c r="K4252">
        <v>0.03</v>
      </c>
      <c r="L4252">
        <v>0.4</v>
      </c>
      <c r="M4252">
        <v>193.55</v>
      </c>
      <c r="N4252">
        <v>19806.211950000001</v>
      </c>
      <c r="O4252" s="1" t="s">
        <v>87</v>
      </c>
      <c r="P4252" s="1" t="s">
        <v>9774</v>
      </c>
      <c r="Q4252" s="1" t="s">
        <v>9775</v>
      </c>
      <c r="R4252" s="1" t="s">
        <v>497</v>
      </c>
      <c r="S4252" s="1" t="s">
        <v>9776</v>
      </c>
      <c r="T4252" s="1" t="s">
        <v>9777</v>
      </c>
      <c r="U4252" s="2" t="s">
        <v>8440</v>
      </c>
      <c r="V4252" s="2" t="s">
        <v>36</v>
      </c>
      <c r="W4252" s="2" t="s">
        <v>142</v>
      </c>
      <c r="X4252" s="2">
        <v>2829.7150000000001</v>
      </c>
    </row>
    <row r="4253" spans="1:24" x14ac:dyDescent="0.3">
      <c r="A4253">
        <v>22097</v>
      </c>
      <c r="B4253" t="s">
        <v>9778</v>
      </c>
      <c r="C4253" s="3">
        <v>40755</v>
      </c>
      <c r="D4253" t="s">
        <v>25</v>
      </c>
      <c r="E4253">
        <v>3</v>
      </c>
      <c r="F4253" s="3">
        <f ca="1">40762+(RANDBETWEEN(1,10))</f>
        <v>40763</v>
      </c>
      <c r="G4253" t="s">
        <v>26</v>
      </c>
      <c r="H4253" t="s">
        <v>27</v>
      </c>
      <c r="I4253" t="s">
        <v>52</v>
      </c>
      <c r="J4253">
        <v>79.344999999999999</v>
      </c>
      <c r="K4253">
        <v>0</v>
      </c>
      <c r="L4253">
        <v>0.37</v>
      </c>
      <c r="M4253">
        <v>28.664999999999999</v>
      </c>
      <c r="N4253">
        <v>-151.41</v>
      </c>
      <c r="O4253" s="1" t="s">
        <v>87</v>
      </c>
      <c r="P4253" s="1" t="s">
        <v>9774</v>
      </c>
      <c r="Q4253" s="1" t="s">
        <v>9775</v>
      </c>
      <c r="R4253" s="1" t="s">
        <v>497</v>
      </c>
      <c r="S4253" s="1" t="s">
        <v>9776</v>
      </c>
      <c r="T4253" s="1" t="s">
        <v>9777</v>
      </c>
      <c r="U4253" s="2" t="s">
        <v>474</v>
      </c>
      <c r="V4253" s="2" t="s">
        <v>47</v>
      </c>
      <c r="W4253" s="2" t="s">
        <v>74</v>
      </c>
      <c r="X4253" s="2">
        <v>22.68</v>
      </c>
    </row>
    <row r="4254" spans="1:24" x14ac:dyDescent="0.3">
      <c r="A4254">
        <v>22098</v>
      </c>
      <c r="B4254" t="s">
        <v>9773</v>
      </c>
      <c r="C4254" s="3">
        <v>41851</v>
      </c>
      <c r="D4254" t="s">
        <v>25</v>
      </c>
      <c r="E4254">
        <v>15</v>
      </c>
      <c r="F4254" s="3">
        <f ca="1">41855+(RANDBETWEEN(1,10))</f>
        <v>41864</v>
      </c>
      <c r="G4254" t="s">
        <v>26</v>
      </c>
      <c r="H4254" t="s">
        <v>51</v>
      </c>
      <c r="I4254" t="s">
        <v>52</v>
      </c>
      <c r="J4254">
        <v>596.92499999999995</v>
      </c>
      <c r="K4254">
        <v>0.03</v>
      </c>
      <c r="L4254">
        <v>0.56999999999999995</v>
      </c>
      <c r="M4254">
        <v>11.795</v>
      </c>
      <c r="N4254">
        <v>194.85535999999999</v>
      </c>
      <c r="O4254" s="1" t="s">
        <v>87</v>
      </c>
      <c r="P4254" s="1" t="s">
        <v>9774</v>
      </c>
      <c r="Q4254" s="1" t="s">
        <v>9775</v>
      </c>
      <c r="R4254" s="1" t="s">
        <v>497</v>
      </c>
      <c r="S4254" s="1" t="s">
        <v>9776</v>
      </c>
      <c r="T4254" s="1" t="s">
        <v>9777</v>
      </c>
      <c r="U4254" s="2" t="s">
        <v>5857</v>
      </c>
      <c r="V4254" s="2" t="s">
        <v>47</v>
      </c>
      <c r="W4254" s="2" t="s">
        <v>94</v>
      </c>
      <c r="X4254" s="2">
        <v>38.43</v>
      </c>
    </row>
    <row r="4255" spans="1:24" x14ac:dyDescent="0.3">
      <c r="A4255">
        <v>22099</v>
      </c>
      <c r="B4255" t="s">
        <v>9779</v>
      </c>
      <c r="C4255" s="3">
        <v>41818</v>
      </c>
      <c r="D4255" t="s">
        <v>148</v>
      </c>
      <c r="E4255">
        <v>10</v>
      </c>
      <c r="F4255" s="3">
        <f ca="1">41819+(RANDBETWEEN(1,10))</f>
        <v>41820</v>
      </c>
      <c r="G4255" t="s">
        <v>76</v>
      </c>
      <c r="H4255" t="s">
        <v>258</v>
      </c>
      <c r="I4255" t="s">
        <v>97</v>
      </c>
      <c r="J4255">
        <v>9694.86</v>
      </c>
      <c r="K4255">
        <v>0.09</v>
      </c>
      <c r="L4255">
        <v>0.76</v>
      </c>
      <c r="M4255">
        <v>189.42</v>
      </c>
      <c r="N4255">
        <v>12.348000000000001</v>
      </c>
      <c r="O4255" s="1" t="s">
        <v>87</v>
      </c>
      <c r="P4255" s="1" t="s">
        <v>532</v>
      </c>
      <c r="Q4255" s="1" t="s">
        <v>533</v>
      </c>
      <c r="R4255" s="1" t="s">
        <v>90</v>
      </c>
      <c r="S4255" s="1" t="s">
        <v>534</v>
      </c>
      <c r="T4255" s="1" t="s">
        <v>535</v>
      </c>
      <c r="U4255" s="2" t="s">
        <v>1007</v>
      </c>
      <c r="V4255" s="2" t="s">
        <v>83</v>
      </c>
      <c r="W4255" s="2" t="s">
        <v>263</v>
      </c>
      <c r="X4255" s="2">
        <v>1036.6300000000001</v>
      </c>
    </row>
    <row r="4256" spans="1:24" x14ac:dyDescent="0.3">
      <c r="A4256">
        <v>22100</v>
      </c>
      <c r="B4256" t="s">
        <v>9780</v>
      </c>
      <c r="C4256" s="3">
        <v>42002</v>
      </c>
      <c r="D4256" t="s">
        <v>62</v>
      </c>
      <c r="E4256">
        <v>23</v>
      </c>
      <c r="F4256" s="3">
        <f ca="1">42003+(RANDBETWEEN(1,10))</f>
        <v>42005</v>
      </c>
      <c r="G4256" t="s">
        <v>26</v>
      </c>
      <c r="H4256" t="s">
        <v>27</v>
      </c>
      <c r="I4256" t="s">
        <v>97</v>
      </c>
      <c r="J4256">
        <v>3388.8049999999998</v>
      </c>
      <c r="K4256">
        <v>0.1</v>
      </c>
      <c r="L4256">
        <v>0.64</v>
      </c>
      <c r="M4256">
        <v>14</v>
      </c>
      <c r="N4256">
        <v>-208.78899999999999</v>
      </c>
      <c r="O4256" s="1" t="s">
        <v>40</v>
      </c>
      <c r="P4256" s="1" t="s">
        <v>7997</v>
      </c>
      <c r="Q4256" s="1" t="s">
        <v>7998</v>
      </c>
      <c r="R4256" s="1" t="s">
        <v>43</v>
      </c>
      <c r="S4256" s="1" t="s">
        <v>7999</v>
      </c>
      <c r="T4256" s="1" t="s">
        <v>8000</v>
      </c>
      <c r="U4256" s="2" t="s">
        <v>4657</v>
      </c>
      <c r="V4256" s="2" t="s">
        <v>36</v>
      </c>
      <c r="W4256" s="2" t="s">
        <v>60</v>
      </c>
      <c r="X4256" s="2">
        <v>151.27000000000001</v>
      </c>
    </row>
    <row r="4257" spans="1:24" x14ac:dyDescent="0.3">
      <c r="A4257">
        <v>22101</v>
      </c>
      <c r="B4257" t="s">
        <v>9780</v>
      </c>
      <c r="C4257" s="3">
        <v>42002</v>
      </c>
      <c r="D4257" t="s">
        <v>62</v>
      </c>
      <c r="E4257">
        <v>9</v>
      </c>
      <c r="F4257" s="3">
        <f ca="1">42003+(RANDBETWEEN(1,10))</f>
        <v>42007</v>
      </c>
      <c r="G4257" t="s">
        <v>76</v>
      </c>
      <c r="H4257" t="s">
        <v>258</v>
      </c>
      <c r="I4257" t="s">
        <v>97</v>
      </c>
      <c r="J4257">
        <v>6876.3450000000003</v>
      </c>
      <c r="K4257">
        <v>0.04</v>
      </c>
      <c r="L4257">
        <v>0.77</v>
      </c>
      <c r="M4257">
        <v>243.74</v>
      </c>
      <c r="N4257">
        <v>-144.98855</v>
      </c>
      <c r="O4257" s="1" t="s">
        <v>40</v>
      </c>
      <c r="P4257" s="1" t="s">
        <v>7997</v>
      </c>
      <c r="Q4257" s="1" t="s">
        <v>7998</v>
      </c>
      <c r="R4257" s="1" t="s">
        <v>43</v>
      </c>
      <c r="S4257" s="1" t="s">
        <v>7999</v>
      </c>
      <c r="T4257" s="1" t="s">
        <v>8000</v>
      </c>
      <c r="U4257" s="2" t="s">
        <v>1233</v>
      </c>
      <c r="V4257" s="2" t="s">
        <v>83</v>
      </c>
      <c r="W4257" s="2" t="s">
        <v>263</v>
      </c>
      <c r="X4257" s="2">
        <v>765.625</v>
      </c>
    </row>
    <row r="4258" spans="1:24" x14ac:dyDescent="0.3">
      <c r="A4258">
        <v>22102</v>
      </c>
      <c r="B4258" t="s">
        <v>9781</v>
      </c>
      <c r="C4258" s="3">
        <v>41788</v>
      </c>
      <c r="D4258" t="s">
        <v>25</v>
      </c>
      <c r="E4258">
        <v>6</v>
      </c>
      <c r="F4258" s="3">
        <f ca="1">41788+(RANDBETWEEN(1,10))</f>
        <v>41792</v>
      </c>
      <c r="G4258" t="s">
        <v>156</v>
      </c>
      <c r="H4258" t="s">
        <v>281</v>
      </c>
      <c r="I4258" t="s">
        <v>97</v>
      </c>
      <c r="J4258">
        <v>2014.915</v>
      </c>
      <c r="K4258">
        <v>0.04</v>
      </c>
      <c r="L4258">
        <v>0.67</v>
      </c>
      <c r="M4258">
        <v>138.63499999999999</v>
      </c>
      <c r="N4258">
        <v>282.8</v>
      </c>
      <c r="O4258" s="1" t="s">
        <v>40</v>
      </c>
      <c r="P4258" s="1" t="s">
        <v>4644</v>
      </c>
      <c r="Q4258" s="1" t="s">
        <v>4645</v>
      </c>
      <c r="R4258" s="1" t="s">
        <v>43</v>
      </c>
      <c r="S4258" s="1" t="s">
        <v>2543</v>
      </c>
      <c r="T4258" s="1" t="s">
        <v>2544</v>
      </c>
      <c r="U4258" s="2" t="s">
        <v>3390</v>
      </c>
      <c r="V4258" s="2" t="s">
        <v>83</v>
      </c>
      <c r="W4258" s="2" t="s">
        <v>178</v>
      </c>
      <c r="X4258" s="2">
        <v>322.80500000000001</v>
      </c>
    </row>
    <row r="4259" spans="1:24" x14ac:dyDescent="0.3">
      <c r="A4259">
        <v>22103</v>
      </c>
      <c r="B4259" t="s">
        <v>9781</v>
      </c>
      <c r="C4259" s="3">
        <v>41788</v>
      </c>
      <c r="D4259" t="s">
        <v>25</v>
      </c>
      <c r="E4259">
        <v>8</v>
      </c>
      <c r="F4259" s="3">
        <f ca="1">41788+(RANDBETWEEN(1,10))</f>
        <v>41789</v>
      </c>
      <c r="G4259" t="s">
        <v>26</v>
      </c>
      <c r="H4259" t="s">
        <v>96</v>
      </c>
      <c r="I4259" t="s">
        <v>97</v>
      </c>
      <c r="J4259">
        <v>79.73</v>
      </c>
      <c r="K4259">
        <v>0.04</v>
      </c>
      <c r="L4259">
        <v>0.56000000000000005</v>
      </c>
      <c r="M4259">
        <v>2.4500000000000002</v>
      </c>
      <c r="N4259">
        <v>28.454999999999998</v>
      </c>
      <c r="O4259" s="1" t="s">
        <v>40</v>
      </c>
      <c r="P4259" s="1" t="s">
        <v>4644</v>
      </c>
      <c r="Q4259" s="1" t="s">
        <v>4645</v>
      </c>
      <c r="R4259" s="1" t="s">
        <v>43</v>
      </c>
      <c r="S4259" s="1" t="s">
        <v>2543</v>
      </c>
      <c r="T4259" s="1" t="s">
        <v>2544</v>
      </c>
      <c r="U4259" s="2" t="s">
        <v>443</v>
      </c>
      <c r="V4259" s="2" t="s">
        <v>47</v>
      </c>
      <c r="W4259" s="2" t="s">
        <v>104</v>
      </c>
      <c r="X4259" s="2">
        <v>10.08</v>
      </c>
    </row>
    <row r="4260" spans="1:24" x14ac:dyDescent="0.3">
      <c r="A4260">
        <v>22104</v>
      </c>
      <c r="B4260" t="s">
        <v>9781</v>
      </c>
      <c r="C4260" s="3">
        <v>41788</v>
      </c>
      <c r="D4260" t="s">
        <v>25</v>
      </c>
      <c r="E4260">
        <v>4</v>
      </c>
      <c r="F4260" s="3">
        <f ca="1">41790+(RANDBETWEEN(1,10))</f>
        <v>41793</v>
      </c>
      <c r="G4260" t="s">
        <v>26</v>
      </c>
      <c r="H4260" t="s">
        <v>27</v>
      </c>
      <c r="I4260" t="s">
        <v>97</v>
      </c>
      <c r="J4260">
        <v>2426.27</v>
      </c>
      <c r="K4260">
        <v>0.02</v>
      </c>
      <c r="L4260">
        <v>0.57999999999999996</v>
      </c>
      <c r="M4260">
        <v>31.465</v>
      </c>
      <c r="N4260">
        <v>-190.267</v>
      </c>
      <c r="O4260" s="1" t="s">
        <v>29</v>
      </c>
      <c r="P4260" s="1" t="s">
        <v>9782</v>
      </c>
      <c r="Q4260" s="1" t="s">
        <v>9783</v>
      </c>
      <c r="R4260" s="1" t="s">
        <v>32</v>
      </c>
      <c r="S4260" s="1" t="s">
        <v>9784</v>
      </c>
      <c r="T4260" s="1" t="s">
        <v>9785</v>
      </c>
      <c r="U4260" s="2" t="s">
        <v>2189</v>
      </c>
      <c r="V4260" s="2" t="s">
        <v>36</v>
      </c>
      <c r="W4260" s="2" t="s">
        <v>37</v>
      </c>
      <c r="X4260" s="2">
        <v>720.96500000000003</v>
      </c>
    </row>
    <row r="4261" spans="1:24" x14ac:dyDescent="0.3">
      <c r="A4261">
        <v>22105</v>
      </c>
      <c r="B4261" t="s">
        <v>9786</v>
      </c>
      <c r="C4261" s="3">
        <v>40643</v>
      </c>
      <c r="D4261" t="s">
        <v>50</v>
      </c>
      <c r="E4261">
        <v>7</v>
      </c>
      <c r="F4261" s="3">
        <f ca="1">40644+(RANDBETWEEN(1,10))</f>
        <v>40646</v>
      </c>
      <c r="G4261" t="s">
        <v>26</v>
      </c>
      <c r="H4261" t="s">
        <v>96</v>
      </c>
      <c r="I4261" t="s">
        <v>97</v>
      </c>
      <c r="J4261">
        <v>171.85</v>
      </c>
      <c r="K4261">
        <v>0.04</v>
      </c>
      <c r="L4261">
        <v>0.47</v>
      </c>
      <c r="M4261">
        <v>8.2249999999999996</v>
      </c>
      <c r="N4261">
        <v>86.064999999999998</v>
      </c>
      <c r="O4261" s="1" t="s">
        <v>53</v>
      </c>
      <c r="P4261" s="1" t="s">
        <v>7496</v>
      </c>
      <c r="Q4261" s="1" t="s">
        <v>7497</v>
      </c>
      <c r="R4261" s="1" t="s">
        <v>56</v>
      </c>
      <c r="S4261" s="1" t="s">
        <v>7498</v>
      </c>
      <c r="T4261" s="1" t="s">
        <v>7499</v>
      </c>
      <c r="U4261" s="2" t="s">
        <v>6690</v>
      </c>
      <c r="V4261" s="2" t="s">
        <v>47</v>
      </c>
      <c r="W4261" s="2" t="s">
        <v>104</v>
      </c>
      <c r="X4261" s="2">
        <v>24.78</v>
      </c>
    </row>
    <row r="4262" spans="1:24" x14ac:dyDescent="0.3">
      <c r="A4262">
        <v>22106</v>
      </c>
      <c r="B4262" t="s">
        <v>9787</v>
      </c>
      <c r="C4262" s="3">
        <v>42002</v>
      </c>
      <c r="D4262" t="s">
        <v>148</v>
      </c>
      <c r="E4262">
        <v>18</v>
      </c>
      <c r="F4262" s="3">
        <f ca="1">42002+(RANDBETWEEN(1,10))</f>
        <v>42007</v>
      </c>
      <c r="G4262" t="s">
        <v>156</v>
      </c>
      <c r="H4262" t="s">
        <v>27</v>
      </c>
      <c r="I4262" t="s">
        <v>28</v>
      </c>
      <c r="J4262">
        <v>22208.095000000001</v>
      </c>
      <c r="K4262">
        <v>0.08</v>
      </c>
      <c r="L4262">
        <v>0.4</v>
      </c>
      <c r="M4262">
        <v>69.965000000000003</v>
      </c>
      <c r="N4262">
        <v>15323.58555</v>
      </c>
      <c r="O4262" s="1" t="s">
        <v>29</v>
      </c>
      <c r="P4262" s="1" t="s">
        <v>9788</v>
      </c>
      <c r="Q4262" s="1" t="s">
        <v>9789</v>
      </c>
      <c r="R4262" s="1" t="s">
        <v>32</v>
      </c>
      <c r="S4262" s="1" t="s">
        <v>9790</v>
      </c>
      <c r="T4262" s="1" t="s">
        <v>9791</v>
      </c>
      <c r="U4262" s="2" t="s">
        <v>8382</v>
      </c>
      <c r="V4262" s="2" t="s">
        <v>47</v>
      </c>
      <c r="W4262" s="2" t="s">
        <v>111</v>
      </c>
      <c r="X4262" s="2">
        <v>1287.9649999999999</v>
      </c>
    </row>
    <row r="4263" spans="1:24" x14ac:dyDescent="0.3">
      <c r="A4263">
        <v>22107</v>
      </c>
      <c r="B4263" t="s">
        <v>9792</v>
      </c>
      <c r="C4263" s="3">
        <v>41788</v>
      </c>
      <c r="D4263" t="s">
        <v>39</v>
      </c>
      <c r="E4263">
        <v>13</v>
      </c>
      <c r="F4263" s="3">
        <f ca="1">41791+(RANDBETWEEN(1,10))</f>
        <v>41793</v>
      </c>
      <c r="G4263" t="s">
        <v>26</v>
      </c>
      <c r="H4263" t="s">
        <v>96</v>
      </c>
      <c r="I4263" t="s">
        <v>52</v>
      </c>
      <c r="J4263">
        <v>361.02499999999998</v>
      </c>
      <c r="K4263">
        <v>0</v>
      </c>
      <c r="L4263">
        <v>0.36</v>
      </c>
      <c r="M4263">
        <v>20.405000000000001</v>
      </c>
      <c r="N4263">
        <v>-146.125</v>
      </c>
      <c r="O4263" s="1" t="s">
        <v>53</v>
      </c>
      <c r="P4263" s="1" t="s">
        <v>9410</v>
      </c>
      <c r="Q4263" s="1" t="s">
        <v>9411</v>
      </c>
      <c r="R4263" s="1" t="s">
        <v>56</v>
      </c>
      <c r="S4263" s="1" t="s">
        <v>9412</v>
      </c>
      <c r="T4263" s="1" t="s">
        <v>9413</v>
      </c>
      <c r="U4263" s="2" t="s">
        <v>605</v>
      </c>
      <c r="V4263" s="2" t="s">
        <v>47</v>
      </c>
      <c r="W4263" s="2" t="s">
        <v>74</v>
      </c>
      <c r="X4263" s="2">
        <v>26.74</v>
      </c>
    </row>
    <row r="4264" spans="1:24" x14ac:dyDescent="0.3">
      <c r="A4264">
        <v>22108</v>
      </c>
      <c r="B4264" t="s">
        <v>9793</v>
      </c>
      <c r="C4264" s="3">
        <v>41659</v>
      </c>
      <c r="D4264" t="s">
        <v>39</v>
      </c>
      <c r="E4264">
        <v>13</v>
      </c>
      <c r="F4264" s="3">
        <f ca="1">41661+(RANDBETWEEN(1,10))</f>
        <v>41667</v>
      </c>
      <c r="G4264" t="s">
        <v>76</v>
      </c>
      <c r="H4264" t="s">
        <v>77</v>
      </c>
      <c r="I4264" t="s">
        <v>97</v>
      </c>
      <c r="J4264">
        <v>23414.615000000002</v>
      </c>
      <c r="K4264">
        <v>0.04</v>
      </c>
      <c r="L4264">
        <v>0.6</v>
      </c>
      <c r="M4264">
        <v>91</v>
      </c>
      <c r="N4264">
        <v>16156.084349999999</v>
      </c>
      <c r="O4264" s="1" t="s">
        <v>87</v>
      </c>
      <c r="P4264" s="1" t="s">
        <v>4593</v>
      </c>
      <c r="Q4264" s="1" t="s">
        <v>4594</v>
      </c>
      <c r="R4264" s="1" t="s">
        <v>497</v>
      </c>
      <c r="S4264" s="1" t="s">
        <v>4595</v>
      </c>
      <c r="T4264" s="1" t="s">
        <v>4596</v>
      </c>
      <c r="U4264" s="2" t="s">
        <v>1670</v>
      </c>
      <c r="V4264" s="2" t="s">
        <v>83</v>
      </c>
      <c r="W4264" s="2" t="s">
        <v>84</v>
      </c>
      <c r="X4264" s="2">
        <v>1753.43</v>
      </c>
    </row>
    <row r="4265" spans="1:24" x14ac:dyDescent="0.3">
      <c r="A4265">
        <v>22109</v>
      </c>
      <c r="B4265" t="s">
        <v>9794</v>
      </c>
      <c r="C4265" s="3">
        <v>41438</v>
      </c>
      <c r="D4265" t="s">
        <v>25</v>
      </c>
      <c r="E4265">
        <v>5</v>
      </c>
      <c r="F4265" s="3">
        <f ca="1">41442+(RANDBETWEEN(1,10))</f>
        <v>41451</v>
      </c>
      <c r="G4265" t="s">
        <v>26</v>
      </c>
      <c r="H4265" t="s">
        <v>63</v>
      </c>
      <c r="I4265" t="s">
        <v>28</v>
      </c>
      <c r="J4265">
        <v>4603.375</v>
      </c>
      <c r="K4265">
        <v>0.1</v>
      </c>
      <c r="L4265" t="s">
        <v>182</v>
      </c>
      <c r="M4265">
        <v>85.715000000000003</v>
      </c>
      <c r="N4265">
        <v>-9.7485499999999998</v>
      </c>
      <c r="O4265" s="1" t="s">
        <v>225</v>
      </c>
      <c r="P4265" s="1" t="s">
        <v>9795</v>
      </c>
      <c r="Q4265" s="1" t="s">
        <v>9796</v>
      </c>
      <c r="R4265" s="1" t="s">
        <v>391</v>
      </c>
      <c r="S4265" s="1" t="s">
        <v>9797</v>
      </c>
      <c r="T4265" s="1" t="s">
        <v>9798</v>
      </c>
      <c r="U4265" s="2" t="s">
        <v>1520</v>
      </c>
      <c r="V4265" s="2" t="s">
        <v>83</v>
      </c>
      <c r="W4265" s="2" t="s">
        <v>84</v>
      </c>
      <c r="X4265" s="2">
        <v>966.7</v>
      </c>
    </row>
    <row r="4266" spans="1:24" x14ac:dyDescent="0.3">
      <c r="A4266">
        <v>22110</v>
      </c>
      <c r="B4266" t="s">
        <v>9794</v>
      </c>
      <c r="C4266" s="3">
        <v>41438</v>
      </c>
      <c r="D4266" t="s">
        <v>25</v>
      </c>
      <c r="E4266">
        <v>19</v>
      </c>
      <c r="F4266" s="3">
        <f ca="1">41443+(RANDBETWEEN(1,10))</f>
        <v>41444</v>
      </c>
      <c r="G4266" t="s">
        <v>156</v>
      </c>
      <c r="H4266" t="s">
        <v>96</v>
      </c>
      <c r="I4266" t="s">
        <v>28</v>
      </c>
      <c r="J4266">
        <v>428.26</v>
      </c>
      <c r="K4266">
        <v>0.05</v>
      </c>
      <c r="L4266">
        <v>0.39</v>
      </c>
      <c r="M4266">
        <v>3.57</v>
      </c>
      <c r="N4266">
        <v>-126.812</v>
      </c>
      <c r="O4266" s="1" t="s">
        <v>225</v>
      </c>
      <c r="P4266" s="1" t="s">
        <v>9795</v>
      </c>
      <c r="Q4266" s="1" t="s">
        <v>9796</v>
      </c>
      <c r="R4266" s="1" t="s">
        <v>391</v>
      </c>
      <c r="S4266" s="1" t="s">
        <v>9797</v>
      </c>
      <c r="T4266" s="1" t="s">
        <v>9798</v>
      </c>
      <c r="U4266" s="2" t="s">
        <v>3728</v>
      </c>
      <c r="V4266" s="2" t="s">
        <v>47</v>
      </c>
      <c r="W4266" s="2" t="s">
        <v>74</v>
      </c>
      <c r="X4266" s="2">
        <v>22.225000000000001</v>
      </c>
    </row>
    <row r="4267" spans="1:24" x14ac:dyDescent="0.3">
      <c r="A4267">
        <v>22111</v>
      </c>
      <c r="B4267" t="s">
        <v>9799</v>
      </c>
      <c r="C4267" s="3">
        <v>41857</v>
      </c>
      <c r="D4267" t="s">
        <v>25</v>
      </c>
      <c r="E4267">
        <v>5</v>
      </c>
      <c r="F4267" s="3">
        <f ca="1">41861+(RANDBETWEEN(1,10))</f>
        <v>41871</v>
      </c>
      <c r="G4267" t="s">
        <v>26</v>
      </c>
      <c r="H4267" t="s">
        <v>27</v>
      </c>
      <c r="I4267" t="s">
        <v>86</v>
      </c>
      <c r="J4267">
        <v>127.96</v>
      </c>
      <c r="K4267">
        <v>0.01</v>
      </c>
      <c r="L4267">
        <v>0.37</v>
      </c>
      <c r="M4267">
        <v>18.164999999999999</v>
      </c>
      <c r="N4267">
        <v>-22.912960000000002</v>
      </c>
      <c r="O4267" s="1" t="s">
        <v>225</v>
      </c>
      <c r="P4267" s="1" t="s">
        <v>9703</v>
      </c>
      <c r="Q4267" s="1" t="s">
        <v>9704</v>
      </c>
      <c r="R4267" s="1" t="s">
        <v>228</v>
      </c>
      <c r="S4267" s="1" t="s">
        <v>4175</v>
      </c>
      <c r="T4267" s="1" t="s">
        <v>2326</v>
      </c>
      <c r="U4267" s="2" t="s">
        <v>8796</v>
      </c>
      <c r="V4267" s="2" t="s">
        <v>47</v>
      </c>
      <c r="W4267" s="2" t="s">
        <v>74</v>
      </c>
      <c r="X4267" s="2">
        <v>22.68</v>
      </c>
    </row>
    <row r="4268" spans="1:24" x14ac:dyDescent="0.3">
      <c r="A4268">
        <v>22112</v>
      </c>
      <c r="B4268" t="s">
        <v>9800</v>
      </c>
      <c r="C4268" s="3">
        <v>41611</v>
      </c>
      <c r="D4268" t="s">
        <v>25</v>
      </c>
      <c r="E4268">
        <v>6</v>
      </c>
      <c r="F4268" s="3">
        <f ca="1">41615+(RANDBETWEEN(1,10))</f>
        <v>41625</v>
      </c>
      <c r="G4268" t="s">
        <v>156</v>
      </c>
      <c r="H4268" t="s">
        <v>27</v>
      </c>
      <c r="I4268" t="s">
        <v>52</v>
      </c>
      <c r="J4268">
        <v>1178.31</v>
      </c>
      <c r="K4268">
        <v>0.03</v>
      </c>
      <c r="L4268">
        <v>0.57999999999999996</v>
      </c>
      <c r="M4268">
        <v>31.465</v>
      </c>
      <c r="N4268">
        <v>-238.161</v>
      </c>
      <c r="O4268" s="1" t="s">
        <v>40</v>
      </c>
      <c r="P4268" s="1" t="s">
        <v>9801</v>
      </c>
      <c r="Q4268" s="1" t="s">
        <v>9802</v>
      </c>
      <c r="R4268" s="1" t="s">
        <v>43</v>
      </c>
      <c r="S4268" s="1" t="s">
        <v>9803</v>
      </c>
      <c r="T4268" s="1" t="s">
        <v>9804</v>
      </c>
      <c r="U4268" s="2">
        <v>8260</v>
      </c>
      <c r="V4268" s="2" t="s">
        <v>36</v>
      </c>
      <c r="W4268" s="2" t="s">
        <v>37</v>
      </c>
      <c r="X4268" s="2">
        <v>230.965</v>
      </c>
    </row>
    <row r="4269" spans="1:24" x14ac:dyDescent="0.3">
      <c r="A4269">
        <v>22113</v>
      </c>
      <c r="B4269" t="s">
        <v>9805</v>
      </c>
      <c r="C4269" s="3">
        <v>41726</v>
      </c>
      <c r="D4269" t="s">
        <v>148</v>
      </c>
      <c r="E4269">
        <v>5</v>
      </c>
      <c r="F4269" s="3">
        <f ca="1">41727+(RANDBETWEEN(1,10))</f>
        <v>41736</v>
      </c>
      <c r="G4269" t="s">
        <v>26</v>
      </c>
      <c r="H4269" t="s">
        <v>51</v>
      </c>
      <c r="I4269" t="s">
        <v>86</v>
      </c>
      <c r="J4269">
        <v>219.52</v>
      </c>
      <c r="K4269">
        <v>0</v>
      </c>
      <c r="L4269">
        <v>0.57999999999999996</v>
      </c>
      <c r="M4269">
        <v>27.824999999999999</v>
      </c>
      <c r="N4269">
        <v>-225.785</v>
      </c>
      <c r="O4269" s="1" t="s">
        <v>64</v>
      </c>
      <c r="P4269" s="1" t="s">
        <v>9806</v>
      </c>
      <c r="Q4269" s="1" t="s">
        <v>9807</v>
      </c>
      <c r="R4269" s="1" t="s">
        <v>128</v>
      </c>
      <c r="S4269" s="1" t="s">
        <v>1156</v>
      </c>
      <c r="T4269" s="1" t="s">
        <v>1157</v>
      </c>
      <c r="U4269" s="2" t="s">
        <v>248</v>
      </c>
      <c r="V4269" s="2" t="s">
        <v>47</v>
      </c>
      <c r="W4269" s="2" t="s">
        <v>104</v>
      </c>
      <c r="X4269" s="2">
        <v>40.81</v>
      </c>
    </row>
    <row r="4270" spans="1:24" x14ac:dyDescent="0.3">
      <c r="A4270">
        <v>22114</v>
      </c>
      <c r="B4270" t="s">
        <v>9805</v>
      </c>
      <c r="C4270" s="3">
        <v>41726</v>
      </c>
      <c r="D4270" t="s">
        <v>148</v>
      </c>
      <c r="E4270">
        <v>8</v>
      </c>
      <c r="F4270" s="3">
        <f ca="1">41727+(RANDBETWEEN(1,10))</f>
        <v>41728</v>
      </c>
      <c r="G4270" t="s">
        <v>26</v>
      </c>
      <c r="H4270" t="s">
        <v>51</v>
      </c>
      <c r="I4270" t="s">
        <v>86</v>
      </c>
      <c r="J4270">
        <v>799.26</v>
      </c>
      <c r="K4270">
        <v>0.06</v>
      </c>
      <c r="L4270">
        <v>0.51</v>
      </c>
      <c r="M4270">
        <v>6.9649999999999999</v>
      </c>
      <c r="N4270">
        <v>551.48940000000005</v>
      </c>
      <c r="O4270" s="1" t="s">
        <v>64</v>
      </c>
      <c r="P4270" s="1" t="s">
        <v>9808</v>
      </c>
      <c r="Q4270" s="1" t="s">
        <v>9809</v>
      </c>
      <c r="R4270" s="1" t="s">
        <v>128</v>
      </c>
      <c r="S4270" s="1" t="s">
        <v>6481</v>
      </c>
      <c r="T4270" s="1" t="s">
        <v>6482</v>
      </c>
      <c r="U4270" s="2" t="s">
        <v>9810</v>
      </c>
      <c r="V4270" s="2" t="s">
        <v>36</v>
      </c>
      <c r="W4270" s="2" t="s">
        <v>60</v>
      </c>
      <c r="X4270" s="2">
        <v>99.33</v>
      </c>
    </row>
    <row r="4271" spans="1:24" x14ac:dyDescent="0.3">
      <c r="A4271">
        <v>22115</v>
      </c>
      <c r="B4271" t="s">
        <v>9811</v>
      </c>
      <c r="C4271" s="3">
        <v>41971</v>
      </c>
      <c r="D4271" t="s">
        <v>148</v>
      </c>
      <c r="E4271">
        <v>4</v>
      </c>
      <c r="F4271" s="3">
        <f ca="1">41973+(RANDBETWEEN(1,10))</f>
        <v>41977</v>
      </c>
      <c r="G4271" t="s">
        <v>26</v>
      </c>
      <c r="H4271" t="s">
        <v>27</v>
      </c>
      <c r="I4271" t="s">
        <v>28</v>
      </c>
      <c r="J4271">
        <v>119.94499999999999</v>
      </c>
      <c r="K4271">
        <v>0.1</v>
      </c>
      <c r="L4271">
        <v>0.37</v>
      </c>
      <c r="M4271">
        <v>33.39</v>
      </c>
      <c r="N4271">
        <v>72.281999999999996</v>
      </c>
      <c r="O4271" s="1" t="s">
        <v>40</v>
      </c>
      <c r="P4271" s="1" t="s">
        <v>5973</v>
      </c>
      <c r="Q4271" s="1" t="s">
        <v>5974</v>
      </c>
      <c r="R4271" s="1" t="s">
        <v>43</v>
      </c>
      <c r="S4271" s="1" t="s">
        <v>815</v>
      </c>
      <c r="T4271" s="1" t="s">
        <v>816</v>
      </c>
      <c r="U4271" s="2" t="s">
        <v>272</v>
      </c>
      <c r="V4271" s="2" t="s">
        <v>47</v>
      </c>
      <c r="W4271" s="2" t="s">
        <v>74</v>
      </c>
      <c r="X4271" s="2">
        <v>22.68</v>
      </c>
    </row>
    <row r="4272" spans="1:24" x14ac:dyDescent="0.3">
      <c r="A4272">
        <v>22116</v>
      </c>
      <c r="B4272" t="s">
        <v>9812</v>
      </c>
      <c r="C4272" s="3">
        <v>41739</v>
      </c>
      <c r="D4272" t="s">
        <v>148</v>
      </c>
      <c r="E4272">
        <v>5</v>
      </c>
      <c r="F4272" s="3">
        <f ca="1">41741+(RANDBETWEEN(1,10))</f>
        <v>41751</v>
      </c>
      <c r="G4272" t="s">
        <v>76</v>
      </c>
      <c r="H4272" t="s">
        <v>258</v>
      </c>
      <c r="I4272" t="s">
        <v>97</v>
      </c>
      <c r="J4272">
        <v>5642.91</v>
      </c>
      <c r="K4272">
        <v>0.01</v>
      </c>
      <c r="L4272">
        <v>0.71</v>
      </c>
      <c r="M4272">
        <v>148.82</v>
      </c>
      <c r="N4272">
        <v>3893.6079</v>
      </c>
      <c r="O4272" s="1" t="s">
        <v>87</v>
      </c>
      <c r="P4272" s="1" t="s">
        <v>991</v>
      </c>
      <c r="Q4272" s="1" t="s">
        <v>992</v>
      </c>
      <c r="R4272" s="1" t="s">
        <v>90</v>
      </c>
      <c r="S4272" s="1" t="s">
        <v>993</v>
      </c>
      <c r="T4272" s="1" t="s">
        <v>994</v>
      </c>
      <c r="U4272" s="2" t="s">
        <v>2984</v>
      </c>
      <c r="V4272" s="2" t="s">
        <v>83</v>
      </c>
      <c r="W4272" s="2" t="s">
        <v>263</v>
      </c>
      <c r="X4272" s="2">
        <v>1403.43</v>
      </c>
    </row>
    <row r="4273" spans="1:24" x14ac:dyDescent="0.3">
      <c r="A4273">
        <v>22117</v>
      </c>
      <c r="B4273" t="s">
        <v>9813</v>
      </c>
      <c r="C4273" s="3">
        <v>40752</v>
      </c>
      <c r="D4273" t="s">
        <v>62</v>
      </c>
      <c r="E4273">
        <v>1</v>
      </c>
      <c r="F4273" s="3">
        <f ca="1">40754+(RANDBETWEEN(1,10))</f>
        <v>40759</v>
      </c>
      <c r="G4273" t="s">
        <v>76</v>
      </c>
      <c r="H4273" t="s">
        <v>258</v>
      </c>
      <c r="I4273" t="s">
        <v>28</v>
      </c>
      <c r="J4273">
        <v>11436.424999999999</v>
      </c>
      <c r="K4273">
        <v>7.0000000000000007E-2</v>
      </c>
      <c r="L4273">
        <v>0.56999999999999995</v>
      </c>
      <c r="M4273">
        <v>30.555</v>
      </c>
      <c r="N4273">
        <v>-24232.5972</v>
      </c>
      <c r="O4273" s="1" t="s">
        <v>40</v>
      </c>
      <c r="P4273" s="1" t="s">
        <v>2541</v>
      </c>
      <c r="Q4273" s="1" t="s">
        <v>2542</v>
      </c>
      <c r="R4273" s="1" t="s">
        <v>43</v>
      </c>
      <c r="S4273" s="1" t="s">
        <v>2543</v>
      </c>
      <c r="T4273" s="1" t="s">
        <v>2544</v>
      </c>
      <c r="U4273" s="2" t="s">
        <v>1769</v>
      </c>
      <c r="V4273" s="2" t="s">
        <v>36</v>
      </c>
      <c r="W4273" s="2" t="s">
        <v>142</v>
      </c>
      <c r="X4273" s="2">
        <v>12257.49</v>
      </c>
    </row>
    <row r="4274" spans="1:24" x14ac:dyDescent="0.3">
      <c r="A4274">
        <v>22118</v>
      </c>
      <c r="B4274" t="s">
        <v>9814</v>
      </c>
      <c r="C4274" s="3">
        <v>41822</v>
      </c>
      <c r="D4274" t="s">
        <v>39</v>
      </c>
      <c r="E4274">
        <v>18</v>
      </c>
      <c r="F4274" s="3">
        <f ca="1">41824+(RANDBETWEEN(1,10))</f>
        <v>41831</v>
      </c>
      <c r="G4274" t="s">
        <v>26</v>
      </c>
      <c r="H4274" t="s">
        <v>27</v>
      </c>
      <c r="I4274" t="s">
        <v>52</v>
      </c>
      <c r="J4274">
        <v>354.55</v>
      </c>
      <c r="K4274">
        <v>0.1</v>
      </c>
      <c r="L4274">
        <v>0.39</v>
      </c>
      <c r="M4274">
        <v>17.535</v>
      </c>
      <c r="N4274">
        <v>-339.62241599999999</v>
      </c>
      <c r="O4274" s="1" t="s">
        <v>87</v>
      </c>
      <c r="P4274" s="1" t="s">
        <v>5429</v>
      </c>
      <c r="Q4274" s="1" t="s">
        <v>5430</v>
      </c>
      <c r="R4274" s="1" t="s">
        <v>497</v>
      </c>
      <c r="S4274" s="1" t="s">
        <v>5431</v>
      </c>
      <c r="T4274" s="1" t="s">
        <v>5432</v>
      </c>
      <c r="U4274" s="2" t="s">
        <v>2422</v>
      </c>
      <c r="V4274" s="2" t="s">
        <v>47</v>
      </c>
      <c r="W4274" s="2" t="s">
        <v>111</v>
      </c>
      <c r="X4274" s="2">
        <v>20.09</v>
      </c>
    </row>
    <row r="4275" spans="1:24" x14ac:dyDescent="0.3">
      <c r="A4275">
        <v>22119</v>
      </c>
      <c r="B4275" t="s">
        <v>9815</v>
      </c>
      <c r="C4275" s="3">
        <v>40726</v>
      </c>
      <c r="D4275" t="s">
        <v>39</v>
      </c>
      <c r="E4275">
        <v>15</v>
      </c>
      <c r="F4275" s="3">
        <f ca="1">40728+(RANDBETWEEN(1,10))</f>
        <v>40730</v>
      </c>
      <c r="G4275" t="s">
        <v>76</v>
      </c>
      <c r="H4275" t="s">
        <v>77</v>
      </c>
      <c r="I4275" t="s">
        <v>52</v>
      </c>
      <c r="J4275">
        <v>13493.48</v>
      </c>
      <c r="K4275">
        <v>0.09</v>
      </c>
      <c r="L4275">
        <v>0.56000000000000005</v>
      </c>
      <c r="M4275">
        <v>98.21</v>
      </c>
      <c r="N4275">
        <v>9310.5012000000006</v>
      </c>
      <c r="O4275" s="1" t="s">
        <v>87</v>
      </c>
      <c r="P4275" s="1" t="s">
        <v>5429</v>
      </c>
      <c r="Q4275" s="1" t="s">
        <v>5430</v>
      </c>
      <c r="R4275" s="1" t="s">
        <v>497</v>
      </c>
      <c r="S4275" s="1" t="s">
        <v>5431</v>
      </c>
      <c r="T4275" s="1" t="s">
        <v>5432</v>
      </c>
      <c r="U4275" s="2" t="s">
        <v>6948</v>
      </c>
      <c r="V4275" s="2" t="s">
        <v>36</v>
      </c>
      <c r="W4275" s="2" t="s">
        <v>142</v>
      </c>
      <c r="X4275" s="2">
        <v>948.39499999999998</v>
      </c>
    </row>
    <row r="4276" spans="1:24" x14ac:dyDescent="0.3">
      <c r="A4276">
        <v>22120</v>
      </c>
      <c r="B4276" t="s">
        <v>9816</v>
      </c>
      <c r="C4276" s="3">
        <v>41549</v>
      </c>
      <c r="D4276" t="s">
        <v>50</v>
      </c>
      <c r="E4276">
        <v>20</v>
      </c>
      <c r="F4276" s="3">
        <f ca="1">41551+(RANDBETWEEN(1,10))</f>
        <v>41555</v>
      </c>
      <c r="G4276" t="s">
        <v>76</v>
      </c>
      <c r="H4276" t="s">
        <v>77</v>
      </c>
      <c r="I4276" t="s">
        <v>28</v>
      </c>
      <c r="J4276">
        <v>13631.87</v>
      </c>
      <c r="K4276">
        <v>0.08</v>
      </c>
      <c r="L4276">
        <v>0.57999999999999996</v>
      </c>
      <c r="M4276">
        <v>83.16</v>
      </c>
      <c r="N4276">
        <v>5713.9866000000002</v>
      </c>
      <c r="O4276" s="1" t="s">
        <v>29</v>
      </c>
      <c r="P4276" s="1" t="s">
        <v>4661</v>
      </c>
      <c r="Q4276" s="1" t="s">
        <v>4662</v>
      </c>
      <c r="R4276" s="1" t="s">
        <v>460</v>
      </c>
      <c r="S4276" s="1" t="s">
        <v>4663</v>
      </c>
      <c r="T4276" s="1" t="s">
        <v>4664</v>
      </c>
      <c r="U4276" s="2" t="s">
        <v>3990</v>
      </c>
      <c r="V4276" s="2" t="s">
        <v>83</v>
      </c>
      <c r="W4276" s="2" t="s">
        <v>84</v>
      </c>
      <c r="X4276" s="2">
        <v>703.43</v>
      </c>
    </row>
    <row r="4277" spans="1:24" x14ac:dyDescent="0.3">
      <c r="A4277">
        <v>22121</v>
      </c>
      <c r="B4277" t="s">
        <v>9816</v>
      </c>
      <c r="C4277" s="3">
        <v>41549</v>
      </c>
      <c r="D4277" t="s">
        <v>50</v>
      </c>
      <c r="E4277">
        <v>10</v>
      </c>
      <c r="F4277" s="3">
        <f ca="1">41550+(RANDBETWEEN(1,10))</f>
        <v>41554</v>
      </c>
      <c r="G4277" t="s">
        <v>76</v>
      </c>
      <c r="H4277" t="s">
        <v>77</v>
      </c>
      <c r="I4277" t="s">
        <v>28</v>
      </c>
      <c r="J4277">
        <v>27481.685000000001</v>
      </c>
      <c r="K4277">
        <v>0.06</v>
      </c>
      <c r="L4277">
        <v>0.56000000000000005</v>
      </c>
      <c r="M4277">
        <v>56.21</v>
      </c>
      <c r="N4277">
        <v>9839.4184000000005</v>
      </c>
      <c r="O4277" s="1" t="s">
        <v>29</v>
      </c>
      <c r="P4277" s="1" t="s">
        <v>4661</v>
      </c>
      <c r="Q4277" s="1" t="s">
        <v>4662</v>
      </c>
      <c r="R4277" s="1" t="s">
        <v>460</v>
      </c>
      <c r="S4277" s="1" t="s">
        <v>4663</v>
      </c>
      <c r="T4277" s="1" t="s">
        <v>4664</v>
      </c>
      <c r="U4277" s="2" t="s">
        <v>6873</v>
      </c>
      <c r="V4277" s="2" t="s">
        <v>36</v>
      </c>
      <c r="W4277" s="2" t="s">
        <v>142</v>
      </c>
      <c r="X4277" s="2">
        <v>2838.43</v>
      </c>
    </row>
    <row r="4278" spans="1:24" x14ac:dyDescent="0.3">
      <c r="A4278">
        <v>22122</v>
      </c>
      <c r="B4278" t="s">
        <v>9816</v>
      </c>
      <c r="C4278" s="3">
        <v>41549</v>
      </c>
      <c r="D4278" t="s">
        <v>50</v>
      </c>
      <c r="E4278">
        <v>15</v>
      </c>
      <c r="F4278" s="3">
        <f ca="1">41549+(RANDBETWEEN(1,10))</f>
        <v>41553</v>
      </c>
      <c r="G4278" t="s">
        <v>26</v>
      </c>
      <c r="H4278" t="s">
        <v>96</v>
      </c>
      <c r="I4278" t="s">
        <v>28</v>
      </c>
      <c r="J4278">
        <v>238.28</v>
      </c>
      <c r="K4278">
        <v>0.06</v>
      </c>
      <c r="L4278">
        <v>0.85</v>
      </c>
      <c r="M4278">
        <v>2.4500000000000002</v>
      </c>
      <c r="N4278">
        <v>-54.961199999999998</v>
      </c>
      <c r="O4278" s="1" t="s">
        <v>29</v>
      </c>
      <c r="P4278" s="1" t="s">
        <v>4661</v>
      </c>
      <c r="Q4278" s="1" t="s">
        <v>4662</v>
      </c>
      <c r="R4278" s="1" t="s">
        <v>460</v>
      </c>
      <c r="S4278" s="1" t="s">
        <v>4663</v>
      </c>
      <c r="T4278" s="1" t="s">
        <v>4664</v>
      </c>
      <c r="U4278" s="2" t="s">
        <v>2251</v>
      </c>
      <c r="V4278" s="2" t="s">
        <v>47</v>
      </c>
      <c r="W4278" s="2" t="s">
        <v>176</v>
      </c>
      <c r="X4278" s="2">
        <v>16.484999999999999</v>
      </c>
    </row>
    <row r="4279" spans="1:24" x14ac:dyDescent="0.3">
      <c r="A4279">
        <v>22123</v>
      </c>
      <c r="B4279" t="s">
        <v>9817</v>
      </c>
      <c r="C4279" s="3">
        <v>41455</v>
      </c>
      <c r="D4279" t="s">
        <v>50</v>
      </c>
      <c r="E4279">
        <v>9</v>
      </c>
      <c r="F4279" s="3">
        <f ca="1">41456+(RANDBETWEEN(1,10))</f>
        <v>41462</v>
      </c>
      <c r="G4279" t="s">
        <v>156</v>
      </c>
      <c r="H4279" t="s">
        <v>63</v>
      </c>
      <c r="I4279" t="s">
        <v>28</v>
      </c>
      <c r="J4279">
        <v>4431.21</v>
      </c>
      <c r="K4279">
        <v>0.04</v>
      </c>
      <c r="L4279" t="s">
        <v>182</v>
      </c>
      <c r="M4279">
        <v>122.5</v>
      </c>
      <c r="N4279">
        <v>-1464.232</v>
      </c>
      <c r="O4279" s="1" t="s">
        <v>53</v>
      </c>
      <c r="P4279" s="1" t="s">
        <v>3013</v>
      </c>
      <c r="Q4279" s="1" t="s">
        <v>3014</v>
      </c>
      <c r="R4279" s="1" t="s">
        <v>440</v>
      </c>
      <c r="S4279" s="1" t="s">
        <v>3015</v>
      </c>
      <c r="T4279" s="1" t="s">
        <v>3016</v>
      </c>
      <c r="U4279" s="2" t="s">
        <v>844</v>
      </c>
      <c r="V4279" s="2" t="s">
        <v>47</v>
      </c>
      <c r="W4279" s="2" t="s">
        <v>119</v>
      </c>
      <c r="X4279" s="2">
        <v>483.49</v>
      </c>
    </row>
    <row r="4280" spans="1:24" x14ac:dyDescent="0.3">
      <c r="A4280">
        <v>22124</v>
      </c>
      <c r="B4280" t="s">
        <v>9817</v>
      </c>
      <c r="C4280" s="3">
        <v>41455</v>
      </c>
      <c r="D4280" t="s">
        <v>50</v>
      </c>
      <c r="E4280">
        <v>14</v>
      </c>
      <c r="F4280" s="3">
        <f ca="1">41456+(RANDBETWEEN(1,10))</f>
        <v>41457</v>
      </c>
      <c r="G4280" t="s">
        <v>26</v>
      </c>
      <c r="H4280" t="s">
        <v>27</v>
      </c>
      <c r="I4280" t="s">
        <v>28</v>
      </c>
      <c r="J4280">
        <v>4864.4049999999997</v>
      </c>
      <c r="K4280">
        <v>0.1</v>
      </c>
      <c r="L4280">
        <v>0.56999999999999995</v>
      </c>
      <c r="M4280">
        <v>28.28</v>
      </c>
      <c r="N4280">
        <v>2360.9502000000002</v>
      </c>
      <c r="O4280" s="1" t="s">
        <v>53</v>
      </c>
      <c r="P4280" s="1" t="s">
        <v>3013</v>
      </c>
      <c r="Q4280" s="1" t="s">
        <v>3014</v>
      </c>
      <c r="R4280" s="1" t="s">
        <v>440</v>
      </c>
      <c r="S4280" s="1" t="s">
        <v>3015</v>
      </c>
      <c r="T4280" s="1" t="s">
        <v>3016</v>
      </c>
      <c r="U4280" s="2" t="s">
        <v>566</v>
      </c>
      <c r="V4280" s="2" t="s">
        <v>36</v>
      </c>
      <c r="W4280" s="2" t="s">
        <v>37</v>
      </c>
      <c r="X4280" s="2">
        <v>440.96499999999997</v>
      </c>
    </row>
    <row r="4281" spans="1:24" x14ac:dyDescent="0.3">
      <c r="A4281">
        <v>22125</v>
      </c>
      <c r="B4281" t="s">
        <v>9818</v>
      </c>
      <c r="C4281" s="3">
        <v>40567</v>
      </c>
      <c r="D4281" t="s">
        <v>25</v>
      </c>
      <c r="E4281">
        <v>8</v>
      </c>
      <c r="F4281" s="3">
        <f ca="1">40569+(RANDBETWEEN(1,10))</f>
        <v>40572</v>
      </c>
      <c r="G4281" t="s">
        <v>26</v>
      </c>
      <c r="H4281" t="s">
        <v>63</v>
      </c>
      <c r="I4281" t="s">
        <v>86</v>
      </c>
      <c r="J4281">
        <v>6210.75</v>
      </c>
      <c r="K4281">
        <v>0.1</v>
      </c>
      <c r="L4281" t="s">
        <v>182</v>
      </c>
      <c r="M4281">
        <v>85.715000000000003</v>
      </c>
      <c r="N4281">
        <v>3063.4953999999998</v>
      </c>
      <c r="O4281" s="1" t="s">
        <v>225</v>
      </c>
      <c r="P4281" s="1" t="s">
        <v>6705</v>
      </c>
      <c r="Q4281" s="1" t="s">
        <v>6706</v>
      </c>
      <c r="R4281" s="1" t="s">
        <v>228</v>
      </c>
      <c r="S4281" s="1" t="s">
        <v>6707</v>
      </c>
      <c r="T4281" s="1" t="s">
        <v>6708</v>
      </c>
      <c r="U4281" s="2" t="s">
        <v>9819</v>
      </c>
      <c r="V4281" s="2" t="s">
        <v>83</v>
      </c>
      <c r="W4281" s="2" t="s">
        <v>84</v>
      </c>
      <c r="X4281" s="2">
        <v>834.4</v>
      </c>
    </row>
    <row r="4282" spans="1:24" x14ac:dyDescent="0.3">
      <c r="A4282">
        <v>22126</v>
      </c>
      <c r="B4282" t="s">
        <v>9818</v>
      </c>
      <c r="C4282" s="3">
        <v>40567</v>
      </c>
      <c r="D4282" t="s">
        <v>25</v>
      </c>
      <c r="E4282">
        <v>5</v>
      </c>
      <c r="F4282" s="3">
        <f ca="1">40569+(RANDBETWEEN(1,10))</f>
        <v>40570</v>
      </c>
      <c r="G4282" t="s">
        <v>156</v>
      </c>
      <c r="H4282" t="s">
        <v>63</v>
      </c>
      <c r="I4282" t="s">
        <v>86</v>
      </c>
      <c r="J4282">
        <v>3691.415</v>
      </c>
      <c r="K4282">
        <v>0.03</v>
      </c>
      <c r="L4282">
        <v>0.46</v>
      </c>
      <c r="M4282">
        <v>85.715000000000003</v>
      </c>
      <c r="N4282">
        <v>2547.0763499999998</v>
      </c>
      <c r="O4282" s="1" t="s">
        <v>225</v>
      </c>
      <c r="P4282" s="1" t="s">
        <v>6705</v>
      </c>
      <c r="Q4282" s="1" t="s">
        <v>6706</v>
      </c>
      <c r="R4282" s="1" t="s">
        <v>228</v>
      </c>
      <c r="S4282" s="1" t="s">
        <v>6707</v>
      </c>
      <c r="T4282" s="1" t="s">
        <v>6708</v>
      </c>
      <c r="U4282" s="2" t="s">
        <v>7870</v>
      </c>
      <c r="V4282" s="2" t="s">
        <v>36</v>
      </c>
      <c r="W4282" s="2" t="s">
        <v>1327</v>
      </c>
      <c r="X4282" s="2">
        <v>699.96500000000003</v>
      </c>
    </row>
    <row r="4283" spans="1:24" x14ac:dyDescent="0.3">
      <c r="A4283">
        <v>22127</v>
      </c>
      <c r="B4283" t="s">
        <v>9820</v>
      </c>
      <c r="C4283" s="3">
        <v>40771</v>
      </c>
      <c r="D4283" t="s">
        <v>25</v>
      </c>
      <c r="E4283">
        <v>1</v>
      </c>
      <c r="F4283" s="3">
        <f ca="1">40775+(RANDBETWEEN(1,10))</f>
        <v>40783</v>
      </c>
      <c r="G4283" t="s">
        <v>26</v>
      </c>
      <c r="H4283" t="s">
        <v>27</v>
      </c>
      <c r="I4283" t="s">
        <v>28</v>
      </c>
      <c r="J4283">
        <v>50.854999999999997</v>
      </c>
      <c r="K4283">
        <v>0.1</v>
      </c>
      <c r="L4283">
        <v>0.35</v>
      </c>
      <c r="M4283">
        <v>24.395</v>
      </c>
      <c r="N4283">
        <v>-29.393000000000001</v>
      </c>
      <c r="O4283" s="1" t="s">
        <v>64</v>
      </c>
      <c r="P4283" s="1" t="s">
        <v>9821</v>
      </c>
      <c r="Q4283" s="1" t="s">
        <v>9822</v>
      </c>
      <c r="R4283" s="1" t="s">
        <v>128</v>
      </c>
      <c r="S4283" s="1" t="s">
        <v>6481</v>
      </c>
      <c r="T4283" s="1" t="s">
        <v>6482</v>
      </c>
      <c r="U4283" s="2" t="s">
        <v>2886</v>
      </c>
      <c r="V4283" s="2" t="s">
        <v>47</v>
      </c>
      <c r="W4283" s="2" t="s">
        <v>48</v>
      </c>
      <c r="X4283" s="2">
        <v>40.53</v>
      </c>
    </row>
    <row r="4284" spans="1:24" x14ac:dyDescent="0.3">
      <c r="A4284">
        <v>22128</v>
      </c>
      <c r="B4284" t="s">
        <v>9823</v>
      </c>
      <c r="C4284" s="3">
        <v>41863</v>
      </c>
      <c r="D4284" t="s">
        <v>148</v>
      </c>
      <c r="E4284">
        <v>25</v>
      </c>
      <c r="F4284" s="3">
        <f ca="1">41865+(RANDBETWEEN(1,10))</f>
        <v>41868</v>
      </c>
      <c r="G4284" t="s">
        <v>26</v>
      </c>
      <c r="H4284" t="s">
        <v>27</v>
      </c>
      <c r="I4284" t="s">
        <v>28</v>
      </c>
      <c r="J4284">
        <v>3570.7</v>
      </c>
      <c r="K4284">
        <v>7.0000000000000007E-2</v>
      </c>
      <c r="L4284">
        <v>0.36</v>
      </c>
      <c r="M4284">
        <v>69.965000000000003</v>
      </c>
      <c r="N4284">
        <v>22.68</v>
      </c>
      <c r="O4284" s="1" t="s">
        <v>87</v>
      </c>
      <c r="P4284" s="1" t="s">
        <v>8724</v>
      </c>
      <c r="Q4284" s="1" t="s">
        <v>8725</v>
      </c>
      <c r="R4284" s="1" t="s">
        <v>398</v>
      </c>
      <c r="S4284" s="1" t="s">
        <v>8726</v>
      </c>
      <c r="T4284" s="1" t="s">
        <v>8727</v>
      </c>
      <c r="U4284" s="2" t="s">
        <v>1784</v>
      </c>
      <c r="V4284" s="2" t="s">
        <v>47</v>
      </c>
      <c r="W4284" s="2" t="s">
        <v>74</v>
      </c>
      <c r="X4284" s="2">
        <v>143.465</v>
      </c>
    </row>
    <row r="4285" spans="1:24" x14ac:dyDescent="0.3">
      <c r="A4285">
        <v>22129</v>
      </c>
      <c r="B4285" t="s">
        <v>9824</v>
      </c>
      <c r="C4285" s="3">
        <v>41070</v>
      </c>
      <c r="D4285" t="s">
        <v>39</v>
      </c>
      <c r="E4285">
        <v>17</v>
      </c>
      <c r="F4285" s="3">
        <f ca="1">41072+(RANDBETWEEN(1,10))</f>
        <v>41082</v>
      </c>
      <c r="G4285" t="s">
        <v>26</v>
      </c>
      <c r="H4285" t="s">
        <v>27</v>
      </c>
      <c r="I4285" t="s">
        <v>86</v>
      </c>
      <c r="J4285">
        <v>3268.02</v>
      </c>
      <c r="K4285">
        <v>0.04</v>
      </c>
      <c r="L4285">
        <v>0.55000000000000004</v>
      </c>
      <c r="M4285">
        <v>8.75</v>
      </c>
      <c r="N4285">
        <v>2254.9337999999998</v>
      </c>
      <c r="O4285" s="1" t="s">
        <v>29</v>
      </c>
      <c r="P4285" s="1" t="s">
        <v>9825</v>
      </c>
      <c r="Q4285" s="1" t="s">
        <v>9826</v>
      </c>
      <c r="R4285" s="1" t="s">
        <v>32</v>
      </c>
      <c r="S4285" s="1" t="s">
        <v>6074</v>
      </c>
      <c r="T4285" s="1" t="s">
        <v>6075</v>
      </c>
      <c r="U4285" s="2">
        <v>6000</v>
      </c>
      <c r="V4285" s="2" t="s">
        <v>36</v>
      </c>
      <c r="W4285" s="2" t="s">
        <v>37</v>
      </c>
      <c r="X4285" s="2">
        <v>230.965</v>
      </c>
    </row>
    <row r="4286" spans="1:24" x14ac:dyDescent="0.3">
      <c r="A4286">
        <v>22130</v>
      </c>
      <c r="B4286" t="s">
        <v>9824</v>
      </c>
      <c r="C4286" s="3">
        <v>41070</v>
      </c>
      <c r="D4286" t="s">
        <v>39</v>
      </c>
      <c r="E4286">
        <v>12</v>
      </c>
      <c r="F4286" s="3">
        <f ca="1">41072+(RANDBETWEEN(1,10))</f>
        <v>41073</v>
      </c>
      <c r="G4286" t="s">
        <v>26</v>
      </c>
      <c r="H4286" t="s">
        <v>27</v>
      </c>
      <c r="I4286" t="s">
        <v>86</v>
      </c>
      <c r="J4286">
        <v>206.67500000000001</v>
      </c>
      <c r="K4286">
        <v>0.1</v>
      </c>
      <c r="L4286">
        <v>0.4</v>
      </c>
      <c r="M4286">
        <v>19.495000000000001</v>
      </c>
      <c r="N4286">
        <v>-284.70400000000001</v>
      </c>
      <c r="O4286" s="1" t="s">
        <v>40</v>
      </c>
      <c r="P4286" s="1" t="s">
        <v>9827</v>
      </c>
      <c r="Q4286" s="1" t="s">
        <v>9828</v>
      </c>
      <c r="R4286" s="1" t="s">
        <v>43</v>
      </c>
      <c r="S4286" s="1" t="s">
        <v>9829</v>
      </c>
      <c r="T4286" s="1" t="s">
        <v>9830</v>
      </c>
      <c r="U4286" s="2" t="s">
        <v>1213</v>
      </c>
      <c r="V4286" s="2" t="s">
        <v>47</v>
      </c>
      <c r="W4286" s="2" t="s">
        <v>74</v>
      </c>
      <c r="X4286" s="2">
        <v>18.48</v>
      </c>
    </row>
    <row r="4287" spans="1:24" x14ac:dyDescent="0.3">
      <c r="A4287">
        <v>22131</v>
      </c>
      <c r="B4287" t="s">
        <v>9831</v>
      </c>
      <c r="C4287" s="3">
        <v>40780</v>
      </c>
      <c r="D4287" t="s">
        <v>39</v>
      </c>
      <c r="E4287">
        <v>21</v>
      </c>
      <c r="F4287" s="3">
        <f ca="1">40782+(RANDBETWEEN(1,10))</f>
        <v>40790</v>
      </c>
      <c r="G4287" t="s">
        <v>26</v>
      </c>
      <c r="H4287" t="s">
        <v>27</v>
      </c>
      <c r="I4287" t="s">
        <v>52</v>
      </c>
      <c r="J4287">
        <v>3940.16</v>
      </c>
      <c r="K4287">
        <v>0.05</v>
      </c>
      <c r="L4287">
        <v>0.39</v>
      </c>
      <c r="M4287">
        <v>56.384999999999998</v>
      </c>
      <c r="N4287">
        <v>2718.7103999999999</v>
      </c>
      <c r="O4287" s="1" t="s">
        <v>87</v>
      </c>
      <c r="P4287" s="1" t="s">
        <v>9832</v>
      </c>
      <c r="Q4287" s="1" t="s">
        <v>9833</v>
      </c>
      <c r="R4287" s="1" t="s">
        <v>497</v>
      </c>
      <c r="S4287" s="1" t="s">
        <v>9834</v>
      </c>
      <c r="T4287" s="1" t="s">
        <v>9835</v>
      </c>
      <c r="U4287" s="2" t="s">
        <v>6436</v>
      </c>
      <c r="V4287" s="2" t="s">
        <v>47</v>
      </c>
      <c r="W4287" s="2" t="s">
        <v>111</v>
      </c>
      <c r="X4287" s="2">
        <v>183.4</v>
      </c>
    </row>
    <row r="4288" spans="1:24" x14ac:dyDescent="0.3">
      <c r="A4288">
        <v>22132</v>
      </c>
      <c r="B4288" t="s">
        <v>9831</v>
      </c>
      <c r="C4288" s="3">
        <v>40780</v>
      </c>
      <c r="D4288" t="s">
        <v>39</v>
      </c>
      <c r="E4288">
        <v>5</v>
      </c>
      <c r="F4288" s="3">
        <f ca="1">40783+(RANDBETWEEN(1,10))</f>
        <v>40786</v>
      </c>
      <c r="G4288" t="s">
        <v>26</v>
      </c>
      <c r="H4288" t="s">
        <v>27</v>
      </c>
      <c r="I4288" t="s">
        <v>52</v>
      </c>
      <c r="J4288">
        <v>263.09500000000003</v>
      </c>
      <c r="K4288">
        <v>0.1</v>
      </c>
      <c r="L4288">
        <v>0.81</v>
      </c>
      <c r="M4288">
        <v>15.855</v>
      </c>
      <c r="N4288">
        <v>-87.141599999999997</v>
      </c>
      <c r="O4288" s="1" t="s">
        <v>29</v>
      </c>
      <c r="P4288" s="1" t="s">
        <v>9836</v>
      </c>
      <c r="Q4288" s="1" t="s">
        <v>9837</v>
      </c>
      <c r="R4288" s="1" t="s">
        <v>32</v>
      </c>
      <c r="S4288" s="1" t="s">
        <v>9838</v>
      </c>
      <c r="T4288" s="1" t="s">
        <v>9839</v>
      </c>
      <c r="U4288" s="2" t="s">
        <v>2304</v>
      </c>
      <c r="V4288" s="2" t="s">
        <v>47</v>
      </c>
      <c r="W4288" s="2" t="s">
        <v>119</v>
      </c>
      <c r="X4288" s="2">
        <v>52.99</v>
      </c>
    </row>
    <row r="4289" spans="1:24" x14ac:dyDescent="0.3">
      <c r="A4289">
        <v>22133</v>
      </c>
      <c r="B4289" t="s">
        <v>9831</v>
      </c>
      <c r="C4289" s="3">
        <v>40780</v>
      </c>
      <c r="D4289" t="s">
        <v>39</v>
      </c>
      <c r="E4289">
        <v>21</v>
      </c>
      <c r="F4289" s="3">
        <f ca="1">40781+(RANDBETWEEN(1,10))</f>
        <v>40785</v>
      </c>
      <c r="G4289" t="s">
        <v>156</v>
      </c>
      <c r="H4289" t="s">
        <v>96</v>
      </c>
      <c r="I4289" t="s">
        <v>52</v>
      </c>
      <c r="J4289">
        <v>2611.105</v>
      </c>
      <c r="K4289">
        <v>0.05</v>
      </c>
      <c r="L4289">
        <v>0.41</v>
      </c>
      <c r="M4289">
        <v>48.615000000000002</v>
      </c>
      <c r="N4289">
        <v>1205.904</v>
      </c>
      <c r="O4289" s="1" t="s">
        <v>87</v>
      </c>
      <c r="P4289" s="1" t="s">
        <v>9840</v>
      </c>
      <c r="Q4289" s="1" t="s">
        <v>9841</v>
      </c>
      <c r="R4289" s="1" t="s">
        <v>646</v>
      </c>
      <c r="S4289" s="1" t="s">
        <v>9842</v>
      </c>
      <c r="T4289" s="1" t="s">
        <v>1427</v>
      </c>
      <c r="U4289" s="2" t="s">
        <v>530</v>
      </c>
      <c r="V4289" s="2" t="s">
        <v>47</v>
      </c>
      <c r="W4289" s="2" t="s">
        <v>104</v>
      </c>
      <c r="X4289" s="2">
        <v>127.925</v>
      </c>
    </row>
    <row r="4290" spans="1:24" x14ac:dyDescent="0.3">
      <c r="A4290">
        <v>22134</v>
      </c>
      <c r="B4290" t="s">
        <v>9843</v>
      </c>
      <c r="C4290" s="3">
        <v>41550</v>
      </c>
      <c r="D4290" t="s">
        <v>148</v>
      </c>
      <c r="E4290">
        <v>8</v>
      </c>
      <c r="F4290" s="3">
        <f ca="1">41552+(RANDBETWEEN(1,10))</f>
        <v>41559</v>
      </c>
      <c r="G4290" t="s">
        <v>26</v>
      </c>
      <c r="H4290" t="s">
        <v>27</v>
      </c>
      <c r="I4290" t="s">
        <v>52</v>
      </c>
      <c r="J4290">
        <v>8437.24</v>
      </c>
      <c r="K4290">
        <v>0.05</v>
      </c>
      <c r="L4290">
        <v>0.4</v>
      </c>
      <c r="M4290">
        <v>69.965000000000003</v>
      </c>
      <c r="N4290">
        <v>5744.6071899999997</v>
      </c>
      <c r="O4290" s="1" t="s">
        <v>40</v>
      </c>
      <c r="P4290" s="1" t="s">
        <v>1842</v>
      </c>
      <c r="Q4290" s="1" t="s">
        <v>1843</v>
      </c>
      <c r="R4290" s="1" t="s">
        <v>43</v>
      </c>
      <c r="S4290" s="1" t="s">
        <v>1844</v>
      </c>
      <c r="T4290" s="1" t="s">
        <v>1845</v>
      </c>
      <c r="U4290" s="2" t="s">
        <v>2149</v>
      </c>
      <c r="V4290" s="2" t="s">
        <v>47</v>
      </c>
      <c r="W4290" s="2" t="s">
        <v>111</v>
      </c>
      <c r="X4290" s="2">
        <v>1067.4649999999999</v>
      </c>
    </row>
    <row r="4291" spans="1:24" x14ac:dyDescent="0.3">
      <c r="A4291">
        <v>22135</v>
      </c>
      <c r="B4291" t="s">
        <v>9844</v>
      </c>
      <c r="C4291" s="3">
        <v>41862</v>
      </c>
      <c r="D4291" t="s">
        <v>62</v>
      </c>
      <c r="E4291">
        <v>10</v>
      </c>
      <c r="F4291" s="3">
        <f ca="1">41864+(RANDBETWEEN(1,10))</f>
        <v>41873</v>
      </c>
      <c r="G4291" t="s">
        <v>26</v>
      </c>
      <c r="H4291" t="s">
        <v>27</v>
      </c>
      <c r="I4291" t="s">
        <v>52</v>
      </c>
      <c r="J4291">
        <v>4988.0600000000004</v>
      </c>
      <c r="K4291">
        <v>0.09</v>
      </c>
      <c r="L4291">
        <v>0.59</v>
      </c>
      <c r="M4291">
        <v>24.745000000000001</v>
      </c>
      <c r="N4291">
        <v>-136.17099999999999</v>
      </c>
      <c r="O4291" s="1" t="s">
        <v>29</v>
      </c>
      <c r="P4291" s="1" t="s">
        <v>8677</v>
      </c>
      <c r="Q4291" s="1" t="s">
        <v>8678</v>
      </c>
      <c r="R4291" s="1" t="s">
        <v>460</v>
      </c>
      <c r="S4291" s="1" t="s">
        <v>8679</v>
      </c>
      <c r="T4291" s="1" t="s">
        <v>8680</v>
      </c>
      <c r="U4291" s="2" t="s">
        <v>3378</v>
      </c>
      <c r="V4291" s="2" t="s">
        <v>47</v>
      </c>
      <c r="W4291" s="2" t="s">
        <v>119</v>
      </c>
      <c r="X4291" s="2">
        <v>542.71</v>
      </c>
    </row>
    <row r="4292" spans="1:24" x14ac:dyDescent="0.3">
      <c r="A4292">
        <v>22136</v>
      </c>
      <c r="B4292" t="s">
        <v>9845</v>
      </c>
      <c r="C4292" s="3">
        <v>40660</v>
      </c>
      <c r="D4292" t="s">
        <v>50</v>
      </c>
      <c r="E4292">
        <v>3</v>
      </c>
      <c r="F4292" s="3">
        <f ca="1">40661+(RANDBETWEEN(1,10))</f>
        <v>40664</v>
      </c>
      <c r="G4292" t="s">
        <v>26</v>
      </c>
      <c r="H4292" t="s">
        <v>27</v>
      </c>
      <c r="I4292" t="s">
        <v>28</v>
      </c>
      <c r="J4292">
        <v>121.27500000000001</v>
      </c>
      <c r="K4292">
        <v>0.09</v>
      </c>
      <c r="L4292">
        <v>0.38</v>
      </c>
      <c r="M4292">
        <v>17.010000000000002</v>
      </c>
      <c r="N4292">
        <v>6.0549999999999997</v>
      </c>
      <c r="O4292" s="1" t="s">
        <v>40</v>
      </c>
      <c r="P4292" s="1" t="s">
        <v>3242</v>
      </c>
      <c r="Q4292" s="1" t="s">
        <v>3243</v>
      </c>
      <c r="R4292" s="1" t="s">
        <v>220</v>
      </c>
      <c r="S4292" s="1" t="s">
        <v>707</v>
      </c>
      <c r="T4292" s="1" t="s">
        <v>708</v>
      </c>
      <c r="U4292" s="2" t="s">
        <v>9430</v>
      </c>
      <c r="V4292" s="2" t="s">
        <v>47</v>
      </c>
      <c r="W4292" s="2" t="s">
        <v>74</v>
      </c>
      <c r="X4292" s="2">
        <v>42.98</v>
      </c>
    </row>
    <row r="4293" spans="1:24" x14ac:dyDescent="0.3">
      <c r="A4293">
        <v>22137</v>
      </c>
      <c r="B4293" t="s">
        <v>9846</v>
      </c>
      <c r="C4293" s="3">
        <v>41230</v>
      </c>
      <c r="D4293" t="s">
        <v>39</v>
      </c>
      <c r="E4293">
        <v>36</v>
      </c>
      <c r="F4293" s="3">
        <f ca="1">41233+(RANDBETWEEN(1,10))</f>
        <v>41235</v>
      </c>
      <c r="G4293" t="s">
        <v>26</v>
      </c>
      <c r="H4293" t="s">
        <v>27</v>
      </c>
      <c r="I4293" t="s">
        <v>86</v>
      </c>
      <c r="J4293">
        <v>718.06</v>
      </c>
      <c r="K4293">
        <v>0.05</v>
      </c>
      <c r="L4293">
        <v>0.38</v>
      </c>
      <c r="M4293">
        <v>4.8650000000000002</v>
      </c>
      <c r="N4293">
        <v>495.46140000000003</v>
      </c>
      <c r="O4293" s="1" t="s">
        <v>64</v>
      </c>
      <c r="P4293" s="1" t="s">
        <v>7103</v>
      </c>
      <c r="Q4293" s="1" t="s">
        <v>7104</v>
      </c>
      <c r="R4293" s="1" t="s">
        <v>128</v>
      </c>
      <c r="S4293" s="1" t="s">
        <v>7105</v>
      </c>
      <c r="T4293" s="1" t="s">
        <v>7106</v>
      </c>
      <c r="U4293" s="2" t="s">
        <v>641</v>
      </c>
      <c r="V4293" s="2" t="s">
        <v>47</v>
      </c>
      <c r="W4293" s="2" t="s">
        <v>48</v>
      </c>
      <c r="X4293" s="2">
        <v>19.88</v>
      </c>
    </row>
    <row r="4294" spans="1:24" x14ac:dyDescent="0.3">
      <c r="A4294">
        <v>22138</v>
      </c>
      <c r="B4294" t="s">
        <v>9846</v>
      </c>
      <c r="C4294" s="3">
        <v>41230</v>
      </c>
      <c r="D4294" t="s">
        <v>39</v>
      </c>
      <c r="E4294">
        <v>29</v>
      </c>
      <c r="F4294" s="3">
        <f ca="1">41232+(RANDBETWEEN(1,10))</f>
        <v>41235</v>
      </c>
      <c r="G4294" t="s">
        <v>156</v>
      </c>
      <c r="H4294" t="s">
        <v>27</v>
      </c>
      <c r="I4294" t="s">
        <v>86</v>
      </c>
      <c r="J4294">
        <v>2043.895</v>
      </c>
      <c r="K4294">
        <v>7.0000000000000007E-2</v>
      </c>
      <c r="L4294">
        <v>0.49</v>
      </c>
      <c r="M4294">
        <v>36.715000000000003</v>
      </c>
      <c r="N4294">
        <v>270.19299999999998</v>
      </c>
      <c r="O4294" s="1" t="s">
        <v>64</v>
      </c>
      <c r="P4294" s="1" t="s">
        <v>7103</v>
      </c>
      <c r="Q4294" s="1" t="s">
        <v>7104</v>
      </c>
      <c r="R4294" s="1" t="s">
        <v>128</v>
      </c>
      <c r="S4294" s="1" t="s">
        <v>7105</v>
      </c>
      <c r="T4294" s="1" t="s">
        <v>7106</v>
      </c>
      <c r="U4294" s="2" t="s">
        <v>2586</v>
      </c>
      <c r="V4294" s="2" t="s">
        <v>83</v>
      </c>
      <c r="W4294" s="2" t="s">
        <v>178</v>
      </c>
      <c r="X4294" s="2">
        <v>69.930000000000007</v>
      </c>
    </row>
    <row r="4295" spans="1:24" x14ac:dyDescent="0.3">
      <c r="A4295">
        <v>22139</v>
      </c>
      <c r="B4295" t="s">
        <v>9847</v>
      </c>
      <c r="C4295" s="3">
        <v>41596</v>
      </c>
      <c r="D4295" t="s">
        <v>148</v>
      </c>
      <c r="E4295">
        <v>17</v>
      </c>
      <c r="F4295" s="3">
        <f ca="1">41598+(RANDBETWEEN(1,10))</f>
        <v>41601</v>
      </c>
      <c r="G4295" t="s">
        <v>26</v>
      </c>
      <c r="H4295" t="s">
        <v>51</v>
      </c>
      <c r="I4295" t="s">
        <v>28</v>
      </c>
      <c r="J4295">
        <v>467.46</v>
      </c>
      <c r="K4295">
        <v>7.0000000000000007E-2</v>
      </c>
      <c r="L4295">
        <v>0.74</v>
      </c>
      <c r="M4295">
        <v>8.33</v>
      </c>
      <c r="N4295">
        <v>32.823</v>
      </c>
      <c r="O4295" s="1" t="s">
        <v>225</v>
      </c>
      <c r="P4295" s="1" t="s">
        <v>9848</v>
      </c>
      <c r="Q4295" s="1" t="s">
        <v>9849</v>
      </c>
      <c r="R4295" s="1" t="s">
        <v>391</v>
      </c>
      <c r="S4295" s="1" t="s">
        <v>9850</v>
      </c>
      <c r="T4295" s="1" t="s">
        <v>1131</v>
      </c>
      <c r="U4295" s="2" t="s">
        <v>152</v>
      </c>
      <c r="V4295" s="2" t="s">
        <v>36</v>
      </c>
      <c r="W4295" s="2" t="s">
        <v>60</v>
      </c>
      <c r="X4295" s="2">
        <v>29.12</v>
      </c>
    </row>
    <row r="4296" spans="1:24" x14ac:dyDescent="0.3">
      <c r="A4296">
        <v>22140</v>
      </c>
      <c r="B4296" t="s">
        <v>9847</v>
      </c>
      <c r="C4296" s="3">
        <v>41596</v>
      </c>
      <c r="D4296" t="s">
        <v>148</v>
      </c>
      <c r="E4296">
        <v>24</v>
      </c>
      <c r="F4296" s="3">
        <f ca="1">41597+(RANDBETWEEN(1,10))</f>
        <v>41601</v>
      </c>
      <c r="G4296" t="s">
        <v>26</v>
      </c>
      <c r="H4296" t="s">
        <v>27</v>
      </c>
      <c r="I4296" t="s">
        <v>28</v>
      </c>
      <c r="J4296">
        <v>585.34</v>
      </c>
      <c r="K4296">
        <v>0.04</v>
      </c>
      <c r="L4296">
        <v>0.37</v>
      </c>
      <c r="M4296">
        <v>30.555</v>
      </c>
      <c r="N4296">
        <v>90.593999999999994</v>
      </c>
      <c r="O4296" s="1" t="s">
        <v>225</v>
      </c>
      <c r="P4296" s="1" t="s">
        <v>9848</v>
      </c>
      <c r="Q4296" s="1" t="s">
        <v>9849</v>
      </c>
      <c r="R4296" s="1" t="s">
        <v>391</v>
      </c>
      <c r="S4296" s="1" t="s">
        <v>9850</v>
      </c>
      <c r="T4296" s="1" t="s">
        <v>1131</v>
      </c>
      <c r="U4296" s="2" t="s">
        <v>2564</v>
      </c>
      <c r="V4296" s="2" t="s">
        <v>47</v>
      </c>
      <c r="W4296" s="2" t="s">
        <v>74</v>
      </c>
      <c r="X4296" s="2">
        <v>22.68</v>
      </c>
    </row>
    <row r="4297" spans="1:24" x14ac:dyDescent="0.3">
      <c r="A4297">
        <v>22141</v>
      </c>
      <c r="B4297" t="s">
        <v>9847</v>
      </c>
      <c r="C4297" s="3">
        <v>41596</v>
      </c>
      <c r="D4297" t="s">
        <v>148</v>
      </c>
      <c r="E4297">
        <v>25</v>
      </c>
      <c r="F4297" s="3">
        <f ca="1">41598+(RANDBETWEEN(1,10))</f>
        <v>41602</v>
      </c>
      <c r="G4297" t="s">
        <v>26</v>
      </c>
      <c r="H4297" t="s">
        <v>27</v>
      </c>
      <c r="I4297" t="s">
        <v>28</v>
      </c>
      <c r="J4297">
        <v>8263.57</v>
      </c>
      <c r="K4297">
        <v>7.0000000000000007E-2</v>
      </c>
      <c r="L4297">
        <v>0.57999999999999996</v>
      </c>
      <c r="M4297">
        <v>8.75</v>
      </c>
      <c r="N4297">
        <v>4287.5910000000003</v>
      </c>
      <c r="O4297" s="1" t="s">
        <v>225</v>
      </c>
      <c r="P4297" s="1" t="s">
        <v>9848</v>
      </c>
      <c r="Q4297" s="1" t="s">
        <v>9849</v>
      </c>
      <c r="R4297" s="1" t="s">
        <v>391</v>
      </c>
      <c r="S4297" s="1" t="s">
        <v>9850</v>
      </c>
      <c r="T4297" s="1" t="s">
        <v>1131</v>
      </c>
      <c r="U4297" s="2" t="s">
        <v>8074</v>
      </c>
      <c r="V4297" s="2" t="s">
        <v>36</v>
      </c>
      <c r="W4297" s="2" t="s">
        <v>37</v>
      </c>
      <c r="X4297" s="2">
        <v>405.96499999999997</v>
      </c>
    </row>
    <row r="4298" spans="1:24" x14ac:dyDescent="0.3">
      <c r="A4298">
        <v>22142</v>
      </c>
      <c r="B4298" t="s">
        <v>9847</v>
      </c>
      <c r="C4298" s="3">
        <v>41596</v>
      </c>
      <c r="D4298" t="s">
        <v>148</v>
      </c>
      <c r="E4298">
        <v>26</v>
      </c>
      <c r="F4298" s="3">
        <f ca="1">41597+(RANDBETWEEN(1,10))</f>
        <v>41598</v>
      </c>
      <c r="G4298" t="s">
        <v>26</v>
      </c>
      <c r="H4298" t="s">
        <v>96</v>
      </c>
      <c r="I4298" t="s">
        <v>28</v>
      </c>
      <c r="J4298">
        <v>659.505</v>
      </c>
      <c r="K4298">
        <v>0.09</v>
      </c>
      <c r="L4298">
        <v>0.42</v>
      </c>
      <c r="M4298">
        <v>14</v>
      </c>
      <c r="N4298">
        <v>130.66900000000001</v>
      </c>
      <c r="O4298" s="1" t="s">
        <v>40</v>
      </c>
      <c r="P4298" s="1" t="s">
        <v>4227</v>
      </c>
      <c r="Q4298" s="1" t="s">
        <v>4228</v>
      </c>
      <c r="R4298" s="1" t="s">
        <v>43</v>
      </c>
      <c r="S4298" s="1" t="s">
        <v>4229</v>
      </c>
      <c r="T4298" s="1" t="s">
        <v>4230</v>
      </c>
      <c r="U4298" s="2" t="s">
        <v>2801</v>
      </c>
      <c r="V4298" s="2" t="s">
        <v>83</v>
      </c>
      <c r="W4298" s="2" t="s">
        <v>178</v>
      </c>
      <c r="X4298" s="2">
        <v>26.565000000000001</v>
      </c>
    </row>
    <row r="4299" spans="1:24" x14ac:dyDescent="0.3">
      <c r="A4299">
        <v>22143</v>
      </c>
      <c r="B4299" t="s">
        <v>9851</v>
      </c>
      <c r="C4299" s="3">
        <v>41031</v>
      </c>
      <c r="D4299" t="s">
        <v>50</v>
      </c>
      <c r="E4299">
        <v>16</v>
      </c>
      <c r="F4299" s="3">
        <f ca="1">41032+(RANDBETWEEN(1,10))</f>
        <v>41033</v>
      </c>
      <c r="G4299" t="s">
        <v>76</v>
      </c>
      <c r="H4299" t="s">
        <v>258</v>
      </c>
      <c r="I4299" t="s">
        <v>97</v>
      </c>
      <c r="J4299">
        <v>5422.76</v>
      </c>
      <c r="K4299">
        <v>7.0000000000000007E-2</v>
      </c>
      <c r="L4299">
        <v>0.39</v>
      </c>
      <c r="M4299">
        <v>196.49</v>
      </c>
      <c r="N4299">
        <v>880.53</v>
      </c>
      <c r="O4299" s="1" t="s">
        <v>40</v>
      </c>
      <c r="P4299" s="1" t="s">
        <v>9852</v>
      </c>
      <c r="Q4299" s="1" t="s">
        <v>9853</v>
      </c>
      <c r="R4299" s="1" t="s">
        <v>43</v>
      </c>
      <c r="S4299" s="1" t="s">
        <v>9854</v>
      </c>
      <c r="T4299" s="1" t="s">
        <v>9855</v>
      </c>
      <c r="U4299" s="2" t="s">
        <v>5088</v>
      </c>
      <c r="V4299" s="2" t="s">
        <v>36</v>
      </c>
      <c r="W4299" s="2" t="s">
        <v>142</v>
      </c>
      <c r="X4299" s="2">
        <v>419.96499999999997</v>
      </c>
    </row>
    <row r="4300" spans="1:24" x14ac:dyDescent="0.3">
      <c r="A4300">
        <v>22144</v>
      </c>
      <c r="B4300" t="s">
        <v>9856</v>
      </c>
      <c r="C4300" s="3">
        <v>41287</v>
      </c>
      <c r="D4300" t="s">
        <v>39</v>
      </c>
      <c r="E4300">
        <v>6</v>
      </c>
      <c r="F4300" s="3">
        <f ca="1">41289+(RANDBETWEEN(1,10))</f>
        <v>41298</v>
      </c>
      <c r="G4300" t="s">
        <v>26</v>
      </c>
      <c r="H4300" t="s">
        <v>51</v>
      </c>
      <c r="I4300" t="s">
        <v>97</v>
      </c>
      <c r="J4300">
        <v>35.594999999999999</v>
      </c>
      <c r="K4300">
        <v>0.09</v>
      </c>
      <c r="L4300">
        <v>0.51</v>
      </c>
      <c r="M4300">
        <v>6.9649999999999999</v>
      </c>
      <c r="N4300">
        <v>-145.4768</v>
      </c>
      <c r="O4300" s="1" t="s">
        <v>225</v>
      </c>
      <c r="P4300" s="1" t="s">
        <v>6762</v>
      </c>
      <c r="Q4300" s="1" t="s">
        <v>6763</v>
      </c>
      <c r="R4300" s="1" t="s">
        <v>228</v>
      </c>
      <c r="S4300" s="1" t="s">
        <v>6764</v>
      </c>
      <c r="T4300" s="1" t="s">
        <v>6765</v>
      </c>
      <c r="U4300" s="2" t="s">
        <v>6841</v>
      </c>
      <c r="V4300" s="2" t="s">
        <v>36</v>
      </c>
      <c r="W4300" s="2" t="s">
        <v>60</v>
      </c>
      <c r="X4300" s="2">
        <v>5.95</v>
      </c>
    </row>
    <row r="4301" spans="1:24" x14ac:dyDescent="0.3">
      <c r="A4301">
        <v>22145</v>
      </c>
      <c r="B4301" t="s">
        <v>9857</v>
      </c>
      <c r="C4301" s="3">
        <v>40803</v>
      </c>
      <c r="D4301" t="s">
        <v>62</v>
      </c>
      <c r="E4301">
        <v>16</v>
      </c>
      <c r="F4301" s="3">
        <f ca="1">40803+(RANDBETWEEN(1,10))</f>
        <v>40811</v>
      </c>
      <c r="G4301" t="s">
        <v>26</v>
      </c>
      <c r="H4301" t="s">
        <v>281</v>
      </c>
      <c r="I4301" t="s">
        <v>28</v>
      </c>
      <c r="J4301">
        <v>6698.44</v>
      </c>
      <c r="K4301">
        <v>0.04</v>
      </c>
      <c r="L4301">
        <v>0.36</v>
      </c>
      <c r="M4301">
        <v>24.885000000000002</v>
      </c>
      <c r="N4301">
        <v>4621.9236000000001</v>
      </c>
      <c r="O4301" s="1" t="s">
        <v>53</v>
      </c>
      <c r="P4301" s="1" t="s">
        <v>7363</v>
      </c>
      <c r="Q4301" s="1" t="s">
        <v>7364</v>
      </c>
      <c r="R4301" s="1" t="s">
        <v>56</v>
      </c>
      <c r="S4301" s="1" t="s">
        <v>6666</v>
      </c>
      <c r="T4301" s="1" t="s">
        <v>6667</v>
      </c>
      <c r="U4301" s="2" t="s">
        <v>2811</v>
      </c>
      <c r="V4301" s="2" t="s">
        <v>36</v>
      </c>
      <c r="W4301" s="2" t="s">
        <v>142</v>
      </c>
      <c r="X4301" s="2">
        <v>423.39499999999998</v>
      </c>
    </row>
    <row r="4302" spans="1:24" x14ac:dyDescent="0.3">
      <c r="A4302">
        <v>22146</v>
      </c>
      <c r="B4302" t="s">
        <v>9857</v>
      </c>
      <c r="C4302" s="3">
        <v>40803</v>
      </c>
      <c r="D4302" t="s">
        <v>62</v>
      </c>
      <c r="E4302">
        <v>16</v>
      </c>
      <c r="F4302" s="3">
        <f ca="1">40805+(RANDBETWEEN(1,10))</f>
        <v>40806</v>
      </c>
      <c r="G4302" t="s">
        <v>26</v>
      </c>
      <c r="H4302" t="s">
        <v>27</v>
      </c>
      <c r="I4302" t="s">
        <v>28</v>
      </c>
      <c r="J4302">
        <v>9422.42</v>
      </c>
      <c r="K4302">
        <v>0</v>
      </c>
      <c r="L4302">
        <v>0.6</v>
      </c>
      <c r="M4302">
        <v>14.7</v>
      </c>
      <c r="N4302">
        <v>5549.2605000000003</v>
      </c>
      <c r="O4302" s="1" t="s">
        <v>53</v>
      </c>
      <c r="P4302" s="1" t="s">
        <v>7363</v>
      </c>
      <c r="Q4302" s="1" t="s">
        <v>7364</v>
      </c>
      <c r="R4302" s="1" t="s">
        <v>56</v>
      </c>
      <c r="S4302" s="1" t="s">
        <v>6666</v>
      </c>
      <c r="T4302" s="1" t="s">
        <v>6667</v>
      </c>
      <c r="U4302" s="2">
        <v>688</v>
      </c>
      <c r="V4302" s="2" t="s">
        <v>36</v>
      </c>
      <c r="W4302" s="2" t="s">
        <v>37</v>
      </c>
      <c r="X4302" s="2">
        <v>685.96500000000003</v>
      </c>
    </row>
    <row r="4303" spans="1:24" x14ac:dyDescent="0.3">
      <c r="A4303">
        <v>22147</v>
      </c>
      <c r="B4303" t="s">
        <v>9858</v>
      </c>
      <c r="C4303" s="3">
        <v>41735</v>
      </c>
      <c r="D4303" t="s">
        <v>39</v>
      </c>
      <c r="E4303">
        <v>7</v>
      </c>
      <c r="F4303" s="3">
        <f ca="1">41736+(RANDBETWEEN(1,10))</f>
        <v>41741</v>
      </c>
      <c r="G4303" t="s">
        <v>26</v>
      </c>
      <c r="H4303" t="s">
        <v>27</v>
      </c>
      <c r="I4303" t="s">
        <v>28</v>
      </c>
      <c r="J4303">
        <v>57.33</v>
      </c>
      <c r="K4303">
        <v>7.0000000000000007E-2</v>
      </c>
      <c r="L4303">
        <v>0.55000000000000004</v>
      </c>
      <c r="M4303">
        <v>17.5</v>
      </c>
      <c r="N4303">
        <v>-393.89</v>
      </c>
      <c r="O4303" s="1" t="s">
        <v>87</v>
      </c>
      <c r="P4303" s="1" t="s">
        <v>9859</v>
      </c>
      <c r="Q4303" s="1" t="s">
        <v>9860</v>
      </c>
      <c r="R4303" s="1" t="s">
        <v>398</v>
      </c>
      <c r="S4303" s="1" t="s">
        <v>9861</v>
      </c>
      <c r="T4303" s="1" t="s">
        <v>9862</v>
      </c>
      <c r="U4303" s="2" t="s">
        <v>9863</v>
      </c>
      <c r="V4303" s="2" t="s">
        <v>47</v>
      </c>
      <c r="W4303" s="2" t="s">
        <v>71</v>
      </c>
      <c r="X4303" s="2">
        <v>7.77</v>
      </c>
    </row>
    <row r="4304" spans="1:24" x14ac:dyDescent="0.3">
      <c r="A4304">
        <v>22148</v>
      </c>
      <c r="B4304" t="s">
        <v>9858</v>
      </c>
      <c r="C4304" s="3">
        <v>41735</v>
      </c>
      <c r="D4304" t="s">
        <v>39</v>
      </c>
      <c r="E4304">
        <v>8</v>
      </c>
      <c r="F4304" s="3">
        <f ca="1">41736+(RANDBETWEEN(1,10))</f>
        <v>41739</v>
      </c>
      <c r="G4304" t="s">
        <v>26</v>
      </c>
      <c r="H4304" t="s">
        <v>27</v>
      </c>
      <c r="I4304" t="s">
        <v>28</v>
      </c>
      <c r="J4304">
        <v>460.07499999999999</v>
      </c>
      <c r="K4304">
        <v>0.02</v>
      </c>
      <c r="L4304">
        <v>0.38</v>
      </c>
      <c r="M4304">
        <v>4.8650000000000002</v>
      </c>
      <c r="N4304">
        <v>317.45175</v>
      </c>
      <c r="O4304" s="1" t="s">
        <v>87</v>
      </c>
      <c r="P4304" s="1" t="s">
        <v>9859</v>
      </c>
      <c r="Q4304" s="1" t="s">
        <v>9860</v>
      </c>
      <c r="R4304" s="1" t="s">
        <v>398</v>
      </c>
      <c r="S4304" s="1" t="s">
        <v>9861</v>
      </c>
      <c r="T4304" s="1" t="s">
        <v>9862</v>
      </c>
      <c r="U4304" s="2" t="s">
        <v>2854</v>
      </c>
      <c r="V4304" s="2" t="s">
        <v>47</v>
      </c>
      <c r="W4304" s="2" t="s">
        <v>48</v>
      </c>
      <c r="X4304" s="2">
        <v>54.844999999999999</v>
      </c>
    </row>
    <row r="4305" spans="1:24" x14ac:dyDescent="0.3">
      <c r="A4305">
        <v>22149</v>
      </c>
      <c r="B4305" t="s">
        <v>9858</v>
      </c>
      <c r="C4305" s="3">
        <v>41735</v>
      </c>
      <c r="D4305" t="s">
        <v>39</v>
      </c>
      <c r="E4305">
        <v>10</v>
      </c>
      <c r="F4305" s="3">
        <f ca="1">41735+(RANDBETWEEN(1,10))</f>
        <v>41744</v>
      </c>
      <c r="G4305" t="s">
        <v>76</v>
      </c>
      <c r="H4305" t="s">
        <v>258</v>
      </c>
      <c r="I4305" t="s">
        <v>28</v>
      </c>
      <c r="J4305">
        <v>13976.934999999999</v>
      </c>
      <c r="K4305">
        <v>0.02</v>
      </c>
      <c r="L4305">
        <v>0.36</v>
      </c>
      <c r="M4305">
        <v>168.91</v>
      </c>
      <c r="N4305">
        <v>9644.0851500000008</v>
      </c>
      <c r="O4305" s="1" t="s">
        <v>87</v>
      </c>
      <c r="P4305" s="1" t="s">
        <v>9859</v>
      </c>
      <c r="Q4305" s="1" t="s">
        <v>9860</v>
      </c>
      <c r="R4305" s="1" t="s">
        <v>398</v>
      </c>
      <c r="S4305" s="1" t="s">
        <v>9861</v>
      </c>
      <c r="T4305" s="1" t="s">
        <v>9862</v>
      </c>
      <c r="U4305" s="2" t="s">
        <v>7536</v>
      </c>
      <c r="V4305" s="2" t="s">
        <v>36</v>
      </c>
      <c r="W4305" s="2" t="s">
        <v>142</v>
      </c>
      <c r="X4305" s="2">
        <v>1403.395</v>
      </c>
    </row>
    <row r="4306" spans="1:24" x14ac:dyDescent="0.3">
      <c r="A4306">
        <v>22150</v>
      </c>
      <c r="B4306" t="s">
        <v>9858</v>
      </c>
      <c r="C4306" s="3">
        <v>41735</v>
      </c>
      <c r="D4306" t="s">
        <v>39</v>
      </c>
      <c r="E4306">
        <v>11</v>
      </c>
      <c r="F4306" s="3">
        <f ca="1">41735+(RANDBETWEEN(1,10))</f>
        <v>41737</v>
      </c>
      <c r="G4306" t="s">
        <v>26</v>
      </c>
      <c r="H4306" t="s">
        <v>281</v>
      </c>
      <c r="I4306" t="s">
        <v>28</v>
      </c>
      <c r="J4306">
        <v>927.53499999999997</v>
      </c>
      <c r="K4306">
        <v>0.04</v>
      </c>
      <c r="L4306">
        <v>0.38</v>
      </c>
      <c r="M4306">
        <v>22.05</v>
      </c>
      <c r="N4306">
        <v>639.99914999999999</v>
      </c>
      <c r="O4306" s="1" t="s">
        <v>87</v>
      </c>
      <c r="P4306" s="1" t="s">
        <v>9859</v>
      </c>
      <c r="Q4306" s="1" t="s">
        <v>9860</v>
      </c>
      <c r="R4306" s="1" t="s">
        <v>398</v>
      </c>
      <c r="S4306" s="1" t="s">
        <v>9861</v>
      </c>
      <c r="T4306" s="1" t="s">
        <v>9862</v>
      </c>
      <c r="U4306" s="2" t="s">
        <v>3736</v>
      </c>
      <c r="V4306" s="2" t="s">
        <v>36</v>
      </c>
      <c r="W4306" s="2" t="s">
        <v>142</v>
      </c>
      <c r="X4306" s="2">
        <v>83.965000000000003</v>
      </c>
    </row>
    <row r="4307" spans="1:24" x14ac:dyDescent="0.3">
      <c r="A4307">
        <v>22151</v>
      </c>
      <c r="B4307" t="s">
        <v>9864</v>
      </c>
      <c r="C4307" s="3">
        <v>41181</v>
      </c>
      <c r="D4307" t="s">
        <v>39</v>
      </c>
      <c r="E4307">
        <v>13</v>
      </c>
      <c r="F4307" s="3">
        <f ca="1">41183+(RANDBETWEEN(1,10))</f>
        <v>41188</v>
      </c>
      <c r="G4307" t="s">
        <v>76</v>
      </c>
      <c r="H4307" t="s">
        <v>77</v>
      </c>
      <c r="I4307" t="s">
        <v>52</v>
      </c>
      <c r="J4307">
        <v>4113.4449999999997</v>
      </c>
      <c r="K4307">
        <v>0.09</v>
      </c>
      <c r="L4307">
        <v>0.38</v>
      </c>
      <c r="M4307">
        <v>98</v>
      </c>
      <c r="N4307">
        <v>1454.425</v>
      </c>
      <c r="O4307" s="1" t="s">
        <v>53</v>
      </c>
      <c r="P4307" s="1" t="s">
        <v>9865</v>
      </c>
      <c r="Q4307" s="1" t="s">
        <v>9866</v>
      </c>
      <c r="R4307" s="1" t="s">
        <v>56</v>
      </c>
      <c r="S4307" s="1" t="s">
        <v>9867</v>
      </c>
      <c r="T4307" s="1" t="s">
        <v>9868</v>
      </c>
      <c r="U4307" s="2" t="s">
        <v>4632</v>
      </c>
      <c r="V4307" s="2" t="s">
        <v>36</v>
      </c>
      <c r="W4307" s="2" t="s">
        <v>142</v>
      </c>
      <c r="X4307" s="2">
        <v>318.39499999999998</v>
      </c>
    </row>
    <row r="4308" spans="1:24" x14ac:dyDescent="0.3">
      <c r="A4308">
        <v>22152</v>
      </c>
      <c r="B4308" t="s">
        <v>9869</v>
      </c>
      <c r="C4308" s="3">
        <v>41685</v>
      </c>
      <c r="D4308" t="s">
        <v>148</v>
      </c>
      <c r="E4308">
        <v>10</v>
      </c>
      <c r="F4308" s="3">
        <f ca="1">41686+(RANDBETWEEN(1,10))</f>
        <v>41689</v>
      </c>
      <c r="G4308" t="s">
        <v>76</v>
      </c>
      <c r="H4308" t="s">
        <v>258</v>
      </c>
      <c r="I4308" t="s">
        <v>52</v>
      </c>
      <c r="J4308">
        <v>11696.86</v>
      </c>
      <c r="K4308">
        <v>0</v>
      </c>
      <c r="L4308">
        <v>0.66</v>
      </c>
      <c r="M4308">
        <v>102.2</v>
      </c>
      <c r="N4308">
        <v>-2712.1174080000001</v>
      </c>
      <c r="O4308" s="1" t="s">
        <v>40</v>
      </c>
      <c r="P4308" s="1" t="s">
        <v>9870</v>
      </c>
      <c r="Q4308" s="1" t="s">
        <v>9871</v>
      </c>
      <c r="R4308" s="1" t="s">
        <v>43</v>
      </c>
      <c r="S4308" s="1" t="s">
        <v>6085</v>
      </c>
      <c r="T4308" s="1" t="s">
        <v>6086</v>
      </c>
      <c r="U4308" s="2" t="s">
        <v>3999</v>
      </c>
      <c r="V4308" s="2" t="s">
        <v>83</v>
      </c>
      <c r="W4308" s="2" t="s">
        <v>263</v>
      </c>
      <c r="X4308" s="2">
        <v>1122.24</v>
      </c>
    </row>
    <row r="4309" spans="1:24" x14ac:dyDescent="0.3">
      <c r="A4309">
        <v>22153</v>
      </c>
      <c r="B4309" t="s">
        <v>9869</v>
      </c>
      <c r="C4309" s="3">
        <v>41685</v>
      </c>
      <c r="D4309" t="s">
        <v>148</v>
      </c>
      <c r="E4309">
        <v>8</v>
      </c>
      <c r="F4309" s="3">
        <f ca="1">41687+(RANDBETWEEN(1,10))</f>
        <v>41690</v>
      </c>
      <c r="G4309" t="s">
        <v>26</v>
      </c>
      <c r="H4309" t="s">
        <v>281</v>
      </c>
      <c r="I4309" t="s">
        <v>52</v>
      </c>
      <c r="J4309">
        <v>186.34</v>
      </c>
      <c r="K4309">
        <v>0.05</v>
      </c>
      <c r="L4309">
        <v>0.6</v>
      </c>
      <c r="M4309">
        <v>17.605</v>
      </c>
      <c r="N4309">
        <v>-391.93</v>
      </c>
      <c r="O4309" s="1" t="s">
        <v>64</v>
      </c>
      <c r="P4309" s="1" t="s">
        <v>9872</v>
      </c>
      <c r="Q4309" s="1" t="s">
        <v>9873</v>
      </c>
      <c r="R4309" s="1" t="s">
        <v>128</v>
      </c>
      <c r="S4309" s="1" t="s">
        <v>1686</v>
      </c>
      <c r="T4309" s="1" t="s">
        <v>1687</v>
      </c>
      <c r="U4309" s="2" t="s">
        <v>408</v>
      </c>
      <c r="V4309" s="2" t="s">
        <v>36</v>
      </c>
      <c r="W4309" s="2" t="s">
        <v>37</v>
      </c>
      <c r="X4309" s="2">
        <v>27.965</v>
      </c>
    </row>
    <row r="4310" spans="1:24" x14ac:dyDescent="0.3">
      <c r="A4310">
        <v>22154</v>
      </c>
      <c r="B4310" t="s">
        <v>9874</v>
      </c>
      <c r="C4310" s="3">
        <v>40961</v>
      </c>
      <c r="D4310" t="s">
        <v>39</v>
      </c>
      <c r="E4310">
        <v>12</v>
      </c>
      <c r="F4310" s="3">
        <f ca="1">40963+(RANDBETWEEN(1,10))</f>
        <v>40973</v>
      </c>
      <c r="G4310" t="s">
        <v>26</v>
      </c>
      <c r="H4310" t="s">
        <v>51</v>
      </c>
      <c r="I4310" t="s">
        <v>97</v>
      </c>
      <c r="J4310">
        <v>201.53</v>
      </c>
      <c r="K4310">
        <v>0.09</v>
      </c>
      <c r="L4310">
        <v>0.52</v>
      </c>
      <c r="M4310">
        <v>10.675000000000001</v>
      </c>
      <c r="N4310">
        <v>-103.67</v>
      </c>
      <c r="O4310" s="1" t="s">
        <v>53</v>
      </c>
      <c r="P4310" s="1" t="s">
        <v>2306</v>
      </c>
      <c r="Q4310" s="1" t="s">
        <v>2307</v>
      </c>
      <c r="R4310" s="1" t="s">
        <v>100</v>
      </c>
      <c r="S4310" s="1" t="s">
        <v>2308</v>
      </c>
      <c r="T4310" s="1" t="s">
        <v>2309</v>
      </c>
      <c r="U4310" s="2" t="s">
        <v>9086</v>
      </c>
      <c r="V4310" s="2" t="s">
        <v>83</v>
      </c>
      <c r="W4310" s="2" t="s">
        <v>178</v>
      </c>
      <c r="X4310" s="2">
        <v>17.184999999999999</v>
      </c>
    </row>
    <row r="4311" spans="1:24" x14ac:dyDescent="0.3">
      <c r="A4311">
        <v>22155</v>
      </c>
      <c r="B4311" t="s">
        <v>9874</v>
      </c>
      <c r="C4311" s="3">
        <v>40961</v>
      </c>
      <c r="D4311" t="s">
        <v>39</v>
      </c>
      <c r="E4311">
        <v>1</v>
      </c>
      <c r="F4311" s="3">
        <f ca="1">40964+(RANDBETWEEN(1,10))</f>
        <v>40970</v>
      </c>
      <c r="G4311" t="s">
        <v>76</v>
      </c>
      <c r="H4311" t="s">
        <v>258</v>
      </c>
      <c r="I4311" t="s">
        <v>97</v>
      </c>
      <c r="J4311">
        <v>3175.9349999999999</v>
      </c>
      <c r="K4311">
        <v>0</v>
      </c>
      <c r="L4311">
        <v>0.62</v>
      </c>
      <c r="M4311">
        <v>155.92500000000001</v>
      </c>
      <c r="N4311">
        <v>-3950.31</v>
      </c>
      <c r="O4311" s="1" t="s">
        <v>40</v>
      </c>
      <c r="P4311" s="1" t="s">
        <v>9875</v>
      </c>
      <c r="Q4311" s="1" t="s">
        <v>9876</v>
      </c>
      <c r="R4311" s="1" t="s">
        <v>43</v>
      </c>
      <c r="S4311" s="1" t="s">
        <v>9055</v>
      </c>
      <c r="T4311" s="1" t="s">
        <v>9056</v>
      </c>
      <c r="U4311" s="2" t="s">
        <v>1930</v>
      </c>
      <c r="V4311" s="2" t="s">
        <v>83</v>
      </c>
      <c r="W4311" s="2" t="s">
        <v>298</v>
      </c>
      <c r="X4311" s="2">
        <v>3083.43</v>
      </c>
    </row>
    <row r="4312" spans="1:24" x14ac:dyDescent="0.3">
      <c r="A4312">
        <v>22156</v>
      </c>
      <c r="B4312" t="s">
        <v>9877</v>
      </c>
      <c r="C4312" s="3">
        <v>41738</v>
      </c>
      <c r="D4312" t="s">
        <v>39</v>
      </c>
      <c r="E4312">
        <v>4</v>
      </c>
      <c r="F4312" s="3">
        <f ca="1">41741+(RANDBETWEEN(1,10))</f>
        <v>41744</v>
      </c>
      <c r="G4312" t="s">
        <v>26</v>
      </c>
      <c r="H4312" t="s">
        <v>96</v>
      </c>
      <c r="I4312" t="s">
        <v>52</v>
      </c>
      <c r="J4312">
        <v>254.69499999999999</v>
      </c>
      <c r="K4312">
        <v>0.01</v>
      </c>
      <c r="L4312">
        <v>0.56999999999999995</v>
      </c>
      <c r="M4312">
        <v>3.4649999999999999</v>
      </c>
      <c r="N4312">
        <v>142.75800000000001</v>
      </c>
      <c r="O4312" s="1" t="s">
        <v>87</v>
      </c>
      <c r="P4312" s="1" t="s">
        <v>4135</v>
      </c>
      <c r="Q4312" s="1" t="s">
        <v>4136</v>
      </c>
      <c r="R4312" s="1" t="s">
        <v>646</v>
      </c>
      <c r="S4312" s="1" t="s">
        <v>933</v>
      </c>
      <c r="T4312" s="1" t="s">
        <v>934</v>
      </c>
      <c r="U4312" s="2" t="s">
        <v>5426</v>
      </c>
      <c r="V4312" s="2" t="s">
        <v>36</v>
      </c>
      <c r="W4312" s="2" t="s">
        <v>37</v>
      </c>
      <c r="X4312" s="2">
        <v>73.465000000000003</v>
      </c>
    </row>
    <row r="4313" spans="1:24" x14ac:dyDescent="0.3">
      <c r="A4313">
        <v>22157</v>
      </c>
      <c r="B4313" t="s">
        <v>9878</v>
      </c>
      <c r="C4313" s="3">
        <v>41175</v>
      </c>
      <c r="D4313" t="s">
        <v>50</v>
      </c>
      <c r="E4313">
        <v>9</v>
      </c>
      <c r="F4313" s="3">
        <f ca="1">41177+(RANDBETWEEN(1,10))</f>
        <v>41187</v>
      </c>
      <c r="G4313" t="s">
        <v>76</v>
      </c>
      <c r="H4313" t="s">
        <v>258</v>
      </c>
      <c r="I4313" t="s">
        <v>86</v>
      </c>
      <c r="J4313">
        <v>2338.98</v>
      </c>
      <c r="K4313">
        <v>0.04</v>
      </c>
      <c r="L4313" t="s">
        <v>182</v>
      </c>
      <c r="M4313">
        <v>93.974999999999994</v>
      </c>
      <c r="N4313">
        <v>2.2490999999999999</v>
      </c>
      <c r="O4313" s="1" t="s">
        <v>29</v>
      </c>
      <c r="P4313" s="1" t="s">
        <v>9879</v>
      </c>
      <c r="Q4313" s="1" t="s">
        <v>9880</v>
      </c>
      <c r="R4313" s="1" t="s">
        <v>460</v>
      </c>
      <c r="S4313" s="1" t="s">
        <v>9881</v>
      </c>
      <c r="T4313" s="1" t="s">
        <v>9882</v>
      </c>
      <c r="U4313" s="2" t="s">
        <v>9883</v>
      </c>
      <c r="V4313" s="2" t="s">
        <v>83</v>
      </c>
      <c r="W4313" s="2" t="s">
        <v>298</v>
      </c>
      <c r="X4313" s="2">
        <v>248.43</v>
      </c>
    </row>
    <row r="4314" spans="1:24" x14ac:dyDescent="0.3">
      <c r="A4314">
        <v>22158</v>
      </c>
      <c r="B4314" t="s">
        <v>9878</v>
      </c>
      <c r="C4314" s="3">
        <v>41175</v>
      </c>
      <c r="D4314" t="s">
        <v>50</v>
      </c>
      <c r="E4314">
        <v>15</v>
      </c>
      <c r="F4314" s="3">
        <f ca="1">41175+(RANDBETWEEN(1,10))</f>
        <v>41179</v>
      </c>
      <c r="G4314" t="s">
        <v>26</v>
      </c>
      <c r="H4314" t="s">
        <v>27</v>
      </c>
      <c r="I4314" t="s">
        <v>86</v>
      </c>
      <c r="J4314">
        <v>1870.19</v>
      </c>
      <c r="K4314">
        <v>0.1</v>
      </c>
      <c r="L4314">
        <v>0.36</v>
      </c>
      <c r="M4314">
        <v>46.41</v>
      </c>
      <c r="N4314">
        <v>-583.50424999999996</v>
      </c>
      <c r="O4314" s="1" t="s">
        <v>29</v>
      </c>
      <c r="P4314" s="1" t="s">
        <v>9879</v>
      </c>
      <c r="Q4314" s="1" t="s">
        <v>9880</v>
      </c>
      <c r="R4314" s="1" t="s">
        <v>460</v>
      </c>
      <c r="S4314" s="1" t="s">
        <v>9881</v>
      </c>
      <c r="T4314" s="1" t="s">
        <v>9882</v>
      </c>
      <c r="U4314" s="2" t="s">
        <v>2065</v>
      </c>
      <c r="V4314" s="2" t="s">
        <v>47</v>
      </c>
      <c r="W4314" s="2" t="s">
        <v>74</v>
      </c>
      <c r="X4314" s="2">
        <v>135.66</v>
      </c>
    </row>
    <row r="4315" spans="1:24" x14ac:dyDescent="0.3">
      <c r="A4315">
        <v>22159</v>
      </c>
      <c r="B4315" t="s">
        <v>9884</v>
      </c>
      <c r="C4315" s="3">
        <v>42000</v>
      </c>
      <c r="D4315" t="s">
        <v>148</v>
      </c>
      <c r="E4315">
        <v>11</v>
      </c>
      <c r="F4315" s="3">
        <f ca="1">42001+(RANDBETWEEN(1,10))</f>
        <v>42010</v>
      </c>
      <c r="G4315" t="s">
        <v>156</v>
      </c>
      <c r="H4315" t="s">
        <v>96</v>
      </c>
      <c r="I4315" t="s">
        <v>97</v>
      </c>
      <c r="J4315">
        <v>79.135000000000005</v>
      </c>
      <c r="K4315">
        <v>0.02</v>
      </c>
      <c r="L4315">
        <v>0.56000000000000005</v>
      </c>
      <c r="M4315">
        <v>2.4500000000000002</v>
      </c>
      <c r="N4315">
        <v>26.84864</v>
      </c>
      <c r="O4315" s="1" t="s">
        <v>40</v>
      </c>
      <c r="P4315" s="1" t="s">
        <v>9885</v>
      </c>
      <c r="Q4315" s="1" t="s">
        <v>9886</v>
      </c>
      <c r="R4315" s="1" t="s">
        <v>220</v>
      </c>
      <c r="S4315" s="1" t="s">
        <v>9887</v>
      </c>
      <c r="T4315" s="1" t="s">
        <v>9888</v>
      </c>
      <c r="U4315" s="2" t="s">
        <v>873</v>
      </c>
      <c r="V4315" s="2" t="s">
        <v>47</v>
      </c>
      <c r="W4315" s="2" t="s">
        <v>104</v>
      </c>
      <c r="X4315" s="2">
        <v>6.16</v>
      </c>
    </row>
    <row r="4316" spans="1:24" x14ac:dyDescent="0.3">
      <c r="A4316">
        <v>22160</v>
      </c>
      <c r="B4316" t="s">
        <v>9889</v>
      </c>
      <c r="C4316" s="3">
        <v>41439</v>
      </c>
      <c r="D4316" t="s">
        <v>62</v>
      </c>
      <c r="E4316">
        <v>19</v>
      </c>
      <c r="F4316" s="3">
        <f ca="1">41441+(RANDBETWEEN(1,10))</f>
        <v>41450</v>
      </c>
      <c r="G4316" t="s">
        <v>26</v>
      </c>
      <c r="H4316" t="s">
        <v>27</v>
      </c>
      <c r="I4316" t="s">
        <v>52</v>
      </c>
      <c r="J4316">
        <v>319.69</v>
      </c>
      <c r="K4316">
        <v>0.01</v>
      </c>
      <c r="L4316">
        <v>0.35</v>
      </c>
      <c r="M4316">
        <v>5.2149999999999999</v>
      </c>
      <c r="N4316">
        <v>220.58609999999999</v>
      </c>
      <c r="O4316" s="1" t="s">
        <v>53</v>
      </c>
      <c r="P4316" s="1" t="s">
        <v>9890</v>
      </c>
      <c r="Q4316" s="1" t="s">
        <v>9891</v>
      </c>
      <c r="R4316" s="1" t="s">
        <v>100</v>
      </c>
      <c r="S4316" s="1" t="s">
        <v>9892</v>
      </c>
      <c r="T4316" s="1" t="s">
        <v>9893</v>
      </c>
      <c r="U4316" s="2" t="s">
        <v>5253</v>
      </c>
      <c r="V4316" s="2" t="s">
        <v>47</v>
      </c>
      <c r="W4316" s="2" t="s">
        <v>111</v>
      </c>
      <c r="X4316" s="2">
        <v>15.925000000000001</v>
      </c>
    </row>
    <row r="4317" spans="1:24" x14ac:dyDescent="0.3">
      <c r="A4317">
        <v>22161</v>
      </c>
      <c r="B4317" t="s">
        <v>9889</v>
      </c>
      <c r="C4317" s="3">
        <v>41439</v>
      </c>
      <c r="D4317" t="s">
        <v>62</v>
      </c>
      <c r="E4317">
        <v>3</v>
      </c>
      <c r="F4317" s="3">
        <f ca="1">41440+(RANDBETWEEN(1,10))</f>
        <v>41443</v>
      </c>
      <c r="G4317" t="s">
        <v>26</v>
      </c>
      <c r="H4317" t="s">
        <v>27</v>
      </c>
      <c r="I4317" t="s">
        <v>52</v>
      </c>
      <c r="J4317">
        <v>21.454999999999998</v>
      </c>
      <c r="K4317">
        <v>0.05</v>
      </c>
      <c r="L4317">
        <v>0.37</v>
      </c>
      <c r="M4317">
        <v>5.2149999999999999</v>
      </c>
      <c r="N4317">
        <v>-15.745799999999999</v>
      </c>
      <c r="O4317" s="1" t="s">
        <v>53</v>
      </c>
      <c r="P4317" s="1" t="s">
        <v>9890</v>
      </c>
      <c r="Q4317" s="1" t="s">
        <v>9891</v>
      </c>
      <c r="R4317" s="1" t="s">
        <v>100</v>
      </c>
      <c r="S4317" s="1" t="s">
        <v>9892</v>
      </c>
      <c r="T4317" s="1" t="s">
        <v>9893</v>
      </c>
      <c r="U4317" s="2" t="s">
        <v>4275</v>
      </c>
      <c r="V4317" s="2" t="s">
        <v>47</v>
      </c>
      <c r="W4317" s="2" t="s">
        <v>111</v>
      </c>
      <c r="X4317" s="2">
        <v>6.58</v>
      </c>
    </row>
    <row r="4318" spans="1:24" x14ac:dyDescent="0.3">
      <c r="A4318">
        <v>22162</v>
      </c>
      <c r="B4318" t="s">
        <v>9894</v>
      </c>
      <c r="C4318" s="3">
        <v>41679</v>
      </c>
      <c r="D4318" t="s">
        <v>25</v>
      </c>
      <c r="E4318">
        <v>4</v>
      </c>
      <c r="F4318" s="3">
        <f ca="1">41681+(RANDBETWEEN(1,10))</f>
        <v>41683</v>
      </c>
      <c r="G4318" t="s">
        <v>76</v>
      </c>
      <c r="H4318" t="s">
        <v>258</v>
      </c>
      <c r="I4318" t="s">
        <v>52</v>
      </c>
      <c r="J4318">
        <v>3049.62</v>
      </c>
      <c r="K4318">
        <v>0.04</v>
      </c>
      <c r="L4318">
        <v>0.66</v>
      </c>
      <c r="M4318">
        <v>124.845</v>
      </c>
      <c r="N4318">
        <v>-2376.6552809999998</v>
      </c>
      <c r="O4318" s="1" t="s">
        <v>40</v>
      </c>
      <c r="P4318" s="1" t="s">
        <v>9801</v>
      </c>
      <c r="Q4318" s="1" t="s">
        <v>9802</v>
      </c>
      <c r="R4318" s="1" t="s">
        <v>43</v>
      </c>
      <c r="S4318" s="1" t="s">
        <v>9803</v>
      </c>
      <c r="T4318" s="1" t="s">
        <v>9804</v>
      </c>
      <c r="U4318" s="2" t="s">
        <v>1073</v>
      </c>
      <c r="V4318" s="2" t="s">
        <v>83</v>
      </c>
      <c r="W4318" s="2" t="s">
        <v>263</v>
      </c>
      <c r="X4318" s="2">
        <v>983.43</v>
      </c>
    </row>
    <row r="4319" spans="1:24" x14ac:dyDescent="0.3">
      <c r="A4319">
        <v>22163</v>
      </c>
      <c r="B4319" t="s">
        <v>9894</v>
      </c>
      <c r="C4319" s="3">
        <v>41679</v>
      </c>
      <c r="D4319" t="s">
        <v>25</v>
      </c>
      <c r="E4319">
        <v>10</v>
      </c>
      <c r="F4319" s="3">
        <f ca="1">41684+(RANDBETWEEN(1,10))</f>
        <v>41689</v>
      </c>
      <c r="G4319" t="s">
        <v>26</v>
      </c>
      <c r="H4319" t="s">
        <v>27</v>
      </c>
      <c r="I4319" t="s">
        <v>52</v>
      </c>
      <c r="J4319">
        <v>1088.3599999999999</v>
      </c>
      <c r="K4319">
        <v>0.05</v>
      </c>
      <c r="L4319">
        <v>0.55000000000000004</v>
      </c>
      <c r="M4319">
        <v>3.85</v>
      </c>
      <c r="N4319">
        <v>750.96839999999997</v>
      </c>
      <c r="O4319" s="1" t="s">
        <v>40</v>
      </c>
      <c r="P4319" s="1" t="s">
        <v>9801</v>
      </c>
      <c r="Q4319" s="1" t="s">
        <v>9802</v>
      </c>
      <c r="R4319" s="1" t="s">
        <v>43</v>
      </c>
      <c r="S4319" s="1" t="s">
        <v>9803</v>
      </c>
      <c r="T4319" s="1" t="s">
        <v>9804</v>
      </c>
      <c r="U4319" s="2" t="s">
        <v>1451</v>
      </c>
      <c r="V4319" s="2" t="s">
        <v>36</v>
      </c>
      <c r="W4319" s="2" t="s">
        <v>37</v>
      </c>
      <c r="X4319" s="2">
        <v>125.965</v>
      </c>
    </row>
    <row r="4320" spans="1:24" x14ac:dyDescent="0.3">
      <c r="A4320">
        <v>22164</v>
      </c>
      <c r="B4320" t="s">
        <v>9895</v>
      </c>
      <c r="C4320" s="3">
        <v>41379</v>
      </c>
      <c r="D4320" t="s">
        <v>62</v>
      </c>
      <c r="E4320">
        <v>6</v>
      </c>
      <c r="F4320" s="3">
        <f ca="1">41381+(RANDBETWEEN(1,10))</f>
        <v>41384</v>
      </c>
      <c r="G4320" t="s">
        <v>76</v>
      </c>
      <c r="H4320" t="s">
        <v>258</v>
      </c>
      <c r="I4320" t="s">
        <v>97</v>
      </c>
      <c r="J4320">
        <v>5845.5950000000003</v>
      </c>
      <c r="K4320">
        <v>0.01</v>
      </c>
      <c r="L4320">
        <v>0.59</v>
      </c>
      <c r="M4320">
        <v>146.685</v>
      </c>
      <c r="N4320">
        <v>4033.4605499999998</v>
      </c>
      <c r="O4320" s="1" t="s">
        <v>64</v>
      </c>
      <c r="P4320" s="1" t="s">
        <v>9543</v>
      </c>
      <c r="Q4320" s="1" t="s">
        <v>9544</v>
      </c>
      <c r="R4320" s="1" t="s">
        <v>128</v>
      </c>
      <c r="S4320" s="1" t="s">
        <v>2117</v>
      </c>
      <c r="T4320" s="1" t="s">
        <v>1313</v>
      </c>
      <c r="U4320" s="2" t="s">
        <v>1985</v>
      </c>
      <c r="V4320" s="2" t="s">
        <v>83</v>
      </c>
      <c r="W4320" s="2" t="s">
        <v>298</v>
      </c>
      <c r="X4320" s="2">
        <v>913.43</v>
      </c>
    </row>
    <row r="4321" spans="1:24" x14ac:dyDescent="0.3">
      <c r="A4321">
        <v>22165</v>
      </c>
      <c r="B4321" t="s">
        <v>9896</v>
      </c>
      <c r="C4321" s="3">
        <v>41889</v>
      </c>
      <c r="D4321" t="s">
        <v>148</v>
      </c>
      <c r="E4321">
        <v>3</v>
      </c>
      <c r="F4321" s="3">
        <f ca="1">41891+(RANDBETWEEN(1,10))</f>
        <v>41899</v>
      </c>
      <c r="G4321" t="s">
        <v>76</v>
      </c>
      <c r="H4321" t="s">
        <v>77</v>
      </c>
      <c r="I4321" t="s">
        <v>52</v>
      </c>
      <c r="J4321">
        <v>1040.165</v>
      </c>
      <c r="K4321">
        <v>0.05</v>
      </c>
      <c r="L4321">
        <v>0.56999999999999995</v>
      </c>
      <c r="M4321">
        <v>54.81</v>
      </c>
      <c r="N4321">
        <v>-234.19059999999999</v>
      </c>
      <c r="O4321" s="1" t="s">
        <v>64</v>
      </c>
      <c r="P4321" s="1" t="s">
        <v>9897</v>
      </c>
      <c r="Q4321" s="1" t="s">
        <v>9898</v>
      </c>
      <c r="R4321" s="1" t="s">
        <v>67</v>
      </c>
      <c r="S4321" s="1" t="s">
        <v>9899</v>
      </c>
      <c r="T4321" s="1" t="s">
        <v>9900</v>
      </c>
      <c r="U4321" s="2" t="s">
        <v>2461</v>
      </c>
      <c r="V4321" s="2" t="s">
        <v>47</v>
      </c>
      <c r="W4321" s="2" t="s">
        <v>71</v>
      </c>
      <c r="X4321" s="2">
        <v>353.43</v>
      </c>
    </row>
    <row r="4322" spans="1:24" x14ac:dyDescent="0.3">
      <c r="A4322">
        <v>22166</v>
      </c>
      <c r="B4322" t="s">
        <v>9896</v>
      </c>
      <c r="C4322" s="3">
        <v>41889</v>
      </c>
      <c r="D4322" t="s">
        <v>148</v>
      </c>
      <c r="E4322">
        <v>6</v>
      </c>
      <c r="F4322" s="3">
        <f ca="1">41891+(RANDBETWEEN(1,10))</f>
        <v>41895</v>
      </c>
      <c r="G4322" t="s">
        <v>76</v>
      </c>
      <c r="H4322" t="s">
        <v>258</v>
      </c>
      <c r="I4322" t="s">
        <v>52</v>
      </c>
      <c r="J4322">
        <v>4741.2749999999996</v>
      </c>
      <c r="K4322">
        <v>7.0000000000000007E-2</v>
      </c>
      <c r="L4322">
        <v>0.62</v>
      </c>
      <c r="M4322">
        <v>226.31</v>
      </c>
      <c r="N4322">
        <v>-569.19939999999997</v>
      </c>
      <c r="O4322" s="1" t="s">
        <v>64</v>
      </c>
      <c r="P4322" s="1" t="s">
        <v>9897</v>
      </c>
      <c r="Q4322" s="1" t="s">
        <v>9898</v>
      </c>
      <c r="R4322" s="1" t="s">
        <v>67</v>
      </c>
      <c r="S4322" s="1" t="s">
        <v>9899</v>
      </c>
      <c r="T4322" s="1" t="s">
        <v>9900</v>
      </c>
      <c r="U4322" s="2" t="s">
        <v>1292</v>
      </c>
      <c r="V4322" s="2" t="s">
        <v>83</v>
      </c>
      <c r="W4322" s="2" t="s">
        <v>298</v>
      </c>
      <c r="X4322" s="2">
        <v>773.43</v>
      </c>
    </row>
    <row r="4323" spans="1:24" x14ac:dyDescent="0.3">
      <c r="A4323">
        <v>22167</v>
      </c>
      <c r="B4323" t="s">
        <v>9896</v>
      </c>
      <c r="C4323" s="3">
        <v>41889</v>
      </c>
      <c r="D4323" t="s">
        <v>148</v>
      </c>
      <c r="E4323">
        <v>14</v>
      </c>
      <c r="F4323" s="3">
        <f ca="1">41891+(RANDBETWEEN(1,10))</f>
        <v>41899</v>
      </c>
      <c r="G4323" t="s">
        <v>26</v>
      </c>
      <c r="H4323" t="s">
        <v>27</v>
      </c>
      <c r="I4323" t="s">
        <v>52</v>
      </c>
      <c r="J4323">
        <v>1823.1849999999999</v>
      </c>
      <c r="K4323">
        <v>0.03</v>
      </c>
      <c r="L4323">
        <v>0.38</v>
      </c>
      <c r="M4323">
        <v>69.965000000000003</v>
      </c>
      <c r="N4323">
        <v>100.6992</v>
      </c>
      <c r="O4323" s="1" t="s">
        <v>64</v>
      </c>
      <c r="P4323" s="1" t="s">
        <v>9897</v>
      </c>
      <c r="Q4323" s="1" t="s">
        <v>9898</v>
      </c>
      <c r="R4323" s="1" t="s">
        <v>67</v>
      </c>
      <c r="S4323" s="1" t="s">
        <v>9899</v>
      </c>
      <c r="T4323" s="1" t="s">
        <v>9900</v>
      </c>
      <c r="U4323" s="2" t="s">
        <v>3329</v>
      </c>
      <c r="V4323" s="2" t="s">
        <v>47</v>
      </c>
      <c r="W4323" s="2" t="s">
        <v>74</v>
      </c>
      <c r="X4323" s="2">
        <v>124.04</v>
      </c>
    </row>
    <row r="4324" spans="1:24" x14ac:dyDescent="0.3">
      <c r="A4324">
        <v>22168</v>
      </c>
      <c r="B4324" t="s">
        <v>9901</v>
      </c>
      <c r="C4324" s="3">
        <v>41901</v>
      </c>
      <c r="D4324" t="s">
        <v>25</v>
      </c>
      <c r="E4324">
        <v>16</v>
      </c>
      <c r="F4324" s="3">
        <f ca="1">41910+(RANDBETWEEN(1,10))</f>
        <v>41920</v>
      </c>
      <c r="G4324" t="s">
        <v>156</v>
      </c>
      <c r="H4324" t="s">
        <v>27</v>
      </c>
      <c r="I4324" t="s">
        <v>97</v>
      </c>
      <c r="J4324">
        <v>594.65</v>
      </c>
      <c r="K4324">
        <v>0.08</v>
      </c>
      <c r="L4324">
        <v>0.59</v>
      </c>
      <c r="M4324">
        <v>15.75</v>
      </c>
      <c r="N4324">
        <v>-99.723399999999998</v>
      </c>
      <c r="O4324" s="1" t="s">
        <v>53</v>
      </c>
      <c r="P4324" s="1" t="s">
        <v>9902</v>
      </c>
      <c r="Q4324" s="1" t="s">
        <v>9903</v>
      </c>
      <c r="R4324" s="1" t="s">
        <v>440</v>
      </c>
      <c r="S4324" s="1" t="s">
        <v>6643</v>
      </c>
      <c r="T4324" s="1" t="s">
        <v>6644</v>
      </c>
      <c r="U4324" s="2" t="s">
        <v>767</v>
      </c>
      <c r="V4324" s="2" t="s">
        <v>47</v>
      </c>
      <c r="W4324" s="2" t="s">
        <v>71</v>
      </c>
      <c r="X4324" s="2">
        <v>38.115000000000002</v>
      </c>
    </row>
    <row r="4325" spans="1:24" x14ac:dyDescent="0.3">
      <c r="A4325">
        <v>22169</v>
      </c>
      <c r="B4325" t="s">
        <v>9904</v>
      </c>
      <c r="C4325" s="3">
        <v>41387</v>
      </c>
      <c r="D4325" t="s">
        <v>39</v>
      </c>
      <c r="E4325">
        <v>7</v>
      </c>
      <c r="F4325" s="3">
        <f ca="1">41388+(RANDBETWEEN(1,10))</f>
        <v>41398</v>
      </c>
      <c r="G4325" t="s">
        <v>26</v>
      </c>
      <c r="H4325" t="s">
        <v>27</v>
      </c>
      <c r="I4325" t="s">
        <v>28</v>
      </c>
      <c r="J4325">
        <v>227.85</v>
      </c>
      <c r="K4325">
        <v>0.1</v>
      </c>
      <c r="L4325">
        <v>0.39</v>
      </c>
      <c r="M4325">
        <v>4.8650000000000002</v>
      </c>
      <c r="N4325">
        <v>-219.81399999999999</v>
      </c>
      <c r="O4325" s="1" t="s">
        <v>64</v>
      </c>
      <c r="P4325" s="1" t="s">
        <v>9151</v>
      </c>
      <c r="Q4325" s="1" t="s">
        <v>9152</v>
      </c>
      <c r="R4325" s="1" t="s">
        <v>67</v>
      </c>
      <c r="S4325" s="1" t="s">
        <v>4655</v>
      </c>
      <c r="T4325" s="1" t="s">
        <v>4656</v>
      </c>
      <c r="U4325" s="2" t="s">
        <v>2681</v>
      </c>
      <c r="V4325" s="2" t="s">
        <v>47</v>
      </c>
      <c r="W4325" s="2" t="s">
        <v>48</v>
      </c>
      <c r="X4325" s="2">
        <v>34.229999999999997</v>
      </c>
    </row>
    <row r="4326" spans="1:24" x14ac:dyDescent="0.3">
      <c r="A4326">
        <v>22170</v>
      </c>
      <c r="B4326" t="s">
        <v>9905</v>
      </c>
      <c r="C4326" s="3">
        <v>41458</v>
      </c>
      <c r="D4326" t="s">
        <v>39</v>
      </c>
      <c r="E4326">
        <v>16</v>
      </c>
      <c r="F4326" s="3">
        <f ca="1">41459+(RANDBETWEEN(1,10))</f>
        <v>41463</v>
      </c>
      <c r="G4326" t="s">
        <v>26</v>
      </c>
      <c r="H4326" t="s">
        <v>63</v>
      </c>
      <c r="I4326" t="s">
        <v>52</v>
      </c>
      <c r="J4326">
        <v>33747.279999999999</v>
      </c>
      <c r="K4326">
        <v>7.0000000000000007E-2</v>
      </c>
      <c r="L4326">
        <v>0.37</v>
      </c>
      <c r="M4326">
        <v>85.715000000000003</v>
      </c>
      <c r="N4326">
        <v>23285.623200000002</v>
      </c>
      <c r="O4326" s="1" t="s">
        <v>64</v>
      </c>
      <c r="P4326" s="1" t="s">
        <v>9897</v>
      </c>
      <c r="Q4326" s="1" t="s">
        <v>9898</v>
      </c>
      <c r="R4326" s="1" t="s">
        <v>67</v>
      </c>
      <c r="S4326" s="1" t="s">
        <v>9899</v>
      </c>
      <c r="T4326" s="1" t="s">
        <v>9900</v>
      </c>
      <c r="U4326" s="2" t="s">
        <v>1737</v>
      </c>
      <c r="V4326" s="2" t="s">
        <v>36</v>
      </c>
      <c r="W4326" s="2" t="s">
        <v>1327</v>
      </c>
      <c r="X4326" s="2">
        <v>2099.9650000000001</v>
      </c>
    </row>
    <row r="4327" spans="1:24" x14ac:dyDescent="0.3">
      <c r="A4327">
        <v>22171</v>
      </c>
      <c r="B4327" t="s">
        <v>9905</v>
      </c>
      <c r="C4327" s="3">
        <v>41458</v>
      </c>
      <c r="D4327" t="s">
        <v>39</v>
      </c>
      <c r="E4327">
        <v>10</v>
      </c>
      <c r="F4327" s="3">
        <f ca="1">41460+(RANDBETWEEN(1,10))</f>
        <v>41461</v>
      </c>
      <c r="G4327" t="s">
        <v>26</v>
      </c>
      <c r="H4327" t="s">
        <v>27</v>
      </c>
      <c r="I4327" t="s">
        <v>52</v>
      </c>
      <c r="J4327">
        <v>627.76</v>
      </c>
      <c r="K4327">
        <v>0.1</v>
      </c>
      <c r="L4327">
        <v>0.37</v>
      </c>
      <c r="M4327">
        <v>18.234999999999999</v>
      </c>
      <c r="N4327">
        <v>433.15440000000001</v>
      </c>
      <c r="O4327" s="1" t="s">
        <v>64</v>
      </c>
      <c r="P4327" s="1" t="s">
        <v>9897</v>
      </c>
      <c r="Q4327" s="1" t="s">
        <v>9898</v>
      </c>
      <c r="R4327" s="1" t="s">
        <v>67</v>
      </c>
      <c r="S4327" s="1" t="s">
        <v>9899</v>
      </c>
      <c r="T4327" s="1" t="s">
        <v>9900</v>
      </c>
      <c r="U4327" s="2" t="s">
        <v>4606</v>
      </c>
      <c r="V4327" s="2" t="s">
        <v>47</v>
      </c>
      <c r="W4327" s="2" t="s">
        <v>74</v>
      </c>
      <c r="X4327" s="2">
        <v>66.394999999999996</v>
      </c>
    </row>
    <row r="4328" spans="1:24" x14ac:dyDescent="0.3">
      <c r="A4328">
        <v>22172</v>
      </c>
      <c r="B4328" t="s">
        <v>9906</v>
      </c>
      <c r="C4328" s="3">
        <v>41063</v>
      </c>
      <c r="D4328" t="s">
        <v>50</v>
      </c>
      <c r="E4328">
        <v>7</v>
      </c>
      <c r="F4328" s="3">
        <f ca="1">41064+(RANDBETWEEN(1,10))</f>
        <v>41074</v>
      </c>
      <c r="G4328" t="s">
        <v>76</v>
      </c>
      <c r="H4328" t="s">
        <v>258</v>
      </c>
      <c r="I4328" t="s">
        <v>97</v>
      </c>
      <c r="J4328">
        <v>3617.25</v>
      </c>
      <c r="K4328">
        <v>0.1</v>
      </c>
      <c r="L4328">
        <v>0.7</v>
      </c>
      <c r="M4328">
        <v>56.034999999999997</v>
      </c>
      <c r="N4328">
        <v>530.36991</v>
      </c>
      <c r="O4328" s="1" t="s">
        <v>40</v>
      </c>
      <c r="P4328" s="1" t="s">
        <v>9801</v>
      </c>
      <c r="Q4328" s="1" t="s">
        <v>9802</v>
      </c>
      <c r="R4328" s="1" t="s">
        <v>43</v>
      </c>
      <c r="S4328" s="1" t="s">
        <v>9803</v>
      </c>
      <c r="T4328" s="1" t="s">
        <v>9804</v>
      </c>
      <c r="U4328" s="2" t="s">
        <v>342</v>
      </c>
      <c r="V4328" s="2" t="s">
        <v>83</v>
      </c>
      <c r="W4328" s="2" t="s">
        <v>263</v>
      </c>
      <c r="X4328" s="2">
        <v>528.42999999999995</v>
      </c>
    </row>
    <row r="4329" spans="1:24" x14ac:dyDescent="0.3">
      <c r="A4329">
        <v>22173</v>
      </c>
      <c r="B4329" t="s">
        <v>9907</v>
      </c>
      <c r="C4329" s="3">
        <v>41655</v>
      </c>
      <c r="D4329" t="s">
        <v>62</v>
      </c>
      <c r="E4329">
        <v>12</v>
      </c>
      <c r="F4329" s="3">
        <f ca="1">41657+(RANDBETWEEN(1,10))</f>
        <v>41664</v>
      </c>
      <c r="G4329" t="s">
        <v>26</v>
      </c>
      <c r="H4329" t="s">
        <v>27</v>
      </c>
      <c r="I4329" t="s">
        <v>97</v>
      </c>
      <c r="J4329">
        <v>773.78</v>
      </c>
      <c r="K4329">
        <v>0.05</v>
      </c>
      <c r="L4329">
        <v>0.37</v>
      </c>
      <c r="M4329">
        <v>33.39</v>
      </c>
      <c r="N4329">
        <v>112.3584</v>
      </c>
      <c r="O4329" s="1" t="s">
        <v>225</v>
      </c>
      <c r="P4329" s="1" t="s">
        <v>8453</v>
      </c>
      <c r="Q4329" s="1" t="s">
        <v>8454</v>
      </c>
      <c r="R4329" s="1" t="s">
        <v>228</v>
      </c>
      <c r="S4329" s="1" t="s">
        <v>8455</v>
      </c>
      <c r="T4329" s="1" t="s">
        <v>8456</v>
      </c>
      <c r="U4329" s="2" t="s">
        <v>838</v>
      </c>
      <c r="V4329" s="2" t="s">
        <v>47</v>
      </c>
      <c r="W4329" s="2" t="s">
        <v>74</v>
      </c>
      <c r="X4329" s="2">
        <v>66.394999999999996</v>
      </c>
    </row>
    <row r="4330" spans="1:24" x14ac:dyDescent="0.3">
      <c r="A4330">
        <v>22174</v>
      </c>
      <c r="B4330" t="s">
        <v>9908</v>
      </c>
      <c r="C4330" s="3">
        <v>41711</v>
      </c>
      <c r="D4330" t="s">
        <v>148</v>
      </c>
      <c r="E4330">
        <v>5</v>
      </c>
      <c r="F4330" s="3">
        <f ca="1">41713+(RANDBETWEEN(1,10))</f>
        <v>41723</v>
      </c>
      <c r="G4330" t="s">
        <v>26</v>
      </c>
      <c r="H4330" t="s">
        <v>27</v>
      </c>
      <c r="I4330" t="s">
        <v>97</v>
      </c>
      <c r="J4330">
        <v>210.66499999999999</v>
      </c>
      <c r="K4330">
        <v>0.05</v>
      </c>
      <c r="L4330">
        <v>0.38</v>
      </c>
      <c r="M4330">
        <v>17.815000000000001</v>
      </c>
      <c r="N4330">
        <v>73.674999999999997</v>
      </c>
      <c r="O4330" s="1" t="s">
        <v>40</v>
      </c>
      <c r="P4330" s="1" t="s">
        <v>1536</v>
      </c>
      <c r="Q4330" s="1" t="s">
        <v>1537</v>
      </c>
      <c r="R4330" s="1" t="s">
        <v>43</v>
      </c>
      <c r="S4330" s="1" t="s">
        <v>1538</v>
      </c>
      <c r="T4330" s="1" t="s">
        <v>1539</v>
      </c>
      <c r="U4330" s="2" t="s">
        <v>7756</v>
      </c>
      <c r="V4330" s="2" t="s">
        <v>47</v>
      </c>
      <c r="W4330" s="2" t="s">
        <v>74</v>
      </c>
      <c r="X4330" s="2">
        <v>42.98</v>
      </c>
    </row>
    <row r="4331" spans="1:24" x14ac:dyDescent="0.3">
      <c r="A4331">
        <v>22175</v>
      </c>
      <c r="B4331" t="s">
        <v>9909</v>
      </c>
      <c r="C4331" s="3">
        <v>40716</v>
      </c>
      <c r="D4331" t="s">
        <v>62</v>
      </c>
      <c r="E4331">
        <v>4</v>
      </c>
      <c r="F4331" s="3">
        <f ca="1">40717+(RANDBETWEEN(1,10))</f>
        <v>40718</v>
      </c>
      <c r="G4331" t="s">
        <v>26</v>
      </c>
      <c r="H4331" t="s">
        <v>281</v>
      </c>
      <c r="I4331" t="s">
        <v>52</v>
      </c>
      <c r="J4331">
        <v>122.185</v>
      </c>
      <c r="K4331">
        <v>0.01</v>
      </c>
      <c r="L4331">
        <v>0.59</v>
      </c>
      <c r="M4331">
        <v>22.75</v>
      </c>
      <c r="N4331">
        <v>-121.072</v>
      </c>
      <c r="O4331" s="1" t="s">
        <v>53</v>
      </c>
      <c r="P4331" s="1" t="s">
        <v>9890</v>
      </c>
      <c r="Q4331" s="1" t="s">
        <v>9891</v>
      </c>
      <c r="R4331" s="1" t="s">
        <v>100</v>
      </c>
      <c r="S4331" s="1" t="s">
        <v>9892</v>
      </c>
      <c r="T4331" s="1" t="s">
        <v>9893</v>
      </c>
      <c r="U4331" s="2" t="s">
        <v>2913</v>
      </c>
      <c r="V4331" s="2" t="s">
        <v>47</v>
      </c>
      <c r="W4331" s="2" t="s">
        <v>119</v>
      </c>
      <c r="X4331" s="2">
        <v>27.93</v>
      </c>
    </row>
    <row r="4332" spans="1:24" x14ac:dyDescent="0.3">
      <c r="A4332">
        <v>22176</v>
      </c>
      <c r="B4332" t="s">
        <v>9910</v>
      </c>
      <c r="C4332" s="3">
        <v>40688</v>
      </c>
      <c r="D4332" t="s">
        <v>39</v>
      </c>
      <c r="E4332">
        <v>12</v>
      </c>
      <c r="F4332" s="3">
        <f ca="1">40690+(RANDBETWEEN(1,10))</f>
        <v>40695</v>
      </c>
      <c r="G4332" t="s">
        <v>26</v>
      </c>
      <c r="H4332" t="s">
        <v>281</v>
      </c>
      <c r="I4332" t="s">
        <v>97</v>
      </c>
      <c r="J4332">
        <v>738.95500000000004</v>
      </c>
      <c r="K4332">
        <v>0.09</v>
      </c>
      <c r="L4332">
        <v>0.4</v>
      </c>
      <c r="M4332">
        <v>29.785</v>
      </c>
      <c r="N4332">
        <v>-23.141999999999999</v>
      </c>
      <c r="O4332" s="1" t="s">
        <v>29</v>
      </c>
      <c r="P4332" s="1" t="s">
        <v>4723</v>
      </c>
      <c r="Q4332" s="1" t="s">
        <v>4724</v>
      </c>
      <c r="R4332" s="1" t="s">
        <v>460</v>
      </c>
      <c r="S4332" s="1" t="s">
        <v>4725</v>
      </c>
      <c r="T4332" s="1" t="s">
        <v>4726</v>
      </c>
      <c r="U4332" s="2" t="s">
        <v>282</v>
      </c>
      <c r="V4332" s="2" t="s">
        <v>36</v>
      </c>
      <c r="W4332" s="2" t="s">
        <v>142</v>
      </c>
      <c r="X4332" s="2">
        <v>62.93</v>
      </c>
    </row>
    <row r="4333" spans="1:24" x14ac:dyDescent="0.3">
      <c r="A4333">
        <v>22177</v>
      </c>
      <c r="B4333" t="s">
        <v>9911</v>
      </c>
      <c r="C4333" s="3">
        <v>41381</v>
      </c>
      <c r="D4333" t="s">
        <v>62</v>
      </c>
      <c r="E4333">
        <v>2</v>
      </c>
      <c r="F4333" s="3">
        <f ca="1">41383+(RANDBETWEEN(1,10))</f>
        <v>41385</v>
      </c>
      <c r="G4333" t="s">
        <v>26</v>
      </c>
      <c r="H4333" t="s">
        <v>96</v>
      </c>
      <c r="I4333" t="s">
        <v>28</v>
      </c>
      <c r="J4333">
        <v>19.565000000000001</v>
      </c>
      <c r="K4333">
        <v>0.04</v>
      </c>
      <c r="L4333">
        <v>0.57999999999999996</v>
      </c>
      <c r="M4333">
        <v>8.4</v>
      </c>
      <c r="N4333">
        <v>-897.97400000000005</v>
      </c>
      <c r="O4333" s="1" t="s">
        <v>64</v>
      </c>
      <c r="P4333" s="1" t="s">
        <v>4339</v>
      </c>
      <c r="Q4333" s="1" t="s">
        <v>4340</v>
      </c>
      <c r="R4333" s="1" t="s">
        <v>128</v>
      </c>
      <c r="S4333" s="1" t="s">
        <v>4341</v>
      </c>
      <c r="T4333" s="1" t="s">
        <v>4342</v>
      </c>
      <c r="U4333" s="2" t="s">
        <v>6328</v>
      </c>
      <c r="V4333" s="2" t="s">
        <v>47</v>
      </c>
      <c r="W4333" s="2" t="s">
        <v>104</v>
      </c>
      <c r="X4333" s="2">
        <v>9.1</v>
      </c>
    </row>
    <row r="4334" spans="1:24" x14ac:dyDescent="0.3">
      <c r="A4334">
        <v>22178</v>
      </c>
      <c r="B4334" t="s">
        <v>9912</v>
      </c>
      <c r="C4334" s="3">
        <v>41638</v>
      </c>
      <c r="D4334" t="s">
        <v>50</v>
      </c>
      <c r="E4334">
        <v>22</v>
      </c>
      <c r="F4334" s="3">
        <f ca="1">41640+(RANDBETWEEN(1,10))</f>
        <v>41642</v>
      </c>
      <c r="G4334" t="s">
        <v>26</v>
      </c>
      <c r="H4334" t="s">
        <v>51</v>
      </c>
      <c r="I4334" t="s">
        <v>86</v>
      </c>
      <c r="J4334">
        <v>634.83000000000004</v>
      </c>
      <c r="K4334">
        <v>0.08</v>
      </c>
      <c r="L4334">
        <v>0.74</v>
      </c>
      <c r="M4334">
        <v>8.33</v>
      </c>
      <c r="N4334">
        <v>-95.322500000000005</v>
      </c>
      <c r="O4334" s="1" t="s">
        <v>40</v>
      </c>
      <c r="P4334" s="1" t="s">
        <v>9913</v>
      </c>
      <c r="Q4334" s="1" t="s">
        <v>9914</v>
      </c>
      <c r="R4334" s="1" t="s">
        <v>220</v>
      </c>
      <c r="S4334" s="1" t="s">
        <v>3859</v>
      </c>
      <c r="T4334" s="1" t="s">
        <v>3860</v>
      </c>
      <c r="U4334" s="2" t="s">
        <v>152</v>
      </c>
      <c r="V4334" s="2" t="s">
        <v>36</v>
      </c>
      <c r="W4334" s="2" t="s">
        <v>60</v>
      </c>
      <c r="X4334" s="2">
        <v>29.12</v>
      </c>
    </row>
    <row r="4335" spans="1:24" x14ac:dyDescent="0.3">
      <c r="A4335">
        <v>22179</v>
      </c>
      <c r="B4335" t="s">
        <v>9912</v>
      </c>
      <c r="C4335" s="3">
        <v>41638</v>
      </c>
      <c r="D4335" t="s">
        <v>50</v>
      </c>
      <c r="E4335">
        <v>15</v>
      </c>
      <c r="F4335" s="3">
        <f ca="1">41639+(RANDBETWEEN(1,10))</f>
        <v>41648</v>
      </c>
      <c r="G4335" t="s">
        <v>26</v>
      </c>
      <c r="H4335" t="s">
        <v>27</v>
      </c>
      <c r="I4335" t="s">
        <v>86</v>
      </c>
      <c r="J4335">
        <v>282.17</v>
      </c>
      <c r="K4335">
        <v>0.09</v>
      </c>
      <c r="L4335">
        <v>0.4</v>
      </c>
      <c r="M4335">
        <v>28.56</v>
      </c>
      <c r="N4335">
        <v>-267.03250000000003</v>
      </c>
      <c r="O4335" s="1" t="s">
        <v>87</v>
      </c>
      <c r="P4335" s="1" t="s">
        <v>9915</v>
      </c>
      <c r="Q4335" s="1" t="s">
        <v>9916</v>
      </c>
      <c r="R4335" s="1" t="s">
        <v>90</v>
      </c>
      <c r="S4335" s="1" t="s">
        <v>5203</v>
      </c>
      <c r="T4335" s="1" t="s">
        <v>5204</v>
      </c>
      <c r="U4335" s="2" t="s">
        <v>7827</v>
      </c>
      <c r="V4335" s="2" t="s">
        <v>47</v>
      </c>
      <c r="W4335" s="2" t="s">
        <v>74</v>
      </c>
      <c r="X4335" s="2">
        <v>18.48</v>
      </c>
    </row>
    <row r="4336" spans="1:24" x14ac:dyDescent="0.3">
      <c r="A4336">
        <v>22180</v>
      </c>
      <c r="B4336" t="s">
        <v>9917</v>
      </c>
      <c r="C4336" s="3">
        <v>40748</v>
      </c>
      <c r="D4336" t="s">
        <v>50</v>
      </c>
      <c r="E4336">
        <v>4</v>
      </c>
      <c r="F4336" s="3">
        <f ca="1">40749+(RANDBETWEEN(1,10))</f>
        <v>40751</v>
      </c>
      <c r="G4336" t="s">
        <v>26</v>
      </c>
      <c r="H4336" t="s">
        <v>27</v>
      </c>
      <c r="I4336" t="s">
        <v>28</v>
      </c>
      <c r="J4336">
        <v>215.32</v>
      </c>
      <c r="K4336">
        <v>0.09</v>
      </c>
      <c r="L4336">
        <v>0.36</v>
      </c>
      <c r="M4336">
        <v>38.185000000000002</v>
      </c>
      <c r="N4336">
        <v>-181.125</v>
      </c>
      <c r="O4336" s="1" t="s">
        <v>64</v>
      </c>
      <c r="P4336" s="1" t="s">
        <v>9918</v>
      </c>
      <c r="Q4336" s="1" t="s">
        <v>9919</v>
      </c>
      <c r="R4336" s="1" t="s">
        <v>67</v>
      </c>
      <c r="S4336" s="1" t="s">
        <v>9920</v>
      </c>
      <c r="T4336" s="1" t="s">
        <v>9921</v>
      </c>
      <c r="U4336" s="2" t="s">
        <v>5084</v>
      </c>
      <c r="V4336" s="2" t="s">
        <v>47</v>
      </c>
      <c r="W4336" s="2" t="s">
        <v>111</v>
      </c>
      <c r="X4336" s="2">
        <v>53.48</v>
      </c>
    </row>
    <row r="4337" spans="1:24" x14ac:dyDescent="0.3">
      <c r="A4337">
        <v>22181</v>
      </c>
      <c r="B4337" t="s">
        <v>9922</v>
      </c>
      <c r="C4337" s="3">
        <v>40990</v>
      </c>
      <c r="D4337" t="s">
        <v>62</v>
      </c>
      <c r="E4337">
        <v>11</v>
      </c>
      <c r="F4337" s="3">
        <f ca="1">40991+(RANDBETWEEN(1,10))</f>
        <v>40995</v>
      </c>
      <c r="G4337" t="s">
        <v>26</v>
      </c>
      <c r="H4337" t="s">
        <v>27</v>
      </c>
      <c r="I4337" t="s">
        <v>52</v>
      </c>
      <c r="J4337">
        <v>1353.4849999999999</v>
      </c>
      <c r="K4337">
        <v>0.02</v>
      </c>
      <c r="L4337">
        <v>0.59</v>
      </c>
      <c r="M4337">
        <v>27.055</v>
      </c>
      <c r="N4337">
        <v>775.70500000000004</v>
      </c>
      <c r="O4337" s="1" t="s">
        <v>40</v>
      </c>
      <c r="P4337" s="1" t="s">
        <v>973</v>
      </c>
      <c r="Q4337" s="1" t="s">
        <v>974</v>
      </c>
      <c r="R4337" s="1" t="s">
        <v>43</v>
      </c>
      <c r="S4337" s="1" t="s">
        <v>975</v>
      </c>
      <c r="T4337" s="1" t="s">
        <v>976</v>
      </c>
      <c r="U4337" s="2" t="s">
        <v>9353</v>
      </c>
      <c r="V4337" s="2" t="s">
        <v>47</v>
      </c>
      <c r="W4337" s="2" t="s">
        <v>104</v>
      </c>
      <c r="X4337" s="2">
        <v>122.465</v>
      </c>
    </row>
    <row r="4338" spans="1:24" x14ac:dyDescent="0.3">
      <c r="A4338">
        <v>22182</v>
      </c>
      <c r="B4338" t="s">
        <v>9923</v>
      </c>
      <c r="C4338" s="3">
        <v>41735</v>
      </c>
      <c r="D4338" t="s">
        <v>148</v>
      </c>
      <c r="E4338">
        <v>2</v>
      </c>
      <c r="F4338" s="3">
        <f ca="1">41736+(RANDBETWEEN(1,10))</f>
        <v>41739</v>
      </c>
      <c r="G4338" t="s">
        <v>26</v>
      </c>
      <c r="H4338" t="s">
        <v>27</v>
      </c>
      <c r="I4338" t="s">
        <v>52</v>
      </c>
      <c r="J4338">
        <v>23.59</v>
      </c>
      <c r="K4338">
        <v>0.01</v>
      </c>
      <c r="L4338">
        <v>0.37</v>
      </c>
      <c r="M4338">
        <v>3.4649999999999999</v>
      </c>
      <c r="N4338">
        <v>16.277100000000001</v>
      </c>
      <c r="O4338" s="1" t="s">
        <v>87</v>
      </c>
      <c r="P4338" s="1" t="s">
        <v>9924</v>
      </c>
      <c r="Q4338" s="1" t="s">
        <v>9925</v>
      </c>
      <c r="R4338" s="1" t="s">
        <v>90</v>
      </c>
      <c r="S4338" s="1" t="s">
        <v>7202</v>
      </c>
      <c r="T4338" s="1" t="s">
        <v>7203</v>
      </c>
      <c r="U4338" s="2" t="s">
        <v>796</v>
      </c>
      <c r="V4338" s="2" t="s">
        <v>47</v>
      </c>
      <c r="W4338" s="2" t="s">
        <v>203</v>
      </c>
      <c r="X4338" s="2">
        <v>10.78</v>
      </c>
    </row>
    <row r="4339" spans="1:24" x14ac:dyDescent="0.3">
      <c r="A4339">
        <v>22183</v>
      </c>
      <c r="B4339" t="s">
        <v>9926</v>
      </c>
      <c r="C4339" s="3">
        <v>41076</v>
      </c>
      <c r="D4339" t="s">
        <v>62</v>
      </c>
      <c r="E4339">
        <v>8</v>
      </c>
      <c r="F4339" s="3">
        <f ca="1">41078+(RANDBETWEEN(1,10))</f>
        <v>41082</v>
      </c>
      <c r="G4339" t="s">
        <v>76</v>
      </c>
      <c r="H4339" t="s">
        <v>258</v>
      </c>
      <c r="I4339" t="s">
        <v>52</v>
      </c>
      <c r="J4339">
        <v>4097.1350000000002</v>
      </c>
      <c r="K4339">
        <v>0.08</v>
      </c>
      <c r="L4339">
        <v>0.75</v>
      </c>
      <c r="M4339">
        <v>137.375</v>
      </c>
      <c r="N4339">
        <v>-1021.6454248</v>
      </c>
      <c r="O4339" s="1" t="s">
        <v>40</v>
      </c>
      <c r="P4339" s="1" t="s">
        <v>1536</v>
      </c>
      <c r="Q4339" s="1" t="s">
        <v>1537</v>
      </c>
      <c r="R4339" s="1" t="s">
        <v>43</v>
      </c>
      <c r="S4339" s="1" t="s">
        <v>1538</v>
      </c>
      <c r="T4339" s="1" t="s">
        <v>1539</v>
      </c>
      <c r="U4339" s="2" t="s">
        <v>342</v>
      </c>
      <c r="V4339" s="2" t="s">
        <v>83</v>
      </c>
      <c r="W4339" s="2" t="s">
        <v>263</v>
      </c>
      <c r="X4339" s="2">
        <v>528.42999999999995</v>
      </c>
    </row>
    <row r="4340" spans="1:24" x14ac:dyDescent="0.3">
      <c r="A4340">
        <v>22184</v>
      </c>
      <c r="B4340" t="s">
        <v>9927</v>
      </c>
      <c r="C4340" s="3">
        <v>41823</v>
      </c>
      <c r="D4340" t="s">
        <v>148</v>
      </c>
      <c r="E4340">
        <v>17</v>
      </c>
      <c r="F4340" s="3">
        <f ca="1">41824+(RANDBETWEEN(1,10))</f>
        <v>41830</v>
      </c>
      <c r="G4340" t="s">
        <v>26</v>
      </c>
      <c r="H4340" t="s">
        <v>51</v>
      </c>
      <c r="I4340" t="s">
        <v>28</v>
      </c>
      <c r="J4340">
        <v>1813.63</v>
      </c>
      <c r="K4340">
        <v>0.06</v>
      </c>
      <c r="L4340">
        <v>0.56999999999999995</v>
      </c>
      <c r="M4340">
        <v>4.375</v>
      </c>
      <c r="N4340">
        <v>1251.4047</v>
      </c>
      <c r="O4340" s="1" t="s">
        <v>29</v>
      </c>
      <c r="P4340" s="1" t="s">
        <v>6739</v>
      </c>
      <c r="Q4340" s="1" t="s">
        <v>6740</v>
      </c>
      <c r="R4340" s="1" t="s">
        <v>32</v>
      </c>
      <c r="S4340" s="1" t="s">
        <v>3689</v>
      </c>
      <c r="T4340" s="1" t="s">
        <v>3690</v>
      </c>
      <c r="U4340" s="2" t="s">
        <v>1964</v>
      </c>
      <c r="V4340" s="2" t="s">
        <v>36</v>
      </c>
      <c r="W4340" s="2" t="s">
        <v>37</v>
      </c>
      <c r="X4340" s="2">
        <v>125.965</v>
      </c>
    </row>
    <row r="4341" spans="1:24" x14ac:dyDescent="0.3">
      <c r="A4341">
        <v>22185</v>
      </c>
      <c r="B4341" t="s">
        <v>9927</v>
      </c>
      <c r="C4341" s="3">
        <v>41823</v>
      </c>
      <c r="D4341" t="s">
        <v>148</v>
      </c>
      <c r="E4341">
        <v>15</v>
      </c>
      <c r="F4341" s="3">
        <f ca="1">41826+(RANDBETWEEN(1,10))</f>
        <v>41828</v>
      </c>
      <c r="G4341" t="s">
        <v>26</v>
      </c>
      <c r="H4341" t="s">
        <v>281</v>
      </c>
      <c r="I4341" t="s">
        <v>28</v>
      </c>
      <c r="J4341">
        <v>1356.74</v>
      </c>
      <c r="K4341">
        <v>0.02</v>
      </c>
      <c r="L4341">
        <v>0.5</v>
      </c>
      <c r="M4341">
        <v>18.795000000000002</v>
      </c>
      <c r="N4341">
        <v>936.15060000000005</v>
      </c>
      <c r="O4341" s="1" t="s">
        <v>53</v>
      </c>
      <c r="P4341" s="1" t="s">
        <v>9928</v>
      </c>
      <c r="Q4341" s="1" t="s">
        <v>9929</v>
      </c>
      <c r="R4341" s="1" t="s">
        <v>100</v>
      </c>
      <c r="S4341" s="1" t="s">
        <v>9930</v>
      </c>
      <c r="T4341" s="1" t="s">
        <v>9931</v>
      </c>
      <c r="U4341" s="2" t="s">
        <v>3418</v>
      </c>
      <c r="V4341" s="2" t="s">
        <v>47</v>
      </c>
      <c r="W4341" s="2" t="s">
        <v>71</v>
      </c>
      <c r="X4341" s="2">
        <v>90.93</v>
      </c>
    </row>
    <row r="4342" spans="1:24" x14ac:dyDescent="0.3">
      <c r="A4342">
        <v>22186</v>
      </c>
      <c r="B4342" t="s">
        <v>9927</v>
      </c>
      <c r="C4342" s="3">
        <v>41823</v>
      </c>
      <c r="D4342" t="s">
        <v>148</v>
      </c>
      <c r="E4342">
        <v>7</v>
      </c>
      <c r="F4342" s="3">
        <f ca="1">41825+(RANDBETWEEN(1,10))</f>
        <v>41833</v>
      </c>
      <c r="G4342" t="s">
        <v>26</v>
      </c>
      <c r="H4342" t="s">
        <v>27</v>
      </c>
      <c r="I4342" t="s">
        <v>28</v>
      </c>
      <c r="J4342">
        <v>159.46</v>
      </c>
      <c r="K4342">
        <v>0.03</v>
      </c>
      <c r="L4342">
        <v>0.6</v>
      </c>
      <c r="M4342">
        <v>18.27</v>
      </c>
      <c r="N4342">
        <v>-109.07064</v>
      </c>
      <c r="O4342" s="1" t="s">
        <v>53</v>
      </c>
      <c r="P4342" s="1" t="s">
        <v>9928</v>
      </c>
      <c r="Q4342" s="1" t="s">
        <v>9929</v>
      </c>
      <c r="R4342" s="1" t="s">
        <v>100</v>
      </c>
      <c r="S4342" s="1" t="s">
        <v>9930</v>
      </c>
      <c r="T4342" s="1" t="s">
        <v>9931</v>
      </c>
      <c r="U4342" s="2" t="s">
        <v>995</v>
      </c>
      <c r="V4342" s="2" t="s">
        <v>83</v>
      </c>
      <c r="W4342" s="2" t="s">
        <v>178</v>
      </c>
      <c r="X4342" s="2">
        <v>21.84</v>
      </c>
    </row>
    <row r="4343" spans="1:24" x14ac:dyDescent="0.3">
      <c r="A4343">
        <v>22187</v>
      </c>
      <c r="B4343" t="s">
        <v>9932</v>
      </c>
      <c r="C4343" s="3">
        <v>41124</v>
      </c>
      <c r="D4343" t="s">
        <v>62</v>
      </c>
      <c r="E4343">
        <v>7</v>
      </c>
      <c r="F4343" s="3">
        <f ca="1">41126+(RANDBETWEEN(1,10))</f>
        <v>41133</v>
      </c>
      <c r="G4343" t="s">
        <v>26</v>
      </c>
      <c r="H4343" t="s">
        <v>96</v>
      </c>
      <c r="I4343" t="s">
        <v>97</v>
      </c>
      <c r="J4343">
        <v>36.68</v>
      </c>
      <c r="K4343">
        <v>0.03</v>
      </c>
      <c r="L4343">
        <v>0.37</v>
      </c>
      <c r="M4343">
        <v>2.4500000000000002</v>
      </c>
      <c r="N4343">
        <v>4.0404</v>
      </c>
      <c r="O4343" s="1" t="s">
        <v>64</v>
      </c>
      <c r="P4343" s="1" t="s">
        <v>9933</v>
      </c>
      <c r="Q4343" s="1" t="s">
        <v>9934</v>
      </c>
      <c r="R4343" s="1" t="s">
        <v>67</v>
      </c>
      <c r="S4343" s="1" t="s">
        <v>9935</v>
      </c>
      <c r="T4343" s="1" t="s">
        <v>9936</v>
      </c>
      <c r="U4343" s="2" t="s">
        <v>3561</v>
      </c>
      <c r="V4343" s="2" t="s">
        <v>47</v>
      </c>
      <c r="W4343" s="2" t="s">
        <v>176</v>
      </c>
      <c r="X4343" s="2">
        <v>5.18</v>
      </c>
    </row>
    <row r="4344" spans="1:24" x14ac:dyDescent="0.3">
      <c r="A4344">
        <v>22188</v>
      </c>
      <c r="B4344" t="s">
        <v>9932</v>
      </c>
      <c r="C4344" s="3">
        <v>41124</v>
      </c>
      <c r="D4344" t="s">
        <v>62</v>
      </c>
      <c r="E4344">
        <v>15</v>
      </c>
      <c r="F4344" s="3">
        <f ca="1">41125+(RANDBETWEEN(1,10))</f>
        <v>41134</v>
      </c>
      <c r="G4344" t="s">
        <v>76</v>
      </c>
      <c r="H4344" t="s">
        <v>77</v>
      </c>
      <c r="I4344" t="s">
        <v>97</v>
      </c>
      <c r="J4344">
        <v>5199.9849999999997</v>
      </c>
      <c r="K4344">
        <v>0.03</v>
      </c>
      <c r="L4344">
        <v>0.56999999999999995</v>
      </c>
      <c r="M4344">
        <v>260.22500000000002</v>
      </c>
      <c r="N4344">
        <v>-2150.7121999999999</v>
      </c>
      <c r="O4344" s="1" t="s">
        <v>87</v>
      </c>
      <c r="P4344" s="1" t="s">
        <v>2471</v>
      </c>
      <c r="Q4344" s="1" t="s">
        <v>2472</v>
      </c>
      <c r="R4344" s="1" t="s">
        <v>646</v>
      </c>
      <c r="S4344" s="1" t="s">
        <v>2473</v>
      </c>
      <c r="T4344" s="1" t="s">
        <v>2474</v>
      </c>
      <c r="U4344" s="2" t="s">
        <v>1560</v>
      </c>
      <c r="V4344" s="2" t="s">
        <v>83</v>
      </c>
      <c r="W4344" s="2" t="s">
        <v>84</v>
      </c>
      <c r="X4344" s="2">
        <v>335.82499999999999</v>
      </c>
    </row>
    <row r="4345" spans="1:24" x14ac:dyDescent="0.3">
      <c r="A4345">
        <v>22189</v>
      </c>
      <c r="B4345" t="s">
        <v>9937</v>
      </c>
      <c r="C4345" s="3">
        <v>41842</v>
      </c>
      <c r="D4345" t="s">
        <v>62</v>
      </c>
      <c r="E4345">
        <v>4</v>
      </c>
      <c r="F4345" s="3">
        <f ca="1">41843+(RANDBETWEEN(1,10))</f>
        <v>41845</v>
      </c>
      <c r="G4345" t="s">
        <v>156</v>
      </c>
      <c r="H4345" t="s">
        <v>27</v>
      </c>
      <c r="I4345" t="s">
        <v>86</v>
      </c>
      <c r="J4345">
        <v>231.14</v>
      </c>
      <c r="K4345">
        <v>0</v>
      </c>
      <c r="L4345">
        <v>0.39</v>
      </c>
      <c r="M4345">
        <v>29.4</v>
      </c>
      <c r="N4345">
        <v>-27.420876</v>
      </c>
      <c r="O4345" s="1" t="s">
        <v>225</v>
      </c>
      <c r="P4345" s="1" t="s">
        <v>7916</v>
      </c>
      <c r="Q4345" s="1" t="s">
        <v>7917</v>
      </c>
      <c r="R4345" s="1" t="s">
        <v>391</v>
      </c>
      <c r="S4345" s="1" t="s">
        <v>7918</v>
      </c>
      <c r="T4345" s="1" t="s">
        <v>7919</v>
      </c>
      <c r="U4345" s="2" t="s">
        <v>110</v>
      </c>
      <c r="V4345" s="2" t="s">
        <v>47</v>
      </c>
      <c r="W4345" s="2" t="s">
        <v>111</v>
      </c>
      <c r="X4345" s="2">
        <v>52.534999999999997</v>
      </c>
    </row>
    <row r="4346" spans="1:24" x14ac:dyDescent="0.3">
      <c r="A4346">
        <v>22190</v>
      </c>
      <c r="B4346" t="s">
        <v>9938</v>
      </c>
      <c r="C4346" s="3">
        <v>40623</v>
      </c>
      <c r="D4346" t="s">
        <v>148</v>
      </c>
      <c r="E4346">
        <v>3</v>
      </c>
      <c r="F4346" s="3">
        <f ca="1">40624+(RANDBETWEEN(1,10))</f>
        <v>40631</v>
      </c>
      <c r="G4346" t="s">
        <v>26</v>
      </c>
      <c r="H4346" t="s">
        <v>63</v>
      </c>
      <c r="I4346" t="s">
        <v>52</v>
      </c>
      <c r="J4346">
        <v>71933.925000000003</v>
      </c>
      <c r="K4346">
        <v>0</v>
      </c>
      <c r="L4346">
        <v>0.39</v>
      </c>
      <c r="M4346">
        <v>85.715000000000003</v>
      </c>
      <c r="N4346">
        <v>14.385</v>
      </c>
      <c r="O4346" s="1" t="s">
        <v>29</v>
      </c>
      <c r="P4346" s="1" t="s">
        <v>7567</v>
      </c>
      <c r="Q4346" s="1" t="s">
        <v>7568</v>
      </c>
      <c r="R4346" s="1" t="s">
        <v>675</v>
      </c>
      <c r="S4346" s="1" t="s">
        <v>7569</v>
      </c>
      <c r="T4346" s="1" t="s">
        <v>7570</v>
      </c>
      <c r="U4346" s="2" t="s">
        <v>2167</v>
      </c>
      <c r="V4346" s="2" t="s">
        <v>36</v>
      </c>
      <c r="W4346" s="2" t="s">
        <v>142</v>
      </c>
      <c r="X4346" s="2">
        <v>23740.57</v>
      </c>
    </row>
    <row r="4347" spans="1:24" x14ac:dyDescent="0.3">
      <c r="A4347">
        <v>22191</v>
      </c>
      <c r="B4347" t="s">
        <v>9939</v>
      </c>
      <c r="C4347" s="3">
        <v>41719</v>
      </c>
      <c r="D4347" t="s">
        <v>148</v>
      </c>
      <c r="E4347">
        <v>10</v>
      </c>
      <c r="F4347" s="3">
        <f ca="1">41719+(RANDBETWEEN(1,10))</f>
        <v>41724</v>
      </c>
      <c r="G4347" t="s">
        <v>26</v>
      </c>
      <c r="H4347" t="s">
        <v>27</v>
      </c>
      <c r="I4347" t="s">
        <v>52</v>
      </c>
      <c r="J4347">
        <v>5807.0950000000003</v>
      </c>
      <c r="K4347">
        <v>0.08</v>
      </c>
      <c r="L4347">
        <v>0.56000000000000005</v>
      </c>
      <c r="M4347">
        <v>31.465</v>
      </c>
      <c r="N4347">
        <v>2714.1239999999998</v>
      </c>
      <c r="O4347" s="1" t="s">
        <v>29</v>
      </c>
      <c r="P4347" s="1" t="s">
        <v>7567</v>
      </c>
      <c r="Q4347" s="1" t="s">
        <v>7568</v>
      </c>
      <c r="R4347" s="1" t="s">
        <v>675</v>
      </c>
      <c r="S4347" s="1" t="s">
        <v>7569</v>
      </c>
      <c r="T4347" s="1" t="s">
        <v>7570</v>
      </c>
      <c r="U4347" s="2" t="s">
        <v>4735</v>
      </c>
      <c r="V4347" s="2" t="s">
        <v>36</v>
      </c>
      <c r="W4347" s="2" t="s">
        <v>37</v>
      </c>
      <c r="X4347" s="2">
        <v>720.96500000000003</v>
      </c>
    </row>
    <row r="4348" spans="1:24" x14ac:dyDescent="0.3">
      <c r="A4348">
        <v>22192</v>
      </c>
      <c r="B4348" t="s">
        <v>9940</v>
      </c>
      <c r="C4348" s="3">
        <v>41310</v>
      </c>
      <c r="D4348" t="s">
        <v>39</v>
      </c>
      <c r="E4348">
        <v>13</v>
      </c>
      <c r="F4348" s="3">
        <f ca="1">41311+(RANDBETWEEN(1,10))</f>
        <v>41317</v>
      </c>
      <c r="G4348" t="s">
        <v>26</v>
      </c>
      <c r="H4348" t="s">
        <v>27</v>
      </c>
      <c r="I4348" t="s">
        <v>97</v>
      </c>
      <c r="J4348">
        <v>3936.7649999999999</v>
      </c>
      <c r="K4348">
        <v>0.06</v>
      </c>
      <c r="L4348">
        <v>0.56000000000000005</v>
      </c>
      <c r="M4348">
        <v>3.4649999999999999</v>
      </c>
      <c r="N4348">
        <v>2716.3678500000001</v>
      </c>
      <c r="O4348" s="1" t="s">
        <v>64</v>
      </c>
      <c r="P4348" s="1" t="s">
        <v>6650</v>
      </c>
      <c r="Q4348" s="1" t="s">
        <v>6651</v>
      </c>
      <c r="R4348" s="1" t="s">
        <v>67</v>
      </c>
      <c r="S4348" s="1" t="s">
        <v>6652</v>
      </c>
      <c r="T4348" s="1" t="s">
        <v>6653</v>
      </c>
      <c r="U4348" s="2" t="s">
        <v>2007</v>
      </c>
      <c r="V4348" s="2" t="s">
        <v>47</v>
      </c>
      <c r="W4348" s="2" t="s">
        <v>71</v>
      </c>
      <c r="X4348" s="2">
        <v>315.83999999999997</v>
      </c>
    </row>
    <row r="4349" spans="1:24" x14ac:dyDescent="0.3">
      <c r="A4349">
        <v>22193</v>
      </c>
      <c r="B4349" t="s">
        <v>9941</v>
      </c>
      <c r="C4349" s="3">
        <v>41603</v>
      </c>
      <c r="D4349" t="s">
        <v>39</v>
      </c>
      <c r="E4349">
        <v>42</v>
      </c>
      <c r="F4349" s="3">
        <f ca="1">41604+(RANDBETWEEN(1,10))</f>
        <v>41605</v>
      </c>
      <c r="G4349" t="s">
        <v>26</v>
      </c>
      <c r="H4349" t="s">
        <v>27</v>
      </c>
      <c r="I4349" t="s">
        <v>86</v>
      </c>
      <c r="J4349">
        <v>57975.61</v>
      </c>
      <c r="K4349">
        <v>0.05</v>
      </c>
      <c r="L4349">
        <v>0.38</v>
      </c>
      <c r="M4349">
        <v>69.965000000000003</v>
      </c>
      <c r="N4349">
        <v>40003.170899999997</v>
      </c>
      <c r="O4349" s="1" t="s">
        <v>40</v>
      </c>
      <c r="P4349" s="1" t="s">
        <v>5829</v>
      </c>
      <c r="Q4349" s="1" t="s">
        <v>5830</v>
      </c>
      <c r="R4349" s="1" t="s">
        <v>43</v>
      </c>
      <c r="S4349" s="1" t="s">
        <v>5831</v>
      </c>
      <c r="T4349" s="1" t="s">
        <v>5832</v>
      </c>
      <c r="U4349" s="2" t="s">
        <v>5575</v>
      </c>
      <c r="V4349" s="2" t="s">
        <v>47</v>
      </c>
      <c r="W4349" s="2" t="s">
        <v>111</v>
      </c>
      <c r="X4349" s="2">
        <v>1357.9649999999999</v>
      </c>
    </row>
    <row r="4350" spans="1:24" x14ac:dyDescent="0.3">
      <c r="A4350">
        <v>22194</v>
      </c>
      <c r="B4350" t="s">
        <v>9941</v>
      </c>
      <c r="C4350" s="3">
        <v>41603</v>
      </c>
      <c r="D4350" t="s">
        <v>39</v>
      </c>
      <c r="E4350">
        <v>41</v>
      </c>
      <c r="F4350" s="3">
        <f ca="1">41604+(RANDBETWEEN(1,10))</f>
        <v>41610</v>
      </c>
      <c r="G4350" t="s">
        <v>76</v>
      </c>
      <c r="H4350" t="s">
        <v>258</v>
      </c>
      <c r="I4350" t="s">
        <v>86</v>
      </c>
      <c r="J4350">
        <v>25053.35</v>
      </c>
      <c r="K4350">
        <v>0</v>
      </c>
      <c r="L4350">
        <v>0.72</v>
      </c>
      <c r="M4350">
        <v>122.57</v>
      </c>
      <c r="N4350">
        <v>6266.491</v>
      </c>
      <c r="O4350" s="1" t="s">
        <v>87</v>
      </c>
      <c r="P4350" s="1" t="s">
        <v>9942</v>
      </c>
      <c r="Q4350" s="1" t="s">
        <v>9943</v>
      </c>
      <c r="R4350" s="1" t="s">
        <v>497</v>
      </c>
      <c r="S4350" s="1" t="s">
        <v>9944</v>
      </c>
      <c r="T4350" s="1" t="s">
        <v>9945</v>
      </c>
      <c r="U4350" s="2" t="s">
        <v>297</v>
      </c>
      <c r="V4350" s="2" t="s">
        <v>83</v>
      </c>
      <c r="W4350" s="2" t="s">
        <v>298</v>
      </c>
      <c r="X4350" s="2">
        <v>563.42999999999995</v>
      </c>
    </row>
    <row r="4351" spans="1:24" x14ac:dyDescent="0.3">
      <c r="A4351">
        <v>22195</v>
      </c>
      <c r="B4351" t="s">
        <v>9946</v>
      </c>
      <c r="C4351" s="3">
        <v>41086</v>
      </c>
      <c r="D4351" t="s">
        <v>39</v>
      </c>
      <c r="E4351">
        <v>19</v>
      </c>
      <c r="F4351" s="3">
        <f ca="1">41088+(RANDBETWEEN(1,10))</f>
        <v>41095</v>
      </c>
      <c r="G4351" t="s">
        <v>26</v>
      </c>
      <c r="H4351" t="s">
        <v>63</v>
      </c>
      <c r="I4351" t="s">
        <v>86</v>
      </c>
      <c r="J4351">
        <v>986.93</v>
      </c>
      <c r="K4351">
        <v>0.05</v>
      </c>
      <c r="L4351">
        <v>0.57999999999999996</v>
      </c>
      <c r="M4351">
        <v>47.46</v>
      </c>
      <c r="N4351">
        <v>-946.34400000000005</v>
      </c>
      <c r="O4351" s="1" t="s">
        <v>87</v>
      </c>
      <c r="P4351" s="1" t="s">
        <v>9947</v>
      </c>
      <c r="Q4351" s="1" t="s">
        <v>9948</v>
      </c>
      <c r="R4351" s="1" t="s">
        <v>497</v>
      </c>
      <c r="S4351" s="1" t="s">
        <v>9949</v>
      </c>
      <c r="T4351" s="1" t="s">
        <v>9950</v>
      </c>
      <c r="U4351" s="2" t="s">
        <v>6638</v>
      </c>
      <c r="V4351" s="2" t="s">
        <v>83</v>
      </c>
      <c r="W4351" s="2" t="s">
        <v>178</v>
      </c>
      <c r="X4351" s="2">
        <v>52.115000000000002</v>
      </c>
    </row>
    <row r="4352" spans="1:24" x14ac:dyDescent="0.3">
      <c r="A4352">
        <v>22196</v>
      </c>
      <c r="B4352" t="s">
        <v>9951</v>
      </c>
      <c r="C4352" s="3">
        <v>40810</v>
      </c>
      <c r="D4352" t="s">
        <v>62</v>
      </c>
      <c r="E4352">
        <v>4</v>
      </c>
      <c r="F4352" s="3">
        <f ca="1">40811+(RANDBETWEEN(1,10))</f>
        <v>40814</v>
      </c>
      <c r="G4352" t="s">
        <v>26</v>
      </c>
      <c r="H4352" t="s">
        <v>27</v>
      </c>
      <c r="I4352" t="s">
        <v>52</v>
      </c>
      <c r="J4352">
        <v>245.21</v>
      </c>
      <c r="K4352">
        <v>0.06</v>
      </c>
      <c r="L4352">
        <v>0.79</v>
      </c>
      <c r="M4352">
        <v>14</v>
      </c>
      <c r="N4352">
        <v>-273.45499999999998</v>
      </c>
      <c r="O4352" s="1" t="s">
        <v>64</v>
      </c>
      <c r="P4352" s="1" t="s">
        <v>2317</v>
      </c>
      <c r="Q4352" s="1" t="s">
        <v>2318</v>
      </c>
      <c r="R4352" s="1" t="s">
        <v>128</v>
      </c>
      <c r="S4352" s="1" t="s">
        <v>2319</v>
      </c>
      <c r="T4352" s="1" t="s">
        <v>2320</v>
      </c>
      <c r="U4352" s="2" t="s">
        <v>4938</v>
      </c>
      <c r="V4352" s="2" t="s">
        <v>36</v>
      </c>
      <c r="W4352" s="2" t="s">
        <v>60</v>
      </c>
      <c r="X4352" s="2">
        <v>62.93</v>
      </c>
    </row>
    <row r="4353" spans="1:24" x14ac:dyDescent="0.3">
      <c r="A4353">
        <v>22197</v>
      </c>
      <c r="B4353" t="s">
        <v>9952</v>
      </c>
      <c r="C4353" s="3">
        <v>41469</v>
      </c>
      <c r="D4353" t="s">
        <v>62</v>
      </c>
      <c r="E4353">
        <v>12</v>
      </c>
      <c r="F4353" s="3">
        <f ca="1">41470+(RANDBETWEEN(1,10))</f>
        <v>41479</v>
      </c>
      <c r="G4353" t="s">
        <v>26</v>
      </c>
      <c r="H4353" t="s">
        <v>27</v>
      </c>
      <c r="I4353" t="s">
        <v>52</v>
      </c>
      <c r="J4353">
        <v>1111.9849999999999</v>
      </c>
      <c r="K4353">
        <v>0.01</v>
      </c>
      <c r="L4353">
        <v>0.75</v>
      </c>
      <c r="M4353">
        <v>20.614999999999998</v>
      </c>
      <c r="N4353">
        <v>-263.83</v>
      </c>
      <c r="O4353" s="1" t="s">
        <v>64</v>
      </c>
      <c r="P4353" s="1" t="s">
        <v>9953</v>
      </c>
      <c r="Q4353" s="1" t="s">
        <v>9954</v>
      </c>
      <c r="R4353" s="1" t="s">
        <v>128</v>
      </c>
      <c r="S4353" s="1" t="s">
        <v>1552</v>
      </c>
      <c r="T4353" s="1" t="s">
        <v>1553</v>
      </c>
      <c r="U4353" s="2" t="s">
        <v>4016</v>
      </c>
      <c r="V4353" s="2" t="s">
        <v>36</v>
      </c>
      <c r="W4353" s="2" t="s">
        <v>60</v>
      </c>
      <c r="X4353" s="2">
        <v>92.084999999999994</v>
      </c>
    </row>
    <row r="4354" spans="1:24" x14ac:dyDescent="0.3">
      <c r="A4354">
        <v>22198</v>
      </c>
      <c r="B4354" t="s">
        <v>9955</v>
      </c>
      <c r="C4354" s="3">
        <v>41727</v>
      </c>
      <c r="D4354" t="s">
        <v>62</v>
      </c>
      <c r="E4354">
        <v>7</v>
      </c>
      <c r="F4354" s="3">
        <f ca="1">41728+(RANDBETWEEN(1,10))</f>
        <v>41737</v>
      </c>
      <c r="G4354" t="s">
        <v>76</v>
      </c>
      <c r="H4354" t="s">
        <v>77</v>
      </c>
      <c r="I4354" t="s">
        <v>86</v>
      </c>
      <c r="J4354">
        <v>1837.675</v>
      </c>
      <c r="K4354">
        <v>0</v>
      </c>
      <c r="L4354">
        <v>0.41</v>
      </c>
      <c r="M4354">
        <v>210</v>
      </c>
      <c r="N4354">
        <v>-1821.925</v>
      </c>
      <c r="O4354" s="1" t="s">
        <v>29</v>
      </c>
      <c r="P4354" s="1" t="s">
        <v>7699</v>
      </c>
      <c r="Q4354" s="1" t="s">
        <v>7700</v>
      </c>
      <c r="R4354" s="1" t="s">
        <v>32</v>
      </c>
      <c r="S4354" s="1" t="s">
        <v>7701</v>
      </c>
      <c r="T4354" s="1" t="s">
        <v>7702</v>
      </c>
      <c r="U4354" s="2" t="s">
        <v>287</v>
      </c>
      <c r="V4354" s="2" t="s">
        <v>47</v>
      </c>
      <c r="W4354" s="2" t="s">
        <v>71</v>
      </c>
      <c r="X4354" s="2">
        <v>240.83500000000001</v>
      </c>
    </row>
    <row r="4355" spans="1:24" x14ac:dyDescent="0.3">
      <c r="A4355">
        <v>22199</v>
      </c>
      <c r="B4355" t="s">
        <v>9956</v>
      </c>
      <c r="C4355" s="3">
        <v>41798</v>
      </c>
      <c r="D4355" t="s">
        <v>148</v>
      </c>
      <c r="E4355">
        <v>9</v>
      </c>
      <c r="F4355" s="3">
        <f ca="1">41801+(RANDBETWEEN(1,10))</f>
        <v>41804</v>
      </c>
      <c r="G4355" t="s">
        <v>26</v>
      </c>
      <c r="H4355" t="s">
        <v>96</v>
      </c>
      <c r="I4355" t="s">
        <v>52</v>
      </c>
      <c r="J4355">
        <v>151.655</v>
      </c>
      <c r="K4355">
        <v>0.04</v>
      </c>
      <c r="L4355">
        <v>0.36</v>
      </c>
      <c r="M4355">
        <v>2.8</v>
      </c>
      <c r="N4355">
        <v>104.64194999999999</v>
      </c>
      <c r="O4355" s="1" t="s">
        <v>225</v>
      </c>
      <c r="P4355" s="1" t="s">
        <v>5525</v>
      </c>
      <c r="Q4355" s="1" t="s">
        <v>5526</v>
      </c>
      <c r="R4355" s="1" t="s">
        <v>228</v>
      </c>
      <c r="S4355" s="1" t="s">
        <v>5527</v>
      </c>
      <c r="T4355" s="1" t="s">
        <v>2680</v>
      </c>
      <c r="U4355" s="2" t="s">
        <v>1416</v>
      </c>
      <c r="V4355" s="2" t="s">
        <v>47</v>
      </c>
      <c r="W4355" s="2" t="s">
        <v>74</v>
      </c>
      <c r="X4355" s="2">
        <v>17.43</v>
      </c>
    </row>
    <row r="4356" spans="1:24" x14ac:dyDescent="0.3">
      <c r="A4356">
        <v>22200</v>
      </c>
      <c r="B4356" t="s">
        <v>9957</v>
      </c>
      <c r="C4356" s="3">
        <v>41985</v>
      </c>
      <c r="D4356" t="s">
        <v>148</v>
      </c>
      <c r="E4356">
        <v>21</v>
      </c>
      <c r="F4356" s="3">
        <f ca="1">41987+(RANDBETWEEN(1,10))</f>
        <v>41990</v>
      </c>
      <c r="G4356" t="s">
        <v>76</v>
      </c>
      <c r="H4356" t="s">
        <v>258</v>
      </c>
      <c r="I4356" t="s">
        <v>52</v>
      </c>
      <c r="J4356">
        <v>9990.4699999999993</v>
      </c>
      <c r="K4356">
        <v>7.0000000000000007E-2</v>
      </c>
      <c r="L4356">
        <v>0.77</v>
      </c>
      <c r="M4356">
        <v>126.315</v>
      </c>
      <c r="N4356">
        <v>-752.01671999999996</v>
      </c>
      <c r="O4356" s="1" t="s">
        <v>53</v>
      </c>
      <c r="P4356" s="1" t="s">
        <v>6297</v>
      </c>
      <c r="Q4356" s="1" t="s">
        <v>6298</v>
      </c>
      <c r="R4356" s="1" t="s">
        <v>100</v>
      </c>
      <c r="S4356" s="1" t="s">
        <v>3199</v>
      </c>
      <c r="T4356" s="1" t="s">
        <v>3200</v>
      </c>
      <c r="U4356" s="2" t="s">
        <v>3136</v>
      </c>
      <c r="V4356" s="2" t="s">
        <v>83</v>
      </c>
      <c r="W4356" s="2" t="s">
        <v>298</v>
      </c>
      <c r="X4356" s="2">
        <v>493.43</v>
      </c>
    </row>
    <row r="4357" spans="1:24" x14ac:dyDescent="0.3">
      <c r="A4357">
        <v>22201</v>
      </c>
      <c r="B4357" t="s">
        <v>9958</v>
      </c>
      <c r="C4357" s="3">
        <v>40799</v>
      </c>
      <c r="D4357" t="s">
        <v>62</v>
      </c>
      <c r="E4357">
        <v>22</v>
      </c>
      <c r="F4357" s="3">
        <f ca="1">40802+(RANDBETWEEN(1,10))</f>
        <v>40812</v>
      </c>
      <c r="G4357" t="s">
        <v>26</v>
      </c>
      <c r="H4357" t="s">
        <v>27</v>
      </c>
      <c r="I4357" t="s">
        <v>97</v>
      </c>
      <c r="J4357">
        <v>13307.035</v>
      </c>
      <c r="K4357">
        <v>0.08</v>
      </c>
      <c r="L4357">
        <v>0.55000000000000004</v>
      </c>
      <c r="M4357">
        <v>69.965000000000003</v>
      </c>
      <c r="N4357">
        <v>7935.27</v>
      </c>
      <c r="O4357" s="1" t="s">
        <v>87</v>
      </c>
      <c r="P4357" s="1" t="s">
        <v>5851</v>
      </c>
      <c r="Q4357" s="1" t="s">
        <v>5852</v>
      </c>
      <c r="R4357" s="1" t="s">
        <v>646</v>
      </c>
      <c r="S4357" s="1" t="s">
        <v>1526</v>
      </c>
      <c r="T4357" s="1" t="s">
        <v>3151</v>
      </c>
      <c r="U4357" s="2" t="s">
        <v>721</v>
      </c>
      <c r="V4357" s="2" t="s">
        <v>47</v>
      </c>
      <c r="W4357" s="2" t="s">
        <v>119</v>
      </c>
      <c r="X4357" s="2">
        <v>624.64499999999998</v>
      </c>
    </row>
    <row r="4358" spans="1:24" x14ac:dyDescent="0.3">
      <c r="A4358">
        <v>22202</v>
      </c>
      <c r="B4358" t="s">
        <v>9959</v>
      </c>
      <c r="C4358" s="3">
        <v>41754</v>
      </c>
      <c r="D4358" t="s">
        <v>62</v>
      </c>
      <c r="E4358">
        <v>3</v>
      </c>
      <c r="F4358" s="3">
        <f ca="1">41755+(RANDBETWEEN(1,10))</f>
        <v>41760</v>
      </c>
      <c r="G4358" t="s">
        <v>26</v>
      </c>
      <c r="H4358" t="s">
        <v>27</v>
      </c>
      <c r="I4358" t="s">
        <v>86</v>
      </c>
      <c r="J4358">
        <v>33.564999999999998</v>
      </c>
      <c r="K4358">
        <v>0.03</v>
      </c>
      <c r="L4358">
        <v>0.37</v>
      </c>
      <c r="M4358">
        <v>3.4649999999999999</v>
      </c>
      <c r="N4358">
        <v>19.53</v>
      </c>
      <c r="O4358" s="1" t="s">
        <v>53</v>
      </c>
      <c r="P4358" s="1" t="s">
        <v>2243</v>
      </c>
      <c r="Q4358" s="1" t="s">
        <v>2244</v>
      </c>
      <c r="R4358" s="1" t="s">
        <v>56</v>
      </c>
      <c r="S4358" s="1" t="s">
        <v>615</v>
      </c>
      <c r="T4358" s="1" t="s">
        <v>616</v>
      </c>
      <c r="U4358" s="2" t="s">
        <v>796</v>
      </c>
      <c r="V4358" s="2" t="s">
        <v>47</v>
      </c>
      <c r="W4358" s="2" t="s">
        <v>203</v>
      </c>
      <c r="X4358" s="2">
        <v>10.78</v>
      </c>
    </row>
    <row r="4359" spans="1:24" x14ac:dyDescent="0.3">
      <c r="A4359">
        <v>22203</v>
      </c>
      <c r="B4359" t="s">
        <v>9960</v>
      </c>
      <c r="C4359" s="3">
        <v>41444</v>
      </c>
      <c r="D4359" t="s">
        <v>148</v>
      </c>
      <c r="E4359">
        <v>14</v>
      </c>
      <c r="F4359" s="3">
        <f ca="1">41446+(RANDBETWEEN(1,10))</f>
        <v>41447</v>
      </c>
      <c r="G4359" t="s">
        <v>26</v>
      </c>
      <c r="H4359" t="s">
        <v>27</v>
      </c>
      <c r="I4359" t="s">
        <v>28</v>
      </c>
      <c r="J4359">
        <v>309.33</v>
      </c>
      <c r="K4359">
        <v>0.08</v>
      </c>
      <c r="L4359">
        <v>0.36</v>
      </c>
      <c r="M4359">
        <v>20.51</v>
      </c>
      <c r="N4359">
        <v>-215.26400000000001</v>
      </c>
      <c r="O4359" s="1" t="s">
        <v>40</v>
      </c>
      <c r="P4359" s="1" t="s">
        <v>6622</v>
      </c>
      <c r="Q4359" s="1" t="s">
        <v>6623</v>
      </c>
      <c r="R4359" s="1" t="s">
        <v>43</v>
      </c>
      <c r="S4359" s="1" t="s">
        <v>6624</v>
      </c>
      <c r="T4359" s="1" t="s">
        <v>6625</v>
      </c>
      <c r="U4359" s="2" t="s">
        <v>2014</v>
      </c>
      <c r="V4359" s="2" t="s">
        <v>47</v>
      </c>
      <c r="W4359" s="2" t="s">
        <v>74</v>
      </c>
      <c r="X4359" s="2">
        <v>22.68</v>
      </c>
    </row>
    <row r="4360" spans="1:24" x14ac:dyDescent="0.3">
      <c r="A4360">
        <v>22204</v>
      </c>
      <c r="B4360" t="s">
        <v>9961</v>
      </c>
      <c r="C4360" s="3">
        <v>40881</v>
      </c>
      <c r="D4360" t="s">
        <v>50</v>
      </c>
      <c r="E4360">
        <v>20</v>
      </c>
      <c r="F4360" s="3">
        <f ca="1">40884+(RANDBETWEEN(1,10))</f>
        <v>40892</v>
      </c>
      <c r="G4360" t="s">
        <v>26</v>
      </c>
      <c r="H4360" t="s">
        <v>96</v>
      </c>
      <c r="I4360" t="s">
        <v>86</v>
      </c>
      <c r="J4360">
        <v>387.38</v>
      </c>
      <c r="K4360">
        <v>0.09</v>
      </c>
      <c r="L4360">
        <v>0.51</v>
      </c>
      <c r="M4360">
        <v>5.8449999999999998</v>
      </c>
      <c r="N4360">
        <v>125.3175</v>
      </c>
      <c r="O4360" s="1" t="s">
        <v>225</v>
      </c>
      <c r="P4360" s="1" t="s">
        <v>9486</v>
      </c>
      <c r="Q4360" s="1" t="s">
        <v>9487</v>
      </c>
      <c r="R4360" s="1" t="s">
        <v>228</v>
      </c>
      <c r="S4360" s="1" t="s">
        <v>9488</v>
      </c>
      <c r="T4360" s="1" t="s">
        <v>9489</v>
      </c>
      <c r="U4360" s="2" t="s">
        <v>9962</v>
      </c>
      <c r="V4360" s="2" t="s">
        <v>47</v>
      </c>
      <c r="W4360" s="2" t="s">
        <v>104</v>
      </c>
      <c r="X4360" s="2">
        <v>20.93</v>
      </c>
    </row>
    <row r="4361" spans="1:24" x14ac:dyDescent="0.3">
      <c r="A4361">
        <v>22205</v>
      </c>
      <c r="B4361" t="s">
        <v>9963</v>
      </c>
      <c r="C4361" s="3">
        <v>41806</v>
      </c>
      <c r="D4361" t="s">
        <v>148</v>
      </c>
      <c r="E4361">
        <v>9</v>
      </c>
      <c r="F4361" s="3">
        <f ca="1">41807+(RANDBETWEEN(1,10))</f>
        <v>41816</v>
      </c>
      <c r="G4361" t="s">
        <v>76</v>
      </c>
      <c r="H4361" t="s">
        <v>77</v>
      </c>
      <c r="I4361" t="s">
        <v>86</v>
      </c>
      <c r="J4361">
        <v>7156.94</v>
      </c>
      <c r="K4361">
        <v>7.0000000000000007E-2</v>
      </c>
      <c r="L4361">
        <v>0.72</v>
      </c>
      <c r="M4361">
        <v>100.31</v>
      </c>
      <c r="N4361">
        <v>1792.0139999999999</v>
      </c>
      <c r="O4361" s="1" t="s">
        <v>40</v>
      </c>
      <c r="P4361" s="1" t="s">
        <v>9964</v>
      </c>
      <c r="Q4361" s="1" t="s">
        <v>9965</v>
      </c>
      <c r="R4361" s="1" t="s">
        <v>43</v>
      </c>
      <c r="S4361" s="1" t="s">
        <v>2453</v>
      </c>
      <c r="T4361" s="1" t="s">
        <v>2454</v>
      </c>
      <c r="U4361" s="2" t="s">
        <v>2071</v>
      </c>
      <c r="V4361" s="2" t="s">
        <v>47</v>
      </c>
      <c r="W4361" s="2" t="s">
        <v>119</v>
      </c>
      <c r="X4361" s="2">
        <v>787.57</v>
      </c>
    </row>
    <row r="4362" spans="1:24" x14ac:dyDescent="0.3">
      <c r="A4362">
        <v>22206</v>
      </c>
      <c r="B4362" t="s">
        <v>9966</v>
      </c>
      <c r="C4362" s="3">
        <v>41889</v>
      </c>
      <c r="D4362" t="s">
        <v>25</v>
      </c>
      <c r="E4362">
        <v>23</v>
      </c>
      <c r="F4362" s="3">
        <f ca="1">41898+(RANDBETWEEN(1,10))</f>
        <v>41901</v>
      </c>
      <c r="G4362" t="s">
        <v>26</v>
      </c>
      <c r="H4362" t="s">
        <v>96</v>
      </c>
      <c r="I4362" t="s">
        <v>28</v>
      </c>
      <c r="J4362">
        <v>1136.31</v>
      </c>
      <c r="K4362">
        <v>0.05</v>
      </c>
      <c r="L4362">
        <v>0.54</v>
      </c>
      <c r="M4362">
        <v>23.975000000000001</v>
      </c>
      <c r="N4362">
        <v>79.682400000000001</v>
      </c>
      <c r="O4362" s="1" t="s">
        <v>87</v>
      </c>
      <c r="P4362" s="1" t="s">
        <v>5255</v>
      </c>
      <c r="Q4362" s="1" t="s">
        <v>5256</v>
      </c>
      <c r="R4362" s="1" t="s">
        <v>90</v>
      </c>
      <c r="S4362" s="1" t="s">
        <v>5257</v>
      </c>
      <c r="T4362" s="1" t="s">
        <v>5258</v>
      </c>
      <c r="U4362" s="2" t="s">
        <v>1047</v>
      </c>
      <c r="V4362" s="2" t="s">
        <v>83</v>
      </c>
      <c r="W4362" s="2" t="s">
        <v>178</v>
      </c>
      <c r="X4362" s="2">
        <v>48.055</v>
      </c>
    </row>
    <row r="4363" spans="1:24" x14ac:dyDescent="0.3">
      <c r="A4363">
        <v>22207</v>
      </c>
      <c r="B4363" t="s">
        <v>9967</v>
      </c>
      <c r="C4363" s="3">
        <v>41159</v>
      </c>
      <c r="D4363" t="s">
        <v>25</v>
      </c>
      <c r="E4363">
        <v>22</v>
      </c>
      <c r="F4363" s="3">
        <f ca="1">41168+(RANDBETWEEN(1,10))</f>
        <v>41177</v>
      </c>
      <c r="G4363" t="s">
        <v>26</v>
      </c>
      <c r="H4363" t="s">
        <v>27</v>
      </c>
      <c r="I4363" t="s">
        <v>28</v>
      </c>
      <c r="J4363">
        <v>483.84</v>
      </c>
      <c r="K4363">
        <v>0.09</v>
      </c>
      <c r="L4363">
        <v>0.37</v>
      </c>
      <c r="M4363">
        <v>24.22</v>
      </c>
      <c r="N4363">
        <v>-568.89</v>
      </c>
      <c r="O4363" s="1" t="s">
        <v>87</v>
      </c>
      <c r="P4363" s="1" t="s">
        <v>5255</v>
      </c>
      <c r="Q4363" s="1" t="s">
        <v>5256</v>
      </c>
      <c r="R4363" s="1" t="s">
        <v>90</v>
      </c>
      <c r="S4363" s="1" t="s">
        <v>5257</v>
      </c>
      <c r="T4363" s="1" t="s">
        <v>5258</v>
      </c>
      <c r="U4363" s="2" t="s">
        <v>2561</v>
      </c>
      <c r="V4363" s="2" t="s">
        <v>47</v>
      </c>
      <c r="W4363" s="2" t="s">
        <v>74</v>
      </c>
      <c r="X4363" s="2">
        <v>23.38</v>
      </c>
    </row>
    <row r="4364" spans="1:24" x14ac:dyDescent="0.3">
      <c r="A4364">
        <v>22208</v>
      </c>
      <c r="B4364" t="s">
        <v>9968</v>
      </c>
      <c r="C4364" s="3">
        <v>41202</v>
      </c>
      <c r="D4364" t="s">
        <v>148</v>
      </c>
      <c r="E4364">
        <v>19</v>
      </c>
      <c r="F4364" s="3">
        <f ca="1">41203+(RANDBETWEEN(1,10))</f>
        <v>41207</v>
      </c>
      <c r="G4364" t="s">
        <v>76</v>
      </c>
      <c r="H4364" t="s">
        <v>258</v>
      </c>
      <c r="I4364" t="s">
        <v>97</v>
      </c>
      <c r="J4364">
        <v>11268.88</v>
      </c>
      <c r="K4364">
        <v>0.03</v>
      </c>
      <c r="L4364">
        <v>0.72</v>
      </c>
      <c r="M4364">
        <v>122.57</v>
      </c>
      <c r="N4364">
        <v>1529.1458</v>
      </c>
      <c r="O4364" s="1" t="s">
        <v>87</v>
      </c>
      <c r="P4364" s="1" t="s">
        <v>9969</v>
      </c>
      <c r="Q4364" s="1" t="s">
        <v>9970</v>
      </c>
      <c r="R4364" s="1" t="s">
        <v>497</v>
      </c>
      <c r="S4364" s="1" t="s">
        <v>1643</v>
      </c>
      <c r="T4364" s="1" t="s">
        <v>1644</v>
      </c>
      <c r="U4364" s="2" t="s">
        <v>297</v>
      </c>
      <c r="V4364" s="2" t="s">
        <v>83</v>
      </c>
      <c r="W4364" s="2" t="s">
        <v>298</v>
      </c>
      <c r="X4364" s="2">
        <v>563.42999999999995</v>
      </c>
    </row>
    <row r="4365" spans="1:24" x14ac:dyDescent="0.3">
      <c r="A4365">
        <v>22209</v>
      </c>
      <c r="B4365" t="s">
        <v>9971</v>
      </c>
      <c r="C4365" s="3">
        <v>41721</v>
      </c>
      <c r="D4365" t="s">
        <v>148</v>
      </c>
      <c r="E4365">
        <v>8</v>
      </c>
      <c r="F4365" s="3">
        <f ca="1">41723+(RANDBETWEEN(1,10))</f>
        <v>41726</v>
      </c>
      <c r="G4365" t="s">
        <v>26</v>
      </c>
      <c r="H4365" t="s">
        <v>27</v>
      </c>
      <c r="I4365" t="s">
        <v>86</v>
      </c>
      <c r="J4365">
        <v>3375.26</v>
      </c>
      <c r="K4365">
        <v>0.06</v>
      </c>
      <c r="L4365">
        <v>0.35</v>
      </c>
      <c r="M4365">
        <v>31.745000000000001</v>
      </c>
      <c r="N4365">
        <v>2328.9294</v>
      </c>
      <c r="O4365" s="1" t="s">
        <v>29</v>
      </c>
      <c r="P4365" s="1" t="s">
        <v>8650</v>
      </c>
      <c r="Q4365" s="1" t="s">
        <v>8651</v>
      </c>
      <c r="R4365" s="1" t="s">
        <v>460</v>
      </c>
      <c r="S4365" s="1" t="s">
        <v>8652</v>
      </c>
      <c r="T4365" s="1" t="s">
        <v>8653</v>
      </c>
      <c r="U4365" s="2" t="s">
        <v>4646</v>
      </c>
      <c r="V4365" s="2" t="s">
        <v>47</v>
      </c>
      <c r="W4365" s="2" t="s">
        <v>111</v>
      </c>
      <c r="X4365" s="2">
        <v>423.43</v>
      </c>
    </row>
    <row r="4366" spans="1:24" x14ac:dyDescent="0.3">
      <c r="A4366">
        <v>22210</v>
      </c>
      <c r="B4366" t="s">
        <v>9972</v>
      </c>
      <c r="C4366" s="3">
        <v>41720</v>
      </c>
      <c r="D4366" t="s">
        <v>148</v>
      </c>
      <c r="E4366">
        <v>2</v>
      </c>
      <c r="F4366" s="3">
        <f ca="1">41722+(RANDBETWEEN(1,10))</f>
        <v>41724</v>
      </c>
      <c r="G4366" t="s">
        <v>26</v>
      </c>
      <c r="H4366" t="s">
        <v>27</v>
      </c>
      <c r="I4366" t="s">
        <v>28</v>
      </c>
      <c r="J4366">
        <v>15.715</v>
      </c>
      <c r="K4366">
        <v>0</v>
      </c>
      <c r="L4366">
        <v>0.38</v>
      </c>
      <c r="M4366">
        <v>5.2149999999999999</v>
      </c>
      <c r="N4366">
        <v>-17.99175</v>
      </c>
      <c r="O4366" s="1" t="s">
        <v>225</v>
      </c>
      <c r="P4366" s="1" t="s">
        <v>5834</v>
      </c>
      <c r="Q4366" s="1" t="s">
        <v>5835</v>
      </c>
      <c r="R4366" s="1" t="s">
        <v>228</v>
      </c>
      <c r="S4366" s="1" t="s">
        <v>5836</v>
      </c>
      <c r="T4366" s="1" t="s">
        <v>5837</v>
      </c>
      <c r="U4366" s="2" t="s">
        <v>7281</v>
      </c>
      <c r="V4366" s="2" t="s">
        <v>47</v>
      </c>
      <c r="W4366" s="2" t="s">
        <v>111</v>
      </c>
      <c r="X4366" s="2">
        <v>7.28</v>
      </c>
    </row>
    <row r="4367" spans="1:24" x14ac:dyDescent="0.3">
      <c r="A4367">
        <v>22211</v>
      </c>
      <c r="B4367" t="s">
        <v>9973</v>
      </c>
      <c r="C4367" s="3">
        <v>41950</v>
      </c>
      <c r="D4367" t="s">
        <v>39</v>
      </c>
      <c r="E4367">
        <v>17</v>
      </c>
      <c r="F4367" s="3">
        <f ca="1">41951+(RANDBETWEEN(1,10))</f>
        <v>41960</v>
      </c>
      <c r="G4367" t="s">
        <v>26</v>
      </c>
      <c r="H4367" t="s">
        <v>27</v>
      </c>
      <c r="I4367" t="s">
        <v>28</v>
      </c>
      <c r="J4367">
        <v>807.87</v>
      </c>
      <c r="K4367">
        <v>0.03</v>
      </c>
      <c r="L4367">
        <v>0.4</v>
      </c>
      <c r="M4367">
        <v>17.43</v>
      </c>
      <c r="N4367">
        <v>286.10551199999998</v>
      </c>
      <c r="O4367" s="1" t="s">
        <v>87</v>
      </c>
      <c r="P4367" s="1" t="s">
        <v>8695</v>
      </c>
      <c r="Q4367" s="1" t="s">
        <v>8696</v>
      </c>
      <c r="R4367" s="1" t="s">
        <v>497</v>
      </c>
      <c r="S4367" s="1" t="s">
        <v>8697</v>
      </c>
      <c r="T4367" s="1" t="s">
        <v>8698</v>
      </c>
      <c r="U4367" s="2" t="s">
        <v>856</v>
      </c>
      <c r="V4367" s="2" t="s">
        <v>47</v>
      </c>
      <c r="W4367" s="2" t="s">
        <v>111</v>
      </c>
      <c r="X4367" s="2">
        <v>45.325000000000003</v>
      </c>
    </row>
    <row r="4368" spans="1:24" x14ac:dyDescent="0.3">
      <c r="A4368">
        <v>22212</v>
      </c>
      <c r="B4368" t="s">
        <v>9974</v>
      </c>
      <c r="C4368" s="3">
        <v>41312</v>
      </c>
      <c r="D4368" t="s">
        <v>62</v>
      </c>
      <c r="E4368">
        <v>12</v>
      </c>
      <c r="F4368" s="3">
        <f ca="1">41315+(RANDBETWEEN(1,10))</f>
        <v>41324</v>
      </c>
      <c r="G4368" t="s">
        <v>26</v>
      </c>
      <c r="H4368" t="s">
        <v>27</v>
      </c>
      <c r="I4368" t="s">
        <v>97</v>
      </c>
      <c r="J4368">
        <v>619.78</v>
      </c>
      <c r="K4368">
        <v>0.02</v>
      </c>
      <c r="L4368">
        <v>0.38</v>
      </c>
      <c r="M4368">
        <v>25.094999999999999</v>
      </c>
      <c r="N4368">
        <v>175.85225</v>
      </c>
      <c r="O4368" s="1" t="s">
        <v>29</v>
      </c>
      <c r="P4368" s="1" t="s">
        <v>6578</v>
      </c>
      <c r="Q4368" s="1" t="s">
        <v>6579</v>
      </c>
      <c r="R4368" s="1" t="s">
        <v>460</v>
      </c>
      <c r="S4368" s="1" t="s">
        <v>6580</v>
      </c>
      <c r="T4368" s="1" t="s">
        <v>6581</v>
      </c>
      <c r="U4368" s="2" t="s">
        <v>3914</v>
      </c>
      <c r="V4368" s="2" t="s">
        <v>47</v>
      </c>
      <c r="W4368" s="2" t="s">
        <v>111</v>
      </c>
      <c r="X4368" s="2">
        <v>50.575000000000003</v>
      </c>
    </row>
    <row r="4369" spans="1:24" x14ac:dyDescent="0.3">
      <c r="A4369">
        <v>22213</v>
      </c>
      <c r="B4369" t="s">
        <v>9975</v>
      </c>
      <c r="C4369" s="3">
        <v>40769</v>
      </c>
      <c r="D4369" t="s">
        <v>62</v>
      </c>
      <c r="E4369">
        <v>22</v>
      </c>
      <c r="F4369" s="3">
        <f ca="1">40770+(RANDBETWEEN(1,10))</f>
        <v>40776</v>
      </c>
      <c r="G4369" t="s">
        <v>26</v>
      </c>
      <c r="H4369" t="s">
        <v>96</v>
      </c>
      <c r="I4369" t="s">
        <v>52</v>
      </c>
      <c r="J4369">
        <v>128.87</v>
      </c>
      <c r="K4369">
        <v>0.09</v>
      </c>
      <c r="L4369">
        <v>0.56999999999999995</v>
      </c>
      <c r="M4369">
        <v>2.9049999999999998</v>
      </c>
      <c r="N4369">
        <v>-23.568999999999999</v>
      </c>
      <c r="O4369" s="1" t="s">
        <v>53</v>
      </c>
      <c r="P4369" s="1" t="s">
        <v>8095</v>
      </c>
      <c r="Q4369" s="1" t="s">
        <v>8096</v>
      </c>
      <c r="R4369" s="1" t="s">
        <v>440</v>
      </c>
      <c r="S4369" s="1" t="s">
        <v>8097</v>
      </c>
      <c r="T4369" s="1" t="s">
        <v>8098</v>
      </c>
      <c r="U4369" s="2" t="s">
        <v>6051</v>
      </c>
      <c r="V4369" s="2" t="s">
        <v>47</v>
      </c>
      <c r="W4369" s="2" t="s">
        <v>104</v>
      </c>
      <c r="X4369" s="2">
        <v>6.37</v>
      </c>
    </row>
    <row r="4370" spans="1:24" x14ac:dyDescent="0.3">
      <c r="A4370">
        <v>22214</v>
      </c>
      <c r="B4370" t="s">
        <v>9976</v>
      </c>
      <c r="C4370" s="3">
        <v>40981</v>
      </c>
      <c r="D4370" t="s">
        <v>62</v>
      </c>
      <c r="E4370">
        <v>7</v>
      </c>
      <c r="F4370" s="3">
        <f ca="1">40982+(RANDBETWEEN(1,10))</f>
        <v>40989</v>
      </c>
      <c r="G4370" t="s">
        <v>76</v>
      </c>
      <c r="H4370" t="s">
        <v>77</v>
      </c>
      <c r="I4370" t="s">
        <v>28</v>
      </c>
      <c r="J4370">
        <v>2235.94</v>
      </c>
      <c r="K4370">
        <v>0.08</v>
      </c>
      <c r="L4370">
        <v>0.57999999999999996</v>
      </c>
      <c r="M4370">
        <v>203.7</v>
      </c>
      <c r="N4370">
        <v>-162.239</v>
      </c>
      <c r="O4370" s="1" t="s">
        <v>225</v>
      </c>
      <c r="P4370" s="1" t="s">
        <v>5005</v>
      </c>
      <c r="Q4370" s="1" t="s">
        <v>5006</v>
      </c>
      <c r="R4370" s="1" t="s">
        <v>391</v>
      </c>
      <c r="S4370" s="1" t="s">
        <v>5007</v>
      </c>
      <c r="T4370" s="1" t="s">
        <v>5008</v>
      </c>
      <c r="U4370" s="2" t="s">
        <v>82</v>
      </c>
      <c r="V4370" s="2" t="s">
        <v>83</v>
      </c>
      <c r="W4370" s="2" t="s">
        <v>84</v>
      </c>
      <c r="X4370" s="2">
        <v>335.93</v>
      </c>
    </row>
    <row r="4371" spans="1:24" x14ac:dyDescent="0.3">
      <c r="A4371">
        <v>22215</v>
      </c>
      <c r="B4371" t="s">
        <v>9976</v>
      </c>
      <c r="C4371" s="3">
        <v>40981</v>
      </c>
      <c r="D4371" t="s">
        <v>62</v>
      </c>
      <c r="E4371">
        <v>8</v>
      </c>
      <c r="F4371" s="3">
        <f ca="1">40982+(RANDBETWEEN(1,10))</f>
        <v>40983</v>
      </c>
      <c r="G4371" t="s">
        <v>26</v>
      </c>
      <c r="H4371" t="s">
        <v>27</v>
      </c>
      <c r="I4371" t="s">
        <v>28</v>
      </c>
      <c r="J4371">
        <v>1307.53</v>
      </c>
      <c r="K4371">
        <v>7.0000000000000007E-2</v>
      </c>
      <c r="L4371">
        <v>0.37</v>
      </c>
      <c r="M4371">
        <v>25.305</v>
      </c>
      <c r="N4371">
        <v>902.19569999999999</v>
      </c>
      <c r="O4371" s="1" t="s">
        <v>53</v>
      </c>
      <c r="P4371" s="1" t="s">
        <v>9977</v>
      </c>
      <c r="Q4371" s="1" t="s">
        <v>9978</v>
      </c>
      <c r="R4371" s="1" t="s">
        <v>440</v>
      </c>
      <c r="S4371" s="1" t="s">
        <v>9979</v>
      </c>
      <c r="T4371" s="1" t="s">
        <v>9980</v>
      </c>
      <c r="U4371" s="2" t="s">
        <v>2593</v>
      </c>
      <c r="V4371" s="2" t="s">
        <v>47</v>
      </c>
      <c r="W4371" s="2" t="s">
        <v>74</v>
      </c>
      <c r="X4371" s="2">
        <v>168.14</v>
      </c>
    </row>
    <row r="4372" spans="1:24" x14ac:dyDescent="0.3">
      <c r="A4372">
        <v>22216</v>
      </c>
      <c r="B4372" t="s">
        <v>9981</v>
      </c>
      <c r="C4372" s="3">
        <v>41280</v>
      </c>
      <c r="D4372" t="s">
        <v>39</v>
      </c>
      <c r="E4372">
        <v>13</v>
      </c>
      <c r="F4372" s="3">
        <f ca="1">41281+(RANDBETWEEN(1,10))</f>
        <v>41291</v>
      </c>
      <c r="G4372" t="s">
        <v>26</v>
      </c>
      <c r="H4372" t="s">
        <v>27</v>
      </c>
      <c r="I4372" t="s">
        <v>52</v>
      </c>
      <c r="J4372">
        <v>297.745</v>
      </c>
      <c r="K4372">
        <v>0</v>
      </c>
      <c r="L4372">
        <v>0.38</v>
      </c>
      <c r="M4372">
        <v>18.164999999999999</v>
      </c>
      <c r="N4372">
        <v>-313.78417000000002</v>
      </c>
      <c r="O4372" s="1" t="s">
        <v>225</v>
      </c>
      <c r="P4372" s="1" t="s">
        <v>7916</v>
      </c>
      <c r="Q4372" s="1" t="s">
        <v>7917</v>
      </c>
      <c r="R4372" s="1" t="s">
        <v>391</v>
      </c>
      <c r="S4372" s="1" t="s">
        <v>7918</v>
      </c>
      <c r="T4372" s="1" t="s">
        <v>7919</v>
      </c>
      <c r="U4372" s="2" t="s">
        <v>1111</v>
      </c>
      <c r="V4372" s="2" t="s">
        <v>47</v>
      </c>
      <c r="W4372" s="2" t="s">
        <v>111</v>
      </c>
      <c r="X4372" s="2">
        <v>22.295000000000002</v>
      </c>
    </row>
    <row r="4373" spans="1:24" x14ac:dyDescent="0.3">
      <c r="A4373">
        <v>22217</v>
      </c>
      <c r="B4373" t="s">
        <v>9981</v>
      </c>
      <c r="C4373" s="3">
        <v>41280</v>
      </c>
      <c r="D4373" t="s">
        <v>39</v>
      </c>
      <c r="E4373">
        <v>9</v>
      </c>
      <c r="F4373" s="3">
        <f ca="1">41282+(RANDBETWEEN(1,10))</f>
        <v>41286</v>
      </c>
      <c r="G4373" t="s">
        <v>76</v>
      </c>
      <c r="H4373" t="s">
        <v>77</v>
      </c>
      <c r="I4373" t="s">
        <v>52</v>
      </c>
      <c r="J4373">
        <v>14628.88</v>
      </c>
      <c r="K4373">
        <v>0.1</v>
      </c>
      <c r="L4373">
        <v>0.6</v>
      </c>
      <c r="M4373">
        <v>91</v>
      </c>
      <c r="N4373">
        <v>9066.0514000000003</v>
      </c>
      <c r="O4373" s="1" t="s">
        <v>225</v>
      </c>
      <c r="P4373" s="1" t="s">
        <v>7916</v>
      </c>
      <c r="Q4373" s="1" t="s">
        <v>7917</v>
      </c>
      <c r="R4373" s="1" t="s">
        <v>391</v>
      </c>
      <c r="S4373" s="1" t="s">
        <v>7918</v>
      </c>
      <c r="T4373" s="1" t="s">
        <v>7919</v>
      </c>
      <c r="U4373" s="2" t="s">
        <v>1670</v>
      </c>
      <c r="V4373" s="2" t="s">
        <v>83</v>
      </c>
      <c r="W4373" s="2" t="s">
        <v>84</v>
      </c>
      <c r="X4373" s="2">
        <v>1753.43</v>
      </c>
    </row>
    <row r="4374" spans="1:24" x14ac:dyDescent="0.3">
      <c r="A4374">
        <v>22218</v>
      </c>
      <c r="B4374" t="s">
        <v>9982</v>
      </c>
      <c r="C4374" s="3">
        <v>41831</v>
      </c>
      <c r="D4374" t="s">
        <v>62</v>
      </c>
      <c r="E4374">
        <v>1</v>
      </c>
      <c r="F4374" s="3">
        <f ca="1">41833+(RANDBETWEEN(1,10))</f>
        <v>41837</v>
      </c>
      <c r="G4374" t="s">
        <v>26</v>
      </c>
      <c r="H4374" t="s">
        <v>27</v>
      </c>
      <c r="I4374" t="s">
        <v>28</v>
      </c>
      <c r="J4374">
        <v>42.91</v>
      </c>
      <c r="K4374">
        <v>0.06</v>
      </c>
      <c r="L4374">
        <v>0.4</v>
      </c>
      <c r="M4374">
        <v>31.29</v>
      </c>
      <c r="N4374">
        <v>-58.292304000000001</v>
      </c>
      <c r="O4374" s="1" t="s">
        <v>87</v>
      </c>
      <c r="P4374" s="1" t="s">
        <v>5169</v>
      </c>
      <c r="Q4374" s="1" t="s">
        <v>5170</v>
      </c>
      <c r="R4374" s="1" t="s">
        <v>398</v>
      </c>
      <c r="S4374" s="1" t="s">
        <v>5171</v>
      </c>
      <c r="T4374" s="1" t="s">
        <v>5172</v>
      </c>
      <c r="U4374" s="2" t="s">
        <v>2966</v>
      </c>
      <c r="V4374" s="2" t="s">
        <v>47</v>
      </c>
      <c r="W4374" s="2" t="s">
        <v>111</v>
      </c>
      <c r="X4374" s="2">
        <v>28.14</v>
      </c>
    </row>
    <row r="4375" spans="1:24" x14ac:dyDescent="0.3">
      <c r="A4375">
        <v>22219</v>
      </c>
      <c r="B4375" t="s">
        <v>9983</v>
      </c>
      <c r="C4375" s="3">
        <v>41831</v>
      </c>
      <c r="D4375" t="s">
        <v>62</v>
      </c>
      <c r="E4375">
        <v>8</v>
      </c>
      <c r="F4375" s="3">
        <f ca="1">41832+(RANDBETWEEN(1,10))</f>
        <v>41838</v>
      </c>
      <c r="G4375" t="s">
        <v>156</v>
      </c>
      <c r="H4375" t="s">
        <v>27</v>
      </c>
      <c r="I4375" t="s">
        <v>28</v>
      </c>
      <c r="J4375">
        <v>250.42500000000001</v>
      </c>
      <c r="K4375">
        <v>0.03</v>
      </c>
      <c r="L4375">
        <v>0.41</v>
      </c>
      <c r="M4375">
        <v>17.324999999999999</v>
      </c>
      <c r="N4375">
        <v>0.49503999999999998</v>
      </c>
      <c r="O4375" s="1" t="s">
        <v>87</v>
      </c>
      <c r="P4375" s="1" t="s">
        <v>9159</v>
      </c>
      <c r="Q4375" s="1" t="s">
        <v>9160</v>
      </c>
      <c r="R4375" s="1" t="s">
        <v>398</v>
      </c>
      <c r="S4375" s="1" t="s">
        <v>9161</v>
      </c>
      <c r="T4375" s="1" t="s">
        <v>9162</v>
      </c>
      <c r="U4375" s="2" t="s">
        <v>3405</v>
      </c>
      <c r="V4375" s="2" t="s">
        <v>83</v>
      </c>
      <c r="W4375" s="2" t="s">
        <v>178</v>
      </c>
      <c r="X4375" s="2">
        <v>27.86</v>
      </c>
    </row>
    <row r="4376" spans="1:24" x14ac:dyDescent="0.3">
      <c r="A4376">
        <v>22220</v>
      </c>
      <c r="B4376" t="s">
        <v>9984</v>
      </c>
      <c r="C4376" s="3">
        <v>41458</v>
      </c>
      <c r="D4376" t="s">
        <v>62</v>
      </c>
      <c r="E4376">
        <v>14</v>
      </c>
      <c r="F4376" s="3">
        <f ca="1">41458+(RANDBETWEEN(1,10))</f>
        <v>41466</v>
      </c>
      <c r="G4376" t="s">
        <v>26</v>
      </c>
      <c r="H4376" t="s">
        <v>27</v>
      </c>
      <c r="I4376" t="s">
        <v>28</v>
      </c>
      <c r="J4376">
        <v>1809.8150000000001</v>
      </c>
      <c r="K4376">
        <v>0.03</v>
      </c>
      <c r="L4376">
        <v>0.35</v>
      </c>
      <c r="M4376">
        <v>10.465</v>
      </c>
      <c r="N4376">
        <v>1248.77235</v>
      </c>
      <c r="O4376" s="1" t="s">
        <v>87</v>
      </c>
      <c r="P4376" s="1" t="s">
        <v>9771</v>
      </c>
      <c r="Q4376" s="1" t="s">
        <v>9772</v>
      </c>
      <c r="R4376" s="1" t="s">
        <v>646</v>
      </c>
      <c r="S4376" s="1" t="s">
        <v>5251</v>
      </c>
      <c r="T4376" s="1" t="s">
        <v>5252</v>
      </c>
      <c r="U4376" s="2" t="s">
        <v>1132</v>
      </c>
      <c r="V4376" s="2" t="s">
        <v>47</v>
      </c>
      <c r="W4376" s="2" t="s">
        <v>111</v>
      </c>
      <c r="X4376" s="2">
        <v>131.94999999999999</v>
      </c>
    </row>
    <row r="4377" spans="1:24" x14ac:dyDescent="0.3">
      <c r="A4377">
        <v>22221</v>
      </c>
      <c r="B4377" t="s">
        <v>9985</v>
      </c>
      <c r="C4377" s="3">
        <v>41802</v>
      </c>
      <c r="D4377" t="s">
        <v>39</v>
      </c>
      <c r="E4377">
        <v>5</v>
      </c>
      <c r="F4377" s="3">
        <f ca="1">41804+(RANDBETWEEN(1,10))</f>
        <v>41811</v>
      </c>
      <c r="G4377" t="s">
        <v>76</v>
      </c>
      <c r="H4377" t="s">
        <v>77</v>
      </c>
      <c r="I4377" t="s">
        <v>28</v>
      </c>
      <c r="J4377">
        <v>7550.375</v>
      </c>
      <c r="K4377">
        <v>0.06</v>
      </c>
      <c r="L4377">
        <v>0.38</v>
      </c>
      <c r="M4377">
        <v>171.5</v>
      </c>
      <c r="N4377">
        <v>1207.5</v>
      </c>
      <c r="O4377" s="1" t="s">
        <v>29</v>
      </c>
      <c r="P4377" s="1" t="s">
        <v>4731</v>
      </c>
      <c r="Q4377" s="1" t="s">
        <v>4732</v>
      </c>
      <c r="R4377" s="1" t="s">
        <v>32</v>
      </c>
      <c r="S4377" s="1" t="s">
        <v>4733</v>
      </c>
      <c r="T4377" s="1" t="s">
        <v>4734</v>
      </c>
      <c r="U4377" s="2" t="s">
        <v>1480</v>
      </c>
      <c r="V4377" s="2" t="s">
        <v>36</v>
      </c>
      <c r="W4377" s="2" t="s">
        <v>1327</v>
      </c>
      <c r="X4377" s="2">
        <v>1574.9649999999999</v>
      </c>
    </row>
    <row r="4378" spans="1:24" x14ac:dyDescent="0.3">
      <c r="A4378">
        <v>22222</v>
      </c>
      <c r="B4378" t="s">
        <v>9986</v>
      </c>
      <c r="C4378" s="3">
        <v>41917</v>
      </c>
      <c r="D4378" t="s">
        <v>25</v>
      </c>
      <c r="E4378">
        <v>22</v>
      </c>
      <c r="F4378" s="3">
        <f ca="1">41919+(RANDBETWEEN(1,10))</f>
        <v>41921</v>
      </c>
      <c r="G4378" t="s">
        <v>26</v>
      </c>
      <c r="H4378" t="s">
        <v>27</v>
      </c>
      <c r="I4378" t="s">
        <v>86</v>
      </c>
      <c r="J4378">
        <v>231.21</v>
      </c>
      <c r="K4378">
        <v>0.06</v>
      </c>
      <c r="L4378">
        <v>0.37</v>
      </c>
      <c r="M4378">
        <v>1.7150000000000001</v>
      </c>
      <c r="N4378">
        <v>212.39400000000001</v>
      </c>
      <c r="O4378" s="1" t="s">
        <v>53</v>
      </c>
      <c r="P4378" s="1" t="s">
        <v>2813</v>
      </c>
      <c r="Q4378" s="1" t="s">
        <v>2814</v>
      </c>
      <c r="R4378" s="1" t="s">
        <v>56</v>
      </c>
      <c r="S4378" s="1" t="s">
        <v>2815</v>
      </c>
      <c r="T4378" s="1" t="s">
        <v>2816</v>
      </c>
      <c r="U4378" s="2" t="s">
        <v>2455</v>
      </c>
      <c r="V4378" s="2" t="s">
        <v>47</v>
      </c>
      <c r="W4378" s="2" t="s">
        <v>203</v>
      </c>
      <c r="X4378" s="2">
        <v>11.025</v>
      </c>
    </row>
    <row r="4379" spans="1:24" x14ac:dyDescent="0.3">
      <c r="A4379">
        <v>22223</v>
      </c>
      <c r="B4379" t="s">
        <v>9987</v>
      </c>
      <c r="C4379" s="3">
        <v>40546</v>
      </c>
      <c r="D4379" t="s">
        <v>62</v>
      </c>
      <c r="E4379">
        <v>4</v>
      </c>
      <c r="F4379" s="3">
        <f ca="1">40548+(RANDBETWEEN(1,10))</f>
        <v>40552</v>
      </c>
      <c r="G4379" t="s">
        <v>26</v>
      </c>
      <c r="H4379" t="s">
        <v>27</v>
      </c>
      <c r="I4379" t="s">
        <v>28</v>
      </c>
      <c r="J4379">
        <v>79.87</v>
      </c>
      <c r="K4379">
        <v>0.03</v>
      </c>
      <c r="L4379">
        <v>0.4</v>
      </c>
      <c r="M4379">
        <v>19.809999999999999</v>
      </c>
      <c r="N4379">
        <v>-180.4572</v>
      </c>
      <c r="O4379" s="1" t="s">
        <v>40</v>
      </c>
      <c r="P4379" s="1" t="s">
        <v>9618</v>
      </c>
      <c r="Q4379" s="1" t="s">
        <v>9619</v>
      </c>
      <c r="R4379" s="1" t="s">
        <v>43</v>
      </c>
      <c r="S4379" s="1" t="s">
        <v>9620</v>
      </c>
      <c r="T4379" s="1" t="s">
        <v>9621</v>
      </c>
      <c r="U4379" s="2" t="s">
        <v>9988</v>
      </c>
      <c r="V4379" s="2" t="s">
        <v>47</v>
      </c>
      <c r="W4379" s="2" t="s">
        <v>74</v>
      </c>
      <c r="X4379" s="2">
        <v>18.48</v>
      </c>
    </row>
    <row r="4380" spans="1:24" x14ac:dyDescent="0.3">
      <c r="A4380">
        <v>22224</v>
      </c>
      <c r="B4380" t="s">
        <v>9987</v>
      </c>
      <c r="C4380" s="3">
        <v>40546</v>
      </c>
      <c r="D4380" t="s">
        <v>62</v>
      </c>
      <c r="E4380">
        <v>2</v>
      </c>
      <c r="F4380" s="3">
        <f ca="1">40549+(RANDBETWEEN(1,10))</f>
        <v>40555</v>
      </c>
      <c r="G4380" t="s">
        <v>26</v>
      </c>
      <c r="H4380" t="s">
        <v>27</v>
      </c>
      <c r="I4380" t="s">
        <v>28</v>
      </c>
      <c r="J4380">
        <v>660.31</v>
      </c>
      <c r="K4380">
        <v>0.01</v>
      </c>
      <c r="L4380">
        <v>0.56999999999999995</v>
      </c>
      <c r="M4380">
        <v>8.75</v>
      </c>
      <c r="N4380">
        <v>-922.48001999999997</v>
      </c>
      <c r="O4380" s="1" t="s">
        <v>40</v>
      </c>
      <c r="P4380" s="1" t="s">
        <v>9618</v>
      </c>
      <c r="Q4380" s="1" t="s">
        <v>9619</v>
      </c>
      <c r="R4380" s="1" t="s">
        <v>43</v>
      </c>
      <c r="S4380" s="1" t="s">
        <v>9620</v>
      </c>
      <c r="T4380" s="1" t="s">
        <v>9621</v>
      </c>
      <c r="U4380" s="2" t="s">
        <v>3011</v>
      </c>
      <c r="V4380" s="2" t="s">
        <v>36</v>
      </c>
      <c r="W4380" s="2" t="s">
        <v>37</v>
      </c>
      <c r="X4380" s="2">
        <v>388.46499999999997</v>
      </c>
    </row>
    <row r="4381" spans="1:24" x14ac:dyDescent="0.3">
      <c r="A4381">
        <v>22225</v>
      </c>
      <c r="B4381" t="s">
        <v>9989</v>
      </c>
      <c r="C4381" s="3">
        <v>41197</v>
      </c>
      <c r="D4381" t="s">
        <v>25</v>
      </c>
      <c r="E4381">
        <v>15</v>
      </c>
      <c r="F4381" s="3">
        <f ca="1">41201+(RANDBETWEEN(1,10))</f>
        <v>41204</v>
      </c>
      <c r="G4381" t="s">
        <v>76</v>
      </c>
      <c r="H4381" t="s">
        <v>77</v>
      </c>
      <c r="I4381" t="s">
        <v>52</v>
      </c>
      <c r="J4381">
        <v>25004.14</v>
      </c>
      <c r="K4381">
        <v>0.02</v>
      </c>
      <c r="L4381">
        <v>0.38</v>
      </c>
      <c r="M4381">
        <v>171.5</v>
      </c>
      <c r="N4381">
        <v>17252.856599999999</v>
      </c>
      <c r="O4381" s="1" t="s">
        <v>29</v>
      </c>
      <c r="P4381" s="1" t="s">
        <v>9990</v>
      </c>
      <c r="Q4381" s="1" t="s">
        <v>9991</v>
      </c>
      <c r="R4381" s="1" t="s">
        <v>32</v>
      </c>
      <c r="S4381" s="1" t="s">
        <v>2337</v>
      </c>
      <c r="T4381" s="1" t="s">
        <v>2338</v>
      </c>
      <c r="U4381" s="2" t="s">
        <v>1480</v>
      </c>
      <c r="V4381" s="2" t="s">
        <v>36</v>
      </c>
      <c r="W4381" s="2" t="s">
        <v>1327</v>
      </c>
      <c r="X4381" s="2">
        <v>1574.9649999999999</v>
      </c>
    </row>
    <row r="4382" spans="1:24" x14ac:dyDescent="0.3">
      <c r="A4382">
        <v>22226</v>
      </c>
      <c r="B4382" t="s">
        <v>9989</v>
      </c>
      <c r="C4382" s="3">
        <v>41197</v>
      </c>
      <c r="D4382" t="s">
        <v>25</v>
      </c>
      <c r="E4382">
        <v>6</v>
      </c>
      <c r="F4382" s="3">
        <f ca="1">41206+(RANDBETWEEN(1,10))</f>
        <v>41214</v>
      </c>
      <c r="G4382" t="s">
        <v>26</v>
      </c>
      <c r="H4382" t="s">
        <v>27</v>
      </c>
      <c r="I4382" t="s">
        <v>52</v>
      </c>
      <c r="J4382">
        <v>236.005</v>
      </c>
      <c r="K4382">
        <v>0.1</v>
      </c>
      <c r="L4382">
        <v>0.56999999999999995</v>
      </c>
      <c r="M4382">
        <v>30.1</v>
      </c>
      <c r="N4382">
        <v>-288.5652</v>
      </c>
      <c r="O4382" s="1" t="s">
        <v>225</v>
      </c>
      <c r="P4382" s="1" t="s">
        <v>9992</v>
      </c>
      <c r="Q4382" s="1" t="s">
        <v>9993</v>
      </c>
      <c r="R4382" s="1" t="s">
        <v>391</v>
      </c>
      <c r="S4382" s="1" t="s">
        <v>2880</v>
      </c>
      <c r="T4382" s="1" t="s">
        <v>2881</v>
      </c>
      <c r="U4382" s="2" t="s">
        <v>5550</v>
      </c>
      <c r="V4382" s="2" t="s">
        <v>47</v>
      </c>
      <c r="W4382" s="2" t="s">
        <v>119</v>
      </c>
      <c r="X4382" s="2">
        <v>39.725000000000001</v>
      </c>
    </row>
    <row r="4383" spans="1:24" x14ac:dyDescent="0.3">
      <c r="A4383">
        <v>22227</v>
      </c>
      <c r="B4383" t="s">
        <v>9989</v>
      </c>
      <c r="C4383" s="3">
        <v>41197</v>
      </c>
      <c r="D4383" t="s">
        <v>25</v>
      </c>
      <c r="E4383">
        <v>13</v>
      </c>
      <c r="F4383" s="3">
        <f ca="1">41199+(RANDBETWEEN(1,10))</f>
        <v>41209</v>
      </c>
      <c r="G4383" t="s">
        <v>76</v>
      </c>
      <c r="H4383" t="s">
        <v>258</v>
      </c>
      <c r="I4383" t="s">
        <v>52</v>
      </c>
      <c r="J4383">
        <v>16662.345000000001</v>
      </c>
      <c r="K4383">
        <v>0.1</v>
      </c>
      <c r="L4383">
        <v>0.36</v>
      </c>
      <c r="M4383">
        <v>168.91</v>
      </c>
      <c r="N4383">
        <v>10486.9282</v>
      </c>
      <c r="O4383" s="1" t="s">
        <v>87</v>
      </c>
      <c r="P4383" s="1" t="s">
        <v>9994</v>
      </c>
      <c r="Q4383" s="1" t="s">
        <v>9995</v>
      </c>
      <c r="R4383" s="1" t="s">
        <v>90</v>
      </c>
      <c r="S4383" s="1" t="s">
        <v>9996</v>
      </c>
      <c r="T4383" s="1" t="s">
        <v>9997</v>
      </c>
      <c r="U4383" s="2" t="s">
        <v>7536</v>
      </c>
      <c r="V4383" s="2" t="s">
        <v>36</v>
      </c>
      <c r="W4383" s="2" t="s">
        <v>142</v>
      </c>
      <c r="X4383" s="2">
        <v>1403.395</v>
      </c>
    </row>
    <row r="4384" spans="1:24" x14ac:dyDescent="0.3">
      <c r="A4384">
        <v>22228</v>
      </c>
      <c r="B4384" t="s">
        <v>9989</v>
      </c>
      <c r="C4384" s="3">
        <v>41197</v>
      </c>
      <c r="D4384" t="s">
        <v>25</v>
      </c>
      <c r="E4384">
        <v>16</v>
      </c>
      <c r="F4384" s="3">
        <f ca="1">41197+(RANDBETWEEN(1,10))</f>
        <v>41204</v>
      </c>
      <c r="G4384" t="s">
        <v>26</v>
      </c>
      <c r="H4384" t="s">
        <v>51</v>
      </c>
      <c r="I4384" t="s">
        <v>52</v>
      </c>
      <c r="J4384">
        <v>1307.04</v>
      </c>
      <c r="K4384">
        <v>0</v>
      </c>
      <c r="L4384">
        <v>0.59</v>
      </c>
      <c r="M4384">
        <v>31.465</v>
      </c>
      <c r="N4384">
        <v>63.5306</v>
      </c>
      <c r="O4384" s="1" t="s">
        <v>64</v>
      </c>
      <c r="P4384" s="1" t="s">
        <v>9998</v>
      </c>
      <c r="Q4384" s="1" t="s">
        <v>9999</v>
      </c>
      <c r="R4384" s="1" t="s">
        <v>128</v>
      </c>
      <c r="S4384" s="1" t="s">
        <v>6481</v>
      </c>
      <c r="T4384" s="1" t="s">
        <v>6482</v>
      </c>
      <c r="U4384" s="2" t="s">
        <v>2789</v>
      </c>
      <c r="V4384" s="2" t="s">
        <v>47</v>
      </c>
      <c r="W4384" s="2" t="s">
        <v>104</v>
      </c>
      <c r="X4384" s="2">
        <v>74.83</v>
      </c>
    </row>
    <row r="4385" spans="1:24" x14ac:dyDescent="0.3">
      <c r="A4385">
        <v>22229</v>
      </c>
      <c r="B4385" t="s">
        <v>10000</v>
      </c>
      <c r="C4385" s="3">
        <v>41438</v>
      </c>
      <c r="D4385" t="s">
        <v>148</v>
      </c>
      <c r="E4385">
        <v>18</v>
      </c>
      <c r="F4385" s="3">
        <f ca="1">41440+(RANDBETWEEN(1,10))</f>
        <v>41449</v>
      </c>
      <c r="G4385" t="s">
        <v>76</v>
      </c>
      <c r="H4385" t="s">
        <v>77</v>
      </c>
      <c r="I4385" t="s">
        <v>97</v>
      </c>
      <c r="J4385">
        <v>11118.24</v>
      </c>
      <c r="K4385">
        <v>0.06</v>
      </c>
      <c r="L4385">
        <v>0.56999999999999995</v>
      </c>
      <c r="M4385">
        <v>193.34</v>
      </c>
      <c r="N4385">
        <v>1821.2460000000001</v>
      </c>
      <c r="O4385" s="1" t="s">
        <v>87</v>
      </c>
      <c r="P4385" s="1" t="s">
        <v>4138</v>
      </c>
      <c r="Q4385" s="1" t="s">
        <v>4139</v>
      </c>
      <c r="R4385" s="1" t="s">
        <v>90</v>
      </c>
      <c r="S4385" s="1" t="s">
        <v>4140</v>
      </c>
      <c r="T4385" s="1" t="s">
        <v>4141</v>
      </c>
      <c r="U4385" s="2" t="s">
        <v>4544</v>
      </c>
      <c r="V4385" s="2" t="s">
        <v>47</v>
      </c>
      <c r="W4385" s="2" t="s">
        <v>71</v>
      </c>
      <c r="X4385" s="2">
        <v>633.42999999999995</v>
      </c>
    </row>
    <row r="4386" spans="1:24" x14ac:dyDescent="0.3">
      <c r="A4386">
        <v>22230</v>
      </c>
      <c r="B4386" t="s">
        <v>10001</v>
      </c>
      <c r="C4386" s="3">
        <v>41718</v>
      </c>
      <c r="D4386" t="s">
        <v>50</v>
      </c>
      <c r="E4386">
        <v>11</v>
      </c>
      <c r="F4386" s="3">
        <f ca="1">41719+(RANDBETWEEN(1,10))</f>
        <v>41724</v>
      </c>
      <c r="G4386" t="s">
        <v>26</v>
      </c>
      <c r="H4386" t="s">
        <v>96</v>
      </c>
      <c r="I4386" t="s">
        <v>97</v>
      </c>
      <c r="J4386">
        <v>222.81</v>
      </c>
      <c r="K4386">
        <v>0.02</v>
      </c>
      <c r="L4386">
        <v>0.56000000000000005</v>
      </c>
      <c r="M4386">
        <v>7.9450000000000003</v>
      </c>
      <c r="N4386">
        <v>-5.4950000000000001</v>
      </c>
      <c r="O4386" s="1" t="s">
        <v>64</v>
      </c>
      <c r="P4386" s="1" t="s">
        <v>8217</v>
      </c>
      <c r="Q4386" s="1" t="s">
        <v>8218</v>
      </c>
      <c r="R4386" s="1" t="s">
        <v>67</v>
      </c>
      <c r="S4386" s="1" t="s">
        <v>7405</v>
      </c>
      <c r="T4386" s="1" t="s">
        <v>8219</v>
      </c>
      <c r="U4386" s="2" t="s">
        <v>212</v>
      </c>
      <c r="V4386" s="2" t="s">
        <v>47</v>
      </c>
      <c r="W4386" s="2" t="s">
        <v>104</v>
      </c>
      <c r="X4386" s="2">
        <v>20.475000000000001</v>
      </c>
    </row>
    <row r="4387" spans="1:24" x14ac:dyDescent="0.3">
      <c r="A4387">
        <v>22231</v>
      </c>
      <c r="B4387" t="s">
        <v>10002</v>
      </c>
      <c r="C4387" s="3">
        <v>40575</v>
      </c>
      <c r="D4387" t="s">
        <v>62</v>
      </c>
      <c r="E4387">
        <v>10</v>
      </c>
      <c r="F4387" s="3">
        <f ca="1">40577+(RANDBETWEEN(1,10))</f>
        <v>40585</v>
      </c>
      <c r="G4387" t="s">
        <v>76</v>
      </c>
      <c r="H4387" t="s">
        <v>77</v>
      </c>
      <c r="I4387" t="s">
        <v>52</v>
      </c>
      <c r="J4387">
        <v>2799.16</v>
      </c>
      <c r="K4387">
        <v>0.06</v>
      </c>
      <c r="L4387">
        <v>0.37</v>
      </c>
      <c r="M4387">
        <v>117.6</v>
      </c>
      <c r="N4387">
        <v>-53.145400000000002</v>
      </c>
      <c r="O4387" s="1" t="s">
        <v>40</v>
      </c>
      <c r="P4387" s="1" t="s">
        <v>7471</v>
      </c>
      <c r="Q4387" s="1" t="s">
        <v>7472</v>
      </c>
      <c r="R4387" s="1" t="s">
        <v>220</v>
      </c>
      <c r="S4387" s="1" t="s">
        <v>7473</v>
      </c>
      <c r="T4387" s="1" t="s">
        <v>7474</v>
      </c>
      <c r="U4387" s="2" t="s">
        <v>3448</v>
      </c>
      <c r="V4387" s="2" t="s">
        <v>36</v>
      </c>
      <c r="W4387" s="2" t="s">
        <v>142</v>
      </c>
      <c r="X4387" s="2">
        <v>283.39499999999998</v>
      </c>
    </row>
    <row r="4388" spans="1:24" x14ac:dyDescent="0.3">
      <c r="A4388">
        <v>22232</v>
      </c>
      <c r="B4388" t="s">
        <v>10003</v>
      </c>
      <c r="C4388" s="3">
        <v>41883</v>
      </c>
      <c r="D4388" t="s">
        <v>50</v>
      </c>
      <c r="E4388">
        <v>17</v>
      </c>
      <c r="F4388" s="3">
        <f ca="1">41885+(RANDBETWEEN(1,10))</f>
        <v>41890</v>
      </c>
      <c r="G4388" t="s">
        <v>26</v>
      </c>
      <c r="H4388" t="s">
        <v>27</v>
      </c>
      <c r="I4388" t="s">
        <v>28</v>
      </c>
      <c r="J4388">
        <v>561.08500000000004</v>
      </c>
      <c r="K4388">
        <v>0.03</v>
      </c>
      <c r="L4388">
        <v>0.56999999999999995</v>
      </c>
      <c r="M4388">
        <v>17.254999999999999</v>
      </c>
      <c r="N4388">
        <v>-29.5596</v>
      </c>
      <c r="O4388" s="1" t="s">
        <v>40</v>
      </c>
      <c r="P4388" s="1" t="s">
        <v>1601</v>
      </c>
      <c r="Q4388" s="1" t="s">
        <v>1602</v>
      </c>
      <c r="R4388" s="1" t="s">
        <v>43</v>
      </c>
      <c r="S4388" s="1" t="s">
        <v>1603</v>
      </c>
      <c r="T4388" s="1" t="s">
        <v>1604</v>
      </c>
      <c r="U4388" s="2" t="s">
        <v>1718</v>
      </c>
      <c r="V4388" s="2" t="s">
        <v>83</v>
      </c>
      <c r="W4388" s="2" t="s">
        <v>178</v>
      </c>
      <c r="X4388" s="2">
        <v>32.83</v>
      </c>
    </row>
    <row r="4389" spans="1:24" x14ac:dyDescent="0.3">
      <c r="A4389">
        <v>22233</v>
      </c>
      <c r="B4389" t="s">
        <v>10004</v>
      </c>
      <c r="C4389" s="3">
        <v>41625</v>
      </c>
      <c r="D4389" t="s">
        <v>39</v>
      </c>
      <c r="E4389">
        <v>13</v>
      </c>
      <c r="F4389" s="3">
        <f ca="1">41627+(RANDBETWEEN(1,10))</f>
        <v>41631</v>
      </c>
      <c r="G4389" t="s">
        <v>26</v>
      </c>
      <c r="H4389" t="s">
        <v>27</v>
      </c>
      <c r="I4389" t="s">
        <v>97</v>
      </c>
      <c r="J4389">
        <v>373.625</v>
      </c>
      <c r="K4389">
        <v>0.05</v>
      </c>
      <c r="L4389">
        <v>0.4</v>
      </c>
      <c r="M4389">
        <v>31.29</v>
      </c>
      <c r="N4389">
        <v>-439.75540000000001</v>
      </c>
      <c r="O4389" s="1" t="s">
        <v>225</v>
      </c>
      <c r="P4389" s="1" t="s">
        <v>7829</v>
      </c>
      <c r="Q4389" s="1" t="s">
        <v>7830</v>
      </c>
      <c r="R4389" s="1" t="s">
        <v>228</v>
      </c>
      <c r="S4389" s="1" t="s">
        <v>7831</v>
      </c>
      <c r="T4389" s="1" t="s">
        <v>7832</v>
      </c>
      <c r="U4389" s="2" t="s">
        <v>2966</v>
      </c>
      <c r="V4389" s="2" t="s">
        <v>47</v>
      </c>
      <c r="W4389" s="2" t="s">
        <v>111</v>
      </c>
      <c r="X4389" s="2">
        <v>28.14</v>
      </c>
    </row>
    <row r="4390" spans="1:24" x14ac:dyDescent="0.3">
      <c r="A4390">
        <v>22234</v>
      </c>
      <c r="B4390" t="s">
        <v>10005</v>
      </c>
      <c r="C4390" s="3">
        <v>40551</v>
      </c>
      <c r="D4390" t="s">
        <v>50</v>
      </c>
      <c r="E4390">
        <v>6</v>
      </c>
      <c r="F4390" s="3">
        <f ca="1">40552+(RANDBETWEEN(1,10))</f>
        <v>40553</v>
      </c>
      <c r="G4390" t="s">
        <v>26</v>
      </c>
      <c r="H4390" t="s">
        <v>27</v>
      </c>
      <c r="I4390" t="s">
        <v>97</v>
      </c>
      <c r="J4390">
        <v>296.065</v>
      </c>
      <c r="K4390">
        <v>7.0000000000000007E-2</v>
      </c>
      <c r="L4390">
        <v>0.57999999999999996</v>
      </c>
      <c r="M4390">
        <v>12.25</v>
      </c>
      <c r="N4390">
        <v>-159.34800000000001</v>
      </c>
      <c r="O4390" s="1" t="s">
        <v>87</v>
      </c>
      <c r="P4390" s="1" t="s">
        <v>2075</v>
      </c>
      <c r="Q4390" s="1" t="s">
        <v>2076</v>
      </c>
      <c r="R4390" s="1" t="s">
        <v>398</v>
      </c>
      <c r="S4390" s="1" t="s">
        <v>2077</v>
      </c>
      <c r="T4390" s="1" t="s">
        <v>2078</v>
      </c>
      <c r="U4390" s="2" t="s">
        <v>2871</v>
      </c>
      <c r="V4390" s="2" t="s">
        <v>47</v>
      </c>
      <c r="W4390" s="2" t="s">
        <v>71</v>
      </c>
      <c r="X4390" s="2">
        <v>50.96</v>
      </c>
    </row>
    <row r="4391" spans="1:24" x14ac:dyDescent="0.3">
      <c r="A4391">
        <v>22235</v>
      </c>
      <c r="B4391" t="s">
        <v>10006</v>
      </c>
      <c r="C4391" s="3">
        <v>41137</v>
      </c>
      <c r="D4391" t="s">
        <v>25</v>
      </c>
      <c r="E4391">
        <v>3</v>
      </c>
      <c r="F4391" s="3">
        <f ca="1">41144+(RANDBETWEEN(1,10))</f>
        <v>41145</v>
      </c>
      <c r="G4391" t="s">
        <v>156</v>
      </c>
      <c r="H4391" t="s">
        <v>63</v>
      </c>
      <c r="I4391" t="s">
        <v>28</v>
      </c>
      <c r="J4391">
        <v>7000.91</v>
      </c>
      <c r="K4391">
        <v>0.09</v>
      </c>
      <c r="L4391">
        <v>0.41</v>
      </c>
      <c r="M4391">
        <v>85.715000000000003</v>
      </c>
      <c r="N4391">
        <v>-660.44159999999999</v>
      </c>
      <c r="O4391" s="1" t="s">
        <v>225</v>
      </c>
      <c r="P4391" s="1" t="s">
        <v>883</v>
      </c>
      <c r="Q4391" s="1" t="s">
        <v>884</v>
      </c>
      <c r="R4391" s="1" t="s">
        <v>228</v>
      </c>
      <c r="S4391" s="1" t="s">
        <v>885</v>
      </c>
      <c r="T4391" s="1" t="s">
        <v>886</v>
      </c>
      <c r="U4391" s="2" t="s">
        <v>1326</v>
      </c>
      <c r="V4391" s="2" t="s">
        <v>36</v>
      </c>
      <c r="W4391" s="2" t="s">
        <v>1327</v>
      </c>
      <c r="X4391" s="2">
        <v>2449.9650000000001</v>
      </c>
    </row>
    <row r="4392" spans="1:24" x14ac:dyDescent="0.3">
      <c r="A4392">
        <v>22236</v>
      </c>
      <c r="B4392" t="s">
        <v>10007</v>
      </c>
      <c r="C4392" s="3">
        <v>41492</v>
      </c>
      <c r="D4392" t="s">
        <v>25</v>
      </c>
      <c r="E4392">
        <v>12</v>
      </c>
      <c r="F4392" s="3">
        <f ca="1">41497+(RANDBETWEEN(1,10))</f>
        <v>41505</v>
      </c>
      <c r="G4392" t="s">
        <v>76</v>
      </c>
      <c r="H4392" t="s">
        <v>258</v>
      </c>
      <c r="I4392" t="s">
        <v>86</v>
      </c>
      <c r="J4392">
        <v>9245.7049999999999</v>
      </c>
      <c r="K4392">
        <v>0.08</v>
      </c>
      <c r="L4392">
        <v>0.77</v>
      </c>
      <c r="M4392">
        <v>243.74</v>
      </c>
      <c r="N4392">
        <v>-962.14868750000005</v>
      </c>
      <c r="O4392" s="1" t="s">
        <v>87</v>
      </c>
      <c r="P4392" s="1" t="s">
        <v>1578</v>
      </c>
      <c r="Q4392" s="1" t="s">
        <v>1579</v>
      </c>
      <c r="R4392" s="1" t="s">
        <v>90</v>
      </c>
      <c r="S4392" s="1" t="s">
        <v>1580</v>
      </c>
      <c r="T4392" s="1" t="s">
        <v>1581</v>
      </c>
      <c r="U4392" s="2" t="s">
        <v>1233</v>
      </c>
      <c r="V4392" s="2" t="s">
        <v>83</v>
      </c>
      <c r="W4392" s="2" t="s">
        <v>263</v>
      </c>
      <c r="X4392" s="2">
        <v>765.625</v>
      </c>
    </row>
    <row r="4393" spans="1:24" x14ac:dyDescent="0.3">
      <c r="A4393">
        <v>22237</v>
      </c>
      <c r="B4393" t="s">
        <v>10008</v>
      </c>
      <c r="C4393" s="3">
        <v>41807</v>
      </c>
      <c r="D4393" t="s">
        <v>50</v>
      </c>
      <c r="E4393">
        <v>14</v>
      </c>
      <c r="F4393" s="3">
        <f ca="1">41809+(RANDBETWEEN(1,10))</f>
        <v>41810</v>
      </c>
      <c r="G4393" t="s">
        <v>26</v>
      </c>
      <c r="H4393" t="s">
        <v>27</v>
      </c>
      <c r="I4393" t="s">
        <v>52</v>
      </c>
      <c r="J4393">
        <v>980.17499999999995</v>
      </c>
      <c r="K4393">
        <v>0.06</v>
      </c>
      <c r="L4393">
        <v>0.49</v>
      </c>
      <c r="M4393">
        <v>36.715000000000003</v>
      </c>
      <c r="N4393">
        <v>124.866</v>
      </c>
      <c r="O4393" s="1" t="s">
        <v>40</v>
      </c>
      <c r="P4393" s="1" t="s">
        <v>10009</v>
      </c>
      <c r="Q4393" s="1" t="s">
        <v>10010</v>
      </c>
      <c r="R4393" s="1" t="s">
        <v>43</v>
      </c>
      <c r="S4393" s="1" t="s">
        <v>1989</v>
      </c>
      <c r="T4393" s="1" t="s">
        <v>10011</v>
      </c>
      <c r="U4393" s="2" t="s">
        <v>2586</v>
      </c>
      <c r="V4393" s="2" t="s">
        <v>83</v>
      </c>
      <c r="W4393" s="2" t="s">
        <v>178</v>
      </c>
      <c r="X4393" s="2">
        <v>69.930000000000007</v>
      </c>
    </row>
    <row r="4394" spans="1:24" x14ac:dyDescent="0.3">
      <c r="A4394">
        <v>22238</v>
      </c>
      <c r="B4394" t="s">
        <v>10012</v>
      </c>
      <c r="C4394" s="3">
        <v>41985</v>
      </c>
      <c r="D4394" t="s">
        <v>148</v>
      </c>
      <c r="E4394">
        <v>4</v>
      </c>
      <c r="F4394" s="3">
        <f ca="1">41986+(RANDBETWEEN(1,10))</f>
        <v>41987</v>
      </c>
      <c r="G4394" t="s">
        <v>26</v>
      </c>
      <c r="H4394" t="s">
        <v>27</v>
      </c>
      <c r="I4394" t="s">
        <v>28</v>
      </c>
      <c r="J4394">
        <v>28.84</v>
      </c>
      <c r="K4394">
        <v>0.1</v>
      </c>
      <c r="L4394">
        <v>0.38</v>
      </c>
      <c r="M4394">
        <v>5.2149999999999999</v>
      </c>
      <c r="N4394">
        <v>-8.0197319999999994</v>
      </c>
      <c r="O4394" s="1" t="s">
        <v>29</v>
      </c>
      <c r="P4394" s="1" t="s">
        <v>10013</v>
      </c>
      <c r="Q4394" s="1" t="s">
        <v>10014</v>
      </c>
      <c r="R4394" s="1" t="s">
        <v>675</v>
      </c>
      <c r="S4394" s="1" t="s">
        <v>10015</v>
      </c>
      <c r="T4394" s="1" t="s">
        <v>10016</v>
      </c>
      <c r="U4394" s="2" t="s">
        <v>7281</v>
      </c>
      <c r="V4394" s="2" t="s">
        <v>47</v>
      </c>
      <c r="W4394" s="2" t="s">
        <v>111</v>
      </c>
      <c r="X4394" s="2">
        <v>7.28</v>
      </c>
    </row>
    <row r="4395" spans="1:24" x14ac:dyDescent="0.3">
      <c r="A4395">
        <v>22239</v>
      </c>
      <c r="B4395" t="s">
        <v>10017</v>
      </c>
      <c r="C4395" s="3">
        <v>41255</v>
      </c>
      <c r="D4395" t="s">
        <v>148</v>
      </c>
      <c r="E4395">
        <v>2</v>
      </c>
      <c r="F4395" s="3">
        <f ca="1">41257+(RANDBETWEEN(1,10))</f>
        <v>41264</v>
      </c>
      <c r="G4395" t="s">
        <v>76</v>
      </c>
      <c r="H4395" t="s">
        <v>77</v>
      </c>
      <c r="I4395" t="s">
        <v>28</v>
      </c>
      <c r="J4395">
        <v>243.07499999999999</v>
      </c>
      <c r="K4395">
        <v>0.09</v>
      </c>
      <c r="L4395">
        <v>0.57999999999999996</v>
      </c>
      <c r="M4395">
        <v>67.165000000000006</v>
      </c>
      <c r="N4395">
        <v>-155.12</v>
      </c>
      <c r="O4395" s="1" t="s">
        <v>29</v>
      </c>
      <c r="P4395" s="1" t="s">
        <v>10018</v>
      </c>
      <c r="Q4395" s="1" t="s">
        <v>10019</v>
      </c>
      <c r="R4395" s="1" t="s">
        <v>32</v>
      </c>
      <c r="S4395" s="1" t="s">
        <v>10020</v>
      </c>
      <c r="T4395" s="1" t="s">
        <v>7041</v>
      </c>
      <c r="U4395" s="2" t="s">
        <v>8686</v>
      </c>
      <c r="V4395" s="2" t="s">
        <v>83</v>
      </c>
      <c r="W4395" s="2" t="s">
        <v>84</v>
      </c>
      <c r="X4395" s="2">
        <v>118.79</v>
      </c>
    </row>
    <row r="4396" spans="1:24" x14ac:dyDescent="0.3">
      <c r="A4396">
        <v>22240</v>
      </c>
      <c r="B4396" t="s">
        <v>10017</v>
      </c>
      <c r="C4396" s="3">
        <v>41255</v>
      </c>
      <c r="D4396" t="s">
        <v>148</v>
      </c>
      <c r="E4396">
        <v>23</v>
      </c>
      <c r="F4396" s="3">
        <f ca="1">41258+(RANDBETWEEN(1,10))</f>
        <v>41268</v>
      </c>
      <c r="G4396" t="s">
        <v>26</v>
      </c>
      <c r="H4396" t="s">
        <v>27</v>
      </c>
      <c r="I4396" t="s">
        <v>28</v>
      </c>
      <c r="J4396">
        <v>1112.4749999999999</v>
      </c>
      <c r="K4396">
        <v>0.03</v>
      </c>
      <c r="L4396">
        <v>0.43</v>
      </c>
      <c r="M4396">
        <v>30.73</v>
      </c>
      <c r="N4396">
        <v>-29.645</v>
      </c>
      <c r="O4396" s="1" t="s">
        <v>29</v>
      </c>
      <c r="P4396" s="1" t="s">
        <v>10018</v>
      </c>
      <c r="Q4396" s="1" t="s">
        <v>10019</v>
      </c>
      <c r="R4396" s="1" t="s">
        <v>32</v>
      </c>
      <c r="S4396" s="1" t="s">
        <v>10020</v>
      </c>
      <c r="T4396" s="1" t="s">
        <v>7041</v>
      </c>
      <c r="U4396" s="2" t="s">
        <v>4722</v>
      </c>
      <c r="V4396" s="2" t="s">
        <v>83</v>
      </c>
      <c r="W4396" s="2" t="s">
        <v>178</v>
      </c>
      <c r="X4396" s="2">
        <v>48.265000000000001</v>
      </c>
    </row>
    <row r="4397" spans="1:24" x14ac:dyDescent="0.3">
      <c r="A4397">
        <v>22241</v>
      </c>
      <c r="B4397" t="s">
        <v>10021</v>
      </c>
      <c r="C4397" s="3">
        <v>41186</v>
      </c>
      <c r="D4397" t="s">
        <v>62</v>
      </c>
      <c r="E4397">
        <v>14</v>
      </c>
      <c r="F4397" s="3">
        <f ca="1">41187+(RANDBETWEEN(1,10))</f>
        <v>41193</v>
      </c>
      <c r="G4397" t="s">
        <v>26</v>
      </c>
      <c r="H4397" t="s">
        <v>27</v>
      </c>
      <c r="I4397" t="s">
        <v>97</v>
      </c>
      <c r="J4397">
        <v>724.32500000000005</v>
      </c>
      <c r="K4397">
        <v>0.06</v>
      </c>
      <c r="L4397">
        <v>0.38</v>
      </c>
      <c r="M4397">
        <v>4.8650000000000002</v>
      </c>
      <c r="N4397">
        <v>499.78424999999999</v>
      </c>
      <c r="O4397" s="1" t="s">
        <v>40</v>
      </c>
      <c r="P4397" s="1" t="s">
        <v>10022</v>
      </c>
      <c r="Q4397" s="1" t="s">
        <v>10023</v>
      </c>
      <c r="R4397" s="1" t="s">
        <v>43</v>
      </c>
      <c r="S4397" s="1" t="s">
        <v>10024</v>
      </c>
      <c r="T4397" s="1" t="s">
        <v>10025</v>
      </c>
      <c r="U4397" s="2" t="s">
        <v>2327</v>
      </c>
      <c r="V4397" s="2" t="s">
        <v>47</v>
      </c>
      <c r="W4397" s="2" t="s">
        <v>48</v>
      </c>
      <c r="X4397" s="2">
        <v>54.494999999999997</v>
      </c>
    </row>
    <row r="4398" spans="1:24" x14ac:dyDescent="0.3">
      <c r="A4398">
        <v>22242</v>
      </c>
      <c r="B4398" t="s">
        <v>10026</v>
      </c>
      <c r="C4398" s="3">
        <v>41303</v>
      </c>
      <c r="D4398" t="s">
        <v>50</v>
      </c>
      <c r="E4398">
        <v>9</v>
      </c>
      <c r="F4398" s="3">
        <f ca="1">41305+(RANDBETWEEN(1,10))</f>
        <v>41311</v>
      </c>
      <c r="G4398" t="s">
        <v>26</v>
      </c>
      <c r="H4398" t="s">
        <v>27</v>
      </c>
      <c r="I4398" t="s">
        <v>97</v>
      </c>
      <c r="J4398">
        <v>805.56</v>
      </c>
      <c r="K4398">
        <v>0.02</v>
      </c>
      <c r="L4398">
        <v>0.39</v>
      </c>
      <c r="M4398">
        <v>45.43</v>
      </c>
      <c r="N4398">
        <v>88.766859999999994</v>
      </c>
      <c r="O4398" s="1" t="s">
        <v>87</v>
      </c>
      <c r="P4398" s="1" t="s">
        <v>10027</v>
      </c>
      <c r="Q4398" s="1" t="s">
        <v>10028</v>
      </c>
      <c r="R4398" s="1" t="s">
        <v>646</v>
      </c>
      <c r="S4398" s="1" t="s">
        <v>2685</v>
      </c>
      <c r="T4398" s="1" t="s">
        <v>2686</v>
      </c>
      <c r="U4398" s="2" t="s">
        <v>559</v>
      </c>
      <c r="V4398" s="2" t="s">
        <v>47</v>
      </c>
      <c r="W4398" s="2" t="s">
        <v>111</v>
      </c>
      <c r="X4398" s="2">
        <v>87.22</v>
      </c>
    </row>
    <row r="4399" spans="1:24" x14ac:dyDescent="0.3">
      <c r="A4399">
        <v>22243</v>
      </c>
      <c r="B4399" t="s">
        <v>10029</v>
      </c>
      <c r="C4399" s="3">
        <v>40652</v>
      </c>
      <c r="D4399" t="s">
        <v>25</v>
      </c>
      <c r="E4399">
        <v>8</v>
      </c>
      <c r="F4399" s="3">
        <f ca="1">40659+(RANDBETWEEN(1,10))</f>
        <v>40662</v>
      </c>
      <c r="G4399" t="s">
        <v>26</v>
      </c>
      <c r="H4399" t="s">
        <v>281</v>
      </c>
      <c r="I4399" t="s">
        <v>97</v>
      </c>
      <c r="J4399">
        <v>2337.44</v>
      </c>
      <c r="K4399">
        <v>0.01</v>
      </c>
      <c r="L4399">
        <v>0.74</v>
      </c>
      <c r="M4399">
        <v>168.7</v>
      </c>
      <c r="N4399">
        <v>-142.39400000000001</v>
      </c>
      <c r="O4399" s="1" t="s">
        <v>40</v>
      </c>
      <c r="P4399" s="1" t="s">
        <v>8226</v>
      </c>
      <c r="Q4399" s="1" t="s">
        <v>8227</v>
      </c>
      <c r="R4399" s="1" t="s">
        <v>43</v>
      </c>
      <c r="S4399" s="1" t="s">
        <v>8228</v>
      </c>
      <c r="T4399" s="1" t="s">
        <v>8229</v>
      </c>
      <c r="U4399" s="2" t="s">
        <v>2660</v>
      </c>
      <c r="V4399" s="2" t="s">
        <v>83</v>
      </c>
      <c r="W4399" s="2" t="s">
        <v>178</v>
      </c>
      <c r="X4399" s="2">
        <v>278.32</v>
      </c>
    </row>
    <row r="4400" spans="1:24" x14ac:dyDescent="0.3">
      <c r="A4400">
        <v>22244</v>
      </c>
      <c r="B4400" t="s">
        <v>10030</v>
      </c>
      <c r="C4400" s="3">
        <v>41836</v>
      </c>
      <c r="D4400" t="s">
        <v>25</v>
      </c>
      <c r="E4400">
        <v>16</v>
      </c>
      <c r="F4400" s="3">
        <f ca="1">41836+(RANDBETWEEN(1,10))</f>
        <v>41842</v>
      </c>
      <c r="G4400" t="s">
        <v>26</v>
      </c>
      <c r="H4400" t="s">
        <v>27</v>
      </c>
      <c r="I4400" t="s">
        <v>97</v>
      </c>
      <c r="J4400">
        <v>2132.9699999999998</v>
      </c>
      <c r="K4400">
        <v>0.1</v>
      </c>
      <c r="L4400">
        <v>0.56999999999999995</v>
      </c>
      <c r="M4400">
        <v>17.465</v>
      </c>
      <c r="N4400">
        <v>1356.9655680000001</v>
      </c>
      <c r="O4400" s="1" t="s">
        <v>225</v>
      </c>
      <c r="P4400" s="1" t="s">
        <v>8053</v>
      </c>
      <c r="Q4400" s="1" t="s">
        <v>8054</v>
      </c>
      <c r="R4400" s="1" t="s">
        <v>228</v>
      </c>
      <c r="S4400" s="1" t="s">
        <v>8055</v>
      </c>
      <c r="T4400" s="1" t="s">
        <v>8056</v>
      </c>
      <c r="U4400" s="2" t="s">
        <v>5082</v>
      </c>
      <c r="V4400" s="2" t="s">
        <v>36</v>
      </c>
      <c r="W4400" s="2" t="s">
        <v>37</v>
      </c>
      <c r="X4400" s="2">
        <v>160.965</v>
      </c>
    </row>
    <row r="4401" spans="1:24" x14ac:dyDescent="0.3">
      <c r="A4401">
        <v>22245</v>
      </c>
      <c r="B4401" t="s">
        <v>10031</v>
      </c>
      <c r="C4401" s="3">
        <v>41797</v>
      </c>
      <c r="D4401" t="s">
        <v>148</v>
      </c>
      <c r="E4401">
        <v>7</v>
      </c>
      <c r="F4401" s="3">
        <f ca="1">41798+(RANDBETWEEN(1,10))</f>
        <v>41803</v>
      </c>
      <c r="G4401" t="s">
        <v>26</v>
      </c>
      <c r="H4401" t="s">
        <v>96</v>
      </c>
      <c r="I4401" t="s">
        <v>86</v>
      </c>
      <c r="J4401">
        <v>183.05</v>
      </c>
      <c r="K4401">
        <v>0.05</v>
      </c>
      <c r="L4401">
        <v>0.4</v>
      </c>
      <c r="M4401">
        <v>5.9850000000000003</v>
      </c>
      <c r="N4401">
        <v>126.3045</v>
      </c>
      <c r="O4401" s="1" t="s">
        <v>29</v>
      </c>
      <c r="P4401" s="1" t="s">
        <v>8895</v>
      </c>
      <c r="Q4401" s="1" t="s">
        <v>8896</v>
      </c>
      <c r="R4401" s="1" t="s">
        <v>460</v>
      </c>
      <c r="S4401" s="1" t="s">
        <v>8897</v>
      </c>
      <c r="T4401" s="1" t="s">
        <v>8898</v>
      </c>
      <c r="U4401" s="2" t="s">
        <v>5167</v>
      </c>
      <c r="V4401" s="2" t="s">
        <v>47</v>
      </c>
      <c r="W4401" s="2" t="s">
        <v>74</v>
      </c>
      <c r="X4401" s="2">
        <v>25.9</v>
      </c>
    </row>
    <row r="4402" spans="1:24" x14ac:dyDescent="0.3">
      <c r="A4402">
        <v>22246</v>
      </c>
      <c r="B4402" t="s">
        <v>10032</v>
      </c>
      <c r="C4402" s="3">
        <v>40820</v>
      </c>
      <c r="D4402" t="s">
        <v>25</v>
      </c>
      <c r="E4402">
        <v>17</v>
      </c>
      <c r="F4402" s="3">
        <f ca="1">40827+(RANDBETWEEN(1,10))</f>
        <v>40837</v>
      </c>
      <c r="G4402" t="s">
        <v>156</v>
      </c>
      <c r="H4402" t="s">
        <v>27</v>
      </c>
      <c r="I4402" t="s">
        <v>97</v>
      </c>
      <c r="J4402">
        <v>588.14</v>
      </c>
      <c r="K4402">
        <v>0.1</v>
      </c>
      <c r="L4402">
        <v>0.39</v>
      </c>
      <c r="M4402">
        <v>20.125</v>
      </c>
      <c r="N4402">
        <v>440.03399999999999</v>
      </c>
      <c r="O4402" s="1" t="s">
        <v>40</v>
      </c>
      <c r="P4402" s="1" t="s">
        <v>8516</v>
      </c>
      <c r="Q4402" s="1" t="s">
        <v>8517</v>
      </c>
      <c r="R4402" s="1" t="s">
        <v>43</v>
      </c>
      <c r="S4402" s="1" t="s">
        <v>8518</v>
      </c>
      <c r="T4402" s="1" t="s">
        <v>8519</v>
      </c>
      <c r="U4402" s="2" t="s">
        <v>10033</v>
      </c>
      <c r="V4402" s="2" t="s">
        <v>47</v>
      </c>
      <c r="W4402" s="2" t="s">
        <v>111</v>
      </c>
      <c r="X4402" s="2">
        <v>36.54</v>
      </c>
    </row>
    <row r="4403" spans="1:24" x14ac:dyDescent="0.3">
      <c r="A4403">
        <v>22247</v>
      </c>
      <c r="B4403" t="s">
        <v>10034</v>
      </c>
      <c r="C4403" s="3">
        <v>40600</v>
      </c>
      <c r="D4403" t="s">
        <v>148</v>
      </c>
      <c r="E4403">
        <v>6</v>
      </c>
      <c r="F4403" s="3">
        <f ca="1">40602+(RANDBETWEEN(1,10))</f>
        <v>40605</v>
      </c>
      <c r="G4403" t="s">
        <v>26</v>
      </c>
      <c r="H4403" t="s">
        <v>27</v>
      </c>
      <c r="I4403" t="s">
        <v>97</v>
      </c>
      <c r="J4403">
        <v>3321.395</v>
      </c>
      <c r="K4403">
        <v>0.06</v>
      </c>
      <c r="L4403">
        <v>0.6</v>
      </c>
      <c r="M4403">
        <v>31.465</v>
      </c>
      <c r="N4403">
        <v>1223.145</v>
      </c>
      <c r="O4403" s="1" t="s">
        <v>40</v>
      </c>
      <c r="P4403" s="1" t="s">
        <v>10035</v>
      </c>
      <c r="Q4403" s="1" t="s">
        <v>10036</v>
      </c>
      <c r="R4403" s="1" t="s">
        <v>43</v>
      </c>
      <c r="S4403" s="1" t="s">
        <v>576</v>
      </c>
      <c r="T4403" s="1" t="s">
        <v>577</v>
      </c>
      <c r="U4403" s="2" t="s">
        <v>1123</v>
      </c>
      <c r="V4403" s="2" t="s">
        <v>36</v>
      </c>
      <c r="W4403" s="2" t="s">
        <v>37</v>
      </c>
      <c r="X4403" s="2">
        <v>685.96500000000003</v>
      </c>
    </row>
    <row r="4404" spans="1:24" x14ac:dyDescent="0.3">
      <c r="A4404">
        <v>22248</v>
      </c>
      <c r="B4404" t="s">
        <v>10034</v>
      </c>
      <c r="C4404" s="3">
        <v>40600</v>
      </c>
      <c r="D4404" t="s">
        <v>148</v>
      </c>
      <c r="E4404">
        <v>5</v>
      </c>
      <c r="F4404" s="3">
        <f ca="1">40601+(RANDBETWEEN(1,10))</f>
        <v>40602</v>
      </c>
      <c r="G4404" t="s">
        <v>26</v>
      </c>
      <c r="H4404" t="s">
        <v>96</v>
      </c>
      <c r="I4404" t="s">
        <v>97</v>
      </c>
      <c r="J4404">
        <v>110.11</v>
      </c>
      <c r="K4404">
        <v>0.1</v>
      </c>
      <c r="L4404">
        <v>0.39</v>
      </c>
      <c r="M4404">
        <v>7</v>
      </c>
      <c r="N4404">
        <v>64.47</v>
      </c>
      <c r="O4404" s="1" t="s">
        <v>53</v>
      </c>
      <c r="P4404" s="1" t="s">
        <v>10037</v>
      </c>
      <c r="Q4404" s="1" t="s">
        <v>10038</v>
      </c>
      <c r="R4404" s="1" t="s">
        <v>56</v>
      </c>
      <c r="S4404" s="1" t="s">
        <v>10039</v>
      </c>
      <c r="T4404" s="1" t="s">
        <v>10040</v>
      </c>
      <c r="U4404" s="2" t="s">
        <v>336</v>
      </c>
      <c r="V4404" s="2" t="s">
        <v>47</v>
      </c>
      <c r="W4404" s="2" t="s">
        <v>74</v>
      </c>
      <c r="X4404" s="2">
        <v>24.08</v>
      </c>
    </row>
    <row r="4405" spans="1:24" x14ac:dyDescent="0.3">
      <c r="A4405">
        <v>22249</v>
      </c>
      <c r="B4405" t="s">
        <v>10041</v>
      </c>
      <c r="C4405" s="3">
        <v>41034</v>
      </c>
      <c r="D4405" t="s">
        <v>62</v>
      </c>
      <c r="E4405">
        <v>16</v>
      </c>
      <c r="F4405" s="3">
        <f ca="1">41036+(RANDBETWEEN(1,10))</f>
        <v>41038</v>
      </c>
      <c r="G4405" t="s">
        <v>26</v>
      </c>
      <c r="H4405" t="s">
        <v>27</v>
      </c>
      <c r="I4405" t="s">
        <v>28</v>
      </c>
      <c r="J4405">
        <v>3099.4949999999999</v>
      </c>
      <c r="K4405">
        <v>0.09</v>
      </c>
      <c r="L4405">
        <v>0.56999999999999995</v>
      </c>
      <c r="M4405">
        <v>12.25</v>
      </c>
      <c r="N4405">
        <v>2138.65155</v>
      </c>
      <c r="O4405" s="1" t="s">
        <v>40</v>
      </c>
      <c r="P4405" s="1" t="s">
        <v>5244</v>
      </c>
      <c r="Q4405" s="1" t="s">
        <v>5245</v>
      </c>
      <c r="R4405" s="1" t="s">
        <v>43</v>
      </c>
      <c r="S4405" s="1" t="s">
        <v>5246</v>
      </c>
      <c r="T4405" s="1" t="s">
        <v>5247</v>
      </c>
      <c r="U4405" s="2" t="s">
        <v>6491</v>
      </c>
      <c r="V4405" s="2" t="s">
        <v>47</v>
      </c>
      <c r="W4405" s="2" t="s">
        <v>71</v>
      </c>
      <c r="X4405" s="2">
        <v>210.77</v>
      </c>
    </row>
    <row r="4406" spans="1:24" x14ac:dyDescent="0.3">
      <c r="A4406">
        <v>2225</v>
      </c>
      <c r="B4406" t="s">
        <v>10042</v>
      </c>
      <c r="C4406" s="3">
        <v>41841</v>
      </c>
      <c r="D4406" t="s">
        <v>25</v>
      </c>
      <c r="E4406">
        <v>43</v>
      </c>
      <c r="F4406" s="3">
        <f ca="1">41845+(RANDBETWEEN(1,10))</f>
        <v>41846</v>
      </c>
      <c r="G4406" t="s">
        <v>26</v>
      </c>
      <c r="H4406" t="s">
        <v>51</v>
      </c>
      <c r="I4406" t="s">
        <v>97</v>
      </c>
      <c r="J4406">
        <v>2332.4</v>
      </c>
      <c r="K4406">
        <v>0.06</v>
      </c>
      <c r="L4406">
        <v>0.39</v>
      </c>
      <c r="M4406">
        <v>31.465</v>
      </c>
      <c r="N4406">
        <v>177.065</v>
      </c>
      <c r="O4406" s="1" t="s">
        <v>225</v>
      </c>
      <c r="P4406" s="1" t="s">
        <v>10043</v>
      </c>
      <c r="Q4406" s="1" t="s">
        <v>10044</v>
      </c>
      <c r="R4406" s="1" t="s">
        <v>228</v>
      </c>
      <c r="S4406" s="1" t="s">
        <v>229</v>
      </c>
      <c r="T4406" s="1" t="s">
        <v>10045</v>
      </c>
      <c r="U4406" s="2" t="s">
        <v>2064</v>
      </c>
      <c r="V4406" s="2" t="s">
        <v>83</v>
      </c>
      <c r="W4406" s="2" t="s">
        <v>178</v>
      </c>
      <c r="X4406" s="2">
        <v>52.43</v>
      </c>
    </row>
    <row r="4407" spans="1:24" x14ac:dyDescent="0.3">
      <c r="A4407">
        <v>22250</v>
      </c>
      <c r="B4407" t="s">
        <v>10041</v>
      </c>
      <c r="C4407" s="3">
        <v>41034</v>
      </c>
      <c r="D4407" t="s">
        <v>62</v>
      </c>
      <c r="E4407">
        <v>8</v>
      </c>
      <c r="F4407" s="3">
        <f ca="1">41036+(RANDBETWEEN(1,10))</f>
        <v>41042</v>
      </c>
      <c r="G4407" t="s">
        <v>26</v>
      </c>
      <c r="H4407" t="s">
        <v>63</v>
      </c>
      <c r="I4407" t="s">
        <v>28</v>
      </c>
      <c r="J4407">
        <v>5657.0150000000003</v>
      </c>
      <c r="K4407">
        <v>7.0000000000000007E-2</v>
      </c>
      <c r="L4407">
        <v>0.46</v>
      </c>
      <c r="M4407">
        <v>85.715000000000003</v>
      </c>
      <c r="N4407">
        <v>1193.08</v>
      </c>
      <c r="O4407" s="1" t="s">
        <v>40</v>
      </c>
      <c r="P4407" s="1" t="s">
        <v>5244</v>
      </c>
      <c r="Q4407" s="1" t="s">
        <v>5245</v>
      </c>
      <c r="R4407" s="1" t="s">
        <v>43</v>
      </c>
      <c r="S4407" s="1" t="s">
        <v>5246</v>
      </c>
      <c r="T4407" s="1" t="s">
        <v>5247</v>
      </c>
      <c r="U4407" s="2" t="s">
        <v>7870</v>
      </c>
      <c r="V4407" s="2" t="s">
        <v>36</v>
      </c>
      <c r="W4407" s="2" t="s">
        <v>1327</v>
      </c>
      <c r="X4407" s="2">
        <v>699.96500000000003</v>
      </c>
    </row>
    <row r="4408" spans="1:24" x14ac:dyDescent="0.3">
      <c r="A4408">
        <v>22251</v>
      </c>
      <c r="B4408" t="s">
        <v>10046</v>
      </c>
      <c r="C4408" s="3">
        <v>41512</v>
      </c>
      <c r="D4408" t="s">
        <v>25</v>
      </c>
      <c r="E4408">
        <v>22</v>
      </c>
      <c r="F4408" s="3">
        <f ca="1">41516+(RANDBETWEEN(1,10))</f>
        <v>41525</v>
      </c>
      <c r="G4408" t="s">
        <v>26</v>
      </c>
      <c r="H4408" t="s">
        <v>27</v>
      </c>
      <c r="I4408" t="s">
        <v>28</v>
      </c>
      <c r="J4408">
        <v>2543.9749999999999</v>
      </c>
      <c r="K4408">
        <v>0</v>
      </c>
      <c r="L4408">
        <v>0.55000000000000004</v>
      </c>
      <c r="M4408">
        <v>3.85</v>
      </c>
      <c r="N4408">
        <v>1755.34275</v>
      </c>
      <c r="O4408" s="1" t="s">
        <v>40</v>
      </c>
      <c r="P4408" s="1" t="s">
        <v>10047</v>
      </c>
      <c r="Q4408" s="1" t="s">
        <v>10048</v>
      </c>
      <c r="R4408" s="1" t="s">
        <v>43</v>
      </c>
      <c r="S4408" s="1" t="s">
        <v>6589</v>
      </c>
      <c r="T4408" s="1" t="s">
        <v>10049</v>
      </c>
      <c r="U4408" s="2" t="s">
        <v>1451</v>
      </c>
      <c r="V4408" s="2" t="s">
        <v>36</v>
      </c>
      <c r="W4408" s="2" t="s">
        <v>37</v>
      </c>
      <c r="X4408" s="2">
        <v>125.965</v>
      </c>
    </row>
    <row r="4409" spans="1:24" x14ac:dyDescent="0.3">
      <c r="A4409">
        <v>22252</v>
      </c>
      <c r="B4409" t="s">
        <v>10046</v>
      </c>
      <c r="C4409" s="3">
        <v>41512</v>
      </c>
      <c r="D4409" t="s">
        <v>25</v>
      </c>
      <c r="E4409">
        <v>17</v>
      </c>
      <c r="F4409" s="3">
        <f ca="1">41516+(RANDBETWEEN(1,10))</f>
        <v>41518</v>
      </c>
      <c r="G4409" t="s">
        <v>76</v>
      </c>
      <c r="H4409" t="s">
        <v>258</v>
      </c>
      <c r="I4409" t="s">
        <v>28</v>
      </c>
      <c r="J4409">
        <v>13398.525</v>
      </c>
      <c r="K4409">
        <v>0.1</v>
      </c>
      <c r="L4409">
        <v>0.76</v>
      </c>
      <c r="M4409">
        <v>189.42</v>
      </c>
      <c r="N4409">
        <v>-1302.7163348500001</v>
      </c>
      <c r="O4409" s="1" t="s">
        <v>40</v>
      </c>
      <c r="P4409" s="1" t="s">
        <v>10050</v>
      </c>
      <c r="Q4409" s="1" t="s">
        <v>10051</v>
      </c>
      <c r="R4409" s="1" t="s">
        <v>220</v>
      </c>
      <c r="S4409" s="1" t="s">
        <v>10052</v>
      </c>
      <c r="T4409" s="1" t="s">
        <v>4766</v>
      </c>
      <c r="U4409" s="2" t="s">
        <v>1007</v>
      </c>
      <c r="V4409" s="2" t="s">
        <v>83</v>
      </c>
      <c r="W4409" s="2" t="s">
        <v>263</v>
      </c>
      <c r="X4409" s="2">
        <v>1036.6300000000001</v>
      </c>
    </row>
    <row r="4410" spans="1:24" x14ac:dyDescent="0.3">
      <c r="A4410">
        <v>22253</v>
      </c>
      <c r="B4410" t="s">
        <v>10053</v>
      </c>
      <c r="C4410" s="3">
        <v>40816</v>
      </c>
      <c r="D4410" t="s">
        <v>25</v>
      </c>
      <c r="E4410">
        <v>23</v>
      </c>
      <c r="F4410" s="3">
        <f ca="1">40825+(RANDBETWEEN(1,10))</f>
        <v>40828</v>
      </c>
      <c r="G4410" t="s">
        <v>26</v>
      </c>
      <c r="H4410" t="s">
        <v>27</v>
      </c>
      <c r="I4410" t="s">
        <v>97</v>
      </c>
      <c r="J4410">
        <v>4606.1049999999996</v>
      </c>
      <c r="K4410">
        <v>0.03</v>
      </c>
      <c r="L4410">
        <v>0.56000000000000005</v>
      </c>
      <c r="M4410">
        <v>18.41</v>
      </c>
      <c r="N4410">
        <v>-182.86799999999999</v>
      </c>
      <c r="O4410" s="1" t="s">
        <v>225</v>
      </c>
      <c r="P4410" s="1" t="s">
        <v>8764</v>
      </c>
      <c r="Q4410" s="1" t="s">
        <v>8765</v>
      </c>
      <c r="R4410" s="1" t="s">
        <v>228</v>
      </c>
      <c r="S4410" s="1" t="s">
        <v>8766</v>
      </c>
      <c r="T4410" s="1" t="s">
        <v>8767</v>
      </c>
      <c r="U4410" s="2">
        <v>8860</v>
      </c>
      <c r="V4410" s="2" t="s">
        <v>36</v>
      </c>
      <c r="W4410" s="2" t="s">
        <v>37</v>
      </c>
      <c r="X4410" s="2">
        <v>230.965</v>
      </c>
    </row>
    <row r="4411" spans="1:24" x14ac:dyDescent="0.3">
      <c r="A4411">
        <v>22254</v>
      </c>
      <c r="B4411" t="s">
        <v>10054</v>
      </c>
      <c r="C4411" s="3">
        <v>41615</v>
      </c>
      <c r="D4411" t="s">
        <v>62</v>
      </c>
      <c r="E4411">
        <v>13</v>
      </c>
      <c r="F4411" s="3">
        <f ca="1">41615+(RANDBETWEEN(1,10))</f>
        <v>41623</v>
      </c>
      <c r="G4411" t="s">
        <v>26</v>
      </c>
      <c r="H4411" t="s">
        <v>27</v>
      </c>
      <c r="I4411" t="s">
        <v>28</v>
      </c>
      <c r="J4411">
        <v>2571.625</v>
      </c>
      <c r="K4411">
        <v>0.1</v>
      </c>
      <c r="L4411">
        <v>0.56000000000000005</v>
      </c>
      <c r="M4411">
        <v>15.75</v>
      </c>
      <c r="N4411">
        <v>1706.04</v>
      </c>
      <c r="O4411" s="1" t="s">
        <v>87</v>
      </c>
      <c r="P4411" s="1" t="s">
        <v>10055</v>
      </c>
      <c r="Q4411" s="1" t="s">
        <v>10056</v>
      </c>
      <c r="R4411" s="1" t="s">
        <v>398</v>
      </c>
      <c r="S4411" s="1" t="s">
        <v>1799</v>
      </c>
      <c r="T4411" s="1" t="s">
        <v>1800</v>
      </c>
      <c r="U4411" s="2" t="s">
        <v>1654</v>
      </c>
      <c r="V4411" s="2" t="s">
        <v>47</v>
      </c>
      <c r="W4411" s="2" t="s">
        <v>71</v>
      </c>
      <c r="X4411" s="2">
        <v>213.39500000000001</v>
      </c>
    </row>
    <row r="4412" spans="1:24" x14ac:dyDescent="0.3">
      <c r="A4412">
        <v>22255</v>
      </c>
      <c r="B4412" t="s">
        <v>10054</v>
      </c>
      <c r="C4412" s="3">
        <v>41615</v>
      </c>
      <c r="D4412" t="s">
        <v>62</v>
      </c>
      <c r="E4412">
        <v>20</v>
      </c>
      <c r="F4412" s="3">
        <f ca="1">41616+(RANDBETWEEN(1,10))</f>
        <v>41620</v>
      </c>
      <c r="G4412" t="s">
        <v>76</v>
      </c>
      <c r="H4412" t="s">
        <v>258</v>
      </c>
      <c r="I4412" t="s">
        <v>28</v>
      </c>
      <c r="J4412">
        <v>35071.68</v>
      </c>
      <c r="K4412">
        <v>0.06</v>
      </c>
      <c r="L4412">
        <v>0.59</v>
      </c>
      <c r="M4412">
        <v>58.204999999999998</v>
      </c>
      <c r="N4412">
        <v>24199.459200000001</v>
      </c>
      <c r="O4412" s="1" t="s">
        <v>29</v>
      </c>
      <c r="P4412" s="1" t="s">
        <v>10057</v>
      </c>
      <c r="Q4412" s="1" t="s">
        <v>10058</v>
      </c>
      <c r="R4412" s="1" t="s">
        <v>32</v>
      </c>
      <c r="S4412" s="1" t="s">
        <v>10059</v>
      </c>
      <c r="T4412" s="1" t="s">
        <v>2355</v>
      </c>
      <c r="U4412" s="2" t="s">
        <v>10060</v>
      </c>
      <c r="V4412" s="2" t="s">
        <v>36</v>
      </c>
      <c r="W4412" s="2" t="s">
        <v>142</v>
      </c>
      <c r="X4412" s="2">
        <v>1811.18</v>
      </c>
    </row>
    <row r="4413" spans="1:24" x14ac:dyDescent="0.3">
      <c r="A4413">
        <v>22256</v>
      </c>
      <c r="B4413" t="s">
        <v>10061</v>
      </c>
      <c r="C4413" s="3">
        <v>40989</v>
      </c>
      <c r="D4413" t="s">
        <v>148</v>
      </c>
      <c r="E4413">
        <v>4</v>
      </c>
      <c r="F4413" s="3">
        <f ca="1">40990+(RANDBETWEEN(1,10))</f>
        <v>40991</v>
      </c>
      <c r="G4413" t="s">
        <v>26</v>
      </c>
      <c r="H4413" t="s">
        <v>27</v>
      </c>
      <c r="I4413" t="s">
        <v>28</v>
      </c>
      <c r="J4413">
        <v>28.35</v>
      </c>
      <c r="K4413">
        <v>0.08</v>
      </c>
      <c r="L4413">
        <v>0.37</v>
      </c>
      <c r="M4413">
        <v>16.765000000000001</v>
      </c>
      <c r="N4413">
        <v>-207.12649999999999</v>
      </c>
      <c r="O4413" s="1" t="s">
        <v>29</v>
      </c>
      <c r="P4413" s="1" t="s">
        <v>10062</v>
      </c>
      <c r="Q4413" s="1" t="s">
        <v>10063</v>
      </c>
      <c r="R4413" s="1" t="s">
        <v>32</v>
      </c>
      <c r="S4413" s="1" t="s">
        <v>5480</v>
      </c>
      <c r="T4413" s="1" t="s">
        <v>5481</v>
      </c>
      <c r="U4413" s="2" t="s">
        <v>10064</v>
      </c>
      <c r="V4413" s="2" t="s">
        <v>47</v>
      </c>
      <c r="W4413" s="2" t="s">
        <v>111</v>
      </c>
      <c r="X4413" s="2">
        <v>6.3</v>
      </c>
    </row>
    <row r="4414" spans="1:24" x14ac:dyDescent="0.3">
      <c r="A4414">
        <v>22257</v>
      </c>
      <c r="B4414" t="s">
        <v>10065</v>
      </c>
      <c r="C4414" s="3">
        <v>41755</v>
      </c>
      <c r="D4414" t="s">
        <v>148</v>
      </c>
      <c r="E4414">
        <v>5</v>
      </c>
      <c r="F4414" s="3">
        <f ca="1">41757+(RANDBETWEEN(1,10))</f>
        <v>41761</v>
      </c>
      <c r="G4414" t="s">
        <v>26</v>
      </c>
      <c r="H4414" t="s">
        <v>27</v>
      </c>
      <c r="I4414" t="s">
        <v>52</v>
      </c>
      <c r="J4414">
        <v>1686.6849999999999</v>
      </c>
      <c r="K4414">
        <v>0.1</v>
      </c>
      <c r="L4414">
        <v>0.59</v>
      </c>
      <c r="M4414">
        <v>30.8</v>
      </c>
      <c r="N4414">
        <v>17.135999999999999</v>
      </c>
      <c r="O4414" s="1" t="s">
        <v>87</v>
      </c>
      <c r="P4414" s="1" t="s">
        <v>4378</v>
      </c>
      <c r="Q4414" s="1" t="s">
        <v>4379</v>
      </c>
      <c r="R4414" s="1" t="s">
        <v>398</v>
      </c>
      <c r="S4414" s="1" t="s">
        <v>4380</v>
      </c>
      <c r="T4414" s="1" t="s">
        <v>4381</v>
      </c>
      <c r="U4414" s="2" t="s">
        <v>1548</v>
      </c>
      <c r="V4414" s="2" t="s">
        <v>36</v>
      </c>
      <c r="W4414" s="2" t="s">
        <v>37</v>
      </c>
      <c r="X4414" s="2">
        <v>440.96499999999997</v>
      </c>
    </row>
    <row r="4415" spans="1:24" x14ac:dyDescent="0.3">
      <c r="A4415">
        <v>22258</v>
      </c>
      <c r="B4415" t="s">
        <v>10066</v>
      </c>
      <c r="C4415" s="3">
        <v>41668</v>
      </c>
      <c r="D4415" t="s">
        <v>148</v>
      </c>
      <c r="E4415">
        <v>8</v>
      </c>
      <c r="F4415" s="3">
        <f ca="1">41670+(RANDBETWEEN(1,10))</f>
        <v>41678</v>
      </c>
      <c r="G4415" t="s">
        <v>26</v>
      </c>
      <c r="H4415" t="s">
        <v>27</v>
      </c>
      <c r="I4415" t="s">
        <v>28</v>
      </c>
      <c r="J4415">
        <v>5155.08</v>
      </c>
      <c r="K4415">
        <v>0.06</v>
      </c>
      <c r="L4415">
        <v>0.71</v>
      </c>
      <c r="M4415">
        <v>69.965000000000003</v>
      </c>
      <c r="N4415">
        <v>980.98140000000001</v>
      </c>
      <c r="O4415" s="1" t="s">
        <v>40</v>
      </c>
      <c r="P4415" s="1" t="s">
        <v>10067</v>
      </c>
      <c r="Q4415" s="1" t="s">
        <v>10068</v>
      </c>
      <c r="R4415" s="1" t="s">
        <v>43</v>
      </c>
      <c r="S4415" s="1" t="s">
        <v>10069</v>
      </c>
      <c r="T4415" s="1" t="s">
        <v>10070</v>
      </c>
      <c r="U4415" s="2" t="s">
        <v>624</v>
      </c>
      <c r="V4415" s="2" t="s">
        <v>47</v>
      </c>
      <c r="W4415" s="2" t="s">
        <v>119</v>
      </c>
      <c r="X4415" s="2">
        <v>676.09500000000003</v>
      </c>
    </row>
    <row r="4416" spans="1:24" x14ac:dyDescent="0.3">
      <c r="A4416">
        <v>22259</v>
      </c>
      <c r="B4416" t="s">
        <v>10071</v>
      </c>
      <c r="C4416" s="3">
        <v>40574</v>
      </c>
      <c r="D4416" t="s">
        <v>25</v>
      </c>
      <c r="E4416">
        <v>11</v>
      </c>
      <c r="F4416" s="3">
        <f ca="1">40574+(RANDBETWEEN(1,10))</f>
        <v>40579</v>
      </c>
      <c r="G4416" t="s">
        <v>76</v>
      </c>
      <c r="H4416" t="s">
        <v>77</v>
      </c>
      <c r="I4416" t="s">
        <v>97</v>
      </c>
      <c r="J4416">
        <v>5723.83</v>
      </c>
      <c r="K4416">
        <v>0.09</v>
      </c>
      <c r="L4416">
        <v>0.62</v>
      </c>
      <c r="M4416">
        <v>105</v>
      </c>
      <c r="N4416">
        <v>1250.998</v>
      </c>
      <c r="O4416" s="1" t="s">
        <v>29</v>
      </c>
      <c r="P4416" s="1" t="s">
        <v>7549</v>
      </c>
      <c r="Q4416" s="1" t="s">
        <v>7550</v>
      </c>
      <c r="R4416" s="1" t="s">
        <v>32</v>
      </c>
      <c r="S4416" s="1" t="s">
        <v>7551</v>
      </c>
      <c r="T4416" s="1" t="s">
        <v>7552</v>
      </c>
      <c r="U4416" s="2" t="s">
        <v>2089</v>
      </c>
      <c r="V4416" s="2" t="s">
        <v>83</v>
      </c>
      <c r="W4416" s="2" t="s">
        <v>84</v>
      </c>
      <c r="X4416" s="2">
        <v>563.42999999999995</v>
      </c>
    </row>
    <row r="4417" spans="1:24" x14ac:dyDescent="0.3">
      <c r="A4417">
        <v>2226</v>
      </c>
      <c r="B4417" t="s">
        <v>10042</v>
      </c>
      <c r="C4417" s="3">
        <v>41841</v>
      </c>
      <c r="D4417" t="s">
        <v>25</v>
      </c>
      <c r="E4417">
        <v>62</v>
      </c>
      <c r="F4417" s="3">
        <f ca="1">41843+(RANDBETWEEN(1,10))</f>
        <v>41851</v>
      </c>
      <c r="G4417" t="s">
        <v>26</v>
      </c>
      <c r="H4417" t="s">
        <v>27</v>
      </c>
      <c r="I4417" t="s">
        <v>97</v>
      </c>
      <c r="J4417">
        <v>4941.6499999999996</v>
      </c>
      <c r="K4417">
        <v>0.09</v>
      </c>
      <c r="L4417">
        <v>0.39</v>
      </c>
      <c r="M4417">
        <v>10.465</v>
      </c>
      <c r="N4417">
        <v>1167.36025</v>
      </c>
      <c r="O4417" s="1" t="s">
        <v>225</v>
      </c>
      <c r="P4417" s="1" t="s">
        <v>10043</v>
      </c>
      <c r="Q4417" s="1" t="s">
        <v>10044</v>
      </c>
      <c r="R4417" s="1" t="s">
        <v>228</v>
      </c>
      <c r="S4417" s="1" t="s">
        <v>229</v>
      </c>
      <c r="T4417" s="1" t="s">
        <v>10045</v>
      </c>
      <c r="U4417" s="2" t="s">
        <v>1757</v>
      </c>
      <c r="V4417" s="2" t="s">
        <v>47</v>
      </c>
      <c r="W4417" s="2" t="s">
        <v>111</v>
      </c>
      <c r="X4417" s="2">
        <v>87.325000000000003</v>
      </c>
    </row>
    <row r="4418" spans="1:24" x14ac:dyDescent="0.3">
      <c r="A4418">
        <v>22260</v>
      </c>
      <c r="B4418" t="s">
        <v>10071</v>
      </c>
      <c r="C4418" s="3">
        <v>40574</v>
      </c>
      <c r="D4418" t="s">
        <v>25</v>
      </c>
      <c r="E4418">
        <v>10</v>
      </c>
      <c r="F4418" s="3">
        <f ca="1">40574+(RANDBETWEEN(1,10))</f>
        <v>40579</v>
      </c>
      <c r="G4418" t="s">
        <v>26</v>
      </c>
      <c r="H4418" t="s">
        <v>27</v>
      </c>
      <c r="I4418" t="s">
        <v>97</v>
      </c>
      <c r="J4418">
        <v>204.68</v>
      </c>
      <c r="K4418">
        <v>0.09</v>
      </c>
      <c r="L4418">
        <v>0.39</v>
      </c>
      <c r="M4418">
        <v>1.75</v>
      </c>
      <c r="N4418">
        <v>141.22919999999999</v>
      </c>
      <c r="O4418" s="1" t="s">
        <v>29</v>
      </c>
      <c r="P4418" s="1" t="s">
        <v>7549</v>
      </c>
      <c r="Q4418" s="1" t="s">
        <v>7550</v>
      </c>
      <c r="R4418" s="1" t="s">
        <v>32</v>
      </c>
      <c r="S4418" s="1" t="s">
        <v>7551</v>
      </c>
      <c r="T4418" s="1" t="s">
        <v>7552</v>
      </c>
      <c r="U4418" s="2" t="s">
        <v>2675</v>
      </c>
      <c r="V4418" s="2" t="s">
        <v>47</v>
      </c>
      <c r="W4418" s="2" t="s">
        <v>203</v>
      </c>
      <c r="X4418" s="2">
        <v>22.05</v>
      </c>
    </row>
    <row r="4419" spans="1:24" x14ac:dyDescent="0.3">
      <c r="A4419">
        <v>22261</v>
      </c>
      <c r="B4419" t="s">
        <v>10071</v>
      </c>
      <c r="C4419" s="3">
        <v>40574</v>
      </c>
      <c r="D4419" t="s">
        <v>25</v>
      </c>
      <c r="E4419">
        <v>8</v>
      </c>
      <c r="F4419" s="3">
        <f ca="1">40581+(RANDBETWEEN(1,10))</f>
        <v>40588</v>
      </c>
      <c r="G4419" t="s">
        <v>26</v>
      </c>
      <c r="H4419" t="s">
        <v>96</v>
      </c>
      <c r="I4419" t="s">
        <v>97</v>
      </c>
      <c r="J4419">
        <v>140.17500000000001</v>
      </c>
      <c r="K4419">
        <v>0</v>
      </c>
      <c r="L4419">
        <v>0.36</v>
      </c>
      <c r="M4419">
        <v>2.8</v>
      </c>
      <c r="N4419">
        <v>96.720749999999995</v>
      </c>
      <c r="O4419" s="1" t="s">
        <v>29</v>
      </c>
      <c r="P4419" s="1" t="s">
        <v>7549</v>
      </c>
      <c r="Q4419" s="1" t="s">
        <v>7550</v>
      </c>
      <c r="R4419" s="1" t="s">
        <v>32</v>
      </c>
      <c r="S4419" s="1" t="s">
        <v>7551</v>
      </c>
      <c r="T4419" s="1" t="s">
        <v>7552</v>
      </c>
      <c r="U4419" s="2" t="s">
        <v>1416</v>
      </c>
      <c r="V4419" s="2" t="s">
        <v>47</v>
      </c>
      <c r="W4419" s="2" t="s">
        <v>74</v>
      </c>
      <c r="X4419" s="2">
        <v>17.43</v>
      </c>
    </row>
    <row r="4420" spans="1:24" x14ac:dyDescent="0.3">
      <c r="A4420">
        <v>22262</v>
      </c>
      <c r="B4420" t="s">
        <v>10072</v>
      </c>
      <c r="C4420" s="3">
        <v>41780</v>
      </c>
      <c r="D4420" t="s">
        <v>62</v>
      </c>
      <c r="E4420">
        <v>16</v>
      </c>
      <c r="F4420" s="3">
        <f ca="1">41781+(RANDBETWEEN(1,10))</f>
        <v>41785</v>
      </c>
      <c r="G4420" t="s">
        <v>26</v>
      </c>
      <c r="H4420" t="s">
        <v>27</v>
      </c>
      <c r="I4420" t="s">
        <v>28</v>
      </c>
      <c r="J4420">
        <v>1815.835</v>
      </c>
      <c r="K4420">
        <v>0</v>
      </c>
      <c r="L4420">
        <v>0.74</v>
      </c>
      <c r="M4420">
        <v>30.274999999999999</v>
      </c>
      <c r="N4420">
        <v>-213.43</v>
      </c>
      <c r="O4420" s="1" t="s">
        <v>29</v>
      </c>
      <c r="P4420" s="1" t="s">
        <v>5321</v>
      </c>
      <c r="Q4420" s="1" t="s">
        <v>5322</v>
      </c>
      <c r="R4420" s="1" t="s">
        <v>675</v>
      </c>
      <c r="S4420" s="1" t="s">
        <v>5323</v>
      </c>
      <c r="T4420" s="1" t="s">
        <v>5324</v>
      </c>
      <c r="U4420" s="2" t="s">
        <v>344</v>
      </c>
      <c r="V4420" s="2" t="s">
        <v>36</v>
      </c>
      <c r="W4420" s="2" t="s">
        <v>60</v>
      </c>
      <c r="X4420" s="2">
        <v>106.47</v>
      </c>
    </row>
    <row r="4421" spans="1:24" x14ac:dyDescent="0.3">
      <c r="A4421">
        <v>22263</v>
      </c>
      <c r="B4421" t="s">
        <v>10072</v>
      </c>
      <c r="C4421" s="3">
        <v>41780</v>
      </c>
      <c r="D4421" t="s">
        <v>62</v>
      </c>
      <c r="E4421">
        <v>9</v>
      </c>
      <c r="F4421" s="3">
        <f ca="1">41782+(RANDBETWEEN(1,10))</f>
        <v>41790</v>
      </c>
      <c r="G4421" t="s">
        <v>26</v>
      </c>
      <c r="H4421" t="s">
        <v>27</v>
      </c>
      <c r="I4421" t="s">
        <v>28</v>
      </c>
      <c r="J4421">
        <v>146.58000000000001</v>
      </c>
      <c r="K4421">
        <v>0.08</v>
      </c>
      <c r="L4421">
        <v>0.36</v>
      </c>
      <c r="M4421">
        <v>1.75</v>
      </c>
      <c r="N4421">
        <v>101.14019999999999</v>
      </c>
      <c r="O4421" s="1" t="s">
        <v>29</v>
      </c>
      <c r="P4421" s="1" t="s">
        <v>10073</v>
      </c>
      <c r="Q4421" s="1" t="s">
        <v>10074</v>
      </c>
      <c r="R4421" s="1" t="s">
        <v>675</v>
      </c>
      <c r="S4421" s="1" t="s">
        <v>10075</v>
      </c>
      <c r="T4421" s="1" t="s">
        <v>10076</v>
      </c>
      <c r="U4421" s="2" t="s">
        <v>4577</v>
      </c>
      <c r="V4421" s="2" t="s">
        <v>47</v>
      </c>
      <c r="W4421" s="2" t="s">
        <v>203</v>
      </c>
      <c r="X4421" s="2">
        <v>17.184999999999999</v>
      </c>
    </row>
    <row r="4422" spans="1:24" x14ac:dyDescent="0.3">
      <c r="A4422">
        <v>22264</v>
      </c>
      <c r="B4422" t="s">
        <v>10077</v>
      </c>
      <c r="C4422" s="3">
        <v>41780</v>
      </c>
      <c r="D4422" t="s">
        <v>62</v>
      </c>
      <c r="E4422">
        <v>3</v>
      </c>
      <c r="F4422" s="3">
        <f ca="1">41782+(RANDBETWEEN(1,10))</f>
        <v>41789</v>
      </c>
      <c r="G4422" t="s">
        <v>26</v>
      </c>
      <c r="H4422" t="s">
        <v>63</v>
      </c>
      <c r="I4422" t="s">
        <v>28</v>
      </c>
      <c r="J4422">
        <v>54262.95</v>
      </c>
      <c r="K4422">
        <v>0.09</v>
      </c>
      <c r="L4422">
        <v>0.39</v>
      </c>
      <c r="M4422">
        <v>85.715000000000003</v>
      </c>
      <c r="N4422">
        <v>-3354.393</v>
      </c>
      <c r="O4422" s="1" t="s">
        <v>64</v>
      </c>
      <c r="P4422" s="1" t="s">
        <v>10078</v>
      </c>
      <c r="Q4422" s="1" t="s">
        <v>10079</v>
      </c>
      <c r="R4422" s="1" t="s">
        <v>128</v>
      </c>
      <c r="S4422" s="1" t="s">
        <v>2486</v>
      </c>
      <c r="T4422" s="1" t="s">
        <v>2487</v>
      </c>
      <c r="U4422" s="2" t="s">
        <v>2167</v>
      </c>
      <c r="V4422" s="2" t="s">
        <v>36</v>
      </c>
      <c r="W4422" s="2" t="s">
        <v>142</v>
      </c>
      <c r="X4422" s="2">
        <v>23740.57</v>
      </c>
    </row>
    <row r="4423" spans="1:24" x14ac:dyDescent="0.3">
      <c r="A4423">
        <v>22265</v>
      </c>
      <c r="B4423" t="s">
        <v>10080</v>
      </c>
      <c r="C4423" s="3">
        <v>41357</v>
      </c>
      <c r="D4423" t="s">
        <v>62</v>
      </c>
      <c r="E4423">
        <v>4</v>
      </c>
      <c r="F4423" s="3">
        <f ca="1">41358+(RANDBETWEEN(1,10))</f>
        <v>41362</v>
      </c>
      <c r="G4423" t="s">
        <v>26</v>
      </c>
      <c r="H4423" t="s">
        <v>27</v>
      </c>
      <c r="I4423" t="s">
        <v>97</v>
      </c>
      <c r="J4423">
        <v>82.704999999999998</v>
      </c>
      <c r="K4423">
        <v>0</v>
      </c>
      <c r="L4423">
        <v>0.38</v>
      </c>
      <c r="M4423">
        <v>26.39</v>
      </c>
      <c r="N4423">
        <v>-195.19499999999999</v>
      </c>
      <c r="O4423" s="1" t="s">
        <v>40</v>
      </c>
      <c r="P4423" s="1" t="s">
        <v>9587</v>
      </c>
      <c r="Q4423" s="1" t="s">
        <v>9588</v>
      </c>
      <c r="R4423" s="1" t="s">
        <v>220</v>
      </c>
      <c r="S4423" s="1" t="s">
        <v>4945</v>
      </c>
      <c r="T4423" s="1" t="s">
        <v>4946</v>
      </c>
      <c r="U4423" s="2" t="s">
        <v>9298</v>
      </c>
      <c r="V4423" s="2" t="s">
        <v>47</v>
      </c>
      <c r="W4423" s="2" t="s">
        <v>74</v>
      </c>
      <c r="X4423" s="2">
        <v>17.43</v>
      </c>
    </row>
    <row r="4424" spans="1:24" x14ac:dyDescent="0.3">
      <c r="A4424">
        <v>22266</v>
      </c>
      <c r="B4424" t="s">
        <v>10080</v>
      </c>
      <c r="C4424" s="3">
        <v>41357</v>
      </c>
      <c r="D4424" t="s">
        <v>62</v>
      </c>
      <c r="E4424">
        <v>6</v>
      </c>
      <c r="F4424" s="3">
        <f ca="1">41358+(RANDBETWEEN(1,10))</f>
        <v>41361</v>
      </c>
      <c r="G4424" t="s">
        <v>26</v>
      </c>
      <c r="H4424" t="s">
        <v>51</v>
      </c>
      <c r="I4424" t="s">
        <v>97</v>
      </c>
      <c r="J4424">
        <v>174.23</v>
      </c>
      <c r="K4424">
        <v>0.03</v>
      </c>
      <c r="L4424">
        <v>0.59</v>
      </c>
      <c r="M4424">
        <v>9.24</v>
      </c>
      <c r="N4424">
        <v>-4.3049999999999997</v>
      </c>
      <c r="O4424" s="1" t="s">
        <v>40</v>
      </c>
      <c r="P4424" s="1" t="s">
        <v>9587</v>
      </c>
      <c r="Q4424" s="1" t="s">
        <v>9588</v>
      </c>
      <c r="R4424" s="1" t="s">
        <v>220</v>
      </c>
      <c r="S4424" s="1" t="s">
        <v>4945</v>
      </c>
      <c r="T4424" s="1" t="s">
        <v>4946</v>
      </c>
      <c r="U4424" s="2" t="s">
        <v>6942</v>
      </c>
      <c r="V4424" s="2" t="s">
        <v>47</v>
      </c>
      <c r="W4424" s="2" t="s">
        <v>94</v>
      </c>
      <c r="X4424" s="2">
        <v>29.19</v>
      </c>
    </row>
    <row r="4425" spans="1:24" x14ac:dyDescent="0.3">
      <c r="A4425">
        <v>22267</v>
      </c>
      <c r="B4425" t="s">
        <v>10081</v>
      </c>
      <c r="C4425" s="3">
        <v>41151</v>
      </c>
      <c r="D4425" t="s">
        <v>39</v>
      </c>
      <c r="E4425">
        <v>1</v>
      </c>
      <c r="F4425" s="3">
        <f ca="1">41153+(RANDBETWEEN(1,10))</f>
        <v>41163</v>
      </c>
      <c r="G4425" t="s">
        <v>26</v>
      </c>
      <c r="H4425" t="s">
        <v>51</v>
      </c>
      <c r="I4425" t="s">
        <v>28</v>
      </c>
      <c r="J4425">
        <v>50.4</v>
      </c>
      <c r="K4425">
        <v>0.1</v>
      </c>
      <c r="L4425">
        <v>0.55000000000000004</v>
      </c>
      <c r="M4425">
        <v>9.9749999999999996</v>
      </c>
      <c r="N4425">
        <v>-13.4498</v>
      </c>
      <c r="O4425" s="1" t="s">
        <v>53</v>
      </c>
      <c r="P4425" s="1" t="s">
        <v>4447</v>
      </c>
      <c r="Q4425" s="1" t="s">
        <v>4448</v>
      </c>
      <c r="R4425" s="1" t="s">
        <v>100</v>
      </c>
      <c r="S4425" s="1" t="s">
        <v>4449</v>
      </c>
      <c r="T4425" s="1" t="s">
        <v>4450</v>
      </c>
      <c r="U4425" s="2" t="s">
        <v>3256</v>
      </c>
      <c r="V4425" s="2" t="s">
        <v>83</v>
      </c>
      <c r="W4425" s="2" t="s">
        <v>178</v>
      </c>
      <c r="X4425" s="2">
        <v>42.77</v>
      </c>
    </row>
    <row r="4426" spans="1:24" x14ac:dyDescent="0.3">
      <c r="A4426">
        <v>22268</v>
      </c>
      <c r="B4426" t="s">
        <v>10082</v>
      </c>
      <c r="C4426" s="3">
        <v>40989</v>
      </c>
      <c r="D4426" t="s">
        <v>62</v>
      </c>
      <c r="E4426">
        <v>3</v>
      </c>
      <c r="F4426" s="3">
        <f ca="1">40990+(RANDBETWEEN(1,10))</f>
        <v>40997</v>
      </c>
      <c r="G4426" t="s">
        <v>26</v>
      </c>
      <c r="H4426" t="s">
        <v>27</v>
      </c>
      <c r="I4426" t="s">
        <v>28</v>
      </c>
      <c r="J4426">
        <v>620.86500000000001</v>
      </c>
      <c r="K4426">
        <v>7.0000000000000007E-2</v>
      </c>
      <c r="L4426">
        <v>0.56999999999999995</v>
      </c>
      <c r="M4426">
        <v>13.965</v>
      </c>
      <c r="N4426">
        <v>-471.47800000000001</v>
      </c>
      <c r="O4426" s="1" t="s">
        <v>29</v>
      </c>
      <c r="P4426" s="1" t="s">
        <v>9063</v>
      </c>
      <c r="Q4426" s="1" t="s">
        <v>9064</v>
      </c>
      <c r="R4426" s="1" t="s">
        <v>460</v>
      </c>
      <c r="S4426" s="1" t="s">
        <v>9065</v>
      </c>
      <c r="T4426" s="1" t="s">
        <v>9066</v>
      </c>
      <c r="U4426" s="2" t="s">
        <v>1024</v>
      </c>
      <c r="V4426" s="2" t="s">
        <v>47</v>
      </c>
      <c r="W4426" s="2" t="s">
        <v>71</v>
      </c>
      <c r="X4426" s="2">
        <v>209.93</v>
      </c>
    </row>
    <row r="4427" spans="1:24" x14ac:dyDescent="0.3">
      <c r="A4427">
        <v>22269</v>
      </c>
      <c r="B4427" t="s">
        <v>10082</v>
      </c>
      <c r="C4427" s="3">
        <v>40989</v>
      </c>
      <c r="D4427" t="s">
        <v>62</v>
      </c>
      <c r="E4427">
        <v>11</v>
      </c>
      <c r="F4427" s="3">
        <f ca="1">40990+(RANDBETWEEN(1,10))</f>
        <v>40994</v>
      </c>
      <c r="G4427" t="s">
        <v>26</v>
      </c>
      <c r="H4427" t="s">
        <v>51</v>
      </c>
      <c r="I4427" t="s">
        <v>28</v>
      </c>
      <c r="J4427">
        <v>1118.3900000000001</v>
      </c>
      <c r="K4427">
        <v>0</v>
      </c>
      <c r="L4427">
        <v>0.4</v>
      </c>
      <c r="M4427">
        <v>6.9649999999999999</v>
      </c>
      <c r="N4427">
        <v>-505.827</v>
      </c>
      <c r="O4427" s="1" t="s">
        <v>29</v>
      </c>
      <c r="P4427" s="1" t="s">
        <v>9063</v>
      </c>
      <c r="Q4427" s="1" t="s">
        <v>9064</v>
      </c>
      <c r="R4427" s="1" t="s">
        <v>460</v>
      </c>
      <c r="S4427" s="1" t="s">
        <v>9065</v>
      </c>
      <c r="T4427" s="1" t="s">
        <v>9066</v>
      </c>
      <c r="U4427" s="2" t="s">
        <v>1109</v>
      </c>
      <c r="V4427" s="2" t="s">
        <v>36</v>
      </c>
      <c r="W4427" s="2" t="s">
        <v>60</v>
      </c>
      <c r="X4427" s="2">
        <v>99.68</v>
      </c>
    </row>
    <row r="4428" spans="1:24" x14ac:dyDescent="0.3">
      <c r="A4428">
        <v>22270</v>
      </c>
      <c r="B4428" t="s">
        <v>10083</v>
      </c>
      <c r="C4428" s="3">
        <v>41762</v>
      </c>
      <c r="D4428" t="s">
        <v>25</v>
      </c>
      <c r="E4428">
        <v>7</v>
      </c>
      <c r="F4428" s="3">
        <f ca="1">41766+(RANDBETWEEN(1,10))</f>
        <v>41775</v>
      </c>
      <c r="G4428" t="s">
        <v>26</v>
      </c>
      <c r="H4428" t="s">
        <v>27</v>
      </c>
      <c r="I4428" t="s">
        <v>28</v>
      </c>
      <c r="J4428">
        <v>87.534999999999997</v>
      </c>
      <c r="K4428">
        <v>0.03</v>
      </c>
      <c r="L4428">
        <v>0.4</v>
      </c>
      <c r="M4428">
        <v>21.945</v>
      </c>
      <c r="N4428">
        <v>186.41069999999999</v>
      </c>
      <c r="O4428" s="1" t="s">
        <v>64</v>
      </c>
      <c r="P4428" s="1" t="s">
        <v>9358</v>
      </c>
      <c r="Q4428" s="1" t="s">
        <v>9359</v>
      </c>
      <c r="R4428" s="1" t="s">
        <v>128</v>
      </c>
      <c r="S4428" s="1" t="s">
        <v>4800</v>
      </c>
      <c r="T4428" s="1" t="s">
        <v>4801</v>
      </c>
      <c r="U4428" s="2" t="s">
        <v>1887</v>
      </c>
      <c r="V4428" s="2" t="s">
        <v>47</v>
      </c>
      <c r="W4428" s="2" t="s">
        <v>111</v>
      </c>
      <c r="X4428" s="2">
        <v>11.76</v>
      </c>
    </row>
    <row r="4429" spans="1:24" x14ac:dyDescent="0.3">
      <c r="A4429">
        <v>22271</v>
      </c>
      <c r="B4429" t="s">
        <v>10084</v>
      </c>
      <c r="C4429" s="3">
        <v>41930</v>
      </c>
      <c r="D4429" t="s">
        <v>148</v>
      </c>
      <c r="E4429">
        <v>20</v>
      </c>
      <c r="F4429" s="3">
        <f ca="1">41932+(RANDBETWEEN(1,10))</f>
        <v>41934</v>
      </c>
      <c r="G4429" t="s">
        <v>26</v>
      </c>
      <c r="H4429" t="s">
        <v>27</v>
      </c>
      <c r="I4429" t="s">
        <v>28</v>
      </c>
      <c r="J4429">
        <v>429.69499999999999</v>
      </c>
      <c r="K4429">
        <v>7.0000000000000007E-2</v>
      </c>
      <c r="L4429">
        <v>0.36</v>
      </c>
      <c r="M4429">
        <v>18.024999999999999</v>
      </c>
      <c r="N4429">
        <v>-200.79499999999999</v>
      </c>
      <c r="O4429" s="1" t="s">
        <v>53</v>
      </c>
      <c r="P4429" s="1" t="s">
        <v>6046</v>
      </c>
      <c r="Q4429" s="1" t="s">
        <v>6047</v>
      </c>
      <c r="R4429" s="1" t="s">
        <v>100</v>
      </c>
      <c r="S4429" s="1" t="s">
        <v>3524</v>
      </c>
      <c r="T4429" s="1" t="s">
        <v>3525</v>
      </c>
      <c r="U4429" s="2" t="s">
        <v>542</v>
      </c>
      <c r="V4429" s="2" t="s">
        <v>47</v>
      </c>
      <c r="W4429" s="2" t="s">
        <v>74</v>
      </c>
      <c r="X4429" s="2">
        <v>20.93</v>
      </c>
    </row>
    <row r="4430" spans="1:24" x14ac:dyDescent="0.3">
      <c r="A4430">
        <v>22272</v>
      </c>
      <c r="B4430" t="s">
        <v>10085</v>
      </c>
      <c r="C4430" s="3">
        <v>41830</v>
      </c>
      <c r="D4430" t="s">
        <v>39</v>
      </c>
      <c r="E4430">
        <v>14</v>
      </c>
      <c r="F4430" s="3">
        <f ca="1">41832+(RANDBETWEEN(1,10))</f>
        <v>41833</v>
      </c>
      <c r="G4430" t="s">
        <v>156</v>
      </c>
      <c r="H4430" t="s">
        <v>27</v>
      </c>
      <c r="I4430" t="s">
        <v>97</v>
      </c>
      <c r="J4430">
        <v>364.52499999999998</v>
      </c>
      <c r="K4430">
        <v>0.05</v>
      </c>
      <c r="L4430">
        <v>0.38</v>
      </c>
      <c r="M4430">
        <v>27.02</v>
      </c>
      <c r="N4430">
        <v>-513.32467199999996</v>
      </c>
      <c r="O4430" s="1" t="s">
        <v>40</v>
      </c>
      <c r="P4430" s="1" t="s">
        <v>8557</v>
      </c>
      <c r="Q4430" s="1" t="s">
        <v>8558</v>
      </c>
      <c r="R4430" s="1" t="s">
        <v>43</v>
      </c>
      <c r="S4430" s="1" t="s">
        <v>8559</v>
      </c>
      <c r="T4430" s="1" t="s">
        <v>8560</v>
      </c>
      <c r="U4430" s="2" t="s">
        <v>823</v>
      </c>
      <c r="V4430" s="2" t="s">
        <v>47</v>
      </c>
      <c r="W4430" s="2" t="s">
        <v>111</v>
      </c>
      <c r="X4430" s="2">
        <v>25.55</v>
      </c>
    </row>
    <row r="4431" spans="1:24" x14ac:dyDescent="0.3">
      <c r="A4431">
        <v>22273</v>
      </c>
      <c r="B4431" t="s">
        <v>10085</v>
      </c>
      <c r="C4431" s="3">
        <v>41830</v>
      </c>
      <c r="D4431" t="s">
        <v>39</v>
      </c>
      <c r="E4431">
        <v>8</v>
      </c>
      <c r="F4431" s="3">
        <f ca="1">41831+(RANDBETWEEN(1,10))</f>
        <v>41835</v>
      </c>
      <c r="G4431" t="s">
        <v>26</v>
      </c>
      <c r="H4431" t="s">
        <v>27</v>
      </c>
      <c r="I4431" t="s">
        <v>97</v>
      </c>
      <c r="J4431">
        <v>4180.7849999999999</v>
      </c>
      <c r="K4431">
        <v>0.09</v>
      </c>
      <c r="L4431">
        <v>0.66</v>
      </c>
      <c r="M4431">
        <v>69.965000000000003</v>
      </c>
      <c r="N4431">
        <v>844.27167999999995</v>
      </c>
      <c r="O4431" s="1" t="s">
        <v>40</v>
      </c>
      <c r="P4431" s="1" t="s">
        <v>8557</v>
      </c>
      <c r="Q4431" s="1" t="s">
        <v>8558</v>
      </c>
      <c r="R4431" s="1" t="s">
        <v>43</v>
      </c>
      <c r="S4431" s="1" t="s">
        <v>8559</v>
      </c>
      <c r="T4431" s="1" t="s">
        <v>8560</v>
      </c>
      <c r="U4431" s="2" t="s">
        <v>6421</v>
      </c>
      <c r="V4431" s="2" t="s">
        <v>47</v>
      </c>
      <c r="W4431" s="2" t="s">
        <v>119</v>
      </c>
      <c r="X4431" s="2">
        <v>565.42499999999995</v>
      </c>
    </row>
    <row r="4432" spans="1:24" x14ac:dyDescent="0.3">
      <c r="A4432">
        <v>22274</v>
      </c>
      <c r="B4432" t="s">
        <v>10086</v>
      </c>
      <c r="C4432" s="3">
        <v>41757</v>
      </c>
      <c r="D4432" t="s">
        <v>25</v>
      </c>
      <c r="E4432">
        <v>2</v>
      </c>
      <c r="F4432" s="3">
        <f ca="1">41762+(RANDBETWEEN(1,10))</f>
        <v>41769</v>
      </c>
      <c r="G4432" t="s">
        <v>76</v>
      </c>
      <c r="H4432" t="s">
        <v>258</v>
      </c>
      <c r="I4432" t="s">
        <v>97</v>
      </c>
      <c r="J4432">
        <v>2789.0450000000001</v>
      </c>
      <c r="K4432">
        <v>0.05</v>
      </c>
      <c r="L4432">
        <v>0.71</v>
      </c>
      <c r="M4432">
        <v>148.82</v>
      </c>
      <c r="N4432">
        <v>27.908999999999999</v>
      </c>
      <c r="O4432" s="1" t="s">
        <v>53</v>
      </c>
      <c r="P4432" s="1" t="s">
        <v>10087</v>
      </c>
      <c r="Q4432" s="1" t="s">
        <v>10088</v>
      </c>
      <c r="R4432" s="1" t="s">
        <v>100</v>
      </c>
      <c r="S4432" s="1" t="s">
        <v>10089</v>
      </c>
      <c r="T4432" s="1" t="s">
        <v>10090</v>
      </c>
      <c r="U4432" s="2" t="s">
        <v>2984</v>
      </c>
      <c r="V4432" s="2" t="s">
        <v>83</v>
      </c>
      <c r="W4432" s="2" t="s">
        <v>263</v>
      </c>
      <c r="X4432" s="2">
        <v>1403.43</v>
      </c>
    </row>
    <row r="4433" spans="1:24" x14ac:dyDescent="0.3">
      <c r="A4433">
        <v>22275</v>
      </c>
      <c r="B4433" t="s">
        <v>10091</v>
      </c>
      <c r="C4433" s="3">
        <v>40650</v>
      </c>
      <c r="D4433" t="s">
        <v>25</v>
      </c>
      <c r="E4433">
        <v>10</v>
      </c>
      <c r="F4433" s="3">
        <f ca="1">40650+(RANDBETWEEN(1,10))</f>
        <v>40660</v>
      </c>
      <c r="G4433" t="s">
        <v>26</v>
      </c>
      <c r="H4433" t="s">
        <v>27</v>
      </c>
      <c r="I4433" t="s">
        <v>28</v>
      </c>
      <c r="J4433">
        <v>15240.924999999999</v>
      </c>
      <c r="K4433">
        <v>0.02</v>
      </c>
      <c r="L4433">
        <v>0.57999999999999996</v>
      </c>
      <c r="M4433">
        <v>69.965000000000003</v>
      </c>
      <c r="N4433">
        <v>-138.62100000000001</v>
      </c>
      <c r="O4433" s="1" t="s">
        <v>64</v>
      </c>
      <c r="P4433" s="1" t="s">
        <v>4339</v>
      </c>
      <c r="Q4433" s="1" t="s">
        <v>4340</v>
      </c>
      <c r="R4433" s="1" t="s">
        <v>128</v>
      </c>
      <c r="S4433" s="1" t="s">
        <v>4341</v>
      </c>
      <c r="T4433" s="1" t="s">
        <v>4342</v>
      </c>
      <c r="U4433" s="2" t="s">
        <v>3569</v>
      </c>
      <c r="V4433" s="2" t="s">
        <v>47</v>
      </c>
      <c r="W4433" s="2" t="s">
        <v>119</v>
      </c>
      <c r="X4433" s="2">
        <v>1467.165</v>
      </c>
    </row>
    <row r="4434" spans="1:24" x14ac:dyDescent="0.3">
      <c r="A4434">
        <v>22276</v>
      </c>
      <c r="B4434" t="s">
        <v>10092</v>
      </c>
      <c r="C4434" s="3">
        <v>41069</v>
      </c>
      <c r="D4434" t="s">
        <v>148</v>
      </c>
      <c r="E4434">
        <v>6</v>
      </c>
      <c r="F4434" s="3">
        <f ca="1">41069+(RANDBETWEEN(1,10))</f>
        <v>41072</v>
      </c>
      <c r="G4434" t="s">
        <v>156</v>
      </c>
      <c r="H4434" t="s">
        <v>51</v>
      </c>
      <c r="I4434" t="s">
        <v>97</v>
      </c>
      <c r="J4434">
        <v>313.005</v>
      </c>
      <c r="K4434">
        <v>0</v>
      </c>
      <c r="L4434">
        <v>0.56000000000000005</v>
      </c>
      <c r="M4434">
        <v>26.565000000000001</v>
      </c>
      <c r="N4434">
        <v>-100.184</v>
      </c>
      <c r="O4434" s="1" t="s">
        <v>64</v>
      </c>
      <c r="P4434" s="1" t="s">
        <v>5260</v>
      </c>
      <c r="Q4434" s="1" t="s">
        <v>5261</v>
      </c>
      <c r="R4434" s="1" t="s">
        <v>67</v>
      </c>
      <c r="S4434" s="1" t="s">
        <v>5262</v>
      </c>
      <c r="T4434" s="1" t="s">
        <v>5263</v>
      </c>
      <c r="U4434" s="2" t="s">
        <v>2877</v>
      </c>
      <c r="V4434" s="2" t="s">
        <v>47</v>
      </c>
      <c r="W4434" s="2" t="s">
        <v>94</v>
      </c>
      <c r="X4434" s="2">
        <v>48.65</v>
      </c>
    </row>
    <row r="4435" spans="1:24" x14ac:dyDescent="0.3">
      <c r="A4435">
        <v>22277</v>
      </c>
      <c r="B4435" t="s">
        <v>10093</v>
      </c>
      <c r="C4435" s="3">
        <v>41827</v>
      </c>
      <c r="D4435" t="s">
        <v>25</v>
      </c>
      <c r="E4435">
        <v>11</v>
      </c>
      <c r="F4435" s="3">
        <f ca="1">41832+(RANDBETWEEN(1,10))</f>
        <v>41835</v>
      </c>
      <c r="G4435" t="s">
        <v>156</v>
      </c>
      <c r="H4435" t="s">
        <v>27</v>
      </c>
      <c r="I4435" t="s">
        <v>28</v>
      </c>
      <c r="J4435">
        <v>155.54</v>
      </c>
      <c r="K4435">
        <v>0.09</v>
      </c>
      <c r="L4435">
        <v>0.37</v>
      </c>
      <c r="M4435">
        <v>24.535</v>
      </c>
      <c r="N4435">
        <v>-485.61013200000002</v>
      </c>
      <c r="O4435" s="1" t="s">
        <v>87</v>
      </c>
      <c r="P4435" s="1" t="s">
        <v>5700</v>
      </c>
      <c r="Q4435" s="1" t="s">
        <v>5701</v>
      </c>
      <c r="R4435" s="1" t="s">
        <v>398</v>
      </c>
      <c r="S4435" s="1" t="s">
        <v>5702</v>
      </c>
      <c r="T4435" s="1" t="s">
        <v>5703</v>
      </c>
      <c r="U4435" s="2" t="s">
        <v>2043</v>
      </c>
      <c r="V4435" s="2" t="s">
        <v>47</v>
      </c>
      <c r="W4435" s="2" t="s">
        <v>111</v>
      </c>
      <c r="X4435" s="2">
        <v>13.615</v>
      </c>
    </row>
    <row r="4436" spans="1:24" x14ac:dyDescent="0.3">
      <c r="A4436">
        <v>22278</v>
      </c>
      <c r="B4436" t="s">
        <v>10094</v>
      </c>
      <c r="C4436" s="3">
        <v>41866</v>
      </c>
      <c r="D4436" t="s">
        <v>62</v>
      </c>
      <c r="E4436">
        <v>3</v>
      </c>
      <c r="F4436" s="3">
        <f ca="1">41867+(RANDBETWEEN(1,10))</f>
        <v>41872</v>
      </c>
      <c r="G4436" t="s">
        <v>26</v>
      </c>
      <c r="H4436" t="s">
        <v>27</v>
      </c>
      <c r="I4436" t="s">
        <v>52</v>
      </c>
      <c r="J4436">
        <v>4241.2650000000003</v>
      </c>
      <c r="K4436">
        <v>0.05</v>
      </c>
      <c r="L4436">
        <v>0.35</v>
      </c>
      <c r="M4436">
        <v>69.965000000000003</v>
      </c>
      <c r="N4436">
        <v>1598.953258</v>
      </c>
      <c r="O4436" s="1" t="s">
        <v>87</v>
      </c>
      <c r="P4436" s="1" t="s">
        <v>3061</v>
      </c>
      <c r="Q4436" s="1" t="s">
        <v>3062</v>
      </c>
      <c r="R4436" s="1" t="s">
        <v>90</v>
      </c>
      <c r="S4436" s="1" t="s">
        <v>3063</v>
      </c>
      <c r="T4436" s="1" t="s">
        <v>3064</v>
      </c>
      <c r="U4436" s="2" t="s">
        <v>1352</v>
      </c>
      <c r="V4436" s="2" t="s">
        <v>47</v>
      </c>
      <c r="W4436" s="2" t="s">
        <v>111</v>
      </c>
      <c r="X4436" s="2">
        <v>1473.43</v>
      </c>
    </row>
    <row r="4437" spans="1:24" x14ac:dyDescent="0.3">
      <c r="A4437">
        <v>22279</v>
      </c>
      <c r="B4437" t="s">
        <v>10095</v>
      </c>
      <c r="C4437" s="3">
        <v>41998</v>
      </c>
      <c r="D4437" t="s">
        <v>50</v>
      </c>
      <c r="E4437">
        <v>23</v>
      </c>
      <c r="F4437" s="3">
        <f ca="1">42000+(RANDBETWEEN(1,10))</f>
        <v>42006</v>
      </c>
      <c r="G4437" t="s">
        <v>26</v>
      </c>
      <c r="H4437" t="s">
        <v>96</v>
      </c>
      <c r="I4437" t="s">
        <v>28</v>
      </c>
      <c r="J4437">
        <v>532.45500000000004</v>
      </c>
      <c r="K4437">
        <v>0.1</v>
      </c>
      <c r="L4437">
        <v>0.47</v>
      </c>
      <c r="M4437">
        <v>8.2249999999999996</v>
      </c>
      <c r="N4437">
        <v>168.48831999999999</v>
      </c>
      <c r="O4437" s="1" t="s">
        <v>53</v>
      </c>
      <c r="P4437" s="1" t="s">
        <v>10096</v>
      </c>
      <c r="Q4437" s="1" t="s">
        <v>10097</v>
      </c>
      <c r="R4437" s="1" t="s">
        <v>440</v>
      </c>
      <c r="S4437" s="1" t="s">
        <v>10098</v>
      </c>
      <c r="T4437" s="1" t="s">
        <v>10099</v>
      </c>
      <c r="U4437" s="2" t="s">
        <v>6690</v>
      </c>
      <c r="V4437" s="2" t="s">
        <v>47</v>
      </c>
      <c r="W4437" s="2" t="s">
        <v>104</v>
      </c>
      <c r="X4437" s="2">
        <v>24.78</v>
      </c>
    </row>
    <row r="4438" spans="1:24" x14ac:dyDescent="0.3">
      <c r="A4438">
        <v>22280</v>
      </c>
      <c r="B4438" t="s">
        <v>10100</v>
      </c>
      <c r="C4438" s="3">
        <v>41311</v>
      </c>
      <c r="D4438" t="s">
        <v>62</v>
      </c>
      <c r="E4438">
        <v>10</v>
      </c>
      <c r="F4438" s="3">
        <f ca="1">41313+(RANDBETWEEN(1,10))</f>
        <v>41321</v>
      </c>
      <c r="G4438" t="s">
        <v>156</v>
      </c>
      <c r="H4438" t="s">
        <v>27</v>
      </c>
      <c r="I4438" t="s">
        <v>28</v>
      </c>
      <c r="J4438">
        <v>727.68499999999995</v>
      </c>
      <c r="K4438">
        <v>0.03</v>
      </c>
      <c r="L4438">
        <v>0.37</v>
      </c>
      <c r="M4438">
        <v>30.905000000000001</v>
      </c>
      <c r="N4438">
        <v>2755.2797999999998</v>
      </c>
      <c r="O4438" s="1" t="s">
        <v>29</v>
      </c>
      <c r="P4438" s="1" t="s">
        <v>8740</v>
      </c>
      <c r="Q4438" s="1" t="s">
        <v>8741</v>
      </c>
      <c r="R4438" s="1" t="s">
        <v>460</v>
      </c>
      <c r="S4438" s="1" t="s">
        <v>8742</v>
      </c>
      <c r="T4438" s="1" t="s">
        <v>8743</v>
      </c>
      <c r="U4438" s="2" t="s">
        <v>7151</v>
      </c>
      <c r="V4438" s="2" t="s">
        <v>47</v>
      </c>
      <c r="W4438" s="2" t="s">
        <v>111</v>
      </c>
      <c r="X4438" s="2">
        <v>73.430000000000007</v>
      </c>
    </row>
    <row r="4439" spans="1:24" x14ac:dyDescent="0.3">
      <c r="A4439">
        <v>22281</v>
      </c>
      <c r="B4439" t="s">
        <v>10100</v>
      </c>
      <c r="C4439" s="3">
        <v>41311</v>
      </c>
      <c r="D4439" t="s">
        <v>62</v>
      </c>
      <c r="E4439">
        <v>9</v>
      </c>
      <c r="F4439" s="3">
        <f ca="1">41313+(RANDBETWEEN(1,10))</f>
        <v>41317</v>
      </c>
      <c r="G4439" t="s">
        <v>26</v>
      </c>
      <c r="H4439" t="s">
        <v>27</v>
      </c>
      <c r="I4439" t="s">
        <v>28</v>
      </c>
      <c r="J4439">
        <v>193.13</v>
      </c>
      <c r="K4439">
        <v>0.06</v>
      </c>
      <c r="L4439">
        <v>0.4</v>
      </c>
      <c r="M4439">
        <v>18.725000000000001</v>
      </c>
      <c r="N4439">
        <v>4363.6109999999999</v>
      </c>
      <c r="O4439" s="1" t="s">
        <v>29</v>
      </c>
      <c r="P4439" s="1" t="s">
        <v>8740</v>
      </c>
      <c r="Q4439" s="1" t="s">
        <v>8741</v>
      </c>
      <c r="R4439" s="1" t="s">
        <v>460</v>
      </c>
      <c r="S4439" s="1" t="s">
        <v>8742</v>
      </c>
      <c r="T4439" s="1" t="s">
        <v>8743</v>
      </c>
      <c r="U4439" s="2" t="s">
        <v>2740</v>
      </c>
      <c r="V4439" s="2" t="s">
        <v>47</v>
      </c>
      <c r="W4439" s="2" t="s">
        <v>74</v>
      </c>
      <c r="X4439" s="2">
        <v>20.93</v>
      </c>
    </row>
    <row r="4440" spans="1:24" x14ac:dyDescent="0.3">
      <c r="A4440">
        <v>22282</v>
      </c>
      <c r="B4440" t="s">
        <v>10101</v>
      </c>
      <c r="C4440" s="3">
        <v>41942</v>
      </c>
      <c r="D4440" t="s">
        <v>39</v>
      </c>
      <c r="E4440">
        <v>8</v>
      </c>
      <c r="F4440" s="3">
        <f ca="1">41944+(RANDBETWEEN(1,10))</f>
        <v>41945</v>
      </c>
      <c r="G4440" t="s">
        <v>26</v>
      </c>
      <c r="H4440" t="s">
        <v>27</v>
      </c>
      <c r="I4440" t="s">
        <v>52</v>
      </c>
      <c r="J4440">
        <v>161.10499999999999</v>
      </c>
      <c r="K4440">
        <v>0.1</v>
      </c>
      <c r="L4440">
        <v>0.36</v>
      </c>
      <c r="M4440">
        <v>8.75</v>
      </c>
      <c r="N4440">
        <v>19.809999999999999</v>
      </c>
      <c r="O4440" s="1" t="s">
        <v>87</v>
      </c>
      <c r="P4440" s="1" t="s">
        <v>9122</v>
      </c>
      <c r="Q4440" s="1" t="s">
        <v>9123</v>
      </c>
      <c r="R4440" s="1" t="s">
        <v>646</v>
      </c>
      <c r="S4440" s="1" t="s">
        <v>9124</v>
      </c>
      <c r="T4440" s="1" t="s">
        <v>9125</v>
      </c>
      <c r="U4440" s="2" t="s">
        <v>1486</v>
      </c>
      <c r="V4440" s="2" t="s">
        <v>47</v>
      </c>
      <c r="W4440" s="2" t="s">
        <v>48</v>
      </c>
      <c r="X4440" s="2">
        <v>20.93</v>
      </c>
    </row>
    <row r="4441" spans="1:24" x14ac:dyDescent="0.3">
      <c r="A4441">
        <v>22283</v>
      </c>
      <c r="B4441" t="s">
        <v>10101</v>
      </c>
      <c r="C4441" s="3">
        <v>41942</v>
      </c>
      <c r="D4441" t="s">
        <v>39</v>
      </c>
      <c r="E4441">
        <v>17</v>
      </c>
      <c r="F4441" s="3">
        <f ca="1">41944+(RANDBETWEEN(1,10))</f>
        <v>41949</v>
      </c>
      <c r="G4441" t="s">
        <v>26</v>
      </c>
      <c r="H4441" t="s">
        <v>96</v>
      </c>
      <c r="I4441" t="s">
        <v>52</v>
      </c>
      <c r="J4441">
        <v>359.90499999999997</v>
      </c>
      <c r="K4441">
        <v>0.01</v>
      </c>
      <c r="L4441">
        <v>0.55000000000000004</v>
      </c>
      <c r="M4441">
        <v>4.2</v>
      </c>
      <c r="N4441">
        <v>148.19</v>
      </c>
      <c r="O4441" s="1" t="s">
        <v>87</v>
      </c>
      <c r="P4441" s="1" t="s">
        <v>9122</v>
      </c>
      <c r="Q4441" s="1" t="s">
        <v>9123</v>
      </c>
      <c r="R4441" s="1" t="s">
        <v>646</v>
      </c>
      <c r="S4441" s="1" t="s">
        <v>9124</v>
      </c>
      <c r="T4441" s="1" t="s">
        <v>9125</v>
      </c>
      <c r="U4441" s="2" t="s">
        <v>4460</v>
      </c>
      <c r="V4441" s="2" t="s">
        <v>47</v>
      </c>
      <c r="W4441" s="2" t="s">
        <v>104</v>
      </c>
      <c r="X4441" s="2">
        <v>20.440000000000001</v>
      </c>
    </row>
    <row r="4442" spans="1:24" x14ac:dyDescent="0.3">
      <c r="A4442">
        <v>22284</v>
      </c>
      <c r="B4442" t="s">
        <v>10102</v>
      </c>
      <c r="C4442" s="3">
        <v>41604</v>
      </c>
      <c r="D4442" t="s">
        <v>39</v>
      </c>
      <c r="E4442">
        <v>24</v>
      </c>
      <c r="F4442" s="3">
        <f ca="1">41605+(RANDBETWEEN(1,10))</f>
        <v>41607</v>
      </c>
      <c r="G4442" t="s">
        <v>26</v>
      </c>
      <c r="H4442" t="s">
        <v>27</v>
      </c>
      <c r="I4442" t="s">
        <v>97</v>
      </c>
      <c r="J4442">
        <v>1294.125</v>
      </c>
      <c r="K4442">
        <v>0.03</v>
      </c>
      <c r="L4442">
        <v>0.36</v>
      </c>
      <c r="M4442">
        <v>34.055</v>
      </c>
      <c r="N4442">
        <v>20.068650000000002</v>
      </c>
      <c r="O4442" s="1" t="s">
        <v>29</v>
      </c>
      <c r="P4442" s="1" t="s">
        <v>10103</v>
      </c>
      <c r="Q4442" s="1" t="s">
        <v>10104</v>
      </c>
      <c r="R4442" s="1" t="s">
        <v>460</v>
      </c>
      <c r="S4442" s="1" t="s">
        <v>4694</v>
      </c>
      <c r="T4442" s="1" t="s">
        <v>4695</v>
      </c>
      <c r="U4442" s="2" t="s">
        <v>5433</v>
      </c>
      <c r="V4442" s="2" t="s">
        <v>47</v>
      </c>
      <c r="W4442" s="2" t="s">
        <v>111</v>
      </c>
      <c r="X4442" s="2">
        <v>53.27</v>
      </c>
    </row>
    <row r="4443" spans="1:24" x14ac:dyDescent="0.3">
      <c r="A4443">
        <v>22285</v>
      </c>
      <c r="B4443" t="s">
        <v>10102</v>
      </c>
      <c r="C4443" s="3">
        <v>41604</v>
      </c>
      <c r="D4443" t="s">
        <v>39</v>
      </c>
      <c r="E4443">
        <v>20</v>
      </c>
      <c r="F4443" s="3">
        <f ca="1">41605+(RANDBETWEEN(1,10))</f>
        <v>41613</v>
      </c>
      <c r="G4443" t="s">
        <v>156</v>
      </c>
      <c r="H4443" t="s">
        <v>27</v>
      </c>
      <c r="I4443" t="s">
        <v>97</v>
      </c>
      <c r="J4443">
        <v>798.35</v>
      </c>
      <c r="K4443">
        <v>0.04</v>
      </c>
      <c r="L4443">
        <v>0.36</v>
      </c>
      <c r="M4443">
        <v>18.375</v>
      </c>
      <c r="N4443">
        <v>212.13499999999999</v>
      </c>
      <c r="O4443" s="1" t="s">
        <v>29</v>
      </c>
      <c r="P4443" s="1" t="s">
        <v>10103</v>
      </c>
      <c r="Q4443" s="1" t="s">
        <v>10104</v>
      </c>
      <c r="R4443" s="1" t="s">
        <v>460</v>
      </c>
      <c r="S4443" s="1" t="s">
        <v>4694</v>
      </c>
      <c r="T4443" s="1" t="s">
        <v>4695</v>
      </c>
      <c r="U4443" s="2" t="s">
        <v>1463</v>
      </c>
      <c r="V4443" s="2" t="s">
        <v>47</v>
      </c>
      <c r="W4443" s="2" t="s">
        <v>48</v>
      </c>
      <c r="X4443" s="2">
        <v>38.814999999999998</v>
      </c>
    </row>
    <row r="4444" spans="1:24" x14ac:dyDescent="0.3">
      <c r="A4444">
        <v>22286</v>
      </c>
      <c r="B4444" t="s">
        <v>10102</v>
      </c>
      <c r="C4444" s="3">
        <v>41604</v>
      </c>
      <c r="D4444" t="s">
        <v>39</v>
      </c>
      <c r="E4444">
        <v>38</v>
      </c>
      <c r="F4444" s="3">
        <f ca="1">41606+(RANDBETWEEN(1,10))</f>
        <v>41611</v>
      </c>
      <c r="G4444" t="s">
        <v>26</v>
      </c>
      <c r="H4444" t="s">
        <v>27</v>
      </c>
      <c r="I4444" t="s">
        <v>97</v>
      </c>
      <c r="J4444">
        <v>1519.2449999999999</v>
      </c>
      <c r="K4444">
        <v>0.05</v>
      </c>
      <c r="L4444">
        <v>0.36</v>
      </c>
      <c r="M4444">
        <v>17.535</v>
      </c>
      <c r="N4444">
        <v>632.86300000000006</v>
      </c>
      <c r="O4444" s="1" t="s">
        <v>29</v>
      </c>
      <c r="P4444" s="1" t="s">
        <v>10103</v>
      </c>
      <c r="Q4444" s="1" t="s">
        <v>10104</v>
      </c>
      <c r="R4444" s="1" t="s">
        <v>460</v>
      </c>
      <c r="S4444" s="1" t="s">
        <v>4694</v>
      </c>
      <c r="T4444" s="1" t="s">
        <v>4695</v>
      </c>
      <c r="U4444" s="2" t="s">
        <v>4556</v>
      </c>
      <c r="V4444" s="2" t="s">
        <v>47</v>
      </c>
      <c r="W4444" s="2" t="s">
        <v>74</v>
      </c>
      <c r="X4444" s="2">
        <v>39.69</v>
      </c>
    </row>
    <row r="4445" spans="1:24" x14ac:dyDescent="0.3">
      <c r="A4445">
        <v>22287</v>
      </c>
      <c r="B4445" t="s">
        <v>10102</v>
      </c>
      <c r="C4445" s="3">
        <v>41604</v>
      </c>
      <c r="D4445" t="s">
        <v>39</v>
      </c>
      <c r="E4445">
        <v>8</v>
      </c>
      <c r="F4445" s="3">
        <f ca="1">41606+(RANDBETWEEN(1,10))</f>
        <v>41615</v>
      </c>
      <c r="G4445" t="s">
        <v>76</v>
      </c>
      <c r="H4445" t="s">
        <v>258</v>
      </c>
      <c r="I4445" t="s">
        <v>97</v>
      </c>
      <c r="J4445">
        <v>5278.63</v>
      </c>
      <c r="K4445">
        <v>0.04</v>
      </c>
      <c r="L4445">
        <v>0.74</v>
      </c>
      <c r="M4445">
        <v>82.53</v>
      </c>
      <c r="N4445">
        <v>57.966999999999999</v>
      </c>
      <c r="O4445" s="1" t="s">
        <v>225</v>
      </c>
      <c r="P4445" s="1" t="s">
        <v>10105</v>
      </c>
      <c r="Q4445" s="1" t="s">
        <v>10106</v>
      </c>
      <c r="R4445" s="1" t="s">
        <v>228</v>
      </c>
      <c r="S4445" s="1" t="s">
        <v>10107</v>
      </c>
      <c r="T4445" s="1" t="s">
        <v>10108</v>
      </c>
      <c r="U4445" s="2" t="s">
        <v>3936</v>
      </c>
      <c r="V4445" s="2" t="s">
        <v>83</v>
      </c>
      <c r="W4445" s="2" t="s">
        <v>298</v>
      </c>
      <c r="X4445" s="2">
        <v>633.42999999999995</v>
      </c>
    </row>
    <row r="4446" spans="1:24" x14ac:dyDescent="0.3">
      <c r="A4446">
        <v>22288</v>
      </c>
      <c r="B4446" t="s">
        <v>10109</v>
      </c>
      <c r="C4446" s="3">
        <v>40600</v>
      </c>
      <c r="D4446" t="s">
        <v>62</v>
      </c>
      <c r="E4446">
        <v>5</v>
      </c>
      <c r="F4446" s="3">
        <f ca="1">40601+(RANDBETWEEN(1,10))</f>
        <v>40602</v>
      </c>
      <c r="G4446" t="s">
        <v>26</v>
      </c>
      <c r="H4446" t="s">
        <v>96</v>
      </c>
      <c r="I4446" t="s">
        <v>97</v>
      </c>
      <c r="J4446">
        <v>530.6</v>
      </c>
      <c r="K4446">
        <v>0.09</v>
      </c>
      <c r="L4446">
        <v>0.38</v>
      </c>
      <c r="M4446">
        <v>20.965</v>
      </c>
      <c r="N4446">
        <v>400.10775000000001</v>
      </c>
      <c r="O4446" s="1" t="s">
        <v>87</v>
      </c>
      <c r="P4446" s="1" t="s">
        <v>900</v>
      </c>
      <c r="Q4446" s="1" t="s">
        <v>901</v>
      </c>
      <c r="R4446" s="1" t="s">
        <v>497</v>
      </c>
      <c r="S4446" s="1" t="s">
        <v>902</v>
      </c>
      <c r="T4446" s="1" t="s">
        <v>903</v>
      </c>
      <c r="U4446" s="2" t="s">
        <v>5234</v>
      </c>
      <c r="V4446" s="2" t="s">
        <v>36</v>
      </c>
      <c r="W4446" s="2" t="s">
        <v>37</v>
      </c>
      <c r="X4446" s="2">
        <v>125.965</v>
      </c>
    </row>
    <row r="4447" spans="1:24" x14ac:dyDescent="0.3">
      <c r="A4447">
        <v>22289</v>
      </c>
      <c r="B4447" t="s">
        <v>10110</v>
      </c>
      <c r="C4447" s="3">
        <v>41481</v>
      </c>
      <c r="D4447" t="s">
        <v>148</v>
      </c>
      <c r="E4447">
        <v>11</v>
      </c>
      <c r="F4447" s="3">
        <f ca="1">41483+(RANDBETWEEN(1,10))</f>
        <v>41489</v>
      </c>
      <c r="G4447" t="s">
        <v>156</v>
      </c>
      <c r="H4447" t="s">
        <v>27</v>
      </c>
      <c r="I4447" t="s">
        <v>28</v>
      </c>
      <c r="J4447">
        <v>2147.6</v>
      </c>
      <c r="K4447">
        <v>0.04</v>
      </c>
      <c r="L4447">
        <v>0.74</v>
      </c>
      <c r="M4447">
        <v>14</v>
      </c>
      <c r="N4447">
        <v>-457.709</v>
      </c>
      <c r="O4447" s="1" t="s">
        <v>29</v>
      </c>
      <c r="P4447" s="1" t="s">
        <v>10111</v>
      </c>
      <c r="Q4447" s="1" t="s">
        <v>10112</v>
      </c>
      <c r="R4447" s="1" t="s">
        <v>460</v>
      </c>
      <c r="S4447" s="1" t="s">
        <v>1753</v>
      </c>
      <c r="T4447" s="1" t="s">
        <v>1437</v>
      </c>
      <c r="U4447" s="2" t="s">
        <v>2020</v>
      </c>
      <c r="V4447" s="2" t="s">
        <v>36</v>
      </c>
      <c r="W4447" s="2" t="s">
        <v>60</v>
      </c>
      <c r="X4447" s="2">
        <v>195.79</v>
      </c>
    </row>
    <row r="4448" spans="1:24" x14ac:dyDescent="0.3">
      <c r="A4448">
        <v>22290</v>
      </c>
      <c r="B4448" t="s">
        <v>10113</v>
      </c>
      <c r="C4448" s="3">
        <v>41456</v>
      </c>
      <c r="D4448" t="s">
        <v>25</v>
      </c>
      <c r="E4448">
        <v>11</v>
      </c>
      <c r="F4448" s="3">
        <f ca="1">41458+(RANDBETWEEN(1,10))</f>
        <v>41465</v>
      </c>
      <c r="G4448" t="s">
        <v>26</v>
      </c>
      <c r="H4448" t="s">
        <v>27</v>
      </c>
      <c r="I4448" t="s">
        <v>86</v>
      </c>
      <c r="J4448">
        <v>255.29</v>
      </c>
      <c r="K4448">
        <v>0.02</v>
      </c>
      <c r="L4448">
        <v>0.37</v>
      </c>
      <c r="M4448">
        <v>33.39</v>
      </c>
      <c r="N4448">
        <v>-676.86500000000001</v>
      </c>
      <c r="O4448" s="1" t="s">
        <v>64</v>
      </c>
      <c r="P4448" s="1" t="s">
        <v>6517</v>
      </c>
      <c r="Q4448" s="1" t="s">
        <v>6518</v>
      </c>
      <c r="R4448" s="1" t="s">
        <v>128</v>
      </c>
      <c r="S4448" s="1" t="s">
        <v>6519</v>
      </c>
      <c r="T4448" s="1" t="s">
        <v>6520</v>
      </c>
      <c r="U4448" s="2" t="s">
        <v>272</v>
      </c>
      <c r="V4448" s="2" t="s">
        <v>47</v>
      </c>
      <c r="W4448" s="2" t="s">
        <v>74</v>
      </c>
      <c r="X4448" s="2">
        <v>22.68</v>
      </c>
    </row>
    <row r="4449" spans="1:24" x14ac:dyDescent="0.3">
      <c r="A4449">
        <v>22291</v>
      </c>
      <c r="B4449" t="s">
        <v>10114</v>
      </c>
      <c r="C4449" s="3">
        <v>40557</v>
      </c>
      <c r="D4449" t="s">
        <v>50</v>
      </c>
      <c r="E4449">
        <v>4</v>
      </c>
      <c r="F4449" s="3">
        <f ca="1">40557+(RANDBETWEEN(1,10))</f>
        <v>40559</v>
      </c>
      <c r="G4449" t="s">
        <v>76</v>
      </c>
      <c r="H4449" t="s">
        <v>77</v>
      </c>
      <c r="I4449" t="s">
        <v>86</v>
      </c>
      <c r="J4449">
        <v>2690.835</v>
      </c>
      <c r="K4449">
        <v>0.1</v>
      </c>
      <c r="L4449">
        <v>0.57999999999999996</v>
      </c>
      <c r="M4449">
        <v>238.07</v>
      </c>
      <c r="N4449">
        <v>-481.327</v>
      </c>
      <c r="O4449" s="1" t="s">
        <v>40</v>
      </c>
      <c r="P4449" s="1" t="s">
        <v>7181</v>
      </c>
      <c r="Q4449" s="1" t="s">
        <v>7182</v>
      </c>
      <c r="R4449" s="1" t="s">
        <v>43</v>
      </c>
      <c r="S4449" s="1" t="s">
        <v>7183</v>
      </c>
      <c r="T4449" s="1" t="s">
        <v>7184</v>
      </c>
      <c r="U4449" s="2" t="s">
        <v>617</v>
      </c>
      <c r="V4449" s="2" t="s">
        <v>47</v>
      </c>
      <c r="W4449" s="2" t="s">
        <v>71</v>
      </c>
      <c r="X4449" s="2">
        <v>728.56</v>
      </c>
    </row>
    <row r="4450" spans="1:24" x14ac:dyDescent="0.3">
      <c r="A4450">
        <v>22292</v>
      </c>
      <c r="B4450" t="s">
        <v>10114</v>
      </c>
      <c r="C4450" s="3">
        <v>40557</v>
      </c>
      <c r="D4450" t="s">
        <v>50</v>
      </c>
      <c r="E4450">
        <v>2</v>
      </c>
      <c r="F4450" s="3">
        <f ca="1">40558+(RANDBETWEEN(1,10))</f>
        <v>40563</v>
      </c>
      <c r="G4450" t="s">
        <v>26</v>
      </c>
      <c r="H4450" t="s">
        <v>27</v>
      </c>
      <c r="I4450" t="s">
        <v>86</v>
      </c>
      <c r="J4450">
        <v>641.86500000000001</v>
      </c>
      <c r="K4450">
        <v>7.0000000000000007E-2</v>
      </c>
      <c r="L4450">
        <v>0.4</v>
      </c>
      <c r="M4450">
        <v>69.965000000000003</v>
      </c>
      <c r="N4450">
        <v>-41.356000000000002</v>
      </c>
      <c r="O4450" s="1" t="s">
        <v>53</v>
      </c>
      <c r="P4450" s="1" t="s">
        <v>10115</v>
      </c>
      <c r="Q4450" s="1" t="s">
        <v>10116</v>
      </c>
      <c r="R4450" s="1" t="s">
        <v>56</v>
      </c>
      <c r="S4450" s="1" t="s">
        <v>4879</v>
      </c>
      <c r="T4450" s="1" t="s">
        <v>4880</v>
      </c>
      <c r="U4450" s="2" t="s">
        <v>2845</v>
      </c>
      <c r="V4450" s="2" t="s">
        <v>47</v>
      </c>
      <c r="W4450" s="2" t="s">
        <v>48</v>
      </c>
      <c r="X4450" s="2">
        <v>316.68</v>
      </c>
    </row>
    <row r="4451" spans="1:24" x14ac:dyDescent="0.3">
      <c r="A4451">
        <v>22293</v>
      </c>
      <c r="B4451" t="s">
        <v>10114</v>
      </c>
      <c r="C4451" s="3">
        <v>40557</v>
      </c>
      <c r="D4451" t="s">
        <v>50</v>
      </c>
      <c r="E4451">
        <v>1</v>
      </c>
      <c r="F4451" s="3">
        <f ca="1">40559+(RANDBETWEEN(1,10))</f>
        <v>40567</v>
      </c>
      <c r="G4451" t="s">
        <v>156</v>
      </c>
      <c r="H4451" t="s">
        <v>51</v>
      </c>
      <c r="I4451" t="s">
        <v>86</v>
      </c>
      <c r="J4451">
        <v>45.15</v>
      </c>
      <c r="K4451">
        <v>0.01</v>
      </c>
      <c r="L4451">
        <v>0.45</v>
      </c>
      <c r="M4451">
        <v>25.515000000000001</v>
      </c>
      <c r="N4451">
        <v>836.26829999999995</v>
      </c>
      <c r="O4451" s="1" t="s">
        <v>53</v>
      </c>
      <c r="P4451" s="1" t="s">
        <v>10115</v>
      </c>
      <c r="Q4451" s="1" t="s">
        <v>10116</v>
      </c>
      <c r="R4451" s="1" t="s">
        <v>56</v>
      </c>
      <c r="S4451" s="1" t="s">
        <v>4879</v>
      </c>
      <c r="T4451" s="1" t="s">
        <v>4880</v>
      </c>
      <c r="U4451" s="2" t="s">
        <v>2315</v>
      </c>
      <c r="V4451" s="2" t="s">
        <v>83</v>
      </c>
      <c r="W4451" s="2" t="s">
        <v>178</v>
      </c>
      <c r="X4451" s="2">
        <v>33.18</v>
      </c>
    </row>
    <row r="4452" spans="1:24" x14ac:dyDescent="0.3">
      <c r="A4452">
        <v>22294</v>
      </c>
      <c r="B4452" t="s">
        <v>10114</v>
      </c>
      <c r="C4452" s="3">
        <v>40557</v>
      </c>
      <c r="D4452" t="s">
        <v>50</v>
      </c>
      <c r="E4452">
        <v>4</v>
      </c>
      <c r="F4452" s="3">
        <f ca="1">40558+(RANDBETWEEN(1,10))</f>
        <v>40559</v>
      </c>
      <c r="G4452" t="s">
        <v>26</v>
      </c>
      <c r="H4452" t="s">
        <v>96</v>
      </c>
      <c r="I4452" t="s">
        <v>86</v>
      </c>
      <c r="J4452">
        <v>62.615000000000002</v>
      </c>
      <c r="K4452">
        <v>0.02</v>
      </c>
      <c r="L4452">
        <v>0.56000000000000005</v>
      </c>
      <c r="M4452">
        <v>3.29</v>
      </c>
      <c r="N4452">
        <v>-367.94099999999997</v>
      </c>
      <c r="O4452" s="1" t="s">
        <v>53</v>
      </c>
      <c r="P4452" s="1" t="s">
        <v>10115</v>
      </c>
      <c r="Q4452" s="1" t="s">
        <v>10116</v>
      </c>
      <c r="R4452" s="1" t="s">
        <v>56</v>
      </c>
      <c r="S4452" s="1" t="s">
        <v>4879</v>
      </c>
      <c r="T4452" s="1" t="s">
        <v>4880</v>
      </c>
      <c r="U4452" s="2" t="s">
        <v>331</v>
      </c>
      <c r="V4452" s="2" t="s">
        <v>47</v>
      </c>
      <c r="W4452" s="2" t="s">
        <v>104</v>
      </c>
      <c r="X4452" s="2">
        <v>14.98</v>
      </c>
    </row>
    <row r="4453" spans="1:24" x14ac:dyDescent="0.3">
      <c r="A4453">
        <v>22295</v>
      </c>
      <c r="B4453" t="s">
        <v>10117</v>
      </c>
      <c r="C4453" s="3">
        <v>41480</v>
      </c>
      <c r="D4453" t="s">
        <v>62</v>
      </c>
      <c r="E4453">
        <v>7</v>
      </c>
      <c r="F4453" s="3">
        <f ca="1">41482+(RANDBETWEEN(1,10))</f>
        <v>41491</v>
      </c>
      <c r="G4453" t="s">
        <v>156</v>
      </c>
      <c r="H4453" t="s">
        <v>27</v>
      </c>
      <c r="I4453" t="s">
        <v>86</v>
      </c>
      <c r="J4453">
        <v>119.63</v>
      </c>
      <c r="K4453">
        <v>0.04</v>
      </c>
      <c r="L4453">
        <v>0.49</v>
      </c>
      <c r="M4453">
        <v>24.22</v>
      </c>
      <c r="N4453">
        <v>-315.245</v>
      </c>
      <c r="O4453" s="1" t="s">
        <v>64</v>
      </c>
      <c r="P4453" s="1" t="s">
        <v>10118</v>
      </c>
      <c r="Q4453" s="1" t="s">
        <v>10119</v>
      </c>
      <c r="R4453" s="1" t="s">
        <v>67</v>
      </c>
      <c r="S4453" s="1" t="s">
        <v>10120</v>
      </c>
      <c r="T4453" s="1" t="s">
        <v>10121</v>
      </c>
      <c r="U4453" s="2" t="s">
        <v>6098</v>
      </c>
      <c r="V4453" s="2" t="s">
        <v>83</v>
      </c>
      <c r="W4453" s="2" t="s">
        <v>178</v>
      </c>
      <c r="X4453" s="2">
        <v>14.63</v>
      </c>
    </row>
    <row r="4454" spans="1:24" x14ac:dyDescent="0.3">
      <c r="A4454">
        <v>22296</v>
      </c>
      <c r="B4454" t="s">
        <v>10117</v>
      </c>
      <c r="C4454" s="3">
        <v>41480</v>
      </c>
      <c r="D4454" t="s">
        <v>62</v>
      </c>
      <c r="E4454">
        <v>14</v>
      </c>
      <c r="F4454" s="3">
        <f ca="1">41483+(RANDBETWEEN(1,10))</f>
        <v>41487</v>
      </c>
      <c r="G4454" t="s">
        <v>26</v>
      </c>
      <c r="H4454" t="s">
        <v>51</v>
      </c>
      <c r="I4454" t="s">
        <v>86</v>
      </c>
      <c r="J4454">
        <v>1683.15</v>
      </c>
      <c r="K4454">
        <v>0.06</v>
      </c>
      <c r="L4454">
        <v>0.56000000000000005</v>
      </c>
      <c r="M4454">
        <v>31.465</v>
      </c>
      <c r="N4454">
        <v>618.20500000000004</v>
      </c>
      <c r="O4454" s="1" t="s">
        <v>64</v>
      </c>
      <c r="P4454" s="1" t="s">
        <v>10118</v>
      </c>
      <c r="Q4454" s="1" t="s">
        <v>10119</v>
      </c>
      <c r="R4454" s="1" t="s">
        <v>67</v>
      </c>
      <c r="S4454" s="1" t="s">
        <v>10120</v>
      </c>
      <c r="T4454" s="1" t="s">
        <v>10121</v>
      </c>
      <c r="U4454" s="2" t="s">
        <v>741</v>
      </c>
      <c r="V4454" s="2" t="s">
        <v>47</v>
      </c>
      <c r="W4454" s="2" t="s">
        <v>104</v>
      </c>
      <c r="X4454" s="2">
        <v>121.03</v>
      </c>
    </row>
    <row r="4455" spans="1:24" x14ac:dyDescent="0.3">
      <c r="A4455">
        <v>22297</v>
      </c>
      <c r="B4455" t="s">
        <v>10122</v>
      </c>
      <c r="C4455" s="3">
        <v>41856</v>
      </c>
      <c r="D4455" t="s">
        <v>39</v>
      </c>
      <c r="E4455">
        <v>9</v>
      </c>
      <c r="F4455" s="3">
        <f ca="1">41858+(RANDBETWEEN(1,10))</f>
        <v>41866</v>
      </c>
      <c r="G4455" t="s">
        <v>26</v>
      </c>
      <c r="H4455" t="s">
        <v>96</v>
      </c>
      <c r="I4455" t="s">
        <v>52</v>
      </c>
      <c r="J4455">
        <v>162.785</v>
      </c>
      <c r="K4455">
        <v>7.0000000000000007E-2</v>
      </c>
      <c r="L4455">
        <v>0.51</v>
      </c>
      <c r="M4455">
        <v>7.1050000000000004</v>
      </c>
      <c r="N4455">
        <v>110.37515999999999</v>
      </c>
      <c r="O4455" s="1" t="s">
        <v>53</v>
      </c>
      <c r="P4455" s="1" t="s">
        <v>4921</v>
      </c>
      <c r="Q4455" s="1" t="s">
        <v>4922</v>
      </c>
      <c r="R4455" s="1" t="s">
        <v>56</v>
      </c>
      <c r="S4455" s="1" t="s">
        <v>4923</v>
      </c>
      <c r="T4455" s="1" t="s">
        <v>4924</v>
      </c>
      <c r="U4455" s="2" t="s">
        <v>3434</v>
      </c>
      <c r="V4455" s="2" t="s">
        <v>83</v>
      </c>
      <c r="W4455" s="2" t="s">
        <v>178</v>
      </c>
      <c r="X4455" s="2">
        <v>17.78</v>
      </c>
    </row>
    <row r="4456" spans="1:24" x14ac:dyDescent="0.3">
      <c r="A4456">
        <v>22298</v>
      </c>
      <c r="B4456" t="s">
        <v>10122</v>
      </c>
      <c r="C4456" s="3">
        <v>41856</v>
      </c>
      <c r="D4456" t="s">
        <v>39</v>
      </c>
      <c r="E4456">
        <v>21</v>
      </c>
      <c r="F4456" s="3">
        <f ca="1">41857+(RANDBETWEEN(1,10))</f>
        <v>41859</v>
      </c>
      <c r="G4456" t="s">
        <v>26</v>
      </c>
      <c r="H4456" t="s">
        <v>27</v>
      </c>
      <c r="I4456" t="s">
        <v>52</v>
      </c>
      <c r="J4456">
        <v>1119.72</v>
      </c>
      <c r="K4456">
        <v>0.03</v>
      </c>
      <c r="L4456">
        <v>0.81</v>
      </c>
      <c r="M4456">
        <v>15.855</v>
      </c>
      <c r="N4456">
        <v>-142.10784000000001</v>
      </c>
      <c r="O4456" s="1" t="s">
        <v>53</v>
      </c>
      <c r="P4456" s="1" t="s">
        <v>4921</v>
      </c>
      <c r="Q4456" s="1" t="s">
        <v>4922</v>
      </c>
      <c r="R4456" s="1" t="s">
        <v>56</v>
      </c>
      <c r="S4456" s="1" t="s">
        <v>4923</v>
      </c>
      <c r="T4456" s="1" t="s">
        <v>4924</v>
      </c>
      <c r="U4456" s="2" t="s">
        <v>2304</v>
      </c>
      <c r="V4456" s="2" t="s">
        <v>47</v>
      </c>
      <c r="W4456" s="2" t="s">
        <v>119</v>
      </c>
      <c r="X4456" s="2">
        <v>52.99</v>
      </c>
    </row>
    <row r="4457" spans="1:24" x14ac:dyDescent="0.3">
      <c r="A4457">
        <v>22299</v>
      </c>
      <c r="B4457" t="s">
        <v>10123</v>
      </c>
      <c r="C4457" s="3">
        <v>41680</v>
      </c>
      <c r="D4457" t="s">
        <v>50</v>
      </c>
      <c r="E4457">
        <v>6</v>
      </c>
      <c r="F4457" s="3">
        <f ca="1">41682+(RANDBETWEEN(1,10))</f>
        <v>41685</v>
      </c>
      <c r="G4457" t="s">
        <v>26</v>
      </c>
      <c r="H4457" t="s">
        <v>96</v>
      </c>
      <c r="I4457" t="s">
        <v>28</v>
      </c>
      <c r="J4457">
        <v>96.704999999999998</v>
      </c>
      <c r="K4457">
        <v>0.05</v>
      </c>
      <c r="L4457">
        <v>0.39</v>
      </c>
      <c r="M4457">
        <v>3.08</v>
      </c>
      <c r="N4457">
        <v>66.72645</v>
      </c>
      <c r="O4457" s="1" t="s">
        <v>29</v>
      </c>
      <c r="P4457" s="1" t="s">
        <v>10124</v>
      </c>
      <c r="Q4457" s="1" t="s">
        <v>10125</v>
      </c>
      <c r="R4457" s="1" t="s">
        <v>32</v>
      </c>
      <c r="S4457" s="1" t="s">
        <v>3276</v>
      </c>
      <c r="T4457" s="1" t="s">
        <v>3277</v>
      </c>
      <c r="U4457" s="2" t="s">
        <v>1743</v>
      </c>
      <c r="V4457" s="2" t="s">
        <v>47</v>
      </c>
      <c r="W4457" s="2" t="s">
        <v>74</v>
      </c>
      <c r="X4457" s="2">
        <v>16.66</v>
      </c>
    </row>
    <row r="4458" spans="1:24" x14ac:dyDescent="0.3">
      <c r="A4458">
        <v>22300</v>
      </c>
      <c r="B4458" t="s">
        <v>10126</v>
      </c>
      <c r="C4458" s="3">
        <v>40947</v>
      </c>
      <c r="D4458" t="s">
        <v>62</v>
      </c>
      <c r="E4458">
        <v>9</v>
      </c>
      <c r="F4458" s="3">
        <f ca="1">40947+(RANDBETWEEN(1,10))</f>
        <v>40955</v>
      </c>
      <c r="G4458" t="s">
        <v>26</v>
      </c>
      <c r="H4458" t="s">
        <v>27</v>
      </c>
      <c r="I4458" t="s">
        <v>28</v>
      </c>
      <c r="J4458">
        <v>407.75</v>
      </c>
      <c r="K4458">
        <v>0.04</v>
      </c>
      <c r="L4458">
        <v>0.38</v>
      </c>
      <c r="M4458">
        <v>25.094999999999999</v>
      </c>
      <c r="N4458">
        <v>61.466999999999999</v>
      </c>
      <c r="O4458" s="1" t="s">
        <v>40</v>
      </c>
      <c r="P4458" s="1" t="s">
        <v>10127</v>
      </c>
      <c r="Q4458" s="1" t="s">
        <v>10128</v>
      </c>
      <c r="R4458" s="1" t="s">
        <v>43</v>
      </c>
      <c r="S4458" s="1" t="s">
        <v>1034</v>
      </c>
      <c r="T4458" s="1" t="s">
        <v>1035</v>
      </c>
      <c r="U4458" s="2" t="s">
        <v>966</v>
      </c>
      <c r="V4458" s="2" t="s">
        <v>47</v>
      </c>
      <c r="W4458" s="2" t="s">
        <v>111</v>
      </c>
      <c r="X4458" s="2">
        <v>43.854999999999997</v>
      </c>
    </row>
    <row r="4459" spans="1:24" x14ac:dyDescent="0.3">
      <c r="A4459">
        <v>22301</v>
      </c>
      <c r="B4459" t="s">
        <v>10126</v>
      </c>
      <c r="C4459" s="3">
        <v>40947</v>
      </c>
      <c r="D4459" t="s">
        <v>62</v>
      </c>
      <c r="E4459">
        <v>6</v>
      </c>
      <c r="F4459" s="3">
        <f ca="1">40949+(RANDBETWEEN(1,10))</f>
        <v>40950</v>
      </c>
      <c r="G4459" t="s">
        <v>156</v>
      </c>
      <c r="H4459" t="s">
        <v>63</v>
      </c>
      <c r="I4459" t="s">
        <v>28</v>
      </c>
      <c r="J4459">
        <v>2125.4450000000002</v>
      </c>
      <c r="K4459">
        <v>0.06</v>
      </c>
      <c r="L4459">
        <v>0.79</v>
      </c>
      <c r="M4459">
        <v>35.42</v>
      </c>
      <c r="N4459">
        <v>-5608.8829999999998</v>
      </c>
      <c r="O4459" s="1" t="s">
        <v>40</v>
      </c>
      <c r="P4459" s="1" t="s">
        <v>10127</v>
      </c>
      <c r="Q4459" s="1" t="s">
        <v>10128</v>
      </c>
      <c r="R4459" s="1" t="s">
        <v>43</v>
      </c>
      <c r="S4459" s="1" t="s">
        <v>1034</v>
      </c>
      <c r="T4459" s="1" t="s">
        <v>1035</v>
      </c>
      <c r="U4459" s="2" t="s">
        <v>1246</v>
      </c>
      <c r="V4459" s="2" t="s">
        <v>83</v>
      </c>
      <c r="W4459" s="2" t="s">
        <v>178</v>
      </c>
      <c r="X4459" s="2">
        <v>368.51499999999999</v>
      </c>
    </row>
    <row r="4460" spans="1:24" x14ac:dyDescent="0.3">
      <c r="A4460">
        <v>22302</v>
      </c>
      <c r="B4460" t="s">
        <v>10129</v>
      </c>
      <c r="C4460" s="3">
        <v>41389</v>
      </c>
      <c r="D4460" t="s">
        <v>62</v>
      </c>
      <c r="E4460">
        <v>6</v>
      </c>
      <c r="F4460" s="3">
        <f ca="1">41390+(RANDBETWEEN(1,10))</f>
        <v>41392</v>
      </c>
      <c r="G4460" t="s">
        <v>156</v>
      </c>
      <c r="H4460" t="s">
        <v>96</v>
      </c>
      <c r="I4460" t="s">
        <v>28</v>
      </c>
      <c r="J4460">
        <v>201.63499999999999</v>
      </c>
      <c r="K4460">
        <v>0.1</v>
      </c>
      <c r="L4460">
        <v>0.43</v>
      </c>
      <c r="M4460">
        <v>3.8149999999999999</v>
      </c>
      <c r="N4460">
        <v>1507.1615999999999</v>
      </c>
      <c r="O4460" s="1" t="s">
        <v>29</v>
      </c>
      <c r="P4460" s="1" t="s">
        <v>8361</v>
      </c>
      <c r="Q4460" s="1" t="s">
        <v>8362</v>
      </c>
      <c r="R4460" s="1" t="s">
        <v>460</v>
      </c>
      <c r="S4460" s="1" t="s">
        <v>8363</v>
      </c>
      <c r="T4460" s="1" t="s">
        <v>8364</v>
      </c>
      <c r="U4460" s="2" t="s">
        <v>1067</v>
      </c>
      <c r="V4460" s="2" t="s">
        <v>47</v>
      </c>
      <c r="W4460" s="2" t="s">
        <v>104</v>
      </c>
      <c r="X4460" s="2">
        <v>34.755000000000003</v>
      </c>
    </row>
    <row r="4461" spans="1:24" x14ac:dyDescent="0.3">
      <c r="A4461">
        <v>22303</v>
      </c>
      <c r="B4461" t="s">
        <v>10130</v>
      </c>
      <c r="C4461" s="3">
        <v>41404</v>
      </c>
      <c r="D4461" t="s">
        <v>39</v>
      </c>
      <c r="E4461">
        <v>2</v>
      </c>
      <c r="F4461" s="3">
        <f ca="1">41405+(RANDBETWEEN(1,10))</f>
        <v>41408</v>
      </c>
      <c r="G4461" t="s">
        <v>156</v>
      </c>
      <c r="H4461" t="s">
        <v>27</v>
      </c>
      <c r="I4461" t="s">
        <v>28</v>
      </c>
      <c r="J4461">
        <v>318.95499999999998</v>
      </c>
      <c r="K4461">
        <v>0.06</v>
      </c>
      <c r="L4461">
        <v>0.66</v>
      </c>
      <c r="M4461">
        <v>58.484999999999999</v>
      </c>
      <c r="N4461">
        <v>-357.01400000000001</v>
      </c>
      <c r="O4461" s="1" t="s">
        <v>87</v>
      </c>
      <c r="P4461" s="1" t="s">
        <v>10131</v>
      </c>
      <c r="Q4461" s="1" t="s">
        <v>10132</v>
      </c>
      <c r="R4461" s="1" t="s">
        <v>646</v>
      </c>
      <c r="S4461" s="1" t="s">
        <v>10133</v>
      </c>
      <c r="T4461" s="1" t="s">
        <v>10134</v>
      </c>
      <c r="U4461" s="2" t="s">
        <v>4657</v>
      </c>
      <c r="V4461" s="2" t="s">
        <v>36</v>
      </c>
      <c r="W4461" s="2" t="s">
        <v>60</v>
      </c>
      <c r="X4461" s="2">
        <v>151.27000000000001</v>
      </c>
    </row>
    <row r="4462" spans="1:24" x14ac:dyDescent="0.3">
      <c r="A4462">
        <v>22304</v>
      </c>
      <c r="B4462" t="s">
        <v>10130</v>
      </c>
      <c r="C4462" s="3">
        <v>41404</v>
      </c>
      <c r="D4462" t="s">
        <v>39</v>
      </c>
      <c r="E4462">
        <v>3</v>
      </c>
      <c r="F4462" s="3">
        <f ca="1">41406+(RANDBETWEEN(1,10))</f>
        <v>41408</v>
      </c>
      <c r="G4462" t="s">
        <v>26</v>
      </c>
      <c r="H4462" t="s">
        <v>51</v>
      </c>
      <c r="I4462" t="s">
        <v>28</v>
      </c>
      <c r="J4462">
        <v>235.79499999999999</v>
      </c>
      <c r="K4462">
        <v>0.01</v>
      </c>
      <c r="L4462">
        <v>0.43</v>
      </c>
      <c r="M4462">
        <v>6.9649999999999999</v>
      </c>
      <c r="N4462">
        <v>-195.608</v>
      </c>
      <c r="O4462" s="1" t="s">
        <v>87</v>
      </c>
      <c r="P4462" s="1" t="s">
        <v>10131</v>
      </c>
      <c r="Q4462" s="1" t="s">
        <v>10132</v>
      </c>
      <c r="R4462" s="1" t="s">
        <v>646</v>
      </c>
      <c r="S4462" s="1" t="s">
        <v>10133</v>
      </c>
      <c r="T4462" s="1" t="s">
        <v>10134</v>
      </c>
      <c r="U4462" s="2" t="s">
        <v>4462</v>
      </c>
      <c r="V4462" s="2" t="s">
        <v>36</v>
      </c>
      <c r="W4462" s="2" t="s">
        <v>60</v>
      </c>
      <c r="X4462" s="2">
        <v>77.84</v>
      </c>
    </row>
    <row r="4463" spans="1:24" x14ac:dyDescent="0.3">
      <c r="A4463">
        <v>22305</v>
      </c>
      <c r="B4463" t="s">
        <v>10135</v>
      </c>
      <c r="C4463" s="3">
        <v>41359</v>
      </c>
      <c r="D4463" t="s">
        <v>148</v>
      </c>
      <c r="E4463">
        <v>10</v>
      </c>
      <c r="F4463" s="3">
        <f ca="1">41360+(RANDBETWEEN(1,10))</f>
        <v>41362</v>
      </c>
      <c r="G4463" t="s">
        <v>26</v>
      </c>
      <c r="H4463" t="s">
        <v>63</v>
      </c>
      <c r="I4463" t="s">
        <v>28</v>
      </c>
      <c r="J4463">
        <v>17387.650000000001</v>
      </c>
      <c r="K4463">
        <v>0.08</v>
      </c>
      <c r="L4463">
        <v>0.36</v>
      </c>
      <c r="M4463">
        <v>85.715000000000003</v>
      </c>
      <c r="N4463">
        <v>11997.478499999999</v>
      </c>
      <c r="O4463" s="1" t="s">
        <v>29</v>
      </c>
      <c r="P4463" s="1" t="s">
        <v>9092</v>
      </c>
      <c r="Q4463" s="1" t="s">
        <v>9093</v>
      </c>
      <c r="R4463" s="1" t="s">
        <v>32</v>
      </c>
      <c r="S4463" s="1" t="s">
        <v>8270</v>
      </c>
      <c r="T4463" s="1" t="s">
        <v>8271</v>
      </c>
      <c r="U4463" s="2" t="s">
        <v>3414</v>
      </c>
      <c r="V4463" s="2" t="s">
        <v>36</v>
      </c>
      <c r="W4463" s="2" t="s">
        <v>1327</v>
      </c>
      <c r="X4463" s="2">
        <v>1749.9649999999999</v>
      </c>
    </row>
    <row r="4464" spans="1:24" x14ac:dyDescent="0.3">
      <c r="A4464">
        <v>22306</v>
      </c>
      <c r="B4464" t="s">
        <v>10135</v>
      </c>
      <c r="C4464" s="3">
        <v>41359</v>
      </c>
      <c r="D4464" t="s">
        <v>148</v>
      </c>
      <c r="E4464">
        <v>12</v>
      </c>
      <c r="F4464" s="3">
        <f ca="1">41361+(RANDBETWEEN(1,10))</f>
        <v>41368</v>
      </c>
      <c r="G4464" t="s">
        <v>26</v>
      </c>
      <c r="H4464" t="s">
        <v>63</v>
      </c>
      <c r="I4464" t="s">
        <v>28</v>
      </c>
      <c r="J4464">
        <v>5765.6549999999997</v>
      </c>
      <c r="K4464">
        <v>0.05</v>
      </c>
      <c r="L4464" t="s">
        <v>182</v>
      </c>
      <c r="M4464">
        <v>122.5</v>
      </c>
      <c r="N4464">
        <v>-3298.75</v>
      </c>
      <c r="O4464" s="1" t="s">
        <v>29</v>
      </c>
      <c r="P4464" s="1" t="s">
        <v>9092</v>
      </c>
      <c r="Q4464" s="1" t="s">
        <v>9093</v>
      </c>
      <c r="R4464" s="1" t="s">
        <v>32</v>
      </c>
      <c r="S4464" s="1" t="s">
        <v>8270</v>
      </c>
      <c r="T4464" s="1" t="s">
        <v>8271</v>
      </c>
      <c r="U4464" s="2" t="s">
        <v>844</v>
      </c>
      <c r="V4464" s="2" t="s">
        <v>47</v>
      </c>
      <c r="W4464" s="2" t="s">
        <v>119</v>
      </c>
      <c r="X4464" s="2">
        <v>483.49</v>
      </c>
    </row>
    <row r="4465" spans="1:24" x14ac:dyDescent="0.3">
      <c r="A4465">
        <v>22307</v>
      </c>
      <c r="B4465" t="s">
        <v>10136</v>
      </c>
      <c r="C4465" s="3">
        <v>41530</v>
      </c>
      <c r="D4465" t="s">
        <v>62</v>
      </c>
      <c r="E4465">
        <v>22</v>
      </c>
      <c r="F4465" s="3">
        <f ca="1">41532+(RANDBETWEEN(1,10))</f>
        <v>41537</v>
      </c>
      <c r="G4465" t="s">
        <v>26</v>
      </c>
      <c r="H4465" t="s">
        <v>96</v>
      </c>
      <c r="I4465" t="s">
        <v>28</v>
      </c>
      <c r="J4465">
        <v>5333.125</v>
      </c>
      <c r="K4465">
        <v>0.08</v>
      </c>
      <c r="L4465">
        <v>0.85</v>
      </c>
      <c r="M4465">
        <v>3.4649999999999999</v>
      </c>
      <c r="N4465">
        <v>-372.7955</v>
      </c>
      <c r="O4465" s="1" t="s">
        <v>87</v>
      </c>
      <c r="P4465" s="1" t="s">
        <v>4737</v>
      </c>
      <c r="Q4465" s="1" t="s">
        <v>4738</v>
      </c>
      <c r="R4465" s="1" t="s">
        <v>398</v>
      </c>
      <c r="S4465" s="1" t="s">
        <v>4739</v>
      </c>
      <c r="T4465" s="1" t="s">
        <v>4740</v>
      </c>
      <c r="U4465" s="2" t="s">
        <v>678</v>
      </c>
      <c r="V4465" s="2" t="s">
        <v>36</v>
      </c>
      <c r="W4465" s="2" t="s">
        <v>37</v>
      </c>
      <c r="X4465" s="2">
        <v>300.96499999999997</v>
      </c>
    </row>
    <row r="4466" spans="1:24" x14ac:dyDescent="0.3">
      <c r="A4466">
        <v>22308</v>
      </c>
      <c r="B4466" t="s">
        <v>10137</v>
      </c>
      <c r="C4466" s="3">
        <v>41887</v>
      </c>
      <c r="D4466" t="s">
        <v>62</v>
      </c>
      <c r="E4466">
        <v>8</v>
      </c>
      <c r="F4466" s="3">
        <f ca="1">41890+(RANDBETWEEN(1,10))</f>
        <v>41893</v>
      </c>
      <c r="G4466" t="s">
        <v>26</v>
      </c>
      <c r="H4466" t="s">
        <v>63</v>
      </c>
      <c r="I4466" t="s">
        <v>86</v>
      </c>
      <c r="J4466">
        <v>1725.99</v>
      </c>
      <c r="K4466">
        <v>0.02</v>
      </c>
      <c r="L4466">
        <v>0.68</v>
      </c>
      <c r="M4466">
        <v>241.5</v>
      </c>
      <c r="N4466">
        <v>-2083.77792</v>
      </c>
      <c r="O4466" s="1" t="s">
        <v>64</v>
      </c>
      <c r="P4466" s="1" t="s">
        <v>9177</v>
      </c>
      <c r="Q4466" s="1" t="s">
        <v>9178</v>
      </c>
      <c r="R4466" s="1" t="s">
        <v>67</v>
      </c>
      <c r="S4466" s="1" t="s">
        <v>1022</v>
      </c>
      <c r="T4466" s="1" t="s">
        <v>9179</v>
      </c>
      <c r="U4466" s="2" t="s">
        <v>1152</v>
      </c>
      <c r="V4466" s="2" t="s">
        <v>83</v>
      </c>
      <c r="W4466" s="2" t="s">
        <v>263</v>
      </c>
      <c r="X4466" s="2">
        <v>249.79499999999999</v>
      </c>
    </row>
    <row r="4467" spans="1:24" x14ac:dyDescent="0.3">
      <c r="A4467">
        <v>22309</v>
      </c>
      <c r="B4467" t="s">
        <v>10138</v>
      </c>
      <c r="C4467" s="3">
        <v>41909</v>
      </c>
      <c r="D4467" t="s">
        <v>25</v>
      </c>
      <c r="E4467">
        <v>3</v>
      </c>
      <c r="F4467" s="3">
        <f ca="1">41916+(RANDBETWEEN(1,10))</f>
        <v>41920</v>
      </c>
      <c r="G4467" t="s">
        <v>26</v>
      </c>
      <c r="H4467" t="s">
        <v>27</v>
      </c>
      <c r="I4467" t="s">
        <v>86</v>
      </c>
      <c r="J4467">
        <v>68.81</v>
      </c>
      <c r="K4467">
        <v>7.0000000000000007E-2</v>
      </c>
      <c r="L4467">
        <v>0.39</v>
      </c>
      <c r="M4467">
        <v>17.535</v>
      </c>
      <c r="N4467">
        <v>-55.359850000000002</v>
      </c>
      <c r="O4467" s="1" t="s">
        <v>64</v>
      </c>
      <c r="P4467" s="1" t="s">
        <v>10139</v>
      </c>
      <c r="Q4467" s="1" t="s">
        <v>10140</v>
      </c>
      <c r="R4467" s="1" t="s">
        <v>128</v>
      </c>
      <c r="S4467" s="1" t="s">
        <v>528</v>
      </c>
      <c r="T4467" s="1" t="s">
        <v>529</v>
      </c>
      <c r="U4467" s="2" t="s">
        <v>2422</v>
      </c>
      <c r="V4467" s="2" t="s">
        <v>47</v>
      </c>
      <c r="W4467" s="2" t="s">
        <v>111</v>
      </c>
      <c r="X4467" s="2">
        <v>20.09</v>
      </c>
    </row>
    <row r="4468" spans="1:24" x14ac:dyDescent="0.3">
      <c r="A4468">
        <v>22310</v>
      </c>
      <c r="B4468" t="s">
        <v>10138</v>
      </c>
      <c r="C4468" s="3">
        <v>41909</v>
      </c>
      <c r="D4468" t="s">
        <v>25</v>
      </c>
      <c r="E4468">
        <v>19</v>
      </c>
      <c r="F4468" s="3">
        <f ca="1">41916+(RANDBETWEEN(1,10))</f>
        <v>41922</v>
      </c>
      <c r="G4468" t="s">
        <v>156</v>
      </c>
      <c r="H4468" t="s">
        <v>51</v>
      </c>
      <c r="I4468" t="s">
        <v>86</v>
      </c>
      <c r="J4468">
        <v>3058.16</v>
      </c>
      <c r="K4468">
        <v>0.01</v>
      </c>
      <c r="L4468">
        <v>0.44</v>
      </c>
      <c r="M4468">
        <v>6.9649999999999999</v>
      </c>
      <c r="N4468">
        <v>2110.1304</v>
      </c>
      <c r="O4468" s="1" t="s">
        <v>64</v>
      </c>
      <c r="P4468" s="1" t="s">
        <v>10139</v>
      </c>
      <c r="Q4468" s="1" t="s">
        <v>10140</v>
      </c>
      <c r="R4468" s="1" t="s">
        <v>128</v>
      </c>
      <c r="S4468" s="1" t="s">
        <v>528</v>
      </c>
      <c r="T4468" s="1" t="s">
        <v>529</v>
      </c>
      <c r="U4468" s="2" t="s">
        <v>2902</v>
      </c>
      <c r="V4468" s="2" t="s">
        <v>36</v>
      </c>
      <c r="W4468" s="2" t="s">
        <v>60</v>
      </c>
      <c r="X4468" s="2">
        <v>153.93</v>
      </c>
    </row>
    <row r="4469" spans="1:24" x14ac:dyDescent="0.3">
      <c r="A4469">
        <v>22311</v>
      </c>
      <c r="B4469" t="s">
        <v>10138</v>
      </c>
      <c r="C4469" s="3">
        <v>41909</v>
      </c>
      <c r="D4469" t="s">
        <v>25</v>
      </c>
      <c r="E4469">
        <v>14</v>
      </c>
      <c r="F4469" s="3">
        <f ca="1">41914+(RANDBETWEEN(1,10))</f>
        <v>41916</v>
      </c>
      <c r="G4469" t="s">
        <v>156</v>
      </c>
      <c r="H4469" t="s">
        <v>63</v>
      </c>
      <c r="I4469" t="s">
        <v>86</v>
      </c>
      <c r="J4469">
        <v>4353.5450000000001</v>
      </c>
      <c r="K4469">
        <v>0.09</v>
      </c>
      <c r="L4469">
        <v>0.56000000000000005</v>
      </c>
      <c r="M4469">
        <v>63.454999999999998</v>
      </c>
      <c r="N4469">
        <v>2483.2710000000002</v>
      </c>
      <c r="O4469" s="1" t="s">
        <v>64</v>
      </c>
      <c r="P4469" s="1" t="s">
        <v>9808</v>
      </c>
      <c r="Q4469" s="1" t="s">
        <v>9809</v>
      </c>
      <c r="R4469" s="1" t="s">
        <v>128</v>
      </c>
      <c r="S4469" s="1" t="s">
        <v>6481</v>
      </c>
      <c r="T4469" s="1" t="s">
        <v>6482</v>
      </c>
      <c r="U4469" s="2" t="s">
        <v>10141</v>
      </c>
      <c r="V4469" s="2" t="s">
        <v>83</v>
      </c>
      <c r="W4469" s="2" t="s">
        <v>178</v>
      </c>
      <c r="X4469" s="2">
        <v>334.11</v>
      </c>
    </row>
    <row r="4470" spans="1:24" x14ac:dyDescent="0.3">
      <c r="A4470">
        <v>22312</v>
      </c>
      <c r="B4470" t="s">
        <v>10142</v>
      </c>
      <c r="C4470" s="3">
        <v>42001</v>
      </c>
      <c r="D4470" t="s">
        <v>148</v>
      </c>
      <c r="E4470">
        <v>20</v>
      </c>
      <c r="F4470" s="3">
        <f ca="1">42002+(RANDBETWEEN(1,10))</f>
        <v>42006</v>
      </c>
      <c r="G4470" t="s">
        <v>76</v>
      </c>
      <c r="H4470" t="s">
        <v>77</v>
      </c>
      <c r="I4470" t="s">
        <v>86</v>
      </c>
      <c r="J4470">
        <v>29558.935000000001</v>
      </c>
      <c r="K4470">
        <v>0.08</v>
      </c>
      <c r="L4470">
        <v>0.38</v>
      </c>
      <c r="M4470">
        <v>171.5</v>
      </c>
      <c r="N4470">
        <v>20395.665150000001</v>
      </c>
      <c r="O4470" s="1" t="s">
        <v>64</v>
      </c>
      <c r="P4470" s="1" t="s">
        <v>10143</v>
      </c>
      <c r="Q4470" s="1" t="s">
        <v>10144</v>
      </c>
      <c r="R4470" s="1" t="s">
        <v>128</v>
      </c>
      <c r="S4470" s="1" t="s">
        <v>10145</v>
      </c>
      <c r="T4470" s="1" t="s">
        <v>10146</v>
      </c>
      <c r="U4470" s="2" t="s">
        <v>1480</v>
      </c>
      <c r="V4470" s="2" t="s">
        <v>36</v>
      </c>
      <c r="W4470" s="2" t="s">
        <v>1327</v>
      </c>
      <c r="X4470" s="2">
        <v>1574.9649999999999</v>
      </c>
    </row>
    <row r="4471" spans="1:24" x14ac:dyDescent="0.3">
      <c r="A4471">
        <v>22313</v>
      </c>
      <c r="B4471" t="s">
        <v>10147</v>
      </c>
      <c r="C4471" s="3">
        <v>40872</v>
      </c>
      <c r="D4471" t="s">
        <v>148</v>
      </c>
      <c r="E4471">
        <v>30</v>
      </c>
      <c r="F4471" s="3">
        <f ca="1">40873+(RANDBETWEEN(1,10))</f>
        <v>40879</v>
      </c>
      <c r="G4471" t="s">
        <v>26</v>
      </c>
      <c r="H4471" t="s">
        <v>27</v>
      </c>
      <c r="I4471" t="s">
        <v>97</v>
      </c>
      <c r="J4471">
        <v>2175.46</v>
      </c>
      <c r="K4471">
        <v>0.05</v>
      </c>
      <c r="L4471">
        <v>0.56999999999999995</v>
      </c>
      <c r="M4471">
        <v>13.965</v>
      </c>
      <c r="N4471">
        <v>1082.3889999999999</v>
      </c>
      <c r="O4471" s="1" t="s">
        <v>87</v>
      </c>
      <c r="P4471" s="1" t="s">
        <v>10148</v>
      </c>
      <c r="Q4471" s="1" t="s">
        <v>10149</v>
      </c>
      <c r="R4471" s="1" t="s">
        <v>90</v>
      </c>
      <c r="S4471" s="1" t="s">
        <v>10150</v>
      </c>
      <c r="T4471" s="1" t="s">
        <v>4300</v>
      </c>
      <c r="U4471" s="2" t="s">
        <v>9232</v>
      </c>
      <c r="V4471" s="2" t="s">
        <v>47</v>
      </c>
      <c r="W4471" s="2" t="s">
        <v>71</v>
      </c>
      <c r="X4471" s="2">
        <v>70.944999999999993</v>
      </c>
    </row>
    <row r="4472" spans="1:24" x14ac:dyDescent="0.3">
      <c r="A4472">
        <v>22314</v>
      </c>
      <c r="B4472" t="s">
        <v>10151</v>
      </c>
      <c r="C4472" s="3">
        <v>41845</v>
      </c>
      <c r="D4472" t="s">
        <v>148</v>
      </c>
      <c r="E4472">
        <v>10</v>
      </c>
      <c r="F4472" s="3">
        <f ca="1">41847+(RANDBETWEEN(1,10))</f>
        <v>41852</v>
      </c>
      <c r="G4472" t="s">
        <v>156</v>
      </c>
      <c r="H4472" t="s">
        <v>27</v>
      </c>
      <c r="I4472" t="s">
        <v>86</v>
      </c>
      <c r="J4472">
        <v>1457.855</v>
      </c>
      <c r="K4472">
        <v>7.0000000000000007E-2</v>
      </c>
      <c r="L4472">
        <v>0.56000000000000005</v>
      </c>
      <c r="M4472">
        <v>15.75</v>
      </c>
      <c r="N4472">
        <v>1005.91995</v>
      </c>
      <c r="O4472" s="1" t="s">
        <v>40</v>
      </c>
      <c r="P4472" s="1" t="s">
        <v>10152</v>
      </c>
      <c r="Q4472" s="1" t="s">
        <v>10153</v>
      </c>
      <c r="R4472" s="1" t="s">
        <v>43</v>
      </c>
      <c r="S4472" s="1" t="s">
        <v>7165</v>
      </c>
      <c r="T4472" s="1" t="s">
        <v>7166</v>
      </c>
      <c r="U4472" s="2" t="s">
        <v>10154</v>
      </c>
      <c r="V4472" s="2" t="s">
        <v>47</v>
      </c>
      <c r="W4472" s="2" t="s">
        <v>71</v>
      </c>
      <c r="X4472" s="2">
        <v>145.98500000000001</v>
      </c>
    </row>
    <row r="4473" spans="1:24" x14ac:dyDescent="0.3">
      <c r="A4473">
        <v>22315</v>
      </c>
      <c r="B4473" t="s">
        <v>10155</v>
      </c>
      <c r="C4473" s="3">
        <v>41238</v>
      </c>
      <c r="D4473" t="s">
        <v>25</v>
      </c>
      <c r="E4473">
        <v>17</v>
      </c>
      <c r="F4473" s="3">
        <f ca="1">41242+(RANDBETWEEN(1,10))</f>
        <v>41247</v>
      </c>
      <c r="G4473" t="s">
        <v>26</v>
      </c>
      <c r="H4473" t="s">
        <v>63</v>
      </c>
      <c r="I4473" t="s">
        <v>97</v>
      </c>
      <c r="J4473">
        <v>12221.79</v>
      </c>
      <c r="K4473">
        <v>0.09</v>
      </c>
      <c r="L4473">
        <v>0.79</v>
      </c>
      <c r="M4473">
        <v>241.5</v>
      </c>
      <c r="N4473">
        <v>354.18913529999998</v>
      </c>
      <c r="O4473" s="1" t="s">
        <v>64</v>
      </c>
      <c r="P4473" s="1" t="s">
        <v>10156</v>
      </c>
      <c r="Q4473" s="1" t="s">
        <v>10157</v>
      </c>
      <c r="R4473" s="1" t="s">
        <v>128</v>
      </c>
      <c r="S4473" s="1" t="s">
        <v>1156</v>
      </c>
      <c r="T4473" s="1" t="s">
        <v>10158</v>
      </c>
      <c r="U4473" s="2" t="s">
        <v>3449</v>
      </c>
      <c r="V4473" s="2" t="s">
        <v>83</v>
      </c>
      <c r="W4473" s="2" t="s">
        <v>263</v>
      </c>
      <c r="X4473" s="2">
        <v>732.79499999999996</v>
      </c>
    </row>
    <row r="4474" spans="1:24" x14ac:dyDescent="0.3">
      <c r="A4474">
        <v>22316</v>
      </c>
      <c r="B4474" t="s">
        <v>10159</v>
      </c>
      <c r="C4474" s="3">
        <v>41269</v>
      </c>
      <c r="D4474" t="s">
        <v>148</v>
      </c>
      <c r="E4474">
        <v>2</v>
      </c>
      <c r="F4474" s="3">
        <f ca="1">41269+(RANDBETWEEN(1,10))</f>
        <v>41272</v>
      </c>
      <c r="G4474" t="s">
        <v>156</v>
      </c>
      <c r="H4474" t="s">
        <v>96</v>
      </c>
      <c r="I4474" t="s">
        <v>97</v>
      </c>
      <c r="J4474">
        <v>29.855</v>
      </c>
      <c r="K4474">
        <v>0.08</v>
      </c>
      <c r="L4474">
        <v>0.48</v>
      </c>
      <c r="M4474">
        <v>2.9750000000000001</v>
      </c>
      <c r="N4474">
        <v>11.55</v>
      </c>
      <c r="O4474" s="1" t="s">
        <v>53</v>
      </c>
      <c r="P4474" s="1" t="s">
        <v>5116</v>
      </c>
      <c r="Q4474" s="1" t="s">
        <v>5117</v>
      </c>
      <c r="R4474" s="1" t="s">
        <v>56</v>
      </c>
      <c r="S4474" s="1" t="s">
        <v>5118</v>
      </c>
      <c r="T4474" s="1" t="s">
        <v>5119</v>
      </c>
      <c r="U4474" s="2" t="s">
        <v>353</v>
      </c>
      <c r="V4474" s="2" t="s">
        <v>47</v>
      </c>
      <c r="W4474" s="2" t="s">
        <v>104</v>
      </c>
      <c r="X4474" s="2">
        <v>11.83</v>
      </c>
    </row>
    <row r="4475" spans="1:24" x14ac:dyDescent="0.3">
      <c r="A4475">
        <v>22317</v>
      </c>
      <c r="B4475" t="s">
        <v>10159</v>
      </c>
      <c r="C4475" s="3">
        <v>41269</v>
      </c>
      <c r="D4475" t="s">
        <v>148</v>
      </c>
      <c r="E4475">
        <v>19</v>
      </c>
      <c r="F4475" s="3">
        <f ca="1">41270+(RANDBETWEEN(1,10))</f>
        <v>41271</v>
      </c>
      <c r="G4475" t="s">
        <v>26</v>
      </c>
      <c r="H4475" t="s">
        <v>51</v>
      </c>
      <c r="I4475" t="s">
        <v>97</v>
      </c>
      <c r="J4475">
        <v>724.39499999999998</v>
      </c>
      <c r="K4475">
        <v>0.1</v>
      </c>
      <c r="L4475">
        <v>0.57999999999999996</v>
      </c>
      <c r="M4475">
        <v>27.824999999999999</v>
      </c>
      <c r="N4475">
        <v>-321.5625</v>
      </c>
      <c r="O4475" s="1" t="s">
        <v>53</v>
      </c>
      <c r="P4475" s="1" t="s">
        <v>5116</v>
      </c>
      <c r="Q4475" s="1" t="s">
        <v>5117</v>
      </c>
      <c r="R4475" s="1" t="s">
        <v>56</v>
      </c>
      <c r="S4475" s="1" t="s">
        <v>5118</v>
      </c>
      <c r="T4475" s="1" t="s">
        <v>5119</v>
      </c>
      <c r="U4475" s="2" t="s">
        <v>248</v>
      </c>
      <c r="V4475" s="2" t="s">
        <v>47</v>
      </c>
      <c r="W4475" s="2" t="s">
        <v>104</v>
      </c>
      <c r="X4475" s="2">
        <v>40.81</v>
      </c>
    </row>
    <row r="4476" spans="1:24" x14ac:dyDescent="0.3">
      <c r="A4476">
        <v>22318</v>
      </c>
      <c r="B4476" t="s">
        <v>10160</v>
      </c>
      <c r="C4476" s="3">
        <v>40671</v>
      </c>
      <c r="D4476" t="s">
        <v>50</v>
      </c>
      <c r="E4476">
        <v>1</v>
      </c>
      <c r="F4476" s="3">
        <f ca="1">40673+(RANDBETWEEN(1,10))</f>
        <v>40683</v>
      </c>
      <c r="G4476" t="s">
        <v>26</v>
      </c>
      <c r="H4476" t="s">
        <v>27</v>
      </c>
      <c r="I4476" t="s">
        <v>28</v>
      </c>
      <c r="J4476">
        <v>113.4</v>
      </c>
      <c r="K4476">
        <v>0.03</v>
      </c>
      <c r="L4476">
        <v>0.54</v>
      </c>
      <c r="M4476">
        <v>27.545000000000002</v>
      </c>
      <c r="N4476">
        <v>-144.62</v>
      </c>
      <c r="O4476" s="1" t="s">
        <v>40</v>
      </c>
      <c r="P4476" s="1" t="s">
        <v>9885</v>
      </c>
      <c r="Q4476" s="1" t="s">
        <v>9886</v>
      </c>
      <c r="R4476" s="1" t="s">
        <v>220</v>
      </c>
      <c r="S4476" s="1" t="s">
        <v>9887</v>
      </c>
      <c r="T4476" s="1" t="s">
        <v>9888</v>
      </c>
      <c r="U4476" s="2" t="s">
        <v>5532</v>
      </c>
      <c r="V4476" s="2" t="s">
        <v>83</v>
      </c>
      <c r="W4476" s="2" t="s">
        <v>178</v>
      </c>
      <c r="X4476" s="2">
        <v>102.69</v>
      </c>
    </row>
    <row r="4477" spans="1:24" x14ac:dyDescent="0.3">
      <c r="A4477">
        <v>22319</v>
      </c>
      <c r="B4477" t="s">
        <v>10161</v>
      </c>
      <c r="C4477" s="3">
        <v>41766</v>
      </c>
      <c r="D4477" t="s">
        <v>148</v>
      </c>
      <c r="E4477">
        <v>3</v>
      </c>
      <c r="F4477" s="3">
        <f ca="1">41768+(RANDBETWEEN(1,10))</f>
        <v>41773</v>
      </c>
      <c r="G4477" t="s">
        <v>76</v>
      </c>
      <c r="H4477" t="s">
        <v>258</v>
      </c>
      <c r="I4477" t="s">
        <v>86</v>
      </c>
      <c r="J4477">
        <v>742.66499999999996</v>
      </c>
      <c r="K4477">
        <v>0.06</v>
      </c>
      <c r="L4477">
        <v>0.6</v>
      </c>
      <c r="M4477">
        <v>93.59</v>
      </c>
      <c r="N4477">
        <v>-447.79</v>
      </c>
      <c r="O4477" s="1" t="s">
        <v>53</v>
      </c>
      <c r="P4477" s="1" t="s">
        <v>7538</v>
      </c>
      <c r="Q4477" s="1" t="s">
        <v>7539</v>
      </c>
      <c r="R4477" s="1" t="s">
        <v>440</v>
      </c>
      <c r="S4477" s="1" t="s">
        <v>7540</v>
      </c>
      <c r="T4477" s="1" t="s">
        <v>7541</v>
      </c>
      <c r="U4477" s="2" t="s">
        <v>3851</v>
      </c>
      <c r="V4477" s="2" t="s">
        <v>83</v>
      </c>
      <c r="W4477" s="2" t="s">
        <v>298</v>
      </c>
      <c r="X4477" s="2">
        <v>248.43</v>
      </c>
    </row>
    <row r="4478" spans="1:24" x14ac:dyDescent="0.3">
      <c r="A4478">
        <v>22320</v>
      </c>
      <c r="B4478" t="s">
        <v>10161</v>
      </c>
      <c r="C4478" s="3">
        <v>41766</v>
      </c>
      <c r="D4478" t="s">
        <v>148</v>
      </c>
      <c r="E4478">
        <v>16</v>
      </c>
      <c r="F4478" s="3">
        <f ca="1">41767+(RANDBETWEEN(1,10))</f>
        <v>41771</v>
      </c>
      <c r="G4478" t="s">
        <v>26</v>
      </c>
      <c r="H4478" t="s">
        <v>96</v>
      </c>
      <c r="I4478" t="s">
        <v>86</v>
      </c>
      <c r="J4478">
        <v>391.58</v>
      </c>
      <c r="K4478">
        <v>0.02</v>
      </c>
      <c r="L4478">
        <v>0.52</v>
      </c>
      <c r="M4478">
        <v>5.46</v>
      </c>
      <c r="N4478">
        <v>270.1902</v>
      </c>
      <c r="O4478" s="1" t="s">
        <v>53</v>
      </c>
      <c r="P4478" s="1" t="s">
        <v>7538</v>
      </c>
      <c r="Q4478" s="1" t="s">
        <v>7539</v>
      </c>
      <c r="R4478" s="1" t="s">
        <v>440</v>
      </c>
      <c r="S4478" s="1" t="s">
        <v>7540</v>
      </c>
      <c r="T4478" s="1" t="s">
        <v>7541</v>
      </c>
      <c r="U4478" s="2" t="s">
        <v>6290</v>
      </c>
      <c r="V4478" s="2" t="s">
        <v>47</v>
      </c>
      <c r="W4478" s="2" t="s">
        <v>104</v>
      </c>
      <c r="X4478" s="2">
        <v>23.45</v>
      </c>
    </row>
    <row r="4479" spans="1:24" x14ac:dyDescent="0.3">
      <c r="A4479">
        <v>22321</v>
      </c>
      <c r="B4479" t="s">
        <v>10162</v>
      </c>
      <c r="C4479" s="3">
        <v>40727</v>
      </c>
      <c r="D4479" t="s">
        <v>39</v>
      </c>
      <c r="E4479">
        <v>2</v>
      </c>
      <c r="F4479" s="3">
        <f ca="1">40729+(RANDBETWEEN(1,10))</f>
        <v>40730</v>
      </c>
      <c r="G4479" t="s">
        <v>26</v>
      </c>
      <c r="H4479" t="s">
        <v>27</v>
      </c>
      <c r="I4479" t="s">
        <v>97</v>
      </c>
      <c r="J4479">
        <v>55.825000000000003</v>
      </c>
      <c r="K4479">
        <v>0.03</v>
      </c>
      <c r="L4479">
        <v>0.37</v>
      </c>
      <c r="M4479">
        <v>30.555</v>
      </c>
      <c r="N4479">
        <v>-122.64</v>
      </c>
      <c r="O4479" s="1" t="s">
        <v>53</v>
      </c>
      <c r="P4479" s="1" t="s">
        <v>8345</v>
      </c>
      <c r="Q4479" s="1" t="s">
        <v>8346</v>
      </c>
      <c r="R4479" s="1" t="s">
        <v>56</v>
      </c>
      <c r="S4479" s="1" t="s">
        <v>8347</v>
      </c>
      <c r="T4479" s="1" t="s">
        <v>8348</v>
      </c>
      <c r="U4479" s="2" t="s">
        <v>2564</v>
      </c>
      <c r="V4479" s="2" t="s">
        <v>47</v>
      </c>
      <c r="W4479" s="2" t="s">
        <v>74</v>
      </c>
      <c r="X4479" s="2">
        <v>22.68</v>
      </c>
    </row>
    <row r="4480" spans="1:24" x14ac:dyDescent="0.3">
      <c r="A4480">
        <v>22322</v>
      </c>
      <c r="B4480" t="s">
        <v>10163</v>
      </c>
      <c r="C4480" s="3">
        <v>41823</v>
      </c>
      <c r="D4480" t="s">
        <v>39</v>
      </c>
      <c r="E4480">
        <v>13</v>
      </c>
      <c r="F4480" s="3">
        <f ca="1">41826+(RANDBETWEEN(1,10))</f>
        <v>41828</v>
      </c>
      <c r="G4480" t="s">
        <v>26</v>
      </c>
      <c r="H4480" t="s">
        <v>96</v>
      </c>
      <c r="I4480" t="s">
        <v>97</v>
      </c>
      <c r="J4480">
        <v>446.70499999999998</v>
      </c>
      <c r="K4480">
        <v>7.0000000000000007E-2</v>
      </c>
      <c r="L4480">
        <v>0.43</v>
      </c>
      <c r="M4480">
        <v>3.8149999999999999</v>
      </c>
      <c r="N4480">
        <v>308.22645</v>
      </c>
      <c r="O4480" s="1" t="s">
        <v>225</v>
      </c>
      <c r="P4480" s="1" t="s">
        <v>10164</v>
      </c>
      <c r="Q4480" s="1" t="s">
        <v>10165</v>
      </c>
      <c r="R4480" s="1" t="s">
        <v>391</v>
      </c>
      <c r="S4480" s="1" t="s">
        <v>10166</v>
      </c>
      <c r="T4480" s="1" t="s">
        <v>10167</v>
      </c>
      <c r="U4480" s="2" t="s">
        <v>1067</v>
      </c>
      <c r="V4480" s="2" t="s">
        <v>47</v>
      </c>
      <c r="W4480" s="2" t="s">
        <v>104</v>
      </c>
      <c r="X4480" s="2">
        <v>34.755000000000003</v>
      </c>
    </row>
    <row r="4481" spans="1:24" x14ac:dyDescent="0.3">
      <c r="A4481">
        <v>22323</v>
      </c>
      <c r="B4481" t="s">
        <v>10168</v>
      </c>
      <c r="C4481" s="3">
        <v>41836</v>
      </c>
      <c r="D4481" t="s">
        <v>148</v>
      </c>
      <c r="E4481">
        <v>8</v>
      </c>
      <c r="F4481" s="3">
        <f ca="1">41836+(RANDBETWEEN(1,10))</f>
        <v>41840</v>
      </c>
      <c r="G4481" t="s">
        <v>26</v>
      </c>
      <c r="H4481" t="s">
        <v>96</v>
      </c>
      <c r="I4481" t="s">
        <v>86</v>
      </c>
      <c r="J4481">
        <v>80.254999999999995</v>
      </c>
      <c r="K4481">
        <v>0.01</v>
      </c>
      <c r="L4481">
        <v>0.45</v>
      </c>
      <c r="M4481">
        <v>4.6900000000000004</v>
      </c>
      <c r="N4481">
        <v>2.8940800000000002</v>
      </c>
      <c r="O4481" s="1" t="s">
        <v>87</v>
      </c>
      <c r="P4481" s="1" t="s">
        <v>10169</v>
      </c>
      <c r="Q4481" s="1" t="s">
        <v>10170</v>
      </c>
      <c r="R4481" s="1" t="s">
        <v>497</v>
      </c>
      <c r="S4481" s="1" t="s">
        <v>5554</v>
      </c>
      <c r="T4481" s="1" t="s">
        <v>5555</v>
      </c>
      <c r="U4481" s="2" t="s">
        <v>1227</v>
      </c>
      <c r="V4481" s="2" t="s">
        <v>47</v>
      </c>
      <c r="W4481" s="2" t="s">
        <v>104</v>
      </c>
      <c r="X4481" s="2">
        <v>9.73</v>
      </c>
    </row>
    <row r="4482" spans="1:24" x14ac:dyDescent="0.3">
      <c r="A4482">
        <v>22324</v>
      </c>
      <c r="B4482" t="s">
        <v>10168</v>
      </c>
      <c r="C4482" s="3">
        <v>41836</v>
      </c>
      <c r="D4482" t="s">
        <v>148</v>
      </c>
      <c r="E4482">
        <v>1</v>
      </c>
      <c r="F4482" s="3">
        <f ca="1">41837+(RANDBETWEEN(1,10))</f>
        <v>41840</v>
      </c>
      <c r="G4482" t="s">
        <v>26</v>
      </c>
      <c r="H4482" t="s">
        <v>27</v>
      </c>
      <c r="I4482" t="s">
        <v>86</v>
      </c>
      <c r="J4482">
        <v>63.63</v>
      </c>
      <c r="K4482">
        <v>0.06</v>
      </c>
      <c r="L4482">
        <v>0.57999999999999996</v>
      </c>
      <c r="M4482">
        <v>37.380000000000003</v>
      </c>
      <c r="N4482">
        <v>-116.85912</v>
      </c>
      <c r="O4482" s="1" t="s">
        <v>87</v>
      </c>
      <c r="P4482" s="1" t="s">
        <v>10169</v>
      </c>
      <c r="Q4482" s="1" t="s">
        <v>10170</v>
      </c>
      <c r="R4482" s="1" t="s">
        <v>497</v>
      </c>
      <c r="S4482" s="1" t="s">
        <v>5554</v>
      </c>
      <c r="T4482" s="1" t="s">
        <v>5555</v>
      </c>
      <c r="U4482" s="2" t="s">
        <v>543</v>
      </c>
      <c r="V4482" s="2" t="s">
        <v>47</v>
      </c>
      <c r="W4482" s="2" t="s">
        <v>119</v>
      </c>
      <c r="X4482" s="2">
        <v>53.97</v>
      </c>
    </row>
    <row r="4483" spans="1:24" x14ac:dyDescent="0.3">
      <c r="A4483">
        <v>22325</v>
      </c>
      <c r="B4483" t="s">
        <v>10171</v>
      </c>
      <c r="C4483" s="3">
        <v>41544</v>
      </c>
      <c r="D4483" t="s">
        <v>39</v>
      </c>
      <c r="E4483">
        <v>21</v>
      </c>
      <c r="F4483" s="3">
        <f ca="1">41545+(RANDBETWEEN(1,10))</f>
        <v>41546</v>
      </c>
      <c r="G4483" t="s">
        <v>26</v>
      </c>
      <c r="H4483" t="s">
        <v>27</v>
      </c>
      <c r="I4483" t="s">
        <v>97</v>
      </c>
      <c r="J4483">
        <v>11071.934999999999</v>
      </c>
      <c r="K4483">
        <v>0.05</v>
      </c>
      <c r="L4483">
        <v>0.56999999999999995</v>
      </c>
      <c r="M4483">
        <v>31.465</v>
      </c>
      <c r="N4483">
        <v>6427.6064999999999</v>
      </c>
      <c r="O4483" s="1" t="s">
        <v>225</v>
      </c>
      <c r="P4483" s="1" t="s">
        <v>8506</v>
      </c>
      <c r="Q4483" s="1" t="s">
        <v>8507</v>
      </c>
      <c r="R4483" s="1" t="s">
        <v>228</v>
      </c>
      <c r="S4483" s="1" t="s">
        <v>8508</v>
      </c>
      <c r="T4483" s="1" t="s">
        <v>8509</v>
      </c>
      <c r="U4483" s="2">
        <v>2180</v>
      </c>
      <c r="V4483" s="2" t="s">
        <v>36</v>
      </c>
      <c r="W4483" s="2" t="s">
        <v>37</v>
      </c>
      <c r="X4483" s="2">
        <v>615.96500000000003</v>
      </c>
    </row>
    <row r="4484" spans="1:24" x14ac:dyDescent="0.3">
      <c r="A4484">
        <v>22326</v>
      </c>
      <c r="B4484" t="s">
        <v>10172</v>
      </c>
      <c r="C4484" s="3">
        <v>41373</v>
      </c>
      <c r="D4484" t="s">
        <v>62</v>
      </c>
      <c r="E4484">
        <v>6</v>
      </c>
      <c r="F4484" s="3">
        <f ca="1">41374+(RANDBETWEEN(1,10))</f>
        <v>41380</v>
      </c>
      <c r="G4484" t="s">
        <v>156</v>
      </c>
      <c r="H4484" t="s">
        <v>96</v>
      </c>
      <c r="I4484" t="s">
        <v>86</v>
      </c>
      <c r="J4484">
        <v>48.02</v>
      </c>
      <c r="K4484">
        <v>0.1</v>
      </c>
      <c r="L4484">
        <v>0.57999999999999996</v>
      </c>
      <c r="M4484">
        <v>3.92</v>
      </c>
      <c r="N4484">
        <v>-23.975000000000001</v>
      </c>
      <c r="O4484" s="1" t="s">
        <v>40</v>
      </c>
      <c r="P4484" s="1" t="s">
        <v>8608</v>
      </c>
      <c r="Q4484" s="1" t="s">
        <v>8609</v>
      </c>
      <c r="R4484" s="1" t="s">
        <v>43</v>
      </c>
      <c r="S4484" s="1" t="s">
        <v>8610</v>
      </c>
      <c r="T4484" s="1" t="s">
        <v>8611</v>
      </c>
      <c r="U4484" s="2" t="s">
        <v>6368</v>
      </c>
      <c r="V4484" s="2" t="s">
        <v>47</v>
      </c>
      <c r="W4484" s="2" t="s">
        <v>104</v>
      </c>
      <c r="X4484" s="2">
        <v>7.7350000000000003</v>
      </c>
    </row>
    <row r="4485" spans="1:24" x14ac:dyDescent="0.3">
      <c r="A4485">
        <v>22327</v>
      </c>
      <c r="B4485" t="s">
        <v>10173</v>
      </c>
      <c r="C4485" s="3">
        <v>41395</v>
      </c>
      <c r="D4485" t="s">
        <v>148</v>
      </c>
      <c r="E4485">
        <v>5</v>
      </c>
      <c r="F4485" s="3">
        <f ca="1">41397+(RANDBETWEEN(1,10))</f>
        <v>41402</v>
      </c>
      <c r="G4485" t="s">
        <v>76</v>
      </c>
      <c r="H4485" t="s">
        <v>258</v>
      </c>
      <c r="I4485" t="s">
        <v>28</v>
      </c>
      <c r="J4485">
        <v>5821.165</v>
      </c>
      <c r="K4485">
        <v>0.09</v>
      </c>
      <c r="L4485">
        <v>0.62</v>
      </c>
      <c r="M4485">
        <v>140.66499999999999</v>
      </c>
      <c r="N4485">
        <v>1045.905</v>
      </c>
      <c r="O4485" s="1" t="s">
        <v>87</v>
      </c>
      <c r="P4485" s="1" t="s">
        <v>9442</v>
      </c>
      <c r="Q4485" s="1" t="s">
        <v>9443</v>
      </c>
      <c r="R4485" s="1" t="s">
        <v>646</v>
      </c>
      <c r="S4485" s="1" t="s">
        <v>6191</v>
      </c>
      <c r="T4485" s="1" t="s">
        <v>6192</v>
      </c>
      <c r="U4485" s="2" t="s">
        <v>3482</v>
      </c>
      <c r="V4485" s="2" t="s">
        <v>83</v>
      </c>
      <c r="W4485" s="2" t="s">
        <v>263</v>
      </c>
      <c r="X4485" s="2">
        <v>1218.7349999999999</v>
      </c>
    </row>
    <row r="4486" spans="1:24" x14ac:dyDescent="0.3">
      <c r="A4486">
        <v>22328</v>
      </c>
      <c r="B4486" t="s">
        <v>10174</v>
      </c>
      <c r="C4486" s="3">
        <v>41903</v>
      </c>
      <c r="D4486" t="s">
        <v>25</v>
      </c>
      <c r="E4486">
        <v>8</v>
      </c>
      <c r="F4486" s="3">
        <f ca="1">41907+(RANDBETWEEN(1,10))</f>
        <v>41910</v>
      </c>
      <c r="G4486" t="s">
        <v>26</v>
      </c>
      <c r="H4486" t="s">
        <v>51</v>
      </c>
      <c r="I4486" t="s">
        <v>52</v>
      </c>
      <c r="J4486">
        <v>588.52499999999998</v>
      </c>
      <c r="K4486">
        <v>0.08</v>
      </c>
      <c r="L4486">
        <v>0.59</v>
      </c>
      <c r="M4486">
        <v>31.465</v>
      </c>
      <c r="N4486">
        <v>3041.4825000000001</v>
      </c>
      <c r="O4486" s="1" t="s">
        <v>29</v>
      </c>
      <c r="P4486" s="1" t="s">
        <v>7567</v>
      </c>
      <c r="Q4486" s="1" t="s">
        <v>7568</v>
      </c>
      <c r="R4486" s="1" t="s">
        <v>675</v>
      </c>
      <c r="S4486" s="1" t="s">
        <v>7569</v>
      </c>
      <c r="T4486" s="1" t="s">
        <v>7570</v>
      </c>
      <c r="U4486" s="2" t="s">
        <v>2789</v>
      </c>
      <c r="V4486" s="2" t="s">
        <v>47</v>
      </c>
      <c r="W4486" s="2" t="s">
        <v>104</v>
      </c>
      <c r="X4486" s="2">
        <v>74.83</v>
      </c>
    </row>
    <row r="4487" spans="1:24" x14ac:dyDescent="0.3">
      <c r="A4487">
        <v>22329</v>
      </c>
      <c r="B4487" t="s">
        <v>10175</v>
      </c>
      <c r="C4487" s="3">
        <v>40677</v>
      </c>
      <c r="D4487" t="s">
        <v>62</v>
      </c>
      <c r="E4487">
        <v>13</v>
      </c>
      <c r="F4487" s="3">
        <f ca="1">40678+(RANDBETWEEN(1,10))</f>
        <v>40680</v>
      </c>
      <c r="G4487" t="s">
        <v>26</v>
      </c>
      <c r="H4487" t="s">
        <v>27</v>
      </c>
      <c r="I4487" t="s">
        <v>28</v>
      </c>
      <c r="J4487">
        <v>3675.28</v>
      </c>
      <c r="K4487">
        <v>0.01</v>
      </c>
      <c r="L4487">
        <v>0.56000000000000005</v>
      </c>
      <c r="M4487">
        <v>17.149999999999999</v>
      </c>
      <c r="N4487">
        <v>2498.58</v>
      </c>
      <c r="O4487" s="1" t="s">
        <v>64</v>
      </c>
      <c r="P4487" s="1" t="s">
        <v>1863</v>
      </c>
      <c r="Q4487" s="1" t="s">
        <v>1864</v>
      </c>
      <c r="R4487" s="1" t="s">
        <v>67</v>
      </c>
      <c r="S4487" s="1" t="s">
        <v>1865</v>
      </c>
      <c r="T4487" s="1" t="s">
        <v>1866</v>
      </c>
      <c r="U4487" s="2" t="s">
        <v>35</v>
      </c>
      <c r="V4487" s="2" t="s">
        <v>36</v>
      </c>
      <c r="W4487" s="2" t="s">
        <v>37</v>
      </c>
      <c r="X4487" s="2">
        <v>335.96499999999997</v>
      </c>
    </row>
    <row r="4488" spans="1:24" x14ac:dyDescent="0.3">
      <c r="A4488">
        <v>22330</v>
      </c>
      <c r="B4488" t="s">
        <v>10176</v>
      </c>
      <c r="C4488" s="3">
        <v>41482</v>
      </c>
      <c r="D4488" t="s">
        <v>148</v>
      </c>
      <c r="E4488">
        <v>5</v>
      </c>
      <c r="F4488" s="3">
        <f ca="1">41485+(RANDBETWEEN(1,10))</f>
        <v>41491</v>
      </c>
      <c r="G4488" t="s">
        <v>26</v>
      </c>
      <c r="H4488" t="s">
        <v>96</v>
      </c>
      <c r="I4488" t="s">
        <v>86</v>
      </c>
      <c r="J4488">
        <v>45.43</v>
      </c>
      <c r="K4488">
        <v>0.06</v>
      </c>
      <c r="L4488">
        <v>0.38</v>
      </c>
      <c r="M4488">
        <v>24.815000000000001</v>
      </c>
      <c r="N4488">
        <v>-501.02499999999998</v>
      </c>
      <c r="O4488" s="1" t="s">
        <v>87</v>
      </c>
      <c r="P4488" s="1" t="s">
        <v>4027</v>
      </c>
      <c r="Q4488" s="1" t="s">
        <v>4028</v>
      </c>
      <c r="R4488" s="1" t="s">
        <v>90</v>
      </c>
      <c r="S4488" s="1" t="s">
        <v>4029</v>
      </c>
      <c r="T4488" s="1" t="s">
        <v>4030</v>
      </c>
      <c r="U4488" s="2" t="s">
        <v>117</v>
      </c>
      <c r="V4488" s="2" t="s">
        <v>47</v>
      </c>
      <c r="W4488" s="2" t="s">
        <v>74</v>
      </c>
      <c r="X4488" s="2">
        <v>7.63</v>
      </c>
    </row>
    <row r="4489" spans="1:24" x14ac:dyDescent="0.3">
      <c r="A4489">
        <v>22331</v>
      </c>
      <c r="B4489" t="s">
        <v>10176</v>
      </c>
      <c r="C4489" s="3">
        <v>41482</v>
      </c>
      <c r="D4489" t="s">
        <v>148</v>
      </c>
      <c r="E4489">
        <v>14</v>
      </c>
      <c r="F4489" s="3">
        <f ca="1">41485+(RANDBETWEEN(1,10))</f>
        <v>41491</v>
      </c>
      <c r="G4489" t="s">
        <v>26</v>
      </c>
      <c r="H4489" t="s">
        <v>27</v>
      </c>
      <c r="I4489" t="s">
        <v>86</v>
      </c>
      <c r="J4489">
        <v>311.185</v>
      </c>
      <c r="K4489">
        <v>0.04</v>
      </c>
      <c r="L4489">
        <v>0.39</v>
      </c>
      <c r="M4489">
        <v>1.75</v>
      </c>
      <c r="N4489">
        <v>854.94359999999995</v>
      </c>
      <c r="O4489" s="1" t="s">
        <v>40</v>
      </c>
      <c r="P4489" s="1" t="s">
        <v>10177</v>
      </c>
      <c r="Q4489" s="1" t="s">
        <v>10178</v>
      </c>
      <c r="R4489" s="1" t="s">
        <v>220</v>
      </c>
      <c r="S4489" s="1" t="s">
        <v>10179</v>
      </c>
      <c r="T4489" s="1" t="s">
        <v>10180</v>
      </c>
      <c r="U4489" s="2" t="s">
        <v>2021</v>
      </c>
      <c r="V4489" s="2" t="s">
        <v>47</v>
      </c>
      <c r="W4489" s="2" t="s">
        <v>203</v>
      </c>
      <c r="X4489" s="2">
        <v>22.05</v>
      </c>
    </row>
    <row r="4490" spans="1:24" x14ac:dyDescent="0.3">
      <c r="A4490">
        <v>22332</v>
      </c>
      <c r="B4490" t="s">
        <v>10181</v>
      </c>
      <c r="C4490" s="3">
        <v>41142</v>
      </c>
      <c r="D4490" t="s">
        <v>148</v>
      </c>
      <c r="E4490">
        <v>14</v>
      </c>
      <c r="F4490" s="3">
        <f ca="1">41143+(RANDBETWEEN(1,10))</f>
        <v>41147</v>
      </c>
      <c r="G4490" t="s">
        <v>26</v>
      </c>
      <c r="H4490" t="s">
        <v>96</v>
      </c>
      <c r="I4490" t="s">
        <v>97</v>
      </c>
      <c r="J4490">
        <v>328.89499999999998</v>
      </c>
      <c r="K4490">
        <v>0.1</v>
      </c>
      <c r="L4490">
        <v>0.38</v>
      </c>
      <c r="M4490">
        <v>5.6</v>
      </c>
      <c r="N4490">
        <v>226.93754999999999</v>
      </c>
      <c r="O4490" s="1" t="s">
        <v>53</v>
      </c>
      <c r="P4490" s="1" t="s">
        <v>9646</v>
      </c>
      <c r="Q4490" s="1" t="s">
        <v>9647</v>
      </c>
      <c r="R4490" s="1" t="s">
        <v>56</v>
      </c>
      <c r="S4490" s="1" t="s">
        <v>9648</v>
      </c>
      <c r="T4490" s="1" t="s">
        <v>9649</v>
      </c>
      <c r="U4490" s="2" t="s">
        <v>4250</v>
      </c>
      <c r="V4490" s="2" t="s">
        <v>47</v>
      </c>
      <c r="W4490" s="2" t="s">
        <v>74</v>
      </c>
      <c r="X4490" s="2">
        <v>24.43</v>
      </c>
    </row>
    <row r="4491" spans="1:24" x14ac:dyDescent="0.3">
      <c r="A4491">
        <v>22333</v>
      </c>
      <c r="B4491" t="s">
        <v>10182</v>
      </c>
      <c r="C4491" s="3">
        <v>41178</v>
      </c>
      <c r="D4491" t="s">
        <v>25</v>
      </c>
      <c r="E4491">
        <v>3</v>
      </c>
      <c r="F4491" s="3">
        <f ca="1">41183+(RANDBETWEEN(1,10))</f>
        <v>41193</v>
      </c>
      <c r="G4491" t="s">
        <v>76</v>
      </c>
      <c r="H4491" t="s">
        <v>258</v>
      </c>
      <c r="I4491" t="s">
        <v>28</v>
      </c>
      <c r="J4491">
        <v>1336.02</v>
      </c>
      <c r="K4491">
        <v>0.05</v>
      </c>
      <c r="L4491">
        <v>0.71</v>
      </c>
      <c r="M4491">
        <v>280.7</v>
      </c>
      <c r="N4491">
        <v>-1235.3566225</v>
      </c>
      <c r="O4491" s="1" t="s">
        <v>225</v>
      </c>
      <c r="P4491" s="1" t="s">
        <v>10183</v>
      </c>
      <c r="Q4491" s="1" t="s">
        <v>10184</v>
      </c>
      <c r="R4491" s="1" t="s">
        <v>391</v>
      </c>
      <c r="S4491" s="1" t="s">
        <v>2285</v>
      </c>
      <c r="T4491" s="1" t="s">
        <v>2286</v>
      </c>
      <c r="U4491" s="2" t="s">
        <v>696</v>
      </c>
      <c r="V4491" s="2" t="s">
        <v>83</v>
      </c>
      <c r="W4491" s="2" t="s">
        <v>263</v>
      </c>
      <c r="X4491" s="2">
        <v>511.17500000000001</v>
      </c>
    </row>
    <row r="4492" spans="1:24" x14ac:dyDescent="0.3">
      <c r="A4492">
        <v>22334</v>
      </c>
      <c r="B4492" t="s">
        <v>10185</v>
      </c>
      <c r="C4492" s="3">
        <v>41081</v>
      </c>
      <c r="D4492" t="s">
        <v>39</v>
      </c>
      <c r="E4492">
        <v>9</v>
      </c>
      <c r="F4492" s="3">
        <f ca="1">41082+(RANDBETWEEN(1,10))</f>
        <v>41087</v>
      </c>
      <c r="G4492" t="s">
        <v>26</v>
      </c>
      <c r="H4492" t="s">
        <v>27</v>
      </c>
      <c r="I4492" t="s">
        <v>28</v>
      </c>
      <c r="J4492">
        <v>307.44</v>
      </c>
      <c r="K4492">
        <v>0.09</v>
      </c>
      <c r="L4492">
        <v>0.6</v>
      </c>
      <c r="M4492">
        <v>33.075000000000003</v>
      </c>
      <c r="N4492">
        <v>-425.04</v>
      </c>
      <c r="O4492" s="1" t="s">
        <v>53</v>
      </c>
      <c r="P4492" s="1" t="s">
        <v>5135</v>
      </c>
      <c r="Q4492" s="1" t="s">
        <v>5136</v>
      </c>
      <c r="R4492" s="1" t="s">
        <v>100</v>
      </c>
      <c r="S4492" s="1" t="s">
        <v>5137</v>
      </c>
      <c r="T4492" s="1" t="s">
        <v>5138</v>
      </c>
      <c r="U4492" s="2" t="s">
        <v>483</v>
      </c>
      <c r="V4492" s="2" t="s">
        <v>47</v>
      </c>
      <c r="W4492" s="2" t="s">
        <v>119</v>
      </c>
      <c r="X4492" s="2">
        <v>33.984999999999999</v>
      </c>
    </row>
    <row r="4493" spans="1:24" x14ac:dyDescent="0.3">
      <c r="A4493">
        <v>22335</v>
      </c>
      <c r="B4493" t="s">
        <v>10186</v>
      </c>
      <c r="C4493" s="3">
        <v>41771</v>
      </c>
      <c r="D4493" t="s">
        <v>25</v>
      </c>
      <c r="E4493">
        <v>9</v>
      </c>
      <c r="F4493" s="3">
        <f ca="1">41776+(RANDBETWEEN(1,10))</f>
        <v>41785</v>
      </c>
      <c r="G4493" t="s">
        <v>26</v>
      </c>
      <c r="H4493" t="s">
        <v>27</v>
      </c>
      <c r="I4493" t="s">
        <v>52</v>
      </c>
      <c r="J4493">
        <v>5985.63</v>
      </c>
      <c r="K4493">
        <v>0.02</v>
      </c>
      <c r="L4493">
        <v>0.71</v>
      </c>
      <c r="M4493">
        <v>69.965000000000003</v>
      </c>
      <c r="N4493">
        <v>-837.45899999999995</v>
      </c>
      <c r="O4493" s="1" t="s">
        <v>64</v>
      </c>
      <c r="P4493" s="1" t="s">
        <v>10187</v>
      </c>
      <c r="Q4493" s="1" t="s">
        <v>10188</v>
      </c>
      <c r="R4493" s="1" t="s">
        <v>128</v>
      </c>
      <c r="S4493" s="1" t="s">
        <v>10189</v>
      </c>
      <c r="T4493" s="1" t="s">
        <v>10190</v>
      </c>
      <c r="U4493" s="2" t="s">
        <v>624</v>
      </c>
      <c r="V4493" s="2" t="s">
        <v>47</v>
      </c>
      <c r="W4493" s="2" t="s">
        <v>119</v>
      </c>
      <c r="X4493" s="2">
        <v>676.09500000000003</v>
      </c>
    </row>
    <row r="4494" spans="1:24" x14ac:dyDescent="0.3">
      <c r="A4494">
        <v>22336</v>
      </c>
      <c r="B4494" t="s">
        <v>10191</v>
      </c>
      <c r="C4494" s="3">
        <v>41827</v>
      </c>
      <c r="D4494" t="s">
        <v>62</v>
      </c>
      <c r="E4494">
        <v>15</v>
      </c>
      <c r="F4494" s="3">
        <f ca="1">41827+(RANDBETWEEN(1,10))</f>
        <v>41830</v>
      </c>
      <c r="G4494" t="s">
        <v>26</v>
      </c>
      <c r="H4494" t="s">
        <v>27</v>
      </c>
      <c r="I4494" t="s">
        <v>97</v>
      </c>
      <c r="J4494">
        <v>5198.83</v>
      </c>
      <c r="K4494">
        <v>7.0000000000000007E-2</v>
      </c>
      <c r="L4494">
        <v>0.57999999999999996</v>
      </c>
      <c r="M4494">
        <v>20.72</v>
      </c>
      <c r="N4494">
        <v>3587.1927000000001</v>
      </c>
      <c r="O4494" s="1" t="s">
        <v>40</v>
      </c>
      <c r="P4494" s="1" t="s">
        <v>9885</v>
      </c>
      <c r="Q4494" s="1" t="s">
        <v>9886</v>
      </c>
      <c r="R4494" s="1" t="s">
        <v>220</v>
      </c>
      <c r="S4494" s="1" t="s">
        <v>9887</v>
      </c>
      <c r="T4494" s="1" t="s">
        <v>9888</v>
      </c>
      <c r="U4494" s="2">
        <v>8890</v>
      </c>
      <c r="V4494" s="2" t="s">
        <v>36</v>
      </c>
      <c r="W4494" s="2" t="s">
        <v>37</v>
      </c>
      <c r="X4494" s="2">
        <v>405.96499999999997</v>
      </c>
    </row>
    <row r="4495" spans="1:24" x14ac:dyDescent="0.3">
      <c r="A4495">
        <v>22337</v>
      </c>
      <c r="B4495" t="s">
        <v>10192</v>
      </c>
      <c r="C4495" s="3">
        <v>41904</v>
      </c>
      <c r="D4495" t="s">
        <v>148</v>
      </c>
      <c r="E4495">
        <v>12</v>
      </c>
      <c r="F4495" s="3">
        <f ca="1">41905+(RANDBETWEEN(1,10))</f>
        <v>41910</v>
      </c>
      <c r="G4495" t="s">
        <v>26</v>
      </c>
      <c r="H4495" t="s">
        <v>27</v>
      </c>
      <c r="I4495" t="s">
        <v>28</v>
      </c>
      <c r="J4495">
        <v>261.31</v>
      </c>
      <c r="K4495">
        <v>0.01</v>
      </c>
      <c r="L4495">
        <v>0.39</v>
      </c>
      <c r="M4495">
        <v>5.2149999999999999</v>
      </c>
      <c r="N4495">
        <v>138.89798999999999</v>
      </c>
      <c r="O4495" s="1" t="s">
        <v>225</v>
      </c>
      <c r="P4495" s="1" t="s">
        <v>5834</v>
      </c>
      <c r="Q4495" s="1" t="s">
        <v>5835</v>
      </c>
      <c r="R4495" s="1" t="s">
        <v>228</v>
      </c>
      <c r="S4495" s="1" t="s">
        <v>5836</v>
      </c>
      <c r="T4495" s="1" t="s">
        <v>5837</v>
      </c>
      <c r="U4495" s="2" t="s">
        <v>1062</v>
      </c>
      <c r="V4495" s="2" t="s">
        <v>47</v>
      </c>
      <c r="W4495" s="2" t="s">
        <v>111</v>
      </c>
      <c r="X4495" s="2">
        <v>20.93</v>
      </c>
    </row>
    <row r="4496" spans="1:24" x14ac:dyDescent="0.3">
      <c r="A4496">
        <v>22338</v>
      </c>
      <c r="B4496" t="s">
        <v>10192</v>
      </c>
      <c r="C4496" s="3">
        <v>41904</v>
      </c>
      <c r="D4496" t="s">
        <v>148</v>
      </c>
      <c r="E4496">
        <v>19</v>
      </c>
      <c r="F4496" s="3">
        <f ca="1">41906+(RANDBETWEEN(1,10))</f>
        <v>41913</v>
      </c>
      <c r="G4496" t="s">
        <v>26</v>
      </c>
      <c r="H4496" t="s">
        <v>51</v>
      </c>
      <c r="I4496" t="s">
        <v>28</v>
      </c>
      <c r="J4496">
        <v>1469.51</v>
      </c>
      <c r="K4496">
        <v>0.08</v>
      </c>
      <c r="L4496">
        <v>0.43</v>
      </c>
      <c r="M4496">
        <v>6.9649999999999999</v>
      </c>
      <c r="N4496">
        <v>1013.9619</v>
      </c>
      <c r="O4496" s="1" t="s">
        <v>40</v>
      </c>
      <c r="P4496" s="1" t="s">
        <v>10193</v>
      </c>
      <c r="Q4496" s="1" t="s">
        <v>10194</v>
      </c>
      <c r="R4496" s="1" t="s">
        <v>43</v>
      </c>
      <c r="S4496" s="1" t="s">
        <v>10195</v>
      </c>
      <c r="T4496" s="1" t="s">
        <v>10196</v>
      </c>
      <c r="U4496" s="2" t="s">
        <v>4462</v>
      </c>
      <c r="V4496" s="2" t="s">
        <v>36</v>
      </c>
      <c r="W4496" s="2" t="s">
        <v>60</v>
      </c>
      <c r="X4496" s="2">
        <v>77.84</v>
      </c>
    </row>
    <row r="4497" spans="1:24" x14ac:dyDescent="0.3">
      <c r="A4497">
        <v>22339</v>
      </c>
      <c r="B4497" t="s">
        <v>10192</v>
      </c>
      <c r="C4497" s="3">
        <v>41904</v>
      </c>
      <c r="D4497" t="s">
        <v>148</v>
      </c>
      <c r="E4497">
        <v>23</v>
      </c>
      <c r="F4497" s="3">
        <f ca="1">41906+(RANDBETWEEN(1,10))</f>
        <v>41916</v>
      </c>
      <c r="G4497" t="s">
        <v>26</v>
      </c>
      <c r="H4497" t="s">
        <v>27</v>
      </c>
      <c r="I4497" t="s">
        <v>28</v>
      </c>
      <c r="J4497">
        <v>231.17500000000001</v>
      </c>
      <c r="K4497">
        <v>0.02</v>
      </c>
      <c r="L4497">
        <v>0.38</v>
      </c>
      <c r="M4497">
        <v>1.75</v>
      </c>
      <c r="N4497">
        <v>159.51075</v>
      </c>
      <c r="O4497" s="1" t="s">
        <v>40</v>
      </c>
      <c r="P4497" s="1" t="s">
        <v>10193</v>
      </c>
      <c r="Q4497" s="1" t="s">
        <v>10194</v>
      </c>
      <c r="R4497" s="1" t="s">
        <v>43</v>
      </c>
      <c r="S4497" s="1" t="s">
        <v>10195</v>
      </c>
      <c r="T4497" s="1" t="s">
        <v>10196</v>
      </c>
      <c r="U4497" s="2" t="s">
        <v>468</v>
      </c>
      <c r="V4497" s="2" t="s">
        <v>47</v>
      </c>
      <c r="W4497" s="2" t="s">
        <v>203</v>
      </c>
      <c r="X4497" s="2">
        <v>10.115</v>
      </c>
    </row>
    <row r="4498" spans="1:24" x14ac:dyDescent="0.3">
      <c r="A4498">
        <v>22340</v>
      </c>
      <c r="B4498" t="s">
        <v>10192</v>
      </c>
      <c r="C4498" s="3">
        <v>41904</v>
      </c>
      <c r="D4498" t="s">
        <v>148</v>
      </c>
      <c r="E4498">
        <v>13</v>
      </c>
      <c r="F4498" s="3">
        <f ca="1">41906+(RANDBETWEEN(1,10))</f>
        <v>41908</v>
      </c>
      <c r="G4498" t="s">
        <v>156</v>
      </c>
      <c r="H4498" t="s">
        <v>27</v>
      </c>
      <c r="I4498" t="s">
        <v>28</v>
      </c>
      <c r="J4498">
        <v>941.5</v>
      </c>
      <c r="K4498">
        <v>7.0000000000000007E-2</v>
      </c>
      <c r="L4498">
        <v>0.49</v>
      </c>
      <c r="M4498">
        <v>36.715000000000003</v>
      </c>
      <c r="N4498">
        <v>188.4708</v>
      </c>
      <c r="O4498" s="1" t="s">
        <v>40</v>
      </c>
      <c r="P4498" s="1" t="s">
        <v>10193</v>
      </c>
      <c r="Q4498" s="1" t="s">
        <v>10194</v>
      </c>
      <c r="R4498" s="1" t="s">
        <v>43</v>
      </c>
      <c r="S4498" s="1" t="s">
        <v>10195</v>
      </c>
      <c r="T4498" s="1" t="s">
        <v>10196</v>
      </c>
      <c r="U4498" s="2" t="s">
        <v>2586</v>
      </c>
      <c r="V4498" s="2" t="s">
        <v>83</v>
      </c>
      <c r="W4498" s="2" t="s">
        <v>178</v>
      </c>
      <c r="X4498" s="2">
        <v>69.930000000000007</v>
      </c>
    </row>
    <row r="4499" spans="1:24" x14ac:dyDescent="0.3">
      <c r="A4499">
        <v>22341</v>
      </c>
      <c r="B4499" t="s">
        <v>10197</v>
      </c>
      <c r="C4499" s="3">
        <v>40559</v>
      </c>
      <c r="D4499" t="s">
        <v>25</v>
      </c>
      <c r="E4499">
        <v>5</v>
      </c>
      <c r="F4499" s="3">
        <f ca="1">40559+(RANDBETWEEN(1,10))</f>
        <v>40563</v>
      </c>
      <c r="G4499" t="s">
        <v>156</v>
      </c>
      <c r="H4499" t="s">
        <v>96</v>
      </c>
      <c r="I4499" t="s">
        <v>28</v>
      </c>
      <c r="J4499">
        <v>54.95</v>
      </c>
      <c r="K4499">
        <v>0.04</v>
      </c>
      <c r="L4499">
        <v>0.56999999999999995</v>
      </c>
      <c r="M4499">
        <v>7.1050000000000004</v>
      </c>
      <c r="N4499">
        <v>-77.034999999999997</v>
      </c>
      <c r="O4499" s="1" t="s">
        <v>64</v>
      </c>
      <c r="P4499" s="1" t="s">
        <v>5797</v>
      </c>
      <c r="Q4499" s="1" t="s">
        <v>5798</v>
      </c>
      <c r="R4499" s="1" t="s">
        <v>128</v>
      </c>
      <c r="S4499" s="1" t="s">
        <v>5799</v>
      </c>
      <c r="T4499" s="1" t="s">
        <v>5800</v>
      </c>
      <c r="U4499" s="2" t="s">
        <v>7905</v>
      </c>
      <c r="V4499" s="2" t="s">
        <v>47</v>
      </c>
      <c r="W4499" s="2" t="s">
        <v>104</v>
      </c>
      <c r="X4499" s="2">
        <v>10.43</v>
      </c>
    </row>
    <row r="4500" spans="1:24" x14ac:dyDescent="0.3">
      <c r="A4500">
        <v>22342</v>
      </c>
      <c r="B4500" t="s">
        <v>10197</v>
      </c>
      <c r="C4500" s="3">
        <v>40559</v>
      </c>
      <c r="D4500" t="s">
        <v>25</v>
      </c>
      <c r="E4500">
        <v>6</v>
      </c>
      <c r="F4500" s="3">
        <f ca="1">40564+(RANDBETWEEN(1,10))</f>
        <v>40572</v>
      </c>
      <c r="G4500" t="s">
        <v>26</v>
      </c>
      <c r="H4500" t="s">
        <v>27</v>
      </c>
      <c r="I4500" t="s">
        <v>28</v>
      </c>
      <c r="J4500">
        <v>2382.2750000000001</v>
      </c>
      <c r="K4500">
        <v>0.01</v>
      </c>
      <c r="L4500">
        <v>0.59</v>
      </c>
      <c r="M4500">
        <v>31.465</v>
      </c>
      <c r="N4500">
        <v>1492.61112</v>
      </c>
      <c r="O4500" s="1" t="s">
        <v>64</v>
      </c>
      <c r="P4500" s="1" t="s">
        <v>5797</v>
      </c>
      <c r="Q4500" s="1" t="s">
        <v>5798</v>
      </c>
      <c r="R4500" s="1" t="s">
        <v>128</v>
      </c>
      <c r="S4500" s="1" t="s">
        <v>5799</v>
      </c>
      <c r="T4500" s="1" t="s">
        <v>5800</v>
      </c>
      <c r="U4500" s="2" t="s">
        <v>295</v>
      </c>
      <c r="V4500" s="2" t="s">
        <v>36</v>
      </c>
      <c r="W4500" s="2" t="s">
        <v>37</v>
      </c>
      <c r="X4500" s="2">
        <v>440.96499999999997</v>
      </c>
    </row>
    <row r="4501" spans="1:24" x14ac:dyDescent="0.3">
      <c r="A4501">
        <v>22343</v>
      </c>
      <c r="B4501" t="s">
        <v>10198</v>
      </c>
      <c r="C4501" s="3">
        <v>41214</v>
      </c>
      <c r="D4501" t="s">
        <v>25</v>
      </c>
      <c r="E4501">
        <v>9</v>
      </c>
      <c r="F4501" s="3">
        <f ca="1">41216+(RANDBETWEEN(1,10))</f>
        <v>41218</v>
      </c>
      <c r="G4501" t="s">
        <v>26</v>
      </c>
      <c r="H4501" t="s">
        <v>51</v>
      </c>
      <c r="I4501" t="s">
        <v>28</v>
      </c>
      <c r="J4501">
        <v>248.535</v>
      </c>
      <c r="K4501">
        <v>0.06</v>
      </c>
      <c r="L4501">
        <v>0.77</v>
      </c>
      <c r="M4501">
        <v>9.9049999999999994</v>
      </c>
      <c r="N4501">
        <v>-544.73299999999995</v>
      </c>
      <c r="O4501" s="1" t="s">
        <v>40</v>
      </c>
      <c r="P4501" s="1" t="s">
        <v>7471</v>
      </c>
      <c r="Q4501" s="1" t="s">
        <v>7472</v>
      </c>
      <c r="R4501" s="1" t="s">
        <v>220</v>
      </c>
      <c r="S4501" s="1" t="s">
        <v>7473</v>
      </c>
      <c r="T4501" s="1" t="s">
        <v>7474</v>
      </c>
      <c r="U4501" s="2" t="s">
        <v>2563</v>
      </c>
      <c r="V4501" s="2" t="s">
        <v>36</v>
      </c>
      <c r="W4501" s="2" t="s">
        <v>60</v>
      </c>
      <c r="X4501" s="2">
        <v>28.42</v>
      </c>
    </row>
    <row r="4502" spans="1:24" x14ac:dyDescent="0.3">
      <c r="A4502">
        <v>22344</v>
      </c>
      <c r="B4502" t="s">
        <v>10198</v>
      </c>
      <c r="C4502" s="3">
        <v>41214</v>
      </c>
      <c r="D4502" t="s">
        <v>25</v>
      </c>
      <c r="E4502">
        <v>7</v>
      </c>
      <c r="F4502" s="3">
        <f ca="1">41218+(RANDBETWEEN(1,10))</f>
        <v>41225</v>
      </c>
      <c r="G4502" t="s">
        <v>26</v>
      </c>
      <c r="H4502" t="s">
        <v>281</v>
      </c>
      <c r="I4502" t="s">
        <v>28</v>
      </c>
      <c r="J4502">
        <v>2308.5300000000002</v>
      </c>
      <c r="K4502">
        <v>0.06</v>
      </c>
      <c r="L4502">
        <v>0.38</v>
      </c>
      <c r="M4502">
        <v>48.965000000000003</v>
      </c>
      <c r="N4502">
        <v>-1564.374</v>
      </c>
      <c r="O4502" s="1" t="s">
        <v>40</v>
      </c>
      <c r="P4502" s="1" t="s">
        <v>7471</v>
      </c>
      <c r="Q4502" s="1" t="s">
        <v>7472</v>
      </c>
      <c r="R4502" s="1" t="s">
        <v>220</v>
      </c>
      <c r="S4502" s="1" t="s">
        <v>7473</v>
      </c>
      <c r="T4502" s="1" t="s">
        <v>7474</v>
      </c>
      <c r="U4502" s="2" t="s">
        <v>8415</v>
      </c>
      <c r="V4502" s="2" t="s">
        <v>36</v>
      </c>
      <c r="W4502" s="2" t="s">
        <v>142</v>
      </c>
      <c r="X4502" s="2">
        <v>337.57499999999999</v>
      </c>
    </row>
    <row r="4503" spans="1:24" x14ac:dyDescent="0.3">
      <c r="A4503">
        <v>22345</v>
      </c>
      <c r="B4503" t="s">
        <v>10199</v>
      </c>
      <c r="C4503" s="3">
        <v>41447</v>
      </c>
      <c r="D4503" t="s">
        <v>62</v>
      </c>
      <c r="E4503">
        <v>13</v>
      </c>
      <c r="F4503" s="3">
        <f ca="1">41448+(RANDBETWEEN(1,10))</f>
        <v>41456</v>
      </c>
      <c r="G4503" t="s">
        <v>26</v>
      </c>
      <c r="H4503" t="s">
        <v>27</v>
      </c>
      <c r="I4503" t="s">
        <v>52</v>
      </c>
      <c r="J4503">
        <v>776.37</v>
      </c>
      <c r="K4503">
        <v>0.01</v>
      </c>
      <c r="L4503">
        <v>0.36</v>
      </c>
      <c r="M4503">
        <v>17.78</v>
      </c>
      <c r="N4503">
        <v>-856.226</v>
      </c>
      <c r="O4503" s="1" t="s">
        <v>87</v>
      </c>
      <c r="P4503" s="1" t="s">
        <v>9732</v>
      </c>
      <c r="Q4503" s="1" t="s">
        <v>9733</v>
      </c>
      <c r="R4503" s="1" t="s">
        <v>90</v>
      </c>
      <c r="S4503" s="1" t="s">
        <v>2642</v>
      </c>
      <c r="T4503" s="1" t="s">
        <v>2643</v>
      </c>
      <c r="U4503" s="2" t="s">
        <v>8826</v>
      </c>
      <c r="V4503" s="2" t="s">
        <v>47</v>
      </c>
      <c r="W4503" s="2" t="s">
        <v>111</v>
      </c>
      <c r="X4503" s="2">
        <v>58.59</v>
      </c>
    </row>
    <row r="4504" spans="1:24" x14ac:dyDescent="0.3">
      <c r="A4504">
        <v>22346</v>
      </c>
      <c r="B4504" t="s">
        <v>10200</v>
      </c>
      <c r="C4504" s="3">
        <v>41834</v>
      </c>
      <c r="D4504" t="s">
        <v>25</v>
      </c>
      <c r="E4504">
        <v>6</v>
      </c>
      <c r="F4504" s="3">
        <f ca="1">41838+(RANDBETWEEN(1,10))</f>
        <v>41839</v>
      </c>
      <c r="G4504" t="s">
        <v>26</v>
      </c>
      <c r="H4504" t="s">
        <v>27</v>
      </c>
      <c r="I4504" t="s">
        <v>28</v>
      </c>
      <c r="J4504">
        <v>854.31500000000005</v>
      </c>
      <c r="K4504">
        <v>0.03</v>
      </c>
      <c r="L4504">
        <v>0.35</v>
      </c>
      <c r="M4504">
        <v>10.465</v>
      </c>
      <c r="N4504">
        <v>589.47735</v>
      </c>
      <c r="O4504" s="1" t="s">
        <v>29</v>
      </c>
      <c r="P4504" s="1" t="s">
        <v>9092</v>
      </c>
      <c r="Q4504" s="1" t="s">
        <v>9093</v>
      </c>
      <c r="R4504" s="1" t="s">
        <v>32</v>
      </c>
      <c r="S4504" s="1" t="s">
        <v>8270</v>
      </c>
      <c r="T4504" s="1" t="s">
        <v>8271</v>
      </c>
      <c r="U4504" s="2" t="s">
        <v>4761</v>
      </c>
      <c r="V4504" s="2" t="s">
        <v>47</v>
      </c>
      <c r="W4504" s="2" t="s">
        <v>111</v>
      </c>
      <c r="X4504" s="2">
        <v>146.79</v>
      </c>
    </row>
    <row r="4505" spans="1:24" x14ac:dyDescent="0.3">
      <c r="A4505">
        <v>22347</v>
      </c>
      <c r="B4505" t="s">
        <v>10201</v>
      </c>
      <c r="C4505" s="3">
        <v>41104</v>
      </c>
      <c r="D4505" t="s">
        <v>25</v>
      </c>
      <c r="E4505">
        <v>14</v>
      </c>
      <c r="F4505" s="3">
        <f ca="1">41108+(RANDBETWEEN(1,10))</f>
        <v>41110</v>
      </c>
      <c r="G4505" t="s">
        <v>26</v>
      </c>
      <c r="H4505" t="s">
        <v>27</v>
      </c>
      <c r="I4505" t="s">
        <v>28</v>
      </c>
      <c r="J4505">
        <v>375.9</v>
      </c>
      <c r="K4505">
        <v>0.01</v>
      </c>
      <c r="L4505">
        <v>0.38</v>
      </c>
      <c r="M4505">
        <v>1.7150000000000001</v>
      </c>
      <c r="N4505">
        <v>259.37099999999998</v>
      </c>
      <c r="O4505" s="1" t="s">
        <v>29</v>
      </c>
      <c r="P4505" s="1" t="s">
        <v>9092</v>
      </c>
      <c r="Q4505" s="1" t="s">
        <v>9093</v>
      </c>
      <c r="R4505" s="1" t="s">
        <v>32</v>
      </c>
      <c r="S4505" s="1" t="s">
        <v>8270</v>
      </c>
      <c r="T4505" s="1" t="s">
        <v>8271</v>
      </c>
      <c r="U4505" s="2" t="s">
        <v>1897</v>
      </c>
      <c r="V4505" s="2" t="s">
        <v>47</v>
      </c>
      <c r="W4505" s="2" t="s">
        <v>203</v>
      </c>
      <c r="X4505" s="2">
        <v>25.585000000000001</v>
      </c>
    </row>
    <row r="4506" spans="1:24" x14ac:dyDescent="0.3">
      <c r="A4506">
        <v>22348</v>
      </c>
      <c r="B4506" t="s">
        <v>10202</v>
      </c>
      <c r="C4506" s="3">
        <v>41936</v>
      </c>
      <c r="D4506" t="s">
        <v>39</v>
      </c>
      <c r="E4506">
        <v>5</v>
      </c>
      <c r="F4506" s="3">
        <f ca="1">41936+(RANDBETWEEN(1,10))</f>
        <v>41939</v>
      </c>
      <c r="G4506" t="s">
        <v>26</v>
      </c>
      <c r="H4506" t="s">
        <v>51</v>
      </c>
      <c r="I4506" t="s">
        <v>86</v>
      </c>
      <c r="J4506">
        <v>706.79</v>
      </c>
      <c r="K4506">
        <v>7.0000000000000007E-2</v>
      </c>
      <c r="L4506">
        <v>0.42</v>
      </c>
      <c r="M4506">
        <v>6.9649999999999999</v>
      </c>
      <c r="N4506">
        <v>-3327.3173934000001</v>
      </c>
      <c r="O4506" s="1" t="s">
        <v>87</v>
      </c>
      <c r="P4506" s="1" t="s">
        <v>7125</v>
      </c>
      <c r="Q4506" s="1" t="s">
        <v>7126</v>
      </c>
      <c r="R4506" s="1" t="s">
        <v>646</v>
      </c>
      <c r="S4506" s="1" t="s">
        <v>7127</v>
      </c>
      <c r="T4506" s="1" t="s">
        <v>7128</v>
      </c>
      <c r="U4506" s="2" t="s">
        <v>1997</v>
      </c>
      <c r="V4506" s="2" t="s">
        <v>36</v>
      </c>
      <c r="W4506" s="2" t="s">
        <v>60</v>
      </c>
      <c r="X4506" s="2">
        <v>143.39500000000001</v>
      </c>
    </row>
    <row r="4507" spans="1:24" x14ac:dyDescent="0.3">
      <c r="A4507">
        <v>22349</v>
      </c>
      <c r="B4507" t="s">
        <v>10203</v>
      </c>
      <c r="C4507" s="3">
        <v>41320</v>
      </c>
      <c r="D4507" t="s">
        <v>25</v>
      </c>
      <c r="E4507">
        <v>8</v>
      </c>
      <c r="F4507" s="3">
        <f ca="1">41324+(RANDBETWEEN(1,10))</f>
        <v>41326</v>
      </c>
      <c r="G4507" t="s">
        <v>76</v>
      </c>
      <c r="H4507" t="s">
        <v>77</v>
      </c>
      <c r="I4507" t="s">
        <v>97</v>
      </c>
      <c r="J4507">
        <v>7567.1750000000002</v>
      </c>
      <c r="K4507">
        <v>0.1</v>
      </c>
      <c r="L4507">
        <v>0.59</v>
      </c>
      <c r="M4507">
        <v>81.165000000000006</v>
      </c>
      <c r="N4507">
        <v>5221.3507499999996</v>
      </c>
      <c r="O4507" s="1" t="s">
        <v>64</v>
      </c>
      <c r="P4507" s="1" t="s">
        <v>5260</v>
      </c>
      <c r="Q4507" s="1" t="s">
        <v>5261</v>
      </c>
      <c r="R4507" s="1" t="s">
        <v>67</v>
      </c>
      <c r="S4507" s="1" t="s">
        <v>5262</v>
      </c>
      <c r="T4507" s="1" t="s">
        <v>5263</v>
      </c>
      <c r="U4507" s="2" t="s">
        <v>1970</v>
      </c>
      <c r="V4507" s="2" t="s">
        <v>47</v>
      </c>
      <c r="W4507" s="2" t="s">
        <v>71</v>
      </c>
      <c r="X4507" s="2">
        <v>979.33500000000004</v>
      </c>
    </row>
    <row r="4508" spans="1:24" x14ac:dyDescent="0.3">
      <c r="A4508">
        <v>22350</v>
      </c>
      <c r="B4508" t="s">
        <v>10203</v>
      </c>
      <c r="C4508" s="3">
        <v>41320</v>
      </c>
      <c r="D4508" t="s">
        <v>25</v>
      </c>
      <c r="E4508">
        <v>6</v>
      </c>
      <c r="F4508" s="3">
        <f ca="1">41322+(RANDBETWEEN(1,10))</f>
        <v>41328</v>
      </c>
      <c r="G4508" t="s">
        <v>76</v>
      </c>
      <c r="H4508" t="s">
        <v>77</v>
      </c>
      <c r="I4508" t="s">
        <v>97</v>
      </c>
      <c r="J4508">
        <v>3487.1550000000002</v>
      </c>
      <c r="K4508">
        <v>0.09</v>
      </c>
      <c r="L4508">
        <v>0.69</v>
      </c>
      <c r="M4508">
        <v>105</v>
      </c>
      <c r="N4508">
        <v>-406.07</v>
      </c>
      <c r="O4508" s="1" t="s">
        <v>64</v>
      </c>
      <c r="P4508" s="1" t="s">
        <v>5260</v>
      </c>
      <c r="Q4508" s="1" t="s">
        <v>5261</v>
      </c>
      <c r="R4508" s="1" t="s">
        <v>67</v>
      </c>
      <c r="S4508" s="1" t="s">
        <v>5262</v>
      </c>
      <c r="T4508" s="1" t="s">
        <v>5263</v>
      </c>
      <c r="U4508" s="2" t="s">
        <v>5090</v>
      </c>
      <c r="V4508" s="2" t="s">
        <v>83</v>
      </c>
      <c r="W4508" s="2" t="s">
        <v>84</v>
      </c>
      <c r="X4508" s="2">
        <v>633.42999999999995</v>
      </c>
    </row>
    <row r="4509" spans="1:24" x14ac:dyDescent="0.3">
      <c r="A4509">
        <v>22351</v>
      </c>
      <c r="B4509" t="s">
        <v>10204</v>
      </c>
      <c r="C4509" s="3">
        <v>41166</v>
      </c>
      <c r="D4509" t="s">
        <v>50</v>
      </c>
      <c r="E4509">
        <v>10</v>
      </c>
      <c r="F4509" s="3">
        <f ca="1">41168+(RANDBETWEEN(1,10))</f>
        <v>41175</v>
      </c>
      <c r="G4509" t="s">
        <v>26</v>
      </c>
      <c r="H4509" t="s">
        <v>27</v>
      </c>
      <c r="I4509" t="s">
        <v>28</v>
      </c>
      <c r="J4509">
        <v>1328.425</v>
      </c>
      <c r="K4509">
        <v>0.1</v>
      </c>
      <c r="L4509">
        <v>0.7</v>
      </c>
      <c r="M4509">
        <v>14</v>
      </c>
      <c r="N4509">
        <v>-79.204999999999998</v>
      </c>
      <c r="O4509" s="1" t="s">
        <v>40</v>
      </c>
      <c r="P4509" s="1" t="s">
        <v>10067</v>
      </c>
      <c r="Q4509" s="1" t="s">
        <v>10068</v>
      </c>
      <c r="R4509" s="1" t="s">
        <v>43</v>
      </c>
      <c r="S4509" s="1" t="s">
        <v>10069</v>
      </c>
      <c r="T4509" s="1" t="s">
        <v>10070</v>
      </c>
      <c r="U4509" s="2" t="s">
        <v>2111</v>
      </c>
      <c r="V4509" s="2" t="s">
        <v>36</v>
      </c>
      <c r="W4509" s="2" t="s">
        <v>60</v>
      </c>
      <c r="X4509" s="2">
        <v>139.93</v>
      </c>
    </row>
    <row r="4510" spans="1:24" x14ac:dyDescent="0.3">
      <c r="A4510">
        <v>22352</v>
      </c>
      <c r="B4510" t="s">
        <v>10205</v>
      </c>
      <c r="C4510" s="3">
        <v>41896</v>
      </c>
      <c r="D4510" t="s">
        <v>50</v>
      </c>
      <c r="E4510">
        <v>10</v>
      </c>
      <c r="F4510" s="3">
        <f ca="1">41898+(RANDBETWEEN(1,10))</f>
        <v>41908</v>
      </c>
      <c r="G4510" t="s">
        <v>26</v>
      </c>
      <c r="H4510" t="s">
        <v>27</v>
      </c>
      <c r="I4510" t="s">
        <v>28</v>
      </c>
      <c r="J4510">
        <v>1005.27</v>
      </c>
      <c r="K4510">
        <v>0.1</v>
      </c>
      <c r="L4510">
        <v>0.7</v>
      </c>
      <c r="M4510">
        <v>23.24</v>
      </c>
      <c r="N4510">
        <v>-114.21339999999999</v>
      </c>
      <c r="O4510" s="1" t="s">
        <v>40</v>
      </c>
      <c r="P4510" s="1" t="s">
        <v>10067</v>
      </c>
      <c r="Q4510" s="1" t="s">
        <v>10068</v>
      </c>
      <c r="R4510" s="1" t="s">
        <v>43</v>
      </c>
      <c r="S4510" s="1" t="s">
        <v>10069</v>
      </c>
      <c r="T4510" s="1" t="s">
        <v>10070</v>
      </c>
      <c r="U4510" s="2" t="s">
        <v>4355</v>
      </c>
      <c r="V4510" s="2" t="s">
        <v>47</v>
      </c>
      <c r="W4510" s="2" t="s">
        <v>119</v>
      </c>
      <c r="X4510" s="2">
        <v>104.09</v>
      </c>
    </row>
    <row r="4511" spans="1:24" x14ac:dyDescent="0.3">
      <c r="A4511">
        <v>22353</v>
      </c>
      <c r="B4511" t="s">
        <v>10206</v>
      </c>
      <c r="C4511" s="3">
        <v>41962</v>
      </c>
      <c r="D4511" t="s">
        <v>148</v>
      </c>
      <c r="E4511">
        <v>23</v>
      </c>
      <c r="F4511" s="3">
        <f ca="1">41963+(RANDBETWEEN(1,10))</f>
        <v>41971</v>
      </c>
      <c r="G4511" t="s">
        <v>76</v>
      </c>
      <c r="H4511" t="s">
        <v>77</v>
      </c>
      <c r="I4511" t="s">
        <v>52</v>
      </c>
      <c r="J4511">
        <v>9992.4650000000001</v>
      </c>
      <c r="K4511">
        <v>0.05</v>
      </c>
      <c r="L4511">
        <v>0.64</v>
      </c>
      <c r="M4511">
        <v>105</v>
      </c>
      <c r="N4511">
        <v>11.991</v>
      </c>
      <c r="O4511" s="1" t="s">
        <v>225</v>
      </c>
      <c r="P4511" s="1" t="s">
        <v>10207</v>
      </c>
      <c r="Q4511" s="1" t="s">
        <v>10208</v>
      </c>
      <c r="R4511" s="1" t="s">
        <v>228</v>
      </c>
      <c r="S4511" s="1" t="s">
        <v>3715</v>
      </c>
      <c r="T4511" s="1" t="s">
        <v>3716</v>
      </c>
      <c r="U4511" s="2" t="s">
        <v>2044</v>
      </c>
      <c r="V4511" s="2" t="s">
        <v>83</v>
      </c>
      <c r="W4511" s="2" t="s">
        <v>84</v>
      </c>
      <c r="X4511" s="2">
        <v>423.43</v>
      </c>
    </row>
    <row r="4512" spans="1:24" x14ac:dyDescent="0.3">
      <c r="A4512">
        <v>22354</v>
      </c>
      <c r="B4512" t="s">
        <v>10206</v>
      </c>
      <c r="C4512" s="3">
        <v>41962</v>
      </c>
      <c r="D4512" t="s">
        <v>148</v>
      </c>
      <c r="E4512">
        <v>43</v>
      </c>
      <c r="F4512" s="3">
        <f ca="1">41963+(RANDBETWEEN(1,10))</f>
        <v>41967</v>
      </c>
      <c r="G4512" t="s">
        <v>26</v>
      </c>
      <c r="H4512" t="s">
        <v>96</v>
      </c>
      <c r="I4512" t="s">
        <v>52</v>
      </c>
      <c r="J4512">
        <v>421.78500000000003</v>
      </c>
      <c r="K4512">
        <v>0.03</v>
      </c>
      <c r="L4512">
        <v>0.57999999999999996</v>
      </c>
      <c r="M4512">
        <v>4.2</v>
      </c>
      <c r="N4512">
        <v>969.46500000000003</v>
      </c>
      <c r="O4512" s="1" t="s">
        <v>225</v>
      </c>
      <c r="P4512" s="1" t="s">
        <v>10207</v>
      </c>
      <c r="Q4512" s="1" t="s">
        <v>10208</v>
      </c>
      <c r="R4512" s="1" t="s">
        <v>228</v>
      </c>
      <c r="S4512" s="1" t="s">
        <v>3715</v>
      </c>
      <c r="T4512" s="1" t="s">
        <v>3716</v>
      </c>
      <c r="U4512" s="2" t="s">
        <v>1227</v>
      </c>
      <c r="V4512" s="2" t="s">
        <v>47</v>
      </c>
      <c r="W4512" s="2" t="s">
        <v>104</v>
      </c>
      <c r="X4512" s="2">
        <v>9.73</v>
      </c>
    </row>
    <row r="4513" spans="1:24" x14ac:dyDescent="0.3">
      <c r="A4513">
        <v>22355</v>
      </c>
      <c r="B4513" t="s">
        <v>10209</v>
      </c>
      <c r="C4513" s="3">
        <v>40739</v>
      </c>
      <c r="D4513" t="s">
        <v>39</v>
      </c>
      <c r="E4513">
        <v>15</v>
      </c>
      <c r="F4513" s="3">
        <f ca="1">40740+(RANDBETWEEN(1,10))</f>
        <v>40746</v>
      </c>
      <c r="G4513" t="s">
        <v>26</v>
      </c>
      <c r="H4513" t="s">
        <v>51</v>
      </c>
      <c r="I4513" t="s">
        <v>28</v>
      </c>
      <c r="J4513">
        <v>827.61</v>
      </c>
      <c r="K4513">
        <v>0.02</v>
      </c>
      <c r="L4513">
        <v>0.42</v>
      </c>
      <c r="M4513">
        <v>6.9649999999999999</v>
      </c>
      <c r="N4513">
        <v>571.05089999999996</v>
      </c>
      <c r="O4513" s="1" t="s">
        <v>29</v>
      </c>
      <c r="P4513" s="1" t="s">
        <v>10210</v>
      </c>
      <c r="Q4513" s="1" t="s">
        <v>10211</v>
      </c>
      <c r="R4513" s="1" t="s">
        <v>32</v>
      </c>
      <c r="S4513" s="1" t="s">
        <v>3145</v>
      </c>
      <c r="T4513" s="1" t="s">
        <v>3146</v>
      </c>
      <c r="U4513" s="2" t="s">
        <v>2350</v>
      </c>
      <c r="V4513" s="2" t="s">
        <v>36</v>
      </c>
      <c r="W4513" s="2" t="s">
        <v>60</v>
      </c>
      <c r="X4513" s="2">
        <v>53.48</v>
      </c>
    </row>
    <row r="4514" spans="1:24" x14ac:dyDescent="0.3">
      <c r="A4514">
        <v>22356</v>
      </c>
      <c r="B4514" t="s">
        <v>10209</v>
      </c>
      <c r="C4514" s="3">
        <v>40739</v>
      </c>
      <c r="D4514" t="s">
        <v>39</v>
      </c>
      <c r="E4514">
        <v>1</v>
      </c>
      <c r="F4514" s="3">
        <f ca="1">40740+(RANDBETWEEN(1,10))</f>
        <v>40744</v>
      </c>
      <c r="G4514" t="s">
        <v>26</v>
      </c>
      <c r="H4514" t="s">
        <v>51</v>
      </c>
      <c r="I4514" t="s">
        <v>28</v>
      </c>
      <c r="J4514">
        <v>258.37</v>
      </c>
      <c r="K4514">
        <v>0</v>
      </c>
      <c r="L4514">
        <v>0.37</v>
      </c>
      <c r="M4514">
        <v>11.55</v>
      </c>
      <c r="N4514">
        <v>-1057.7874999999999</v>
      </c>
      <c r="O4514" s="1" t="s">
        <v>29</v>
      </c>
      <c r="P4514" s="1" t="s">
        <v>10210</v>
      </c>
      <c r="Q4514" s="1" t="s">
        <v>10211</v>
      </c>
      <c r="R4514" s="1" t="s">
        <v>32</v>
      </c>
      <c r="S4514" s="1" t="s">
        <v>3145</v>
      </c>
      <c r="T4514" s="1" t="s">
        <v>3146</v>
      </c>
      <c r="U4514" s="2" t="s">
        <v>1240</v>
      </c>
      <c r="V4514" s="2" t="s">
        <v>36</v>
      </c>
      <c r="W4514" s="2" t="s">
        <v>37</v>
      </c>
      <c r="X4514" s="2">
        <v>300.96499999999997</v>
      </c>
    </row>
    <row r="4515" spans="1:24" x14ac:dyDescent="0.3">
      <c r="A4515">
        <v>22357</v>
      </c>
      <c r="B4515" t="s">
        <v>10212</v>
      </c>
      <c r="C4515" s="3">
        <v>41312</v>
      </c>
      <c r="D4515" t="s">
        <v>62</v>
      </c>
      <c r="E4515">
        <v>12</v>
      </c>
      <c r="F4515" s="3">
        <f ca="1">41313+(RANDBETWEEN(1,10))</f>
        <v>41318</v>
      </c>
      <c r="G4515" t="s">
        <v>26</v>
      </c>
      <c r="H4515" t="s">
        <v>27</v>
      </c>
      <c r="I4515" t="s">
        <v>28</v>
      </c>
      <c r="J4515">
        <v>3900.54</v>
      </c>
      <c r="K4515">
        <v>0.08</v>
      </c>
      <c r="L4515">
        <v>0.56999999999999995</v>
      </c>
      <c r="M4515">
        <v>8.75</v>
      </c>
      <c r="N4515">
        <v>2691.3726000000001</v>
      </c>
      <c r="O4515" s="1" t="s">
        <v>29</v>
      </c>
      <c r="P4515" s="1" t="s">
        <v>7220</v>
      </c>
      <c r="Q4515" s="1" t="s">
        <v>7221</v>
      </c>
      <c r="R4515" s="1" t="s">
        <v>32</v>
      </c>
      <c r="S4515" s="1" t="s">
        <v>7222</v>
      </c>
      <c r="T4515" s="1" t="s">
        <v>7223</v>
      </c>
      <c r="U4515" s="2" t="s">
        <v>3011</v>
      </c>
      <c r="V4515" s="2" t="s">
        <v>36</v>
      </c>
      <c r="W4515" s="2" t="s">
        <v>37</v>
      </c>
      <c r="X4515" s="2">
        <v>388.46499999999997</v>
      </c>
    </row>
    <row r="4516" spans="1:24" x14ac:dyDescent="0.3">
      <c r="A4516">
        <v>22358</v>
      </c>
      <c r="B4516" t="s">
        <v>10212</v>
      </c>
      <c r="C4516" s="3">
        <v>41312</v>
      </c>
      <c r="D4516" t="s">
        <v>62</v>
      </c>
      <c r="E4516">
        <v>10</v>
      </c>
      <c r="F4516" s="3">
        <f ca="1">41315+(RANDBETWEEN(1,10))</f>
        <v>41323</v>
      </c>
      <c r="G4516" t="s">
        <v>26</v>
      </c>
      <c r="H4516" t="s">
        <v>51</v>
      </c>
      <c r="I4516" t="s">
        <v>28</v>
      </c>
      <c r="J4516">
        <v>248.43</v>
      </c>
      <c r="K4516">
        <v>0.02</v>
      </c>
      <c r="L4516">
        <v>0.57999999999999996</v>
      </c>
      <c r="M4516">
        <v>15.47</v>
      </c>
      <c r="N4516">
        <v>-205.83500000000001</v>
      </c>
      <c r="O4516" s="1" t="s">
        <v>29</v>
      </c>
      <c r="P4516" s="1" t="s">
        <v>10213</v>
      </c>
      <c r="Q4516" s="1" t="s">
        <v>10214</v>
      </c>
      <c r="R4516" s="1" t="s">
        <v>460</v>
      </c>
      <c r="S4516" s="1" t="s">
        <v>4673</v>
      </c>
      <c r="T4516" s="1" t="s">
        <v>4674</v>
      </c>
      <c r="U4516" s="2" t="s">
        <v>9046</v>
      </c>
      <c r="V4516" s="2" t="s">
        <v>47</v>
      </c>
      <c r="W4516" s="2" t="s">
        <v>94</v>
      </c>
      <c r="X4516" s="2">
        <v>23.94</v>
      </c>
    </row>
    <row r="4517" spans="1:24" x14ac:dyDescent="0.3">
      <c r="A4517">
        <v>22359</v>
      </c>
      <c r="B4517" t="s">
        <v>10215</v>
      </c>
      <c r="C4517" s="3">
        <v>41242</v>
      </c>
      <c r="D4517" t="s">
        <v>25</v>
      </c>
      <c r="E4517">
        <v>3</v>
      </c>
      <c r="F4517" s="3">
        <f ca="1">41247+(RANDBETWEEN(1,10))</f>
        <v>41255</v>
      </c>
      <c r="G4517" t="s">
        <v>26</v>
      </c>
      <c r="H4517" t="s">
        <v>27</v>
      </c>
      <c r="I4517" t="s">
        <v>28</v>
      </c>
      <c r="J4517">
        <v>1840.5450000000001</v>
      </c>
      <c r="K4517">
        <v>0.08</v>
      </c>
      <c r="L4517">
        <v>0.39</v>
      </c>
      <c r="M4517">
        <v>69.965000000000003</v>
      </c>
      <c r="N4517">
        <v>35.081200000000003</v>
      </c>
      <c r="O4517" s="1" t="s">
        <v>53</v>
      </c>
      <c r="P4517" s="1" t="s">
        <v>6508</v>
      </c>
      <c r="Q4517" s="1" t="s">
        <v>6509</v>
      </c>
      <c r="R4517" s="1" t="s">
        <v>440</v>
      </c>
      <c r="S4517" s="1" t="s">
        <v>6510</v>
      </c>
      <c r="T4517" s="1" t="s">
        <v>6511</v>
      </c>
      <c r="U4517" s="2" t="s">
        <v>3970</v>
      </c>
      <c r="V4517" s="2" t="s">
        <v>47</v>
      </c>
      <c r="W4517" s="2" t="s">
        <v>111</v>
      </c>
      <c r="X4517" s="2">
        <v>605.46500000000003</v>
      </c>
    </row>
    <row r="4518" spans="1:24" x14ac:dyDescent="0.3">
      <c r="A4518">
        <v>22360</v>
      </c>
      <c r="B4518" t="s">
        <v>10216</v>
      </c>
      <c r="C4518" s="3">
        <v>41115</v>
      </c>
      <c r="D4518" t="s">
        <v>148</v>
      </c>
      <c r="E4518">
        <v>12</v>
      </c>
      <c r="F4518" s="3">
        <f ca="1">41118+(RANDBETWEEN(1,10))</f>
        <v>41126</v>
      </c>
      <c r="G4518" t="s">
        <v>26</v>
      </c>
      <c r="H4518" t="s">
        <v>27</v>
      </c>
      <c r="I4518" t="s">
        <v>97</v>
      </c>
      <c r="J4518">
        <v>1958.67</v>
      </c>
      <c r="K4518">
        <v>0.02</v>
      </c>
      <c r="L4518">
        <v>0.44</v>
      </c>
      <c r="M4518">
        <v>23.695</v>
      </c>
      <c r="N4518">
        <v>1351.4822999999999</v>
      </c>
      <c r="O4518" s="1" t="s">
        <v>29</v>
      </c>
      <c r="P4518" s="1" t="s">
        <v>9197</v>
      </c>
      <c r="Q4518" s="1" t="s">
        <v>9198</v>
      </c>
      <c r="R4518" s="1" t="s">
        <v>675</v>
      </c>
      <c r="S4518" s="1" t="s">
        <v>9199</v>
      </c>
      <c r="T4518" s="1" t="s">
        <v>9200</v>
      </c>
      <c r="U4518" s="2" t="s">
        <v>4573</v>
      </c>
      <c r="V4518" s="2" t="s">
        <v>83</v>
      </c>
      <c r="W4518" s="2" t="s">
        <v>178</v>
      </c>
      <c r="X4518" s="2">
        <v>164.29</v>
      </c>
    </row>
    <row r="4519" spans="1:24" x14ac:dyDescent="0.3">
      <c r="A4519">
        <v>22361</v>
      </c>
      <c r="B4519" t="s">
        <v>10216</v>
      </c>
      <c r="C4519" s="3">
        <v>41115</v>
      </c>
      <c r="D4519" t="s">
        <v>148</v>
      </c>
      <c r="E4519">
        <v>8</v>
      </c>
      <c r="F4519" s="3">
        <f ca="1">41115+(RANDBETWEEN(1,10))</f>
        <v>41122</v>
      </c>
      <c r="G4519" t="s">
        <v>26</v>
      </c>
      <c r="H4519" t="s">
        <v>63</v>
      </c>
      <c r="I4519" t="s">
        <v>97</v>
      </c>
      <c r="J4519">
        <v>4654.7550000000001</v>
      </c>
      <c r="K4519">
        <v>7.0000000000000007E-2</v>
      </c>
      <c r="L4519">
        <v>0.85</v>
      </c>
      <c r="M4519">
        <v>122.5</v>
      </c>
      <c r="N4519">
        <v>-2166.3249999999998</v>
      </c>
      <c r="O4519" s="1" t="s">
        <v>29</v>
      </c>
      <c r="P4519" s="1" t="s">
        <v>9197</v>
      </c>
      <c r="Q4519" s="1" t="s">
        <v>9198</v>
      </c>
      <c r="R4519" s="1" t="s">
        <v>675</v>
      </c>
      <c r="S4519" s="1" t="s">
        <v>9199</v>
      </c>
      <c r="T4519" s="1" t="s">
        <v>9200</v>
      </c>
      <c r="U4519" s="2" t="s">
        <v>4771</v>
      </c>
      <c r="V4519" s="2" t="s">
        <v>47</v>
      </c>
      <c r="W4519" s="2" t="s">
        <v>119</v>
      </c>
      <c r="X4519" s="2">
        <v>585.44500000000005</v>
      </c>
    </row>
    <row r="4520" spans="1:24" x14ac:dyDescent="0.3">
      <c r="A4520">
        <v>22362</v>
      </c>
      <c r="B4520" t="s">
        <v>10217</v>
      </c>
      <c r="C4520" s="3">
        <v>41205</v>
      </c>
      <c r="D4520" t="s">
        <v>50</v>
      </c>
      <c r="E4520">
        <v>16</v>
      </c>
      <c r="F4520" s="3">
        <f ca="1">41207+(RANDBETWEEN(1,10))</f>
        <v>41212</v>
      </c>
      <c r="G4520" t="s">
        <v>26</v>
      </c>
      <c r="H4520" t="s">
        <v>27</v>
      </c>
      <c r="I4520" t="s">
        <v>86</v>
      </c>
      <c r="J4520">
        <v>3041.22</v>
      </c>
      <c r="K4520">
        <v>0.06</v>
      </c>
      <c r="L4520">
        <v>0.55000000000000004</v>
      </c>
      <c r="M4520">
        <v>13.65</v>
      </c>
      <c r="N4520">
        <v>1516.05972</v>
      </c>
      <c r="O4520" s="1" t="s">
        <v>64</v>
      </c>
      <c r="P4520" s="1" t="s">
        <v>7688</v>
      </c>
      <c r="Q4520" s="1" t="s">
        <v>7689</v>
      </c>
      <c r="R4520" s="1" t="s">
        <v>67</v>
      </c>
      <c r="S4520" s="1" t="s">
        <v>7690</v>
      </c>
      <c r="T4520" s="1" t="s">
        <v>7691</v>
      </c>
      <c r="U4520" s="2" t="s">
        <v>3221</v>
      </c>
      <c r="V4520" s="2" t="s">
        <v>36</v>
      </c>
      <c r="W4520" s="2" t="s">
        <v>37</v>
      </c>
      <c r="X4520" s="2">
        <v>230.965</v>
      </c>
    </row>
    <row r="4521" spans="1:24" x14ac:dyDescent="0.3">
      <c r="A4521">
        <v>22363</v>
      </c>
      <c r="B4521" t="s">
        <v>10218</v>
      </c>
      <c r="C4521" s="3">
        <v>40584</v>
      </c>
      <c r="D4521" t="s">
        <v>62</v>
      </c>
      <c r="E4521">
        <v>2</v>
      </c>
      <c r="F4521" s="3">
        <f ca="1">40585+(RANDBETWEEN(1,10))</f>
        <v>40594</v>
      </c>
      <c r="G4521" t="s">
        <v>26</v>
      </c>
      <c r="H4521" t="s">
        <v>281</v>
      </c>
      <c r="I4521" t="s">
        <v>28</v>
      </c>
      <c r="J4521">
        <v>104.47499999999999</v>
      </c>
      <c r="K4521">
        <v>0.01</v>
      </c>
      <c r="L4521">
        <v>0.39</v>
      </c>
      <c r="M4521">
        <v>26.285</v>
      </c>
      <c r="N4521">
        <v>1868.097</v>
      </c>
      <c r="O4521" s="1" t="s">
        <v>225</v>
      </c>
      <c r="P4521" s="1" t="s">
        <v>3993</v>
      </c>
      <c r="Q4521" s="1" t="s">
        <v>3994</v>
      </c>
      <c r="R4521" s="1" t="s">
        <v>228</v>
      </c>
      <c r="S4521" s="1" t="s">
        <v>3995</v>
      </c>
      <c r="T4521" s="1" t="s">
        <v>3996</v>
      </c>
      <c r="U4521" s="2" t="s">
        <v>1079</v>
      </c>
      <c r="V4521" s="2" t="s">
        <v>36</v>
      </c>
      <c r="W4521" s="2" t="s">
        <v>142</v>
      </c>
      <c r="X4521" s="2">
        <v>48.965000000000003</v>
      </c>
    </row>
    <row r="4522" spans="1:24" x14ac:dyDescent="0.3">
      <c r="A4522">
        <v>22364</v>
      </c>
      <c r="B4522" t="s">
        <v>10219</v>
      </c>
      <c r="C4522" s="3">
        <v>41686</v>
      </c>
      <c r="D4522" t="s">
        <v>25</v>
      </c>
      <c r="E4522">
        <v>9</v>
      </c>
      <c r="F4522" s="3">
        <f ca="1">41686+(RANDBETWEEN(1,10))</f>
        <v>41694</v>
      </c>
      <c r="G4522" t="s">
        <v>26</v>
      </c>
      <c r="H4522" t="s">
        <v>27</v>
      </c>
      <c r="I4522" t="s">
        <v>28</v>
      </c>
      <c r="J4522">
        <v>86.765000000000001</v>
      </c>
      <c r="K4522">
        <v>0</v>
      </c>
      <c r="L4522">
        <v>0.39</v>
      </c>
      <c r="M4522">
        <v>1.75</v>
      </c>
      <c r="N4522">
        <v>-203.84</v>
      </c>
      <c r="O4522" s="1" t="s">
        <v>87</v>
      </c>
      <c r="P4522" s="1" t="s">
        <v>8913</v>
      </c>
      <c r="Q4522" s="1" t="s">
        <v>8914</v>
      </c>
      <c r="R4522" s="1" t="s">
        <v>398</v>
      </c>
      <c r="S4522" s="1" t="s">
        <v>8915</v>
      </c>
      <c r="T4522" s="1" t="s">
        <v>8916</v>
      </c>
      <c r="U4522" s="2" t="s">
        <v>1726</v>
      </c>
      <c r="V4522" s="2" t="s">
        <v>47</v>
      </c>
      <c r="W4522" s="2" t="s">
        <v>203</v>
      </c>
      <c r="X4522" s="2">
        <v>9.1349999999999998</v>
      </c>
    </row>
    <row r="4523" spans="1:24" x14ac:dyDescent="0.3">
      <c r="A4523">
        <v>22365</v>
      </c>
      <c r="B4523" t="s">
        <v>10219</v>
      </c>
      <c r="C4523" s="3">
        <v>41686</v>
      </c>
      <c r="D4523" t="s">
        <v>25</v>
      </c>
      <c r="E4523">
        <v>2</v>
      </c>
      <c r="F4523" s="3">
        <f ca="1">41691+(RANDBETWEEN(1,10))</f>
        <v>41698</v>
      </c>
      <c r="G4523" t="s">
        <v>26</v>
      </c>
      <c r="H4523" t="s">
        <v>27</v>
      </c>
      <c r="I4523" t="s">
        <v>28</v>
      </c>
      <c r="J4523">
        <v>187.32</v>
      </c>
      <c r="K4523">
        <v>0.03</v>
      </c>
      <c r="L4523">
        <v>0.57999999999999996</v>
      </c>
      <c r="M4523">
        <v>34.545000000000002</v>
      </c>
      <c r="N4523">
        <v>-2392.7287999999999</v>
      </c>
      <c r="O4523" s="1" t="s">
        <v>87</v>
      </c>
      <c r="P4523" s="1" t="s">
        <v>8913</v>
      </c>
      <c r="Q4523" s="1" t="s">
        <v>8914</v>
      </c>
      <c r="R4523" s="1" t="s">
        <v>398</v>
      </c>
      <c r="S4523" s="1" t="s">
        <v>8915</v>
      </c>
      <c r="T4523" s="1" t="s">
        <v>8916</v>
      </c>
      <c r="U4523" s="2" t="s">
        <v>10220</v>
      </c>
      <c r="V4523" s="2" t="s">
        <v>83</v>
      </c>
      <c r="W4523" s="2" t="s">
        <v>178</v>
      </c>
      <c r="X4523" s="2">
        <v>87.954999999999998</v>
      </c>
    </row>
    <row r="4524" spans="1:24" x14ac:dyDescent="0.3">
      <c r="A4524">
        <v>22366</v>
      </c>
      <c r="B4524" t="s">
        <v>10219</v>
      </c>
      <c r="C4524" s="3">
        <v>41686</v>
      </c>
      <c r="D4524" t="s">
        <v>25</v>
      </c>
      <c r="E4524">
        <v>11</v>
      </c>
      <c r="F4524" s="3">
        <f ca="1">41688+(RANDBETWEEN(1,10))</f>
        <v>41696</v>
      </c>
      <c r="G4524" t="s">
        <v>26</v>
      </c>
      <c r="H4524" t="s">
        <v>51</v>
      </c>
      <c r="I4524" t="s">
        <v>28</v>
      </c>
      <c r="J4524">
        <v>221.72499999999999</v>
      </c>
      <c r="K4524">
        <v>0.01</v>
      </c>
      <c r="L4524">
        <v>0.56000000000000005</v>
      </c>
      <c r="M4524">
        <v>12.6</v>
      </c>
      <c r="N4524">
        <v>82.788300000000007</v>
      </c>
      <c r="O4524" s="1" t="s">
        <v>87</v>
      </c>
      <c r="P4524" s="1" t="s">
        <v>8913</v>
      </c>
      <c r="Q4524" s="1" t="s">
        <v>8914</v>
      </c>
      <c r="R4524" s="1" t="s">
        <v>398</v>
      </c>
      <c r="S4524" s="1" t="s">
        <v>8915</v>
      </c>
      <c r="T4524" s="1" t="s">
        <v>8916</v>
      </c>
      <c r="U4524" s="2" t="s">
        <v>4710</v>
      </c>
      <c r="V4524" s="2" t="s">
        <v>47</v>
      </c>
      <c r="W4524" s="2" t="s">
        <v>94</v>
      </c>
      <c r="X4524" s="2">
        <v>19.88</v>
      </c>
    </row>
    <row r="4525" spans="1:24" x14ac:dyDescent="0.3">
      <c r="A4525">
        <v>22367</v>
      </c>
      <c r="B4525" t="s">
        <v>10219</v>
      </c>
      <c r="C4525" s="3">
        <v>41686</v>
      </c>
      <c r="D4525" t="s">
        <v>25</v>
      </c>
      <c r="E4525">
        <v>11</v>
      </c>
      <c r="F4525" s="3">
        <f ca="1">41693+(RANDBETWEEN(1,10))</f>
        <v>41700</v>
      </c>
      <c r="G4525" t="s">
        <v>26</v>
      </c>
      <c r="H4525" t="s">
        <v>27</v>
      </c>
      <c r="I4525" t="s">
        <v>28</v>
      </c>
      <c r="J4525">
        <v>4205.4949999999999</v>
      </c>
      <c r="K4525">
        <v>0</v>
      </c>
      <c r="L4525">
        <v>0.6</v>
      </c>
      <c r="M4525">
        <v>19.704999999999998</v>
      </c>
      <c r="N4525">
        <v>-914.97699999999998</v>
      </c>
      <c r="O4525" s="1" t="s">
        <v>29</v>
      </c>
      <c r="P4525" s="1" t="s">
        <v>10221</v>
      </c>
      <c r="Q4525" s="1" t="s">
        <v>10222</v>
      </c>
      <c r="R4525" s="1" t="s">
        <v>32</v>
      </c>
      <c r="S4525" s="1" t="s">
        <v>10223</v>
      </c>
      <c r="T4525" s="1" t="s">
        <v>10224</v>
      </c>
      <c r="U4525" s="2">
        <v>8290</v>
      </c>
      <c r="V4525" s="2" t="s">
        <v>36</v>
      </c>
      <c r="W4525" s="2" t="s">
        <v>37</v>
      </c>
      <c r="X4525" s="2">
        <v>440.96499999999997</v>
      </c>
    </row>
    <row r="4526" spans="1:24" x14ac:dyDescent="0.3">
      <c r="A4526">
        <v>22368</v>
      </c>
      <c r="B4526" t="s">
        <v>10225</v>
      </c>
      <c r="C4526" s="3">
        <v>41575</v>
      </c>
      <c r="D4526" t="s">
        <v>25</v>
      </c>
      <c r="E4526">
        <v>24</v>
      </c>
      <c r="F4526" s="3">
        <f ca="1">41579+(RANDBETWEEN(1,10))</f>
        <v>41589</v>
      </c>
      <c r="G4526" t="s">
        <v>26</v>
      </c>
      <c r="H4526" t="s">
        <v>27</v>
      </c>
      <c r="I4526" t="s">
        <v>86</v>
      </c>
      <c r="J4526">
        <v>2597.14</v>
      </c>
      <c r="K4526">
        <v>0.08</v>
      </c>
      <c r="L4526">
        <v>0.37</v>
      </c>
      <c r="M4526">
        <v>44.17</v>
      </c>
      <c r="N4526">
        <v>705.29753000000005</v>
      </c>
      <c r="O4526" s="1" t="s">
        <v>53</v>
      </c>
      <c r="P4526" s="1" t="s">
        <v>6199</v>
      </c>
      <c r="Q4526" s="1" t="s">
        <v>6200</v>
      </c>
      <c r="R4526" s="1" t="s">
        <v>100</v>
      </c>
      <c r="S4526" s="1" t="s">
        <v>6201</v>
      </c>
      <c r="T4526" s="1" t="s">
        <v>6202</v>
      </c>
      <c r="U4526" s="2" t="s">
        <v>4243</v>
      </c>
      <c r="V4526" s="2" t="s">
        <v>47</v>
      </c>
      <c r="W4526" s="2" t="s">
        <v>111</v>
      </c>
      <c r="X4526" s="2">
        <v>111.09</v>
      </c>
    </row>
    <row r="4527" spans="1:24" x14ac:dyDescent="0.3">
      <c r="A4527">
        <v>22369</v>
      </c>
      <c r="B4527" t="s">
        <v>10226</v>
      </c>
      <c r="C4527" s="3">
        <v>40779</v>
      </c>
      <c r="D4527" t="s">
        <v>50</v>
      </c>
      <c r="E4527">
        <v>12</v>
      </c>
      <c r="F4527" s="3">
        <f ca="1">40781+(RANDBETWEEN(1,10))</f>
        <v>40791</v>
      </c>
      <c r="G4527" t="s">
        <v>26</v>
      </c>
      <c r="H4527" t="s">
        <v>96</v>
      </c>
      <c r="I4527" t="s">
        <v>28</v>
      </c>
      <c r="J4527">
        <v>339.01</v>
      </c>
      <c r="K4527">
        <v>0.03</v>
      </c>
      <c r="L4527">
        <v>0.36</v>
      </c>
      <c r="M4527">
        <v>20.405000000000001</v>
      </c>
      <c r="N4527">
        <v>-52.816400000000002</v>
      </c>
      <c r="O4527" s="1" t="s">
        <v>53</v>
      </c>
      <c r="P4527" s="1" t="s">
        <v>6556</v>
      </c>
      <c r="Q4527" s="1" t="s">
        <v>6557</v>
      </c>
      <c r="R4527" s="1" t="s">
        <v>56</v>
      </c>
      <c r="S4527" s="1" t="s">
        <v>6558</v>
      </c>
      <c r="T4527" s="1" t="s">
        <v>6559</v>
      </c>
      <c r="U4527" s="2" t="s">
        <v>605</v>
      </c>
      <c r="V4527" s="2" t="s">
        <v>47</v>
      </c>
      <c r="W4527" s="2" t="s">
        <v>74</v>
      </c>
      <c r="X4527" s="2">
        <v>26.74</v>
      </c>
    </row>
    <row r="4528" spans="1:24" x14ac:dyDescent="0.3">
      <c r="A4528">
        <v>22370</v>
      </c>
      <c r="B4528" t="s">
        <v>10227</v>
      </c>
      <c r="C4528" s="3">
        <v>40564</v>
      </c>
      <c r="D4528" t="s">
        <v>39</v>
      </c>
      <c r="E4528">
        <v>9</v>
      </c>
      <c r="F4528" s="3">
        <f ca="1">40566+(RANDBETWEEN(1,10))</f>
        <v>40575</v>
      </c>
      <c r="G4528" t="s">
        <v>76</v>
      </c>
      <c r="H4528" t="s">
        <v>258</v>
      </c>
      <c r="I4528" t="s">
        <v>86</v>
      </c>
      <c r="J4528">
        <v>1065.19</v>
      </c>
      <c r="K4528">
        <v>0.05</v>
      </c>
      <c r="L4528">
        <v>0.65</v>
      </c>
      <c r="M4528">
        <v>159.285</v>
      </c>
      <c r="N4528">
        <v>-7622.9513360000001</v>
      </c>
      <c r="O4528" s="1" t="s">
        <v>29</v>
      </c>
      <c r="P4528" s="1" t="s">
        <v>9197</v>
      </c>
      <c r="Q4528" s="1" t="s">
        <v>9198</v>
      </c>
      <c r="R4528" s="1" t="s">
        <v>675</v>
      </c>
      <c r="S4528" s="1" t="s">
        <v>9199</v>
      </c>
      <c r="T4528" s="1" t="s">
        <v>9200</v>
      </c>
      <c r="U4528" s="2" t="s">
        <v>1566</v>
      </c>
      <c r="V4528" s="2" t="s">
        <v>83</v>
      </c>
      <c r="W4528" s="2" t="s">
        <v>263</v>
      </c>
      <c r="X4528" s="2">
        <v>111.16</v>
      </c>
    </row>
    <row r="4529" spans="1:24" x14ac:dyDescent="0.3">
      <c r="A4529">
        <v>22371</v>
      </c>
      <c r="B4529" t="s">
        <v>10228</v>
      </c>
      <c r="C4529" s="3">
        <v>41306</v>
      </c>
      <c r="D4529" t="s">
        <v>62</v>
      </c>
      <c r="E4529">
        <v>1</v>
      </c>
      <c r="F4529" s="3">
        <f ca="1">41307+(RANDBETWEEN(1,10))</f>
        <v>41317</v>
      </c>
      <c r="G4529" t="s">
        <v>26</v>
      </c>
      <c r="H4529" t="s">
        <v>27</v>
      </c>
      <c r="I4529" t="s">
        <v>97</v>
      </c>
      <c r="J4529">
        <v>11.76</v>
      </c>
      <c r="K4529">
        <v>0.03</v>
      </c>
      <c r="L4529">
        <v>0.37</v>
      </c>
      <c r="M4529">
        <v>3.4649999999999999</v>
      </c>
      <c r="N4529">
        <v>199.83074999999999</v>
      </c>
      <c r="O4529" s="1" t="s">
        <v>64</v>
      </c>
      <c r="P4529" s="1" t="s">
        <v>4974</v>
      </c>
      <c r="Q4529" s="1" t="s">
        <v>4975</v>
      </c>
      <c r="R4529" s="1" t="s">
        <v>67</v>
      </c>
      <c r="S4529" s="1" t="s">
        <v>4976</v>
      </c>
      <c r="T4529" s="1" t="s">
        <v>4977</v>
      </c>
      <c r="U4529" s="2" t="s">
        <v>796</v>
      </c>
      <c r="V4529" s="2" t="s">
        <v>47</v>
      </c>
      <c r="W4529" s="2" t="s">
        <v>203</v>
      </c>
      <c r="X4529" s="2">
        <v>10.78</v>
      </c>
    </row>
    <row r="4530" spans="1:24" x14ac:dyDescent="0.3">
      <c r="A4530">
        <v>22372</v>
      </c>
      <c r="B4530" t="s">
        <v>10229</v>
      </c>
      <c r="C4530" s="3">
        <v>41434</v>
      </c>
      <c r="D4530" t="s">
        <v>25</v>
      </c>
      <c r="E4530">
        <v>2</v>
      </c>
      <c r="F4530" s="3">
        <f ca="1">41438+(RANDBETWEEN(1,10))</f>
        <v>41440</v>
      </c>
      <c r="G4530" t="s">
        <v>26</v>
      </c>
      <c r="H4530" t="s">
        <v>63</v>
      </c>
      <c r="I4530" t="s">
        <v>97</v>
      </c>
      <c r="J4530">
        <v>297.22000000000003</v>
      </c>
      <c r="K4530">
        <v>0.06</v>
      </c>
      <c r="L4530">
        <v>0.56999999999999995</v>
      </c>
      <c r="M4530">
        <v>50.575000000000003</v>
      </c>
      <c r="N4530">
        <v>205.08179999999999</v>
      </c>
      <c r="O4530" s="1" t="s">
        <v>40</v>
      </c>
      <c r="P4530" s="1" t="s">
        <v>5465</v>
      </c>
      <c r="Q4530" s="1" t="s">
        <v>5466</v>
      </c>
      <c r="R4530" s="1" t="s">
        <v>43</v>
      </c>
      <c r="S4530" s="1" t="s">
        <v>5467</v>
      </c>
      <c r="T4530" s="1" t="s">
        <v>5468</v>
      </c>
      <c r="U4530" s="2" t="s">
        <v>1470</v>
      </c>
      <c r="V4530" s="2" t="s">
        <v>83</v>
      </c>
      <c r="W4530" s="2" t="s">
        <v>178</v>
      </c>
      <c r="X4530" s="2">
        <v>143.39500000000001</v>
      </c>
    </row>
    <row r="4531" spans="1:24" x14ac:dyDescent="0.3">
      <c r="A4531">
        <v>22373</v>
      </c>
      <c r="B4531" t="s">
        <v>10230</v>
      </c>
      <c r="C4531" s="3">
        <v>41666</v>
      </c>
      <c r="D4531" t="s">
        <v>148</v>
      </c>
      <c r="E4531">
        <v>9</v>
      </c>
      <c r="F4531" s="3">
        <f ca="1">41668+(RANDBETWEEN(1,10))</f>
        <v>41670</v>
      </c>
      <c r="G4531" t="s">
        <v>26</v>
      </c>
      <c r="H4531" t="s">
        <v>51</v>
      </c>
      <c r="I4531" t="s">
        <v>28</v>
      </c>
      <c r="J4531">
        <v>315.56</v>
      </c>
      <c r="K4531">
        <v>0.09</v>
      </c>
      <c r="L4531">
        <v>0.55000000000000004</v>
      </c>
      <c r="M4531">
        <v>6.9649999999999999</v>
      </c>
      <c r="N4531">
        <v>47.401200000000003</v>
      </c>
      <c r="O4531" s="1" t="s">
        <v>40</v>
      </c>
      <c r="P4531" s="1" t="s">
        <v>4383</v>
      </c>
      <c r="Q4531" s="1" t="s">
        <v>4384</v>
      </c>
      <c r="R4531" s="1" t="s">
        <v>43</v>
      </c>
      <c r="S4531" s="1" t="s">
        <v>4385</v>
      </c>
      <c r="T4531" s="1" t="s">
        <v>4386</v>
      </c>
      <c r="U4531" s="2" t="s">
        <v>10231</v>
      </c>
      <c r="V4531" s="2" t="s">
        <v>36</v>
      </c>
      <c r="W4531" s="2" t="s">
        <v>60</v>
      </c>
      <c r="X4531" s="2">
        <v>35.454999999999998</v>
      </c>
    </row>
    <row r="4532" spans="1:24" x14ac:dyDescent="0.3">
      <c r="A4532">
        <v>22374</v>
      </c>
      <c r="B4532" t="s">
        <v>10232</v>
      </c>
      <c r="C4532" s="3">
        <v>40641</v>
      </c>
      <c r="D4532" t="s">
        <v>50</v>
      </c>
      <c r="E4532">
        <v>9</v>
      </c>
      <c r="F4532" s="3">
        <f ca="1">40642+(RANDBETWEEN(1,10))</f>
        <v>40646</v>
      </c>
      <c r="G4532" t="s">
        <v>26</v>
      </c>
      <c r="H4532" t="s">
        <v>27</v>
      </c>
      <c r="I4532" t="s">
        <v>97</v>
      </c>
      <c r="J4532">
        <v>137.095</v>
      </c>
      <c r="K4532">
        <v>0.08</v>
      </c>
      <c r="L4532">
        <v>0.35</v>
      </c>
      <c r="M4532">
        <v>5.2149999999999999</v>
      </c>
      <c r="N4532">
        <v>94.595550000000003</v>
      </c>
      <c r="O4532" s="1" t="s">
        <v>225</v>
      </c>
      <c r="P4532" s="1" t="s">
        <v>10233</v>
      </c>
      <c r="Q4532" s="1" t="s">
        <v>10234</v>
      </c>
      <c r="R4532" s="1" t="s">
        <v>391</v>
      </c>
      <c r="S4532" s="1" t="s">
        <v>10166</v>
      </c>
      <c r="T4532" s="1" t="s">
        <v>10167</v>
      </c>
      <c r="U4532" s="2" t="s">
        <v>5253</v>
      </c>
      <c r="V4532" s="2" t="s">
        <v>47</v>
      </c>
      <c r="W4532" s="2" t="s">
        <v>111</v>
      </c>
      <c r="X4532" s="2">
        <v>15.925000000000001</v>
      </c>
    </row>
    <row r="4533" spans="1:24" x14ac:dyDescent="0.3">
      <c r="A4533">
        <v>22375</v>
      </c>
      <c r="B4533" t="s">
        <v>10235</v>
      </c>
      <c r="C4533" s="3">
        <v>41869</v>
      </c>
      <c r="D4533" t="s">
        <v>25</v>
      </c>
      <c r="E4533">
        <v>12</v>
      </c>
      <c r="F4533" s="3">
        <f ca="1">41876+(RANDBETWEEN(1,10))</f>
        <v>41881</v>
      </c>
      <c r="G4533" t="s">
        <v>156</v>
      </c>
      <c r="H4533" t="s">
        <v>281</v>
      </c>
      <c r="I4533" t="s">
        <v>52</v>
      </c>
      <c r="J4533">
        <v>296.38</v>
      </c>
      <c r="K4533">
        <v>0.09</v>
      </c>
      <c r="L4533">
        <v>0.6</v>
      </c>
      <c r="M4533">
        <v>17.605</v>
      </c>
      <c r="N4533">
        <v>-124.86227599999999</v>
      </c>
      <c r="O4533" s="1" t="s">
        <v>40</v>
      </c>
      <c r="P4533" s="1" t="s">
        <v>9801</v>
      </c>
      <c r="Q4533" s="1" t="s">
        <v>9802</v>
      </c>
      <c r="R4533" s="1" t="s">
        <v>43</v>
      </c>
      <c r="S4533" s="1" t="s">
        <v>9803</v>
      </c>
      <c r="T4533" s="1" t="s">
        <v>9804</v>
      </c>
      <c r="U4533" s="2" t="s">
        <v>408</v>
      </c>
      <c r="V4533" s="2" t="s">
        <v>36</v>
      </c>
      <c r="W4533" s="2" t="s">
        <v>37</v>
      </c>
      <c r="X4533" s="2">
        <v>27.965</v>
      </c>
    </row>
    <row r="4534" spans="1:24" x14ac:dyDescent="0.3">
      <c r="A4534">
        <v>22376</v>
      </c>
      <c r="B4534" t="s">
        <v>10236</v>
      </c>
      <c r="C4534" s="3">
        <v>40628</v>
      </c>
      <c r="D4534" t="s">
        <v>50</v>
      </c>
      <c r="E4534">
        <v>5</v>
      </c>
      <c r="F4534" s="3">
        <f ca="1">40628+(RANDBETWEEN(1,10))</f>
        <v>40637</v>
      </c>
      <c r="G4534" t="s">
        <v>26</v>
      </c>
      <c r="H4534" t="s">
        <v>281</v>
      </c>
      <c r="I4534" t="s">
        <v>52</v>
      </c>
      <c r="J4534">
        <v>3955.5250000000001</v>
      </c>
      <c r="K4534">
        <v>7.0000000000000007E-2</v>
      </c>
      <c r="L4534">
        <v>0.42</v>
      </c>
      <c r="M4534">
        <v>41.265000000000001</v>
      </c>
      <c r="N4534">
        <v>-570.21299999999997</v>
      </c>
      <c r="O4534" s="1" t="s">
        <v>64</v>
      </c>
      <c r="P4534" s="1" t="s">
        <v>9504</v>
      </c>
      <c r="Q4534" s="1" t="s">
        <v>9505</v>
      </c>
      <c r="R4534" s="1" t="s">
        <v>128</v>
      </c>
      <c r="S4534" s="1" t="s">
        <v>9506</v>
      </c>
      <c r="T4534" s="1" t="s">
        <v>9507</v>
      </c>
      <c r="U4534" s="2" t="s">
        <v>8918</v>
      </c>
      <c r="V4534" s="2" t="s">
        <v>47</v>
      </c>
      <c r="W4534" s="2" t="s">
        <v>71</v>
      </c>
      <c r="X4534" s="2">
        <v>787.64</v>
      </c>
    </row>
    <row r="4535" spans="1:24" x14ac:dyDescent="0.3">
      <c r="A4535">
        <v>22377</v>
      </c>
      <c r="B4535" t="s">
        <v>10236</v>
      </c>
      <c r="C4535" s="3">
        <v>40628</v>
      </c>
      <c r="D4535" t="s">
        <v>50</v>
      </c>
      <c r="E4535">
        <v>7</v>
      </c>
      <c r="F4535" s="3">
        <f ca="1">40631+(RANDBETWEEN(1,10))</f>
        <v>40638</v>
      </c>
      <c r="G4535" t="s">
        <v>26</v>
      </c>
      <c r="H4535" t="s">
        <v>27</v>
      </c>
      <c r="I4535" t="s">
        <v>52</v>
      </c>
      <c r="J4535">
        <v>190.29499999999999</v>
      </c>
      <c r="K4535">
        <v>0.03</v>
      </c>
      <c r="L4535">
        <v>0.35</v>
      </c>
      <c r="M4535">
        <v>16.484999999999999</v>
      </c>
      <c r="N4535">
        <v>3009.0122999999999</v>
      </c>
      <c r="O4535" s="1" t="s">
        <v>64</v>
      </c>
      <c r="P4535" s="1" t="s">
        <v>9504</v>
      </c>
      <c r="Q4535" s="1" t="s">
        <v>9505</v>
      </c>
      <c r="R4535" s="1" t="s">
        <v>128</v>
      </c>
      <c r="S4535" s="1" t="s">
        <v>9506</v>
      </c>
      <c r="T4535" s="1" t="s">
        <v>9507</v>
      </c>
      <c r="U4535" s="2" t="s">
        <v>2245</v>
      </c>
      <c r="V4535" s="2" t="s">
        <v>47</v>
      </c>
      <c r="W4535" s="2" t="s">
        <v>111</v>
      </c>
      <c r="X4535" s="2">
        <v>27.44</v>
      </c>
    </row>
    <row r="4536" spans="1:24" x14ac:dyDescent="0.3">
      <c r="A4536">
        <v>22378</v>
      </c>
      <c r="B4536" t="s">
        <v>10237</v>
      </c>
      <c r="C4536" s="3">
        <v>40812</v>
      </c>
      <c r="D4536" t="s">
        <v>62</v>
      </c>
      <c r="E4536">
        <v>12</v>
      </c>
      <c r="F4536" s="3">
        <f ca="1">40815+(RANDBETWEEN(1,10))</f>
        <v>40818</v>
      </c>
      <c r="G4536" t="s">
        <v>156</v>
      </c>
      <c r="H4536" t="s">
        <v>27</v>
      </c>
      <c r="I4536" t="s">
        <v>28</v>
      </c>
      <c r="J4536">
        <v>871.745</v>
      </c>
      <c r="K4536">
        <v>0</v>
      </c>
      <c r="L4536">
        <v>0.38</v>
      </c>
      <c r="M4536">
        <v>20.895</v>
      </c>
      <c r="N4536">
        <v>-663.99900000000002</v>
      </c>
      <c r="O4536" s="1" t="s">
        <v>40</v>
      </c>
      <c r="P4536" s="1" t="s">
        <v>4389</v>
      </c>
      <c r="Q4536" s="1" t="s">
        <v>4390</v>
      </c>
      <c r="R4536" s="1" t="s">
        <v>43</v>
      </c>
      <c r="S4536" s="1" t="s">
        <v>4391</v>
      </c>
      <c r="T4536" s="1" t="s">
        <v>4392</v>
      </c>
      <c r="U4536" s="2" t="s">
        <v>161</v>
      </c>
      <c r="V4536" s="2" t="s">
        <v>47</v>
      </c>
      <c r="W4536" s="2" t="s">
        <v>74</v>
      </c>
      <c r="X4536" s="2">
        <v>69.930000000000007</v>
      </c>
    </row>
    <row r="4537" spans="1:24" x14ac:dyDescent="0.3">
      <c r="A4537">
        <v>22379</v>
      </c>
      <c r="B4537" t="s">
        <v>10238</v>
      </c>
      <c r="C4537" s="3">
        <v>41142</v>
      </c>
      <c r="D4537" t="s">
        <v>25</v>
      </c>
      <c r="E4537">
        <v>6</v>
      </c>
      <c r="F4537" s="3">
        <f ca="1">41147+(RANDBETWEEN(1,10))</f>
        <v>41157</v>
      </c>
      <c r="G4537" t="s">
        <v>26</v>
      </c>
      <c r="H4537" t="s">
        <v>51</v>
      </c>
      <c r="I4537" t="s">
        <v>86</v>
      </c>
      <c r="J4537">
        <v>323.29500000000002</v>
      </c>
      <c r="K4537">
        <v>0.02</v>
      </c>
      <c r="L4537">
        <v>0.49</v>
      </c>
      <c r="M4537">
        <v>17.5</v>
      </c>
      <c r="N4537">
        <v>223.07355000000001</v>
      </c>
      <c r="O4537" s="1" t="s">
        <v>29</v>
      </c>
      <c r="P4537" s="1" t="s">
        <v>2598</v>
      </c>
      <c r="Q4537" s="1" t="s">
        <v>2599</v>
      </c>
      <c r="R4537" s="1" t="s">
        <v>460</v>
      </c>
      <c r="S4537" s="1" t="s">
        <v>2600</v>
      </c>
      <c r="T4537" s="1" t="s">
        <v>2601</v>
      </c>
      <c r="U4537" s="2" t="s">
        <v>830</v>
      </c>
      <c r="V4537" s="2" t="s">
        <v>83</v>
      </c>
      <c r="W4537" s="2" t="s">
        <v>178</v>
      </c>
      <c r="X4537" s="2">
        <v>50.19</v>
      </c>
    </row>
    <row r="4538" spans="1:24" x14ac:dyDescent="0.3">
      <c r="A4538">
        <v>22380</v>
      </c>
      <c r="B4538" t="s">
        <v>10239</v>
      </c>
      <c r="C4538" s="3">
        <v>41872</v>
      </c>
      <c r="D4538" t="s">
        <v>25</v>
      </c>
      <c r="E4538">
        <v>4</v>
      </c>
      <c r="F4538" s="3">
        <f ca="1">41872+(RANDBETWEEN(1,10))</f>
        <v>41876</v>
      </c>
      <c r="G4538" t="s">
        <v>26</v>
      </c>
      <c r="H4538" t="s">
        <v>96</v>
      </c>
      <c r="I4538" t="s">
        <v>86</v>
      </c>
      <c r="J4538">
        <v>18.305</v>
      </c>
      <c r="K4538">
        <v>0</v>
      </c>
      <c r="L4538">
        <v>0.38</v>
      </c>
      <c r="M4538">
        <v>2.4500000000000002</v>
      </c>
      <c r="N4538">
        <v>-1.3207599999999999</v>
      </c>
      <c r="O4538" s="1" t="s">
        <v>29</v>
      </c>
      <c r="P4538" s="1" t="s">
        <v>2598</v>
      </c>
      <c r="Q4538" s="1" t="s">
        <v>2599</v>
      </c>
      <c r="R4538" s="1" t="s">
        <v>460</v>
      </c>
      <c r="S4538" s="1" t="s">
        <v>2600</v>
      </c>
      <c r="T4538" s="1" t="s">
        <v>2601</v>
      </c>
      <c r="U4538" s="2" t="s">
        <v>293</v>
      </c>
      <c r="V4538" s="2" t="s">
        <v>47</v>
      </c>
      <c r="W4538" s="2" t="s">
        <v>176</v>
      </c>
      <c r="X4538" s="2">
        <v>3.99</v>
      </c>
    </row>
    <row r="4539" spans="1:24" x14ac:dyDescent="0.3">
      <c r="A4539">
        <v>22381</v>
      </c>
      <c r="B4539" t="s">
        <v>10240</v>
      </c>
      <c r="C4539" s="3">
        <v>41880</v>
      </c>
      <c r="D4539" t="s">
        <v>39</v>
      </c>
      <c r="E4539">
        <v>5</v>
      </c>
      <c r="F4539" s="3">
        <f ca="1">41883+(RANDBETWEEN(1,10))</f>
        <v>41885</v>
      </c>
      <c r="G4539" t="s">
        <v>76</v>
      </c>
      <c r="H4539" t="s">
        <v>258</v>
      </c>
      <c r="I4539" t="s">
        <v>97</v>
      </c>
      <c r="J4539">
        <v>5139.47</v>
      </c>
      <c r="K4539">
        <v>0.01</v>
      </c>
      <c r="L4539">
        <v>0.78</v>
      </c>
      <c r="M4539">
        <v>216.16</v>
      </c>
      <c r="N4539">
        <v>-1061.2297696000001</v>
      </c>
      <c r="O4539" s="1" t="s">
        <v>87</v>
      </c>
      <c r="P4539" s="1" t="s">
        <v>10241</v>
      </c>
      <c r="Q4539" s="1" t="s">
        <v>10242</v>
      </c>
      <c r="R4539" s="1" t="s">
        <v>90</v>
      </c>
      <c r="S4539" s="1" t="s">
        <v>1330</v>
      </c>
      <c r="T4539" s="1" t="s">
        <v>1331</v>
      </c>
      <c r="U4539" s="2" t="s">
        <v>3683</v>
      </c>
      <c r="V4539" s="2" t="s">
        <v>83</v>
      </c>
      <c r="W4539" s="2" t="s">
        <v>263</v>
      </c>
      <c r="X4539" s="2">
        <v>1003.975</v>
      </c>
    </row>
    <row r="4540" spans="1:24" x14ac:dyDescent="0.3">
      <c r="A4540">
        <v>22382</v>
      </c>
      <c r="B4540" t="s">
        <v>10243</v>
      </c>
      <c r="C4540" s="3">
        <v>41541</v>
      </c>
      <c r="D4540" t="s">
        <v>25</v>
      </c>
      <c r="E4540">
        <v>20</v>
      </c>
      <c r="F4540" s="3">
        <f ca="1">41545+(RANDBETWEEN(1,10))</f>
        <v>41553</v>
      </c>
      <c r="G4540" t="s">
        <v>26</v>
      </c>
      <c r="H4540" t="s">
        <v>51</v>
      </c>
      <c r="I4540" t="s">
        <v>97</v>
      </c>
      <c r="J4540">
        <v>2216.585</v>
      </c>
      <c r="K4540">
        <v>0.06</v>
      </c>
      <c r="L4540">
        <v>0.42</v>
      </c>
      <c r="M4540">
        <v>6.9649999999999999</v>
      </c>
      <c r="N4540">
        <v>1529.4436499999999</v>
      </c>
      <c r="O4540" s="1" t="s">
        <v>40</v>
      </c>
      <c r="P4540" s="1" t="s">
        <v>9885</v>
      </c>
      <c r="Q4540" s="1" t="s">
        <v>9886</v>
      </c>
      <c r="R4540" s="1" t="s">
        <v>220</v>
      </c>
      <c r="S4540" s="1" t="s">
        <v>9887</v>
      </c>
      <c r="T4540" s="1" t="s">
        <v>9888</v>
      </c>
      <c r="U4540" s="2" t="s">
        <v>1226</v>
      </c>
      <c r="V4540" s="2" t="s">
        <v>36</v>
      </c>
      <c r="W4540" s="2" t="s">
        <v>60</v>
      </c>
      <c r="X4540" s="2">
        <v>111.23</v>
      </c>
    </row>
    <row r="4541" spans="1:24" x14ac:dyDescent="0.3">
      <c r="A4541">
        <v>22383</v>
      </c>
      <c r="B4541" t="s">
        <v>10243</v>
      </c>
      <c r="C4541" s="3">
        <v>41541</v>
      </c>
      <c r="D4541" t="s">
        <v>25</v>
      </c>
      <c r="E4541">
        <v>1</v>
      </c>
      <c r="F4541" s="3">
        <f ca="1">41543+(RANDBETWEEN(1,10))</f>
        <v>41552</v>
      </c>
      <c r="G4541" t="s">
        <v>26</v>
      </c>
      <c r="H4541" t="s">
        <v>27</v>
      </c>
      <c r="I4541" t="s">
        <v>97</v>
      </c>
      <c r="J4541">
        <v>22.574999999999999</v>
      </c>
      <c r="K4541">
        <v>0.06</v>
      </c>
      <c r="L4541">
        <v>0.38</v>
      </c>
      <c r="M4541">
        <v>17.57</v>
      </c>
      <c r="N4541">
        <v>-39.76</v>
      </c>
      <c r="O4541" s="1" t="s">
        <v>40</v>
      </c>
      <c r="P4541" s="1" t="s">
        <v>9885</v>
      </c>
      <c r="Q4541" s="1" t="s">
        <v>9886</v>
      </c>
      <c r="R4541" s="1" t="s">
        <v>220</v>
      </c>
      <c r="S4541" s="1" t="s">
        <v>9887</v>
      </c>
      <c r="T4541" s="1" t="s">
        <v>9888</v>
      </c>
      <c r="U4541" s="2" t="s">
        <v>10244</v>
      </c>
      <c r="V4541" s="2" t="s">
        <v>47</v>
      </c>
      <c r="W4541" s="2" t="s">
        <v>74</v>
      </c>
      <c r="X4541" s="2">
        <v>17.43</v>
      </c>
    </row>
    <row r="4542" spans="1:24" x14ac:dyDescent="0.3">
      <c r="A4542">
        <v>22384</v>
      </c>
      <c r="B4542" t="s">
        <v>10243</v>
      </c>
      <c r="C4542" s="3">
        <v>41541</v>
      </c>
      <c r="D4542" t="s">
        <v>25</v>
      </c>
      <c r="E4542">
        <v>17</v>
      </c>
      <c r="F4542" s="3">
        <f ca="1">41545+(RANDBETWEEN(1,10))</f>
        <v>41550</v>
      </c>
      <c r="G4542" t="s">
        <v>26</v>
      </c>
      <c r="H4542" t="s">
        <v>51</v>
      </c>
      <c r="I4542" t="s">
        <v>97</v>
      </c>
      <c r="J4542">
        <v>1003.5549999999999</v>
      </c>
      <c r="K4542">
        <v>0.06</v>
      </c>
      <c r="L4542">
        <v>0.56000000000000005</v>
      </c>
      <c r="M4542">
        <v>31.465</v>
      </c>
      <c r="N4542">
        <v>-319.58499999999998</v>
      </c>
      <c r="O4542" s="1" t="s">
        <v>40</v>
      </c>
      <c r="P4542" s="1" t="s">
        <v>9885</v>
      </c>
      <c r="Q4542" s="1" t="s">
        <v>9886</v>
      </c>
      <c r="R4542" s="1" t="s">
        <v>220</v>
      </c>
      <c r="S4542" s="1" t="s">
        <v>9887</v>
      </c>
      <c r="T4542" s="1" t="s">
        <v>9888</v>
      </c>
      <c r="U4542" s="2" t="s">
        <v>4099</v>
      </c>
      <c r="V4542" s="2" t="s">
        <v>47</v>
      </c>
      <c r="W4542" s="2" t="s">
        <v>104</v>
      </c>
      <c r="X4542" s="2">
        <v>59.465000000000003</v>
      </c>
    </row>
    <row r="4543" spans="1:24" x14ac:dyDescent="0.3">
      <c r="A4543">
        <v>22385</v>
      </c>
      <c r="B4543" t="s">
        <v>10243</v>
      </c>
      <c r="C4543" s="3">
        <v>41541</v>
      </c>
      <c r="D4543" t="s">
        <v>25</v>
      </c>
      <c r="E4543">
        <v>9</v>
      </c>
      <c r="F4543" s="3">
        <f ca="1">41550+(RANDBETWEEN(1,10))</f>
        <v>41558</v>
      </c>
      <c r="G4543" t="s">
        <v>26</v>
      </c>
      <c r="H4543" t="s">
        <v>63</v>
      </c>
      <c r="I4543" t="s">
        <v>97</v>
      </c>
      <c r="J4543">
        <v>7039.3050000000003</v>
      </c>
      <c r="K4543">
        <v>0</v>
      </c>
      <c r="L4543">
        <v>0.79</v>
      </c>
      <c r="M4543">
        <v>241.5</v>
      </c>
      <c r="N4543">
        <v>-2192.5749999999998</v>
      </c>
      <c r="O4543" s="1" t="s">
        <v>40</v>
      </c>
      <c r="P4543" s="1" t="s">
        <v>9885</v>
      </c>
      <c r="Q4543" s="1" t="s">
        <v>9886</v>
      </c>
      <c r="R4543" s="1" t="s">
        <v>220</v>
      </c>
      <c r="S4543" s="1" t="s">
        <v>9887</v>
      </c>
      <c r="T4543" s="1" t="s">
        <v>9888</v>
      </c>
      <c r="U4543" s="2" t="s">
        <v>3449</v>
      </c>
      <c r="V4543" s="2" t="s">
        <v>83</v>
      </c>
      <c r="W4543" s="2" t="s">
        <v>263</v>
      </c>
      <c r="X4543" s="2">
        <v>732.79499999999996</v>
      </c>
    </row>
    <row r="4544" spans="1:24" x14ac:dyDescent="0.3">
      <c r="A4544">
        <v>22386</v>
      </c>
      <c r="B4544" t="s">
        <v>10245</v>
      </c>
      <c r="C4544" s="3">
        <v>41484</v>
      </c>
      <c r="D4544" t="s">
        <v>50</v>
      </c>
      <c r="E4544">
        <v>4</v>
      </c>
      <c r="F4544" s="3">
        <f ca="1">41484+(RANDBETWEEN(1,10))</f>
        <v>41491</v>
      </c>
      <c r="G4544" t="s">
        <v>26</v>
      </c>
      <c r="H4544" t="s">
        <v>27</v>
      </c>
      <c r="I4544" t="s">
        <v>86</v>
      </c>
      <c r="J4544">
        <v>635.14499999999998</v>
      </c>
      <c r="K4544">
        <v>0</v>
      </c>
      <c r="L4544">
        <v>0.36</v>
      </c>
      <c r="M4544">
        <v>10.465</v>
      </c>
      <c r="N4544">
        <v>438.25004999999999</v>
      </c>
      <c r="O4544" s="1" t="s">
        <v>87</v>
      </c>
      <c r="P4544" s="1" t="s">
        <v>10246</v>
      </c>
      <c r="Q4544" s="1" t="s">
        <v>10247</v>
      </c>
      <c r="R4544" s="1" t="s">
        <v>497</v>
      </c>
      <c r="S4544" s="1" t="s">
        <v>1105</v>
      </c>
      <c r="T4544" s="1" t="s">
        <v>1106</v>
      </c>
      <c r="U4544" s="2" t="s">
        <v>4432</v>
      </c>
      <c r="V4544" s="2" t="s">
        <v>47</v>
      </c>
      <c r="W4544" s="2" t="s">
        <v>111</v>
      </c>
      <c r="X4544" s="2">
        <v>149.80000000000001</v>
      </c>
    </row>
    <row r="4545" spans="1:24" x14ac:dyDescent="0.3">
      <c r="A4545">
        <v>22387</v>
      </c>
      <c r="B4545" t="s">
        <v>10248</v>
      </c>
      <c r="C4545" s="3">
        <v>41143</v>
      </c>
      <c r="D4545" t="s">
        <v>148</v>
      </c>
      <c r="E4545">
        <v>9</v>
      </c>
      <c r="F4545" s="3">
        <f ca="1">41145+(RANDBETWEEN(1,10))</f>
        <v>41149</v>
      </c>
      <c r="G4545" t="s">
        <v>156</v>
      </c>
      <c r="H4545" t="s">
        <v>27</v>
      </c>
      <c r="I4545" t="s">
        <v>28</v>
      </c>
      <c r="J4545">
        <v>11268.04</v>
      </c>
      <c r="K4545">
        <v>0.09</v>
      </c>
      <c r="L4545">
        <v>0.56999999999999995</v>
      </c>
      <c r="M4545">
        <v>69.965000000000003</v>
      </c>
      <c r="N4545">
        <v>7774.9476000000004</v>
      </c>
      <c r="O4545" s="1" t="s">
        <v>87</v>
      </c>
      <c r="P4545" s="1" t="s">
        <v>10249</v>
      </c>
      <c r="Q4545" s="1" t="s">
        <v>10250</v>
      </c>
      <c r="R4545" s="1" t="s">
        <v>90</v>
      </c>
      <c r="S4545" s="1" t="s">
        <v>10251</v>
      </c>
      <c r="T4545" s="1" t="s">
        <v>10252</v>
      </c>
      <c r="U4545" s="2" t="s">
        <v>572</v>
      </c>
      <c r="V4545" s="2" t="s">
        <v>47</v>
      </c>
      <c r="W4545" s="2" t="s">
        <v>71</v>
      </c>
      <c r="X4545" s="2">
        <v>1271.375</v>
      </c>
    </row>
    <row r="4546" spans="1:24" x14ac:dyDescent="0.3">
      <c r="A4546">
        <v>22388</v>
      </c>
      <c r="B4546" t="s">
        <v>10253</v>
      </c>
      <c r="C4546" s="3">
        <v>41149</v>
      </c>
      <c r="D4546" t="s">
        <v>25</v>
      </c>
      <c r="E4546">
        <v>9</v>
      </c>
      <c r="F4546" s="3">
        <f ca="1">41154+(RANDBETWEEN(1,10))</f>
        <v>41155</v>
      </c>
      <c r="G4546" t="s">
        <v>26</v>
      </c>
      <c r="H4546" t="s">
        <v>51</v>
      </c>
      <c r="I4546" t="s">
        <v>28</v>
      </c>
      <c r="J4546">
        <v>1067.71</v>
      </c>
      <c r="K4546">
        <v>0.05</v>
      </c>
      <c r="L4546">
        <v>0.45</v>
      </c>
      <c r="M4546">
        <v>6.9649999999999999</v>
      </c>
      <c r="N4546">
        <v>736.71990000000005</v>
      </c>
      <c r="O4546" s="1" t="s">
        <v>87</v>
      </c>
      <c r="P4546" s="1" t="s">
        <v>10241</v>
      </c>
      <c r="Q4546" s="1" t="s">
        <v>10242</v>
      </c>
      <c r="R4546" s="1" t="s">
        <v>90</v>
      </c>
      <c r="S4546" s="1" t="s">
        <v>1330</v>
      </c>
      <c r="T4546" s="1" t="s">
        <v>1331</v>
      </c>
      <c r="U4546" s="2" t="s">
        <v>2969</v>
      </c>
      <c r="V4546" s="2" t="s">
        <v>36</v>
      </c>
      <c r="W4546" s="2" t="s">
        <v>60</v>
      </c>
      <c r="X4546" s="2">
        <v>118.93</v>
      </c>
    </row>
    <row r="4547" spans="1:24" x14ac:dyDescent="0.3">
      <c r="A4547">
        <v>22389</v>
      </c>
      <c r="B4547" t="s">
        <v>10254</v>
      </c>
      <c r="C4547" s="3">
        <v>41915</v>
      </c>
      <c r="D4547" t="s">
        <v>39</v>
      </c>
      <c r="E4547">
        <v>8</v>
      </c>
      <c r="F4547" s="3">
        <f ca="1">41916+(RANDBETWEEN(1,10))</f>
        <v>41925</v>
      </c>
      <c r="G4547" t="s">
        <v>76</v>
      </c>
      <c r="H4547" t="s">
        <v>258</v>
      </c>
      <c r="I4547" t="s">
        <v>28</v>
      </c>
      <c r="J4547">
        <v>11504.08</v>
      </c>
      <c r="K4547">
        <v>0.04</v>
      </c>
      <c r="L4547">
        <v>0.56000000000000005</v>
      </c>
      <c r="M4547">
        <v>42.21</v>
      </c>
      <c r="N4547">
        <v>4189.6750000000002</v>
      </c>
      <c r="O4547" s="1" t="s">
        <v>87</v>
      </c>
      <c r="P4547" s="1" t="s">
        <v>8375</v>
      </c>
      <c r="Q4547" s="1" t="s">
        <v>8376</v>
      </c>
      <c r="R4547" s="1" t="s">
        <v>646</v>
      </c>
      <c r="S4547" s="1" t="s">
        <v>8377</v>
      </c>
      <c r="T4547" s="1" t="s">
        <v>8378</v>
      </c>
      <c r="U4547" s="2" t="s">
        <v>1633</v>
      </c>
      <c r="V4547" s="2" t="s">
        <v>36</v>
      </c>
      <c r="W4547" s="2" t="s">
        <v>142</v>
      </c>
      <c r="X4547" s="2">
        <v>1399.93</v>
      </c>
    </row>
    <row r="4548" spans="1:24" x14ac:dyDescent="0.3">
      <c r="A4548">
        <v>22390</v>
      </c>
      <c r="B4548" t="s">
        <v>10255</v>
      </c>
      <c r="C4548" s="3">
        <v>41966</v>
      </c>
      <c r="D4548" t="s">
        <v>148</v>
      </c>
      <c r="E4548">
        <v>19</v>
      </c>
      <c r="F4548" s="3">
        <f ca="1">41967+(RANDBETWEEN(1,10))</f>
        <v>41977</v>
      </c>
      <c r="G4548" t="s">
        <v>76</v>
      </c>
      <c r="H4548" t="s">
        <v>77</v>
      </c>
      <c r="I4548" t="s">
        <v>28</v>
      </c>
      <c r="J4548">
        <v>21554.435000000001</v>
      </c>
      <c r="K4548">
        <v>0</v>
      </c>
      <c r="L4548">
        <v>0.56999999999999995</v>
      </c>
      <c r="M4548">
        <v>304.53500000000003</v>
      </c>
      <c r="N4548">
        <v>6914.0332799999996</v>
      </c>
      <c r="O4548" s="1" t="s">
        <v>40</v>
      </c>
      <c r="P4548" s="1" t="s">
        <v>5465</v>
      </c>
      <c r="Q4548" s="1" t="s">
        <v>5466</v>
      </c>
      <c r="R4548" s="1" t="s">
        <v>43</v>
      </c>
      <c r="S4548" s="1" t="s">
        <v>5467</v>
      </c>
      <c r="T4548" s="1" t="s">
        <v>5468</v>
      </c>
      <c r="U4548" s="2" t="s">
        <v>10256</v>
      </c>
      <c r="V4548" s="2" t="s">
        <v>83</v>
      </c>
      <c r="W4548" s="2" t="s">
        <v>84</v>
      </c>
      <c r="X4548" s="2">
        <v>1046.675</v>
      </c>
    </row>
    <row r="4549" spans="1:24" x14ac:dyDescent="0.3">
      <c r="A4549">
        <v>22391</v>
      </c>
      <c r="B4549" t="s">
        <v>10255</v>
      </c>
      <c r="C4549" s="3">
        <v>41966</v>
      </c>
      <c r="D4549" t="s">
        <v>148</v>
      </c>
      <c r="E4549">
        <v>3</v>
      </c>
      <c r="F4549" s="3">
        <f ca="1">41968+(RANDBETWEEN(1,10))</f>
        <v>41971</v>
      </c>
      <c r="G4549" t="s">
        <v>76</v>
      </c>
      <c r="H4549" t="s">
        <v>77</v>
      </c>
      <c r="I4549" t="s">
        <v>28</v>
      </c>
      <c r="J4549">
        <v>3120.6350000000002</v>
      </c>
      <c r="K4549">
        <v>0.1</v>
      </c>
      <c r="L4549">
        <v>0.56000000000000005</v>
      </c>
      <c r="M4549">
        <v>170.8</v>
      </c>
      <c r="N4549">
        <v>533.25663999999995</v>
      </c>
      <c r="O4549" s="1" t="s">
        <v>40</v>
      </c>
      <c r="P4549" s="1" t="s">
        <v>5465</v>
      </c>
      <c r="Q4549" s="1" t="s">
        <v>5466</v>
      </c>
      <c r="R4549" s="1" t="s">
        <v>43</v>
      </c>
      <c r="S4549" s="1" t="s">
        <v>5467</v>
      </c>
      <c r="T4549" s="1" t="s">
        <v>5468</v>
      </c>
      <c r="U4549" s="2" t="s">
        <v>2173</v>
      </c>
      <c r="V4549" s="2" t="s">
        <v>83</v>
      </c>
      <c r="W4549" s="2" t="s">
        <v>84</v>
      </c>
      <c r="X4549" s="2">
        <v>1021.0549999999999</v>
      </c>
    </row>
    <row r="4550" spans="1:24" x14ac:dyDescent="0.3">
      <c r="A4550">
        <v>22392</v>
      </c>
      <c r="B4550" t="s">
        <v>10255</v>
      </c>
      <c r="C4550" s="3">
        <v>41966</v>
      </c>
      <c r="D4550" t="s">
        <v>148</v>
      </c>
      <c r="E4550">
        <v>5</v>
      </c>
      <c r="F4550" s="3">
        <f ca="1">41968+(RANDBETWEEN(1,10))</f>
        <v>41969</v>
      </c>
      <c r="G4550" t="s">
        <v>26</v>
      </c>
      <c r="H4550" t="s">
        <v>27</v>
      </c>
      <c r="I4550" t="s">
        <v>28</v>
      </c>
      <c r="J4550">
        <v>577.64</v>
      </c>
      <c r="K4550">
        <v>0.03</v>
      </c>
      <c r="L4550">
        <v>0.74</v>
      </c>
      <c r="M4550">
        <v>30.274999999999999</v>
      </c>
      <c r="N4550">
        <v>182.60256000000001</v>
      </c>
      <c r="O4550" s="1" t="s">
        <v>40</v>
      </c>
      <c r="P4550" s="1" t="s">
        <v>5465</v>
      </c>
      <c r="Q4550" s="1" t="s">
        <v>5466</v>
      </c>
      <c r="R4550" s="1" t="s">
        <v>43</v>
      </c>
      <c r="S4550" s="1" t="s">
        <v>5467</v>
      </c>
      <c r="T4550" s="1" t="s">
        <v>5468</v>
      </c>
      <c r="U4550" s="2" t="s">
        <v>344</v>
      </c>
      <c r="V4550" s="2" t="s">
        <v>36</v>
      </c>
      <c r="W4550" s="2" t="s">
        <v>60</v>
      </c>
      <c r="X4550" s="2">
        <v>106.47</v>
      </c>
    </row>
    <row r="4551" spans="1:24" x14ac:dyDescent="0.3">
      <c r="A4551">
        <v>22393</v>
      </c>
      <c r="B4551" t="s">
        <v>10257</v>
      </c>
      <c r="C4551" s="3">
        <v>41384</v>
      </c>
      <c r="D4551" t="s">
        <v>25</v>
      </c>
      <c r="E4551">
        <v>1</v>
      </c>
      <c r="F4551" s="3">
        <f ca="1">41391+(RANDBETWEEN(1,10))</f>
        <v>41400</v>
      </c>
      <c r="G4551" t="s">
        <v>26</v>
      </c>
      <c r="H4551" t="s">
        <v>63</v>
      </c>
      <c r="I4551" t="s">
        <v>86</v>
      </c>
      <c r="J4551">
        <v>37.869999999999997</v>
      </c>
      <c r="K4551">
        <v>0.03</v>
      </c>
      <c r="L4551">
        <v>0.59</v>
      </c>
      <c r="M4551">
        <v>35.56</v>
      </c>
      <c r="N4551">
        <v>-1.26</v>
      </c>
      <c r="O4551" s="1" t="s">
        <v>64</v>
      </c>
      <c r="P4551" s="1" t="s">
        <v>1765</v>
      </c>
      <c r="Q4551" s="1" t="s">
        <v>1766</v>
      </c>
      <c r="R4551" s="1" t="s">
        <v>128</v>
      </c>
      <c r="S4551" s="1" t="s">
        <v>1767</v>
      </c>
      <c r="T4551" s="1" t="s">
        <v>1768</v>
      </c>
      <c r="U4551" s="2" t="s">
        <v>4990</v>
      </c>
      <c r="V4551" s="2" t="s">
        <v>83</v>
      </c>
      <c r="W4551" s="2" t="s">
        <v>178</v>
      </c>
      <c r="X4551" s="2">
        <v>29.295000000000002</v>
      </c>
    </row>
    <row r="4552" spans="1:24" x14ac:dyDescent="0.3">
      <c r="A4552">
        <v>22394</v>
      </c>
      <c r="B4552" t="s">
        <v>10258</v>
      </c>
      <c r="C4552" s="3">
        <v>41869</v>
      </c>
      <c r="D4552" t="s">
        <v>25</v>
      </c>
      <c r="E4552">
        <v>20</v>
      </c>
      <c r="F4552" s="3">
        <f ca="1">41876+(RANDBETWEEN(1,10))</f>
        <v>41884</v>
      </c>
      <c r="G4552" t="s">
        <v>26</v>
      </c>
      <c r="H4552" t="s">
        <v>27</v>
      </c>
      <c r="I4552" t="s">
        <v>28</v>
      </c>
      <c r="J4552">
        <v>1220.415</v>
      </c>
      <c r="K4552">
        <v>0.08</v>
      </c>
      <c r="L4552">
        <v>0.56999999999999995</v>
      </c>
      <c r="M4552">
        <v>30.274999999999999</v>
      </c>
      <c r="N4552">
        <v>-138.4572</v>
      </c>
      <c r="O4552" s="1" t="s">
        <v>29</v>
      </c>
      <c r="P4552" s="1" t="s">
        <v>7710</v>
      </c>
      <c r="Q4552" s="1" t="s">
        <v>7711</v>
      </c>
      <c r="R4552" s="1" t="s">
        <v>32</v>
      </c>
      <c r="S4552" s="1" t="s">
        <v>7712</v>
      </c>
      <c r="T4552" s="1" t="s">
        <v>7713</v>
      </c>
      <c r="U4552" s="2" t="s">
        <v>10259</v>
      </c>
      <c r="V4552" s="2" t="s">
        <v>47</v>
      </c>
      <c r="W4552" s="2" t="s">
        <v>104</v>
      </c>
      <c r="X4552" s="2">
        <v>62.965000000000003</v>
      </c>
    </row>
    <row r="4553" spans="1:24" x14ac:dyDescent="0.3">
      <c r="A4553">
        <v>22395</v>
      </c>
      <c r="B4553" t="s">
        <v>10258</v>
      </c>
      <c r="C4553" s="3">
        <v>41869</v>
      </c>
      <c r="D4553" t="s">
        <v>25</v>
      </c>
      <c r="E4553">
        <v>22</v>
      </c>
      <c r="F4553" s="3">
        <f ca="1">41878+(RANDBETWEEN(1,10))</f>
        <v>41882</v>
      </c>
      <c r="G4553" t="s">
        <v>26</v>
      </c>
      <c r="H4553" t="s">
        <v>27</v>
      </c>
      <c r="I4553" t="s">
        <v>28</v>
      </c>
      <c r="J4553">
        <v>2764.23</v>
      </c>
      <c r="K4553">
        <v>0.01</v>
      </c>
      <c r="L4553">
        <v>0.38</v>
      </c>
      <c r="M4553">
        <v>17.22</v>
      </c>
      <c r="N4553">
        <v>1907.3187</v>
      </c>
      <c r="O4553" s="1" t="s">
        <v>53</v>
      </c>
      <c r="P4553" s="1" t="s">
        <v>10260</v>
      </c>
      <c r="Q4553" s="1" t="s">
        <v>10261</v>
      </c>
      <c r="R4553" s="1" t="s">
        <v>56</v>
      </c>
      <c r="S4553" s="1" t="s">
        <v>10262</v>
      </c>
      <c r="T4553" s="1" t="s">
        <v>5360</v>
      </c>
      <c r="U4553" s="2" t="s">
        <v>6817</v>
      </c>
      <c r="V4553" s="2" t="s">
        <v>47</v>
      </c>
      <c r="W4553" s="2" t="s">
        <v>74</v>
      </c>
      <c r="X4553" s="2">
        <v>124.04</v>
      </c>
    </row>
    <row r="4554" spans="1:24" x14ac:dyDescent="0.3">
      <c r="A4554">
        <v>22396</v>
      </c>
      <c r="B4554" t="s">
        <v>10263</v>
      </c>
      <c r="C4554" s="3">
        <v>41200</v>
      </c>
      <c r="D4554" t="s">
        <v>25</v>
      </c>
      <c r="E4554">
        <v>14</v>
      </c>
      <c r="F4554" s="3">
        <f ca="1">41202+(RANDBETWEEN(1,10))</f>
        <v>41205</v>
      </c>
      <c r="G4554" t="s">
        <v>26</v>
      </c>
      <c r="H4554" t="s">
        <v>27</v>
      </c>
      <c r="I4554" t="s">
        <v>52</v>
      </c>
      <c r="J4554">
        <v>173.53</v>
      </c>
      <c r="K4554">
        <v>0.06</v>
      </c>
      <c r="L4554">
        <v>0.37</v>
      </c>
      <c r="M4554">
        <v>1.75</v>
      </c>
      <c r="N4554">
        <v>119.73569999999999</v>
      </c>
      <c r="O4554" s="1" t="s">
        <v>40</v>
      </c>
      <c r="P4554" s="1" t="s">
        <v>973</v>
      </c>
      <c r="Q4554" s="1" t="s">
        <v>974</v>
      </c>
      <c r="R4554" s="1" t="s">
        <v>43</v>
      </c>
      <c r="S4554" s="1" t="s">
        <v>975</v>
      </c>
      <c r="T4554" s="1" t="s">
        <v>976</v>
      </c>
      <c r="U4554" s="2" t="s">
        <v>2907</v>
      </c>
      <c r="V4554" s="2" t="s">
        <v>47</v>
      </c>
      <c r="W4554" s="2" t="s">
        <v>203</v>
      </c>
      <c r="X4554" s="2">
        <v>13.125</v>
      </c>
    </row>
    <row r="4555" spans="1:24" x14ac:dyDescent="0.3">
      <c r="A4555">
        <v>22397</v>
      </c>
      <c r="B4555" t="s">
        <v>10264</v>
      </c>
      <c r="C4555" s="3">
        <v>41852</v>
      </c>
      <c r="D4555" t="s">
        <v>39</v>
      </c>
      <c r="E4555">
        <v>21</v>
      </c>
      <c r="F4555" s="3">
        <f ca="1">41854+(RANDBETWEEN(1,10))</f>
        <v>41856</v>
      </c>
      <c r="G4555" t="s">
        <v>26</v>
      </c>
      <c r="H4555" t="s">
        <v>51</v>
      </c>
      <c r="I4555" t="s">
        <v>86</v>
      </c>
      <c r="J4555">
        <v>8333.5349999999999</v>
      </c>
      <c r="K4555">
        <v>0.04</v>
      </c>
      <c r="L4555">
        <v>0.49</v>
      </c>
      <c r="M4555">
        <v>6.9649999999999999</v>
      </c>
      <c r="N4555">
        <v>60.375</v>
      </c>
      <c r="O4555" s="1" t="s">
        <v>53</v>
      </c>
      <c r="P4555" s="1" t="s">
        <v>9651</v>
      </c>
      <c r="Q4555" s="1" t="s">
        <v>9652</v>
      </c>
      <c r="R4555" s="1" t="s">
        <v>440</v>
      </c>
      <c r="S4555" s="1" t="s">
        <v>9653</v>
      </c>
      <c r="T4555" s="1" t="s">
        <v>9654</v>
      </c>
      <c r="U4555" s="2" t="s">
        <v>436</v>
      </c>
      <c r="V4555" s="2" t="s">
        <v>36</v>
      </c>
      <c r="W4555" s="2" t="s">
        <v>60</v>
      </c>
      <c r="X4555" s="2">
        <v>405.26499999999999</v>
      </c>
    </row>
    <row r="4556" spans="1:24" x14ac:dyDescent="0.3">
      <c r="A4556">
        <v>22398</v>
      </c>
      <c r="B4556" t="s">
        <v>10265</v>
      </c>
      <c r="C4556" s="3">
        <v>41353</v>
      </c>
      <c r="D4556" t="s">
        <v>25</v>
      </c>
      <c r="E4556">
        <v>14</v>
      </c>
      <c r="F4556" s="3">
        <f ca="1">41355+(RANDBETWEEN(1,10))</f>
        <v>41364</v>
      </c>
      <c r="G4556" t="s">
        <v>156</v>
      </c>
      <c r="H4556" t="s">
        <v>27</v>
      </c>
      <c r="I4556" t="s">
        <v>97</v>
      </c>
      <c r="J4556">
        <v>300.02</v>
      </c>
      <c r="K4556">
        <v>0.09</v>
      </c>
      <c r="L4556">
        <v>0.39</v>
      </c>
      <c r="M4556">
        <v>5.2149999999999999</v>
      </c>
      <c r="N4556">
        <v>207.0138</v>
      </c>
      <c r="O4556" s="1" t="s">
        <v>87</v>
      </c>
      <c r="P4556" s="1" t="s">
        <v>10266</v>
      </c>
      <c r="Q4556" s="1" t="s">
        <v>10267</v>
      </c>
      <c r="R4556" s="1" t="s">
        <v>90</v>
      </c>
      <c r="S4556" s="1" t="s">
        <v>2953</v>
      </c>
      <c r="T4556" s="1" t="s">
        <v>3586</v>
      </c>
      <c r="U4556" s="2" t="s">
        <v>1062</v>
      </c>
      <c r="V4556" s="2" t="s">
        <v>47</v>
      </c>
      <c r="W4556" s="2" t="s">
        <v>111</v>
      </c>
      <c r="X4556" s="2">
        <v>20.93</v>
      </c>
    </row>
    <row r="4557" spans="1:24" x14ac:dyDescent="0.3">
      <c r="A4557">
        <v>22399</v>
      </c>
      <c r="B4557" t="s">
        <v>10268</v>
      </c>
      <c r="C4557" s="3">
        <v>41061</v>
      </c>
      <c r="D4557" t="s">
        <v>39</v>
      </c>
      <c r="E4557">
        <v>1</v>
      </c>
      <c r="F4557" s="3">
        <f ca="1">41062+(RANDBETWEEN(1,10))</f>
        <v>41070</v>
      </c>
      <c r="G4557" t="s">
        <v>26</v>
      </c>
      <c r="H4557" t="s">
        <v>96</v>
      </c>
      <c r="I4557" t="s">
        <v>28</v>
      </c>
      <c r="J4557">
        <v>23.625</v>
      </c>
      <c r="K4557">
        <v>0.04</v>
      </c>
      <c r="L4557">
        <v>0.51</v>
      </c>
      <c r="M4557">
        <v>5.8449999999999998</v>
      </c>
      <c r="N4557">
        <v>383.31299999999999</v>
      </c>
      <c r="O4557" s="1" t="s">
        <v>87</v>
      </c>
      <c r="P4557" s="1" t="s">
        <v>10131</v>
      </c>
      <c r="Q4557" s="1" t="s">
        <v>10132</v>
      </c>
      <c r="R4557" s="1" t="s">
        <v>646</v>
      </c>
      <c r="S4557" s="1" t="s">
        <v>10133</v>
      </c>
      <c r="T4557" s="1" t="s">
        <v>10134</v>
      </c>
      <c r="U4557" s="2" t="s">
        <v>9962</v>
      </c>
      <c r="V4557" s="2" t="s">
        <v>47</v>
      </c>
      <c r="W4557" s="2" t="s">
        <v>104</v>
      </c>
      <c r="X4557" s="2">
        <v>20.93</v>
      </c>
    </row>
    <row r="4558" spans="1:24" x14ac:dyDescent="0.3">
      <c r="A4558">
        <v>224</v>
      </c>
      <c r="B4558" t="s">
        <v>10269</v>
      </c>
      <c r="C4558" s="3">
        <v>41926</v>
      </c>
      <c r="D4558" t="s">
        <v>39</v>
      </c>
      <c r="E4558">
        <v>84</v>
      </c>
      <c r="F4558" s="3">
        <f ca="1">41929+(RANDBETWEEN(1,10))</f>
        <v>41937</v>
      </c>
      <c r="G4558" t="s">
        <v>26</v>
      </c>
      <c r="H4558" t="s">
        <v>27</v>
      </c>
      <c r="I4558" t="s">
        <v>52</v>
      </c>
      <c r="J4558">
        <v>15699.39</v>
      </c>
      <c r="K4558">
        <v>7.0000000000000007E-2</v>
      </c>
      <c r="L4558">
        <v>0.59</v>
      </c>
      <c r="M4558">
        <v>31.465</v>
      </c>
      <c r="N4558">
        <v>837.9</v>
      </c>
      <c r="O4558" s="1" t="s">
        <v>53</v>
      </c>
      <c r="P4558" s="1" t="s">
        <v>10270</v>
      </c>
      <c r="Q4558" s="1" t="s">
        <v>10271</v>
      </c>
      <c r="R4558" s="1" t="s">
        <v>100</v>
      </c>
      <c r="S4558" s="1" t="s">
        <v>101</v>
      </c>
      <c r="T4558" s="1" t="s">
        <v>10272</v>
      </c>
      <c r="U4558" s="2" t="s">
        <v>1359</v>
      </c>
      <c r="V4558" s="2" t="s">
        <v>36</v>
      </c>
      <c r="W4558" s="2" t="s">
        <v>37</v>
      </c>
      <c r="X4558" s="2">
        <v>230.965</v>
      </c>
    </row>
    <row r="4559" spans="1:24" x14ac:dyDescent="0.3">
      <c r="A4559">
        <v>22400</v>
      </c>
      <c r="B4559" t="s">
        <v>10268</v>
      </c>
      <c r="C4559" s="3">
        <v>41061</v>
      </c>
      <c r="D4559" t="s">
        <v>39</v>
      </c>
      <c r="E4559">
        <v>14</v>
      </c>
      <c r="F4559" s="3">
        <f ca="1">41062+(RANDBETWEEN(1,10))</f>
        <v>41067</v>
      </c>
      <c r="G4559" t="s">
        <v>26</v>
      </c>
      <c r="H4559" t="s">
        <v>27</v>
      </c>
      <c r="I4559" t="s">
        <v>28</v>
      </c>
      <c r="J4559">
        <v>697.13</v>
      </c>
      <c r="K4559">
        <v>0.02</v>
      </c>
      <c r="L4559">
        <v>0.56999999999999995</v>
      </c>
      <c r="M4559">
        <v>19.25</v>
      </c>
      <c r="N4559">
        <v>938.952</v>
      </c>
      <c r="O4559" s="1" t="s">
        <v>87</v>
      </c>
      <c r="P4559" s="1" t="s">
        <v>10131</v>
      </c>
      <c r="Q4559" s="1" t="s">
        <v>10132</v>
      </c>
      <c r="R4559" s="1" t="s">
        <v>646</v>
      </c>
      <c r="S4559" s="1" t="s">
        <v>10133</v>
      </c>
      <c r="T4559" s="1" t="s">
        <v>10134</v>
      </c>
      <c r="U4559" s="2" t="s">
        <v>3384</v>
      </c>
      <c r="V4559" s="2" t="s">
        <v>47</v>
      </c>
      <c r="W4559" s="2" t="s">
        <v>119</v>
      </c>
      <c r="X4559" s="2">
        <v>47.005000000000003</v>
      </c>
    </row>
    <row r="4560" spans="1:24" x14ac:dyDescent="0.3">
      <c r="A4560">
        <v>22401</v>
      </c>
      <c r="B4560" t="s">
        <v>10273</v>
      </c>
      <c r="C4560" s="3">
        <v>40664</v>
      </c>
      <c r="D4560" t="s">
        <v>50</v>
      </c>
      <c r="E4560">
        <v>1</v>
      </c>
      <c r="F4560" s="3">
        <f ca="1">40664+(RANDBETWEEN(1,10))</f>
        <v>40672</v>
      </c>
      <c r="G4560" t="s">
        <v>26</v>
      </c>
      <c r="H4560" t="s">
        <v>27</v>
      </c>
      <c r="I4560" t="s">
        <v>28</v>
      </c>
      <c r="J4560">
        <v>1380.7850000000001</v>
      </c>
      <c r="K4560">
        <v>7.0000000000000007E-2</v>
      </c>
      <c r="L4560">
        <v>0.56999999999999995</v>
      </c>
      <c r="M4560">
        <v>39.795000000000002</v>
      </c>
      <c r="N4560">
        <v>-1888.5650000000001</v>
      </c>
      <c r="O4560" s="1" t="s">
        <v>225</v>
      </c>
      <c r="P4560" s="1" t="s">
        <v>10274</v>
      </c>
      <c r="Q4560" s="1" t="s">
        <v>10275</v>
      </c>
      <c r="R4560" s="1" t="s">
        <v>228</v>
      </c>
      <c r="S4560" s="1" t="s">
        <v>10276</v>
      </c>
      <c r="T4560" s="1" t="s">
        <v>10277</v>
      </c>
      <c r="U4560" s="2" t="s">
        <v>1298</v>
      </c>
      <c r="V4560" s="2" t="s">
        <v>47</v>
      </c>
      <c r="W4560" s="2" t="s">
        <v>119</v>
      </c>
      <c r="X4560" s="2">
        <v>1455.58</v>
      </c>
    </row>
    <row r="4561" spans="1:24" x14ac:dyDescent="0.3">
      <c r="A4561">
        <v>22402</v>
      </c>
      <c r="B4561" t="s">
        <v>10278</v>
      </c>
      <c r="C4561" s="3">
        <v>41035</v>
      </c>
      <c r="D4561" t="s">
        <v>25</v>
      </c>
      <c r="E4561">
        <v>8</v>
      </c>
      <c r="F4561" s="3">
        <f ca="1">41042+(RANDBETWEEN(1,10))</f>
        <v>41046</v>
      </c>
      <c r="G4561" t="s">
        <v>26</v>
      </c>
      <c r="H4561" t="s">
        <v>27</v>
      </c>
      <c r="I4561" t="s">
        <v>97</v>
      </c>
      <c r="J4561">
        <v>171.815</v>
      </c>
      <c r="K4561">
        <v>0.1</v>
      </c>
      <c r="L4561">
        <v>0.37</v>
      </c>
      <c r="M4561">
        <v>18.059999999999999</v>
      </c>
      <c r="N4561">
        <v>-149.83500000000001</v>
      </c>
      <c r="O4561" s="1" t="s">
        <v>29</v>
      </c>
      <c r="P4561" s="1" t="s">
        <v>10279</v>
      </c>
      <c r="Q4561" s="1" t="s">
        <v>10280</v>
      </c>
      <c r="R4561" s="1" t="s">
        <v>32</v>
      </c>
      <c r="S4561" s="1" t="s">
        <v>6074</v>
      </c>
      <c r="T4561" s="1" t="s">
        <v>6075</v>
      </c>
      <c r="U4561" s="2" t="s">
        <v>6026</v>
      </c>
      <c r="V4561" s="2" t="s">
        <v>47</v>
      </c>
      <c r="W4561" s="2" t="s">
        <v>74</v>
      </c>
      <c r="X4561" s="2">
        <v>22.68</v>
      </c>
    </row>
    <row r="4562" spans="1:24" x14ac:dyDescent="0.3">
      <c r="A4562">
        <v>22403</v>
      </c>
      <c r="B4562" t="s">
        <v>10278</v>
      </c>
      <c r="C4562" s="3">
        <v>41035</v>
      </c>
      <c r="D4562" t="s">
        <v>25</v>
      </c>
      <c r="E4562">
        <v>16</v>
      </c>
      <c r="F4562" s="3">
        <f ca="1">41039+(RANDBETWEEN(1,10))</f>
        <v>41041</v>
      </c>
      <c r="G4562" t="s">
        <v>26</v>
      </c>
      <c r="H4562" t="s">
        <v>63</v>
      </c>
      <c r="I4562" t="s">
        <v>97</v>
      </c>
      <c r="J4562">
        <v>4135.2150000000001</v>
      </c>
      <c r="K4562">
        <v>0.1</v>
      </c>
      <c r="L4562">
        <v>0.83</v>
      </c>
      <c r="M4562">
        <v>122.5</v>
      </c>
      <c r="N4562">
        <v>-4642.0150000000003</v>
      </c>
      <c r="O4562" s="1" t="s">
        <v>87</v>
      </c>
      <c r="P4562" s="1" t="s">
        <v>10281</v>
      </c>
      <c r="Q4562" s="1" t="s">
        <v>10282</v>
      </c>
      <c r="R4562" s="1" t="s">
        <v>90</v>
      </c>
      <c r="S4562" s="1" t="s">
        <v>1330</v>
      </c>
      <c r="T4562" s="1" t="s">
        <v>1331</v>
      </c>
      <c r="U4562" s="2" t="s">
        <v>5963</v>
      </c>
      <c r="V4562" s="2" t="s">
        <v>47</v>
      </c>
      <c r="W4562" s="2" t="s">
        <v>119</v>
      </c>
      <c r="X4562" s="2">
        <v>275.8</v>
      </c>
    </row>
    <row r="4563" spans="1:24" x14ac:dyDescent="0.3">
      <c r="A4563">
        <v>22404</v>
      </c>
      <c r="B4563" t="s">
        <v>10283</v>
      </c>
      <c r="C4563" s="3">
        <v>41770</v>
      </c>
      <c r="D4563" t="s">
        <v>62</v>
      </c>
      <c r="E4563">
        <v>1</v>
      </c>
      <c r="F4563" s="3">
        <f ca="1">41771+(RANDBETWEEN(1,10))</f>
        <v>41781</v>
      </c>
      <c r="G4563" t="s">
        <v>26</v>
      </c>
      <c r="H4563" t="s">
        <v>63</v>
      </c>
      <c r="I4563" t="s">
        <v>28</v>
      </c>
      <c r="J4563">
        <v>85.364999999999995</v>
      </c>
      <c r="K4563">
        <v>0.04</v>
      </c>
      <c r="L4563">
        <v>0.56999999999999995</v>
      </c>
      <c r="M4563">
        <v>52.045000000000002</v>
      </c>
      <c r="N4563">
        <v>-95.584999999999994</v>
      </c>
      <c r="O4563" s="1" t="s">
        <v>87</v>
      </c>
      <c r="P4563" s="1" t="s">
        <v>9709</v>
      </c>
      <c r="Q4563" s="1" t="s">
        <v>9710</v>
      </c>
      <c r="R4563" s="1" t="s">
        <v>646</v>
      </c>
      <c r="S4563" s="1" t="s">
        <v>9711</v>
      </c>
      <c r="T4563" s="1" t="s">
        <v>3696</v>
      </c>
      <c r="U4563" s="2" t="s">
        <v>8886</v>
      </c>
      <c r="V4563" s="2" t="s">
        <v>83</v>
      </c>
      <c r="W4563" s="2" t="s">
        <v>178</v>
      </c>
      <c r="X4563" s="2">
        <v>69.790000000000006</v>
      </c>
    </row>
    <row r="4564" spans="1:24" x14ac:dyDescent="0.3">
      <c r="A4564">
        <v>22405</v>
      </c>
      <c r="B4564" t="s">
        <v>10283</v>
      </c>
      <c r="C4564" s="3">
        <v>41770</v>
      </c>
      <c r="D4564" t="s">
        <v>62</v>
      </c>
      <c r="E4564">
        <v>10</v>
      </c>
      <c r="F4564" s="3">
        <f ca="1">41772+(RANDBETWEEN(1,10))</f>
        <v>41782</v>
      </c>
      <c r="G4564" t="s">
        <v>26</v>
      </c>
      <c r="H4564" t="s">
        <v>96</v>
      </c>
      <c r="I4564" t="s">
        <v>28</v>
      </c>
      <c r="J4564">
        <v>124.565</v>
      </c>
      <c r="K4564">
        <v>0.09</v>
      </c>
      <c r="L4564">
        <v>0.83</v>
      </c>
      <c r="M4564">
        <v>4.62</v>
      </c>
      <c r="N4564">
        <v>-114.27500000000001</v>
      </c>
      <c r="O4564" s="1" t="s">
        <v>87</v>
      </c>
      <c r="P4564" s="1" t="s">
        <v>9709</v>
      </c>
      <c r="Q4564" s="1" t="s">
        <v>9710</v>
      </c>
      <c r="R4564" s="1" t="s">
        <v>646</v>
      </c>
      <c r="S4564" s="1" t="s">
        <v>9711</v>
      </c>
      <c r="T4564" s="1" t="s">
        <v>3696</v>
      </c>
      <c r="U4564" s="2" t="s">
        <v>3023</v>
      </c>
      <c r="V4564" s="2" t="s">
        <v>47</v>
      </c>
      <c r="W4564" s="2" t="s">
        <v>94</v>
      </c>
      <c r="X4564" s="2">
        <v>12.88</v>
      </c>
    </row>
    <row r="4565" spans="1:24" x14ac:dyDescent="0.3">
      <c r="A4565">
        <v>22406</v>
      </c>
      <c r="B4565" t="s">
        <v>10284</v>
      </c>
      <c r="C4565" s="3">
        <v>41583</v>
      </c>
      <c r="D4565" t="s">
        <v>50</v>
      </c>
      <c r="E4565">
        <v>8</v>
      </c>
      <c r="F4565" s="3">
        <f ca="1">41584+(RANDBETWEEN(1,10))</f>
        <v>41590</v>
      </c>
      <c r="G4565" t="s">
        <v>26</v>
      </c>
      <c r="H4565" t="s">
        <v>27</v>
      </c>
      <c r="I4565" t="s">
        <v>52</v>
      </c>
      <c r="J4565">
        <v>1049.0899999999999</v>
      </c>
      <c r="K4565">
        <v>0.09</v>
      </c>
      <c r="L4565">
        <v>0.56000000000000005</v>
      </c>
      <c r="M4565">
        <v>17.465</v>
      </c>
      <c r="N4565">
        <v>84.653800000000004</v>
      </c>
      <c r="O4565" s="1" t="s">
        <v>53</v>
      </c>
      <c r="P4565" s="1" t="s">
        <v>10285</v>
      </c>
      <c r="Q4565" s="1" t="s">
        <v>10286</v>
      </c>
      <c r="R4565" s="1" t="s">
        <v>100</v>
      </c>
      <c r="S4565" s="1" t="s">
        <v>2539</v>
      </c>
      <c r="T4565" s="1" t="s">
        <v>2540</v>
      </c>
      <c r="U4565" s="2" t="s">
        <v>3202</v>
      </c>
      <c r="V4565" s="2" t="s">
        <v>36</v>
      </c>
      <c r="W4565" s="2" t="s">
        <v>37</v>
      </c>
      <c r="X4565" s="2">
        <v>160.965</v>
      </c>
    </row>
    <row r="4566" spans="1:24" x14ac:dyDescent="0.3">
      <c r="A4566">
        <v>22407</v>
      </c>
      <c r="B4566" t="s">
        <v>10287</v>
      </c>
      <c r="C4566" s="3">
        <v>40760</v>
      </c>
      <c r="D4566" t="s">
        <v>25</v>
      </c>
      <c r="E4566">
        <v>18</v>
      </c>
      <c r="F4566" s="3">
        <f ca="1">40764+(RANDBETWEEN(1,10))</f>
        <v>40773</v>
      </c>
      <c r="G4566" t="s">
        <v>26</v>
      </c>
      <c r="H4566" t="s">
        <v>27</v>
      </c>
      <c r="I4566" t="s">
        <v>97</v>
      </c>
      <c r="J4566">
        <v>6385.1549999999997</v>
      </c>
      <c r="K4566">
        <v>0.09</v>
      </c>
      <c r="L4566">
        <v>0.6</v>
      </c>
      <c r="M4566">
        <v>8.75</v>
      </c>
      <c r="N4566">
        <v>4405.75695</v>
      </c>
      <c r="O4566" s="1" t="s">
        <v>64</v>
      </c>
      <c r="P4566" s="1" t="s">
        <v>6685</v>
      </c>
      <c r="Q4566" s="1" t="s">
        <v>6686</v>
      </c>
      <c r="R4566" s="1" t="s">
        <v>67</v>
      </c>
      <c r="S4566" s="1" t="s">
        <v>6687</v>
      </c>
      <c r="T4566" s="1" t="s">
        <v>6688</v>
      </c>
      <c r="U4566" s="2" t="s">
        <v>4222</v>
      </c>
      <c r="V4566" s="2" t="s">
        <v>36</v>
      </c>
      <c r="W4566" s="2" t="s">
        <v>37</v>
      </c>
      <c r="X4566" s="2">
        <v>440.96499999999997</v>
      </c>
    </row>
    <row r="4567" spans="1:24" x14ac:dyDescent="0.3">
      <c r="A4567">
        <v>22408</v>
      </c>
      <c r="B4567" t="s">
        <v>10288</v>
      </c>
      <c r="C4567" s="3">
        <v>41958</v>
      </c>
      <c r="D4567" t="s">
        <v>39</v>
      </c>
      <c r="E4567">
        <v>9</v>
      </c>
      <c r="F4567" s="3">
        <f ca="1">41960+(RANDBETWEEN(1,10))</f>
        <v>41968</v>
      </c>
      <c r="G4567" t="s">
        <v>26</v>
      </c>
      <c r="H4567" t="s">
        <v>27</v>
      </c>
      <c r="I4567" t="s">
        <v>97</v>
      </c>
      <c r="J4567">
        <v>709.03</v>
      </c>
      <c r="K4567">
        <v>0.02</v>
      </c>
      <c r="L4567">
        <v>0.36</v>
      </c>
      <c r="M4567">
        <v>10.465</v>
      </c>
      <c r="N4567">
        <v>489.23070000000001</v>
      </c>
      <c r="O4567" s="1" t="s">
        <v>29</v>
      </c>
      <c r="P4567" s="1" t="s">
        <v>9335</v>
      </c>
      <c r="Q4567" s="1" t="s">
        <v>9336</v>
      </c>
      <c r="R4567" s="1" t="s">
        <v>32</v>
      </c>
      <c r="S4567" s="1" t="s">
        <v>33</v>
      </c>
      <c r="T4567" s="1" t="s">
        <v>9337</v>
      </c>
      <c r="U4567" s="2" t="s">
        <v>5355</v>
      </c>
      <c r="V4567" s="2" t="s">
        <v>47</v>
      </c>
      <c r="W4567" s="2" t="s">
        <v>111</v>
      </c>
      <c r="X4567" s="2">
        <v>74.83</v>
      </c>
    </row>
    <row r="4568" spans="1:24" x14ac:dyDescent="0.3">
      <c r="A4568">
        <v>22409</v>
      </c>
      <c r="B4568" t="s">
        <v>10289</v>
      </c>
      <c r="C4568" s="3">
        <v>41877</v>
      </c>
      <c r="D4568" t="s">
        <v>39</v>
      </c>
      <c r="E4568">
        <v>5</v>
      </c>
      <c r="F4568" s="3">
        <f ca="1">41879+(RANDBETWEEN(1,10))</f>
        <v>41880</v>
      </c>
      <c r="G4568" t="s">
        <v>26</v>
      </c>
      <c r="H4568" t="s">
        <v>63</v>
      </c>
      <c r="I4568" t="s">
        <v>28</v>
      </c>
      <c r="J4568">
        <v>1926.2950000000001</v>
      </c>
      <c r="K4568">
        <v>0.08</v>
      </c>
      <c r="L4568">
        <v>0.82</v>
      </c>
      <c r="M4568">
        <v>122.5</v>
      </c>
      <c r="N4568">
        <v>-542.13487999999995</v>
      </c>
      <c r="O4568" s="1" t="s">
        <v>29</v>
      </c>
      <c r="P4568" s="1" t="s">
        <v>7560</v>
      </c>
      <c r="Q4568" s="1" t="s">
        <v>7561</v>
      </c>
      <c r="R4568" s="1" t="s">
        <v>32</v>
      </c>
      <c r="S4568" s="1" t="s">
        <v>7562</v>
      </c>
      <c r="T4568" s="1" t="s">
        <v>7563</v>
      </c>
      <c r="U4568" s="2" t="s">
        <v>5442</v>
      </c>
      <c r="V4568" s="2" t="s">
        <v>47</v>
      </c>
      <c r="W4568" s="2" t="s">
        <v>119</v>
      </c>
      <c r="X4568" s="2">
        <v>388.43</v>
      </c>
    </row>
    <row r="4569" spans="1:24" x14ac:dyDescent="0.3">
      <c r="A4569">
        <v>22410</v>
      </c>
      <c r="B4569" t="s">
        <v>10290</v>
      </c>
      <c r="C4569" s="3">
        <v>41452</v>
      </c>
      <c r="D4569" t="s">
        <v>148</v>
      </c>
      <c r="E4569">
        <v>11</v>
      </c>
      <c r="F4569" s="3">
        <f ca="1">41454+(RANDBETWEEN(1,10))</f>
        <v>41458</v>
      </c>
      <c r="G4569" t="s">
        <v>26</v>
      </c>
      <c r="H4569" t="s">
        <v>27</v>
      </c>
      <c r="I4569" t="s">
        <v>28</v>
      </c>
      <c r="J4569">
        <v>2166.9899999999998</v>
      </c>
      <c r="K4569">
        <v>0.08</v>
      </c>
      <c r="L4569">
        <v>0.56999999999999995</v>
      </c>
      <c r="M4569">
        <v>13.965</v>
      </c>
      <c r="N4569">
        <v>1473.444</v>
      </c>
      <c r="O4569" s="1" t="s">
        <v>29</v>
      </c>
      <c r="P4569" s="1" t="s">
        <v>8511</v>
      </c>
      <c r="Q4569" s="1" t="s">
        <v>8512</v>
      </c>
      <c r="R4569" s="1" t="s">
        <v>460</v>
      </c>
      <c r="S4569" s="1" t="s">
        <v>8513</v>
      </c>
      <c r="T4569" s="1" t="s">
        <v>3646</v>
      </c>
      <c r="U4569" s="2" t="s">
        <v>1024</v>
      </c>
      <c r="V4569" s="2" t="s">
        <v>47</v>
      </c>
      <c r="W4569" s="2" t="s">
        <v>71</v>
      </c>
      <c r="X4569" s="2">
        <v>209.93</v>
      </c>
    </row>
    <row r="4570" spans="1:24" x14ac:dyDescent="0.3">
      <c r="A4570">
        <v>22411</v>
      </c>
      <c r="B4570" t="s">
        <v>10291</v>
      </c>
      <c r="C4570" s="3">
        <v>41197</v>
      </c>
      <c r="D4570" t="s">
        <v>62</v>
      </c>
      <c r="E4570">
        <v>12</v>
      </c>
      <c r="F4570" s="3">
        <f ca="1">41199+(RANDBETWEEN(1,10))</f>
        <v>41205</v>
      </c>
      <c r="G4570" t="s">
        <v>26</v>
      </c>
      <c r="H4570" t="s">
        <v>27</v>
      </c>
      <c r="I4570" t="s">
        <v>86</v>
      </c>
      <c r="J4570">
        <v>519.64499999999998</v>
      </c>
      <c r="K4570">
        <v>0.04</v>
      </c>
      <c r="L4570">
        <v>0.57999999999999996</v>
      </c>
      <c r="M4570">
        <v>17.43</v>
      </c>
      <c r="N4570">
        <v>-46.305</v>
      </c>
      <c r="O4570" s="1" t="s">
        <v>53</v>
      </c>
      <c r="P4570" s="1" t="s">
        <v>7582</v>
      </c>
      <c r="Q4570" s="1" t="s">
        <v>7583</v>
      </c>
      <c r="R4570" s="1" t="s">
        <v>440</v>
      </c>
      <c r="S4570" s="1" t="s">
        <v>3776</v>
      </c>
      <c r="T4570" s="1" t="s">
        <v>3777</v>
      </c>
      <c r="U4570" s="2" t="s">
        <v>5213</v>
      </c>
      <c r="V4570" s="2" t="s">
        <v>47</v>
      </c>
      <c r="W4570" s="2" t="s">
        <v>71</v>
      </c>
      <c r="X4570" s="2">
        <v>41.895000000000003</v>
      </c>
    </row>
    <row r="4571" spans="1:24" x14ac:dyDescent="0.3">
      <c r="A4571">
        <v>22412</v>
      </c>
      <c r="B4571" t="s">
        <v>10291</v>
      </c>
      <c r="C4571" s="3">
        <v>41197</v>
      </c>
      <c r="D4571" t="s">
        <v>62</v>
      </c>
      <c r="E4571">
        <v>15</v>
      </c>
      <c r="F4571" s="3">
        <f ca="1">41200+(RANDBETWEEN(1,10))</f>
        <v>41210</v>
      </c>
      <c r="G4571" t="s">
        <v>156</v>
      </c>
      <c r="H4571" t="s">
        <v>27</v>
      </c>
      <c r="I4571" t="s">
        <v>86</v>
      </c>
      <c r="J4571">
        <v>1500.8</v>
      </c>
      <c r="K4571">
        <v>0.09</v>
      </c>
      <c r="L4571">
        <v>0.7</v>
      </c>
      <c r="M4571">
        <v>23.24</v>
      </c>
      <c r="N4571">
        <v>-79.757999999999996</v>
      </c>
      <c r="O4571" s="1" t="s">
        <v>53</v>
      </c>
      <c r="P4571" s="1" t="s">
        <v>7582</v>
      </c>
      <c r="Q4571" s="1" t="s">
        <v>7583</v>
      </c>
      <c r="R4571" s="1" t="s">
        <v>440</v>
      </c>
      <c r="S4571" s="1" t="s">
        <v>3776</v>
      </c>
      <c r="T4571" s="1" t="s">
        <v>3777</v>
      </c>
      <c r="U4571" s="2" t="s">
        <v>4355</v>
      </c>
      <c r="V4571" s="2" t="s">
        <v>47</v>
      </c>
      <c r="W4571" s="2" t="s">
        <v>119</v>
      </c>
      <c r="X4571" s="2">
        <v>104.09</v>
      </c>
    </row>
    <row r="4572" spans="1:24" x14ac:dyDescent="0.3">
      <c r="A4572">
        <v>22413</v>
      </c>
      <c r="B4572" t="s">
        <v>10292</v>
      </c>
      <c r="C4572" s="3">
        <v>41927</v>
      </c>
      <c r="D4572" t="s">
        <v>62</v>
      </c>
      <c r="E4572">
        <v>12</v>
      </c>
      <c r="F4572" s="3">
        <f ca="1">41928+(RANDBETWEEN(1,10))</f>
        <v>41933</v>
      </c>
      <c r="G4572" t="s">
        <v>26</v>
      </c>
      <c r="H4572" t="s">
        <v>27</v>
      </c>
      <c r="I4572" t="s">
        <v>86</v>
      </c>
      <c r="J4572">
        <v>3924.3049999999998</v>
      </c>
      <c r="K4572">
        <v>0.03</v>
      </c>
      <c r="L4572">
        <v>0.79</v>
      </c>
      <c r="M4572">
        <v>69.965000000000003</v>
      </c>
      <c r="N4572">
        <v>-824.46</v>
      </c>
      <c r="O4572" s="1" t="s">
        <v>53</v>
      </c>
      <c r="P4572" s="1" t="s">
        <v>7582</v>
      </c>
      <c r="Q4572" s="1" t="s">
        <v>7583</v>
      </c>
      <c r="R4572" s="1" t="s">
        <v>440</v>
      </c>
      <c r="S4572" s="1" t="s">
        <v>3776</v>
      </c>
      <c r="T4572" s="1" t="s">
        <v>3777</v>
      </c>
      <c r="U4572" s="2" t="s">
        <v>1101</v>
      </c>
      <c r="V4572" s="2" t="s">
        <v>47</v>
      </c>
      <c r="W4572" s="2" t="s">
        <v>119</v>
      </c>
      <c r="X4572" s="2">
        <v>334.005</v>
      </c>
    </row>
    <row r="4573" spans="1:24" x14ac:dyDescent="0.3">
      <c r="A4573">
        <v>22414</v>
      </c>
      <c r="B4573" t="s">
        <v>10293</v>
      </c>
      <c r="C4573" s="3">
        <v>40833</v>
      </c>
      <c r="D4573" t="s">
        <v>39</v>
      </c>
      <c r="E4573">
        <v>4</v>
      </c>
      <c r="F4573" s="3">
        <f ca="1">40834+(RANDBETWEEN(1,10))</f>
        <v>40842</v>
      </c>
      <c r="G4573" t="s">
        <v>156</v>
      </c>
      <c r="H4573" t="s">
        <v>51</v>
      </c>
      <c r="I4573" t="s">
        <v>97</v>
      </c>
      <c r="J4573">
        <v>196.84</v>
      </c>
      <c r="K4573">
        <v>0</v>
      </c>
      <c r="L4573">
        <v>0.43</v>
      </c>
      <c r="M4573">
        <v>21.07</v>
      </c>
      <c r="N4573">
        <v>-603.04300000000001</v>
      </c>
      <c r="O4573" s="1" t="s">
        <v>64</v>
      </c>
      <c r="P4573" s="1" t="s">
        <v>4109</v>
      </c>
      <c r="Q4573" s="1" t="s">
        <v>4110</v>
      </c>
      <c r="R4573" s="1" t="s">
        <v>128</v>
      </c>
      <c r="S4573" s="1" t="s">
        <v>4111</v>
      </c>
      <c r="T4573" s="1" t="s">
        <v>4112</v>
      </c>
      <c r="U4573" s="2" t="s">
        <v>4414</v>
      </c>
      <c r="V4573" s="2" t="s">
        <v>83</v>
      </c>
      <c r="W4573" s="2" t="s">
        <v>178</v>
      </c>
      <c r="X4573" s="2">
        <v>42.7</v>
      </c>
    </row>
    <row r="4574" spans="1:24" x14ac:dyDescent="0.3">
      <c r="A4574">
        <v>22415</v>
      </c>
      <c r="B4574" t="s">
        <v>10294</v>
      </c>
      <c r="C4574" s="3">
        <v>41855</v>
      </c>
      <c r="D4574" t="s">
        <v>25</v>
      </c>
      <c r="E4574">
        <v>10</v>
      </c>
      <c r="F4574" s="3">
        <f ca="1">41859+(RANDBETWEEN(1,10))</f>
        <v>41868</v>
      </c>
      <c r="G4574" t="s">
        <v>156</v>
      </c>
      <c r="H4574" t="s">
        <v>27</v>
      </c>
      <c r="I4574" t="s">
        <v>52</v>
      </c>
      <c r="J4574">
        <v>335.02</v>
      </c>
      <c r="K4574">
        <v>0.06</v>
      </c>
      <c r="L4574">
        <v>0.39</v>
      </c>
      <c r="M4574">
        <v>10.465</v>
      </c>
      <c r="N4574">
        <v>217.879242</v>
      </c>
      <c r="O4574" s="1" t="s">
        <v>53</v>
      </c>
      <c r="P4574" s="1" t="s">
        <v>10295</v>
      </c>
      <c r="Q4574" s="1" t="s">
        <v>10296</v>
      </c>
      <c r="R4574" s="1" t="s">
        <v>100</v>
      </c>
      <c r="S4574" s="1" t="s">
        <v>1575</v>
      </c>
      <c r="T4574" s="1" t="s">
        <v>1576</v>
      </c>
      <c r="U4574" s="2" t="s">
        <v>618</v>
      </c>
      <c r="V4574" s="2" t="s">
        <v>47</v>
      </c>
      <c r="W4574" s="2" t="s">
        <v>111</v>
      </c>
      <c r="X4574" s="2">
        <v>30.414999999999999</v>
      </c>
    </row>
    <row r="4575" spans="1:24" x14ac:dyDescent="0.3">
      <c r="A4575">
        <v>22416</v>
      </c>
      <c r="B4575" t="s">
        <v>10297</v>
      </c>
      <c r="C4575" s="3">
        <v>41125</v>
      </c>
      <c r="D4575" t="s">
        <v>25</v>
      </c>
      <c r="E4575">
        <v>15</v>
      </c>
      <c r="F4575" s="3">
        <f ca="1">41132+(RANDBETWEEN(1,10))</f>
        <v>41138</v>
      </c>
      <c r="G4575" t="s">
        <v>26</v>
      </c>
      <c r="H4575" t="s">
        <v>27</v>
      </c>
      <c r="I4575" t="s">
        <v>52</v>
      </c>
      <c r="J4575">
        <v>1906.7650000000001</v>
      </c>
      <c r="K4575">
        <v>0.03</v>
      </c>
      <c r="L4575">
        <v>0.56999999999999995</v>
      </c>
      <c r="M4575">
        <v>28.77</v>
      </c>
      <c r="N4575">
        <v>1099.1959999999999</v>
      </c>
      <c r="O4575" s="1" t="s">
        <v>53</v>
      </c>
      <c r="P4575" s="1" t="s">
        <v>10295</v>
      </c>
      <c r="Q4575" s="1" t="s">
        <v>10296</v>
      </c>
      <c r="R4575" s="1" t="s">
        <v>100</v>
      </c>
      <c r="S4575" s="1" t="s">
        <v>1575</v>
      </c>
      <c r="T4575" s="1" t="s">
        <v>1576</v>
      </c>
      <c r="U4575" s="2" t="s">
        <v>2001</v>
      </c>
      <c r="V4575" s="2" t="s">
        <v>47</v>
      </c>
      <c r="W4575" s="2" t="s">
        <v>119</v>
      </c>
      <c r="X4575" s="2">
        <v>121.66</v>
      </c>
    </row>
    <row r="4576" spans="1:24" x14ac:dyDescent="0.3">
      <c r="A4576">
        <v>22417</v>
      </c>
      <c r="B4576" t="s">
        <v>10298</v>
      </c>
      <c r="C4576" s="3">
        <v>41606</v>
      </c>
      <c r="D4576" t="s">
        <v>39</v>
      </c>
      <c r="E4576">
        <v>20</v>
      </c>
      <c r="F4576" s="3">
        <f ca="1">41607+(RANDBETWEEN(1,10))</f>
        <v>41611</v>
      </c>
      <c r="G4576" t="s">
        <v>26</v>
      </c>
      <c r="H4576" t="s">
        <v>27</v>
      </c>
      <c r="I4576" t="s">
        <v>52</v>
      </c>
      <c r="J4576">
        <v>422.17</v>
      </c>
      <c r="K4576">
        <v>0.09</v>
      </c>
      <c r="L4576">
        <v>0.41</v>
      </c>
      <c r="M4576">
        <v>19.495000000000001</v>
      </c>
      <c r="N4576">
        <v>2233.2660000000001</v>
      </c>
      <c r="O4576" s="1" t="s">
        <v>53</v>
      </c>
      <c r="P4576" s="1" t="s">
        <v>8987</v>
      </c>
      <c r="Q4576" s="1" t="s">
        <v>8988</v>
      </c>
      <c r="R4576" s="1" t="s">
        <v>440</v>
      </c>
      <c r="S4576" s="1" t="s">
        <v>8989</v>
      </c>
      <c r="T4576" s="1" t="s">
        <v>8990</v>
      </c>
      <c r="U4576" s="2" t="s">
        <v>10299</v>
      </c>
      <c r="V4576" s="2" t="s">
        <v>83</v>
      </c>
      <c r="W4576" s="2" t="s">
        <v>178</v>
      </c>
      <c r="X4576" s="2">
        <v>20.614999999999998</v>
      </c>
    </row>
    <row r="4577" spans="1:24" x14ac:dyDescent="0.3">
      <c r="A4577">
        <v>22418</v>
      </c>
      <c r="B4577" t="s">
        <v>10300</v>
      </c>
      <c r="C4577" s="3">
        <v>41784</v>
      </c>
      <c r="D4577" t="s">
        <v>148</v>
      </c>
      <c r="E4577">
        <v>5</v>
      </c>
      <c r="F4577" s="3">
        <f ca="1">41786+(RANDBETWEEN(1,10))</f>
        <v>41787</v>
      </c>
      <c r="G4577" t="s">
        <v>26</v>
      </c>
      <c r="H4577" t="s">
        <v>51</v>
      </c>
      <c r="I4577" t="s">
        <v>97</v>
      </c>
      <c r="J4577">
        <v>378</v>
      </c>
      <c r="K4577">
        <v>0.04</v>
      </c>
      <c r="L4577">
        <v>0.52</v>
      </c>
      <c r="M4577">
        <v>12.705</v>
      </c>
      <c r="N4577">
        <v>260.82</v>
      </c>
      <c r="O4577" s="1" t="s">
        <v>53</v>
      </c>
      <c r="P4577" s="1" t="s">
        <v>5450</v>
      </c>
      <c r="Q4577" s="1" t="s">
        <v>5451</v>
      </c>
      <c r="R4577" s="1" t="s">
        <v>100</v>
      </c>
      <c r="S4577" s="1" t="s">
        <v>5452</v>
      </c>
      <c r="T4577" s="1" t="s">
        <v>5453</v>
      </c>
      <c r="U4577" s="2" t="s">
        <v>6058</v>
      </c>
      <c r="V4577" s="2" t="s">
        <v>83</v>
      </c>
      <c r="W4577" s="2" t="s">
        <v>178</v>
      </c>
      <c r="X4577" s="2">
        <v>77.805000000000007</v>
      </c>
    </row>
    <row r="4578" spans="1:24" x14ac:dyDescent="0.3">
      <c r="A4578">
        <v>22419</v>
      </c>
      <c r="B4578" t="s">
        <v>10301</v>
      </c>
      <c r="C4578" s="3">
        <v>41054</v>
      </c>
      <c r="D4578" t="s">
        <v>148</v>
      </c>
      <c r="E4578">
        <v>15</v>
      </c>
      <c r="F4578" s="3">
        <f ca="1">41056+(RANDBETWEEN(1,10))</f>
        <v>41062</v>
      </c>
      <c r="G4578" t="s">
        <v>76</v>
      </c>
      <c r="H4578" t="s">
        <v>77</v>
      </c>
      <c r="I4578" t="s">
        <v>97</v>
      </c>
      <c r="J4578">
        <v>1354.22</v>
      </c>
      <c r="K4578">
        <v>0.03</v>
      </c>
      <c r="L4578">
        <v>0.6</v>
      </c>
      <c r="M4578">
        <v>50.26</v>
      </c>
      <c r="N4578">
        <v>-792.43499999999995</v>
      </c>
      <c r="O4578" s="1" t="s">
        <v>87</v>
      </c>
      <c r="P4578" s="1" t="s">
        <v>10302</v>
      </c>
      <c r="Q4578" s="1" t="s">
        <v>10303</v>
      </c>
      <c r="R4578" s="1" t="s">
        <v>90</v>
      </c>
      <c r="S4578" s="1" t="s">
        <v>10304</v>
      </c>
      <c r="T4578" s="1" t="s">
        <v>10305</v>
      </c>
      <c r="U4578" s="2" t="s">
        <v>4583</v>
      </c>
      <c r="V4578" s="2" t="s">
        <v>83</v>
      </c>
      <c r="W4578" s="2" t="s">
        <v>84</v>
      </c>
      <c r="X4578" s="2">
        <v>90.93</v>
      </c>
    </row>
    <row r="4579" spans="1:24" x14ac:dyDescent="0.3">
      <c r="A4579">
        <v>22420</v>
      </c>
      <c r="B4579" t="s">
        <v>10306</v>
      </c>
      <c r="C4579" s="3">
        <v>41706</v>
      </c>
      <c r="D4579" t="s">
        <v>25</v>
      </c>
      <c r="E4579">
        <v>4</v>
      </c>
      <c r="F4579" s="3">
        <f ca="1">41708+(RANDBETWEEN(1,10))</f>
        <v>41714</v>
      </c>
      <c r="G4579" t="s">
        <v>26</v>
      </c>
      <c r="H4579" t="s">
        <v>51</v>
      </c>
      <c r="I4579" t="s">
        <v>97</v>
      </c>
      <c r="J4579">
        <v>87.185000000000002</v>
      </c>
      <c r="K4579">
        <v>0.1</v>
      </c>
      <c r="L4579">
        <v>0.71</v>
      </c>
      <c r="M4579">
        <v>9.59</v>
      </c>
      <c r="N4579">
        <v>-157.01</v>
      </c>
      <c r="O4579" s="1" t="s">
        <v>53</v>
      </c>
      <c r="P4579" s="1" t="s">
        <v>9902</v>
      </c>
      <c r="Q4579" s="1" t="s">
        <v>9903</v>
      </c>
      <c r="R4579" s="1" t="s">
        <v>440</v>
      </c>
      <c r="S4579" s="1" t="s">
        <v>6643</v>
      </c>
      <c r="T4579" s="1" t="s">
        <v>6644</v>
      </c>
      <c r="U4579" s="2" t="s">
        <v>3887</v>
      </c>
      <c r="V4579" s="2" t="s">
        <v>36</v>
      </c>
      <c r="W4579" s="2" t="s">
        <v>60</v>
      </c>
      <c r="X4579" s="2">
        <v>22.68</v>
      </c>
    </row>
    <row r="4580" spans="1:24" x14ac:dyDescent="0.3">
      <c r="A4580">
        <v>22421</v>
      </c>
      <c r="B4580" t="s">
        <v>10306</v>
      </c>
      <c r="C4580" s="3">
        <v>41706</v>
      </c>
      <c r="D4580" t="s">
        <v>25</v>
      </c>
      <c r="E4580">
        <v>5</v>
      </c>
      <c r="F4580" s="3">
        <f ca="1">41711+(RANDBETWEEN(1,10))</f>
        <v>41716</v>
      </c>
      <c r="G4580" t="s">
        <v>26</v>
      </c>
      <c r="H4580" t="s">
        <v>27</v>
      </c>
      <c r="I4580" t="s">
        <v>97</v>
      </c>
      <c r="J4580">
        <v>165.16499999999999</v>
      </c>
      <c r="K4580">
        <v>0</v>
      </c>
      <c r="L4580">
        <v>0.38</v>
      </c>
      <c r="M4580">
        <v>29.015000000000001</v>
      </c>
      <c r="N4580">
        <v>-205.66</v>
      </c>
      <c r="O4580" s="1" t="s">
        <v>53</v>
      </c>
      <c r="P4580" s="1" t="s">
        <v>9902</v>
      </c>
      <c r="Q4580" s="1" t="s">
        <v>9903</v>
      </c>
      <c r="R4580" s="1" t="s">
        <v>440</v>
      </c>
      <c r="S4580" s="1" t="s">
        <v>6643</v>
      </c>
      <c r="T4580" s="1" t="s">
        <v>6644</v>
      </c>
      <c r="U4580" s="2" t="s">
        <v>1682</v>
      </c>
      <c r="V4580" s="2" t="s">
        <v>47</v>
      </c>
      <c r="W4580" s="2" t="s">
        <v>48</v>
      </c>
      <c r="X4580" s="2">
        <v>30.59</v>
      </c>
    </row>
    <row r="4581" spans="1:24" x14ac:dyDescent="0.3">
      <c r="A4581">
        <v>22422</v>
      </c>
      <c r="B4581" t="s">
        <v>10307</v>
      </c>
      <c r="C4581" s="3">
        <v>41451</v>
      </c>
      <c r="D4581" t="s">
        <v>25</v>
      </c>
      <c r="E4581">
        <v>4</v>
      </c>
      <c r="F4581" s="3">
        <f ca="1">41453+(RANDBETWEEN(1,10))</f>
        <v>41458</v>
      </c>
      <c r="G4581" t="s">
        <v>76</v>
      </c>
      <c r="H4581" t="s">
        <v>77</v>
      </c>
      <c r="I4581" t="s">
        <v>86</v>
      </c>
      <c r="J4581">
        <v>1436.2249999999999</v>
      </c>
      <c r="K4581">
        <v>0.08</v>
      </c>
      <c r="L4581">
        <v>0.61</v>
      </c>
      <c r="M4581">
        <v>147</v>
      </c>
      <c r="N4581">
        <v>-591.72400000000005</v>
      </c>
      <c r="O4581" s="1" t="s">
        <v>87</v>
      </c>
      <c r="P4581" s="1" t="s">
        <v>1302</v>
      </c>
      <c r="Q4581" s="1" t="s">
        <v>1303</v>
      </c>
      <c r="R4581" s="1" t="s">
        <v>497</v>
      </c>
      <c r="S4581" s="1" t="s">
        <v>1304</v>
      </c>
      <c r="T4581" s="1" t="s">
        <v>1305</v>
      </c>
      <c r="U4581" s="2" t="s">
        <v>10308</v>
      </c>
      <c r="V4581" s="2" t="s">
        <v>83</v>
      </c>
      <c r="W4581" s="2" t="s">
        <v>84</v>
      </c>
      <c r="X4581" s="2">
        <v>353.11500000000001</v>
      </c>
    </row>
    <row r="4582" spans="1:24" x14ac:dyDescent="0.3">
      <c r="A4582">
        <v>22423</v>
      </c>
      <c r="B4582" t="s">
        <v>10309</v>
      </c>
      <c r="C4582" s="3">
        <v>41954</v>
      </c>
      <c r="D4582" t="s">
        <v>39</v>
      </c>
      <c r="E4582">
        <v>15</v>
      </c>
      <c r="F4582" s="3">
        <f ca="1">41957+(RANDBETWEEN(1,10))</f>
        <v>41966</v>
      </c>
      <c r="G4582" t="s">
        <v>26</v>
      </c>
      <c r="H4582" t="s">
        <v>51</v>
      </c>
      <c r="I4582" t="s">
        <v>28</v>
      </c>
      <c r="J4582">
        <v>1167.5999999999999</v>
      </c>
      <c r="K4582">
        <v>0</v>
      </c>
      <c r="L4582">
        <v>0.43</v>
      </c>
      <c r="M4582">
        <v>6.9649999999999999</v>
      </c>
      <c r="N4582">
        <v>607.81952000000001</v>
      </c>
      <c r="O4582" s="1" t="s">
        <v>87</v>
      </c>
      <c r="P4582" s="1" t="s">
        <v>8201</v>
      </c>
      <c r="Q4582" s="1" t="s">
        <v>8202</v>
      </c>
      <c r="R4582" s="1" t="s">
        <v>398</v>
      </c>
      <c r="S4582" s="1" t="s">
        <v>8203</v>
      </c>
      <c r="T4582" s="1" t="s">
        <v>8204</v>
      </c>
      <c r="U4582" s="2" t="s">
        <v>4462</v>
      </c>
      <c r="V4582" s="2" t="s">
        <v>36</v>
      </c>
      <c r="W4582" s="2" t="s">
        <v>60</v>
      </c>
      <c r="X4582" s="2">
        <v>77.84</v>
      </c>
    </row>
    <row r="4583" spans="1:24" x14ac:dyDescent="0.3">
      <c r="A4583">
        <v>22424</v>
      </c>
      <c r="B4583" t="s">
        <v>10309</v>
      </c>
      <c r="C4583" s="3">
        <v>41954</v>
      </c>
      <c r="D4583" t="s">
        <v>39</v>
      </c>
      <c r="E4583">
        <v>22</v>
      </c>
      <c r="F4583" s="3">
        <f ca="1">41955+(RANDBETWEEN(1,10))</f>
        <v>41963</v>
      </c>
      <c r="G4583" t="s">
        <v>26</v>
      </c>
      <c r="H4583" t="s">
        <v>51</v>
      </c>
      <c r="I4583" t="s">
        <v>28</v>
      </c>
      <c r="J4583">
        <v>2347.5549999999998</v>
      </c>
      <c r="K4583">
        <v>0</v>
      </c>
      <c r="L4583">
        <v>0.5</v>
      </c>
      <c r="M4583">
        <v>6.9649999999999999</v>
      </c>
      <c r="N4583">
        <v>1516.2716800000001</v>
      </c>
      <c r="O4583" s="1" t="s">
        <v>87</v>
      </c>
      <c r="P4583" s="1" t="s">
        <v>8201</v>
      </c>
      <c r="Q4583" s="1" t="s">
        <v>8202</v>
      </c>
      <c r="R4583" s="1" t="s">
        <v>398</v>
      </c>
      <c r="S4583" s="1" t="s">
        <v>8203</v>
      </c>
      <c r="T4583" s="1" t="s">
        <v>8204</v>
      </c>
      <c r="U4583" s="2" t="s">
        <v>124</v>
      </c>
      <c r="V4583" s="2" t="s">
        <v>36</v>
      </c>
      <c r="W4583" s="2" t="s">
        <v>60</v>
      </c>
      <c r="X4583" s="2">
        <v>104.61499999999999</v>
      </c>
    </row>
    <row r="4584" spans="1:24" x14ac:dyDescent="0.3">
      <c r="A4584">
        <v>22425</v>
      </c>
      <c r="B4584" t="s">
        <v>10310</v>
      </c>
      <c r="C4584" s="3">
        <v>41649</v>
      </c>
      <c r="D4584" t="s">
        <v>62</v>
      </c>
      <c r="E4584">
        <v>9</v>
      </c>
      <c r="F4584" s="3">
        <f ca="1">41651+(RANDBETWEEN(1,10))</f>
        <v>41653</v>
      </c>
      <c r="G4584" t="s">
        <v>26</v>
      </c>
      <c r="H4584" t="s">
        <v>27</v>
      </c>
      <c r="I4584" t="s">
        <v>28</v>
      </c>
      <c r="J4584">
        <v>4830.1750000000002</v>
      </c>
      <c r="K4584">
        <v>0.09</v>
      </c>
      <c r="L4584">
        <v>0.39</v>
      </c>
      <c r="M4584">
        <v>69.965000000000003</v>
      </c>
      <c r="N4584">
        <v>3332.8207499999999</v>
      </c>
      <c r="O4584" s="1" t="s">
        <v>225</v>
      </c>
      <c r="P4584" s="1" t="s">
        <v>8165</v>
      </c>
      <c r="Q4584" s="1" t="s">
        <v>8166</v>
      </c>
      <c r="R4584" s="1" t="s">
        <v>228</v>
      </c>
      <c r="S4584" s="1" t="s">
        <v>8167</v>
      </c>
      <c r="T4584" s="1" t="s">
        <v>8168</v>
      </c>
      <c r="U4584" s="2" t="s">
        <v>2128</v>
      </c>
      <c r="V4584" s="2" t="s">
        <v>47</v>
      </c>
      <c r="W4584" s="2" t="s">
        <v>48</v>
      </c>
      <c r="X4584" s="2">
        <v>570.255</v>
      </c>
    </row>
    <row r="4585" spans="1:24" x14ac:dyDescent="0.3">
      <c r="A4585">
        <v>22426</v>
      </c>
      <c r="B4585" t="s">
        <v>10311</v>
      </c>
      <c r="C4585" s="3">
        <v>41643</v>
      </c>
      <c r="D4585" t="s">
        <v>62</v>
      </c>
      <c r="E4585">
        <v>10</v>
      </c>
      <c r="F4585" s="3">
        <f ca="1">41643+(RANDBETWEEN(1,10))</f>
        <v>41651</v>
      </c>
      <c r="G4585" t="s">
        <v>26</v>
      </c>
      <c r="H4585" t="s">
        <v>63</v>
      </c>
      <c r="I4585" t="s">
        <v>97</v>
      </c>
      <c r="J4585">
        <v>3252.9349999999999</v>
      </c>
      <c r="K4585">
        <v>0</v>
      </c>
      <c r="L4585">
        <v>0.59</v>
      </c>
      <c r="M4585">
        <v>72.765000000000001</v>
      </c>
      <c r="N4585">
        <v>-50.095149999999997</v>
      </c>
      <c r="O4585" s="1" t="s">
        <v>29</v>
      </c>
      <c r="P4585" s="1" t="s">
        <v>10312</v>
      </c>
      <c r="Q4585" s="1" t="s">
        <v>10313</v>
      </c>
      <c r="R4585" s="1" t="s">
        <v>32</v>
      </c>
      <c r="S4585" s="1" t="s">
        <v>4868</v>
      </c>
      <c r="T4585" s="1" t="s">
        <v>4869</v>
      </c>
      <c r="U4585" s="2" t="s">
        <v>8805</v>
      </c>
      <c r="V4585" s="2" t="s">
        <v>83</v>
      </c>
      <c r="W4585" s="2" t="s">
        <v>178</v>
      </c>
      <c r="X4585" s="2">
        <v>310.94</v>
      </c>
    </row>
    <row r="4586" spans="1:24" x14ac:dyDescent="0.3">
      <c r="A4586">
        <v>22427</v>
      </c>
      <c r="B4586" t="s">
        <v>10311</v>
      </c>
      <c r="C4586" s="3">
        <v>41643</v>
      </c>
      <c r="D4586" t="s">
        <v>62</v>
      </c>
      <c r="E4586">
        <v>1</v>
      </c>
      <c r="F4586" s="3">
        <f ca="1">41646+(RANDBETWEEN(1,10))</f>
        <v>41656</v>
      </c>
      <c r="G4586" t="s">
        <v>76</v>
      </c>
      <c r="H4586" t="s">
        <v>77</v>
      </c>
      <c r="I4586" t="s">
        <v>97</v>
      </c>
      <c r="J4586">
        <v>350.35</v>
      </c>
      <c r="K4586">
        <v>0.02</v>
      </c>
      <c r="L4586">
        <v>0.38</v>
      </c>
      <c r="M4586">
        <v>98</v>
      </c>
      <c r="N4586">
        <v>18.617550000000001</v>
      </c>
      <c r="O4586" s="1" t="s">
        <v>29</v>
      </c>
      <c r="P4586" s="1" t="s">
        <v>10312</v>
      </c>
      <c r="Q4586" s="1" t="s">
        <v>10313</v>
      </c>
      <c r="R4586" s="1" t="s">
        <v>32</v>
      </c>
      <c r="S4586" s="1" t="s">
        <v>4868</v>
      </c>
      <c r="T4586" s="1" t="s">
        <v>4869</v>
      </c>
      <c r="U4586" s="2" t="s">
        <v>4632</v>
      </c>
      <c r="V4586" s="2" t="s">
        <v>36</v>
      </c>
      <c r="W4586" s="2" t="s">
        <v>142</v>
      </c>
      <c r="X4586" s="2">
        <v>318.39499999999998</v>
      </c>
    </row>
    <row r="4587" spans="1:24" x14ac:dyDescent="0.3">
      <c r="A4587">
        <v>22428</v>
      </c>
      <c r="B4587" t="s">
        <v>10314</v>
      </c>
      <c r="C4587" s="3">
        <v>41482</v>
      </c>
      <c r="D4587" t="s">
        <v>62</v>
      </c>
      <c r="E4587">
        <v>12</v>
      </c>
      <c r="F4587" s="3">
        <f ca="1">41483+(RANDBETWEEN(1,10))</f>
        <v>41487</v>
      </c>
      <c r="G4587" t="s">
        <v>26</v>
      </c>
      <c r="H4587" t="s">
        <v>96</v>
      </c>
      <c r="I4587" t="s">
        <v>52</v>
      </c>
      <c r="J4587">
        <v>323.22500000000002</v>
      </c>
      <c r="K4587">
        <v>7.0000000000000007E-2</v>
      </c>
      <c r="L4587">
        <v>0.52</v>
      </c>
      <c r="M4587">
        <v>12.88</v>
      </c>
      <c r="N4587">
        <v>-216.286</v>
      </c>
      <c r="O4587" s="1" t="s">
        <v>40</v>
      </c>
      <c r="P4587" s="1" t="s">
        <v>10315</v>
      </c>
      <c r="Q4587" s="1" t="s">
        <v>10316</v>
      </c>
      <c r="R4587" s="1" t="s">
        <v>43</v>
      </c>
      <c r="S4587" s="1" t="s">
        <v>2217</v>
      </c>
      <c r="T4587" s="1" t="s">
        <v>2218</v>
      </c>
      <c r="U4587" s="2" t="s">
        <v>2888</v>
      </c>
      <c r="V4587" s="2" t="s">
        <v>83</v>
      </c>
      <c r="W4587" s="2" t="s">
        <v>178</v>
      </c>
      <c r="X4587" s="2">
        <v>26.95</v>
      </c>
    </row>
    <row r="4588" spans="1:24" x14ac:dyDescent="0.3">
      <c r="A4588">
        <v>22429</v>
      </c>
      <c r="B4588" t="s">
        <v>10317</v>
      </c>
      <c r="C4588" s="3">
        <v>41478</v>
      </c>
      <c r="D4588" t="s">
        <v>25</v>
      </c>
      <c r="E4588">
        <v>4</v>
      </c>
      <c r="F4588" s="3">
        <f ca="1">41483+(RANDBETWEEN(1,10))</f>
        <v>41487</v>
      </c>
      <c r="G4588" t="s">
        <v>26</v>
      </c>
      <c r="H4588" t="s">
        <v>63</v>
      </c>
      <c r="I4588" t="s">
        <v>97</v>
      </c>
      <c r="J4588">
        <v>4283.1949999999997</v>
      </c>
      <c r="K4588">
        <v>0.04</v>
      </c>
      <c r="L4588">
        <v>0.52</v>
      </c>
      <c r="M4588">
        <v>85.715000000000003</v>
      </c>
      <c r="N4588">
        <v>2955.4045500000002</v>
      </c>
      <c r="O4588" s="1" t="s">
        <v>53</v>
      </c>
      <c r="P4588" s="1" t="s">
        <v>10318</v>
      </c>
      <c r="Q4588" s="1" t="s">
        <v>10319</v>
      </c>
      <c r="R4588" s="1" t="s">
        <v>100</v>
      </c>
      <c r="S4588" s="1" t="s">
        <v>10320</v>
      </c>
      <c r="T4588" s="1" t="s">
        <v>10321</v>
      </c>
      <c r="U4588" s="2" t="s">
        <v>70</v>
      </c>
      <c r="V4588" s="2" t="s">
        <v>47</v>
      </c>
      <c r="W4588" s="2" t="s">
        <v>71</v>
      </c>
      <c r="X4588" s="2">
        <v>1052.2750000000001</v>
      </c>
    </row>
    <row r="4589" spans="1:24" x14ac:dyDescent="0.3">
      <c r="A4589">
        <v>22430</v>
      </c>
      <c r="B4589" t="s">
        <v>10317</v>
      </c>
      <c r="C4589" s="3">
        <v>41478</v>
      </c>
      <c r="D4589" t="s">
        <v>25</v>
      </c>
      <c r="E4589">
        <v>14</v>
      </c>
      <c r="F4589" s="3">
        <f ca="1">41478+(RANDBETWEEN(1,10))</f>
        <v>41481</v>
      </c>
      <c r="G4589" t="s">
        <v>26</v>
      </c>
      <c r="H4589" t="s">
        <v>51</v>
      </c>
      <c r="I4589" t="s">
        <v>97</v>
      </c>
      <c r="J4589">
        <v>2057.5450000000001</v>
      </c>
      <c r="K4589">
        <v>0.08</v>
      </c>
      <c r="L4589">
        <v>0.55000000000000004</v>
      </c>
      <c r="M4589">
        <v>6.9649999999999999</v>
      </c>
      <c r="N4589">
        <v>1419.70605</v>
      </c>
      <c r="O4589" s="1" t="s">
        <v>53</v>
      </c>
      <c r="P4589" s="1" t="s">
        <v>10318</v>
      </c>
      <c r="Q4589" s="1" t="s">
        <v>10319</v>
      </c>
      <c r="R4589" s="1" t="s">
        <v>100</v>
      </c>
      <c r="S4589" s="1" t="s">
        <v>10320</v>
      </c>
      <c r="T4589" s="1" t="s">
        <v>10321</v>
      </c>
      <c r="U4589" s="2" t="s">
        <v>2560</v>
      </c>
      <c r="V4589" s="2" t="s">
        <v>36</v>
      </c>
      <c r="W4589" s="2" t="s">
        <v>60</v>
      </c>
      <c r="X4589" s="2">
        <v>158.16499999999999</v>
      </c>
    </row>
    <row r="4590" spans="1:24" x14ac:dyDescent="0.3">
      <c r="A4590">
        <v>22431</v>
      </c>
      <c r="B4590" t="s">
        <v>10322</v>
      </c>
      <c r="C4590" s="3">
        <v>41719</v>
      </c>
      <c r="D4590" t="s">
        <v>25</v>
      </c>
      <c r="E4590">
        <v>6</v>
      </c>
      <c r="F4590" s="3">
        <f ca="1">41723+(RANDBETWEEN(1,10))</f>
        <v>41733</v>
      </c>
      <c r="G4590" t="s">
        <v>156</v>
      </c>
      <c r="H4590" t="s">
        <v>27</v>
      </c>
      <c r="I4590" t="s">
        <v>97</v>
      </c>
      <c r="J4590">
        <v>919.66</v>
      </c>
      <c r="K4590">
        <v>0.05</v>
      </c>
      <c r="L4590">
        <v>0.64</v>
      </c>
      <c r="M4590">
        <v>14</v>
      </c>
      <c r="N4590">
        <v>-523.32000000000005</v>
      </c>
      <c r="O4590" s="1" t="s">
        <v>40</v>
      </c>
      <c r="P4590" s="1" t="s">
        <v>8226</v>
      </c>
      <c r="Q4590" s="1" t="s">
        <v>8227</v>
      </c>
      <c r="R4590" s="1" t="s">
        <v>43</v>
      </c>
      <c r="S4590" s="1" t="s">
        <v>8228</v>
      </c>
      <c r="T4590" s="1" t="s">
        <v>8229</v>
      </c>
      <c r="U4590" s="2" t="s">
        <v>4657</v>
      </c>
      <c r="V4590" s="2" t="s">
        <v>36</v>
      </c>
      <c r="W4590" s="2" t="s">
        <v>60</v>
      </c>
      <c r="X4590" s="2">
        <v>151.27000000000001</v>
      </c>
    </row>
    <row r="4591" spans="1:24" x14ac:dyDescent="0.3">
      <c r="A4591">
        <v>22432</v>
      </c>
      <c r="B4591" t="s">
        <v>10322</v>
      </c>
      <c r="C4591" s="3">
        <v>41719</v>
      </c>
      <c r="D4591" t="s">
        <v>25</v>
      </c>
      <c r="E4591">
        <v>6</v>
      </c>
      <c r="F4591" s="3">
        <f ca="1">41728+(RANDBETWEEN(1,10))</f>
        <v>41731</v>
      </c>
      <c r="G4591" t="s">
        <v>156</v>
      </c>
      <c r="H4591" t="s">
        <v>27</v>
      </c>
      <c r="I4591" t="s">
        <v>97</v>
      </c>
      <c r="J4591">
        <v>3687.6350000000002</v>
      </c>
      <c r="K4591">
        <v>0</v>
      </c>
      <c r="L4591">
        <v>0.56000000000000005</v>
      </c>
      <c r="M4591">
        <v>18.41</v>
      </c>
      <c r="N4591">
        <v>-10.927</v>
      </c>
      <c r="O4591" s="1" t="s">
        <v>40</v>
      </c>
      <c r="P4591" s="1" t="s">
        <v>8226</v>
      </c>
      <c r="Q4591" s="1" t="s">
        <v>8227</v>
      </c>
      <c r="R4591" s="1" t="s">
        <v>43</v>
      </c>
      <c r="S4591" s="1" t="s">
        <v>8228</v>
      </c>
      <c r="T4591" s="1" t="s">
        <v>8229</v>
      </c>
      <c r="U4591" s="2" t="s">
        <v>1881</v>
      </c>
      <c r="V4591" s="2" t="s">
        <v>36</v>
      </c>
      <c r="W4591" s="2" t="s">
        <v>37</v>
      </c>
      <c r="X4591" s="2">
        <v>720.96500000000003</v>
      </c>
    </row>
    <row r="4592" spans="1:24" x14ac:dyDescent="0.3">
      <c r="A4592">
        <v>22433</v>
      </c>
      <c r="B4592" t="s">
        <v>10323</v>
      </c>
      <c r="C4592" s="3">
        <v>41065</v>
      </c>
      <c r="D4592" t="s">
        <v>62</v>
      </c>
      <c r="E4592">
        <v>2</v>
      </c>
      <c r="F4592" s="3">
        <f ca="1">41066+(RANDBETWEEN(1,10))</f>
        <v>41067</v>
      </c>
      <c r="G4592" t="s">
        <v>26</v>
      </c>
      <c r="H4592" t="s">
        <v>51</v>
      </c>
      <c r="I4592" t="s">
        <v>28</v>
      </c>
      <c r="J4592">
        <v>60.9</v>
      </c>
      <c r="K4592">
        <v>0.06</v>
      </c>
      <c r="L4592">
        <v>0.52</v>
      </c>
      <c r="M4592">
        <v>6.9649999999999999</v>
      </c>
      <c r="N4592">
        <v>-60.031999999999996</v>
      </c>
      <c r="O4592" s="1" t="s">
        <v>87</v>
      </c>
      <c r="P4592" s="1" t="s">
        <v>1027</v>
      </c>
      <c r="Q4592" s="1" t="s">
        <v>1028</v>
      </c>
      <c r="R4592" s="1" t="s">
        <v>398</v>
      </c>
      <c r="S4592" s="1" t="s">
        <v>1029</v>
      </c>
      <c r="T4592" s="1" t="s">
        <v>1030</v>
      </c>
      <c r="U4592" s="2" t="s">
        <v>2853</v>
      </c>
      <c r="V4592" s="2" t="s">
        <v>36</v>
      </c>
      <c r="W4592" s="2" t="s">
        <v>60</v>
      </c>
      <c r="X4592" s="2">
        <v>29.155000000000001</v>
      </c>
    </row>
    <row r="4593" spans="1:24" x14ac:dyDescent="0.3">
      <c r="A4593">
        <v>22434</v>
      </c>
      <c r="B4593" t="s">
        <v>10323</v>
      </c>
      <c r="C4593" s="3">
        <v>41065</v>
      </c>
      <c r="D4593" t="s">
        <v>62</v>
      </c>
      <c r="E4593">
        <v>10</v>
      </c>
      <c r="F4593" s="3">
        <f ca="1">41067+(RANDBETWEEN(1,10))</f>
        <v>41069</v>
      </c>
      <c r="G4593" t="s">
        <v>26</v>
      </c>
      <c r="H4593" t="s">
        <v>27</v>
      </c>
      <c r="I4593" t="s">
        <v>28</v>
      </c>
      <c r="J4593">
        <v>3700.62</v>
      </c>
      <c r="K4593">
        <v>0.06</v>
      </c>
      <c r="L4593">
        <v>0.78</v>
      </c>
      <c r="M4593">
        <v>30.24</v>
      </c>
      <c r="N4593">
        <v>256.74599999999998</v>
      </c>
      <c r="O4593" s="1" t="s">
        <v>87</v>
      </c>
      <c r="P4593" s="1" t="s">
        <v>1027</v>
      </c>
      <c r="Q4593" s="1" t="s">
        <v>1028</v>
      </c>
      <c r="R4593" s="1" t="s">
        <v>398</v>
      </c>
      <c r="S4593" s="1" t="s">
        <v>1029</v>
      </c>
      <c r="T4593" s="1" t="s">
        <v>1030</v>
      </c>
      <c r="U4593" s="2" t="s">
        <v>5174</v>
      </c>
      <c r="V4593" s="2" t="s">
        <v>47</v>
      </c>
      <c r="W4593" s="2" t="s">
        <v>119</v>
      </c>
      <c r="X4593" s="2">
        <v>388.60500000000002</v>
      </c>
    </row>
    <row r="4594" spans="1:24" x14ac:dyDescent="0.3">
      <c r="A4594">
        <v>22435</v>
      </c>
      <c r="B4594" t="s">
        <v>10324</v>
      </c>
      <c r="C4594" s="3">
        <v>41149</v>
      </c>
      <c r="D4594" t="s">
        <v>62</v>
      </c>
      <c r="E4594">
        <v>20</v>
      </c>
      <c r="F4594" s="3">
        <f ca="1">41150+(RANDBETWEEN(1,10))</f>
        <v>41159</v>
      </c>
      <c r="G4594" t="s">
        <v>26</v>
      </c>
      <c r="H4594" t="s">
        <v>27</v>
      </c>
      <c r="I4594" t="s">
        <v>52</v>
      </c>
      <c r="J4594">
        <v>284.2</v>
      </c>
      <c r="K4594">
        <v>0.08</v>
      </c>
      <c r="L4594">
        <v>0.35</v>
      </c>
      <c r="M4594">
        <v>18.934999999999999</v>
      </c>
      <c r="N4594">
        <v>-284.66892999999999</v>
      </c>
      <c r="O4594" s="1" t="s">
        <v>40</v>
      </c>
      <c r="P4594" s="1" t="s">
        <v>1842</v>
      </c>
      <c r="Q4594" s="1" t="s">
        <v>1843</v>
      </c>
      <c r="R4594" s="1" t="s">
        <v>43</v>
      </c>
      <c r="S4594" s="1" t="s">
        <v>1844</v>
      </c>
      <c r="T4594" s="1" t="s">
        <v>1845</v>
      </c>
      <c r="U4594" s="2" t="s">
        <v>231</v>
      </c>
      <c r="V4594" s="2" t="s">
        <v>47</v>
      </c>
      <c r="W4594" s="2" t="s">
        <v>111</v>
      </c>
      <c r="X4594" s="2">
        <v>14.84</v>
      </c>
    </row>
    <row r="4595" spans="1:24" x14ac:dyDescent="0.3">
      <c r="A4595">
        <v>22436</v>
      </c>
      <c r="B4595" t="s">
        <v>10324</v>
      </c>
      <c r="C4595" s="3">
        <v>41149</v>
      </c>
      <c r="D4595" t="s">
        <v>62</v>
      </c>
      <c r="E4595">
        <v>21</v>
      </c>
      <c r="F4595" s="3">
        <f ca="1">41150+(RANDBETWEEN(1,10))</f>
        <v>41151</v>
      </c>
      <c r="G4595" t="s">
        <v>26</v>
      </c>
      <c r="H4595" t="s">
        <v>27</v>
      </c>
      <c r="I4595" t="s">
        <v>52</v>
      </c>
      <c r="J4595">
        <v>225.435</v>
      </c>
      <c r="K4595">
        <v>0.04</v>
      </c>
      <c r="L4595">
        <v>0.37</v>
      </c>
      <c r="M4595">
        <v>3.4649999999999999</v>
      </c>
      <c r="N4595">
        <v>155.55015</v>
      </c>
      <c r="O4595" s="1" t="s">
        <v>40</v>
      </c>
      <c r="P4595" s="1" t="s">
        <v>1842</v>
      </c>
      <c r="Q4595" s="1" t="s">
        <v>1843</v>
      </c>
      <c r="R4595" s="1" t="s">
        <v>43</v>
      </c>
      <c r="S4595" s="1" t="s">
        <v>1844</v>
      </c>
      <c r="T4595" s="1" t="s">
        <v>1845</v>
      </c>
      <c r="U4595" s="2" t="s">
        <v>796</v>
      </c>
      <c r="V4595" s="2" t="s">
        <v>47</v>
      </c>
      <c r="W4595" s="2" t="s">
        <v>203</v>
      </c>
      <c r="X4595" s="2">
        <v>10.78</v>
      </c>
    </row>
    <row r="4596" spans="1:24" x14ac:dyDescent="0.3">
      <c r="A4596">
        <v>22437</v>
      </c>
      <c r="B4596" t="s">
        <v>10325</v>
      </c>
      <c r="C4596" s="3">
        <v>41466</v>
      </c>
      <c r="D4596" t="s">
        <v>62</v>
      </c>
      <c r="E4596">
        <v>5</v>
      </c>
      <c r="F4596" s="3">
        <f ca="1">41466+(RANDBETWEEN(1,10))</f>
        <v>41468</v>
      </c>
      <c r="G4596" t="s">
        <v>26</v>
      </c>
      <c r="H4596" t="s">
        <v>27</v>
      </c>
      <c r="I4596" t="s">
        <v>28</v>
      </c>
      <c r="J4596">
        <v>503.96499999999997</v>
      </c>
      <c r="K4596">
        <v>0.02</v>
      </c>
      <c r="L4596">
        <v>0.38</v>
      </c>
      <c r="M4596">
        <v>5.2149999999999999</v>
      </c>
      <c r="N4596">
        <v>347.73585000000003</v>
      </c>
      <c r="O4596" s="1" t="s">
        <v>64</v>
      </c>
      <c r="P4596" s="1" t="s">
        <v>9470</v>
      </c>
      <c r="Q4596" s="1" t="s">
        <v>9471</v>
      </c>
      <c r="R4596" s="1" t="s">
        <v>128</v>
      </c>
      <c r="S4596" s="1" t="s">
        <v>9472</v>
      </c>
      <c r="T4596" s="1" t="s">
        <v>9473</v>
      </c>
      <c r="U4596" s="2" t="s">
        <v>301</v>
      </c>
      <c r="V4596" s="2" t="s">
        <v>47</v>
      </c>
      <c r="W4596" s="2" t="s">
        <v>111</v>
      </c>
      <c r="X4596" s="2">
        <v>99.855000000000004</v>
      </c>
    </row>
    <row r="4597" spans="1:24" x14ac:dyDescent="0.3">
      <c r="A4597">
        <v>22438</v>
      </c>
      <c r="B4597" t="s">
        <v>10326</v>
      </c>
      <c r="C4597" s="3">
        <v>40803</v>
      </c>
      <c r="D4597" t="s">
        <v>25</v>
      </c>
      <c r="E4597">
        <v>5</v>
      </c>
      <c r="F4597" s="3">
        <f ca="1">40810+(RANDBETWEEN(1,10))</f>
        <v>40816</v>
      </c>
      <c r="G4597" t="s">
        <v>26</v>
      </c>
      <c r="H4597" t="s">
        <v>27</v>
      </c>
      <c r="I4597" t="s">
        <v>28</v>
      </c>
      <c r="J4597">
        <v>182.73500000000001</v>
      </c>
      <c r="K4597">
        <v>0.1</v>
      </c>
      <c r="L4597">
        <v>0.57999999999999996</v>
      </c>
      <c r="M4597">
        <v>13.965</v>
      </c>
      <c r="N4597">
        <v>-73.605000000000004</v>
      </c>
      <c r="O4597" s="1" t="s">
        <v>29</v>
      </c>
      <c r="P4597" s="1" t="s">
        <v>9451</v>
      </c>
      <c r="Q4597" s="1" t="s">
        <v>9452</v>
      </c>
      <c r="R4597" s="1" t="s">
        <v>32</v>
      </c>
      <c r="S4597" s="1" t="s">
        <v>3721</v>
      </c>
      <c r="T4597" s="1" t="s">
        <v>3722</v>
      </c>
      <c r="U4597" s="2" t="s">
        <v>4098</v>
      </c>
      <c r="V4597" s="2" t="s">
        <v>47</v>
      </c>
      <c r="W4597" s="2" t="s">
        <v>71</v>
      </c>
      <c r="X4597" s="2">
        <v>38.43</v>
      </c>
    </row>
    <row r="4598" spans="1:24" x14ac:dyDescent="0.3">
      <c r="A4598">
        <v>22439</v>
      </c>
      <c r="B4598" t="s">
        <v>10326</v>
      </c>
      <c r="C4598" s="3">
        <v>40803</v>
      </c>
      <c r="D4598" t="s">
        <v>25</v>
      </c>
      <c r="E4598">
        <v>4</v>
      </c>
      <c r="F4598" s="3">
        <f ca="1">40805+(RANDBETWEEN(1,10))</f>
        <v>40814</v>
      </c>
      <c r="G4598" t="s">
        <v>26</v>
      </c>
      <c r="H4598" t="s">
        <v>96</v>
      </c>
      <c r="I4598" t="s">
        <v>28</v>
      </c>
      <c r="J4598">
        <v>596.12</v>
      </c>
      <c r="K4598">
        <v>0.01</v>
      </c>
      <c r="L4598">
        <v>0.65</v>
      </c>
      <c r="M4598">
        <v>32.200000000000003</v>
      </c>
      <c r="N4598">
        <v>411.32279999999997</v>
      </c>
      <c r="O4598" s="1" t="s">
        <v>29</v>
      </c>
      <c r="P4598" s="1" t="s">
        <v>9451</v>
      </c>
      <c r="Q4598" s="1" t="s">
        <v>9452</v>
      </c>
      <c r="R4598" s="1" t="s">
        <v>32</v>
      </c>
      <c r="S4598" s="1" t="s">
        <v>3721</v>
      </c>
      <c r="T4598" s="1" t="s">
        <v>3722</v>
      </c>
      <c r="U4598" s="2" t="s">
        <v>5818</v>
      </c>
      <c r="V4598" s="2" t="s">
        <v>83</v>
      </c>
      <c r="W4598" s="2" t="s">
        <v>178</v>
      </c>
      <c r="X4598" s="2">
        <v>139.93</v>
      </c>
    </row>
    <row r="4599" spans="1:24" x14ac:dyDescent="0.3">
      <c r="A4599">
        <v>22440</v>
      </c>
      <c r="B4599" t="s">
        <v>10327</v>
      </c>
      <c r="C4599" s="3">
        <v>41497</v>
      </c>
      <c r="D4599" t="s">
        <v>62</v>
      </c>
      <c r="E4599">
        <v>10</v>
      </c>
      <c r="F4599" s="3">
        <f ca="1">41499+(RANDBETWEEN(1,10))</f>
        <v>41505</v>
      </c>
      <c r="G4599" t="s">
        <v>26</v>
      </c>
      <c r="H4599" t="s">
        <v>27</v>
      </c>
      <c r="I4599" t="s">
        <v>97</v>
      </c>
      <c r="J4599">
        <v>1939.63</v>
      </c>
      <c r="K4599">
        <v>0.05</v>
      </c>
      <c r="L4599">
        <v>0.55000000000000004</v>
      </c>
      <c r="M4599">
        <v>8.75</v>
      </c>
      <c r="N4599">
        <v>-818.59400000000005</v>
      </c>
      <c r="O4599" s="1" t="s">
        <v>53</v>
      </c>
      <c r="P4599" s="1" t="s">
        <v>7483</v>
      </c>
      <c r="Q4599" s="1" t="s">
        <v>7484</v>
      </c>
      <c r="R4599" s="1" t="s">
        <v>56</v>
      </c>
      <c r="S4599" s="1" t="s">
        <v>7485</v>
      </c>
      <c r="T4599" s="1" t="s">
        <v>7486</v>
      </c>
      <c r="U4599" s="2">
        <v>6000</v>
      </c>
      <c r="V4599" s="2" t="s">
        <v>36</v>
      </c>
      <c r="W4599" s="2" t="s">
        <v>37</v>
      </c>
      <c r="X4599" s="2">
        <v>230.965</v>
      </c>
    </row>
    <row r="4600" spans="1:24" x14ac:dyDescent="0.3">
      <c r="A4600">
        <v>22441</v>
      </c>
      <c r="B4600" t="s">
        <v>10328</v>
      </c>
      <c r="C4600" s="3">
        <v>41506</v>
      </c>
      <c r="D4600" t="s">
        <v>39</v>
      </c>
      <c r="E4600">
        <v>4</v>
      </c>
      <c r="F4600" s="3">
        <f ca="1">41506+(RANDBETWEEN(1,10))</f>
        <v>41507</v>
      </c>
      <c r="G4600" t="s">
        <v>26</v>
      </c>
      <c r="H4600" t="s">
        <v>51</v>
      </c>
      <c r="I4600" t="s">
        <v>97</v>
      </c>
      <c r="J4600">
        <v>120.645</v>
      </c>
      <c r="K4600">
        <v>0</v>
      </c>
      <c r="L4600">
        <v>0.74</v>
      </c>
      <c r="M4600">
        <v>8.33</v>
      </c>
      <c r="N4600">
        <v>-709.86300000000006</v>
      </c>
      <c r="O4600" s="1" t="s">
        <v>64</v>
      </c>
      <c r="P4600" s="1" t="s">
        <v>10329</v>
      </c>
      <c r="Q4600" s="1" t="s">
        <v>10330</v>
      </c>
      <c r="R4600" s="1" t="s">
        <v>128</v>
      </c>
      <c r="S4600" s="1" t="s">
        <v>10331</v>
      </c>
      <c r="T4600" s="1" t="s">
        <v>10332</v>
      </c>
      <c r="U4600" s="2" t="s">
        <v>152</v>
      </c>
      <c r="V4600" s="2" t="s">
        <v>36</v>
      </c>
      <c r="W4600" s="2" t="s">
        <v>60</v>
      </c>
      <c r="X4600" s="2">
        <v>29.12</v>
      </c>
    </row>
    <row r="4601" spans="1:24" x14ac:dyDescent="0.3">
      <c r="A4601">
        <v>22442</v>
      </c>
      <c r="B4601" t="s">
        <v>10328</v>
      </c>
      <c r="C4601" s="3">
        <v>41506</v>
      </c>
      <c r="D4601" t="s">
        <v>39</v>
      </c>
      <c r="E4601">
        <v>5</v>
      </c>
      <c r="F4601" s="3">
        <f ca="1">41508+(RANDBETWEEN(1,10))</f>
        <v>41516</v>
      </c>
      <c r="G4601" t="s">
        <v>26</v>
      </c>
      <c r="H4601" t="s">
        <v>27</v>
      </c>
      <c r="I4601" t="s">
        <v>97</v>
      </c>
      <c r="J4601">
        <v>129.57</v>
      </c>
      <c r="K4601">
        <v>0.03</v>
      </c>
      <c r="L4601">
        <v>0.37</v>
      </c>
      <c r="M4601">
        <v>25.55</v>
      </c>
      <c r="N4601">
        <v>-1016.064</v>
      </c>
      <c r="O4601" s="1" t="s">
        <v>64</v>
      </c>
      <c r="P4601" s="1" t="s">
        <v>10329</v>
      </c>
      <c r="Q4601" s="1" t="s">
        <v>10330</v>
      </c>
      <c r="R4601" s="1" t="s">
        <v>128</v>
      </c>
      <c r="S4601" s="1" t="s">
        <v>10331</v>
      </c>
      <c r="T4601" s="1" t="s">
        <v>10332</v>
      </c>
      <c r="U4601" s="2" t="s">
        <v>6901</v>
      </c>
      <c r="V4601" s="2" t="s">
        <v>47</v>
      </c>
      <c r="W4601" s="2" t="s">
        <v>74</v>
      </c>
      <c r="X4601" s="2">
        <v>23.38</v>
      </c>
    </row>
    <row r="4602" spans="1:24" x14ac:dyDescent="0.3">
      <c r="A4602">
        <v>22443</v>
      </c>
      <c r="B4602" t="s">
        <v>10333</v>
      </c>
      <c r="C4602" s="3">
        <v>41132</v>
      </c>
      <c r="D4602" t="s">
        <v>50</v>
      </c>
      <c r="E4602">
        <v>9</v>
      </c>
      <c r="F4602" s="3">
        <f ca="1">41133+(RANDBETWEEN(1,10))</f>
        <v>41134</v>
      </c>
      <c r="G4602" t="s">
        <v>26</v>
      </c>
      <c r="H4602" t="s">
        <v>27</v>
      </c>
      <c r="I4602" t="s">
        <v>52</v>
      </c>
      <c r="J4602">
        <v>2495.08</v>
      </c>
      <c r="K4602">
        <v>0.02</v>
      </c>
      <c r="L4602">
        <v>0.76</v>
      </c>
      <c r="M4602">
        <v>14</v>
      </c>
      <c r="N4602">
        <v>-0.56420000000000003</v>
      </c>
      <c r="O4602" s="1" t="s">
        <v>64</v>
      </c>
      <c r="P4602" s="1" t="s">
        <v>10334</v>
      </c>
      <c r="Q4602" s="1" t="s">
        <v>10335</v>
      </c>
      <c r="R4602" s="1" t="s">
        <v>67</v>
      </c>
      <c r="S4602" s="1" t="s">
        <v>5781</v>
      </c>
      <c r="T4602" s="1" t="s">
        <v>5782</v>
      </c>
      <c r="U4602" s="2" t="s">
        <v>8145</v>
      </c>
      <c r="V4602" s="2" t="s">
        <v>36</v>
      </c>
      <c r="W4602" s="2" t="s">
        <v>60</v>
      </c>
      <c r="X4602" s="2">
        <v>271.28500000000003</v>
      </c>
    </row>
    <row r="4603" spans="1:24" x14ac:dyDescent="0.3">
      <c r="A4603">
        <v>22444</v>
      </c>
      <c r="B4603" t="s">
        <v>10336</v>
      </c>
      <c r="C4603" s="3">
        <v>41950</v>
      </c>
      <c r="D4603" t="s">
        <v>50</v>
      </c>
      <c r="E4603">
        <v>34</v>
      </c>
      <c r="F4603" s="3">
        <f ca="1">41951+(RANDBETWEEN(1,10))</f>
        <v>41956</v>
      </c>
      <c r="G4603" t="s">
        <v>26</v>
      </c>
      <c r="H4603" t="s">
        <v>27</v>
      </c>
      <c r="I4603" t="s">
        <v>28</v>
      </c>
      <c r="J4603">
        <v>664.26499999999999</v>
      </c>
      <c r="K4603">
        <v>0.02</v>
      </c>
      <c r="L4603">
        <v>0.4</v>
      </c>
      <c r="M4603">
        <v>19.809999999999999</v>
      </c>
      <c r="N4603">
        <v>800.45280000000002</v>
      </c>
      <c r="O4603" s="1" t="s">
        <v>29</v>
      </c>
      <c r="P4603" s="1" t="s">
        <v>8740</v>
      </c>
      <c r="Q4603" s="1" t="s">
        <v>8741</v>
      </c>
      <c r="R4603" s="1" t="s">
        <v>460</v>
      </c>
      <c r="S4603" s="1" t="s">
        <v>8742</v>
      </c>
      <c r="T4603" s="1" t="s">
        <v>8743</v>
      </c>
      <c r="U4603" s="2" t="s">
        <v>9988</v>
      </c>
      <c r="V4603" s="2" t="s">
        <v>47</v>
      </c>
      <c r="W4603" s="2" t="s">
        <v>74</v>
      </c>
      <c r="X4603" s="2">
        <v>18.48</v>
      </c>
    </row>
    <row r="4604" spans="1:24" x14ac:dyDescent="0.3">
      <c r="A4604">
        <v>22445</v>
      </c>
      <c r="B4604" t="s">
        <v>10337</v>
      </c>
      <c r="C4604" s="3">
        <v>40977</v>
      </c>
      <c r="D4604" t="s">
        <v>25</v>
      </c>
      <c r="E4604">
        <v>11</v>
      </c>
      <c r="F4604" s="3">
        <f ca="1">40986+(RANDBETWEEN(1,10))</f>
        <v>40992</v>
      </c>
      <c r="G4604" t="s">
        <v>26</v>
      </c>
      <c r="H4604" t="s">
        <v>63</v>
      </c>
      <c r="I4604" t="s">
        <v>28</v>
      </c>
      <c r="J4604">
        <v>2921.2049999999999</v>
      </c>
      <c r="K4604">
        <v>0.09</v>
      </c>
      <c r="L4604">
        <v>0.54</v>
      </c>
      <c r="M4604">
        <v>69.825000000000003</v>
      </c>
      <c r="N4604">
        <v>1593.97</v>
      </c>
      <c r="O4604" s="1" t="s">
        <v>87</v>
      </c>
      <c r="P4604" s="1" t="s">
        <v>10338</v>
      </c>
      <c r="Q4604" s="1" t="s">
        <v>10339</v>
      </c>
      <c r="R4604" s="1" t="s">
        <v>90</v>
      </c>
      <c r="S4604" s="1" t="s">
        <v>10340</v>
      </c>
      <c r="T4604" s="1" t="s">
        <v>10341</v>
      </c>
      <c r="U4604" s="2" t="s">
        <v>3037</v>
      </c>
      <c r="V4604" s="2" t="s">
        <v>47</v>
      </c>
      <c r="W4604" s="2" t="s">
        <v>71</v>
      </c>
      <c r="X4604" s="2">
        <v>268.52</v>
      </c>
    </row>
    <row r="4605" spans="1:24" x14ac:dyDescent="0.3">
      <c r="A4605">
        <v>22446</v>
      </c>
      <c r="B4605" t="s">
        <v>10342</v>
      </c>
      <c r="C4605" s="3">
        <v>41898</v>
      </c>
      <c r="D4605" t="s">
        <v>62</v>
      </c>
      <c r="E4605">
        <v>8</v>
      </c>
      <c r="F4605" s="3">
        <f ca="1">41901+(RANDBETWEEN(1,10))</f>
        <v>41911</v>
      </c>
      <c r="G4605" t="s">
        <v>26</v>
      </c>
      <c r="H4605" t="s">
        <v>96</v>
      </c>
      <c r="I4605" t="s">
        <v>28</v>
      </c>
      <c r="J4605">
        <v>167.93</v>
      </c>
      <c r="K4605">
        <v>0.02</v>
      </c>
      <c r="L4605">
        <v>0.39</v>
      </c>
      <c r="M4605">
        <v>5.1100000000000003</v>
      </c>
      <c r="N4605">
        <v>88.754400000000004</v>
      </c>
      <c r="O4605" s="1" t="s">
        <v>64</v>
      </c>
      <c r="P4605" s="1" t="s">
        <v>10343</v>
      </c>
      <c r="Q4605" s="1" t="s">
        <v>10344</v>
      </c>
      <c r="R4605" s="1" t="s">
        <v>67</v>
      </c>
      <c r="S4605" s="1" t="s">
        <v>10345</v>
      </c>
      <c r="T4605" s="1" t="s">
        <v>10346</v>
      </c>
      <c r="U4605" s="2" t="s">
        <v>8262</v>
      </c>
      <c r="V4605" s="2" t="s">
        <v>47</v>
      </c>
      <c r="W4605" s="2" t="s">
        <v>74</v>
      </c>
      <c r="X4605" s="2">
        <v>19.88</v>
      </c>
    </row>
    <row r="4606" spans="1:24" x14ac:dyDescent="0.3">
      <c r="A4606">
        <v>22447</v>
      </c>
      <c r="B4606" t="s">
        <v>10342</v>
      </c>
      <c r="C4606" s="3">
        <v>41898</v>
      </c>
      <c r="D4606" t="s">
        <v>62</v>
      </c>
      <c r="E4606">
        <v>15</v>
      </c>
      <c r="F4606" s="3">
        <f ca="1">41900+(RANDBETWEEN(1,10))</f>
        <v>41902</v>
      </c>
      <c r="G4606" t="s">
        <v>156</v>
      </c>
      <c r="H4606" t="s">
        <v>27</v>
      </c>
      <c r="I4606" t="s">
        <v>28</v>
      </c>
      <c r="J4606">
        <v>856.69500000000005</v>
      </c>
      <c r="K4606">
        <v>0.04</v>
      </c>
      <c r="L4606">
        <v>0.59</v>
      </c>
      <c r="M4606">
        <v>62.23</v>
      </c>
      <c r="N4606">
        <v>-1056.7396000000001</v>
      </c>
      <c r="O4606" s="1" t="s">
        <v>64</v>
      </c>
      <c r="P4606" s="1" t="s">
        <v>10343</v>
      </c>
      <c r="Q4606" s="1" t="s">
        <v>10344</v>
      </c>
      <c r="R4606" s="1" t="s">
        <v>67</v>
      </c>
      <c r="S4606" s="1" t="s">
        <v>10345</v>
      </c>
      <c r="T4606" s="1" t="s">
        <v>10346</v>
      </c>
      <c r="U4606" s="2" t="s">
        <v>4598</v>
      </c>
      <c r="V4606" s="2" t="s">
        <v>47</v>
      </c>
      <c r="W4606" s="2" t="s">
        <v>119</v>
      </c>
      <c r="X4606" s="2">
        <v>54.284999999999997</v>
      </c>
    </row>
    <row r="4607" spans="1:24" x14ac:dyDescent="0.3">
      <c r="A4607">
        <v>22448</v>
      </c>
      <c r="B4607" t="s">
        <v>10347</v>
      </c>
      <c r="C4607" s="3">
        <v>41413</v>
      </c>
      <c r="D4607" t="s">
        <v>39</v>
      </c>
      <c r="E4607">
        <v>17</v>
      </c>
      <c r="F4607" s="3">
        <f ca="1">41413+(RANDBETWEEN(1,10))</f>
        <v>41418</v>
      </c>
      <c r="G4607" t="s">
        <v>26</v>
      </c>
      <c r="H4607" t="s">
        <v>96</v>
      </c>
      <c r="I4607" t="s">
        <v>28</v>
      </c>
      <c r="J4607">
        <v>166.42500000000001</v>
      </c>
      <c r="K4607">
        <v>7.0000000000000007E-2</v>
      </c>
      <c r="L4607">
        <v>0.45</v>
      </c>
      <c r="M4607">
        <v>4.6900000000000004</v>
      </c>
      <c r="N4607">
        <v>-243.87299999999999</v>
      </c>
      <c r="O4607" s="1" t="s">
        <v>64</v>
      </c>
      <c r="P4607" s="1" t="s">
        <v>3595</v>
      </c>
      <c r="Q4607" s="1" t="s">
        <v>3596</v>
      </c>
      <c r="R4607" s="1" t="s">
        <v>67</v>
      </c>
      <c r="S4607" s="1" t="s">
        <v>3597</v>
      </c>
      <c r="T4607" s="1" t="s">
        <v>3598</v>
      </c>
      <c r="U4607" s="2" t="s">
        <v>1227</v>
      </c>
      <c r="V4607" s="2" t="s">
        <v>47</v>
      </c>
      <c r="W4607" s="2" t="s">
        <v>104</v>
      </c>
      <c r="X4607" s="2">
        <v>9.73</v>
      </c>
    </row>
    <row r="4608" spans="1:24" x14ac:dyDescent="0.3">
      <c r="A4608">
        <v>22449</v>
      </c>
      <c r="B4608" t="s">
        <v>10348</v>
      </c>
      <c r="C4608" s="3">
        <v>40552</v>
      </c>
      <c r="D4608" t="s">
        <v>50</v>
      </c>
      <c r="E4608">
        <v>6</v>
      </c>
      <c r="F4608" s="3">
        <f ca="1">40554+(RANDBETWEEN(1,10))</f>
        <v>40560</v>
      </c>
      <c r="G4608" t="s">
        <v>26</v>
      </c>
      <c r="H4608" t="s">
        <v>96</v>
      </c>
      <c r="I4608" t="s">
        <v>86</v>
      </c>
      <c r="J4608">
        <v>56.104999999999997</v>
      </c>
      <c r="K4608">
        <v>0.09</v>
      </c>
      <c r="L4608">
        <v>0.59</v>
      </c>
      <c r="M4608">
        <v>3.395</v>
      </c>
      <c r="N4608">
        <v>-17.750599999999999</v>
      </c>
      <c r="O4608" s="1" t="s">
        <v>29</v>
      </c>
      <c r="P4608" s="1" t="s">
        <v>10349</v>
      </c>
      <c r="Q4608" s="1" t="s">
        <v>10350</v>
      </c>
      <c r="R4608" s="1" t="s">
        <v>32</v>
      </c>
      <c r="S4608" s="1" t="s">
        <v>6074</v>
      </c>
      <c r="T4608" s="1" t="s">
        <v>6075</v>
      </c>
      <c r="U4608" s="2" t="s">
        <v>4579</v>
      </c>
      <c r="V4608" s="2" t="s">
        <v>47</v>
      </c>
      <c r="W4608" s="2" t="s">
        <v>104</v>
      </c>
      <c r="X4608" s="2">
        <v>9.73</v>
      </c>
    </row>
    <row r="4609" spans="1:24" x14ac:dyDescent="0.3">
      <c r="A4609">
        <v>22450</v>
      </c>
      <c r="B4609" t="s">
        <v>10348</v>
      </c>
      <c r="C4609" s="3">
        <v>40552</v>
      </c>
      <c r="D4609" t="s">
        <v>50</v>
      </c>
      <c r="E4609">
        <v>3</v>
      </c>
      <c r="F4609" s="3">
        <f ca="1">40553+(RANDBETWEEN(1,10))</f>
        <v>40558</v>
      </c>
      <c r="G4609" t="s">
        <v>26</v>
      </c>
      <c r="H4609" t="s">
        <v>27</v>
      </c>
      <c r="I4609" t="s">
        <v>86</v>
      </c>
      <c r="J4609">
        <v>65.38</v>
      </c>
      <c r="K4609">
        <v>0.01</v>
      </c>
      <c r="L4609">
        <v>0.36</v>
      </c>
      <c r="M4609">
        <v>26.495000000000001</v>
      </c>
      <c r="N4609">
        <v>-233.72853000000001</v>
      </c>
      <c r="O4609" s="1" t="s">
        <v>53</v>
      </c>
      <c r="P4609" s="1" t="s">
        <v>3066</v>
      </c>
      <c r="Q4609" s="1" t="s">
        <v>3067</v>
      </c>
      <c r="R4609" s="1" t="s">
        <v>440</v>
      </c>
      <c r="S4609" s="1" t="s">
        <v>3068</v>
      </c>
      <c r="T4609" s="1" t="s">
        <v>3069</v>
      </c>
      <c r="U4609" s="2" t="s">
        <v>8401</v>
      </c>
      <c r="V4609" s="2" t="s">
        <v>47</v>
      </c>
      <c r="W4609" s="2" t="s">
        <v>111</v>
      </c>
      <c r="X4609" s="2">
        <v>18.829999999999998</v>
      </c>
    </row>
    <row r="4610" spans="1:24" x14ac:dyDescent="0.3">
      <c r="A4610">
        <v>22451</v>
      </c>
      <c r="B4610" t="s">
        <v>10348</v>
      </c>
      <c r="C4610" s="3">
        <v>40552</v>
      </c>
      <c r="D4610" t="s">
        <v>50</v>
      </c>
      <c r="E4610">
        <v>11</v>
      </c>
      <c r="F4610" s="3">
        <f ca="1">40552+(RANDBETWEEN(1,10))</f>
        <v>40555</v>
      </c>
      <c r="G4610" t="s">
        <v>26</v>
      </c>
      <c r="H4610" t="s">
        <v>96</v>
      </c>
      <c r="I4610" t="s">
        <v>86</v>
      </c>
      <c r="J4610">
        <v>127.05</v>
      </c>
      <c r="K4610">
        <v>0.05</v>
      </c>
      <c r="L4610">
        <v>0.56000000000000005</v>
      </c>
      <c r="M4610">
        <v>13.895</v>
      </c>
      <c r="N4610">
        <v>-507.2158</v>
      </c>
      <c r="O4610" s="1" t="s">
        <v>53</v>
      </c>
      <c r="P4610" s="1" t="s">
        <v>3066</v>
      </c>
      <c r="Q4610" s="1" t="s">
        <v>3067</v>
      </c>
      <c r="R4610" s="1" t="s">
        <v>440</v>
      </c>
      <c r="S4610" s="1" t="s">
        <v>3068</v>
      </c>
      <c r="T4610" s="1" t="s">
        <v>3069</v>
      </c>
      <c r="U4610" s="2" t="s">
        <v>4166</v>
      </c>
      <c r="V4610" s="2" t="s">
        <v>47</v>
      </c>
      <c r="W4610" s="2" t="s">
        <v>104</v>
      </c>
      <c r="X4610" s="2">
        <v>11.48</v>
      </c>
    </row>
    <row r="4611" spans="1:24" x14ac:dyDescent="0.3">
      <c r="A4611">
        <v>22452</v>
      </c>
      <c r="B4611" t="s">
        <v>10351</v>
      </c>
      <c r="C4611" s="3">
        <v>41240</v>
      </c>
      <c r="D4611" t="s">
        <v>25</v>
      </c>
      <c r="E4611">
        <v>20</v>
      </c>
      <c r="F4611" s="3">
        <f ca="1">41244+(RANDBETWEEN(1,10))</f>
        <v>41253</v>
      </c>
      <c r="G4611" t="s">
        <v>26</v>
      </c>
      <c r="H4611" t="s">
        <v>27</v>
      </c>
      <c r="I4611" t="s">
        <v>28</v>
      </c>
      <c r="J4611">
        <v>4056.1849999999999</v>
      </c>
      <c r="K4611">
        <v>0.03</v>
      </c>
      <c r="L4611">
        <v>0.59</v>
      </c>
      <c r="M4611">
        <v>26.914999999999999</v>
      </c>
      <c r="N4611">
        <v>-616.41999999999996</v>
      </c>
      <c r="O4611" s="1" t="s">
        <v>40</v>
      </c>
      <c r="P4611" s="1" t="s">
        <v>5977</v>
      </c>
      <c r="Q4611" s="1" t="s">
        <v>5978</v>
      </c>
      <c r="R4611" s="1" t="s">
        <v>43</v>
      </c>
      <c r="S4611" s="1" t="s">
        <v>5979</v>
      </c>
      <c r="T4611" s="1" t="s">
        <v>5980</v>
      </c>
      <c r="U4611" s="2">
        <v>5190</v>
      </c>
      <c r="V4611" s="2" t="s">
        <v>36</v>
      </c>
      <c r="W4611" s="2" t="s">
        <v>37</v>
      </c>
      <c r="X4611" s="2">
        <v>230.965</v>
      </c>
    </row>
    <row r="4612" spans="1:24" x14ac:dyDescent="0.3">
      <c r="A4612">
        <v>22453</v>
      </c>
      <c r="B4612" t="s">
        <v>10351</v>
      </c>
      <c r="C4612" s="3">
        <v>41240</v>
      </c>
      <c r="D4612" t="s">
        <v>25</v>
      </c>
      <c r="E4612">
        <v>17</v>
      </c>
      <c r="F4612" s="3">
        <f ca="1">41247+(RANDBETWEEN(1,10))</f>
        <v>41249</v>
      </c>
      <c r="G4612" t="s">
        <v>26</v>
      </c>
      <c r="H4612" t="s">
        <v>27</v>
      </c>
      <c r="I4612" t="s">
        <v>28</v>
      </c>
      <c r="J4612">
        <v>3026.45</v>
      </c>
      <c r="K4612">
        <v>0.1</v>
      </c>
      <c r="L4612">
        <v>0.6</v>
      </c>
      <c r="M4612">
        <v>31.465</v>
      </c>
      <c r="N4612">
        <v>-53.116</v>
      </c>
      <c r="O4612" s="1" t="s">
        <v>40</v>
      </c>
      <c r="P4612" s="1" t="s">
        <v>5977</v>
      </c>
      <c r="Q4612" s="1" t="s">
        <v>5978</v>
      </c>
      <c r="R4612" s="1" t="s">
        <v>43</v>
      </c>
      <c r="S4612" s="1" t="s">
        <v>5979</v>
      </c>
      <c r="T4612" s="1" t="s">
        <v>5980</v>
      </c>
      <c r="U4612" s="2" t="s">
        <v>8372</v>
      </c>
      <c r="V4612" s="2" t="s">
        <v>36</v>
      </c>
      <c r="W4612" s="2" t="s">
        <v>37</v>
      </c>
      <c r="X4612" s="2">
        <v>230.965</v>
      </c>
    </row>
    <row r="4613" spans="1:24" x14ac:dyDescent="0.3">
      <c r="A4613">
        <v>22454</v>
      </c>
      <c r="B4613" t="s">
        <v>10352</v>
      </c>
      <c r="C4613" s="3">
        <v>41891</v>
      </c>
      <c r="D4613" t="s">
        <v>148</v>
      </c>
      <c r="E4613">
        <v>6</v>
      </c>
      <c r="F4613" s="3">
        <f ca="1">41892+(RANDBETWEEN(1,10))</f>
        <v>41900</v>
      </c>
      <c r="G4613" t="s">
        <v>26</v>
      </c>
      <c r="H4613" t="s">
        <v>27</v>
      </c>
      <c r="I4613" t="s">
        <v>52</v>
      </c>
      <c r="J4613">
        <v>151.72499999999999</v>
      </c>
      <c r="K4613">
        <v>0</v>
      </c>
      <c r="L4613">
        <v>0.37</v>
      </c>
      <c r="M4613">
        <v>25.795000000000002</v>
      </c>
      <c r="N4613">
        <v>177.51300000000001</v>
      </c>
      <c r="O4613" s="1" t="s">
        <v>64</v>
      </c>
      <c r="P4613" s="1" t="s">
        <v>9613</v>
      </c>
      <c r="Q4613" s="1" t="s">
        <v>9614</v>
      </c>
      <c r="R4613" s="1" t="s">
        <v>67</v>
      </c>
      <c r="S4613" s="1" t="s">
        <v>9615</v>
      </c>
      <c r="T4613" s="1" t="s">
        <v>9616</v>
      </c>
      <c r="U4613" s="2" t="s">
        <v>2975</v>
      </c>
      <c r="V4613" s="2" t="s">
        <v>47</v>
      </c>
      <c r="W4613" s="2" t="s">
        <v>74</v>
      </c>
      <c r="X4613" s="2">
        <v>22.68</v>
      </c>
    </row>
    <row r="4614" spans="1:24" x14ac:dyDescent="0.3">
      <c r="A4614">
        <v>22455</v>
      </c>
      <c r="B4614" t="s">
        <v>10353</v>
      </c>
      <c r="C4614" s="3">
        <v>41420</v>
      </c>
      <c r="D4614" t="s">
        <v>39</v>
      </c>
      <c r="E4614">
        <v>12</v>
      </c>
      <c r="F4614" s="3">
        <f ca="1">41422+(RANDBETWEEN(1,10))</f>
        <v>41428</v>
      </c>
      <c r="G4614" t="s">
        <v>156</v>
      </c>
      <c r="H4614" t="s">
        <v>27</v>
      </c>
      <c r="I4614" t="s">
        <v>86</v>
      </c>
      <c r="J4614">
        <v>559.72</v>
      </c>
      <c r="K4614">
        <v>0.1</v>
      </c>
      <c r="L4614">
        <v>0.38</v>
      </c>
      <c r="M4614">
        <v>25.445</v>
      </c>
      <c r="N4614">
        <v>-35.782249999999998</v>
      </c>
      <c r="O4614" s="1" t="s">
        <v>29</v>
      </c>
      <c r="P4614" s="1" t="s">
        <v>4692</v>
      </c>
      <c r="Q4614" s="1" t="s">
        <v>4693</v>
      </c>
      <c r="R4614" s="1" t="s">
        <v>460</v>
      </c>
      <c r="S4614" s="1" t="s">
        <v>4694</v>
      </c>
      <c r="T4614" s="1" t="s">
        <v>4695</v>
      </c>
      <c r="U4614" s="2" t="s">
        <v>3821</v>
      </c>
      <c r="V4614" s="2" t="s">
        <v>47</v>
      </c>
      <c r="W4614" s="2" t="s">
        <v>111</v>
      </c>
      <c r="X4614" s="2">
        <v>49.945</v>
      </c>
    </row>
    <row r="4615" spans="1:24" x14ac:dyDescent="0.3">
      <c r="A4615">
        <v>22456</v>
      </c>
      <c r="B4615" t="s">
        <v>10354</v>
      </c>
      <c r="C4615" s="3">
        <v>41566</v>
      </c>
      <c r="D4615" t="s">
        <v>50</v>
      </c>
      <c r="E4615">
        <v>16</v>
      </c>
      <c r="F4615" s="3">
        <f ca="1">41568+(RANDBETWEEN(1,10))</f>
        <v>41570</v>
      </c>
      <c r="G4615" t="s">
        <v>76</v>
      </c>
      <c r="H4615" t="s">
        <v>77</v>
      </c>
      <c r="I4615" t="s">
        <v>86</v>
      </c>
      <c r="J4615">
        <v>11345.985000000001</v>
      </c>
      <c r="K4615">
        <v>7.0000000000000007E-2</v>
      </c>
      <c r="L4615">
        <v>0.57999999999999996</v>
      </c>
      <c r="M4615">
        <v>83.16</v>
      </c>
      <c r="N4615">
        <v>-2567.7469999999998</v>
      </c>
      <c r="O4615" s="1" t="s">
        <v>64</v>
      </c>
      <c r="P4615" s="1" t="s">
        <v>6349</v>
      </c>
      <c r="Q4615" s="1" t="s">
        <v>6350</v>
      </c>
      <c r="R4615" s="1" t="s">
        <v>67</v>
      </c>
      <c r="S4615" s="1" t="s">
        <v>4191</v>
      </c>
      <c r="T4615" s="1" t="s">
        <v>4192</v>
      </c>
      <c r="U4615" s="2" t="s">
        <v>3990</v>
      </c>
      <c r="V4615" s="2" t="s">
        <v>83</v>
      </c>
      <c r="W4615" s="2" t="s">
        <v>84</v>
      </c>
      <c r="X4615" s="2">
        <v>703.43</v>
      </c>
    </row>
    <row r="4616" spans="1:24" x14ac:dyDescent="0.3">
      <c r="A4616">
        <v>22457</v>
      </c>
      <c r="B4616" t="s">
        <v>10354</v>
      </c>
      <c r="C4616" s="3">
        <v>41566</v>
      </c>
      <c r="D4616" t="s">
        <v>50</v>
      </c>
      <c r="E4616">
        <v>5</v>
      </c>
      <c r="F4616" s="3">
        <f ca="1">41566+(RANDBETWEEN(1,10))</f>
        <v>41575</v>
      </c>
      <c r="G4616" t="s">
        <v>26</v>
      </c>
      <c r="H4616" t="s">
        <v>27</v>
      </c>
      <c r="I4616" t="s">
        <v>86</v>
      </c>
      <c r="J4616">
        <v>241.11500000000001</v>
      </c>
      <c r="K4616">
        <v>0.01</v>
      </c>
      <c r="L4616">
        <v>0.38</v>
      </c>
      <c r="M4616">
        <v>22.645</v>
      </c>
      <c r="N4616">
        <v>191.28899999999999</v>
      </c>
      <c r="O4616" s="1" t="s">
        <v>64</v>
      </c>
      <c r="P4616" s="1" t="s">
        <v>6349</v>
      </c>
      <c r="Q4616" s="1" t="s">
        <v>6350</v>
      </c>
      <c r="R4616" s="1" t="s">
        <v>67</v>
      </c>
      <c r="S4616" s="1" t="s">
        <v>4191</v>
      </c>
      <c r="T4616" s="1" t="s">
        <v>4192</v>
      </c>
      <c r="U4616" s="2" t="s">
        <v>2420</v>
      </c>
      <c r="V4616" s="2" t="s">
        <v>47</v>
      </c>
      <c r="W4616" s="2" t="s">
        <v>74</v>
      </c>
      <c r="X4616" s="2">
        <v>42.98</v>
      </c>
    </row>
    <row r="4617" spans="1:24" x14ac:dyDescent="0.3">
      <c r="A4617">
        <v>22458</v>
      </c>
      <c r="B4617" t="s">
        <v>10355</v>
      </c>
      <c r="C4617" s="3">
        <v>40937</v>
      </c>
      <c r="D4617" t="s">
        <v>148</v>
      </c>
      <c r="E4617">
        <v>4</v>
      </c>
      <c r="F4617" s="3">
        <f ca="1">40939+(RANDBETWEEN(1,10))</f>
        <v>40949</v>
      </c>
      <c r="G4617" t="s">
        <v>156</v>
      </c>
      <c r="H4617" t="s">
        <v>27</v>
      </c>
      <c r="I4617" t="s">
        <v>28</v>
      </c>
      <c r="J4617">
        <v>604.66</v>
      </c>
      <c r="K4617">
        <v>0.08</v>
      </c>
      <c r="L4617">
        <v>0.56000000000000005</v>
      </c>
      <c r="M4617">
        <v>16.170000000000002</v>
      </c>
      <c r="N4617">
        <v>4282.7610000000004</v>
      </c>
      <c r="O4617" s="1" t="s">
        <v>87</v>
      </c>
      <c r="P4617" s="1" t="s">
        <v>3620</v>
      </c>
      <c r="Q4617" s="1" t="s">
        <v>3621</v>
      </c>
      <c r="R4617" s="1" t="s">
        <v>90</v>
      </c>
      <c r="S4617" s="1" t="s">
        <v>3622</v>
      </c>
      <c r="T4617" s="1" t="s">
        <v>3623</v>
      </c>
      <c r="U4617" s="2" t="s">
        <v>5674</v>
      </c>
      <c r="V4617" s="2" t="s">
        <v>47</v>
      </c>
      <c r="W4617" s="2" t="s">
        <v>71</v>
      </c>
      <c r="X4617" s="2">
        <v>150.43</v>
      </c>
    </row>
    <row r="4618" spans="1:24" x14ac:dyDescent="0.3">
      <c r="A4618">
        <v>22459</v>
      </c>
      <c r="B4618" t="s">
        <v>10356</v>
      </c>
      <c r="C4618" s="3">
        <v>40559</v>
      </c>
      <c r="D4618" t="s">
        <v>148</v>
      </c>
      <c r="E4618">
        <v>12</v>
      </c>
      <c r="F4618" s="3">
        <f ca="1">40560+(RANDBETWEEN(1,10))</f>
        <v>40562</v>
      </c>
      <c r="G4618" t="s">
        <v>26</v>
      </c>
      <c r="H4618" t="s">
        <v>27</v>
      </c>
      <c r="I4618" t="s">
        <v>28</v>
      </c>
      <c r="J4618">
        <v>227.36</v>
      </c>
      <c r="K4618">
        <v>0.1</v>
      </c>
      <c r="L4618">
        <v>0.39</v>
      </c>
      <c r="M4618">
        <v>29.715</v>
      </c>
      <c r="N4618">
        <v>-1226.5382500000001</v>
      </c>
      <c r="O4618" s="1" t="s">
        <v>53</v>
      </c>
      <c r="P4618" s="1" t="s">
        <v>9217</v>
      </c>
      <c r="Q4618" s="1" t="s">
        <v>9218</v>
      </c>
      <c r="R4618" s="1" t="s">
        <v>100</v>
      </c>
      <c r="S4618" s="1" t="s">
        <v>9219</v>
      </c>
      <c r="T4618" s="1" t="s">
        <v>4918</v>
      </c>
      <c r="U4618" s="2" t="s">
        <v>3658</v>
      </c>
      <c r="V4618" s="2" t="s">
        <v>47</v>
      </c>
      <c r="W4618" s="2" t="s">
        <v>111</v>
      </c>
      <c r="X4618" s="2">
        <v>20.335000000000001</v>
      </c>
    </row>
    <row r="4619" spans="1:24" x14ac:dyDescent="0.3">
      <c r="A4619">
        <v>22460</v>
      </c>
      <c r="B4619" t="s">
        <v>10356</v>
      </c>
      <c r="C4619" s="3">
        <v>40559</v>
      </c>
      <c r="D4619" t="s">
        <v>148</v>
      </c>
      <c r="E4619">
        <v>10</v>
      </c>
      <c r="F4619" s="3">
        <f ca="1">40560+(RANDBETWEEN(1,10))</f>
        <v>40565</v>
      </c>
      <c r="G4619" t="s">
        <v>26</v>
      </c>
      <c r="H4619" t="s">
        <v>96</v>
      </c>
      <c r="I4619" t="s">
        <v>28</v>
      </c>
      <c r="J4619">
        <v>66.989999999999995</v>
      </c>
      <c r="K4619">
        <v>0.03</v>
      </c>
      <c r="L4619">
        <v>0.52</v>
      </c>
      <c r="M4619">
        <v>2.625</v>
      </c>
      <c r="N4619">
        <v>14.7098</v>
      </c>
      <c r="O4619" s="1" t="s">
        <v>53</v>
      </c>
      <c r="P4619" s="1" t="s">
        <v>9217</v>
      </c>
      <c r="Q4619" s="1" t="s">
        <v>9218</v>
      </c>
      <c r="R4619" s="1" t="s">
        <v>100</v>
      </c>
      <c r="S4619" s="1" t="s">
        <v>9219</v>
      </c>
      <c r="T4619" s="1" t="s">
        <v>4918</v>
      </c>
      <c r="U4619" s="2" t="s">
        <v>378</v>
      </c>
      <c r="V4619" s="2" t="s">
        <v>47</v>
      </c>
      <c r="W4619" s="2" t="s">
        <v>176</v>
      </c>
      <c r="X4619" s="2">
        <v>6.335</v>
      </c>
    </row>
    <row r="4620" spans="1:24" x14ac:dyDescent="0.3">
      <c r="A4620">
        <v>22461</v>
      </c>
      <c r="B4620" t="s">
        <v>10357</v>
      </c>
      <c r="C4620" s="3">
        <v>41118</v>
      </c>
      <c r="D4620" t="s">
        <v>39</v>
      </c>
      <c r="E4620">
        <v>1</v>
      </c>
      <c r="F4620" s="3">
        <f ca="1">41120+(RANDBETWEEN(1,10))</f>
        <v>41126</v>
      </c>
      <c r="G4620" t="s">
        <v>26</v>
      </c>
      <c r="H4620" t="s">
        <v>27</v>
      </c>
      <c r="I4620" t="s">
        <v>28</v>
      </c>
      <c r="J4620">
        <v>52.5</v>
      </c>
      <c r="K4620">
        <v>0.1</v>
      </c>
      <c r="L4620">
        <v>0.35</v>
      </c>
      <c r="M4620">
        <v>20.16</v>
      </c>
      <c r="N4620">
        <v>-48.09</v>
      </c>
      <c r="O4620" s="1" t="s">
        <v>225</v>
      </c>
      <c r="P4620" s="1" t="s">
        <v>6236</v>
      </c>
      <c r="Q4620" s="1" t="s">
        <v>6237</v>
      </c>
      <c r="R4620" s="1" t="s">
        <v>391</v>
      </c>
      <c r="S4620" s="1" t="s">
        <v>1484</v>
      </c>
      <c r="T4620" s="1" t="s">
        <v>6238</v>
      </c>
      <c r="U4620" s="2" t="s">
        <v>2681</v>
      </c>
      <c r="V4620" s="2" t="s">
        <v>47</v>
      </c>
      <c r="W4620" s="2" t="s">
        <v>48</v>
      </c>
      <c r="X4620" s="2">
        <v>34.229999999999997</v>
      </c>
    </row>
    <row r="4621" spans="1:24" x14ac:dyDescent="0.3">
      <c r="A4621">
        <v>22462</v>
      </c>
      <c r="B4621" t="s">
        <v>10358</v>
      </c>
      <c r="C4621" s="3">
        <v>41780</v>
      </c>
      <c r="D4621" t="s">
        <v>62</v>
      </c>
      <c r="E4621">
        <v>15</v>
      </c>
      <c r="F4621" s="3">
        <f ca="1">41780+(RANDBETWEEN(1,10))</f>
        <v>41787</v>
      </c>
      <c r="G4621" t="s">
        <v>26</v>
      </c>
      <c r="H4621" t="s">
        <v>96</v>
      </c>
      <c r="I4621" t="s">
        <v>97</v>
      </c>
      <c r="J4621">
        <v>405.79</v>
      </c>
      <c r="K4621">
        <v>0.03</v>
      </c>
      <c r="L4621">
        <v>0.42</v>
      </c>
      <c r="M4621">
        <v>27.93</v>
      </c>
      <c r="N4621">
        <v>-583.59</v>
      </c>
      <c r="O4621" s="1" t="s">
        <v>53</v>
      </c>
      <c r="P4621" s="1" t="s">
        <v>10359</v>
      </c>
      <c r="Q4621" s="1" t="s">
        <v>10360</v>
      </c>
      <c r="R4621" s="1" t="s">
        <v>100</v>
      </c>
      <c r="S4621" s="1" t="s">
        <v>9930</v>
      </c>
      <c r="T4621" s="1" t="s">
        <v>9931</v>
      </c>
      <c r="U4621" s="2" t="s">
        <v>523</v>
      </c>
      <c r="V4621" s="2" t="s">
        <v>83</v>
      </c>
      <c r="W4621" s="2" t="s">
        <v>178</v>
      </c>
      <c r="X4621" s="2">
        <v>25.48</v>
      </c>
    </row>
    <row r="4622" spans="1:24" x14ac:dyDescent="0.3">
      <c r="A4622">
        <v>22463</v>
      </c>
      <c r="B4622" t="s">
        <v>10361</v>
      </c>
      <c r="C4622" s="3">
        <v>41486</v>
      </c>
      <c r="D4622" t="s">
        <v>39</v>
      </c>
      <c r="E4622">
        <v>5</v>
      </c>
      <c r="F4622" s="3">
        <f ca="1">41488+(RANDBETWEEN(1,10))</f>
        <v>41493</v>
      </c>
      <c r="G4622" t="s">
        <v>26</v>
      </c>
      <c r="H4622" t="s">
        <v>27</v>
      </c>
      <c r="I4622" t="s">
        <v>86</v>
      </c>
      <c r="J4622">
        <v>742.03499999999997</v>
      </c>
      <c r="K4622">
        <v>0.02</v>
      </c>
      <c r="L4622">
        <v>0.36</v>
      </c>
      <c r="M4622">
        <v>69.965000000000003</v>
      </c>
      <c r="N4622">
        <v>88.165000000000006</v>
      </c>
      <c r="O4622" s="1" t="s">
        <v>40</v>
      </c>
      <c r="P4622" s="1" t="s">
        <v>7163</v>
      </c>
      <c r="Q4622" s="1" t="s">
        <v>7164</v>
      </c>
      <c r="R4622" s="1" t="s">
        <v>43</v>
      </c>
      <c r="S4622" s="1" t="s">
        <v>7165</v>
      </c>
      <c r="T4622" s="1" t="s">
        <v>7166</v>
      </c>
      <c r="U4622" s="2" t="s">
        <v>1784</v>
      </c>
      <c r="V4622" s="2" t="s">
        <v>47</v>
      </c>
      <c r="W4622" s="2" t="s">
        <v>74</v>
      </c>
      <c r="X4622" s="2">
        <v>143.465</v>
      </c>
    </row>
    <row r="4623" spans="1:24" x14ac:dyDescent="0.3">
      <c r="A4623">
        <v>22464</v>
      </c>
      <c r="B4623" t="s">
        <v>10361</v>
      </c>
      <c r="C4623" s="3">
        <v>41486</v>
      </c>
      <c r="D4623" t="s">
        <v>39</v>
      </c>
      <c r="E4623">
        <v>10</v>
      </c>
      <c r="F4623" s="3">
        <f ca="1">41488+(RANDBETWEEN(1,10))</f>
        <v>41498</v>
      </c>
      <c r="G4623" t="s">
        <v>26</v>
      </c>
      <c r="H4623" t="s">
        <v>96</v>
      </c>
      <c r="I4623" t="s">
        <v>86</v>
      </c>
      <c r="J4623">
        <v>43.505000000000003</v>
      </c>
      <c r="K4623">
        <v>0.06</v>
      </c>
      <c r="L4623">
        <v>0.81</v>
      </c>
      <c r="M4623">
        <v>2.4500000000000002</v>
      </c>
      <c r="N4623">
        <v>-60.69</v>
      </c>
      <c r="O4623" s="1" t="s">
        <v>53</v>
      </c>
      <c r="P4623" s="1" t="s">
        <v>10362</v>
      </c>
      <c r="Q4623" s="1" t="s">
        <v>10363</v>
      </c>
      <c r="R4623" s="1" t="s">
        <v>56</v>
      </c>
      <c r="S4623" s="1" t="s">
        <v>10364</v>
      </c>
      <c r="T4623" s="1" t="s">
        <v>10365</v>
      </c>
      <c r="U4623" s="2" t="s">
        <v>925</v>
      </c>
      <c r="V4623" s="2" t="s">
        <v>47</v>
      </c>
      <c r="W4623" s="2" t="s">
        <v>176</v>
      </c>
      <c r="X4623" s="2">
        <v>4.41</v>
      </c>
    </row>
    <row r="4624" spans="1:24" x14ac:dyDescent="0.3">
      <c r="A4624">
        <v>22465</v>
      </c>
      <c r="B4624" t="s">
        <v>10366</v>
      </c>
      <c r="C4624" s="3">
        <v>41106</v>
      </c>
      <c r="D4624" t="s">
        <v>148</v>
      </c>
      <c r="E4624">
        <v>3</v>
      </c>
      <c r="F4624" s="3">
        <f ca="1">41107+(RANDBETWEEN(1,10))</f>
        <v>41115</v>
      </c>
      <c r="G4624" t="s">
        <v>26</v>
      </c>
      <c r="H4624" t="s">
        <v>51</v>
      </c>
      <c r="I4624" t="s">
        <v>28</v>
      </c>
      <c r="J4624">
        <v>183.47</v>
      </c>
      <c r="K4624">
        <v>0.06</v>
      </c>
      <c r="L4624">
        <v>0.45</v>
      </c>
      <c r="M4624">
        <v>6.9649999999999999</v>
      </c>
      <c r="N4624">
        <v>-3.1360000000000001</v>
      </c>
      <c r="O4624" s="1" t="s">
        <v>225</v>
      </c>
      <c r="P4624" s="1" t="s">
        <v>9795</v>
      </c>
      <c r="Q4624" s="1" t="s">
        <v>9796</v>
      </c>
      <c r="R4624" s="1" t="s">
        <v>391</v>
      </c>
      <c r="S4624" s="1" t="s">
        <v>9797</v>
      </c>
      <c r="T4624" s="1" t="s">
        <v>9798</v>
      </c>
      <c r="U4624" s="2" t="s">
        <v>59</v>
      </c>
      <c r="V4624" s="2" t="s">
        <v>36</v>
      </c>
      <c r="W4624" s="2" t="s">
        <v>60</v>
      </c>
      <c r="X4624" s="2">
        <v>61.18</v>
      </c>
    </row>
    <row r="4625" spans="1:24" x14ac:dyDescent="0.3">
      <c r="A4625">
        <v>22466</v>
      </c>
      <c r="B4625" t="s">
        <v>10367</v>
      </c>
      <c r="C4625" s="3">
        <v>41457</v>
      </c>
      <c r="D4625" t="s">
        <v>50</v>
      </c>
      <c r="E4625">
        <v>5</v>
      </c>
      <c r="F4625" s="3">
        <f ca="1">41457+(RANDBETWEEN(1,10))</f>
        <v>41458</v>
      </c>
      <c r="G4625" t="s">
        <v>76</v>
      </c>
      <c r="H4625" t="s">
        <v>258</v>
      </c>
      <c r="I4625" t="s">
        <v>86</v>
      </c>
      <c r="J4625">
        <v>2607.4299999999998</v>
      </c>
      <c r="K4625">
        <v>0.09</v>
      </c>
      <c r="L4625">
        <v>0.65</v>
      </c>
      <c r="M4625">
        <v>231.94499999999999</v>
      </c>
      <c r="N4625">
        <v>-1812.0550000000001</v>
      </c>
      <c r="O4625" s="1" t="s">
        <v>29</v>
      </c>
      <c r="P4625" s="1" t="s">
        <v>7507</v>
      </c>
      <c r="Q4625" s="1" t="s">
        <v>7508</v>
      </c>
      <c r="R4625" s="1" t="s">
        <v>460</v>
      </c>
      <c r="S4625" s="1" t="s">
        <v>7509</v>
      </c>
      <c r="T4625" s="1" t="s">
        <v>7510</v>
      </c>
      <c r="U4625" s="2" t="s">
        <v>3398</v>
      </c>
      <c r="V4625" s="2" t="s">
        <v>83</v>
      </c>
      <c r="W4625" s="2" t="s">
        <v>298</v>
      </c>
      <c r="X4625" s="2">
        <v>528.42999999999995</v>
      </c>
    </row>
    <row r="4626" spans="1:24" x14ac:dyDescent="0.3">
      <c r="A4626">
        <v>22467</v>
      </c>
      <c r="B4626" t="s">
        <v>10368</v>
      </c>
      <c r="C4626" s="3">
        <v>41934</v>
      </c>
      <c r="D4626" t="s">
        <v>25</v>
      </c>
      <c r="E4626">
        <v>19</v>
      </c>
      <c r="F4626" s="3">
        <f ca="1">41934+(RANDBETWEEN(1,10))</f>
        <v>41938</v>
      </c>
      <c r="G4626" t="s">
        <v>76</v>
      </c>
      <c r="H4626" t="s">
        <v>77</v>
      </c>
      <c r="I4626" t="s">
        <v>28</v>
      </c>
      <c r="J4626">
        <v>6733.335</v>
      </c>
      <c r="K4626">
        <v>0.04</v>
      </c>
      <c r="L4626">
        <v>0.56999999999999995</v>
      </c>
      <c r="M4626">
        <v>54.81</v>
      </c>
      <c r="N4626">
        <v>2825.5149999999999</v>
      </c>
      <c r="O4626" s="1" t="s">
        <v>64</v>
      </c>
      <c r="P4626" s="1" t="s">
        <v>10369</v>
      </c>
      <c r="Q4626" s="1" t="s">
        <v>10370</v>
      </c>
      <c r="R4626" s="1" t="s">
        <v>67</v>
      </c>
      <c r="S4626" s="1" t="s">
        <v>68</v>
      </c>
      <c r="T4626" s="1" t="s">
        <v>10371</v>
      </c>
      <c r="U4626" s="2" t="s">
        <v>2461</v>
      </c>
      <c r="V4626" s="2" t="s">
        <v>47</v>
      </c>
      <c r="W4626" s="2" t="s">
        <v>71</v>
      </c>
      <c r="X4626" s="2">
        <v>353.43</v>
      </c>
    </row>
    <row r="4627" spans="1:24" x14ac:dyDescent="0.3">
      <c r="A4627">
        <v>22468</v>
      </c>
      <c r="B4627" t="s">
        <v>10368</v>
      </c>
      <c r="C4627" s="3">
        <v>41934</v>
      </c>
      <c r="D4627" t="s">
        <v>25</v>
      </c>
      <c r="E4627">
        <v>6</v>
      </c>
      <c r="F4627" s="3">
        <f ca="1">41941+(RANDBETWEEN(1,10))</f>
        <v>41943</v>
      </c>
      <c r="G4627" t="s">
        <v>26</v>
      </c>
      <c r="H4627" t="s">
        <v>96</v>
      </c>
      <c r="I4627" t="s">
        <v>28</v>
      </c>
      <c r="J4627">
        <v>218.68</v>
      </c>
      <c r="K4627">
        <v>0.05</v>
      </c>
      <c r="L4627">
        <v>0.39</v>
      </c>
      <c r="M4627">
        <v>7.21</v>
      </c>
      <c r="N4627">
        <v>100.13500000000001</v>
      </c>
      <c r="O4627" s="1" t="s">
        <v>53</v>
      </c>
      <c r="P4627" s="1" t="s">
        <v>10372</v>
      </c>
      <c r="Q4627" s="1" t="s">
        <v>10373</v>
      </c>
      <c r="R4627" s="1" t="s">
        <v>56</v>
      </c>
      <c r="S4627" s="1" t="s">
        <v>10039</v>
      </c>
      <c r="T4627" s="1" t="s">
        <v>10040</v>
      </c>
      <c r="U4627" s="2" t="s">
        <v>2438</v>
      </c>
      <c r="V4627" s="2" t="s">
        <v>47</v>
      </c>
      <c r="W4627" s="2" t="s">
        <v>74</v>
      </c>
      <c r="X4627" s="2">
        <v>35.21</v>
      </c>
    </row>
    <row r="4628" spans="1:24" x14ac:dyDescent="0.3">
      <c r="A4628">
        <v>22469</v>
      </c>
      <c r="B4628" t="s">
        <v>10374</v>
      </c>
      <c r="C4628" s="3">
        <v>41499</v>
      </c>
      <c r="D4628" t="s">
        <v>62</v>
      </c>
      <c r="E4628">
        <v>3</v>
      </c>
      <c r="F4628" s="3">
        <f ca="1">41501+(RANDBETWEEN(1,10))</f>
        <v>41511</v>
      </c>
      <c r="G4628" t="s">
        <v>76</v>
      </c>
      <c r="H4628" t="s">
        <v>77</v>
      </c>
      <c r="I4628" t="s">
        <v>97</v>
      </c>
      <c r="J4628">
        <v>391.755</v>
      </c>
      <c r="K4628">
        <v>0.03</v>
      </c>
      <c r="L4628">
        <v>0.57999999999999996</v>
      </c>
      <c r="M4628">
        <v>67.165000000000006</v>
      </c>
      <c r="N4628">
        <v>-143.4888</v>
      </c>
      <c r="O4628" s="1" t="s">
        <v>64</v>
      </c>
      <c r="P4628" s="1" t="s">
        <v>5814</v>
      </c>
      <c r="Q4628" s="1" t="s">
        <v>5815</v>
      </c>
      <c r="R4628" s="1" t="s">
        <v>128</v>
      </c>
      <c r="S4628" s="1" t="s">
        <v>5816</v>
      </c>
      <c r="T4628" s="1" t="s">
        <v>5817</v>
      </c>
      <c r="U4628" s="2" t="s">
        <v>8686</v>
      </c>
      <c r="V4628" s="2" t="s">
        <v>83</v>
      </c>
      <c r="W4628" s="2" t="s">
        <v>84</v>
      </c>
      <c r="X4628" s="2">
        <v>118.79</v>
      </c>
    </row>
    <row r="4629" spans="1:24" x14ac:dyDescent="0.3">
      <c r="A4629">
        <v>22470</v>
      </c>
      <c r="B4629" t="s">
        <v>10375</v>
      </c>
      <c r="C4629" s="3">
        <v>40895</v>
      </c>
      <c r="D4629" t="s">
        <v>25</v>
      </c>
      <c r="E4629">
        <v>21</v>
      </c>
      <c r="F4629" s="3">
        <f ca="1">40899+(RANDBETWEEN(1,10))</f>
        <v>40908</v>
      </c>
      <c r="G4629" t="s">
        <v>26</v>
      </c>
      <c r="H4629" t="s">
        <v>27</v>
      </c>
      <c r="I4629" t="s">
        <v>86</v>
      </c>
      <c r="J4629">
        <v>2703.96</v>
      </c>
      <c r="K4629">
        <v>0.1</v>
      </c>
      <c r="L4629">
        <v>0.7</v>
      </c>
      <c r="M4629">
        <v>14</v>
      </c>
      <c r="N4629">
        <v>1260.8399999999999</v>
      </c>
      <c r="O4629" s="1" t="s">
        <v>40</v>
      </c>
      <c r="P4629" s="1" t="s">
        <v>8226</v>
      </c>
      <c r="Q4629" s="1" t="s">
        <v>8227</v>
      </c>
      <c r="R4629" s="1" t="s">
        <v>43</v>
      </c>
      <c r="S4629" s="1" t="s">
        <v>8228</v>
      </c>
      <c r="T4629" s="1" t="s">
        <v>8229</v>
      </c>
      <c r="U4629" s="2" t="s">
        <v>2111</v>
      </c>
      <c r="V4629" s="2" t="s">
        <v>36</v>
      </c>
      <c r="W4629" s="2" t="s">
        <v>60</v>
      </c>
      <c r="X4629" s="2">
        <v>139.93</v>
      </c>
    </row>
    <row r="4630" spans="1:24" x14ac:dyDescent="0.3">
      <c r="A4630">
        <v>22471</v>
      </c>
      <c r="B4630" t="s">
        <v>10376</v>
      </c>
      <c r="C4630" s="3">
        <v>41158</v>
      </c>
      <c r="D4630" t="s">
        <v>25</v>
      </c>
      <c r="E4630">
        <v>15</v>
      </c>
      <c r="F4630" s="3">
        <f ca="1">41162+(RANDBETWEEN(1,10))</f>
        <v>41168</v>
      </c>
      <c r="G4630" t="s">
        <v>156</v>
      </c>
      <c r="H4630" t="s">
        <v>27</v>
      </c>
      <c r="I4630" t="s">
        <v>97</v>
      </c>
      <c r="J4630">
        <v>4374.79</v>
      </c>
      <c r="K4630">
        <v>0.06</v>
      </c>
      <c r="L4630">
        <v>0.38</v>
      </c>
      <c r="M4630">
        <v>17.535</v>
      </c>
      <c r="N4630">
        <v>3018.6051000000002</v>
      </c>
      <c r="O4630" s="1" t="s">
        <v>29</v>
      </c>
      <c r="P4630" s="1" t="s">
        <v>9321</v>
      </c>
      <c r="Q4630" s="1" t="s">
        <v>9322</v>
      </c>
      <c r="R4630" s="1" t="s">
        <v>32</v>
      </c>
      <c r="S4630" s="1" t="s">
        <v>3129</v>
      </c>
      <c r="T4630" s="1" t="s">
        <v>3130</v>
      </c>
      <c r="U4630" s="2" t="s">
        <v>9050</v>
      </c>
      <c r="V4630" s="2" t="s">
        <v>47</v>
      </c>
      <c r="W4630" s="2" t="s">
        <v>48</v>
      </c>
      <c r="X4630" s="2">
        <v>293.93</v>
      </c>
    </row>
    <row r="4631" spans="1:24" x14ac:dyDescent="0.3">
      <c r="A4631">
        <v>22472</v>
      </c>
      <c r="B4631" t="s">
        <v>10376</v>
      </c>
      <c r="C4631" s="3">
        <v>41158</v>
      </c>
      <c r="D4631" t="s">
        <v>25</v>
      </c>
      <c r="E4631">
        <v>14</v>
      </c>
      <c r="F4631" s="3">
        <f ca="1">41162+(RANDBETWEEN(1,10))</f>
        <v>41169</v>
      </c>
      <c r="G4631" t="s">
        <v>76</v>
      </c>
      <c r="H4631" t="s">
        <v>77</v>
      </c>
      <c r="I4631" t="s">
        <v>97</v>
      </c>
      <c r="J4631">
        <v>7272.65</v>
      </c>
      <c r="K4631">
        <v>0.09</v>
      </c>
      <c r="L4631">
        <v>0.55000000000000004</v>
      </c>
      <c r="M4631">
        <v>210</v>
      </c>
      <c r="N4631">
        <v>-927.92700000000002</v>
      </c>
      <c r="O4631" s="1" t="s">
        <v>29</v>
      </c>
      <c r="P4631" s="1" t="s">
        <v>9321</v>
      </c>
      <c r="Q4631" s="1" t="s">
        <v>9322</v>
      </c>
      <c r="R4631" s="1" t="s">
        <v>32</v>
      </c>
      <c r="S4631" s="1" t="s">
        <v>3129</v>
      </c>
      <c r="T4631" s="1" t="s">
        <v>3130</v>
      </c>
      <c r="U4631" s="2" t="s">
        <v>1963</v>
      </c>
      <c r="V4631" s="2" t="s">
        <v>83</v>
      </c>
      <c r="W4631" s="2" t="s">
        <v>263</v>
      </c>
      <c r="X4631" s="2">
        <v>557.58500000000004</v>
      </c>
    </row>
    <row r="4632" spans="1:24" x14ac:dyDescent="0.3">
      <c r="A4632">
        <v>22473</v>
      </c>
      <c r="B4632" t="s">
        <v>10377</v>
      </c>
      <c r="C4632" s="3">
        <v>40855</v>
      </c>
      <c r="D4632" t="s">
        <v>25</v>
      </c>
      <c r="E4632">
        <v>2</v>
      </c>
      <c r="F4632" s="3">
        <f ca="1">40860+(RANDBETWEEN(1,10))</f>
        <v>40868</v>
      </c>
      <c r="G4632" t="s">
        <v>26</v>
      </c>
      <c r="H4632" t="s">
        <v>27</v>
      </c>
      <c r="I4632" t="s">
        <v>97</v>
      </c>
      <c r="J4632">
        <v>495.565</v>
      </c>
      <c r="K4632">
        <v>0.05</v>
      </c>
      <c r="L4632">
        <v>0.59</v>
      </c>
      <c r="M4632">
        <v>12.25</v>
      </c>
      <c r="N4632">
        <v>63.762999999999998</v>
      </c>
      <c r="O4632" s="1" t="s">
        <v>53</v>
      </c>
      <c r="P4632" s="1" t="s">
        <v>10378</v>
      </c>
      <c r="Q4632" s="1" t="s">
        <v>10379</v>
      </c>
      <c r="R4632" s="1" t="s">
        <v>56</v>
      </c>
      <c r="S4632" s="1" t="s">
        <v>10380</v>
      </c>
      <c r="T4632" s="1" t="s">
        <v>10381</v>
      </c>
      <c r="U4632" s="2" t="s">
        <v>989</v>
      </c>
      <c r="V4632" s="2" t="s">
        <v>47</v>
      </c>
      <c r="W4632" s="2" t="s">
        <v>71</v>
      </c>
      <c r="X4632" s="2">
        <v>248.39500000000001</v>
      </c>
    </row>
    <row r="4633" spans="1:24" x14ac:dyDescent="0.3">
      <c r="A4633">
        <v>22474</v>
      </c>
      <c r="B4633" t="s">
        <v>10382</v>
      </c>
      <c r="C4633" s="3">
        <v>41951</v>
      </c>
      <c r="D4633" t="s">
        <v>25</v>
      </c>
      <c r="E4633">
        <v>13</v>
      </c>
      <c r="F4633" s="3">
        <f ca="1">41958+(RANDBETWEEN(1,10))</f>
        <v>41965</v>
      </c>
      <c r="G4633" t="s">
        <v>26</v>
      </c>
      <c r="H4633" t="s">
        <v>27</v>
      </c>
      <c r="I4633" t="s">
        <v>97</v>
      </c>
      <c r="J4633">
        <v>8012.8649999999998</v>
      </c>
      <c r="K4633">
        <v>0.06</v>
      </c>
      <c r="L4633">
        <v>0.6</v>
      </c>
      <c r="M4633">
        <v>31.465</v>
      </c>
      <c r="N4633">
        <v>112.232736</v>
      </c>
      <c r="O4633" s="1" t="s">
        <v>53</v>
      </c>
      <c r="P4633" s="1" t="s">
        <v>10378</v>
      </c>
      <c r="Q4633" s="1" t="s">
        <v>10379</v>
      </c>
      <c r="R4633" s="1" t="s">
        <v>56</v>
      </c>
      <c r="S4633" s="1" t="s">
        <v>10380</v>
      </c>
      <c r="T4633" s="1" t="s">
        <v>10381</v>
      </c>
      <c r="U4633" s="2" t="s">
        <v>2580</v>
      </c>
      <c r="V4633" s="2" t="s">
        <v>36</v>
      </c>
      <c r="W4633" s="2" t="s">
        <v>37</v>
      </c>
      <c r="X4633" s="2">
        <v>720.96500000000003</v>
      </c>
    </row>
    <row r="4634" spans="1:24" x14ac:dyDescent="0.3">
      <c r="A4634">
        <v>22475</v>
      </c>
      <c r="B4634" t="s">
        <v>10382</v>
      </c>
      <c r="C4634" s="3">
        <v>41951</v>
      </c>
      <c r="D4634" t="s">
        <v>25</v>
      </c>
      <c r="E4634">
        <v>45</v>
      </c>
      <c r="F4634" s="3">
        <f ca="1">41958+(RANDBETWEEN(1,10))</f>
        <v>41966</v>
      </c>
      <c r="G4634" t="s">
        <v>26</v>
      </c>
      <c r="H4634" t="s">
        <v>27</v>
      </c>
      <c r="I4634" t="s">
        <v>97</v>
      </c>
      <c r="J4634">
        <v>26959.17</v>
      </c>
      <c r="K4634">
        <v>0.06</v>
      </c>
      <c r="L4634">
        <v>0.56000000000000005</v>
      </c>
      <c r="M4634">
        <v>31.465</v>
      </c>
      <c r="N4634">
        <v>18601.827300000001</v>
      </c>
      <c r="O4634" s="1" t="s">
        <v>53</v>
      </c>
      <c r="P4634" s="1" t="s">
        <v>10378</v>
      </c>
      <c r="Q4634" s="1" t="s">
        <v>10379</v>
      </c>
      <c r="R4634" s="1" t="s">
        <v>56</v>
      </c>
      <c r="S4634" s="1" t="s">
        <v>10380</v>
      </c>
      <c r="T4634" s="1" t="s">
        <v>10381</v>
      </c>
      <c r="U4634" s="2" t="s">
        <v>4735</v>
      </c>
      <c r="V4634" s="2" t="s">
        <v>36</v>
      </c>
      <c r="W4634" s="2" t="s">
        <v>37</v>
      </c>
      <c r="X4634" s="2">
        <v>720.96500000000003</v>
      </c>
    </row>
    <row r="4635" spans="1:24" x14ac:dyDescent="0.3">
      <c r="A4635">
        <v>22476</v>
      </c>
      <c r="B4635" t="s">
        <v>10377</v>
      </c>
      <c r="C4635" s="3">
        <v>40855</v>
      </c>
      <c r="D4635" t="s">
        <v>25</v>
      </c>
      <c r="E4635">
        <v>36</v>
      </c>
      <c r="F4635" s="3">
        <f ca="1">40862+(RANDBETWEEN(1,10))</f>
        <v>40867</v>
      </c>
      <c r="G4635" t="s">
        <v>26</v>
      </c>
      <c r="H4635" t="s">
        <v>27</v>
      </c>
      <c r="I4635" t="s">
        <v>97</v>
      </c>
      <c r="J4635">
        <v>710.67499999999995</v>
      </c>
      <c r="K4635">
        <v>0</v>
      </c>
      <c r="L4635">
        <v>0.4</v>
      </c>
      <c r="M4635">
        <v>21.91</v>
      </c>
      <c r="N4635">
        <v>87.703000000000003</v>
      </c>
      <c r="O4635" s="1" t="s">
        <v>64</v>
      </c>
      <c r="P4635" s="1" t="s">
        <v>10383</v>
      </c>
      <c r="Q4635" s="1" t="s">
        <v>10384</v>
      </c>
      <c r="R4635" s="1" t="s">
        <v>67</v>
      </c>
      <c r="S4635" s="1" t="s">
        <v>890</v>
      </c>
      <c r="T4635" s="1" t="s">
        <v>891</v>
      </c>
      <c r="U4635" s="2" t="s">
        <v>817</v>
      </c>
      <c r="V4635" s="2" t="s">
        <v>47</v>
      </c>
      <c r="W4635" s="2" t="s">
        <v>74</v>
      </c>
      <c r="X4635" s="2">
        <v>18.48</v>
      </c>
    </row>
    <row r="4636" spans="1:24" x14ac:dyDescent="0.3">
      <c r="A4636">
        <v>22477</v>
      </c>
      <c r="B4636" t="s">
        <v>10385</v>
      </c>
      <c r="C4636" s="3">
        <v>41897</v>
      </c>
      <c r="D4636" t="s">
        <v>39</v>
      </c>
      <c r="E4636">
        <v>15</v>
      </c>
      <c r="F4636" s="3">
        <f ca="1">41897+(RANDBETWEEN(1,10))</f>
        <v>41898</v>
      </c>
      <c r="G4636" t="s">
        <v>156</v>
      </c>
      <c r="H4636" t="s">
        <v>51</v>
      </c>
      <c r="I4636" t="s">
        <v>28</v>
      </c>
      <c r="J4636">
        <v>582.85500000000002</v>
      </c>
      <c r="K4636">
        <v>0.03</v>
      </c>
      <c r="L4636">
        <v>0.56999999999999995</v>
      </c>
      <c r="M4636">
        <v>11.795</v>
      </c>
      <c r="N4636">
        <v>78.472800000000007</v>
      </c>
      <c r="O4636" s="1" t="s">
        <v>87</v>
      </c>
      <c r="P4636" s="1" t="s">
        <v>8828</v>
      </c>
      <c r="Q4636" s="1" t="s">
        <v>8829</v>
      </c>
      <c r="R4636" s="1" t="s">
        <v>398</v>
      </c>
      <c r="S4636" s="1" t="s">
        <v>8830</v>
      </c>
      <c r="T4636" s="1" t="s">
        <v>8831</v>
      </c>
      <c r="U4636" s="2" t="s">
        <v>5857</v>
      </c>
      <c r="V4636" s="2" t="s">
        <v>47</v>
      </c>
      <c r="W4636" s="2" t="s">
        <v>94</v>
      </c>
      <c r="X4636" s="2">
        <v>38.43</v>
      </c>
    </row>
    <row r="4637" spans="1:24" x14ac:dyDescent="0.3">
      <c r="A4637">
        <v>22478</v>
      </c>
      <c r="B4637" t="s">
        <v>10385</v>
      </c>
      <c r="C4637" s="3">
        <v>41897</v>
      </c>
      <c r="D4637" t="s">
        <v>39</v>
      </c>
      <c r="E4637">
        <v>20</v>
      </c>
      <c r="F4637" s="3">
        <f ca="1">41897+(RANDBETWEEN(1,10))</f>
        <v>41906</v>
      </c>
      <c r="G4637" t="s">
        <v>76</v>
      </c>
      <c r="H4637" t="s">
        <v>258</v>
      </c>
      <c r="I4637" t="s">
        <v>28</v>
      </c>
      <c r="J4637">
        <v>23771.37</v>
      </c>
      <c r="K4637">
        <v>0.05</v>
      </c>
      <c r="L4637">
        <v>0.66</v>
      </c>
      <c r="M4637">
        <v>296.94</v>
      </c>
      <c r="N4637">
        <v>1043.0154</v>
      </c>
      <c r="O4637" s="1" t="s">
        <v>87</v>
      </c>
      <c r="P4637" s="1" t="s">
        <v>8828</v>
      </c>
      <c r="Q4637" s="1" t="s">
        <v>8829</v>
      </c>
      <c r="R4637" s="1" t="s">
        <v>398</v>
      </c>
      <c r="S4637" s="1" t="s">
        <v>8830</v>
      </c>
      <c r="T4637" s="1" t="s">
        <v>8831</v>
      </c>
      <c r="U4637" s="2" t="s">
        <v>3482</v>
      </c>
      <c r="V4637" s="2" t="s">
        <v>83</v>
      </c>
      <c r="W4637" s="2" t="s">
        <v>263</v>
      </c>
      <c r="X4637" s="2">
        <v>1218.7349999999999</v>
      </c>
    </row>
    <row r="4638" spans="1:24" x14ac:dyDescent="0.3">
      <c r="A4638">
        <v>22479</v>
      </c>
      <c r="B4638" t="s">
        <v>10386</v>
      </c>
      <c r="C4638" s="3">
        <v>41401</v>
      </c>
      <c r="D4638" t="s">
        <v>39</v>
      </c>
      <c r="E4638">
        <v>3</v>
      </c>
      <c r="F4638" s="3">
        <f ca="1">41402+(RANDBETWEEN(1,10))</f>
        <v>41410</v>
      </c>
      <c r="G4638" t="s">
        <v>26</v>
      </c>
      <c r="H4638" t="s">
        <v>63</v>
      </c>
      <c r="I4638" t="s">
        <v>28</v>
      </c>
      <c r="J4638">
        <v>973.21</v>
      </c>
      <c r="K4638">
        <v>0.08</v>
      </c>
      <c r="L4638" t="s">
        <v>182</v>
      </c>
      <c r="M4638">
        <v>122.5</v>
      </c>
      <c r="N4638">
        <v>3862.3283999999999</v>
      </c>
      <c r="O4638" s="1" t="s">
        <v>53</v>
      </c>
      <c r="P4638" s="1" t="s">
        <v>1691</v>
      </c>
      <c r="Q4638" s="1" t="s">
        <v>1692</v>
      </c>
      <c r="R4638" s="1" t="s">
        <v>440</v>
      </c>
      <c r="S4638" s="1" t="s">
        <v>1693</v>
      </c>
      <c r="T4638" s="1" t="s">
        <v>1694</v>
      </c>
      <c r="U4638" s="2" t="s">
        <v>186</v>
      </c>
      <c r="V4638" s="2" t="s">
        <v>47</v>
      </c>
      <c r="W4638" s="2" t="s">
        <v>119</v>
      </c>
      <c r="X4638" s="2">
        <v>335.96499999999997</v>
      </c>
    </row>
    <row r="4639" spans="1:24" x14ac:dyDescent="0.3">
      <c r="A4639">
        <v>22480</v>
      </c>
      <c r="B4639" t="s">
        <v>10387</v>
      </c>
      <c r="C4639" s="3">
        <v>40723</v>
      </c>
      <c r="D4639" t="s">
        <v>148</v>
      </c>
      <c r="E4639">
        <v>13</v>
      </c>
      <c r="F4639" s="3">
        <f ca="1">40723+(RANDBETWEEN(1,10))</f>
        <v>40727</v>
      </c>
      <c r="G4639" t="s">
        <v>26</v>
      </c>
      <c r="H4639" t="s">
        <v>63</v>
      </c>
      <c r="I4639" t="s">
        <v>52</v>
      </c>
      <c r="J4639">
        <v>381.46499999999997</v>
      </c>
      <c r="K4639">
        <v>0.08</v>
      </c>
      <c r="L4639">
        <v>0.59</v>
      </c>
      <c r="M4639">
        <v>35.56</v>
      </c>
      <c r="N4639">
        <v>-592.31200000000001</v>
      </c>
      <c r="O4639" s="1" t="s">
        <v>40</v>
      </c>
      <c r="P4639" s="1" t="s">
        <v>10388</v>
      </c>
      <c r="Q4639" s="1" t="s">
        <v>10389</v>
      </c>
      <c r="R4639" s="1" t="s">
        <v>220</v>
      </c>
      <c r="S4639" s="1" t="s">
        <v>10390</v>
      </c>
      <c r="T4639" s="1" t="s">
        <v>10391</v>
      </c>
      <c r="U4639" s="2" t="s">
        <v>4990</v>
      </c>
      <c r="V4639" s="2" t="s">
        <v>83</v>
      </c>
      <c r="W4639" s="2" t="s">
        <v>178</v>
      </c>
      <c r="X4639" s="2">
        <v>29.295000000000002</v>
      </c>
    </row>
    <row r="4640" spans="1:24" x14ac:dyDescent="0.3">
      <c r="A4640">
        <v>22481</v>
      </c>
      <c r="B4640" t="s">
        <v>10392</v>
      </c>
      <c r="C4640" s="3">
        <v>41626</v>
      </c>
      <c r="D4640" t="s">
        <v>148</v>
      </c>
      <c r="E4640">
        <v>7</v>
      </c>
      <c r="F4640" s="3">
        <f ca="1">41626+(RANDBETWEEN(1,10))</f>
        <v>41633</v>
      </c>
      <c r="G4640" t="s">
        <v>26</v>
      </c>
      <c r="H4640" t="s">
        <v>96</v>
      </c>
      <c r="I4640" t="s">
        <v>97</v>
      </c>
      <c r="J4640">
        <v>243.18</v>
      </c>
      <c r="K4640">
        <v>0.04</v>
      </c>
      <c r="L4640">
        <v>0.38</v>
      </c>
      <c r="M4640">
        <v>15.365</v>
      </c>
      <c r="N4640">
        <v>50.557499999999997</v>
      </c>
      <c r="O4640" s="1" t="s">
        <v>29</v>
      </c>
      <c r="P4640" s="1" t="s">
        <v>8801</v>
      </c>
      <c r="Q4640" s="1" t="s">
        <v>8802</v>
      </c>
      <c r="R4640" s="1" t="s">
        <v>675</v>
      </c>
      <c r="S4640" s="1" t="s">
        <v>8803</v>
      </c>
      <c r="T4640" s="1" t="s">
        <v>8804</v>
      </c>
      <c r="U4640" s="2" t="s">
        <v>1254</v>
      </c>
      <c r="V4640" s="2" t="s">
        <v>47</v>
      </c>
      <c r="W4640" s="2" t="s">
        <v>74</v>
      </c>
      <c r="X4640" s="2">
        <v>32.445</v>
      </c>
    </row>
    <row r="4641" spans="1:24" x14ac:dyDescent="0.3">
      <c r="A4641">
        <v>22482</v>
      </c>
      <c r="B4641" t="s">
        <v>10392</v>
      </c>
      <c r="C4641" s="3">
        <v>41626</v>
      </c>
      <c r="D4641" t="s">
        <v>148</v>
      </c>
      <c r="E4641">
        <v>21</v>
      </c>
      <c r="F4641" s="3">
        <f ca="1">41627+(RANDBETWEEN(1,10))</f>
        <v>41637</v>
      </c>
      <c r="G4641" t="s">
        <v>26</v>
      </c>
      <c r="H4641" t="s">
        <v>27</v>
      </c>
      <c r="I4641" t="s">
        <v>97</v>
      </c>
      <c r="J4641">
        <v>9937.48</v>
      </c>
      <c r="K4641">
        <v>0.01</v>
      </c>
      <c r="L4641">
        <v>0.55000000000000004</v>
      </c>
      <c r="M4641">
        <v>31.465</v>
      </c>
      <c r="N4641">
        <v>6856.8612000000003</v>
      </c>
      <c r="O4641" s="1" t="s">
        <v>29</v>
      </c>
      <c r="P4641" s="1" t="s">
        <v>8801</v>
      </c>
      <c r="Q4641" s="1" t="s">
        <v>8802</v>
      </c>
      <c r="R4641" s="1" t="s">
        <v>675</v>
      </c>
      <c r="S4641" s="1" t="s">
        <v>8803</v>
      </c>
      <c r="T4641" s="1" t="s">
        <v>8804</v>
      </c>
      <c r="U4641" s="2" t="s">
        <v>9184</v>
      </c>
      <c r="V4641" s="2" t="s">
        <v>36</v>
      </c>
      <c r="W4641" s="2" t="s">
        <v>37</v>
      </c>
      <c r="X4641" s="2">
        <v>545.96500000000003</v>
      </c>
    </row>
    <row r="4642" spans="1:24" x14ac:dyDescent="0.3">
      <c r="A4642">
        <v>22483</v>
      </c>
      <c r="B4642" t="s">
        <v>10393</v>
      </c>
      <c r="C4642" s="3">
        <v>41777</v>
      </c>
      <c r="D4642" t="s">
        <v>25</v>
      </c>
      <c r="E4642">
        <v>12</v>
      </c>
      <c r="F4642" s="3">
        <f ca="1">41782+(RANDBETWEEN(1,10))</f>
        <v>41783</v>
      </c>
      <c r="G4642" t="s">
        <v>26</v>
      </c>
      <c r="H4642" t="s">
        <v>51</v>
      </c>
      <c r="I4642" t="s">
        <v>52</v>
      </c>
      <c r="J4642">
        <v>366.41500000000002</v>
      </c>
      <c r="K4642">
        <v>0</v>
      </c>
      <c r="L4642">
        <v>0.61</v>
      </c>
      <c r="M4642">
        <v>12.67</v>
      </c>
      <c r="N4642">
        <v>-125.895</v>
      </c>
      <c r="O4642" s="1" t="s">
        <v>40</v>
      </c>
      <c r="P4642" s="1" t="s">
        <v>1842</v>
      </c>
      <c r="Q4642" s="1" t="s">
        <v>1843</v>
      </c>
      <c r="R4642" s="1" t="s">
        <v>43</v>
      </c>
      <c r="S4642" s="1" t="s">
        <v>1844</v>
      </c>
      <c r="T4642" s="1" t="s">
        <v>1845</v>
      </c>
      <c r="U4642" s="2" t="s">
        <v>1117</v>
      </c>
      <c r="V4642" s="2" t="s">
        <v>36</v>
      </c>
      <c r="W4642" s="2" t="s">
        <v>60</v>
      </c>
      <c r="X4642" s="2">
        <v>29.61</v>
      </c>
    </row>
    <row r="4643" spans="1:24" x14ac:dyDescent="0.3">
      <c r="A4643">
        <v>22484</v>
      </c>
      <c r="B4643" t="s">
        <v>10394</v>
      </c>
      <c r="C4643" s="3">
        <v>40845</v>
      </c>
      <c r="D4643" t="s">
        <v>148</v>
      </c>
      <c r="E4643">
        <v>3</v>
      </c>
      <c r="F4643" s="3">
        <f ca="1">40846+(RANDBETWEEN(1,10))</f>
        <v>40850</v>
      </c>
      <c r="G4643" t="s">
        <v>26</v>
      </c>
      <c r="H4643" t="s">
        <v>27</v>
      </c>
      <c r="I4643" t="s">
        <v>86</v>
      </c>
      <c r="J4643">
        <v>328.37</v>
      </c>
      <c r="K4643">
        <v>0.03</v>
      </c>
      <c r="L4643">
        <v>0.85</v>
      </c>
      <c r="M4643">
        <v>17.5</v>
      </c>
      <c r="N4643">
        <v>-645.91800000000001</v>
      </c>
      <c r="O4643" s="1" t="s">
        <v>87</v>
      </c>
      <c r="P4643" s="1" t="s">
        <v>9671</v>
      </c>
      <c r="Q4643" s="1" t="s">
        <v>9672</v>
      </c>
      <c r="R4643" s="1" t="s">
        <v>646</v>
      </c>
      <c r="S4643" s="1" t="s">
        <v>9673</v>
      </c>
      <c r="T4643" s="1" t="s">
        <v>9674</v>
      </c>
      <c r="U4643" s="2" t="s">
        <v>6099</v>
      </c>
      <c r="V4643" s="2" t="s">
        <v>36</v>
      </c>
      <c r="W4643" s="2" t="s">
        <v>37</v>
      </c>
      <c r="X4643" s="2">
        <v>125.965</v>
      </c>
    </row>
    <row r="4644" spans="1:24" x14ac:dyDescent="0.3">
      <c r="A4644">
        <v>22485</v>
      </c>
      <c r="B4644" t="s">
        <v>10395</v>
      </c>
      <c r="C4644" s="3">
        <v>41482</v>
      </c>
      <c r="D4644" t="s">
        <v>148</v>
      </c>
      <c r="E4644">
        <v>4</v>
      </c>
      <c r="F4644" s="3">
        <f ca="1">41483+(RANDBETWEEN(1,10))</f>
        <v>41492</v>
      </c>
      <c r="G4644" t="s">
        <v>76</v>
      </c>
      <c r="H4644" t="s">
        <v>77</v>
      </c>
      <c r="I4644" t="s">
        <v>52</v>
      </c>
      <c r="J4644">
        <v>1285.4449999999999</v>
      </c>
      <c r="K4644">
        <v>0.08</v>
      </c>
      <c r="L4644">
        <v>0.66</v>
      </c>
      <c r="M4644">
        <v>147</v>
      </c>
      <c r="N4644">
        <v>-1065.645</v>
      </c>
      <c r="O4644" s="1" t="s">
        <v>87</v>
      </c>
      <c r="P4644" s="1" t="s">
        <v>8828</v>
      </c>
      <c r="Q4644" s="1" t="s">
        <v>8829</v>
      </c>
      <c r="R4644" s="1" t="s">
        <v>398</v>
      </c>
      <c r="S4644" s="1" t="s">
        <v>8830</v>
      </c>
      <c r="T4644" s="1" t="s">
        <v>8831</v>
      </c>
      <c r="U4644" s="2" t="s">
        <v>2462</v>
      </c>
      <c r="V4644" s="2" t="s">
        <v>83</v>
      </c>
      <c r="W4644" s="2" t="s">
        <v>84</v>
      </c>
      <c r="X4644" s="2">
        <v>314.96499999999997</v>
      </c>
    </row>
    <row r="4645" spans="1:24" x14ac:dyDescent="0.3">
      <c r="A4645">
        <v>22486</v>
      </c>
      <c r="B4645" t="s">
        <v>10395</v>
      </c>
      <c r="C4645" s="3">
        <v>41482</v>
      </c>
      <c r="D4645" t="s">
        <v>148</v>
      </c>
      <c r="E4645">
        <v>16</v>
      </c>
      <c r="F4645" s="3">
        <f ca="1">41484+(RANDBETWEEN(1,10))</f>
        <v>41487</v>
      </c>
      <c r="G4645" t="s">
        <v>26</v>
      </c>
      <c r="H4645" t="s">
        <v>96</v>
      </c>
      <c r="I4645" t="s">
        <v>52</v>
      </c>
      <c r="J4645">
        <v>432.77499999999998</v>
      </c>
      <c r="K4645">
        <v>0.05</v>
      </c>
      <c r="L4645">
        <v>0.42</v>
      </c>
      <c r="M4645">
        <v>14</v>
      </c>
      <c r="N4645">
        <v>142.03</v>
      </c>
      <c r="O4645" s="1" t="s">
        <v>40</v>
      </c>
      <c r="P4645" s="1" t="s">
        <v>10396</v>
      </c>
      <c r="Q4645" s="1" t="s">
        <v>10397</v>
      </c>
      <c r="R4645" s="1" t="s">
        <v>220</v>
      </c>
      <c r="S4645" s="1" t="s">
        <v>1511</v>
      </c>
      <c r="T4645" s="1" t="s">
        <v>1512</v>
      </c>
      <c r="U4645" s="2" t="s">
        <v>2801</v>
      </c>
      <c r="V4645" s="2" t="s">
        <v>83</v>
      </c>
      <c r="W4645" s="2" t="s">
        <v>178</v>
      </c>
      <c r="X4645" s="2">
        <v>26.565000000000001</v>
      </c>
    </row>
    <row r="4646" spans="1:24" x14ac:dyDescent="0.3">
      <c r="A4646">
        <v>22487</v>
      </c>
      <c r="B4646" t="s">
        <v>10398</v>
      </c>
      <c r="C4646" s="3">
        <v>41450</v>
      </c>
      <c r="D4646" t="s">
        <v>39</v>
      </c>
      <c r="E4646">
        <v>5</v>
      </c>
      <c r="F4646" s="3">
        <f ca="1">41452+(RANDBETWEEN(1,10))</f>
        <v>41453</v>
      </c>
      <c r="G4646" t="s">
        <v>26</v>
      </c>
      <c r="H4646" t="s">
        <v>27</v>
      </c>
      <c r="I4646" t="s">
        <v>86</v>
      </c>
      <c r="J4646">
        <v>2028.425</v>
      </c>
      <c r="K4646">
        <v>7.0000000000000007E-2</v>
      </c>
      <c r="L4646">
        <v>0.59</v>
      </c>
      <c r="M4646">
        <v>14.7</v>
      </c>
      <c r="N4646">
        <v>-210.02520000000001</v>
      </c>
      <c r="O4646" s="1" t="s">
        <v>40</v>
      </c>
      <c r="P4646" s="1" t="s">
        <v>10399</v>
      </c>
      <c r="Q4646" s="1" t="s">
        <v>10400</v>
      </c>
      <c r="R4646" s="1" t="s">
        <v>43</v>
      </c>
      <c r="S4646" s="1" t="s">
        <v>10401</v>
      </c>
      <c r="T4646" s="1" t="s">
        <v>10402</v>
      </c>
      <c r="U4646" s="2">
        <v>7160</v>
      </c>
      <c r="V4646" s="2" t="s">
        <v>36</v>
      </c>
      <c r="W4646" s="2" t="s">
        <v>37</v>
      </c>
      <c r="X4646" s="2">
        <v>493.46499999999997</v>
      </c>
    </row>
    <row r="4647" spans="1:24" x14ac:dyDescent="0.3">
      <c r="A4647">
        <v>22488</v>
      </c>
      <c r="B4647" t="s">
        <v>10403</v>
      </c>
      <c r="C4647" s="3">
        <v>40620</v>
      </c>
      <c r="D4647" t="s">
        <v>148</v>
      </c>
      <c r="E4647">
        <v>8</v>
      </c>
      <c r="F4647" s="3">
        <f ca="1">40621+(RANDBETWEEN(1,10))</f>
        <v>40625</v>
      </c>
      <c r="G4647" t="s">
        <v>156</v>
      </c>
      <c r="H4647" t="s">
        <v>281</v>
      </c>
      <c r="I4647" t="s">
        <v>86</v>
      </c>
      <c r="J4647">
        <v>2243.8850000000002</v>
      </c>
      <c r="K4647">
        <v>0.01</v>
      </c>
      <c r="L4647">
        <v>0.52</v>
      </c>
      <c r="M4647">
        <v>48.965000000000003</v>
      </c>
      <c r="N4647">
        <v>1548.2806499999999</v>
      </c>
      <c r="O4647" s="1" t="s">
        <v>53</v>
      </c>
      <c r="P4647" s="1" t="s">
        <v>4903</v>
      </c>
      <c r="Q4647" s="1" t="s">
        <v>4904</v>
      </c>
      <c r="R4647" s="1" t="s">
        <v>56</v>
      </c>
      <c r="S4647" s="1" t="s">
        <v>4905</v>
      </c>
      <c r="T4647" s="1" t="s">
        <v>4906</v>
      </c>
      <c r="U4647" s="2" t="s">
        <v>5634</v>
      </c>
      <c r="V4647" s="2" t="s">
        <v>47</v>
      </c>
      <c r="W4647" s="2" t="s">
        <v>71</v>
      </c>
      <c r="X4647" s="2">
        <v>275.27499999999998</v>
      </c>
    </row>
    <row r="4648" spans="1:24" x14ac:dyDescent="0.3">
      <c r="A4648">
        <v>22489</v>
      </c>
      <c r="B4648" t="s">
        <v>10404</v>
      </c>
      <c r="C4648" s="3">
        <v>41716</v>
      </c>
      <c r="D4648" t="s">
        <v>148</v>
      </c>
      <c r="E4648">
        <v>2</v>
      </c>
      <c r="F4648" s="3">
        <f ca="1">41718+(RANDBETWEEN(1,10))</f>
        <v>41720</v>
      </c>
      <c r="G4648" t="s">
        <v>26</v>
      </c>
      <c r="H4648" t="s">
        <v>27</v>
      </c>
      <c r="I4648" t="s">
        <v>86</v>
      </c>
      <c r="J4648">
        <v>53.55</v>
      </c>
      <c r="K4648">
        <v>7.0000000000000007E-2</v>
      </c>
      <c r="L4648">
        <v>0.36</v>
      </c>
      <c r="M4648">
        <v>33.880000000000003</v>
      </c>
      <c r="N4648">
        <v>-152.25</v>
      </c>
      <c r="O4648" s="1" t="s">
        <v>53</v>
      </c>
      <c r="P4648" s="1" t="s">
        <v>4903</v>
      </c>
      <c r="Q4648" s="1" t="s">
        <v>4904</v>
      </c>
      <c r="R4648" s="1" t="s">
        <v>56</v>
      </c>
      <c r="S4648" s="1" t="s">
        <v>4905</v>
      </c>
      <c r="T4648" s="1" t="s">
        <v>4906</v>
      </c>
      <c r="U4648" s="2" t="s">
        <v>6485</v>
      </c>
      <c r="V4648" s="2" t="s">
        <v>47</v>
      </c>
      <c r="W4648" s="2" t="s">
        <v>74</v>
      </c>
      <c r="X4648" s="2">
        <v>22.68</v>
      </c>
    </row>
    <row r="4649" spans="1:24" x14ac:dyDescent="0.3">
      <c r="A4649">
        <v>22490</v>
      </c>
      <c r="B4649" t="s">
        <v>10405</v>
      </c>
      <c r="C4649" s="3">
        <v>41406</v>
      </c>
      <c r="D4649" t="s">
        <v>50</v>
      </c>
      <c r="E4649">
        <v>6</v>
      </c>
      <c r="F4649" s="3">
        <f ca="1">41407+(RANDBETWEEN(1,10))</f>
        <v>41413</v>
      </c>
      <c r="G4649" t="s">
        <v>26</v>
      </c>
      <c r="H4649" t="s">
        <v>281</v>
      </c>
      <c r="I4649" t="s">
        <v>86</v>
      </c>
      <c r="J4649">
        <v>566.37</v>
      </c>
      <c r="K4649">
        <v>0.03</v>
      </c>
      <c r="L4649" t="s">
        <v>182</v>
      </c>
      <c r="M4649">
        <v>18.55</v>
      </c>
      <c r="N4649">
        <v>-147.53899999999999</v>
      </c>
      <c r="O4649" s="1" t="s">
        <v>29</v>
      </c>
      <c r="P4649" s="1" t="s">
        <v>9879</v>
      </c>
      <c r="Q4649" s="1" t="s">
        <v>9880</v>
      </c>
      <c r="R4649" s="1" t="s">
        <v>460</v>
      </c>
      <c r="S4649" s="1" t="s">
        <v>9881</v>
      </c>
      <c r="T4649" s="1" t="s">
        <v>9882</v>
      </c>
      <c r="U4649" s="2" t="s">
        <v>9528</v>
      </c>
      <c r="V4649" s="2" t="s">
        <v>83</v>
      </c>
      <c r="W4649" s="2" t="s">
        <v>84</v>
      </c>
      <c r="X4649" s="2">
        <v>93.24</v>
      </c>
    </row>
    <row r="4650" spans="1:24" x14ac:dyDescent="0.3">
      <c r="A4650">
        <v>22491</v>
      </c>
      <c r="B4650" t="s">
        <v>10405</v>
      </c>
      <c r="C4650" s="3">
        <v>41406</v>
      </c>
      <c r="D4650" t="s">
        <v>50</v>
      </c>
      <c r="E4650">
        <v>6</v>
      </c>
      <c r="F4650" s="3">
        <f ca="1">41408+(RANDBETWEEN(1,10))</f>
        <v>41409</v>
      </c>
      <c r="G4650" t="s">
        <v>26</v>
      </c>
      <c r="H4650" t="s">
        <v>27</v>
      </c>
      <c r="I4650" t="s">
        <v>86</v>
      </c>
      <c r="J4650">
        <v>163.905</v>
      </c>
      <c r="K4650">
        <v>7.0000000000000007E-2</v>
      </c>
      <c r="L4650">
        <v>0.37</v>
      </c>
      <c r="M4650">
        <v>39.024999999999999</v>
      </c>
      <c r="N4650">
        <v>1512.9449999999999</v>
      </c>
      <c r="O4650" s="1" t="s">
        <v>29</v>
      </c>
      <c r="P4650" s="1" t="s">
        <v>9879</v>
      </c>
      <c r="Q4650" s="1" t="s">
        <v>9880</v>
      </c>
      <c r="R4650" s="1" t="s">
        <v>460</v>
      </c>
      <c r="S4650" s="1" t="s">
        <v>9881</v>
      </c>
      <c r="T4650" s="1" t="s">
        <v>9882</v>
      </c>
      <c r="U4650" s="2" t="s">
        <v>4160</v>
      </c>
      <c r="V4650" s="2" t="s">
        <v>47</v>
      </c>
      <c r="W4650" s="2" t="s">
        <v>74</v>
      </c>
      <c r="X4650" s="2">
        <v>25.48</v>
      </c>
    </row>
    <row r="4651" spans="1:24" x14ac:dyDescent="0.3">
      <c r="A4651">
        <v>22492</v>
      </c>
      <c r="B4651" t="s">
        <v>10406</v>
      </c>
      <c r="C4651" s="3">
        <v>41895</v>
      </c>
      <c r="D4651" t="s">
        <v>25</v>
      </c>
      <c r="E4651">
        <v>26</v>
      </c>
      <c r="F4651" s="3">
        <f ca="1">41897+(RANDBETWEEN(1,10))</f>
        <v>41899</v>
      </c>
      <c r="G4651" t="s">
        <v>26</v>
      </c>
      <c r="H4651" t="s">
        <v>96</v>
      </c>
      <c r="I4651" t="s">
        <v>97</v>
      </c>
      <c r="J4651">
        <v>301.14</v>
      </c>
      <c r="K4651">
        <v>0.05</v>
      </c>
      <c r="L4651">
        <v>0.4</v>
      </c>
      <c r="M4651">
        <v>4.7249999999999996</v>
      </c>
      <c r="N4651">
        <v>94.311000000000007</v>
      </c>
      <c r="O4651" s="1" t="s">
        <v>225</v>
      </c>
      <c r="P4651" s="1" t="s">
        <v>10105</v>
      </c>
      <c r="Q4651" s="1" t="s">
        <v>10106</v>
      </c>
      <c r="R4651" s="1" t="s">
        <v>228</v>
      </c>
      <c r="S4651" s="1" t="s">
        <v>10107</v>
      </c>
      <c r="T4651" s="1" t="s">
        <v>10108</v>
      </c>
      <c r="U4651" s="2" t="s">
        <v>2529</v>
      </c>
      <c r="V4651" s="2" t="s">
        <v>47</v>
      </c>
      <c r="W4651" s="2" t="s">
        <v>176</v>
      </c>
      <c r="X4651" s="2">
        <v>11.515000000000001</v>
      </c>
    </row>
    <row r="4652" spans="1:24" x14ac:dyDescent="0.3">
      <c r="A4652">
        <v>22493</v>
      </c>
      <c r="B4652" t="s">
        <v>10406</v>
      </c>
      <c r="C4652" s="3">
        <v>41895</v>
      </c>
      <c r="D4652" t="s">
        <v>25</v>
      </c>
      <c r="E4652">
        <v>14</v>
      </c>
      <c r="F4652" s="3">
        <f ca="1">41902+(RANDBETWEEN(1,10))</f>
        <v>41903</v>
      </c>
      <c r="G4652" t="s">
        <v>76</v>
      </c>
      <c r="H4652" t="s">
        <v>258</v>
      </c>
      <c r="I4652" t="s">
        <v>97</v>
      </c>
      <c r="J4652">
        <v>28587.404999999999</v>
      </c>
      <c r="K4652">
        <v>0.02</v>
      </c>
      <c r="L4652">
        <v>0.8</v>
      </c>
      <c r="M4652">
        <v>514.91999999999996</v>
      </c>
      <c r="N4652">
        <v>-3531.6187199999999</v>
      </c>
      <c r="O4652" s="1" t="s">
        <v>225</v>
      </c>
      <c r="P4652" s="1" t="s">
        <v>10105</v>
      </c>
      <c r="Q4652" s="1" t="s">
        <v>10106</v>
      </c>
      <c r="R4652" s="1" t="s">
        <v>228</v>
      </c>
      <c r="S4652" s="1" t="s">
        <v>10107</v>
      </c>
      <c r="T4652" s="1" t="s">
        <v>10108</v>
      </c>
      <c r="U4652" s="2" t="s">
        <v>5148</v>
      </c>
      <c r="V4652" s="2" t="s">
        <v>83</v>
      </c>
      <c r="W4652" s="2" t="s">
        <v>263</v>
      </c>
      <c r="X4652" s="2">
        <v>1928.43</v>
      </c>
    </row>
    <row r="4653" spans="1:24" x14ac:dyDescent="0.3">
      <c r="A4653">
        <v>22494</v>
      </c>
      <c r="B4653" t="s">
        <v>10407</v>
      </c>
      <c r="C4653" s="3">
        <v>41575</v>
      </c>
      <c r="D4653" t="s">
        <v>25</v>
      </c>
      <c r="E4653">
        <v>11</v>
      </c>
      <c r="F4653" s="3">
        <f ca="1">41580+(RANDBETWEEN(1,10))</f>
        <v>41584</v>
      </c>
      <c r="G4653" t="s">
        <v>26</v>
      </c>
      <c r="H4653" t="s">
        <v>51</v>
      </c>
      <c r="I4653" t="s">
        <v>86</v>
      </c>
      <c r="J4653">
        <v>865.97</v>
      </c>
      <c r="K4653">
        <v>7.0000000000000007E-2</v>
      </c>
      <c r="L4653">
        <v>0.52</v>
      </c>
      <c r="M4653">
        <v>12.705</v>
      </c>
      <c r="N4653">
        <v>597.51930000000004</v>
      </c>
      <c r="O4653" s="1" t="s">
        <v>87</v>
      </c>
      <c r="P4653" s="1" t="s">
        <v>9610</v>
      </c>
      <c r="Q4653" s="1" t="s">
        <v>9611</v>
      </c>
      <c r="R4653" s="1" t="s">
        <v>90</v>
      </c>
      <c r="S4653" s="1" t="s">
        <v>8471</v>
      </c>
      <c r="T4653" s="1" t="s">
        <v>8472</v>
      </c>
      <c r="U4653" s="2" t="s">
        <v>6058</v>
      </c>
      <c r="V4653" s="2" t="s">
        <v>83</v>
      </c>
      <c r="W4653" s="2" t="s">
        <v>178</v>
      </c>
      <c r="X4653" s="2">
        <v>77.805000000000007</v>
      </c>
    </row>
    <row r="4654" spans="1:24" x14ac:dyDescent="0.3">
      <c r="A4654">
        <v>22495</v>
      </c>
      <c r="B4654" t="s">
        <v>10407</v>
      </c>
      <c r="C4654" s="3">
        <v>41575</v>
      </c>
      <c r="D4654" t="s">
        <v>25</v>
      </c>
      <c r="E4654">
        <v>5</v>
      </c>
      <c r="F4654" s="3">
        <f ca="1">41577+(RANDBETWEEN(1,10))</f>
        <v>41584</v>
      </c>
      <c r="G4654" t="s">
        <v>26</v>
      </c>
      <c r="H4654" t="s">
        <v>281</v>
      </c>
      <c r="I4654" t="s">
        <v>86</v>
      </c>
      <c r="J4654">
        <v>5477.85</v>
      </c>
      <c r="K4654">
        <v>0</v>
      </c>
      <c r="L4654">
        <v>0.39</v>
      </c>
      <c r="M4654">
        <v>48.965000000000003</v>
      </c>
      <c r="N4654">
        <v>2557.3240000000001</v>
      </c>
      <c r="O4654" s="1" t="s">
        <v>87</v>
      </c>
      <c r="P4654" s="1" t="s">
        <v>9610</v>
      </c>
      <c r="Q4654" s="1" t="s">
        <v>9611</v>
      </c>
      <c r="R4654" s="1" t="s">
        <v>90</v>
      </c>
      <c r="S4654" s="1" t="s">
        <v>8471</v>
      </c>
      <c r="T4654" s="1" t="s">
        <v>8472</v>
      </c>
      <c r="U4654" s="2" t="s">
        <v>6972</v>
      </c>
      <c r="V4654" s="2" t="s">
        <v>36</v>
      </c>
      <c r="W4654" s="2" t="s">
        <v>142</v>
      </c>
      <c r="X4654" s="2">
        <v>1053.43</v>
      </c>
    </row>
    <row r="4655" spans="1:24" x14ac:dyDescent="0.3">
      <c r="A4655">
        <v>22496</v>
      </c>
      <c r="B4655" t="s">
        <v>10408</v>
      </c>
      <c r="C4655" s="3">
        <v>41840</v>
      </c>
      <c r="D4655" t="s">
        <v>25</v>
      </c>
      <c r="E4655">
        <v>13</v>
      </c>
      <c r="F4655" s="3">
        <f ca="1">41844+(RANDBETWEEN(1,10))</f>
        <v>41852</v>
      </c>
      <c r="G4655" t="s">
        <v>26</v>
      </c>
      <c r="H4655" t="s">
        <v>27</v>
      </c>
      <c r="I4655" t="s">
        <v>52</v>
      </c>
      <c r="J4655">
        <v>1471.0150000000001</v>
      </c>
      <c r="K4655">
        <v>0.03</v>
      </c>
      <c r="L4655">
        <v>0.79</v>
      </c>
      <c r="M4655">
        <v>22.75</v>
      </c>
      <c r="N4655">
        <v>-235.47384</v>
      </c>
      <c r="O4655" s="1" t="s">
        <v>53</v>
      </c>
      <c r="P4655" s="1" t="s">
        <v>8963</v>
      </c>
      <c r="Q4655" s="1" t="s">
        <v>8964</v>
      </c>
      <c r="R4655" s="1" t="s">
        <v>56</v>
      </c>
      <c r="S4655" s="1" t="s">
        <v>8965</v>
      </c>
      <c r="T4655" s="1" t="s">
        <v>8966</v>
      </c>
      <c r="U4655" s="2" t="s">
        <v>4252</v>
      </c>
      <c r="V4655" s="2" t="s">
        <v>36</v>
      </c>
      <c r="W4655" s="2" t="s">
        <v>60</v>
      </c>
      <c r="X4655" s="2">
        <v>108.43</v>
      </c>
    </row>
    <row r="4656" spans="1:24" x14ac:dyDescent="0.3">
      <c r="A4656">
        <v>22497</v>
      </c>
      <c r="B4656" t="s">
        <v>10408</v>
      </c>
      <c r="C4656" s="3">
        <v>41840</v>
      </c>
      <c r="D4656" t="s">
        <v>25</v>
      </c>
      <c r="E4656">
        <v>2</v>
      </c>
      <c r="F4656" s="3">
        <f ca="1">41840+(RANDBETWEEN(1,10))</f>
        <v>41848</v>
      </c>
      <c r="G4656" t="s">
        <v>26</v>
      </c>
      <c r="H4656" t="s">
        <v>27</v>
      </c>
      <c r="I4656" t="s">
        <v>52</v>
      </c>
      <c r="J4656">
        <v>98.56</v>
      </c>
      <c r="K4656">
        <v>7.0000000000000007E-2</v>
      </c>
      <c r="L4656">
        <v>0.43</v>
      </c>
      <c r="M4656">
        <v>30.73</v>
      </c>
      <c r="N4656">
        <v>68.006399999999999</v>
      </c>
      <c r="O4656" s="1" t="s">
        <v>53</v>
      </c>
      <c r="P4656" s="1" t="s">
        <v>8963</v>
      </c>
      <c r="Q4656" s="1" t="s">
        <v>8964</v>
      </c>
      <c r="R4656" s="1" t="s">
        <v>56</v>
      </c>
      <c r="S4656" s="1" t="s">
        <v>8965</v>
      </c>
      <c r="T4656" s="1" t="s">
        <v>8966</v>
      </c>
      <c r="U4656" s="2" t="s">
        <v>4722</v>
      </c>
      <c r="V4656" s="2" t="s">
        <v>83</v>
      </c>
      <c r="W4656" s="2" t="s">
        <v>178</v>
      </c>
      <c r="X4656" s="2">
        <v>48.265000000000001</v>
      </c>
    </row>
    <row r="4657" spans="1:24" x14ac:dyDescent="0.3">
      <c r="A4657">
        <v>22498</v>
      </c>
      <c r="B4657" t="s">
        <v>10409</v>
      </c>
      <c r="C4657" s="3">
        <v>41310</v>
      </c>
      <c r="D4657" t="s">
        <v>25</v>
      </c>
      <c r="E4657">
        <v>11</v>
      </c>
      <c r="F4657" s="3">
        <f ca="1">41314+(RANDBETWEEN(1,10))</f>
        <v>41321</v>
      </c>
      <c r="G4657" t="s">
        <v>76</v>
      </c>
      <c r="H4657" t="s">
        <v>258</v>
      </c>
      <c r="I4657" t="s">
        <v>52</v>
      </c>
      <c r="J4657">
        <v>16384.794999999998</v>
      </c>
      <c r="K4657">
        <v>0.06</v>
      </c>
      <c r="L4657">
        <v>0.79</v>
      </c>
      <c r="M4657">
        <v>263.30500000000001</v>
      </c>
      <c r="N4657">
        <v>34.755000000000003</v>
      </c>
      <c r="O4657" s="1" t="s">
        <v>64</v>
      </c>
      <c r="P4657" s="1" t="s">
        <v>10410</v>
      </c>
      <c r="Q4657" s="1" t="s">
        <v>10411</v>
      </c>
      <c r="R4657" s="1" t="s">
        <v>67</v>
      </c>
      <c r="S4657" s="1" t="s">
        <v>10412</v>
      </c>
      <c r="T4657" s="1" t="s">
        <v>10413</v>
      </c>
      <c r="U4657" s="2" t="s">
        <v>7995</v>
      </c>
      <c r="V4657" s="2" t="s">
        <v>83</v>
      </c>
      <c r="W4657" s="2" t="s">
        <v>263</v>
      </c>
      <c r="X4657" s="2">
        <v>1460.9</v>
      </c>
    </row>
    <row r="4658" spans="1:24" x14ac:dyDescent="0.3">
      <c r="A4658">
        <v>22499</v>
      </c>
      <c r="B4658" t="s">
        <v>10414</v>
      </c>
      <c r="C4658" s="3">
        <v>41552</v>
      </c>
      <c r="D4658" t="s">
        <v>148</v>
      </c>
      <c r="E4658">
        <v>3</v>
      </c>
      <c r="F4658" s="3">
        <f ca="1">41554+(RANDBETWEEN(1,10))</f>
        <v>41559</v>
      </c>
      <c r="G4658" t="s">
        <v>26</v>
      </c>
      <c r="H4658" t="s">
        <v>27</v>
      </c>
      <c r="I4658" t="s">
        <v>28</v>
      </c>
      <c r="J4658">
        <v>593.07500000000005</v>
      </c>
      <c r="K4658">
        <v>7.0000000000000007E-2</v>
      </c>
      <c r="L4658">
        <v>0.36</v>
      </c>
      <c r="M4658">
        <v>37.625</v>
      </c>
      <c r="N4658">
        <v>147.34719999999999</v>
      </c>
      <c r="O4658" s="1" t="s">
        <v>87</v>
      </c>
      <c r="P4658" s="1" t="s">
        <v>7513</v>
      </c>
      <c r="Q4658" s="1" t="s">
        <v>7514</v>
      </c>
      <c r="R4658" s="1" t="s">
        <v>90</v>
      </c>
      <c r="S4658" s="1" t="s">
        <v>7515</v>
      </c>
      <c r="T4658" s="1" t="s">
        <v>7516</v>
      </c>
      <c r="U4658" s="2" t="s">
        <v>5401</v>
      </c>
      <c r="V4658" s="2" t="s">
        <v>47</v>
      </c>
      <c r="W4658" s="2" t="s">
        <v>74</v>
      </c>
      <c r="X4658" s="2">
        <v>192.36</v>
      </c>
    </row>
    <row r="4659" spans="1:24" x14ac:dyDescent="0.3">
      <c r="A4659">
        <v>22500</v>
      </c>
      <c r="B4659" t="s">
        <v>10414</v>
      </c>
      <c r="C4659" s="3">
        <v>41552</v>
      </c>
      <c r="D4659" t="s">
        <v>148</v>
      </c>
      <c r="E4659">
        <v>12</v>
      </c>
      <c r="F4659" s="3">
        <f ca="1">41553+(RANDBETWEEN(1,10))</f>
        <v>41560</v>
      </c>
      <c r="G4659" t="s">
        <v>26</v>
      </c>
      <c r="H4659" t="s">
        <v>27</v>
      </c>
      <c r="I4659" t="s">
        <v>28</v>
      </c>
      <c r="J4659">
        <v>609.03499999999997</v>
      </c>
      <c r="K4659">
        <v>7.0000000000000007E-2</v>
      </c>
      <c r="L4659">
        <v>0.56999999999999995</v>
      </c>
      <c r="M4659">
        <v>26.285</v>
      </c>
      <c r="N4659">
        <v>-258.8922</v>
      </c>
      <c r="O4659" s="1" t="s">
        <v>87</v>
      </c>
      <c r="P4659" s="1" t="s">
        <v>7513</v>
      </c>
      <c r="Q4659" s="1" t="s">
        <v>7514</v>
      </c>
      <c r="R4659" s="1" t="s">
        <v>90</v>
      </c>
      <c r="S4659" s="1" t="s">
        <v>7515</v>
      </c>
      <c r="T4659" s="1" t="s">
        <v>7516</v>
      </c>
      <c r="U4659" s="2" t="s">
        <v>5539</v>
      </c>
      <c r="V4659" s="2" t="s">
        <v>47</v>
      </c>
      <c r="W4659" s="2" t="s">
        <v>119</v>
      </c>
      <c r="X4659" s="2">
        <v>52.395000000000003</v>
      </c>
    </row>
    <row r="4660" spans="1:24" x14ac:dyDescent="0.3">
      <c r="A4660">
        <v>22501</v>
      </c>
      <c r="B4660" t="s">
        <v>10415</v>
      </c>
      <c r="C4660" s="3">
        <v>40590</v>
      </c>
      <c r="D4660" t="s">
        <v>25</v>
      </c>
      <c r="E4660">
        <v>9</v>
      </c>
      <c r="F4660" s="3">
        <f ca="1">40597+(RANDBETWEEN(1,10))</f>
        <v>40605</v>
      </c>
      <c r="G4660" t="s">
        <v>26</v>
      </c>
      <c r="H4660" t="s">
        <v>27</v>
      </c>
      <c r="I4660" t="s">
        <v>97</v>
      </c>
      <c r="J4660">
        <v>265.33499999999998</v>
      </c>
      <c r="K4660">
        <v>0.04</v>
      </c>
      <c r="L4660">
        <v>0.38</v>
      </c>
      <c r="M4660">
        <v>21.664999999999999</v>
      </c>
      <c r="N4660">
        <v>-223.34725</v>
      </c>
      <c r="O4660" s="1" t="s">
        <v>53</v>
      </c>
      <c r="P4660" s="1" t="s">
        <v>10416</v>
      </c>
      <c r="Q4660" s="1" t="s">
        <v>10417</v>
      </c>
      <c r="R4660" s="1" t="s">
        <v>440</v>
      </c>
      <c r="S4660" s="1" t="s">
        <v>10418</v>
      </c>
      <c r="T4660" s="1" t="s">
        <v>10419</v>
      </c>
      <c r="U4660" s="2" t="s">
        <v>1202</v>
      </c>
      <c r="V4660" s="2" t="s">
        <v>47</v>
      </c>
      <c r="W4660" s="2" t="s">
        <v>111</v>
      </c>
      <c r="X4660" s="2">
        <v>30.1</v>
      </c>
    </row>
    <row r="4661" spans="1:24" x14ac:dyDescent="0.3">
      <c r="A4661">
        <v>22502</v>
      </c>
      <c r="B4661" t="s">
        <v>10415</v>
      </c>
      <c r="C4661" s="3">
        <v>40590</v>
      </c>
      <c r="D4661" t="s">
        <v>25</v>
      </c>
      <c r="E4661">
        <v>4</v>
      </c>
      <c r="F4661" s="3">
        <f ca="1">40594+(RANDBETWEEN(1,10))</f>
        <v>40597</v>
      </c>
      <c r="G4661" t="s">
        <v>26</v>
      </c>
      <c r="H4661" t="s">
        <v>63</v>
      </c>
      <c r="I4661" t="s">
        <v>97</v>
      </c>
      <c r="J4661">
        <v>9205</v>
      </c>
      <c r="K4661">
        <v>7.0000000000000007E-2</v>
      </c>
      <c r="L4661">
        <v>0.54</v>
      </c>
      <c r="M4661">
        <v>85.715000000000003</v>
      </c>
      <c r="N4661">
        <v>1138.5150000000001</v>
      </c>
      <c r="O4661" s="1" t="s">
        <v>53</v>
      </c>
      <c r="P4661" s="1" t="s">
        <v>10416</v>
      </c>
      <c r="Q4661" s="1" t="s">
        <v>10417</v>
      </c>
      <c r="R4661" s="1" t="s">
        <v>440</v>
      </c>
      <c r="S4661" s="1" t="s">
        <v>10418</v>
      </c>
      <c r="T4661" s="1" t="s">
        <v>10419</v>
      </c>
      <c r="U4661" s="2" t="s">
        <v>7907</v>
      </c>
      <c r="V4661" s="2" t="s">
        <v>36</v>
      </c>
      <c r="W4661" s="2" t="s">
        <v>1327</v>
      </c>
      <c r="X4661" s="2">
        <v>2449.9650000000001</v>
      </c>
    </row>
    <row r="4662" spans="1:24" x14ac:dyDescent="0.3">
      <c r="A4662">
        <v>22503</v>
      </c>
      <c r="B4662" t="s">
        <v>10420</v>
      </c>
      <c r="C4662" s="3">
        <v>40711</v>
      </c>
      <c r="D4662" t="s">
        <v>25</v>
      </c>
      <c r="E4662">
        <v>10</v>
      </c>
      <c r="F4662" s="3">
        <f ca="1">40713+(RANDBETWEEN(1,10))</f>
        <v>40719</v>
      </c>
      <c r="G4662" t="s">
        <v>156</v>
      </c>
      <c r="H4662" t="s">
        <v>281</v>
      </c>
      <c r="I4662" t="s">
        <v>52</v>
      </c>
      <c r="J4662">
        <v>460.91500000000002</v>
      </c>
      <c r="K4662">
        <v>0</v>
      </c>
      <c r="L4662">
        <v>0.5</v>
      </c>
      <c r="M4662">
        <v>24.36</v>
      </c>
      <c r="N4662">
        <v>-39.368000000000002</v>
      </c>
      <c r="O4662" s="1" t="s">
        <v>64</v>
      </c>
      <c r="P4662" s="1" t="s">
        <v>3667</v>
      </c>
      <c r="Q4662" s="1" t="s">
        <v>3668</v>
      </c>
      <c r="R4662" s="1" t="s">
        <v>128</v>
      </c>
      <c r="S4662" s="1" t="s">
        <v>3669</v>
      </c>
      <c r="T4662" s="1" t="s">
        <v>3670</v>
      </c>
      <c r="U4662" s="2" t="s">
        <v>709</v>
      </c>
      <c r="V4662" s="2" t="s">
        <v>47</v>
      </c>
      <c r="W4662" s="2" t="s">
        <v>71</v>
      </c>
      <c r="X4662" s="2">
        <v>40.950000000000003</v>
      </c>
    </row>
    <row r="4663" spans="1:24" x14ac:dyDescent="0.3">
      <c r="A4663">
        <v>22504</v>
      </c>
      <c r="B4663" t="s">
        <v>10421</v>
      </c>
      <c r="C4663" s="3">
        <v>41610</v>
      </c>
      <c r="D4663" t="s">
        <v>148</v>
      </c>
      <c r="E4663">
        <v>13</v>
      </c>
      <c r="F4663" s="3">
        <f ca="1">41611+(RANDBETWEEN(1,10))</f>
        <v>41618</v>
      </c>
      <c r="G4663" t="s">
        <v>26</v>
      </c>
      <c r="H4663" t="s">
        <v>281</v>
      </c>
      <c r="I4663" t="s">
        <v>28</v>
      </c>
      <c r="J4663">
        <v>819.52499999999998</v>
      </c>
      <c r="K4663">
        <v>0.09</v>
      </c>
      <c r="L4663">
        <v>0.4</v>
      </c>
      <c r="M4663">
        <v>29.785</v>
      </c>
      <c r="N4663">
        <v>-21.604275000000001</v>
      </c>
      <c r="O4663" s="1" t="s">
        <v>40</v>
      </c>
      <c r="P4663" s="1" t="s">
        <v>6909</v>
      </c>
      <c r="Q4663" s="1" t="s">
        <v>6910</v>
      </c>
      <c r="R4663" s="1" t="s">
        <v>220</v>
      </c>
      <c r="S4663" s="1" t="s">
        <v>6911</v>
      </c>
      <c r="T4663" s="1" t="s">
        <v>6912</v>
      </c>
      <c r="U4663" s="2" t="s">
        <v>282</v>
      </c>
      <c r="V4663" s="2" t="s">
        <v>36</v>
      </c>
      <c r="W4663" s="2" t="s">
        <v>142</v>
      </c>
      <c r="X4663" s="2">
        <v>62.93</v>
      </c>
    </row>
    <row r="4664" spans="1:24" x14ac:dyDescent="0.3">
      <c r="A4664">
        <v>22505</v>
      </c>
      <c r="B4664" t="s">
        <v>10422</v>
      </c>
      <c r="C4664" s="3">
        <v>41710</v>
      </c>
      <c r="D4664" t="s">
        <v>39</v>
      </c>
      <c r="E4664">
        <v>7</v>
      </c>
      <c r="F4664" s="3">
        <f ca="1">41711+(RANDBETWEEN(1,10))</f>
        <v>41719</v>
      </c>
      <c r="G4664" t="s">
        <v>26</v>
      </c>
      <c r="H4664" t="s">
        <v>27</v>
      </c>
      <c r="I4664" t="s">
        <v>86</v>
      </c>
      <c r="J4664">
        <v>2589.65</v>
      </c>
      <c r="K4664">
        <v>0.06</v>
      </c>
      <c r="L4664">
        <v>0.57999999999999996</v>
      </c>
      <c r="M4664">
        <v>26.914999999999999</v>
      </c>
      <c r="N4664">
        <v>1722.8295000000001</v>
      </c>
      <c r="O4664" s="1" t="s">
        <v>53</v>
      </c>
      <c r="P4664" s="1" t="s">
        <v>10423</v>
      </c>
      <c r="Q4664" s="1" t="s">
        <v>10424</v>
      </c>
      <c r="R4664" s="1" t="s">
        <v>56</v>
      </c>
      <c r="S4664" s="1" t="s">
        <v>10425</v>
      </c>
      <c r="T4664" s="1" t="s">
        <v>10426</v>
      </c>
      <c r="U4664" s="2" t="s">
        <v>2511</v>
      </c>
      <c r="V4664" s="2" t="s">
        <v>36</v>
      </c>
      <c r="W4664" s="2" t="s">
        <v>37</v>
      </c>
      <c r="X4664" s="2">
        <v>440.96499999999997</v>
      </c>
    </row>
    <row r="4665" spans="1:24" x14ac:dyDescent="0.3">
      <c r="A4665">
        <v>22506</v>
      </c>
      <c r="B4665" t="s">
        <v>10427</v>
      </c>
      <c r="C4665" s="3">
        <v>41597</v>
      </c>
      <c r="D4665" t="s">
        <v>50</v>
      </c>
      <c r="E4665">
        <v>7</v>
      </c>
      <c r="F4665" s="3">
        <f ca="1">41597+(RANDBETWEEN(1,10))</f>
        <v>41600</v>
      </c>
      <c r="G4665" t="s">
        <v>76</v>
      </c>
      <c r="H4665" t="s">
        <v>77</v>
      </c>
      <c r="I4665" t="s">
        <v>52</v>
      </c>
      <c r="J4665">
        <v>3368.75</v>
      </c>
      <c r="K4665">
        <v>7.0000000000000007E-2</v>
      </c>
      <c r="L4665">
        <v>0.56000000000000005</v>
      </c>
      <c r="M4665">
        <v>62.475000000000001</v>
      </c>
      <c r="N4665">
        <v>168.21798000000001</v>
      </c>
      <c r="O4665" s="1" t="s">
        <v>40</v>
      </c>
      <c r="P4665" s="1" t="s">
        <v>4689</v>
      </c>
      <c r="Q4665" s="1" t="s">
        <v>4690</v>
      </c>
      <c r="R4665" s="1" t="s">
        <v>220</v>
      </c>
      <c r="S4665" s="1" t="s">
        <v>828</v>
      </c>
      <c r="T4665" s="1" t="s">
        <v>829</v>
      </c>
      <c r="U4665" s="2" t="s">
        <v>881</v>
      </c>
      <c r="V4665" s="2" t="s">
        <v>36</v>
      </c>
      <c r="W4665" s="2" t="s">
        <v>142</v>
      </c>
      <c r="X4665" s="2">
        <v>509.07499999999999</v>
      </c>
    </row>
    <row r="4666" spans="1:24" x14ac:dyDescent="0.3">
      <c r="A4666">
        <v>22507</v>
      </c>
      <c r="B4666" t="s">
        <v>10427</v>
      </c>
      <c r="C4666" s="3">
        <v>41597</v>
      </c>
      <c r="D4666" t="s">
        <v>50</v>
      </c>
      <c r="E4666">
        <v>14</v>
      </c>
      <c r="F4666" s="3">
        <f ca="1">41599+(RANDBETWEEN(1,10))</f>
        <v>41601</v>
      </c>
      <c r="G4666" t="s">
        <v>26</v>
      </c>
      <c r="H4666" t="s">
        <v>27</v>
      </c>
      <c r="I4666" t="s">
        <v>52</v>
      </c>
      <c r="J4666">
        <v>331.31</v>
      </c>
      <c r="K4666">
        <v>0.09</v>
      </c>
      <c r="L4666">
        <v>0.36</v>
      </c>
      <c r="M4666">
        <v>33.880000000000003</v>
      </c>
      <c r="N4666">
        <v>55.524000000000001</v>
      </c>
      <c r="O4666" s="1" t="s">
        <v>40</v>
      </c>
      <c r="P4666" s="1" t="s">
        <v>10428</v>
      </c>
      <c r="Q4666" s="1" t="s">
        <v>10429</v>
      </c>
      <c r="R4666" s="1" t="s">
        <v>43</v>
      </c>
      <c r="S4666" s="1" t="s">
        <v>10430</v>
      </c>
      <c r="T4666" s="1" t="s">
        <v>10431</v>
      </c>
      <c r="U4666" s="2" t="s">
        <v>6485</v>
      </c>
      <c r="V4666" s="2" t="s">
        <v>47</v>
      </c>
      <c r="W4666" s="2" t="s">
        <v>74</v>
      </c>
      <c r="X4666" s="2">
        <v>22.68</v>
      </c>
    </row>
    <row r="4667" spans="1:24" x14ac:dyDescent="0.3">
      <c r="A4667">
        <v>22508</v>
      </c>
      <c r="B4667" t="s">
        <v>10432</v>
      </c>
      <c r="C4667" s="3">
        <v>40741</v>
      </c>
      <c r="D4667" t="s">
        <v>148</v>
      </c>
      <c r="E4667">
        <v>15</v>
      </c>
      <c r="F4667" s="3">
        <f ca="1">40741+(RANDBETWEEN(1,10))</f>
        <v>40750</v>
      </c>
      <c r="G4667" t="s">
        <v>26</v>
      </c>
      <c r="H4667" t="s">
        <v>27</v>
      </c>
      <c r="I4667" t="s">
        <v>97</v>
      </c>
      <c r="J4667">
        <v>91.034999999999997</v>
      </c>
      <c r="K4667">
        <v>7.0000000000000007E-2</v>
      </c>
      <c r="L4667">
        <v>0.41</v>
      </c>
      <c r="M4667">
        <v>17.010000000000002</v>
      </c>
      <c r="N4667">
        <v>2.0579999999999998</v>
      </c>
      <c r="O4667" s="1" t="s">
        <v>87</v>
      </c>
      <c r="P4667" s="1" t="s">
        <v>8141</v>
      </c>
      <c r="Q4667" s="1" t="s">
        <v>8142</v>
      </c>
      <c r="R4667" s="1" t="s">
        <v>90</v>
      </c>
      <c r="S4667" s="1" t="s">
        <v>8143</v>
      </c>
      <c r="T4667" s="1" t="s">
        <v>8144</v>
      </c>
      <c r="U4667" s="2" t="s">
        <v>4017</v>
      </c>
      <c r="V4667" s="2" t="s">
        <v>83</v>
      </c>
      <c r="W4667" s="2" t="s">
        <v>178</v>
      </c>
      <c r="X4667" s="2">
        <v>6.16</v>
      </c>
    </row>
    <row r="4668" spans="1:24" x14ac:dyDescent="0.3">
      <c r="A4668">
        <v>22509</v>
      </c>
      <c r="B4668" t="s">
        <v>10433</v>
      </c>
      <c r="C4668" s="3">
        <v>41764</v>
      </c>
      <c r="D4668" t="s">
        <v>50</v>
      </c>
      <c r="E4668">
        <v>13</v>
      </c>
      <c r="F4668" s="3">
        <f ca="1">41764+(RANDBETWEEN(1,10))</f>
        <v>41770</v>
      </c>
      <c r="G4668" t="s">
        <v>26</v>
      </c>
      <c r="H4668" t="s">
        <v>27</v>
      </c>
      <c r="I4668" t="s">
        <v>97</v>
      </c>
      <c r="J4668">
        <v>562.34500000000003</v>
      </c>
      <c r="K4668">
        <v>0.08</v>
      </c>
      <c r="L4668">
        <v>0.38</v>
      </c>
      <c r="M4668">
        <v>22.645</v>
      </c>
      <c r="N4668">
        <v>89.53</v>
      </c>
      <c r="O4668" s="1" t="s">
        <v>53</v>
      </c>
      <c r="P4668" s="1" t="s">
        <v>10434</v>
      </c>
      <c r="Q4668" s="1" t="s">
        <v>10435</v>
      </c>
      <c r="R4668" s="1" t="s">
        <v>440</v>
      </c>
      <c r="S4668" s="1" t="s">
        <v>10436</v>
      </c>
      <c r="T4668" s="1" t="s">
        <v>10437</v>
      </c>
      <c r="U4668" s="2" t="s">
        <v>2420</v>
      </c>
      <c r="V4668" s="2" t="s">
        <v>47</v>
      </c>
      <c r="W4668" s="2" t="s">
        <v>74</v>
      </c>
      <c r="X4668" s="2">
        <v>42.98</v>
      </c>
    </row>
    <row r="4669" spans="1:24" x14ac:dyDescent="0.3">
      <c r="A4669">
        <v>22510</v>
      </c>
      <c r="B4669" t="s">
        <v>10438</v>
      </c>
      <c r="C4669" s="3">
        <v>41782</v>
      </c>
      <c r="D4669" t="s">
        <v>148</v>
      </c>
      <c r="E4669">
        <v>9</v>
      </c>
      <c r="F4669" s="3">
        <f ca="1">41784+(RANDBETWEEN(1,10))</f>
        <v>41786</v>
      </c>
      <c r="G4669" t="s">
        <v>26</v>
      </c>
      <c r="H4669" t="s">
        <v>51</v>
      </c>
      <c r="I4669" t="s">
        <v>28</v>
      </c>
      <c r="J4669">
        <v>1199.4849999999999</v>
      </c>
      <c r="K4669">
        <v>0.08</v>
      </c>
      <c r="L4669">
        <v>0.44</v>
      </c>
      <c r="M4669">
        <v>6.9649999999999999</v>
      </c>
      <c r="N4669">
        <v>-165.58080000000001</v>
      </c>
      <c r="O4669" s="1" t="s">
        <v>64</v>
      </c>
      <c r="P4669" s="1" t="s">
        <v>9074</v>
      </c>
      <c r="Q4669" s="1" t="s">
        <v>9075</v>
      </c>
      <c r="R4669" s="1" t="s">
        <v>67</v>
      </c>
      <c r="S4669" s="1" t="s">
        <v>411</v>
      </c>
      <c r="T4669" s="1" t="s">
        <v>412</v>
      </c>
      <c r="U4669" s="2" t="s">
        <v>1469</v>
      </c>
      <c r="V4669" s="2" t="s">
        <v>36</v>
      </c>
      <c r="W4669" s="2" t="s">
        <v>60</v>
      </c>
      <c r="X4669" s="2">
        <v>143.43</v>
      </c>
    </row>
    <row r="4670" spans="1:24" x14ac:dyDescent="0.3">
      <c r="A4670">
        <v>22511</v>
      </c>
      <c r="B4670" t="s">
        <v>10439</v>
      </c>
      <c r="C4670" s="3">
        <v>40903</v>
      </c>
      <c r="D4670" t="s">
        <v>25</v>
      </c>
      <c r="E4670">
        <v>22</v>
      </c>
      <c r="F4670" s="3">
        <f ca="1">40907+(RANDBETWEEN(1,10))</f>
        <v>40915</v>
      </c>
      <c r="G4670" t="s">
        <v>76</v>
      </c>
      <c r="H4670" t="s">
        <v>77</v>
      </c>
      <c r="I4670" t="s">
        <v>28</v>
      </c>
      <c r="J4670">
        <v>23368.134999999998</v>
      </c>
      <c r="K4670">
        <v>0.04</v>
      </c>
      <c r="L4670">
        <v>0.56000000000000005</v>
      </c>
      <c r="M4670">
        <v>170.8</v>
      </c>
      <c r="N4670">
        <v>-405.66365000000002</v>
      </c>
      <c r="O4670" s="1" t="s">
        <v>64</v>
      </c>
      <c r="P4670" s="1" t="s">
        <v>7746</v>
      </c>
      <c r="Q4670" s="1" t="s">
        <v>7747</v>
      </c>
      <c r="R4670" s="1" t="s">
        <v>67</v>
      </c>
      <c r="S4670" s="1" t="s">
        <v>7748</v>
      </c>
      <c r="T4670" s="1" t="s">
        <v>7749</v>
      </c>
      <c r="U4670" s="2" t="s">
        <v>2173</v>
      </c>
      <c r="V4670" s="2" t="s">
        <v>83</v>
      </c>
      <c r="W4670" s="2" t="s">
        <v>84</v>
      </c>
      <c r="X4670" s="2">
        <v>1021.0549999999999</v>
      </c>
    </row>
    <row r="4671" spans="1:24" x14ac:dyDescent="0.3">
      <c r="A4671">
        <v>22512</v>
      </c>
      <c r="B4671" t="s">
        <v>10440</v>
      </c>
      <c r="C4671" s="3">
        <v>41987</v>
      </c>
      <c r="D4671" t="s">
        <v>148</v>
      </c>
      <c r="E4671">
        <v>1</v>
      </c>
      <c r="F4671" s="3">
        <f ca="1">41989+(RANDBETWEEN(1,10))</f>
        <v>41999</v>
      </c>
      <c r="G4671" t="s">
        <v>26</v>
      </c>
      <c r="H4671" t="s">
        <v>27</v>
      </c>
      <c r="I4671" t="s">
        <v>97</v>
      </c>
      <c r="J4671">
        <v>34.685000000000002</v>
      </c>
      <c r="K4671">
        <v>0.02</v>
      </c>
      <c r="L4671">
        <v>0.37</v>
      </c>
      <c r="M4671">
        <v>21.77</v>
      </c>
      <c r="N4671">
        <v>-12.218640000000001</v>
      </c>
      <c r="O4671" s="1" t="s">
        <v>64</v>
      </c>
      <c r="P4671" s="1" t="s">
        <v>10441</v>
      </c>
      <c r="Q4671" s="1" t="s">
        <v>10442</v>
      </c>
      <c r="R4671" s="1" t="s">
        <v>67</v>
      </c>
      <c r="S4671" s="1" t="s">
        <v>10443</v>
      </c>
      <c r="T4671" s="1" t="s">
        <v>10444</v>
      </c>
      <c r="U4671" s="2" t="s">
        <v>4158</v>
      </c>
      <c r="V4671" s="2" t="s">
        <v>47</v>
      </c>
      <c r="W4671" s="2" t="s">
        <v>74</v>
      </c>
      <c r="X4671" s="2">
        <v>22.68</v>
      </c>
    </row>
    <row r="4672" spans="1:24" x14ac:dyDescent="0.3">
      <c r="A4672">
        <v>22513</v>
      </c>
      <c r="B4672" t="s">
        <v>10445</v>
      </c>
      <c r="C4672" s="3">
        <v>41457</v>
      </c>
      <c r="D4672" t="s">
        <v>62</v>
      </c>
      <c r="E4672">
        <v>7</v>
      </c>
      <c r="F4672" s="3">
        <f ca="1">41458+(RANDBETWEEN(1,10))</f>
        <v>41461</v>
      </c>
      <c r="G4672" t="s">
        <v>26</v>
      </c>
      <c r="H4672" t="s">
        <v>27</v>
      </c>
      <c r="I4672" t="s">
        <v>52</v>
      </c>
      <c r="J4672">
        <v>158.34</v>
      </c>
      <c r="K4672">
        <v>7.0000000000000007E-2</v>
      </c>
      <c r="L4672">
        <v>0.36</v>
      </c>
      <c r="M4672">
        <v>30.59</v>
      </c>
      <c r="N4672">
        <v>-368.02499999999998</v>
      </c>
      <c r="O4672" s="1" t="s">
        <v>40</v>
      </c>
      <c r="P4672" s="1" t="s">
        <v>5592</v>
      </c>
      <c r="Q4672" s="1" t="s">
        <v>5593</v>
      </c>
      <c r="R4672" s="1" t="s">
        <v>43</v>
      </c>
      <c r="S4672" s="1" t="s">
        <v>1414</v>
      </c>
      <c r="T4672" s="1" t="s">
        <v>1415</v>
      </c>
      <c r="U4672" s="2" t="s">
        <v>578</v>
      </c>
      <c r="V4672" s="2" t="s">
        <v>47</v>
      </c>
      <c r="W4672" s="2" t="s">
        <v>74</v>
      </c>
      <c r="X4672" s="2">
        <v>22.68</v>
      </c>
    </row>
    <row r="4673" spans="1:24" x14ac:dyDescent="0.3">
      <c r="A4673">
        <v>22514</v>
      </c>
      <c r="B4673" t="s">
        <v>10445</v>
      </c>
      <c r="C4673" s="3">
        <v>41457</v>
      </c>
      <c r="D4673" t="s">
        <v>62</v>
      </c>
      <c r="E4673">
        <v>1</v>
      </c>
      <c r="F4673" s="3">
        <f ca="1">41459+(RANDBETWEEN(1,10))</f>
        <v>41465</v>
      </c>
      <c r="G4673" t="s">
        <v>76</v>
      </c>
      <c r="H4673" t="s">
        <v>77</v>
      </c>
      <c r="I4673" t="s">
        <v>52</v>
      </c>
      <c r="J4673">
        <v>7409.22</v>
      </c>
      <c r="K4673">
        <v>0.01</v>
      </c>
      <c r="L4673">
        <v>0.55000000000000004</v>
      </c>
      <c r="M4673">
        <v>51.45</v>
      </c>
      <c r="N4673">
        <v>-12841.6785</v>
      </c>
      <c r="O4673" s="1" t="s">
        <v>40</v>
      </c>
      <c r="P4673" s="1" t="s">
        <v>5594</v>
      </c>
      <c r="Q4673" s="1" t="s">
        <v>5595</v>
      </c>
      <c r="R4673" s="1" t="s">
        <v>43</v>
      </c>
      <c r="S4673" s="1" t="s">
        <v>5596</v>
      </c>
      <c r="T4673" s="1" t="s">
        <v>5597</v>
      </c>
      <c r="U4673" s="2" t="s">
        <v>1855</v>
      </c>
      <c r="V4673" s="2" t="s">
        <v>36</v>
      </c>
      <c r="W4673" s="2" t="s">
        <v>142</v>
      </c>
      <c r="X4673" s="2">
        <v>7127.68</v>
      </c>
    </row>
    <row r="4674" spans="1:24" x14ac:dyDescent="0.3">
      <c r="A4674">
        <v>22515</v>
      </c>
      <c r="B4674" t="s">
        <v>10446</v>
      </c>
      <c r="C4674" s="3">
        <v>42000</v>
      </c>
      <c r="D4674" t="s">
        <v>62</v>
      </c>
      <c r="E4674">
        <v>17</v>
      </c>
      <c r="F4674" s="3">
        <f ca="1">42002+(RANDBETWEEN(1,10))</f>
        <v>42003</v>
      </c>
      <c r="G4674" t="s">
        <v>26</v>
      </c>
      <c r="H4674" t="s">
        <v>96</v>
      </c>
      <c r="I4674" t="s">
        <v>86</v>
      </c>
      <c r="J4674">
        <v>221.58500000000001</v>
      </c>
      <c r="K4674">
        <v>0.03</v>
      </c>
      <c r="L4674">
        <v>0.39</v>
      </c>
      <c r="M4674">
        <v>2.4849999999999999</v>
      </c>
      <c r="N4674">
        <v>152.89365000000001</v>
      </c>
      <c r="O4674" s="1" t="s">
        <v>40</v>
      </c>
      <c r="P4674" s="1" t="s">
        <v>6286</v>
      </c>
      <c r="Q4674" s="1" t="s">
        <v>6287</v>
      </c>
      <c r="R4674" s="1" t="s">
        <v>220</v>
      </c>
      <c r="S4674" s="1" t="s">
        <v>6288</v>
      </c>
      <c r="T4674" s="1" t="s">
        <v>6289</v>
      </c>
      <c r="U4674" s="2" t="s">
        <v>2000</v>
      </c>
      <c r="V4674" s="2" t="s">
        <v>47</v>
      </c>
      <c r="W4674" s="2" t="s">
        <v>176</v>
      </c>
      <c r="X4674" s="2">
        <v>13.23</v>
      </c>
    </row>
    <row r="4675" spans="1:24" x14ac:dyDescent="0.3">
      <c r="A4675">
        <v>22516</v>
      </c>
      <c r="B4675" t="s">
        <v>10447</v>
      </c>
      <c r="C4675" s="3">
        <v>41238</v>
      </c>
      <c r="D4675" t="s">
        <v>39</v>
      </c>
      <c r="E4675">
        <v>31</v>
      </c>
      <c r="F4675" s="3">
        <f ca="1">41240+(RANDBETWEEN(1,10))</f>
        <v>41243</v>
      </c>
      <c r="G4675" t="s">
        <v>26</v>
      </c>
      <c r="H4675" t="s">
        <v>27</v>
      </c>
      <c r="I4675" t="s">
        <v>97</v>
      </c>
      <c r="J4675">
        <v>4618.9849999999997</v>
      </c>
      <c r="K4675">
        <v>0</v>
      </c>
      <c r="L4675">
        <v>0.67</v>
      </c>
      <c r="M4675">
        <v>24.92</v>
      </c>
      <c r="N4675">
        <v>1237.2360000000001</v>
      </c>
      <c r="O4675" s="1" t="s">
        <v>29</v>
      </c>
      <c r="P4675" s="1" t="s">
        <v>7734</v>
      </c>
      <c r="Q4675" s="1" t="s">
        <v>7735</v>
      </c>
      <c r="R4675" s="1" t="s">
        <v>675</v>
      </c>
      <c r="S4675" s="1" t="s">
        <v>7736</v>
      </c>
      <c r="T4675" s="1" t="s">
        <v>7737</v>
      </c>
      <c r="U4675" s="2" t="s">
        <v>3979</v>
      </c>
      <c r="V4675" s="2" t="s">
        <v>36</v>
      </c>
      <c r="W4675" s="2" t="s">
        <v>60</v>
      </c>
      <c r="X4675" s="2">
        <v>139.93</v>
      </c>
    </row>
    <row r="4676" spans="1:24" x14ac:dyDescent="0.3">
      <c r="A4676">
        <v>22517</v>
      </c>
      <c r="B4676" t="s">
        <v>10447</v>
      </c>
      <c r="C4676" s="3">
        <v>41238</v>
      </c>
      <c r="D4676" t="s">
        <v>39</v>
      </c>
      <c r="E4676">
        <v>14</v>
      </c>
      <c r="F4676" s="3">
        <f ca="1">41240+(RANDBETWEEN(1,10))</f>
        <v>41247</v>
      </c>
      <c r="G4676" t="s">
        <v>26</v>
      </c>
      <c r="H4676" t="s">
        <v>281</v>
      </c>
      <c r="I4676" t="s">
        <v>97</v>
      </c>
      <c r="J4676">
        <v>575.08500000000004</v>
      </c>
      <c r="K4676">
        <v>0.08</v>
      </c>
      <c r="L4676">
        <v>0.36</v>
      </c>
      <c r="M4676">
        <v>20.965</v>
      </c>
      <c r="N4676">
        <v>15.273720000000001</v>
      </c>
      <c r="O4676" s="1" t="s">
        <v>29</v>
      </c>
      <c r="P4676" s="1" t="s">
        <v>7734</v>
      </c>
      <c r="Q4676" s="1" t="s">
        <v>7735</v>
      </c>
      <c r="R4676" s="1" t="s">
        <v>675</v>
      </c>
      <c r="S4676" s="1" t="s">
        <v>7736</v>
      </c>
      <c r="T4676" s="1" t="s">
        <v>7737</v>
      </c>
      <c r="U4676" s="2" t="s">
        <v>3772</v>
      </c>
      <c r="V4676" s="2" t="s">
        <v>36</v>
      </c>
      <c r="W4676" s="2" t="s">
        <v>142</v>
      </c>
      <c r="X4676" s="2">
        <v>41.965000000000003</v>
      </c>
    </row>
    <row r="4677" spans="1:24" x14ac:dyDescent="0.3">
      <c r="A4677">
        <v>22518</v>
      </c>
      <c r="B4677" t="s">
        <v>10448</v>
      </c>
      <c r="C4677" s="3">
        <v>40941</v>
      </c>
      <c r="D4677" t="s">
        <v>50</v>
      </c>
      <c r="E4677">
        <v>3</v>
      </c>
      <c r="F4677" s="3">
        <f ca="1">40942+(RANDBETWEEN(1,10))</f>
        <v>40944</v>
      </c>
      <c r="G4677" t="s">
        <v>26</v>
      </c>
      <c r="H4677" t="s">
        <v>27</v>
      </c>
      <c r="I4677" t="s">
        <v>86</v>
      </c>
      <c r="J4677">
        <v>67.375</v>
      </c>
      <c r="K4677">
        <v>0.02</v>
      </c>
      <c r="L4677">
        <v>0.36</v>
      </c>
      <c r="M4677">
        <v>17.36</v>
      </c>
      <c r="N4677">
        <v>-66.64</v>
      </c>
      <c r="O4677" s="1" t="s">
        <v>53</v>
      </c>
      <c r="P4677" s="1" t="s">
        <v>5334</v>
      </c>
      <c r="Q4677" s="1" t="s">
        <v>5335</v>
      </c>
      <c r="R4677" s="1" t="s">
        <v>56</v>
      </c>
      <c r="S4677" s="1" t="s">
        <v>5336</v>
      </c>
      <c r="T4677" s="1" t="s">
        <v>5337</v>
      </c>
      <c r="U4677" s="2" t="s">
        <v>1834</v>
      </c>
      <c r="V4677" s="2" t="s">
        <v>47</v>
      </c>
      <c r="W4677" s="2" t="s">
        <v>74</v>
      </c>
      <c r="X4677" s="2">
        <v>20.23</v>
      </c>
    </row>
    <row r="4678" spans="1:24" x14ac:dyDescent="0.3">
      <c r="A4678">
        <v>22519</v>
      </c>
      <c r="B4678" t="s">
        <v>10448</v>
      </c>
      <c r="C4678" s="3">
        <v>40941</v>
      </c>
      <c r="D4678" t="s">
        <v>50</v>
      </c>
      <c r="E4678">
        <v>9</v>
      </c>
      <c r="F4678" s="3">
        <f ca="1">40942+(RANDBETWEEN(1,10))</f>
        <v>40945</v>
      </c>
      <c r="G4678" t="s">
        <v>26</v>
      </c>
      <c r="H4678" t="s">
        <v>96</v>
      </c>
      <c r="I4678" t="s">
        <v>86</v>
      </c>
      <c r="J4678">
        <v>103.6</v>
      </c>
      <c r="K4678">
        <v>7.0000000000000007E-2</v>
      </c>
      <c r="L4678">
        <v>0.56000000000000005</v>
      </c>
      <c r="M4678">
        <v>13.895</v>
      </c>
      <c r="N4678">
        <v>-322.56</v>
      </c>
      <c r="O4678" s="1" t="s">
        <v>53</v>
      </c>
      <c r="P4678" s="1" t="s">
        <v>5334</v>
      </c>
      <c r="Q4678" s="1" t="s">
        <v>5335</v>
      </c>
      <c r="R4678" s="1" t="s">
        <v>56</v>
      </c>
      <c r="S4678" s="1" t="s">
        <v>5336</v>
      </c>
      <c r="T4678" s="1" t="s">
        <v>5337</v>
      </c>
      <c r="U4678" s="2" t="s">
        <v>4166</v>
      </c>
      <c r="V4678" s="2" t="s">
        <v>47</v>
      </c>
      <c r="W4678" s="2" t="s">
        <v>104</v>
      </c>
      <c r="X4678" s="2">
        <v>11.48</v>
      </c>
    </row>
    <row r="4679" spans="1:24" x14ac:dyDescent="0.3">
      <c r="A4679">
        <v>22520</v>
      </c>
      <c r="B4679" t="s">
        <v>10448</v>
      </c>
      <c r="C4679" s="3">
        <v>40941</v>
      </c>
      <c r="D4679" t="s">
        <v>50</v>
      </c>
      <c r="E4679">
        <v>6</v>
      </c>
      <c r="F4679" s="3">
        <f ca="1">40942+(RANDBETWEEN(1,10))</f>
        <v>40945</v>
      </c>
      <c r="G4679" t="s">
        <v>76</v>
      </c>
      <c r="H4679" t="s">
        <v>258</v>
      </c>
      <c r="I4679" t="s">
        <v>86</v>
      </c>
      <c r="J4679">
        <v>5983.0749999999998</v>
      </c>
      <c r="K4679">
        <v>0.1</v>
      </c>
      <c r="L4679">
        <v>0.76</v>
      </c>
      <c r="M4679">
        <v>189.42</v>
      </c>
      <c r="N4679">
        <v>-1615.075</v>
      </c>
      <c r="O4679" s="1" t="s">
        <v>53</v>
      </c>
      <c r="P4679" s="1" t="s">
        <v>5334</v>
      </c>
      <c r="Q4679" s="1" t="s">
        <v>5335</v>
      </c>
      <c r="R4679" s="1" t="s">
        <v>56</v>
      </c>
      <c r="S4679" s="1" t="s">
        <v>5336</v>
      </c>
      <c r="T4679" s="1" t="s">
        <v>5337</v>
      </c>
      <c r="U4679" s="2" t="s">
        <v>1007</v>
      </c>
      <c r="V4679" s="2" t="s">
        <v>83</v>
      </c>
      <c r="W4679" s="2" t="s">
        <v>263</v>
      </c>
      <c r="X4679" s="2">
        <v>1036.6300000000001</v>
      </c>
    </row>
    <row r="4680" spans="1:24" x14ac:dyDescent="0.3">
      <c r="A4680">
        <v>22521</v>
      </c>
      <c r="B4680" t="s">
        <v>10449</v>
      </c>
      <c r="C4680" s="3">
        <v>41926</v>
      </c>
      <c r="D4680" t="s">
        <v>50</v>
      </c>
      <c r="E4680">
        <v>25</v>
      </c>
      <c r="F4680" s="3">
        <f ca="1">41928+(RANDBETWEEN(1,10))</f>
        <v>41938</v>
      </c>
      <c r="G4680" t="s">
        <v>26</v>
      </c>
      <c r="H4680" t="s">
        <v>27</v>
      </c>
      <c r="I4680" t="s">
        <v>86</v>
      </c>
      <c r="J4680">
        <v>6355.2650000000003</v>
      </c>
      <c r="K4680">
        <v>0.06</v>
      </c>
      <c r="L4680">
        <v>0.65</v>
      </c>
      <c r="M4680">
        <v>50.82</v>
      </c>
      <c r="N4680">
        <v>613.34</v>
      </c>
      <c r="O4680" s="1" t="s">
        <v>87</v>
      </c>
      <c r="P4680" s="1" t="s">
        <v>9460</v>
      </c>
      <c r="Q4680" s="1" t="s">
        <v>9461</v>
      </c>
      <c r="R4680" s="1" t="s">
        <v>90</v>
      </c>
      <c r="S4680" s="1" t="s">
        <v>9462</v>
      </c>
      <c r="T4680" s="1" t="s">
        <v>9463</v>
      </c>
      <c r="U4680" s="2" t="s">
        <v>2448</v>
      </c>
      <c r="V4680" s="2" t="s">
        <v>36</v>
      </c>
      <c r="W4680" s="2" t="s">
        <v>60</v>
      </c>
      <c r="X4680" s="2">
        <v>258.93</v>
      </c>
    </row>
    <row r="4681" spans="1:24" x14ac:dyDescent="0.3">
      <c r="A4681">
        <v>22522</v>
      </c>
      <c r="B4681" t="s">
        <v>10449</v>
      </c>
      <c r="C4681" s="3">
        <v>41926</v>
      </c>
      <c r="D4681" t="s">
        <v>50</v>
      </c>
      <c r="E4681">
        <v>20</v>
      </c>
      <c r="F4681" s="3">
        <f ca="1">41927+(RANDBETWEEN(1,10))</f>
        <v>41931</v>
      </c>
      <c r="G4681" t="s">
        <v>26</v>
      </c>
      <c r="H4681" t="s">
        <v>96</v>
      </c>
      <c r="I4681" t="s">
        <v>86</v>
      </c>
      <c r="J4681">
        <v>5415.2</v>
      </c>
      <c r="K4681">
        <v>0.02</v>
      </c>
      <c r="L4681">
        <v>0.85</v>
      </c>
      <c r="M4681">
        <v>3.4649999999999999</v>
      </c>
      <c r="N4681">
        <v>672.21</v>
      </c>
      <c r="O4681" s="1" t="s">
        <v>87</v>
      </c>
      <c r="P4681" s="1" t="s">
        <v>9460</v>
      </c>
      <c r="Q4681" s="1" t="s">
        <v>9461</v>
      </c>
      <c r="R4681" s="1" t="s">
        <v>90</v>
      </c>
      <c r="S4681" s="1" t="s">
        <v>9462</v>
      </c>
      <c r="T4681" s="1" t="s">
        <v>9463</v>
      </c>
      <c r="U4681" s="2" t="s">
        <v>678</v>
      </c>
      <c r="V4681" s="2" t="s">
        <v>36</v>
      </c>
      <c r="W4681" s="2" t="s">
        <v>37</v>
      </c>
      <c r="X4681" s="2">
        <v>300.96499999999997</v>
      </c>
    </row>
    <row r="4682" spans="1:24" x14ac:dyDescent="0.3">
      <c r="A4682">
        <v>22523</v>
      </c>
      <c r="B4682" t="s">
        <v>10450</v>
      </c>
      <c r="C4682" s="3">
        <v>41688</v>
      </c>
      <c r="D4682" t="s">
        <v>50</v>
      </c>
      <c r="E4682">
        <v>1</v>
      </c>
      <c r="F4682" s="3">
        <f ca="1">41688+(RANDBETWEEN(1,10))</f>
        <v>41692</v>
      </c>
      <c r="G4682" t="s">
        <v>26</v>
      </c>
      <c r="H4682" t="s">
        <v>27</v>
      </c>
      <c r="I4682" t="s">
        <v>86</v>
      </c>
      <c r="J4682">
        <v>139.33500000000001</v>
      </c>
      <c r="K4682">
        <v>0.03</v>
      </c>
      <c r="L4682">
        <v>0.56000000000000005</v>
      </c>
      <c r="M4682">
        <v>8.75</v>
      </c>
      <c r="N4682">
        <v>-599.09849999999994</v>
      </c>
      <c r="O4682" s="1" t="s">
        <v>40</v>
      </c>
      <c r="P4682" s="1" t="s">
        <v>10451</v>
      </c>
      <c r="Q4682" s="1" t="s">
        <v>10452</v>
      </c>
      <c r="R4682" s="1" t="s">
        <v>43</v>
      </c>
      <c r="S4682" s="1" t="s">
        <v>10453</v>
      </c>
      <c r="T4682" s="1" t="s">
        <v>10454</v>
      </c>
      <c r="U4682" s="2" t="s">
        <v>7529</v>
      </c>
      <c r="V4682" s="2" t="s">
        <v>36</v>
      </c>
      <c r="W4682" s="2" t="s">
        <v>37</v>
      </c>
      <c r="X4682" s="2">
        <v>160.965</v>
      </c>
    </row>
    <row r="4683" spans="1:24" x14ac:dyDescent="0.3">
      <c r="A4683">
        <v>22524</v>
      </c>
      <c r="B4683" t="s">
        <v>10455</v>
      </c>
      <c r="C4683" s="3">
        <v>41202</v>
      </c>
      <c r="D4683" t="s">
        <v>25</v>
      </c>
      <c r="E4683">
        <v>2</v>
      </c>
      <c r="F4683" s="3">
        <f ca="1">41204+(RANDBETWEEN(1,10))</f>
        <v>41207</v>
      </c>
      <c r="G4683" t="s">
        <v>156</v>
      </c>
      <c r="H4683" t="s">
        <v>27</v>
      </c>
      <c r="I4683" t="s">
        <v>86</v>
      </c>
      <c r="J4683">
        <v>71.260000000000005</v>
      </c>
      <c r="K4683">
        <v>0.1</v>
      </c>
      <c r="L4683">
        <v>0.37</v>
      </c>
      <c r="M4683">
        <v>24.254999999999999</v>
      </c>
      <c r="N4683">
        <v>-38.744999999999997</v>
      </c>
      <c r="O4683" s="1" t="s">
        <v>40</v>
      </c>
      <c r="P4683" s="1" t="s">
        <v>7645</v>
      </c>
      <c r="Q4683" s="1" t="s">
        <v>7646</v>
      </c>
      <c r="R4683" s="1" t="s">
        <v>220</v>
      </c>
      <c r="S4683" s="1" t="s">
        <v>7647</v>
      </c>
      <c r="T4683" s="1" t="s">
        <v>7648</v>
      </c>
      <c r="U4683" s="2" t="s">
        <v>2817</v>
      </c>
      <c r="V4683" s="2" t="s">
        <v>47</v>
      </c>
      <c r="W4683" s="2" t="s">
        <v>74</v>
      </c>
      <c r="X4683" s="2">
        <v>23.38</v>
      </c>
    </row>
    <row r="4684" spans="1:24" x14ac:dyDescent="0.3">
      <c r="A4684">
        <v>22525</v>
      </c>
      <c r="B4684" t="s">
        <v>10455</v>
      </c>
      <c r="C4684" s="3">
        <v>41202</v>
      </c>
      <c r="D4684" t="s">
        <v>25</v>
      </c>
      <c r="E4684">
        <v>12</v>
      </c>
      <c r="F4684" s="3">
        <f ca="1">41207+(RANDBETWEEN(1,10))</f>
        <v>41213</v>
      </c>
      <c r="G4684" t="s">
        <v>26</v>
      </c>
      <c r="H4684" t="s">
        <v>96</v>
      </c>
      <c r="I4684" t="s">
        <v>86</v>
      </c>
      <c r="J4684">
        <v>176.26</v>
      </c>
      <c r="K4684">
        <v>0.02</v>
      </c>
      <c r="L4684">
        <v>0.39</v>
      </c>
      <c r="M4684">
        <v>3.4649999999999999</v>
      </c>
      <c r="N4684">
        <v>120.2026</v>
      </c>
      <c r="O4684" s="1" t="s">
        <v>40</v>
      </c>
      <c r="P4684" s="1" t="s">
        <v>7645</v>
      </c>
      <c r="Q4684" s="1" t="s">
        <v>7646</v>
      </c>
      <c r="R4684" s="1" t="s">
        <v>220</v>
      </c>
      <c r="S4684" s="1" t="s">
        <v>7647</v>
      </c>
      <c r="T4684" s="1" t="s">
        <v>7648</v>
      </c>
      <c r="U4684" s="2" t="s">
        <v>175</v>
      </c>
      <c r="V4684" s="2" t="s">
        <v>47</v>
      </c>
      <c r="W4684" s="2" t="s">
        <v>176</v>
      </c>
      <c r="X4684" s="2">
        <v>13.755000000000001</v>
      </c>
    </row>
    <row r="4685" spans="1:24" x14ac:dyDescent="0.3">
      <c r="A4685">
        <v>22526</v>
      </c>
      <c r="B4685" t="s">
        <v>10456</v>
      </c>
      <c r="C4685" s="3">
        <v>40872</v>
      </c>
      <c r="D4685" t="s">
        <v>148</v>
      </c>
      <c r="E4685">
        <v>6</v>
      </c>
      <c r="F4685" s="3">
        <f ca="1">40875+(RANDBETWEEN(1,10))</f>
        <v>40878</v>
      </c>
      <c r="G4685" t="s">
        <v>26</v>
      </c>
      <c r="H4685" t="s">
        <v>27</v>
      </c>
      <c r="I4685" t="s">
        <v>97</v>
      </c>
      <c r="J4685">
        <v>258.86</v>
      </c>
      <c r="K4685">
        <v>0.05</v>
      </c>
      <c r="L4685">
        <v>0.35</v>
      </c>
      <c r="M4685">
        <v>24.395</v>
      </c>
      <c r="N4685">
        <v>9.8209999999999997</v>
      </c>
      <c r="O4685" s="1" t="s">
        <v>53</v>
      </c>
      <c r="P4685" s="1" t="s">
        <v>10457</v>
      </c>
      <c r="Q4685" s="1" t="s">
        <v>10458</v>
      </c>
      <c r="R4685" s="1" t="s">
        <v>56</v>
      </c>
      <c r="S4685" s="1" t="s">
        <v>10459</v>
      </c>
      <c r="T4685" s="1" t="s">
        <v>10460</v>
      </c>
      <c r="U4685" s="2" t="s">
        <v>2886</v>
      </c>
      <c r="V4685" s="2" t="s">
        <v>47</v>
      </c>
      <c r="W4685" s="2" t="s">
        <v>48</v>
      </c>
      <c r="X4685" s="2">
        <v>40.53</v>
      </c>
    </row>
    <row r="4686" spans="1:24" x14ac:dyDescent="0.3">
      <c r="A4686">
        <v>22527</v>
      </c>
      <c r="B4686" t="s">
        <v>10461</v>
      </c>
      <c r="C4686" s="3">
        <v>41587</v>
      </c>
      <c r="D4686" t="s">
        <v>148</v>
      </c>
      <c r="E4686">
        <v>26</v>
      </c>
      <c r="F4686" s="3">
        <f ca="1">41587+(RANDBETWEEN(1,10))</f>
        <v>41591</v>
      </c>
      <c r="G4686" t="s">
        <v>26</v>
      </c>
      <c r="H4686" t="s">
        <v>51</v>
      </c>
      <c r="I4686" t="s">
        <v>52</v>
      </c>
      <c r="J4686">
        <v>706.37</v>
      </c>
      <c r="K4686">
        <v>0.02</v>
      </c>
      <c r="L4686">
        <v>0.69</v>
      </c>
      <c r="M4686">
        <v>19.355</v>
      </c>
      <c r="N4686">
        <v>82.543999999999997</v>
      </c>
      <c r="O4686" s="1" t="s">
        <v>87</v>
      </c>
      <c r="P4686" s="1" t="s">
        <v>10249</v>
      </c>
      <c r="Q4686" s="1" t="s">
        <v>10250</v>
      </c>
      <c r="R4686" s="1" t="s">
        <v>90</v>
      </c>
      <c r="S4686" s="1" t="s">
        <v>10251</v>
      </c>
      <c r="T4686" s="1" t="s">
        <v>10252</v>
      </c>
      <c r="U4686" s="2" t="s">
        <v>3244</v>
      </c>
      <c r="V4686" s="2" t="s">
        <v>36</v>
      </c>
      <c r="W4686" s="2" t="s">
        <v>60</v>
      </c>
      <c r="X4686" s="2">
        <v>25.795000000000002</v>
      </c>
    </row>
    <row r="4687" spans="1:24" x14ac:dyDescent="0.3">
      <c r="A4687">
        <v>22528</v>
      </c>
      <c r="B4687" t="s">
        <v>10462</v>
      </c>
      <c r="C4687" s="3">
        <v>40739</v>
      </c>
      <c r="D4687" t="s">
        <v>39</v>
      </c>
      <c r="E4687">
        <v>12</v>
      </c>
      <c r="F4687" s="3">
        <f ca="1">40740+(RANDBETWEEN(1,10))</f>
        <v>40750</v>
      </c>
      <c r="G4687" t="s">
        <v>26</v>
      </c>
      <c r="H4687" t="s">
        <v>27</v>
      </c>
      <c r="I4687" t="s">
        <v>28</v>
      </c>
      <c r="J4687">
        <v>206.32499999999999</v>
      </c>
      <c r="K4687">
        <v>0.08</v>
      </c>
      <c r="L4687">
        <v>0.38</v>
      </c>
      <c r="M4687">
        <v>17.395</v>
      </c>
      <c r="N4687">
        <v>-349.16874999999999</v>
      </c>
      <c r="O4687" s="1" t="s">
        <v>53</v>
      </c>
      <c r="P4687" s="1" t="s">
        <v>9698</v>
      </c>
      <c r="Q4687" s="1" t="s">
        <v>9699</v>
      </c>
      <c r="R4687" s="1" t="s">
        <v>56</v>
      </c>
      <c r="S4687" s="1" t="s">
        <v>9700</v>
      </c>
      <c r="T4687" s="1" t="s">
        <v>9701</v>
      </c>
      <c r="U4687" s="2" t="s">
        <v>8128</v>
      </c>
      <c r="V4687" s="2" t="s">
        <v>47</v>
      </c>
      <c r="W4687" s="2" t="s">
        <v>111</v>
      </c>
      <c r="X4687" s="2">
        <v>17.184999999999999</v>
      </c>
    </row>
    <row r="4688" spans="1:24" x14ac:dyDescent="0.3">
      <c r="A4688">
        <v>22529</v>
      </c>
      <c r="B4688" t="s">
        <v>10462</v>
      </c>
      <c r="C4688" s="3">
        <v>40739</v>
      </c>
      <c r="D4688" t="s">
        <v>39</v>
      </c>
      <c r="E4688">
        <v>1</v>
      </c>
      <c r="F4688" s="3">
        <f ca="1">40740+(RANDBETWEEN(1,10))</f>
        <v>40741</v>
      </c>
      <c r="G4688" t="s">
        <v>26</v>
      </c>
      <c r="H4688" t="s">
        <v>63</v>
      </c>
      <c r="I4688" t="s">
        <v>28</v>
      </c>
      <c r="J4688">
        <v>12855.115</v>
      </c>
      <c r="K4688">
        <v>0.01</v>
      </c>
      <c r="L4688">
        <v>0.37</v>
      </c>
      <c r="M4688">
        <v>85.715000000000003</v>
      </c>
      <c r="N4688">
        <v>-10716.37</v>
      </c>
      <c r="O4688" s="1" t="s">
        <v>53</v>
      </c>
      <c r="P4688" s="1" t="s">
        <v>9698</v>
      </c>
      <c r="Q4688" s="1" t="s">
        <v>9699</v>
      </c>
      <c r="R4688" s="1" t="s">
        <v>56</v>
      </c>
      <c r="S4688" s="1" t="s">
        <v>9700</v>
      </c>
      <c r="T4688" s="1" t="s">
        <v>9701</v>
      </c>
      <c r="U4688" s="2" t="s">
        <v>6194</v>
      </c>
      <c r="V4688" s="2" t="s">
        <v>36</v>
      </c>
      <c r="W4688" s="2" t="s">
        <v>1327</v>
      </c>
      <c r="X4688" s="2">
        <v>12249.965</v>
      </c>
    </row>
    <row r="4689" spans="1:24" x14ac:dyDescent="0.3">
      <c r="A4689">
        <v>22530</v>
      </c>
      <c r="B4689" t="s">
        <v>10462</v>
      </c>
      <c r="C4689" s="3">
        <v>40739</v>
      </c>
      <c r="D4689" t="s">
        <v>39</v>
      </c>
      <c r="E4689">
        <v>2</v>
      </c>
      <c r="F4689" s="3">
        <f ca="1">40741+(RANDBETWEEN(1,10))</f>
        <v>40746</v>
      </c>
      <c r="G4689" t="s">
        <v>26</v>
      </c>
      <c r="H4689" t="s">
        <v>96</v>
      </c>
      <c r="I4689" t="s">
        <v>28</v>
      </c>
      <c r="J4689">
        <v>41.09</v>
      </c>
      <c r="K4689">
        <v>0.03</v>
      </c>
      <c r="L4689">
        <v>0.55000000000000004</v>
      </c>
      <c r="M4689">
        <v>4.2</v>
      </c>
      <c r="N4689">
        <v>-3.5000000000000003E-2</v>
      </c>
      <c r="O4689" s="1" t="s">
        <v>225</v>
      </c>
      <c r="P4689" s="1" t="s">
        <v>10463</v>
      </c>
      <c r="Q4689" s="1" t="s">
        <v>10464</v>
      </c>
      <c r="R4689" s="1" t="s">
        <v>228</v>
      </c>
      <c r="S4689" s="1" t="s">
        <v>10465</v>
      </c>
      <c r="T4689" s="1" t="s">
        <v>10466</v>
      </c>
      <c r="U4689" s="2" t="s">
        <v>4460</v>
      </c>
      <c r="V4689" s="2" t="s">
        <v>47</v>
      </c>
      <c r="W4689" s="2" t="s">
        <v>104</v>
      </c>
      <c r="X4689" s="2">
        <v>20.440000000000001</v>
      </c>
    </row>
    <row r="4690" spans="1:24" x14ac:dyDescent="0.3">
      <c r="A4690">
        <v>22531</v>
      </c>
      <c r="B4690" t="s">
        <v>10467</v>
      </c>
      <c r="C4690" s="3">
        <v>41217</v>
      </c>
      <c r="D4690" t="s">
        <v>62</v>
      </c>
      <c r="E4690">
        <v>30</v>
      </c>
      <c r="F4690" s="3">
        <f ca="1">41219+(RANDBETWEEN(1,10))</f>
        <v>41225</v>
      </c>
      <c r="G4690" t="s">
        <v>26</v>
      </c>
      <c r="H4690" t="s">
        <v>96</v>
      </c>
      <c r="I4690" t="s">
        <v>97</v>
      </c>
      <c r="J4690">
        <v>628.88</v>
      </c>
      <c r="K4690">
        <v>0.01</v>
      </c>
      <c r="L4690">
        <v>0.55000000000000004</v>
      </c>
      <c r="M4690">
        <v>4.2</v>
      </c>
      <c r="N4690">
        <v>335.18099999999998</v>
      </c>
      <c r="O4690" s="1" t="s">
        <v>29</v>
      </c>
      <c r="P4690" s="1" t="s">
        <v>9782</v>
      </c>
      <c r="Q4690" s="1" t="s">
        <v>9783</v>
      </c>
      <c r="R4690" s="1" t="s">
        <v>32</v>
      </c>
      <c r="S4690" s="1" t="s">
        <v>9784</v>
      </c>
      <c r="T4690" s="1" t="s">
        <v>9785</v>
      </c>
      <c r="U4690" s="2" t="s">
        <v>4460</v>
      </c>
      <c r="V4690" s="2" t="s">
        <v>47</v>
      </c>
      <c r="W4690" s="2" t="s">
        <v>104</v>
      </c>
      <c r="X4690" s="2">
        <v>20.440000000000001</v>
      </c>
    </row>
    <row r="4691" spans="1:24" x14ac:dyDescent="0.3">
      <c r="A4691">
        <v>22532</v>
      </c>
      <c r="B4691" t="s">
        <v>10468</v>
      </c>
      <c r="C4691" s="3">
        <v>41151</v>
      </c>
      <c r="D4691" t="s">
        <v>39</v>
      </c>
      <c r="E4691">
        <v>4</v>
      </c>
      <c r="F4691" s="3">
        <f ca="1">41151+(RANDBETWEEN(1,10))</f>
        <v>41155</v>
      </c>
      <c r="G4691" t="s">
        <v>26</v>
      </c>
      <c r="H4691" t="s">
        <v>281</v>
      </c>
      <c r="I4691" t="s">
        <v>28</v>
      </c>
      <c r="J4691">
        <v>2133.6</v>
      </c>
      <c r="K4691">
        <v>0.02</v>
      </c>
      <c r="L4691">
        <v>0.38</v>
      </c>
      <c r="M4691">
        <v>48.965000000000003</v>
      </c>
      <c r="N4691">
        <v>229.8366</v>
      </c>
      <c r="O4691" s="1" t="s">
        <v>29</v>
      </c>
      <c r="P4691" s="1" t="s">
        <v>9630</v>
      </c>
      <c r="Q4691" s="1" t="s">
        <v>9631</v>
      </c>
      <c r="R4691" s="1" t="s">
        <v>32</v>
      </c>
      <c r="S4691" s="1" t="s">
        <v>9632</v>
      </c>
      <c r="T4691" s="1" t="s">
        <v>9633</v>
      </c>
      <c r="U4691" s="2" t="s">
        <v>480</v>
      </c>
      <c r="V4691" s="2" t="s">
        <v>36</v>
      </c>
      <c r="W4691" s="2" t="s">
        <v>142</v>
      </c>
      <c r="X4691" s="2">
        <v>528.42999999999995</v>
      </c>
    </row>
    <row r="4692" spans="1:24" x14ac:dyDescent="0.3">
      <c r="A4692">
        <v>22533</v>
      </c>
      <c r="B4692" t="s">
        <v>10468</v>
      </c>
      <c r="C4692" s="3">
        <v>41151</v>
      </c>
      <c r="D4692" t="s">
        <v>39</v>
      </c>
      <c r="E4692">
        <v>7</v>
      </c>
      <c r="F4692" s="3">
        <f ca="1">41152+(RANDBETWEEN(1,10))</f>
        <v>41159</v>
      </c>
      <c r="G4692" t="s">
        <v>26</v>
      </c>
      <c r="H4692" t="s">
        <v>96</v>
      </c>
      <c r="I4692" t="s">
        <v>28</v>
      </c>
      <c r="J4692">
        <v>46.83</v>
      </c>
      <c r="K4692">
        <v>0</v>
      </c>
      <c r="L4692">
        <v>0.56000000000000005</v>
      </c>
      <c r="M4692">
        <v>2.4500000000000002</v>
      </c>
      <c r="N4692">
        <v>-0.21840000000000001</v>
      </c>
      <c r="O4692" s="1" t="s">
        <v>29</v>
      </c>
      <c r="P4692" s="1" t="s">
        <v>9630</v>
      </c>
      <c r="Q4692" s="1" t="s">
        <v>9631</v>
      </c>
      <c r="R4692" s="1" t="s">
        <v>32</v>
      </c>
      <c r="S4692" s="1" t="s">
        <v>9632</v>
      </c>
      <c r="T4692" s="1" t="s">
        <v>9633</v>
      </c>
      <c r="U4692" s="2" t="s">
        <v>384</v>
      </c>
      <c r="V4692" s="2" t="s">
        <v>47</v>
      </c>
      <c r="W4692" s="2" t="s">
        <v>104</v>
      </c>
      <c r="X4692" s="2">
        <v>6.16</v>
      </c>
    </row>
    <row r="4693" spans="1:24" x14ac:dyDescent="0.3">
      <c r="A4693">
        <v>22534</v>
      </c>
      <c r="B4693" t="s">
        <v>10469</v>
      </c>
      <c r="C4693" s="3">
        <v>41870</v>
      </c>
      <c r="D4693" t="s">
        <v>39</v>
      </c>
      <c r="E4693">
        <v>23</v>
      </c>
      <c r="F4693" s="3">
        <f ca="1">41871+(RANDBETWEEN(1,10))</f>
        <v>41878</v>
      </c>
      <c r="G4693" t="s">
        <v>26</v>
      </c>
      <c r="H4693" t="s">
        <v>96</v>
      </c>
      <c r="I4693" t="s">
        <v>52</v>
      </c>
      <c r="J4693">
        <v>3069.08</v>
      </c>
      <c r="K4693">
        <v>7.0000000000000007E-2</v>
      </c>
      <c r="L4693">
        <v>0.65</v>
      </c>
      <c r="M4693">
        <v>32.200000000000003</v>
      </c>
      <c r="N4693">
        <v>1186.5467599999999</v>
      </c>
      <c r="O4693" s="1" t="s">
        <v>40</v>
      </c>
      <c r="P4693" s="1" t="s">
        <v>10470</v>
      </c>
      <c r="Q4693" s="1" t="s">
        <v>10471</v>
      </c>
      <c r="R4693" s="1" t="s">
        <v>220</v>
      </c>
      <c r="S4693" s="1" t="s">
        <v>6003</v>
      </c>
      <c r="T4693" s="1" t="s">
        <v>6004</v>
      </c>
      <c r="U4693" s="2" t="s">
        <v>5818</v>
      </c>
      <c r="V4693" s="2" t="s">
        <v>83</v>
      </c>
      <c r="W4693" s="2" t="s">
        <v>178</v>
      </c>
      <c r="X4693" s="2">
        <v>139.93</v>
      </c>
    </row>
    <row r="4694" spans="1:24" x14ac:dyDescent="0.3">
      <c r="A4694">
        <v>22535</v>
      </c>
      <c r="B4694" t="s">
        <v>10472</v>
      </c>
      <c r="C4694" s="3">
        <v>41944</v>
      </c>
      <c r="D4694" t="s">
        <v>25</v>
      </c>
      <c r="E4694">
        <v>40</v>
      </c>
      <c r="F4694" s="3">
        <f ca="1">41948+(RANDBETWEEN(1,10))</f>
        <v>41957</v>
      </c>
      <c r="G4694" t="s">
        <v>26</v>
      </c>
      <c r="H4694" t="s">
        <v>96</v>
      </c>
      <c r="I4694" t="s">
        <v>52</v>
      </c>
      <c r="J4694">
        <v>611.97500000000002</v>
      </c>
      <c r="K4694">
        <v>0.01</v>
      </c>
      <c r="L4694">
        <v>0.44</v>
      </c>
      <c r="M4694">
        <v>4.2</v>
      </c>
      <c r="N4694">
        <v>418.60896000000002</v>
      </c>
      <c r="O4694" s="1" t="s">
        <v>87</v>
      </c>
      <c r="P4694" s="1" t="s">
        <v>4409</v>
      </c>
      <c r="Q4694" s="1" t="s">
        <v>4410</v>
      </c>
      <c r="R4694" s="1" t="s">
        <v>398</v>
      </c>
      <c r="S4694" s="1" t="s">
        <v>4411</v>
      </c>
      <c r="T4694" s="1" t="s">
        <v>4412</v>
      </c>
      <c r="U4694" s="2" t="s">
        <v>103</v>
      </c>
      <c r="V4694" s="2" t="s">
        <v>47</v>
      </c>
      <c r="W4694" s="2" t="s">
        <v>104</v>
      </c>
      <c r="X4694" s="2">
        <v>14.91</v>
      </c>
    </row>
    <row r="4695" spans="1:24" x14ac:dyDescent="0.3">
      <c r="A4695">
        <v>22536</v>
      </c>
      <c r="B4695" t="s">
        <v>10473</v>
      </c>
      <c r="C4695" s="3">
        <v>41948</v>
      </c>
      <c r="D4695" t="s">
        <v>148</v>
      </c>
      <c r="E4695">
        <v>12</v>
      </c>
      <c r="F4695" s="3">
        <f ca="1">41948+(RANDBETWEEN(1,10))</f>
        <v>41956</v>
      </c>
      <c r="G4695" t="s">
        <v>26</v>
      </c>
      <c r="H4695" t="s">
        <v>63</v>
      </c>
      <c r="I4695" t="s">
        <v>86</v>
      </c>
      <c r="J4695">
        <v>591.95500000000004</v>
      </c>
      <c r="K4695">
        <v>0.01</v>
      </c>
      <c r="L4695">
        <v>0.73</v>
      </c>
      <c r="M4695">
        <v>50.295000000000002</v>
      </c>
      <c r="N4695">
        <v>163.84536</v>
      </c>
      <c r="O4695" s="1" t="s">
        <v>87</v>
      </c>
      <c r="P4695" s="1" t="s">
        <v>10474</v>
      </c>
      <c r="Q4695" s="1" t="s">
        <v>10475</v>
      </c>
      <c r="R4695" s="1" t="s">
        <v>398</v>
      </c>
      <c r="S4695" s="1" t="s">
        <v>10476</v>
      </c>
      <c r="T4695" s="1" t="s">
        <v>10477</v>
      </c>
      <c r="U4695" s="2" t="s">
        <v>5853</v>
      </c>
      <c r="V4695" s="2" t="s">
        <v>83</v>
      </c>
      <c r="W4695" s="2" t="s">
        <v>178</v>
      </c>
      <c r="X4695" s="2">
        <v>45.465000000000003</v>
      </c>
    </row>
    <row r="4696" spans="1:24" x14ac:dyDescent="0.3">
      <c r="A4696">
        <v>22537</v>
      </c>
      <c r="B4696" t="s">
        <v>10478</v>
      </c>
      <c r="C4696" s="3">
        <v>40852</v>
      </c>
      <c r="D4696" t="s">
        <v>148</v>
      </c>
      <c r="E4696">
        <v>3</v>
      </c>
      <c r="F4696" s="3">
        <f ca="1">40853+(RANDBETWEEN(1,10))</f>
        <v>40859</v>
      </c>
      <c r="G4696" t="s">
        <v>26</v>
      </c>
      <c r="H4696" t="s">
        <v>27</v>
      </c>
      <c r="I4696" t="s">
        <v>86</v>
      </c>
      <c r="J4696">
        <v>178.57</v>
      </c>
      <c r="K4696">
        <v>0.02</v>
      </c>
      <c r="L4696">
        <v>0.81</v>
      </c>
      <c r="M4696">
        <v>15.855</v>
      </c>
      <c r="N4696">
        <v>20.594000000000001</v>
      </c>
      <c r="O4696" s="1" t="s">
        <v>87</v>
      </c>
      <c r="P4696" s="1" t="s">
        <v>10474</v>
      </c>
      <c r="Q4696" s="1" t="s">
        <v>10475</v>
      </c>
      <c r="R4696" s="1" t="s">
        <v>398</v>
      </c>
      <c r="S4696" s="1" t="s">
        <v>10476</v>
      </c>
      <c r="T4696" s="1" t="s">
        <v>10477</v>
      </c>
      <c r="U4696" s="2" t="s">
        <v>2304</v>
      </c>
      <c r="V4696" s="2" t="s">
        <v>47</v>
      </c>
      <c r="W4696" s="2" t="s">
        <v>119</v>
      </c>
      <c r="X4696" s="2">
        <v>52.99</v>
      </c>
    </row>
    <row r="4697" spans="1:24" x14ac:dyDescent="0.3">
      <c r="A4697">
        <v>22538</v>
      </c>
      <c r="B4697" t="s">
        <v>10479</v>
      </c>
      <c r="C4697" s="3">
        <v>41685</v>
      </c>
      <c r="D4697" t="s">
        <v>25</v>
      </c>
      <c r="E4697">
        <v>12</v>
      </c>
      <c r="F4697" s="3">
        <f ca="1">41692+(RANDBETWEEN(1,10))</f>
        <v>41694</v>
      </c>
      <c r="G4697" t="s">
        <v>26</v>
      </c>
      <c r="H4697" t="s">
        <v>27</v>
      </c>
      <c r="I4697" t="s">
        <v>28</v>
      </c>
      <c r="J4697">
        <v>4293.24</v>
      </c>
      <c r="K4697">
        <v>0.04</v>
      </c>
      <c r="L4697">
        <v>0.56999999999999995</v>
      </c>
      <c r="M4697">
        <v>20.965</v>
      </c>
      <c r="N4697">
        <v>2962.3355999999999</v>
      </c>
      <c r="O4697" s="1" t="s">
        <v>53</v>
      </c>
      <c r="P4697" s="1" t="s">
        <v>10480</v>
      </c>
      <c r="Q4697" s="1" t="s">
        <v>10481</v>
      </c>
      <c r="R4697" s="1" t="s">
        <v>56</v>
      </c>
      <c r="S4697" s="1" t="s">
        <v>10482</v>
      </c>
      <c r="T4697" s="1" t="s">
        <v>10483</v>
      </c>
      <c r="U4697" s="2">
        <v>2160</v>
      </c>
      <c r="V4697" s="2" t="s">
        <v>36</v>
      </c>
      <c r="W4697" s="2" t="s">
        <v>37</v>
      </c>
      <c r="X4697" s="2">
        <v>405.96499999999997</v>
      </c>
    </row>
    <row r="4698" spans="1:24" x14ac:dyDescent="0.3">
      <c r="A4698">
        <v>22539</v>
      </c>
      <c r="B4698" t="s">
        <v>10479</v>
      </c>
      <c r="C4698" s="3">
        <v>41685</v>
      </c>
      <c r="D4698" t="s">
        <v>25</v>
      </c>
      <c r="E4698">
        <v>1</v>
      </c>
      <c r="F4698" s="3">
        <f ca="1">41687+(RANDBETWEEN(1,10))</f>
        <v>41690</v>
      </c>
      <c r="G4698" t="s">
        <v>26</v>
      </c>
      <c r="H4698" t="s">
        <v>96</v>
      </c>
      <c r="I4698" t="s">
        <v>28</v>
      </c>
      <c r="J4698">
        <v>47.354999999999997</v>
      </c>
      <c r="K4698">
        <v>7.0000000000000007E-2</v>
      </c>
      <c r="L4698">
        <v>0.55000000000000004</v>
      </c>
      <c r="M4698">
        <v>8.26</v>
      </c>
      <c r="N4698">
        <v>-23.555</v>
      </c>
      <c r="O4698" s="1" t="s">
        <v>64</v>
      </c>
      <c r="P4698" s="1" t="s">
        <v>10484</v>
      </c>
      <c r="Q4698" s="1" t="s">
        <v>10485</v>
      </c>
      <c r="R4698" s="1" t="s">
        <v>67</v>
      </c>
      <c r="S4698" s="1" t="s">
        <v>10486</v>
      </c>
      <c r="T4698" s="1" t="s">
        <v>10487</v>
      </c>
      <c r="U4698" s="2" t="s">
        <v>2967</v>
      </c>
      <c r="V4698" s="2" t="s">
        <v>47</v>
      </c>
      <c r="W4698" s="2" t="s">
        <v>104</v>
      </c>
      <c r="X4698" s="2">
        <v>40.424999999999997</v>
      </c>
    </row>
    <row r="4699" spans="1:24" x14ac:dyDescent="0.3">
      <c r="A4699">
        <v>22540</v>
      </c>
      <c r="B4699" t="s">
        <v>10488</v>
      </c>
      <c r="C4699" s="3">
        <v>40550</v>
      </c>
      <c r="D4699" t="s">
        <v>39</v>
      </c>
      <c r="E4699">
        <v>3</v>
      </c>
      <c r="F4699" s="3">
        <f ca="1">40551+(RANDBETWEEN(1,10))</f>
        <v>40558</v>
      </c>
      <c r="G4699" t="s">
        <v>26</v>
      </c>
      <c r="H4699" t="s">
        <v>27</v>
      </c>
      <c r="I4699" t="s">
        <v>86</v>
      </c>
      <c r="J4699">
        <v>579.98500000000001</v>
      </c>
      <c r="K4699">
        <v>7.0000000000000007E-2</v>
      </c>
      <c r="L4699">
        <v>0.57999999999999996</v>
      </c>
      <c r="M4699">
        <v>20.965</v>
      </c>
      <c r="N4699">
        <v>-487.13896</v>
      </c>
      <c r="O4699" s="1" t="s">
        <v>87</v>
      </c>
      <c r="P4699" s="1" t="s">
        <v>7513</v>
      </c>
      <c r="Q4699" s="1" t="s">
        <v>7514</v>
      </c>
      <c r="R4699" s="1" t="s">
        <v>90</v>
      </c>
      <c r="S4699" s="1" t="s">
        <v>7515</v>
      </c>
      <c r="T4699" s="1" t="s">
        <v>7516</v>
      </c>
      <c r="U4699" s="2" t="s">
        <v>326</v>
      </c>
      <c r="V4699" s="2" t="s">
        <v>36</v>
      </c>
      <c r="W4699" s="2" t="s">
        <v>37</v>
      </c>
      <c r="X4699" s="2">
        <v>230.965</v>
      </c>
    </row>
    <row r="4700" spans="1:24" x14ac:dyDescent="0.3">
      <c r="A4700">
        <v>22541</v>
      </c>
      <c r="B4700" t="s">
        <v>10489</v>
      </c>
      <c r="C4700" s="3">
        <v>41113</v>
      </c>
      <c r="D4700" t="s">
        <v>39</v>
      </c>
      <c r="E4700">
        <v>1</v>
      </c>
      <c r="F4700" s="3">
        <f ca="1">41114+(RANDBETWEEN(1,10))</f>
        <v>41124</v>
      </c>
      <c r="G4700" t="s">
        <v>26</v>
      </c>
      <c r="H4700" t="s">
        <v>51</v>
      </c>
      <c r="I4700" t="s">
        <v>86</v>
      </c>
      <c r="J4700">
        <v>33.53</v>
      </c>
      <c r="K4700">
        <v>0.01</v>
      </c>
      <c r="L4700">
        <v>0.61</v>
      </c>
      <c r="M4700">
        <v>12.67</v>
      </c>
      <c r="N4700">
        <v>-110.005</v>
      </c>
      <c r="O4700" s="1" t="s">
        <v>29</v>
      </c>
      <c r="P4700" s="1" t="s">
        <v>10490</v>
      </c>
      <c r="Q4700" s="1" t="s">
        <v>10491</v>
      </c>
      <c r="R4700" s="1" t="s">
        <v>32</v>
      </c>
      <c r="S4700" s="1" t="s">
        <v>10492</v>
      </c>
      <c r="T4700" s="1" t="s">
        <v>10493</v>
      </c>
      <c r="U4700" s="2" t="s">
        <v>1117</v>
      </c>
      <c r="V4700" s="2" t="s">
        <v>36</v>
      </c>
      <c r="W4700" s="2" t="s">
        <v>60</v>
      </c>
      <c r="X4700" s="2">
        <v>29.61</v>
      </c>
    </row>
    <row r="4701" spans="1:24" x14ac:dyDescent="0.3">
      <c r="A4701">
        <v>22542</v>
      </c>
      <c r="B4701" t="s">
        <v>10489</v>
      </c>
      <c r="C4701" s="3">
        <v>41113</v>
      </c>
      <c r="D4701" t="s">
        <v>39</v>
      </c>
      <c r="E4701">
        <v>1</v>
      </c>
      <c r="F4701" s="3">
        <f ca="1">41113+(RANDBETWEEN(1,10))</f>
        <v>41123</v>
      </c>
      <c r="G4701" t="s">
        <v>26</v>
      </c>
      <c r="H4701" t="s">
        <v>27</v>
      </c>
      <c r="I4701" t="s">
        <v>86</v>
      </c>
      <c r="J4701">
        <v>88.444999999999993</v>
      </c>
      <c r="K4701">
        <v>0.06</v>
      </c>
      <c r="L4701">
        <v>0.39</v>
      </c>
      <c r="M4701">
        <v>28.63</v>
      </c>
      <c r="N4701">
        <v>-73.954999999999998</v>
      </c>
      <c r="O4701" s="1" t="s">
        <v>29</v>
      </c>
      <c r="P4701" s="1" t="s">
        <v>10490</v>
      </c>
      <c r="Q4701" s="1" t="s">
        <v>10491</v>
      </c>
      <c r="R4701" s="1" t="s">
        <v>32</v>
      </c>
      <c r="S4701" s="1" t="s">
        <v>10492</v>
      </c>
      <c r="T4701" s="1" t="s">
        <v>10493</v>
      </c>
      <c r="U4701" s="2" t="s">
        <v>4870</v>
      </c>
      <c r="V4701" s="2" t="s">
        <v>47</v>
      </c>
      <c r="W4701" s="2" t="s">
        <v>74</v>
      </c>
      <c r="X4701" s="2">
        <v>79.94</v>
      </c>
    </row>
    <row r="4702" spans="1:24" x14ac:dyDescent="0.3">
      <c r="A4702">
        <v>22543</v>
      </c>
      <c r="B4702" t="s">
        <v>10489</v>
      </c>
      <c r="C4702" s="3">
        <v>41113</v>
      </c>
      <c r="D4702" t="s">
        <v>39</v>
      </c>
      <c r="E4702">
        <v>11</v>
      </c>
      <c r="F4702" s="3">
        <f ca="1">41115+(RANDBETWEEN(1,10))</f>
        <v>41123</v>
      </c>
      <c r="G4702" t="s">
        <v>26</v>
      </c>
      <c r="H4702" t="s">
        <v>281</v>
      </c>
      <c r="I4702" t="s">
        <v>86</v>
      </c>
      <c r="J4702">
        <v>263.13</v>
      </c>
      <c r="K4702">
        <v>0.02</v>
      </c>
      <c r="L4702">
        <v>0.6</v>
      </c>
      <c r="M4702">
        <v>17.605</v>
      </c>
      <c r="N4702">
        <v>-414.68349999999998</v>
      </c>
      <c r="O4702" s="1" t="s">
        <v>29</v>
      </c>
      <c r="P4702" s="1" t="s">
        <v>10490</v>
      </c>
      <c r="Q4702" s="1" t="s">
        <v>10491</v>
      </c>
      <c r="R4702" s="1" t="s">
        <v>32</v>
      </c>
      <c r="S4702" s="1" t="s">
        <v>10492</v>
      </c>
      <c r="T4702" s="1" t="s">
        <v>10493</v>
      </c>
      <c r="U4702" s="2" t="s">
        <v>408</v>
      </c>
      <c r="V4702" s="2" t="s">
        <v>36</v>
      </c>
      <c r="W4702" s="2" t="s">
        <v>37</v>
      </c>
      <c r="X4702" s="2">
        <v>27.965</v>
      </c>
    </row>
    <row r="4703" spans="1:24" x14ac:dyDescent="0.3">
      <c r="A4703">
        <v>22544</v>
      </c>
      <c r="B4703" t="s">
        <v>10494</v>
      </c>
      <c r="C4703" s="3">
        <v>41944</v>
      </c>
      <c r="D4703" t="s">
        <v>62</v>
      </c>
      <c r="E4703">
        <v>41</v>
      </c>
      <c r="F4703" s="3">
        <f ca="1">41945+(RANDBETWEEN(1,10))</f>
        <v>41953</v>
      </c>
      <c r="G4703" t="s">
        <v>26</v>
      </c>
      <c r="H4703" t="s">
        <v>27</v>
      </c>
      <c r="I4703" t="s">
        <v>28</v>
      </c>
      <c r="J4703">
        <v>3519.67</v>
      </c>
      <c r="K4703">
        <v>0</v>
      </c>
      <c r="L4703">
        <v>0.51</v>
      </c>
      <c r="M4703">
        <v>26.53</v>
      </c>
      <c r="N4703">
        <v>1632.3507199999999</v>
      </c>
      <c r="O4703" s="1" t="s">
        <v>53</v>
      </c>
      <c r="P4703" s="1" t="s">
        <v>10495</v>
      </c>
      <c r="Q4703" s="1" t="s">
        <v>10496</v>
      </c>
      <c r="R4703" s="1" t="s">
        <v>440</v>
      </c>
      <c r="S4703" s="1" t="s">
        <v>2771</v>
      </c>
      <c r="T4703" s="1" t="s">
        <v>2772</v>
      </c>
      <c r="U4703" s="2" t="s">
        <v>1676</v>
      </c>
      <c r="V4703" s="2" t="s">
        <v>83</v>
      </c>
      <c r="W4703" s="2" t="s">
        <v>178</v>
      </c>
      <c r="X4703" s="2">
        <v>80.430000000000007</v>
      </c>
    </row>
    <row r="4704" spans="1:24" x14ac:dyDescent="0.3">
      <c r="A4704">
        <v>22545</v>
      </c>
      <c r="B4704" t="s">
        <v>10497</v>
      </c>
      <c r="C4704" s="3">
        <v>41213</v>
      </c>
      <c r="D4704" t="s">
        <v>39</v>
      </c>
      <c r="E4704">
        <v>23</v>
      </c>
      <c r="F4704" s="3">
        <f ca="1">41214+(RANDBETWEEN(1,10))</f>
        <v>41222</v>
      </c>
      <c r="G4704" t="s">
        <v>26</v>
      </c>
      <c r="H4704" t="s">
        <v>63</v>
      </c>
      <c r="I4704" t="s">
        <v>86</v>
      </c>
      <c r="J4704">
        <v>1496.9849999999999</v>
      </c>
      <c r="K4704">
        <v>0.09</v>
      </c>
      <c r="L4704">
        <v>0.6</v>
      </c>
      <c r="M4704">
        <v>39.094999999999999</v>
      </c>
      <c r="N4704">
        <v>-712.18979999999999</v>
      </c>
      <c r="O4704" s="1" t="s">
        <v>29</v>
      </c>
      <c r="P4704" s="1" t="s">
        <v>10498</v>
      </c>
      <c r="Q4704" s="1" t="s">
        <v>10499</v>
      </c>
      <c r="R4704" s="1" t="s">
        <v>32</v>
      </c>
      <c r="S4704" s="1" t="s">
        <v>7258</v>
      </c>
      <c r="T4704" s="1" t="s">
        <v>7259</v>
      </c>
      <c r="U4704" s="2" t="s">
        <v>7243</v>
      </c>
      <c r="V4704" s="2" t="s">
        <v>83</v>
      </c>
      <c r="W4704" s="2" t="s">
        <v>178</v>
      </c>
      <c r="X4704" s="2">
        <v>69.965000000000003</v>
      </c>
    </row>
    <row r="4705" spans="1:24" x14ac:dyDescent="0.3">
      <c r="A4705">
        <v>22546</v>
      </c>
      <c r="B4705" t="s">
        <v>10500</v>
      </c>
      <c r="C4705" s="3">
        <v>41858</v>
      </c>
      <c r="D4705" t="s">
        <v>25</v>
      </c>
      <c r="E4705">
        <v>23</v>
      </c>
      <c r="F4705" s="3">
        <f ca="1">41865+(RANDBETWEEN(1,10))</f>
        <v>41869</v>
      </c>
      <c r="G4705" t="s">
        <v>76</v>
      </c>
      <c r="H4705" t="s">
        <v>258</v>
      </c>
      <c r="I4705" t="s">
        <v>86</v>
      </c>
      <c r="J4705">
        <v>36374.94</v>
      </c>
      <c r="K4705">
        <v>0.02</v>
      </c>
      <c r="L4705">
        <v>0.8</v>
      </c>
      <c r="M4705">
        <v>514.91999999999996</v>
      </c>
      <c r="N4705">
        <v>-2122.789284</v>
      </c>
      <c r="O4705" s="1" t="s">
        <v>53</v>
      </c>
      <c r="P4705" s="1" t="s">
        <v>9698</v>
      </c>
      <c r="Q4705" s="1" t="s">
        <v>9699</v>
      </c>
      <c r="R4705" s="1" t="s">
        <v>56</v>
      </c>
      <c r="S4705" s="1" t="s">
        <v>9700</v>
      </c>
      <c r="T4705" s="1" t="s">
        <v>9701</v>
      </c>
      <c r="U4705" s="2" t="s">
        <v>5148</v>
      </c>
      <c r="V4705" s="2" t="s">
        <v>83</v>
      </c>
      <c r="W4705" s="2" t="s">
        <v>263</v>
      </c>
      <c r="X4705" s="2">
        <v>1928.43</v>
      </c>
    </row>
    <row r="4706" spans="1:24" x14ac:dyDescent="0.3">
      <c r="A4706">
        <v>22547</v>
      </c>
      <c r="B4706" t="s">
        <v>10501</v>
      </c>
      <c r="C4706" s="3">
        <v>40683</v>
      </c>
      <c r="D4706" t="s">
        <v>50</v>
      </c>
      <c r="E4706">
        <v>12</v>
      </c>
      <c r="F4706" s="3">
        <f ca="1">40686+(RANDBETWEEN(1,10))</f>
        <v>40696</v>
      </c>
      <c r="G4706" t="s">
        <v>26</v>
      </c>
      <c r="H4706" t="s">
        <v>27</v>
      </c>
      <c r="I4706" t="s">
        <v>97</v>
      </c>
      <c r="J4706">
        <v>261.69499999999999</v>
      </c>
      <c r="K4706">
        <v>0.01</v>
      </c>
      <c r="L4706">
        <v>0.38</v>
      </c>
      <c r="M4706">
        <v>34.72</v>
      </c>
      <c r="N4706">
        <v>-837.60249999999996</v>
      </c>
      <c r="O4706" s="1" t="s">
        <v>64</v>
      </c>
      <c r="P4706" s="1" t="s">
        <v>5730</v>
      </c>
      <c r="Q4706" s="1" t="s">
        <v>5731</v>
      </c>
      <c r="R4706" s="1" t="s">
        <v>67</v>
      </c>
      <c r="S4706" s="1" t="s">
        <v>5732</v>
      </c>
      <c r="T4706" s="1" t="s">
        <v>5733</v>
      </c>
      <c r="U4706" s="2" t="s">
        <v>7238</v>
      </c>
      <c r="V4706" s="2" t="s">
        <v>47</v>
      </c>
      <c r="W4706" s="2" t="s">
        <v>111</v>
      </c>
      <c r="X4706" s="2">
        <v>20.79</v>
      </c>
    </row>
    <row r="4707" spans="1:24" x14ac:dyDescent="0.3">
      <c r="A4707">
        <v>22548</v>
      </c>
      <c r="B4707" t="s">
        <v>10501</v>
      </c>
      <c r="C4707" s="3">
        <v>40683</v>
      </c>
      <c r="D4707" t="s">
        <v>50</v>
      </c>
      <c r="E4707">
        <v>18</v>
      </c>
      <c r="F4707" s="3">
        <f ca="1">40685+(RANDBETWEEN(1,10))</f>
        <v>40692</v>
      </c>
      <c r="G4707" t="s">
        <v>26</v>
      </c>
      <c r="H4707" t="s">
        <v>27</v>
      </c>
      <c r="I4707" t="s">
        <v>97</v>
      </c>
      <c r="J4707">
        <v>447.33499999999998</v>
      </c>
      <c r="K4707">
        <v>0</v>
      </c>
      <c r="L4707">
        <v>0.37</v>
      </c>
      <c r="M4707">
        <v>17.885000000000002</v>
      </c>
      <c r="N4707">
        <v>-116.58499999999999</v>
      </c>
      <c r="O4707" s="1" t="s">
        <v>64</v>
      </c>
      <c r="P4707" s="1" t="s">
        <v>5730</v>
      </c>
      <c r="Q4707" s="1" t="s">
        <v>5731</v>
      </c>
      <c r="R4707" s="1" t="s">
        <v>67</v>
      </c>
      <c r="S4707" s="1" t="s">
        <v>5732</v>
      </c>
      <c r="T4707" s="1" t="s">
        <v>5733</v>
      </c>
      <c r="U4707" s="2" t="s">
        <v>5609</v>
      </c>
      <c r="V4707" s="2" t="s">
        <v>47</v>
      </c>
      <c r="W4707" s="2" t="s">
        <v>74</v>
      </c>
      <c r="X4707" s="2">
        <v>22.68</v>
      </c>
    </row>
    <row r="4708" spans="1:24" x14ac:dyDescent="0.3">
      <c r="A4708">
        <v>22549</v>
      </c>
      <c r="B4708" t="s">
        <v>10502</v>
      </c>
      <c r="C4708" s="3">
        <v>41922</v>
      </c>
      <c r="D4708" t="s">
        <v>50</v>
      </c>
      <c r="E4708">
        <v>6</v>
      </c>
      <c r="F4708" s="3">
        <f ca="1">41923+(RANDBETWEEN(1,10))</f>
        <v>41931</v>
      </c>
      <c r="G4708" t="s">
        <v>26</v>
      </c>
      <c r="H4708" t="s">
        <v>27</v>
      </c>
      <c r="I4708" t="s">
        <v>97</v>
      </c>
      <c r="J4708">
        <v>1344.7349999999999</v>
      </c>
      <c r="K4708">
        <v>0.1</v>
      </c>
      <c r="L4708">
        <v>0.4</v>
      </c>
      <c r="M4708">
        <v>69.965000000000003</v>
      </c>
      <c r="N4708">
        <v>-1391.894</v>
      </c>
      <c r="O4708" s="1" t="s">
        <v>53</v>
      </c>
      <c r="P4708" s="1" t="s">
        <v>7483</v>
      </c>
      <c r="Q4708" s="1" t="s">
        <v>7484</v>
      </c>
      <c r="R4708" s="1" t="s">
        <v>56</v>
      </c>
      <c r="S4708" s="1" t="s">
        <v>7485</v>
      </c>
      <c r="T4708" s="1" t="s">
        <v>7486</v>
      </c>
      <c r="U4708" s="2" t="s">
        <v>2385</v>
      </c>
      <c r="V4708" s="2" t="s">
        <v>47</v>
      </c>
      <c r="W4708" s="2" t="s">
        <v>111</v>
      </c>
      <c r="X4708" s="2">
        <v>235.48</v>
      </c>
    </row>
    <row r="4709" spans="1:24" x14ac:dyDescent="0.3">
      <c r="A4709">
        <v>22550</v>
      </c>
      <c r="B4709" t="s">
        <v>10502</v>
      </c>
      <c r="C4709" s="3">
        <v>41922</v>
      </c>
      <c r="D4709" t="s">
        <v>50</v>
      </c>
      <c r="E4709">
        <v>25</v>
      </c>
      <c r="F4709" s="3">
        <f ca="1">41924+(RANDBETWEEN(1,10))</f>
        <v>41925</v>
      </c>
      <c r="G4709" t="s">
        <v>76</v>
      </c>
      <c r="H4709" t="s">
        <v>258</v>
      </c>
      <c r="I4709" t="s">
        <v>97</v>
      </c>
      <c r="J4709">
        <v>9751.9449999999997</v>
      </c>
      <c r="K4709">
        <v>0.08</v>
      </c>
      <c r="L4709">
        <v>0.69</v>
      </c>
      <c r="M4709">
        <v>161.69999999999999</v>
      </c>
      <c r="N4709">
        <v>-901.89400000000001</v>
      </c>
      <c r="O4709" s="1" t="s">
        <v>53</v>
      </c>
      <c r="P4709" s="1" t="s">
        <v>7483</v>
      </c>
      <c r="Q4709" s="1" t="s">
        <v>7484</v>
      </c>
      <c r="R4709" s="1" t="s">
        <v>56</v>
      </c>
      <c r="S4709" s="1" t="s">
        <v>7485</v>
      </c>
      <c r="T4709" s="1" t="s">
        <v>7486</v>
      </c>
      <c r="U4709" s="2" t="s">
        <v>2661</v>
      </c>
      <c r="V4709" s="2" t="s">
        <v>83</v>
      </c>
      <c r="W4709" s="2" t="s">
        <v>263</v>
      </c>
      <c r="X4709" s="2">
        <v>510.93</v>
      </c>
    </row>
    <row r="4710" spans="1:24" x14ac:dyDescent="0.3">
      <c r="A4710">
        <v>22551</v>
      </c>
      <c r="B4710" t="s">
        <v>10503</v>
      </c>
      <c r="C4710" s="3">
        <v>41747</v>
      </c>
      <c r="D4710" t="s">
        <v>62</v>
      </c>
      <c r="E4710">
        <v>1</v>
      </c>
      <c r="F4710" s="3">
        <f ca="1">41749+(RANDBETWEEN(1,10))</f>
        <v>41751</v>
      </c>
      <c r="G4710" t="s">
        <v>26</v>
      </c>
      <c r="H4710" t="s">
        <v>281</v>
      </c>
      <c r="I4710" t="s">
        <v>97</v>
      </c>
      <c r="J4710">
        <v>6986.56</v>
      </c>
      <c r="K4710">
        <v>0</v>
      </c>
      <c r="L4710">
        <v>0.38</v>
      </c>
      <c r="M4710">
        <v>48.965000000000003</v>
      </c>
      <c r="N4710">
        <v>-13910.595300000001</v>
      </c>
      <c r="O4710" s="1" t="s">
        <v>53</v>
      </c>
      <c r="P4710" s="1" t="s">
        <v>4550</v>
      </c>
      <c r="Q4710" s="1" t="s">
        <v>4551</v>
      </c>
      <c r="R4710" s="1" t="s">
        <v>440</v>
      </c>
      <c r="S4710" s="1" t="s">
        <v>4552</v>
      </c>
      <c r="T4710" s="1" t="s">
        <v>4553</v>
      </c>
      <c r="U4710" s="2" t="s">
        <v>5558</v>
      </c>
      <c r="V4710" s="2" t="s">
        <v>36</v>
      </c>
      <c r="W4710" s="2" t="s">
        <v>142</v>
      </c>
      <c r="X4710" s="2">
        <v>6783.07</v>
      </c>
    </row>
    <row r="4711" spans="1:24" x14ac:dyDescent="0.3">
      <c r="A4711">
        <v>22552</v>
      </c>
      <c r="B4711" t="s">
        <v>10504</v>
      </c>
      <c r="C4711" s="3">
        <v>41213</v>
      </c>
      <c r="D4711" t="s">
        <v>148</v>
      </c>
      <c r="E4711">
        <v>4</v>
      </c>
      <c r="F4711" s="3">
        <f ca="1">41214+(RANDBETWEEN(1,10))</f>
        <v>41221</v>
      </c>
      <c r="G4711" t="s">
        <v>76</v>
      </c>
      <c r="H4711" t="s">
        <v>258</v>
      </c>
      <c r="I4711" t="s">
        <v>86</v>
      </c>
      <c r="J4711">
        <v>212.83500000000001</v>
      </c>
      <c r="K4711">
        <v>0</v>
      </c>
      <c r="L4711">
        <v>0.76</v>
      </c>
      <c r="M4711">
        <v>97.125</v>
      </c>
      <c r="N4711">
        <v>37.516058999999998</v>
      </c>
      <c r="O4711" s="1" t="s">
        <v>40</v>
      </c>
      <c r="P4711" s="1" t="s">
        <v>10505</v>
      </c>
      <c r="Q4711" s="1" t="s">
        <v>10506</v>
      </c>
      <c r="R4711" s="1" t="s">
        <v>43</v>
      </c>
      <c r="S4711" s="1" t="s">
        <v>4289</v>
      </c>
      <c r="T4711" s="1" t="s">
        <v>4290</v>
      </c>
      <c r="U4711" s="2" t="s">
        <v>365</v>
      </c>
      <c r="V4711" s="2" t="s">
        <v>83</v>
      </c>
      <c r="W4711" s="2" t="s">
        <v>263</v>
      </c>
      <c r="X4711" s="2">
        <v>53.305</v>
      </c>
    </row>
    <row r="4712" spans="1:24" x14ac:dyDescent="0.3">
      <c r="A4712">
        <v>22553</v>
      </c>
      <c r="B4712" t="s">
        <v>10504</v>
      </c>
      <c r="C4712" s="3">
        <v>41213</v>
      </c>
      <c r="D4712" t="s">
        <v>148</v>
      </c>
      <c r="E4712">
        <v>10</v>
      </c>
      <c r="F4712" s="3">
        <f ca="1">41215+(RANDBETWEEN(1,10))</f>
        <v>41222</v>
      </c>
      <c r="G4712" t="s">
        <v>26</v>
      </c>
      <c r="H4712" t="s">
        <v>27</v>
      </c>
      <c r="I4712" t="s">
        <v>86</v>
      </c>
      <c r="J4712">
        <v>1421.42</v>
      </c>
      <c r="K4712">
        <v>7.0000000000000007E-2</v>
      </c>
      <c r="L4712">
        <v>0.55000000000000004</v>
      </c>
      <c r="M4712">
        <v>35.875</v>
      </c>
      <c r="N4712">
        <v>-28.35</v>
      </c>
      <c r="O4712" s="1" t="s">
        <v>29</v>
      </c>
      <c r="P4712" s="1" t="s">
        <v>10507</v>
      </c>
      <c r="Q4712" s="1" t="s">
        <v>10508</v>
      </c>
      <c r="R4712" s="1" t="s">
        <v>32</v>
      </c>
      <c r="S4712" s="1" t="s">
        <v>9289</v>
      </c>
      <c r="T4712" s="1" t="s">
        <v>9290</v>
      </c>
      <c r="U4712" s="2" t="s">
        <v>6152</v>
      </c>
      <c r="V4712" s="2" t="s">
        <v>36</v>
      </c>
      <c r="W4712" s="2" t="s">
        <v>60</v>
      </c>
      <c r="X4712" s="2">
        <v>139.965</v>
      </c>
    </row>
    <row r="4713" spans="1:24" x14ac:dyDescent="0.3">
      <c r="A4713">
        <v>22554</v>
      </c>
      <c r="B4713" t="s">
        <v>10504</v>
      </c>
      <c r="C4713" s="3">
        <v>41213</v>
      </c>
      <c r="D4713" t="s">
        <v>148</v>
      </c>
      <c r="E4713">
        <v>1</v>
      </c>
      <c r="F4713" s="3">
        <f ca="1">41214+(RANDBETWEEN(1,10))</f>
        <v>41216</v>
      </c>
      <c r="G4713" t="s">
        <v>156</v>
      </c>
      <c r="H4713" t="s">
        <v>27</v>
      </c>
      <c r="I4713" t="s">
        <v>86</v>
      </c>
      <c r="J4713">
        <v>229.14500000000001</v>
      </c>
      <c r="K4713">
        <v>0.06</v>
      </c>
      <c r="L4713">
        <v>0.57999999999999996</v>
      </c>
      <c r="M4713">
        <v>30.8</v>
      </c>
      <c r="N4713">
        <v>-973.01358000000005</v>
      </c>
      <c r="O4713" s="1" t="s">
        <v>87</v>
      </c>
      <c r="P4713" s="1" t="s">
        <v>10509</v>
      </c>
      <c r="Q4713" s="1" t="s">
        <v>10510</v>
      </c>
      <c r="R4713" s="1" t="s">
        <v>90</v>
      </c>
      <c r="S4713" s="1" t="s">
        <v>10511</v>
      </c>
      <c r="T4713" s="1" t="s">
        <v>10512</v>
      </c>
      <c r="U4713" s="2">
        <v>6120</v>
      </c>
      <c r="V4713" s="2" t="s">
        <v>36</v>
      </c>
      <c r="W4713" s="2" t="s">
        <v>37</v>
      </c>
      <c r="X4713" s="2">
        <v>230.965</v>
      </c>
    </row>
    <row r="4714" spans="1:24" x14ac:dyDescent="0.3">
      <c r="A4714">
        <v>22555</v>
      </c>
      <c r="B4714" t="s">
        <v>10513</v>
      </c>
      <c r="C4714" s="3">
        <v>40548</v>
      </c>
      <c r="D4714" t="s">
        <v>50</v>
      </c>
      <c r="E4714">
        <v>1</v>
      </c>
      <c r="F4714" s="3">
        <f ca="1">40549+(RANDBETWEEN(1,10))</f>
        <v>40555</v>
      </c>
      <c r="G4714" t="s">
        <v>76</v>
      </c>
      <c r="H4714" t="s">
        <v>77</v>
      </c>
      <c r="I4714" t="s">
        <v>28</v>
      </c>
      <c r="J4714">
        <v>870.94</v>
      </c>
      <c r="K4714">
        <v>0.08</v>
      </c>
      <c r="L4714">
        <v>0.55000000000000004</v>
      </c>
      <c r="M4714">
        <v>151.62</v>
      </c>
      <c r="N4714">
        <v>-569.8854</v>
      </c>
      <c r="O4714" s="1" t="s">
        <v>40</v>
      </c>
      <c r="P4714" s="1" t="s">
        <v>5383</v>
      </c>
      <c r="Q4714" s="1" t="s">
        <v>5384</v>
      </c>
      <c r="R4714" s="1" t="s">
        <v>43</v>
      </c>
      <c r="S4714" s="1" t="s">
        <v>5385</v>
      </c>
      <c r="T4714" s="1" t="s">
        <v>5386</v>
      </c>
      <c r="U4714" s="2" t="s">
        <v>1924</v>
      </c>
      <c r="V4714" s="2" t="s">
        <v>83</v>
      </c>
      <c r="W4714" s="2" t="s">
        <v>84</v>
      </c>
      <c r="X4714" s="2">
        <v>853.93</v>
      </c>
    </row>
    <row r="4715" spans="1:24" x14ac:dyDescent="0.3">
      <c r="A4715">
        <v>22556</v>
      </c>
      <c r="B4715" t="s">
        <v>10514</v>
      </c>
      <c r="C4715" s="3">
        <v>41849</v>
      </c>
      <c r="D4715" t="s">
        <v>148</v>
      </c>
      <c r="E4715">
        <v>12</v>
      </c>
      <c r="F4715" s="3">
        <f ca="1">41851+(RANDBETWEEN(1,10))</f>
        <v>41855</v>
      </c>
      <c r="G4715" t="s">
        <v>26</v>
      </c>
      <c r="H4715" t="s">
        <v>51</v>
      </c>
      <c r="I4715" t="s">
        <v>52</v>
      </c>
      <c r="J4715">
        <v>210.10499999999999</v>
      </c>
      <c r="K4715">
        <v>7.0000000000000007E-2</v>
      </c>
      <c r="L4715">
        <v>0.79</v>
      </c>
      <c r="M4715">
        <v>17.989999999999998</v>
      </c>
      <c r="N4715">
        <v>-538.55424000000005</v>
      </c>
      <c r="O4715" s="1" t="s">
        <v>53</v>
      </c>
      <c r="P4715" s="1" t="s">
        <v>10515</v>
      </c>
      <c r="Q4715" s="1" t="s">
        <v>10516</v>
      </c>
      <c r="R4715" s="1" t="s">
        <v>440</v>
      </c>
      <c r="S4715" s="1" t="s">
        <v>10517</v>
      </c>
      <c r="T4715" s="1" t="s">
        <v>10518</v>
      </c>
      <c r="U4715" s="2" t="s">
        <v>1639</v>
      </c>
      <c r="V4715" s="2" t="s">
        <v>36</v>
      </c>
      <c r="W4715" s="2" t="s">
        <v>60</v>
      </c>
      <c r="X4715" s="2">
        <v>17.57</v>
      </c>
    </row>
    <row r="4716" spans="1:24" x14ac:dyDescent="0.3">
      <c r="A4716">
        <v>22557</v>
      </c>
      <c r="B4716" t="s">
        <v>10514</v>
      </c>
      <c r="C4716" s="3">
        <v>41849</v>
      </c>
      <c r="D4716" t="s">
        <v>148</v>
      </c>
      <c r="E4716">
        <v>7</v>
      </c>
      <c r="F4716" s="3">
        <f ca="1">41851+(RANDBETWEEN(1,10))</f>
        <v>41861</v>
      </c>
      <c r="G4716" t="s">
        <v>76</v>
      </c>
      <c r="H4716" t="s">
        <v>77</v>
      </c>
      <c r="I4716" t="s">
        <v>52</v>
      </c>
      <c r="J4716">
        <v>6923.77</v>
      </c>
      <c r="K4716">
        <v>7.0000000000000007E-2</v>
      </c>
      <c r="L4716">
        <v>0.78</v>
      </c>
      <c r="M4716">
        <v>199.5</v>
      </c>
      <c r="N4716">
        <v>-1403.26704</v>
      </c>
      <c r="O4716" s="1" t="s">
        <v>40</v>
      </c>
      <c r="P4716" s="1" t="s">
        <v>10519</v>
      </c>
      <c r="Q4716" s="1" t="s">
        <v>10520</v>
      </c>
      <c r="R4716" s="1" t="s">
        <v>220</v>
      </c>
      <c r="S4716" s="1" t="s">
        <v>2425</v>
      </c>
      <c r="T4716" s="1" t="s">
        <v>2426</v>
      </c>
      <c r="U4716" s="2" t="s">
        <v>3811</v>
      </c>
      <c r="V4716" s="2" t="s">
        <v>83</v>
      </c>
      <c r="W4716" s="2" t="s">
        <v>84</v>
      </c>
      <c r="X4716" s="2">
        <v>983.43</v>
      </c>
    </row>
    <row r="4717" spans="1:24" x14ac:dyDescent="0.3">
      <c r="A4717">
        <v>22558</v>
      </c>
      <c r="B4717" t="s">
        <v>10521</v>
      </c>
      <c r="C4717" s="3">
        <v>41982</v>
      </c>
      <c r="D4717" t="s">
        <v>62</v>
      </c>
      <c r="E4717">
        <v>20</v>
      </c>
      <c r="F4717" s="3">
        <f ca="1">41983+(RANDBETWEEN(1,10))</f>
        <v>41989</v>
      </c>
      <c r="G4717" t="s">
        <v>26</v>
      </c>
      <c r="H4717" t="s">
        <v>27</v>
      </c>
      <c r="I4717" t="s">
        <v>28</v>
      </c>
      <c r="J4717">
        <v>498.22500000000002</v>
      </c>
      <c r="K4717">
        <v>0.08</v>
      </c>
      <c r="L4717">
        <v>0.37</v>
      </c>
      <c r="M4717">
        <v>39.024999999999999</v>
      </c>
      <c r="N4717">
        <v>-325.61088000000001</v>
      </c>
      <c r="O4717" s="1" t="s">
        <v>87</v>
      </c>
      <c r="P4717" s="1" t="s">
        <v>7336</v>
      </c>
      <c r="Q4717" s="1" t="s">
        <v>7337</v>
      </c>
      <c r="R4717" s="1" t="s">
        <v>90</v>
      </c>
      <c r="S4717" s="1" t="s">
        <v>7338</v>
      </c>
      <c r="T4717" s="1" t="s">
        <v>7339</v>
      </c>
      <c r="U4717" s="2" t="s">
        <v>4160</v>
      </c>
      <c r="V4717" s="2" t="s">
        <v>47</v>
      </c>
      <c r="W4717" s="2" t="s">
        <v>74</v>
      </c>
      <c r="X4717" s="2">
        <v>25.48</v>
      </c>
    </row>
    <row r="4718" spans="1:24" x14ac:dyDescent="0.3">
      <c r="A4718">
        <v>22559</v>
      </c>
      <c r="B4718" t="s">
        <v>10521</v>
      </c>
      <c r="C4718" s="3">
        <v>41982</v>
      </c>
      <c r="D4718" t="s">
        <v>62</v>
      </c>
      <c r="E4718">
        <v>6</v>
      </c>
      <c r="F4718" s="3">
        <f ca="1">41983+(RANDBETWEEN(1,10))</f>
        <v>41989</v>
      </c>
      <c r="G4718" t="s">
        <v>76</v>
      </c>
      <c r="H4718" t="s">
        <v>258</v>
      </c>
      <c r="I4718" t="s">
        <v>28</v>
      </c>
      <c r="J4718">
        <v>8552.4950000000008</v>
      </c>
      <c r="K4718">
        <v>0.08</v>
      </c>
      <c r="L4718">
        <v>0.67</v>
      </c>
      <c r="M4718">
        <v>385.7</v>
      </c>
      <c r="N4718">
        <v>-816.53207999999995</v>
      </c>
      <c r="O4718" s="1" t="s">
        <v>87</v>
      </c>
      <c r="P4718" s="1" t="s">
        <v>7336</v>
      </c>
      <c r="Q4718" s="1" t="s">
        <v>7337</v>
      </c>
      <c r="R4718" s="1" t="s">
        <v>90</v>
      </c>
      <c r="S4718" s="1" t="s">
        <v>7338</v>
      </c>
      <c r="T4718" s="1" t="s">
        <v>7339</v>
      </c>
      <c r="U4718" s="2" t="s">
        <v>9280</v>
      </c>
      <c r="V4718" s="2" t="s">
        <v>83</v>
      </c>
      <c r="W4718" s="2" t="s">
        <v>263</v>
      </c>
      <c r="X4718" s="2">
        <v>1484.7349999999999</v>
      </c>
    </row>
    <row r="4719" spans="1:24" x14ac:dyDescent="0.3">
      <c r="A4719">
        <v>22560</v>
      </c>
      <c r="B4719" t="s">
        <v>10521</v>
      </c>
      <c r="C4719" s="3">
        <v>41982</v>
      </c>
      <c r="D4719" t="s">
        <v>62</v>
      </c>
      <c r="E4719">
        <v>22</v>
      </c>
      <c r="F4719" s="3">
        <f ca="1">41983+(RANDBETWEEN(1,10))</f>
        <v>41984</v>
      </c>
      <c r="G4719" t="s">
        <v>156</v>
      </c>
      <c r="H4719" t="s">
        <v>27</v>
      </c>
      <c r="I4719" t="s">
        <v>28</v>
      </c>
      <c r="J4719">
        <v>12591.705</v>
      </c>
      <c r="K4719">
        <v>0.09</v>
      </c>
      <c r="L4719">
        <v>0.59</v>
      </c>
      <c r="M4719">
        <v>28.28</v>
      </c>
      <c r="N4719">
        <v>8688.2764499999994</v>
      </c>
      <c r="O4719" s="1" t="s">
        <v>87</v>
      </c>
      <c r="P4719" s="1" t="s">
        <v>7336</v>
      </c>
      <c r="Q4719" s="1" t="s">
        <v>7337</v>
      </c>
      <c r="R4719" s="1" t="s">
        <v>90</v>
      </c>
      <c r="S4719" s="1" t="s">
        <v>7338</v>
      </c>
      <c r="T4719" s="1" t="s">
        <v>7339</v>
      </c>
      <c r="U4719" s="2">
        <v>5125</v>
      </c>
      <c r="V4719" s="2" t="s">
        <v>36</v>
      </c>
      <c r="W4719" s="2" t="s">
        <v>37</v>
      </c>
      <c r="X4719" s="2">
        <v>703.46500000000003</v>
      </c>
    </row>
    <row r="4720" spans="1:24" x14ac:dyDescent="0.3">
      <c r="A4720">
        <v>22561</v>
      </c>
      <c r="B4720" t="s">
        <v>10522</v>
      </c>
      <c r="C4720" s="3">
        <v>41627</v>
      </c>
      <c r="D4720" t="s">
        <v>148</v>
      </c>
      <c r="E4720">
        <v>19</v>
      </c>
      <c r="F4720" s="3">
        <f ca="1">41627+(RANDBETWEEN(1,10))</f>
        <v>41637</v>
      </c>
      <c r="G4720" t="s">
        <v>76</v>
      </c>
      <c r="H4720" t="s">
        <v>258</v>
      </c>
      <c r="I4720" t="s">
        <v>86</v>
      </c>
      <c r="J4720">
        <v>4742.6750000000002</v>
      </c>
      <c r="K4720">
        <v>0.1</v>
      </c>
      <c r="L4720">
        <v>0.69</v>
      </c>
      <c r="M4720">
        <v>312.55</v>
      </c>
      <c r="N4720">
        <v>284.71196250000003</v>
      </c>
      <c r="O4720" s="1" t="s">
        <v>40</v>
      </c>
      <c r="P4720" s="1" t="s">
        <v>10523</v>
      </c>
      <c r="Q4720" s="1" t="s">
        <v>10524</v>
      </c>
      <c r="R4720" s="1" t="s">
        <v>43</v>
      </c>
      <c r="S4720" s="1" t="s">
        <v>10525</v>
      </c>
      <c r="T4720" s="1" t="s">
        <v>10526</v>
      </c>
      <c r="U4720" s="2" t="s">
        <v>407</v>
      </c>
      <c r="V4720" s="2" t="s">
        <v>83</v>
      </c>
      <c r="W4720" s="2" t="s">
        <v>263</v>
      </c>
      <c r="X4720" s="2">
        <v>248.11500000000001</v>
      </c>
    </row>
    <row r="4721" spans="1:24" x14ac:dyDescent="0.3">
      <c r="A4721">
        <v>22562</v>
      </c>
      <c r="B4721" t="s">
        <v>10527</v>
      </c>
      <c r="C4721" s="3">
        <v>40626</v>
      </c>
      <c r="D4721" t="s">
        <v>50</v>
      </c>
      <c r="E4721">
        <v>11</v>
      </c>
      <c r="F4721" s="3">
        <f ca="1">40627+(RANDBETWEEN(1,10))</f>
        <v>40630</v>
      </c>
      <c r="G4721" t="s">
        <v>26</v>
      </c>
      <c r="H4721" t="s">
        <v>27</v>
      </c>
      <c r="I4721" t="s">
        <v>97</v>
      </c>
      <c r="J4721">
        <v>532.17499999999995</v>
      </c>
      <c r="K4721">
        <v>0.1</v>
      </c>
      <c r="L4721">
        <v>0.39</v>
      </c>
      <c r="M4721">
        <v>10.465</v>
      </c>
      <c r="N4721">
        <v>367.20075000000003</v>
      </c>
      <c r="O4721" s="1" t="s">
        <v>53</v>
      </c>
      <c r="P4721" s="1" t="s">
        <v>7496</v>
      </c>
      <c r="Q4721" s="1" t="s">
        <v>7497</v>
      </c>
      <c r="R4721" s="1" t="s">
        <v>56</v>
      </c>
      <c r="S4721" s="1" t="s">
        <v>7498</v>
      </c>
      <c r="T4721" s="1" t="s">
        <v>7499</v>
      </c>
      <c r="U4721" s="2" t="s">
        <v>10528</v>
      </c>
      <c r="V4721" s="2" t="s">
        <v>47</v>
      </c>
      <c r="W4721" s="2" t="s">
        <v>111</v>
      </c>
      <c r="X4721" s="2">
        <v>49.98</v>
      </c>
    </row>
    <row r="4722" spans="1:24" x14ac:dyDescent="0.3">
      <c r="A4722">
        <v>22563</v>
      </c>
      <c r="B4722" t="s">
        <v>10529</v>
      </c>
      <c r="C4722" s="3">
        <v>41473</v>
      </c>
      <c r="D4722" t="s">
        <v>148</v>
      </c>
      <c r="E4722">
        <v>1</v>
      </c>
      <c r="F4722" s="3">
        <f ca="1">41474+(RANDBETWEEN(1,10))</f>
        <v>41484</v>
      </c>
      <c r="G4722" t="s">
        <v>26</v>
      </c>
      <c r="H4722" t="s">
        <v>27</v>
      </c>
      <c r="I4722" t="s">
        <v>52</v>
      </c>
      <c r="J4722">
        <v>10.045</v>
      </c>
      <c r="K4722">
        <v>0.09</v>
      </c>
      <c r="L4722">
        <v>0.39</v>
      </c>
      <c r="M4722">
        <v>1.75</v>
      </c>
      <c r="N4722">
        <v>-7.1050000000000004</v>
      </c>
      <c r="O4722" s="1" t="s">
        <v>87</v>
      </c>
      <c r="P4722" s="1" t="s">
        <v>10249</v>
      </c>
      <c r="Q4722" s="1" t="s">
        <v>10250</v>
      </c>
      <c r="R4722" s="1" t="s">
        <v>90</v>
      </c>
      <c r="S4722" s="1" t="s">
        <v>10251</v>
      </c>
      <c r="T4722" s="1" t="s">
        <v>10252</v>
      </c>
      <c r="U4722" s="2" t="s">
        <v>9204</v>
      </c>
      <c r="V4722" s="2" t="s">
        <v>47</v>
      </c>
      <c r="W4722" s="2" t="s">
        <v>203</v>
      </c>
      <c r="X4722" s="2">
        <v>10.08</v>
      </c>
    </row>
    <row r="4723" spans="1:24" x14ac:dyDescent="0.3">
      <c r="A4723">
        <v>22564</v>
      </c>
      <c r="B4723" t="s">
        <v>10530</v>
      </c>
      <c r="C4723" s="3">
        <v>41364</v>
      </c>
      <c r="D4723" t="s">
        <v>62</v>
      </c>
      <c r="E4723">
        <v>3</v>
      </c>
      <c r="F4723" s="3">
        <f ca="1">41365+(RANDBETWEEN(1,10))</f>
        <v>41366</v>
      </c>
      <c r="G4723" t="s">
        <v>26</v>
      </c>
      <c r="H4723" t="s">
        <v>27</v>
      </c>
      <c r="I4723" t="s">
        <v>52</v>
      </c>
      <c r="J4723">
        <v>73.394999999999996</v>
      </c>
      <c r="K4723">
        <v>0.05</v>
      </c>
      <c r="L4723">
        <v>0.37</v>
      </c>
      <c r="M4723">
        <v>19.18</v>
      </c>
      <c r="N4723">
        <v>-103.56325</v>
      </c>
      <c r="O4723" s="1" t="s">
        <v>40</v>
      </c>
      <c r="P4723" s="1" t="s">
        <v>10531</v>
      </c>
      <c r="Q4723" s="1" t="s">
        <v>10532</v>
      </c>
      <c r="R4723" s="1" t="s">
        <v>220</v>
      </c>
      <c r="S4723" s="1" t="s">
        <v>1838</v>
      </c>
      <c r="T4723" s="1" t="s">
        <v>1839</v>
      </c>
      <c r="U4723" s="2" t="s">
        <v>5054</v>
      </c>
      <c r="V4723" s="2" t="s">
        <v>47</v>
      </c>
      <c r="W4723" s="2" t="s">
        <v>111</v>
      </c>
      <c r="X4723" s="2">
        <v>23.835000000000001</v>
      </c>
    </row>
    <row r="4724" spans="1:24" x14ac:dyDescent="0.3">
      <c r="A4724">
        <v>22565</v>
      </c>
      <c r="B4724" t="s">
        <v>10533</v>
      </c>
      <c r="C4724" s="3">
        <v>41175</v>
      </c>
      <c r="D4724" t="s">
        <v>39</v>
      </c>
      <c r="E4724">
        <v>20</v>
      </c>
      <c r="F4724" s="3">
        <f ca="1">41176+(RANDBETWEEN(1,10))</f>
        <v>41177</v>
      </c>
      <c r="G4724" t="s">
        <v>26</v>
      </c>
      <c r="H4724" t="s">
        <v>27</v>
      </c>
      <c r="I4724" t="s">
        <v>28</v>
      </c>
      <c r="J4724">
        <v>7521.78</v>
      </c>
      <c r="K4724">
        <v>0</v>
      </c>
      <c r="L4724">
        <v>0.52</v>
      </c>
      <c r="M4724">
        <v>69.965000000000003</v>
      </c>
      <c r="N4724">
        <v>162.33000000000001</v>
      </c>
      <c r="O4724" s="1" t="s">
        <v>225</v>
      </c>
      <c r="P4724" s="1" t="s">
        <v>557</v>
      </c>
      <c r="Q4724" s="1" t="s">
        <v>558</v>
      </c>
      <c r="R4724" s="1" t="s">
        <v>228</v>
      </c>
      <c r="S4724" s="1" t="s">
        <v>349</v>
      </c>
      <c r="T4724" s="1" t="s">
        <v>350</v>
      </c>
      <c r="U4724" s="2" t="s">
        <v>1438</v>
      </c>
      <c r="V4724" s="2" t="s">
        <v>36</v>
      </c>
      <c r="W4724" s="2" t="s">
        <v>60</v>
      </c>
      <c r="X4724" s="2">
        <v>349.96499999999997</v>
      </c>
    </row>
    <row r="4725" spans="1:24" x14ac:dyDescent="0.3">
      <c r="A4725">
        <v>22566</v>
      </c>
      <c r="B4725" t="s">
        <v>10534</v>
      </c>
      <c r="C4725" s="3">
        <v>41309</v>
      </c>
      <c r="D4725" t="s">
        <v>50</v>
      </c>
      <c r="E4725">
        <v>3</v>
      </c>
      <c r="F4725" s="3">
        <f ca="1">41310+(RANDBETWEEN(1,10))</f>
        <v>41318</v>
      </c>
      <c r="G4725" t="s">
        <v>76</v>
      </c>
      <c r="H4725" t="s">
        <v>77</v>
      </c>
      <c r="I4725" t="s">
        <v>28</v>
      </c>
      <c r="J4725">
        <v>2919.77</v>
      </c>
      <c r="K4725">
        <v>0.1</v>
      </c>
      <c r="L4725">
        <v>0.56000000000000005</v>
      </c>
      <c r="M4725">
        <v>226.55500000000001</v>
      </c>
      <c r="N4725">
        <v>-221.92099999999999</v>
      </c>
      <c r="O4725" s="1" t="s">
        <v>40</v>
      </c>
      <c r="P4725" s="1" t="s">
        <v>4389</v>
      </c>
      <c r="Q4725" s="1" t="s">
        <v>4390</v>
      </c>
      <c r="R4725" s="1" t="s">
        <v>43</v>
      </c>
      <c r="S4725" s="1" t="s">
        <v>4391</v>
      </c>
      <c r="T4725" s="1" t="s">
        <v>4392</v>
      </c>
      <c r="U4725" s="2" t="s">
        <v>3031</v>
      </c>
      <c r="V4725" s="2" t="s">
        <v>83</v>
      </c>
      <c r="W4725" s="2" t="s">
        <v>84</v>
      </c>
      <c r="X4725" s="2">
        <v>1053.43</v>
      </c>
    </row>
    <row r="4726" spans="1:24" x14ac:dyDescent="0.3">
      <c r="A4726">
        <v>22567</v>
      </c>
      <c r="B4726" t="s">
        <v>10535</v>
      </c>
      <c r="C4726" s="3">
        <v>41672</v>
      </c>
      <c r="D4726" t="s">
        <v>25</v>
      </c>
      <c r="E4726">
        <v>6</v>
      </c>
      <c r="F4726" s="3">
        <f ca="1">41677+(RANDBETWEEN(1,10))</f>
        <v>41678</v>
      </c>
      <c r="G4726" t="s">
        <v>26</v>
      </c>
      <c r="H4726" t="s">
        <v>27</v>
      </c>
      <c r="I4726" t="s">
        <v>28</v>
      </c>
      <c r="J4726">
        <v>3635.94</v>
      </c>
      <c r="K4726">
        <v>0.03</v>
      </c>
      <c r="L4726">
        <v>0.4</v>
      </c>
      <c r="M4726">
        <v>69.965000000000003</v>
      </c>
      <c r="N4726">
        <v>2508.7986000000001</v>
      </c>
      <c r="O4726" s="1" t="s">
        <v>64</v>
      </c>
      <c r="P4726" s="1" t="s">
        <v>1863</v>
      </c>
      <c r="Q4726" s="1" t="s">
        <v>1864</v>
      </c>
      <c r="R4726" s="1" t="s">
        <v>67</v>
      </c>
      <c r="S4726" s="1" t="s">
        <v>1865</v>
      </c>
      <c r="T4726" s="1" t="s">
        <v>1866</v>
      </c>
      <c r="U4726" s="2" t="s">
        <v>2782</v>
      </c>
      <c r="V4726" s="2" t="s">
        <v>47</v>
      </c>
      <c r="W4726" s="2" t="s">
        <v>111</v>
      </c>
      <c r="X4726" s="2">
        <v>580.92999999999995</v>
      </c>
    </row>
    <row r="4727" spans="1:24" x14ac:dyDescent="0.3">
      <c r="A4727">
        <v>22568</v>
      </c>
      <c r="B4727" t="s">
        <v>10535</v>
      </c>
      <c r="C4727" s="3">
        <v>41672</v>
      </c>
      <c r="D4727" t="s">
        <v>25</v>
      </c>
      <c r="E4727">
        <v>10</v>
      </c>
      <c r="F4727" s="3">
        <f ca="1">41677+(RANDBETWEEN(1,10))</f>
        <v>41678</v>
      </c>
      <c r="G4727" t="s">
        <v>26</v>
      </c>
      <c r="H4727" t="s">
        <v>96</v>
      </c>
      <c r="I4727" t="s">
        <v>28</v>
      </c>
      <c r="J4727">
        <v>58.24</v>
      </c>
      <c r="K4727">
        <v>0.01</v>
      </c>
      <c r="L4727">
        <v>0.42</v>
      </c>
      <c r="M4727">
        <v>4.5149999999999997</v>
      </c>
      <c r="N4727">
        <v>-52.954999999999998</v>
      </c>
      <c r="O4727" s="1" t="s">
        <v>87</v>
      </c>
      <c r="P4727" s="1" t="s">
        <v>10536</v>
      </c>
      <c r="Q4727" s="1" t="s">
        <v>10537</v>
      </c>
      <c r="R4727" s="1" t="s">
        <v>646</v>
      </c>
      <c r="S4727" s="1" t="s">
        <v>5570</v>
      </c>
      <c r="T4727" s="1" t="s">
        <v>3151</v>
      </c>
      <c r="U4727" s="2" t="s">
        <v>9221</v>
      </c>
      <c r="V4727" s="2" t="s">
        <v>47</v>
      </c>
      <c r="W4727" s="2" t="s">
        <v>104</v>
      </c>
      <c r="X4727" s="2">
        <v>5.6</v>
      </c>
    </row>
    <row r="4728" spans="1:24" x14ac:dyDescent="0.3">
      <c r="A4728">
        <v>22569</v>
      </c>
      <c r="B4728" t="s">
        <v>10538</v>
      </c>
      <c r="C4728" s="3">
        <v>41206</v>
      </c>
      <c r="D4728" t="s">
        <v>62</v>
      </c>
      <c r="E4728">
        <v>7</v>
      </c>
      <c r="F4728" s="3">
        <f ca="1">41208+(RANDBETWEEN(1,10))</f>
        <v>41209</v>
      </c>
      <c r="G4728" t="s">
        <v>26</v>
      </c>
      <c r="H4728" t="s">
        <v>27</v>
      </c>
      <c r="I4728" t="s">
        <v>28</v>
      </c>
      <c r="J4728">
        <v>71.784999999999997</v>
      </c>
      <c r="K4728">
        <v>0.03</v>
      </c>
      <c r="L4728">
        <v>0.39</v>
      </c>
      <c r="M4728">
        <v>5.2149999999999999</v>
      </c>
      <c r="N4728">
        <v>-0.91286999999999996</v>
      </c>
      <c r="O4728" s="1" t="s">
        <v>64</v>
      </c>
      <c r="P4728" s="1" t="s">
        <v>6300</v>
      </c>
      <c r="Q4728" s="1" t="s">
        <v>6301</v>
      </c>
      <c r="R4728" s="1" t="s">
        <v>67</v>
      </c>
      <c r="S4728" s="1" t="s">
        <v>6302</v>
      </c>
      <c r="T4728" s="1" t="s">
        <v>6303</v>
      </c>
      <c r="U4728" s="2" t="s">
        <v>5684</v>
      </c>
      <c r="V4728" s="2" t="s">
        <v>47</v>
      </c>
      <c r="W4728" s="2" t="s">
        <v>111</v>
      </c>
      <c r="X4728" s="2">
        <v>9.73</v>
      </c>
    </row>
    <row r="4729" spans="1:24" x14ac:dyDescent="0.3">
      <c r="A4729">
        <v>22570</v>
      </c>
      <c r="B4729" t="s">
        <v>10539</v>
      </c>
      <c r="C4729" s="3">
        <v>41936</v>
      </c>
      <c r="D4729" t="s">
        <v>62</v>
      </c>
      <c r="E4729">
        <v>4</v>
      </c>
      <c r="F4729" s="3">
        <f ca="1">41938+(RANDBETWEEN(1,10))</f>
        <v>41942</v>
      </c>
      <c r="G4729" t="s">
        <v>26</v>
      </c>
      <c r="H4729" t="s">
        <v>27</v>
      </c>
      <c r="I4729" t="s">
        <v>28</v>
      </c>
      <c r="J4729">
        <v>120.36499999999999</v>
      </c>
      <c r="K4729">
        <v>0.01</v>
      </c>
      <c r="L4729">
        <v>0.38</v>
      </c>
      <c r="M4729">
        <v>8.75</v>
      </c>
      <c r="N4729">
        <v>22.54</v>
      </c>
      <c r="O4729" s="1" t="s">
        <v>64</v>
      </c>
      <c r="P4729" s="1" t="s">
        <v>6300</v>
      </c>
      <c r="Q4729" s="1" t="s">
        <v>6301</v>
      </c>
      <c r="R4729" s="1" t="s">
        <v>67</v>
      </c>
      <c r="S4729" s="1" t="s">
        <v>6302</v>
      </c>
      <c r="T4729" s="1" t="s">
        <v>6303</v>
      </c>
      <c r="U4729" s="2" t="s">
        <v>6341</v>
      </c>
      <c r="V4729" s="2" t="s">
        <v>47</v>
      </c>
      <c r="W4729" s="2" t="s">
        <v>48</v>
      </c>
      <c r="X4729" s="2">
        <v>27.23</v>
      </c>
    </row>
    <row r="4730" spans="1:24" x14ac:dyDescent="0.3">
      <c r="A4730">
        <v>22571</v>
      </c>
      <c r="B4730" t="s">
        <v>10540</v>
      </c>
      <c r="C4730" s="3">
        <v>41920</v>
      </c>
      <c r="D4730" t="s">
        <v>25</v>
      </c>
      <c r="E4730">
        <v>4</v>
      </c>
      <c r="F4730" s="3">
        <f ca="1">41925+(RANDBETWEEN(1,10))</f>
        <v>41935</v>
      </c>
      <c r="G4730" t="s">
        <v>26</v>
      </c>
      <c r="H4730" t="s">
        <v>27</v>
      </c>
      <c r="I4730" t="s">
        <v>52</v>
      </c>
      <c r="J4730">
        <v>149.38</v>
      </c>
      <c r="K4730">
        <v>0.09</v>
      </c>
      <c r="L4730">
        <v>0.59</v>
      </c>
      <c r="M4730">
        <v>15.75</v>
      </c>
      <c r="N4730">
        <v>-81.290999999999997</v>
      </c>
      <c r="O4730" s="1" t="s">
        <v>29</v>
      </c>
      <c r="P4730" s="1" t="s">
        <v>10541</v>
      </c>
      <c r="Q4730" s="1" t="s">
        <v>10542</v>
      </c>
      <c r="R4730" s="1" t="s">
        <v>32</v>
      </c>
      <c r="S4730" s="1" t="s">
        <v>4327</v>
      </c>
      <c r="T4730" s="1" t="s">
        <v>4328</v>
      </c>
      <c r="U4730" s="2" t="s">
        <v>767</v>
      </c>
      <c r="V4730" s="2" t="s">
        <v>47</v>
      </c>
      <c r="W4730" s="2" t="s">
        <v>71</v>
      </c>
      <c r="X4730" s="2">
        <v>38.115000000000002</v>
      </c>
    </row>
    <row r="4731" spans="1:24" x14ac:dyDescent="0.3">
      <c r="A4731">
        <v>22572</v>
      </c>
      <c r="B4731" t="s">
        <v>10543</v>
      </c>
      <c r="C4731" s="3">
        <v>41351</v>
      </c>
      <c r="D4731" t="s">
        <v>62</v>
      </c>
      <c r="E4731">
        <v>2</v>
      </c>
      <c r="F4731" s="3">
        <f ca="1">41353+(RANDBETWEEN(1,10))</f>
        <v>41357</v>
      </c>
      <c r="G4731" t="s">
        <v>26</v>
      </c>
      <c r="H4731" t="s">
        <v>27</v>
      </c>
      <c r="I4731" t="s">
        <v>97</v>
      </c>
      <c r="J4731">
        <v>182.10499999999999</v>
      </c>
      <c r="K4731">
        <v>0</v>
      </c>
      <c r="L4731">
        <v>0.38</v>
      </c>
      <c r="M4731">
        <v>52.85</v>
      </c>
      <c r="N4731">
        <v>-121.9575</v>
      </c>
      <c r="O4731" s="1" t="s">
        <v>87</v>
      </c>
      <c r="P4731" s="1" t="s">
        <v>10544</v>
      </c>
      <c r="Q4731" s="1" t="s">
        <v>10545</v>
      </c>
      <c r="R4731" s="1" t="s">
        <v>90</v>
      </c>
      <c r="S4731" s="1" t="s">
        <v>10546</v>
      </c>
      <c r="T4731" s="1" t="s">
        <v>10547</v>
      </c>
      <c r="U4731" s="2" t="s">
        <v>2602</v>
      </c>
      <c r="V4731" s="2" t="s">
        <v>47</v>
      </c>
      <c r="W4731" s="2" t="s">
        <v>111</v>
      </c>
      <c r="X4731" s="2">
        <v>78.33</v>
      </c>
    </row>
    <row r="4732" spans="1:24" x14ac:dyDescent="0.3">
      <c r="A4732">
        <v>22573</v>
      </c>
      <c r="B4732" t="s">
        <v>10543</v>
      </c>
      <c r="C4732" s="3">
        <v>41351</v>
      </c>
      <c r="D4732" t="s">
        <v>62</v>
      </c>
      <c r="E4732">
        <v>13</v>
      </c>
      <c r="F4732" s="3">
        <f ca="1">41352+(RANDBETWEEN(1,10))</f>
        <v>41357</v>
      </c>
      <c r="G4732" t="s">
        <v>26</v>
      </c>
      <c r="H4732" t="s">
        <v>51</v>
      </c>
      <c r="I4732" t="s">
        <v>97</v>
      </c>
      <c r="J4732">
        <v>1252.72</v>
      </c>
      <c r="K4732">
        <v>0.1</v>
      </c>
      <c r="L4732">
        <v>0.36</v>
      </c>
      <c r="M4732">
        <v>4.375</v>
      </c>
      <c r="N4732">
        <v>864.3768</v>
      </c>
      <c r="O4732" s="1" t="s">
        <v>87</v>
      </c>
      <c r="P4732" s="1" t="s">
        <v>10544</v>
      </c>
      <c r="Q4732" s="1" t="s">
        <v>10545</v>
      </c>
      <c r="R4732" s="1" t="s">
        <v>90</v>
      </c>
      <c r="S4732" s="1" t="s">
        <v>10546</v>
      </c>
      <c r="T4732" s="1" t="s">
        <v>10547</v>
      </c>
      <c r="U4732" s="2" t="s">
        <v>6006</v>
      </c>
      <c r="V4732" s="2" t="s">
        <v>36</v>
      </c>
      <c r="W4732" s="2" t="s">
        <v>37</v>
      </c>
      <c r="X4732" s="2">
        <v>125.965</v>
      </c>
    </row>
    <row r="4733" spans="1:24" x14ac:dyDescent="0.3">
      <c r="A4733">
        <v>22574</v>
      </c>
      <c r="B4733" t="s">
        <v>10548</v>
      </c>
      <c r="C4733" s="3">
        <v>41532</v>
      </c>
      <c r="D4733" t="s">
        <v>39</v>
      </c>
      <c r="E4733">
        <v>11</v>
      </c>
      <c r="F4733" s="3">
        <f ca="1">41532+(RANDBETWEEN(1,10))</f>
        <v>41542</v>
      </c>
      <c r="G4733" t="s">
        <v>26</v>
      </c>
      <c r="H4733" t="s">
        <v>96</v>
      </c>
      <c r="I4733" t="s">
        <v>28</v>
      </c>
      <c r="J4733">
        <v>279.19499999999999</v>
      </c>
      <c r="K4733">
        <v>0.03</v>
      </c>
      <c r="L4733">
        <v>0.4</v>
      </c>
      <c r="M4733">
        <v>5.9850000000000003</v>
      </c>
      <c r="N4733">
        <v>156.065</v>
      </c>
      <c r="O4733" s="1" t="s">
        <v>64</v>
      </c>
      <c r="P4733" s="1" t="s">
        <v>10549</v>
      </c>
      <c r="Q4733" s="1" t="s">
        <v>10550</v>
      </c>
      <c r="R4733" s="1" t="s">
        <v>67</v>
      </c>
      <c r="S4733" s="1" t="s">
        <v>10551</v>
      </c>
      <c r="T4733" s="1" t="s">
        <v>10552</v>
      </c>
      <c r="U4733" s="2" t="s">
        <v>5167</v>
      </c>
      <c r="V4733" s="2" t="s">
        <v>47</v>
      </c>
      <c r="W4733" s="2" t="s">
        <v>74</v>
      </c>
      <c r="X4733" s="2">
        <v>25.9</v>
      </c>
    </row>
    <row r="4734" spans="1:24" x14ac:dyDescent="0.3">
      <c r="A4734">
        <v>22575</v>
      </c>
      <c r="B4734" t="s">
        <v>10548</v>
      </c>
      <c r="C4734" s="3">
        <v>41532</v>
      </c>
      <c r="D4734" t="s">
        <v>39</v>
      </c>
      <c r="E4734">
        <v>19</v>
      </c>
      <c r="F4734" s="3">
        <f ca="1">41534+(RANDBETWEEN(1,10))</f>
        <v>41542</v>
      </c>
      <c r="G4734" t="s">
        <v>26</v>
      </c>
      <c r="H4734" t="s">
        <v>27</v>
      </c>
      <c r="I4734" t="s">
        <v>28</v>
      </c>
      <c r="J4734">
        <v>457.41500000000002</v>
      </c>
      <c r="K4734">
        <v>0.05</v>
      </c>
      <c r="L4734">
        <v>0.36</v>
      </c>
      <c r="M4734">
        <v>30.59</v>
      </c>
      <c r="N4734">
        <v>-603.22500000000002</v>
      </c>
      <c r="O4734" s="1" t="s">
        <v>64</v>
      </c>
      <c r="P4734" s="1" t="s">
        <v>10549</v>
      </c>
      <c r="Q4734" s="1" t="s">
        <v>10550</v>
      </c>
      <c r="R4734" s="1" t="s">
        <v>67</v>
      </c>
      <c r="S4734" s="1" t="s">
        <v>10551</v>
      </c>
      <c r="T4734" s="1" t="s">
        <v>10552</v>
      </c>
      <c r="U4734" s="2" t="s">
        <v>578</v>
      </c>
      <c r="V4734" s="2" t="s">
        <v>47</v>
      </c>
      <c r="W4734" s="2" t="s">
        <v>74</v>
      </c>
      <c r="X4734" s="2">
        <v>22.68</v>
      </c>
    </row>
    <row r="4735" spans="1:24" x14ac:dyDescent="0.3">
      <c r="A4735">
        <v>22576</v>
      </c>
      <c r="B4735" t="s">
        <v>10553</v>
      </c>
      <c r="C4735" s="3">
        <v>40719</v>
      </c>
      <c r="D4735" t="s">
        <v>50</v>
      </c>
      <c r="E4735">
        <v>10</v>
      </c>
      <c r="F4735" s="3">
        <f ca="1">40720+(RANDBETWEEN(1,10))</f>
        <v>40725</v>
      </c>
      <c r="G4735" t="s">
        <v>156</v>
      </c>
      <c r="H4735" t="s">
        <v>63</v>
      </c>
      <c r="I4735" t="s">
        <v>52</v>
      </c>
      <c r="J4735">
        <v>3604.86</v>
      </c>
      <c r="K4735">
        <v>7.0000000000000007E-2</v>
      </c>
      <c r="L4735">
        <v>0.61</v>
      </c>
      <c r="M4735">
        <v>85.715000000000003</v>
      </c>
      <c r="N4735">
        <v>2487.3534</v>
      </c>
      <c r="O4735" s="1" t="s">
        <v>40</v>
      </c>
      <c r="P4735" s="1" t="s">
        <v>5226</v>
      </c>
      <c r="Q4735" s="1" t="s">
        <v>5227</v>
      </c>
      <c r="R4735" s="1" t="s">
        <v>43</v>
      </c>
      <c r="S4735" s="1" t="s">
        <v>5228</v>
      </c>
      <c r="T4735" s="1" t="s">
        <v>5229</v>
      </c>
      <c r="U4735" s="2" t="s">
        <v>4335</v>
      </c>
      <c r="V4735" s="2" t="s">
        <v>83</v>
      </c>
      <c r="W4735" s="2" t="s">
        <v>178</v>
      </c>
      <c r="X4735" s="2">
        <v>368.69</v>
      </c>
    </row>
    <row r="4736" spans="1:24" x14ac:dyDescent="0.3">
      <c r="A4736">
        <v>22577</v>
      </c>
      <c r="B4736" t="s">
        <v>10554</v>
      </c>
      <c r="C4736" s="3">
        <v>41781</v>
      </c>
      <c r="D4736" t="s">
        <v>39</v>
      </c>
      <c r="E4736">
        <v>7</v>
      </c>
      <c r="F4736" s="3">
        <f ca="1">41783+(RANDBETWEEN(1,10))</f>
        <v>41788</v>
      </c>
      <c r="G4736" t="s">
        <v>26</v>
      </c>
      <c r="H4736" t="s">
        <v>27</v>
      </c>
      <c r="I4736" t="s">
        <v>28</v>
      </c>
      <c r="J4736">
        <v>1668.345</v>
      </c>
      <c r="K4736">
        <v>0.05</v>
      </c>
      <c r="L4736">
        <v>0.59</v>
      </c>
      <c r="M4736">
        <v>12.25</v>
      </c>
      <c r="N4736">
        <v>1093.82</v>
      </c>
      <c r="O4736" s="1" t="s">
        <v>64</v>
      </c>
      <c r="P4736" s="1" t="s">
        <v>10555</v>
      </c>
      <c r="Q4736" s="1" t="s">
        <v>10556</v>
      </c>
      <c r="R4736" s="1" t="s">
        <v>128</v>
      </c>
      <c r="S4736" s="1" t="s">
        <v>10557</v>
      </c>
      <c r="T4736" s="1" t="s">
        <v>10558</v>
      </c>
      <c r="U4736" s="2" t="s">
        <v>989</v>
      </c>
      <c r="V4736" s="2" t="s">
        <v>47</v>
      </c>
      <c r="W4736" s="2" t="s">
        <v>71</v>
      </c>
      <c r="X4736" s="2">
        <v>248.39500000000001</v>
      </c>
    </row>
    <row r="4737" spans="1:24" x14ac:dyDescent="0.3">
      <c r="A4737">
        <v>22578</v>
      </c>
      <c r="B4737" t="s">
        <v>10559</v>
      </c>
      <c r="C4737" s="3">
        <v>41870</v>
      </c>
      <c r="D4737" t="s">
        <v>50</v>
      </c>
      <c r="E4737">
        <v>24</v>
      </c>
      <c r="F4737" s="3">
        <f ca="1">41871+(RANDBETWEEN(1,10))</f>
        <v>41874</v>
      </c>
      <c r="G4737" t="s">
        <v>26</v>
      </c>
      <c r="H4737" t="s">
        <v>51</v>
      </c>
      <c r="I4737" t="s">
        <v>52</v>
      </c>
      <c r="J4737">
        <v>566.54499999999996</v>
      </c>
      <c r="K4737">
        <v>0.04</v>
      </c>
      <c r="L4737">
        <v>0.57999999999999996</v>
      </c>
      <c r="M4737">
        <v>29.295000000000002</v>
      </c>
      <c r="N4737">
        <v>-410.38535999999999</v>
      </c>
      <c r="O4737" s="1" t="s">
        <v>53</v>
      </c>
      <c r="P4737" s="1" t="s">
        <v>8578</v>
      </c>
      <c r="Q4737" s="1" t="s">
        <v>8579</v>
      </c>
      <c r="R4737" s="1" t="s">
        <v>100</v>
      </c>
      <c r="S4737" s="1" t="s">
        <v>2539</v>
      </c>
      <c r="T4737" s="1" t="s">
        <v>2540</v>
      </c>
      <c r="U4737" s="2" t="s">
        <v>3635</v>
      </c>
      <c r="V4737" s="2" t="s">
        <v>47</v>
      </c>
      <c r="W4737" s="2" t="s">
        <v>94</v>
      </c>
      <c r="X4737" s="2">
        <v>23.94</v>
      </c>
    </row>
    <row r="4738" spans="1:24" x14ac:dyDescent="0.3">
      <c r="A4738">
        <v>22579</v>
      </c>
      <c r="B4738" t="s">
        <v>10559</v>
      </c>
      <c r="C4738" s="3">
        <v>41870</v>
      </c>
      <c r="D4738" t="s">
        <v>50</v>
      </c>
      <c r="E4738">
        <v>10</v>
      </c>
      <c r="F4738" s="3">
        <f ca="1">41871+(RANDBETWEEN(1,10))</f>
        <v>41880</v>
      </c>
      <c r="G4738" t="s">
        <v>26</v>
      </c>
      <c r="H4738" t="s">
        <v>27</v>
      </c>
      <c r="I4738" t="s">
        <v>52</v>
      </c>
      <c r="J4738">
        <v>3485.8249999999998</v>
      </c>
      <c r="K4738">
        <v>7.0000000000000007E-2</v>
      </c>
      <c r="L4738">
        <v>0.57999999999999996</v>
      </c>
      <c r="M4738">
        <v>26.914999999999999</v>
      </c>
      <c r="N4738">
        <v>487.40479199999999</v>
      </c>
      <c r="O4738" s="1" t="s">
        <v>53</v>
      </c>
      <c r="P4738" s="1" t="s">
        <v>8578</v>
      </c>
      <c r="Q4738" s="1" t="s">
        <v>8579</v>
      </c>
      <c r="R4738" s="1" t="s">
        <v>100</v>
      </c>
      <c r="S4738" s="1" t="s">
        <v>2539</v>
      </c>
      <c r="T4738" s="1" t="s">
        <v>2540</v>
      </c>
      <c r="U4738" s="2" t="s">
        <v>2511</v>
      </c>
      <c r="V4738" s="2" t="s">
        <v>36</v>
      </c>
      <c r="W4738" s="2" t="s">
        <v>37</v>
      </c>
      <c r="X4738" s="2">
        <v>440.96499999999997</v>
      </c>
    </row>
    <row r="4739" spans="1:24" x14ac:dyDescent="0.3">
      <c r="A4739">
        <v>22580</v>
      </c>
      <c r="B4739" t="s">
        <v>10560</v>
      </c>
      <c r="C4739" s="3">
        <v>40782</v>
      </c>
      <c r="D4739" t="s">
        <v>148</v>
      </c>
      <c r="E4739">
        <v>7</v>
      </c>
      <c r="F4739" s="3">
        <f ca="1">40784+(RANDBETWEEN(1,10))</f>
        <v>40792</v>
      </c>
      <c r="G4739" t="s">
        <v>26</v>
      </c>
      <c r="H4739" t="s">
        <v>27</v>
      </c>
      <c r="I4739" t="s">
        <v>28</v>
      </c>
      <c r="J4739">
        <v>51.695</v>
      </c>
      <c r="K4739">
        <v>0.04</v>
      </c>
      <c r="L4739">
        <v>0.36</v>
      </c>
      <c r="M4739">
        <v>5.2149999999999999</v>
      </c>
      <c r="N4739">
        <v>-13.018459999999999</v>
      </c>
      <c r="O4739" s="1" t="s">
        <v>40</v>
      </c>
      <c r="P4739" s="1" t="s">
        <v>9852</v>
      </c>
      <c r="Q4739" s="1" t="s">
        <v>9853</v>
      </c>
      <c r="R4739" s="1" t="s">
        <v>43</v>
      </c>
      <c r="S4739" s="1" t="s">
        <v>9854</v>
      </c>
      <c r="T4739" s="1" t="s">
        <v>9855</v>
      </c>
      <c r="U4739" s="2" t="s">
        <v>4015</v>
      </c>
      <c r="V4739" s="2" t="s">
        <v>47</v>
      </c>
      <c r="W4739" s="2" t="s">
        <v>111</v>
      </c>
      <c r="X4739" s="2">
        <v>7.28</v>
      </c>
    </row>
    <row r="4740" spans="1:24" x14ac:dyDescent="0.3">
      <c r="A4740">
        <v>22581</v>
      </c>
      <c r="B4740" t="s">
        <v>10561</v>
      </c>
      <c r="C4740" s="3">
        <v>41878</v>
      </c>
      <c r="D4740" t="s">
        <v>148</v>
      </c>
      <c r="E4740">
        <v>10</v>
      </c>
      <c r="F4740" s="3">
        <f ca="1">41879+(RANDBETWEEN(1,10))</f>
        <v>41888</v>
      </c>
      <c r="G4740" t="s">
        <v>76</v>
      </c>
      <c r="H4740" t="s">
        <v>77</v>
      </c>
      <c r="I4740" t="s">
        <v>28</v>
      </c>
      <c r="J4740">
        <v>6516.23</v>
      </c>
      <c r="K4740">
        <v>0</v>
      </c>
      <c r="L4740">
        <v>0.69</v>
      </c>
      <c r="M4740">
        <v>105</v>
      </c>
      <c r="N4740">
        <v>1284.01448</v>
      </c>
      <c r="O4740" s="1" t="s">
        <v>40</v>
      </c>
      <c r="P4740" s="1" t="s">
        <v>9852</v>
      </c>
      <c r="Q4740" s="1" t="s">
        <v>9853</v>
      </c>
      <c r="R4740" s="1" t="s">
        <v>43</v>
      </c>
      <c r="S4740" s="1" t="s">
        <v>9854</v>
      </c>
      <c r="T4740" s="1" t="s">
        <v>9855</v>
      </c>
      <c r="U4740" s="2" t="s">
        <v>5090</v>
      </c>
      <c r="V4740" s="2" t="s">
        <v>83</v>
      </c>
      <c r="W4740" s="2" t="s">
        <v>84</v>
      </c>
      <c r="X4740" s="2">
        <v>633.42999999999995</v>
      </c>
    </row>
    <row r="4741" spans="1:24" x14ac:dyDescent="0.3">
      <c r="A4741">
        <v>22582</v>
      </c>
      <c r="B4741" t="s">
        <v>10560</v>
      </c>
      <c r="C4741" s="3">
        <v>40782</v>
      </c>
      <c r="D4741" t="s">
        <v>148</v>
      </c>
      <c r="E4741">
        <v>8</v>
      </c>
      <c r="F4741" s="3">
        <f ca="1">40783+(RANDBETWEEN(1,10))</f>
        <v>40784</v>
      </c>
      <c r="G4741" t="s">
        <v>156</v>
      </c>
      <c r="H4741" t="s">
        <v>27</v>
      </c>
      <c r="I4741" t="s">
        <v>28</v>
      </c>
      <c r="J4741">
        <v>1534.155</v>
      </c>
      <c r="K4741">
        <v>0.02</v>
      </c>
      <c r="L4741">
        <v>0.62</v>
      </c>
      <c r="M4741">
        <v>19.25</v>
      </c>
      <c r="N4741">
        <v>356.90199999999999</v>
      </c>
      <c r="O4741" s="1" t="s">
        <v>40</v>
      </c>
      <c r="P4741" s="1" t="s">
        <v>9852</v>
      </c>
      <c r="Q4741" s="1" t="s">
        <v>9853</v>
      </c>
      <c r="R4741" s="1" t="s">
        <v>43</v>
      </c>
      <c r="S4741" s="1" t="s">
        <v>9854</v>
      </c>
      <c r="T4741" s="1" t="s">
        <v>9855</v>
      </c>
      <c r="U4741" s="2" t="s">
        <v>2236</v>
      </c>
      <c r="V4741" s="2" t="s">
        <v>36</v>
      </c>
      <c r="W4741" s="2" t="s">
        <v>60</v>
      </c>
      <c r="X4741" s="2">
        <v>188.93</v>
      </c>
    </row>
    <row r="4742" spans="1:24" x14ac:dyDescent="0.3">
      <c r="A4742">
        <v>22583</v>
      </c>
      <c r="B4742" t="s">
        <v>10560</v>
      </c>
      <c r="C4742" s="3">
        <v>40782</v>
      </c>
      <c r="D4742" t="s">
        <v>148</v>
      </c>
      <c r="E4742">
        <v>7</v>
      </c>
      <c r="F4742" s="3">
        <f ca="1">40782+(RANDBETWEEN(1,10))</f>
        <v>40792</v>
      </c>
      <c r="G4742" t="s">
        <v>26</v>
      </c>
      <c r="H4742" t="s">
        <v>27</v>
      </c>
      <c r="I4742" t="s">
        <v>28</v>
      </c>
      <c r="J4742">
        <v>133.38499999999999</v>
      </c>
      <c r="K4742">
        <v>0.05</v>
      </c>
      <c r="L4742">
        <v>0.38</v>
      </c>
      <c r="M4742">
        <v>17.57</v>
      </c>
      <c r="N4742">
        <v>-58.221800000000002</v>
      </c>
      <c r="O4742" s="1" t="s">
        <v>40</v>
      </c>
      <c r="P4742" s="1" t="s">
        <v>9852</v>
      </c>
      <c r="Q4742" s="1" t="s">
        <v>9853</v>
      </c>
      <c r="R4742" s="1" t="s">
        <v>43</v>
      </c>
      <c r="S4742" s="1" t="s">
        <v>9854</v>
      </c>
      <c r="T4742" s="1" t="s">
        <v>9855</v>
      </c>
      <c r="U4742" s="2" t="s">
        <v>10244</v>
      </c>
      <c r="V4742" s="2" t="s">
        <v>47</v>
      </c>
      <c r="W4742" s="2" t="s">
        <v>74</v>
      </c>
      <c r="X4742" s="2">
        <v>17.43</v>
      </c>
    </row>
    <row r="4743" spans="1:24" x14ac:dyDescent="0.3">
      <c r="A4743">
        <v>22584</v>
      </c>
      <c r="B4743" t="s">
        <v>10562</v>
      </c>
      <c r="C4743" s="3">
        <v>41624</v>
      </c>
      <c r="D4743" t="s">
        <v>25</v>
      </c>
      <c r="E4743">
        <v>16</v>
      </c>
      <c r="F4743" s="3">
        <f ca="1">41631+(RANDBETWEEN(1,10))</f>
        <v>41638</v>
      </c>
      <c r="G4743" t="s">
        <v>156</v>
      </c>
      <c r="H4743" t="s">
        <v>51</v>
      </c>
      <c r="I4743" t="s">
        <v>52</v>
      </c>
      <c r="J4743">
        <v>2456.3000000000002</v>
      </c>
      <c r="K4743">
        <v>0.01</v>
      </c>
      <c r="L4743">
        <v>0.57999999999999996</v>
      </c>
      <c r="M4743">
        <v>31.465</v>
      </c>
      <c r="N4743">
        <v>1062.2325000000001</v>
      </c>
      <c r="O4743" s="1" t="s">
        <v>87</v>
      </c>
      <c r="P4743" s="1" t="s">
        <v>10563</v>
      </c>
      <c r="Q4743" s="1" t="s">
        <v>10564</v>
      </c>
      <c r="R4743" s="1" t="s">
        <v>90</v>
      </c>
      <c r="S4743" s="1" t="s">
        <v>10565</v>
      </c>
      <c r="T4743" s="1" t="s">
        <v>10566</v>
      </c>
      <c r="U4743" s="2" t="s">
        <v>565</v>
      </c>
      <c r="V4743" s="2" t="s">
        <v>47</v>
      </c>
      <c r="W4743" s="2" t="s">
        <v>104</v>
      </c>
      <c r="X4743" s="2">
        <v>153.93</v>
      </c>
    </row>
    <row r="4744" spans="1:24" x14ac:dyDescent="0.3">
      <c r="A4744">
        <v>22585</v>
      </c>
      <c r="B4744" t="s">
        <v>10562</v>
      </c>
      <c r="C4744" s="3">
        <v>41624</v>
      </c>
      <c r="D4744" t="s">
        <v>25</v>
      </c>
      <c r="E4744">
        <v>19</v>
      </c>
      <c r="F4744" s="3">
        <f ca="1">41626+(RANDBETWEEN(1,10))</f>
        <v>41631</v>
      </c>
      <c r="G4744" t="s">
        <v>26</v>
      </c>
      <c r="H4744" t="s">
        <v>63</v>
      </c>
      <c r="I4744" t="s">
        <v>52</v>
      </c>
      <c r="J4744">
        <v>9149.35</v>
      </c>
      <c r="K4744">
        <v>0</v>
      </c>
      <c r="L4744">
        <v>0.84</v>
      </c>
      <c r="M4744">
        <v>122.5</v>
      </c>
      <c r="N4744">
        <v>-1210.1600000000001</v>
      </c>
      <c r="O4744" s="1" t="s">
        <v>87</v>
      </c>
      <c r="P4744" s="1" t="s">
        <v>10563</v>
      </c>
      <c r="Q4744" s="1" t="s">
        <v>10564</v>
      </c>
      <c r="R4744" s="1" t="s">
        <v>90</v>
      </c>
      <c r="S4744" s="1" t="s">
        <v>10565</v>
      </c>
      <c r="T4744" s="1" t="s">
        <v>10566</v>
      </c>
      <c r="U4744" s="2" t="s">
        <v>10567</v>
      </c>
      <c r="V4744" s="2" t="s">
        <v>47</v>
      </c>
      <c r="W4744" s="2" t="s">
        <v>119</v>
      </c>
      <c r="X4744" s="2">
        <v>473.58499999999998</v>
      </c>
    </row>
    <row r="4745" spans="1:24" x14ac:dyDescent="0.3">
      <c r="A4745">
        <v>22586</v>
      </c>
      <c r="B4745" t="s">
        <v>10562</v>
      </c>
      <c r="C4745" s="3">
        <v>41624</v>
      </c>
      <c r="D4745" t="s">
        <v>25</v>
      </c>
      <c r="E4745">
        <v>21</v>
      </c>
      <c r="F4745" s="3">
        <f ca="1">41626+(RANDBETWEEN(1,10))</f>
        <v>41630</v>
      </c>
      <c r="G4745" t="s">
        <v>156</v>
      </c>
      <c r="H4745" t="s">
        <v>27</v>
      </c>
      <c r="I4745" t="s">
        <v>52</v>
      </c>
      <c r="J4745">
        <v>12862.395</v>
      </c>
      <c r="K4745">
        <v>0.02</v>
      </c>
      <c r="L4745">
        <v>0.57999999999999996</v>
      </c>
      <c r="M4745">
        <v>13.965</v>
      </c>
      <c r="N4745">
        <v>8875.0525500000003</v>
      </c>
      <c r="O4745" s="1" t="s">
        <v>87</v>
      </c>
      <c r="P4745" s="1" t="s">
        <v>10563</v>
      </c>
      <c r="Q4745" s="1" t="s">
        <v>10564</v>
      </c>
      <c r="R4745" s="1" t="s">
        <v>90</v>
      </c>
      <c r="S4745" s="1" t="s">
        <v>10565</v>
      </c>
      <c r="T4745" s="1" t="s">
        <v>10566</v>
      </c>
      <c r="U4745" s="2" t="s">
        <v>761</v>
      </c>
      <c r="V4745" s="2" t="s">
        <v>36</v>
      </c>
      <c r="W4745" s="2" t="s">
        <v>37</v>
      </c>
      <c r="X4745" s="2">
        <v>685.96500000000003</v>
      </c>
    </row>
    <row r="4746" spans="1:24" x14ac:dyDescent="0.3">
      <c r="A4746">
        <v>22587</v>
      </c>
      <c r="B4746" t="s">
        <v>10568</v>
      </c>
      <c r="C4746" s="3">
        <v>41897</v>
      </c>
      <c r="D4746" t="s">
        <v>39</v>
      </c>
      <c r="E4746">
        <v>9</v>
      </c>
      <c r="F4746" s="3">
        <f ca="1">41899+(RANDBETWEEN(1,10))</f>
        <v>41901</v>
      </c>
      <c r="G4746" t="s">
        <v>26</v>
      </c>
      <c r="H4746" t="s">
        <v>27</v>
      </c>
      <c r="I4746" t="s">
        <v>86</v>
      </c>
      <c r="J4746">
        <v>221.72499999999999</v>
      </c>
      <c r="K4746">
        <v>0.04</v>
      </c>
      <c r="L4746">
        <v>0.37</v>
      </c>
      <c r="M4746">
        <v>19.18</v>
      </c>
      <c r="N4746">
        <v>-114.49675999999999</v>
      </c>
      <c r="O4746" s="1" t="s">
        <v>40</v>
      </c>
      <c r="P4746" s="1" t="s">
        <v>10569</v>
      </c>
      <c r="Q4746" s="1" t="s">
        <v>10570</v>
      </c>
      <c r="R4746" s="1" t="s">
        <v>43</v>
      </c>
      <c r="S4746" s="1" t="s">
        <v>10571</v>
      </c>
      <c r="T4746" s="1" t="s">
        <v>10572</v>
      </c>
      <c r="U4746" s="2" t="s">
        <v>5054</v>
      </c>
      <c r="V4746" s="2" t="s">
        <v>47</v>
      </c>
      <c r="W4746" s="2" t="s">
        <v>111</v>
      </c>
      <c r="X4746" s="2">
        <v>23.835000000000001</v>
      </c>
    </row>
    <row r="4747" spans="1:24" x14ac:dyDescent="0.3">
      <c r="A4747">
        <v>22588</v>
      </c>
      <c r="B4747" t="s">
        <v>10568</v>
      </c>
      <c r="C4747" s="3">
        <v>41897</v>
      </c>
      <c r="D4747" t="s">
        <v>39</v>
      </c>
      <c r="E4747">
        <v>6</v>
      </c>
      <c r="F4747" s="3">
        <f ca="1">41899+(RANDBETWEEN(1,10))</f>
        <v>41906</v>
      </c>
      <c r="G4747" t="s">
        <v>156</v>
      </c>
      <c r="H4747" t="s">
        <v>27</v>
      </c>
      <c r="I4747" t="s">
        <v>86</v>
      </c>
      <c r="J4747">
        <v>283.70999999999998</v>
      </c>
      <c r="K4747">
        <v>0.04</v>
      </c>
      <c r="L4747">
        <v>0.38</v>
      </c>
      <c r="M4747">
        <v>22.645</v>
      </c>
      <c r="N4747">
        <v>14.7798</v>
      </c>
      <c r="O4747" s="1" t="s">
        <v>87</v>
      </c>
      <c r="P4747" s="1" t="s">
        <v>10573</v>
      </c>
      <c r="Q4747" s="1" t="s">
        <v>10574</v>
      </c>
      <c r="R4747" s="1" t="s">
        <v>398</v>
      </c>
      <c r="S4747" s="1" t="s">
        <v>10575</v>
      </c>
      <c r="T4747" s="1" t="s">
        <v>10576</v>
      </c>
      <c r="U4747" s="2" t="s">
        <v>2420</v>
      </c>
      <c r="V4747" s="2" t="s">
        <v>47</v>
      </c>
      <c r="W4747" s="2" t="s">
        <v>74</v>
      </c>
      <c r="X4747" s="2">
        <v>42.98</v>
      </c>
    </row>
    <row r="4748" spans="1:24" x14ac:dyDescent="0.3">
      <c r="A4748">
        <v>22589</v>
      </c>
      <c r="B4748" t="s">
        <v>10577</v>
      </c>
      <c r="C4748" s="3">
        <v>40989</v>
      </c>
      <c r="D4748" t="s">
        <v>39</v>
      </c>
      <c r="E4748">
        <v>5</v>
      </c>
      <c r="F4748" s="3">
        <f ca="1">40990+(RANDBETWEEN(1,10))</f>
        <v>41000</v>
      </c>
      <c r="G4748" t="s">
        <v>26</v>
      </c>
      <c r="H4748" t="s">
        <v>27</v>
      </c>
      <c r="I4748" t="s">
        <v>97</v>
      </c>
      <c r="J4748">
        <v>162.88999999999999</v>
      </c>
      <c r="K4748">
        <v>0.05</v>
      </c>
      <c r="L4748">
        <v>0.36</v>
      </c>
      <c r="M4748">
        <v>19.600000000000001</v>
      </c>
      <c r="N4748">
        <v>-33.488</v>
      </c>
      <c r="O4748" s="1" t="s">
        <v>64</v>
      </c>
      <c r="P4748" s="1" t="s">
        <v>10578</v>
      </c>
      <c r="Q4748" s="1" t="s">
        <v>10579</v>
      </c>
      <c r="R4748" s="1" t="s">
        <v>67</v>
      </c>
      <c r="S4748" s="1" t="s">
        <v>10580</v>
      </c>
      <c r="T4748" s="1" t="s">
        <v>10581</v>
      </c>
      <c r="U4748" s="2" t="s">
        <v>3792</v>
      </c>
      <c r="V4748" s="2" t="s">
        <v>47</v>
      </c>
      <c r="W4748" s="2" t="s">
        <v>111</v>
      </c>
      <c r="X4748" s="2">
        <v>30.975000000000001</v>
      </c>
    </row>
    <row r="4749" spans="1:24" x14ac:dyDescent="0.3">
      <c r="A4749">
        <v>22590</v>
      </c>
      <c r="B4749" t="s">
        <v>10582</v>
      </c>
      <c r="C4749" s="3">
        <v>41727</v>
      </c>
      <c r="D4749" t="s">
        <v>148</v>
      </c>
      <c r="E4749">
        <v>13</v>
      </c>
      <c r="F4749" s="3">
        <f ca="1">41729+(RANDBETWEEN(1,10))</f>
        <v>41738</v>
      </c>
      <c r="G4749" t="s">
        <v>26</v>
      </c>
      <c r="H4749" t="s">
        <v>51</v>
      </c>
      <c r="I4749" t="s">
        <v>28</v>
      </c>
      <c r="J4749">
        <v>1371.51</v>
      </c>
      <c r="K4749">
        <v>0.02</v>
      </c>
      <c r="L4749">
        <v>0.4</v>
      </c>
      <c r="M4749">
        <v>6.9649999999999999</v>
      </c>
      <c r="N4749">
        <v>946.34190000000001</v>
      </c>
      <c r="O4749" s="1" t="s">
        <v>87</v>
      </c>
      <c r="P4749" s="1" t="s">
        <v>8583</v>
      </c>
      <c r="Q4749" s="1" t="s">
        <v>8584</v>
      </c>
      <c r="R4749" s="1" t="s">
        <v>646</v>
      </c>
      <c r="S4749" s="1" t="s">
        <v>8585</v>
      </c>
      <c r="T4749" s="1" t="s">
        <v>8586</v>
      </c>
      <c r="U4749" s="2" t="s">
        <v>1109</v>
      </c>
      <c r="V4749" s="2" t="s">
        <v>36</v>
      </c>
      <c r="W4749" s="2" t="s">
        <v>60</v>
      </c>
      <c r="X4749" s="2">
        <v>99.68</v>
      </c>
    </row>
    <row r="4750" spans="1:24" x14ac:dyDescent="0.3">
      <c r="A4750">
        <v>22591</v>
      </c>
      <c r="B4750" t="s">
        <v>10583</v>
      </c>
      <c r="C4750" s="3">
        <v>41596</v>
      </c>
      <c r="D4750" t="s">
        <v>39</v>
      </c>
      <c r="E4750">
        <v>27</v>
      </c>
      <c r="F4750" s="3">
        <f ca="1">41598+(RANDBETWEEN(1,10))</f>
        <v>41601</v>
      </c>
      <c r="G4750" t="s">
        <v>26</v>
      </c>
      <c r="H4750" t="s">
        <v>27</v>
      </c>
      <c r="I4750" t="s">
        <v>52</v>
      </c>
      <c r="J4750">
        <v>1983.7650000000001</v>
      </c>
      <c r="K4750">
        <v>7.0000000000000007E-2</v>
      </c>
      <c r="L4750">
        <v>0.77</v>
      </c>
      <c r="M4750">
        <v>14</v>
      </c>
      <c r="N4750">
        <v>1048.4733000000001</v>
      </c>
      <c r="O4750" s="1" t="s">
        <v>29</v>
      </c>
      <c r="P4750" s="1" t="s">
        <v>10584</v>
      </c>
      <c r="Q4750" s="1" t="s">
        <v>10585</v>
      </c>
      <c r="R4750" s="1" t="s">
        <v>32</v>
      </c>
      <c r="S4750" s="1" t="s">
        <v>10586</v>
      </c>
      <c r="T4750" s="1" t="s">
        <v>10587</v>
      </c>
      <c r="U4750" s="2" t="s">
        <v>1138</v>
      </c>
      <c r="V4750" s="2" t="s">
        <v>36</v>
      </c>
      <c r="W4750" s="2" t="s">
        <v>60</v>
      </c>
      <c r="X4750" s="2">
        <v>73.394999999999996</v>
      </c>
    </row>
    <row r="4751" spans="1:24" x14ac:dyDescent="0.3">
      <c r="A4751">
        <v>22592</v>
      </c>
      <c r="B4751" t="s">
        <v>10583</v>
      </c>
      <c r="C4751" s="3">
        <v>41596</v>
      </c>
      <c r="D4751" t="s">
        <v>39</v>
      </c>
      <c r="E4751">
        <v>23</v>
      </c>
      <c r="F4751" s="3">
        <f ca="1">41598+(RANDBETWEEN(1,10))</f>
        <v>41600</v>
      </c>
      <c r="G4751" t="s">
        <v>76</v>
      </c>
      <c r="H4751" t="s">
        <v>258</v>
      </c>
      <c r="I4751" t="s">
        <v>52</v>
      </c>
      <c r="J4751">
        <v>28446.424999999999</v>
      </c>
      <c r="K4751">
        <v>0.06</v>
      </c>
      <c r="L4751">
        <v>0.66</v>
      </c>
      <c r="M4751">
        <v>296.94</v>
      </c>
      <c r="N4751">
        <v>-50.095149999999997</v>
      </c>
      <c r="O4751" s="1" t="s">
        <v>29</v>
      </c>
      <c r="P4751" s="1" t="s">
        <v>10584</v>
      </c>
      <c r="Q4751" s="1" t="s">
        <v>10585</v>
      </c>
      <c r="R4751" s="1" t="s">
        <v>32</v>
      </c>
      <c r="S4751" s="1" t="s">
        <v>10586</v>
      </c>
      <c r="T4751" s="1" t="s">
        <v>10587</v>
      </c>
      <c r="U4751" s="2" t="s">
        <v>3482</v>
      </c>
      <c r="V4751" s="2" t="s">
        <v>83</v>
      </c>
      <c r="W4751" s="2" t="s">
        <v>263</v>
      </c>
      <c r="X4751" s="2">
        <v>1218.7349999999999</v>
      </c>
    </row>
    <row r="4752" spans="1:24" x14ac:dyDescent="0.3">
      <c r="A4752">
        <v>22593</v>
      </c>
      <c r="B4752" t="s">
        <v>10588</v>
      </c>
      <c r="C4752" s="3">
        <v>40850</v>
      </c>
      <c r="D4752" t="s">
        <v>39</v>
      </c>
      <c r="E4752">
        <v>17</v>
      </c>
      <c r="F4752" s="3">
        <f ca="1">40851+(RANDBETWEEN(1,10))</f>
        <v>40856</v>
      </c>
      <c r="G4752" t="s">
        <v>76</v>
      </c>
      <c r="H4752" t="s">
        <v>77</v>
      </c>
      <c r="I4752" t="s">
        <v>28</v>
      </c>
      <c r="J4752">
        <v>20423.935000000001</v>
      </c>
      <c r="K4752">
        <v>0.09</v>
      </c>
      <c r="L4752" t="s">
        <v>182</v>
      </c>
      <c r="M4752">
        <v>210</v>
      </c>
      <c r="N4752">
        <v>-317.61799999999999</v>
      </c>
      <c r="O4752" s="1" t="s">
        <v>29</v>
      </c>
      <c r="P4752" s="1" t="s">
        <v>3544</v>
      </c>
      <c r="Q4752" s="1" t="s">
        <v>3545</v>
      </c>
      <c r="R4752" s="1" t="s">
        <v>460</v>
      </c>
      <c r="S4752" s="1" t="s">
        <v>3546</v>
      </c>
      <c r="T4752" s="1" t="s">
        <v>3547</v>
      </c>
      <c r="U4752" s="2" t="s">
        <v>3108</v>
      </c>
      <c r="V4752" s="2" t="s">
        <v>83</v>
      </c>
      <c r="W4752" s="2" t="s">
        <v>263</v>
      </c>
      <c r="X4752" s="2">
        <v>1223.075</v>
      </c>
    </row>
    <row r="4753" spans="1:24" x14ac:dyDescent="0.3">
      <c r="A4753">
        <v>22594</v>
      </c>
      <c r="B4753" t="s">
        <v>10589</v>
      </c>
      <c r="C4753" s="3">
        <v>41671</v>
      </c>
      <c r="D4753" t="s">
        <v>62</v>
      </c>
      <c r="E4753">
        <v>9</v>
      </c>
      <c r="F4753" s="3">
        <f ca="1">41674+(RANDBETWEEN(1,10))</f>
        <v>41683</v>
      </c>
      <c r="G4753" t="s">
        <v>26</v>
      </c>
      <c r="H4753" t="s">
        <v>51</v>
      </c>
      <c r="I4753" t="s">
        <v>28</v>
      </c>
      <c r="J4753">
        <v>1445.115</v>
      </c>
      <c r="K4753">
        <v>0.06</v>
      </c>
      <c r="L4753">
        <v>0.55000000000000004</v>
      </c>
      <c r="M4753">
        <v>6.9649999999999999</v>
      </c>
      <c r="N4753">
        <v>997.12935000000004</v>
      </c>
      <c r="O4753" s="1" t="s">
        <v>87</v>
      </c>
      <c r="P4753" s="1" t="s">
        <v>10590</v>
      </c>
      <c r="Q4753" s="1" t="s">
        <v>10591</v>
      </c>
      <c r="R4753" s="1" t="s">
        <v>90</v>
      </c>
      <c r="S4753" s="1" t="s">
        <v>10592</v>
      </c>
      <c r="T4753" s="1" t="s">
        <v>10593</v>
      </c>
      <c r="U4753" s="2" t="s">
        <v>2560</v>
      </c>
      <c r="V4753" s="2" t="s">
        <v>36</v>
      </c>
      <c r="W4753" s="2" t="s">
        <v>60</v>
      </c>
      <c r="X4753" s="2">
        <v>158.16499999999999</v>
      </c>
    </row>
    <row r="4754" spans="1:24" x14ac:dyDescent="0.3">
      <c r="A4754">
        <v>22595</v>
      </c>
      <c r="B4754" t="s">
        <v>10594</v>
      </c>
      <c r="C4754" s="3">
        <v>40728</v>
      </c>
      <c r="D4754" t="s">
        <v>62</v>
      </c>
      <c r="E4754">
        <v>2</v>
      </c>
      <c r="F4754" s="3">
        <f ca="1">40730+(RANDBETWEEN(1,10))</f>
        <v>40734</v>
      </c>
      <c r="G4754" t="s">
        <v>76</v>
      </c>
      <c r="H4754" t="s">
        <v>258</v>
      </c>
      <c r="I4754" t="s">
        <v>97</v>
      </c>
      <c r="J4754">
        <v>2824.5</v>
      </c>
      <c r="K4754">
        <v>0.03</v>
      </c>
      <c r="L4754">
        <v>0.56000000000000005</v>
      </c>
      <c r="M4754">
        <v>42.21</v>
      </c>
      <c r="N4754">
        <v>-2322.2997</v>
      </c>
      <c r="O4754" s="1" t="s">
        <v>225</v>
      </c>
      <c r="P4754" s="1" t="s">
        <v>10595</v>
      </c>
      <c r="Q4754" s="1" t="s">
        <v>10596</v>
      </c>
      <c r="R4754" s="1" t="s">
        <v>228</v>
      </c>
      <c r="S4754" s="1" t="s">
        <v>10597</v>
      </c>
      <c r="T4754" s="1" t="s">
        <v>10598</v>
      </c>
      <c r="U4754" s="2" t="s">
        <v>1633</v>
      </c>
      <c r="V4754" s="2" t="s">
        <v>36</v>
      </c>
      <c r="W4754" s="2" t="s">
        <v>142</v>
      </c>
      <c r="X4754" s="2">
        <v>1399.93</v>
      </c>
    </row>
    <row r="4755" spans="1:24" x14ac:dyDescent="0.3">
      <c r="A4755">
        <v>22596</v>
      </c>
      <c r="B4755" t="s">
        <v>10599</v>
      </c>
      <c r="C4755" s="3">
        <v>40863</v>
      </c>
      <c r="D4755" t="s">
        <v>39</v>
      </c>
      <c r="E4755">
        <v>37</v>
      </c>
      <c r="F4755" s="3">
        <f ca="1">40864+(RANDBETWEEN(1,10))</f>
        <v>40868</v>
      </c>
      <c r="G4755" t="s">
        <v>26</v>
      </c>
      <c r="H4755" t="s">
        <v>281</v>
      </c>
      <c r="I4755" t="s">
        <v>28</v>
      </c>
      <c r="J4755">
        <v>1627.29</v>
      </c>
      <c r="K4755">
        <v>0.04</v>
      </c>
      <c r="L4755">
        <v>0.56999999999999995</v>
      </c>
      <c r="M4755">
        <v>21.945</v>
      </c>
      <c r="N4755">
        <v>-904.98099999999999</v>
      </c>
      <c r="O4755" s="1" t="s">
        <v>29</v>
      </c>
      <c r="P4755" s="1" t="s">
        <v>7587</v>
      </c>
      <c r="Q4755" s="1" t="s">
        <v>7588</v>
      </c>
      <c r="R4755" s="1" t="s">
        <v>675</v>
      </c>
      <c r="S4755" s="1" t="s">
        <v>7589</v>
      </c>
      <c r="T4755" s="1" t="s">
        <v>7590</v>
      </c>
      <c r="U4755" s="2" t="s">
        <v>517</v>
      </c>
      <c r="V4755" s="2" t="s">
        <v>47</v>
      </c>
      <c r="W4755" s="2" t="s">
        <v>119</v>
      </c>
      <c r="X4755" s="2">
        <v>43.54</v>
      </c>
    </row>
    <row r="4756" spans="1:24" x14ac:dyDescent="0.3">
      <c r="A4756">
        <v>22597</v>
      </c>
      <c r="B4756" t="s">
        <v>10600</v>
      </c>
      <c r="C4756" s="3">
        <v>40844</v>
      </c>
      <c r="D4756" t="s">
        <v>39</v>
      </c>
      <c r="E4756">
        <v>6</v>
      </c>
      <c r="F4756" s="3">
        <f ca="1">40846+(RANDBETWEEN(1,10))</f>
        <v>40856</v>
      </c>
      <c r="G4756" t="s">
        <v>26</v>
      </c>
      <c r="H4756" t="s">
        <v>27</v>
      </c>
      <c r="I4756" t="s">
        <v>97</v>
      </c>
      <c r="J4756">
        <v>550.65499999999997</v>
      </c>
      <c r="K4756">
        <v>0.09</v>
      </c>
      <c r="L4756">
        <v>0.38</v>
      </c>
      <c r="M4756">
        <v>5.2149999999999999</v>
      </c>
      <c r="N4756">
        <v>376.09116999999998</v>
      </c>
      <c r="O4756" s="1" t="s">
        <v>225</v>
      </c>
      <c r="P4756" s="1" t="s">
        <v>10105</v>
      </c>
      <c r="Q4756" s="1" t="s">
        <v>10106</v>
      </c>
      <c r="R4756" s="1" t="s">
        <v>228</v>
      </c>
      <c r="S4756" s="1" t="s">
        <v>10107</v>
      </c>
      <c r="T4756" s="1" t="s">
        <v>10108</v>
      </c>
      <c r="U4756" s="2" t="s">
        <v>301</v>
      </c>
      <c r="V4756" s="2" t="s">
        <v>47</v>
      </c>
      <c r="W4756" s="2" t="s">
        <v>111</v>
      </c>
      <c r="X4756" s="2">
        <v>99.855000000000004</v>
      </c>
    </row>
    <row r="4757" spans="1:24" x14ac:dyDescent="0.3">
      <c r="A4757">
        <v>22598</v>
      </c>
      <c r="B4757" t="s">
        <v>10601</v>
      </c>
      <c r="C4757" s="3">
        <v>40589</v>
      </c>
      <c r="D4757" t="s">
        <v>25</v>
      </c>
      <c r="E4757">
        <v>3</v>
      </c>
      <c r="F4757" s="3">
        <f ca="1">40596+(RANDBETWEEN(1,10))</f>
        <v>40597</v>
      </c>
      <c r="G4757" t="s">
        <v>26</v>
      </c>
      <c r="H4757" t="s">
        <v>27</v>
      </c>
      <c r="I4757" t="s">
        <v>28</v>
      </c>
      <c r="J4757">
        <v>110.04</v>
      </c>
      <c r="K4757">
        <v>7.0000000000000007E-2</v>
      </c>
      <c r="L4757">
        <v>0.6</v>
      </c>
      <c r="M4757">
        <v>33.075000000000003</v>
      </c>
      <c r="N4757">
        <v>-286.19499999999999</v>
      </c>
      <c r="O4757" s="1" t="s">
        <v>87</v>
      </c>
      <c r="P4757" s="1" t="s">
        <v>846</v>
      </c>
      <c r="Q4757" s="1" t="s">
        <v>847</v>
      </c>
      <c r="R4757" s="1" t="s">
        <v>90</v>
      </c>
      <c r="S4757" s="1" t="s">
        <v>848</v>
      </c>
      <c r="T4757" s="1" t="s">
        <v>849</v>
      </c>
      <c r="U4757" s="2" t="s">
        <v>483</v>
      </c>
      <c r="V4757" s="2" t="s">
        <v>47</v>
      </c>
      <c r="W4757" s="2" t="s">
        <v>119</v>
      </c>
      <c r="X4757" s="2">
        <v>33.984999999999999</v>
      </c>
    </row>
    <row r="4758" spans="1:24" x14ac:dyDescent="0.3">
      <c r="A4758">
        <v>22599</v>
      </c>
      <c r="B4758" t="s">
        <v>10602</v>
      </c>
      <c r="C4758" s="3">
        <v>41036</v>
      </c>
      <c r="D4758" t="s">
        <v>62</v>
      </c>
      <c r="E4758">
        <v>7</v>
      </c>
      <c r="F4758" s="3">
        <f ca="1">41038+(RANDBETWEEN(1,10))</f>
        <v>41046</v>
      </c>
      <c r="G4758" t="s">
        <v>26</v>
      </c>
      <c r="H4758" t="s">
        <v>27</v>
      </c>
      <c r="I4758" t="s">
        <v>28</v>
      </c>
      <c r="J4758">
        <v>4575.8999999999996</v>
      </c>
      <c r="K4758">
        <v>0.01</v>
      </c>
      <c r="L4758">
        <v>0.56000000000000005</v>
      </c>
      <c r="M4758">
        <v>3.4649999999999999</v>
      </c>
      <c r="N4758">
        <v>3157.3710000000001</v>
      </c>
      <c r="O4758" s="1" t="s">
        <v>87</v>
      </c>
      <c r="P4758" s="1" t="s">
        <v>9942</v>
      </c>
      <c r="Q4758" s="1" t="s">
        <v>9943</v>
      </c>
      <c r="R4758" s="1" t="s">
        <v>497</v>
      </c>
      <c r="S4758" s="1" t="s">
        <v>9944</v>
      </c>
      <c r="T4758" s="1" t="s">
        <v>9945</v>
      </c>
      <c r="U4758" s="2" t="s">
        <v>10603</v>
      </c>
      <c r="V4758" s="2" t="s">
        <v>47</v>
      </c>
      <c r="W4758" s="2" t="s">
        <v>71</v>
      </c>
      <c r="X4758" s="2">
        <v>622.92999999999995</v>
      </c>
    </row>
    <row r="4759" spans="1:24" x14ac:dyDescent="0.3">
      <c r="A4759">
        <v>22600</v>
      </c>
      <c r="B4759" t="s">
        <v>10604</v>
      </c>
      <c r="C4759" s="3">
        <v>40564</v>
      </c>
      <c r="D4759" t="s">
        <v>50</v>
      </c>
      <c r="E4759">
        <v>8</v>
      </c>
      <c r="F4759" s="3">
        <f ca="1">40565+(RANDBETWEEN(1,10))</f>
        <v>40568</v>
      </c>
      <c r="G4759" t="s">
        <v>76</v>
      </c>
      <c r="H4759" t="s">
        <v>77</v>
      </c>
      <c r="I4759" t="s">
        <v>97</v>
      </c>
      <c r="J4759">
        <v>9618.7350000000006</v>
      </c>
      <c r="K4759">
        <v>0.04</v>
      </c>
      <c r="L4759">
        <v>0.64</v>
      </c>
      <c r="M4759">
        <v>206.22</v>
      </c>
      <c r="N4759">
        <v>3090.2550000000001</v>
      </c>
      <c r="O4759" s="1" t="s">
        <v>87</v>
      </c>
      <c r="P4759" s="1" t="s">
        <v>7176</v>
      </c>
      <c r="Q4759" s="1" t="s">
        <v>7177</v>
      </c>
      <c r="R4759" s="1" t="s">
        <v>646</v>
      </c>
      <c r="S4759" s="1" t="s">
        <v>7178</v>
      </c>
      <c r="T4759" s="1" t="s">
        <v>7179</v>
      </c>
      <c r="U4759" s="2" t="s">
        <v>207</v>
      </c>
      <c r="V4759" s="2" t="s">
        <v>83</v>
      </c>
      <c r="W4759" s="2" t="s">
        <v>84</v>
      </c>
      <c r="X4759" s="2">
        <v>1245.93</v>
      </c>
    </row>
    <row r="4760" spans="1:24" x14ac:dyDescent="0.3">
      <c r="A4760">
        <v>22601</v>
      </c>
      <c r="B4760" t="s">
        <v>10604</v>
      </c>
      <c r="C4760" s="3">
        <v>40564</v>
      </c>
      <c r="D4760" t="s">
        <v>50</v>
      </c>
      <c r="E4760">
        <v>5</v>
      </c>
      <c r="F4760" s="3">
        <f ca="1">40565+(RANDBETWEEN(1,10))</f>
        <v>40568</v>
      </c>
      <c r="G4760" t="s">
        <v>26</v>
      </c>
      <c r="H4760" t="s">
        <v>27</v>
      </c>
      <c r="I4760" t="s">
        <v>97</v>
      </c>
      <c r="J4760">
        <v>326.16500000000002</v>
      </c>
      <c r="K4760">
        <v>0.09</v>
      </c>
      <c r="L4760">
        <v>0.37</v>
      </c>
      <c r="M4760">
        <v>30.38</v>
      </c>
      <c r="N4760">
        <v>23.381399999999999</v>
      </c>
      <c r="O4760" s="1" t="s">
        <v>87</v>
      </c>
      <c r="P4760" s="1" t="s">
        <v>7176</v>
      </c>
      <c r="Q4760" s="1" t="s">
        <v>7177</v>
      </c>
      <c r="R4760" s="1" t="s">
        <v>646</v>
      </c>
      <c r="S4760" s="1" t="s">
        <v>7178</v>
      </c>
      <c r="T4760" s="1" t="s">
        <v>7179</v>
      </c>
      <c r="U4760" s="2" t="s">
        <v>3983</v>
      </c>
      <c r="V4760" s="2" t="s">
        <v>47</v>
      </c>
      <c r="W4760" s="2" t="s">
        <v>74</v>
      </c>
      <c r="X4760" s="2">
        <v>69.930000000000007</v>
      </c>
    </row>
    <row r="4761" spans="1:24" x14ac:dyDescent="0.3">
      <c r="A4761">
        <v>22602</v>
      </c>
      <c r="B4761" t="s">
        <v>10605</v>
      </c>
      <c r="C4761" s="3">
        <v>41660</v>
      </c>
      <c r="D4761" t="s">
        <v>50</v>
      </c>
      <c r="E4761">
        <v>11</v>
      </c>
      <c r="F4761" s="3">
        <f ca="1">41662+(RANDBETWEEN(1,10))</f>
        <v>41666</v>
      </c>
      <c r="G4761" t="s">
        <v>26</v>
      </c>
      <c r="H4761" t="s">
        <v>27</v>
      </c>
      <c r="I4761" t="s">
        <v>97</v>
      </c>
      <c r="J4761">
        <v>723.73</v>
      </c>
      <c r="K4761">
        <v>7.0000000000000007E-2</v>
      </c>
      <c r="L4761">
        <v>0.37</v>
      </c>
      <c r="M4761">
        <v>30.38</v>
      </c>
      <c r="N4761">
        <v>183.75280000000001</v>
      </c>
      <c r="O4761" s="1" t="s">
        <v>87</v>
      </c>
      <c r="P4761" s="1" t="s">
        <v>7176</v>
      </c>
      <c r="Q4761" s="1" t="s">
        <v>7177</v>
      </c>
      <c r="R4761" s="1" t="s">
        <v>646</v>
      </c>
      <c r="S4761" s="1" t="s">
        <v>7178</v>
      </c>
      <c r="T4761" s="1" t="s">
        <v>7179</v>
      </c>
      <c r="U4761" s="2" t="s">
        <v>3983</v>
      </c>
      <c r="V4761" s="2" t="s">
        <v>47</v>
      </c>
      <c r="W4761" s="2" t="s">
        <v>74</v>
      </c>
      <c r="X4761" s="2">
        <v>69.930000000000007</v>
      </c>
    </row>
    <row r="4762" spans="1:24" x14ac:dyDescent="0.3">
      <c r="A4762">
        <v>22603</v>
      </c>
      <c r="B4762" t="s">
        <v>10606</v>
      </c>
      <c r="C4762" s="3">
        <v>41624</v>
      </c>
      <c r="D4762" t="s">
        <v>148</v>
      </c>
      <c r="E4762">
        <v>25</v>
      </c>
      <c r="F4762" s="3">
        <f ca="1">41625+(RANDBETWEEN(1,10))</f>
        <v>41628</v>
      </c>
      <c r="G4762" t="s">
        <v>156</v>
      </c>
      <c r="H4762" t="s">
        <v>27</v>
      </c>
      <c r="I4762" t="s">
        <v>28</v>
      </c>
      <c r="J4762">
        <v>664.19500000000005</v>
      </c>
      <c r="K4762">
        <v>0.08</v>
      </c>
      <c r="L4762">
        <v>0.35</v>
      </c>
      <c r="M4762">
        <v>16.484999999999999</v>
      </c>
      <c r="N4762">
        <v>-18.07225</v>
      </c>
      <c r="O4762" s="1" t="s">
        <v>53</v>
      </c>
      <c r="P4762" s="1" t="s">
        <v>7636</v>
      </c>
      <c r="Q4762" s="1" t="s">
        <v>7637</v>
      </c>
      <c r="R4762" s="1" t="s">
        <v>100</v>
      </c>
      <c r="S4762" s="1" t="s">
        <v>7638</v>
      </c>
      <c r="T4762" s="1" t="s">
        <v>7639</v>
      </c>
      <c r="U4762" s="2" t="s">
        <v>2245</v>
      </c>
      <c r="V4762" s="2" t="s">
        <v>47</v>
      </c>
      <c r="W4762" s="2" t="s">
        <v>111</v>
      </c>
      <c r="X4762" s="2">
        <v>27.44</v>
      </c>
    </row>
    <row r="4763" spans="1:24" x14ac:dyDescent="0.3">
      <c r="A4763">
        <v>22604</v>
      </c>
      <c r="B4763" t="s">
        <v>10606</v>
      </c>
      <c r="C4763" s="3">
        <v>41624</v>
      </c>
      <c r="D4763" t="s">
        <v>148</v>
      </c>
      <c r="E4763">
        <v>11</v>
      </c>
      <c r="F4763" s="3">
        <f ca="1">41626+(RANDBETWEEN(1,10))</f>
        <v>41635</v>
      </c>
      <c r="G4763" t="s">
        <v>26</v>
      </c>
      <c r="H4763" t="s">
        <v>27</v>
      </c>
      <c r="I4763" t="s">
        <v>28</v>
      </c>
      <c r="J4763">
        <v>168.14</v>
      </c>
      <c r="K4763">
        <v>0.06</v>
      </c>
      <c r="L4763">
        <v>0.37</v>
      </c>
      <c r="M4763">
        <v>8.75</v>
      </c>
      <c r="N4763">
        <v>-7.63</v>
      </c>
      <c r="O4763" s="1" t="s">
        <v>53</v>
      </c>
      <c r="P4763" s="1" t="s">
        <v>7636</v>
      </c>
      <c r="Q4763" s="1" t="s">
        <v>7637</v>
      </c>
      <c r="R4763" s="1" t="s">
        <v>100</v>
      </c>
      <c r="S4763" s="1" t="s">
        <v>7638</v>
      </c>
      <c r="T4763" s="1" t="s">
        <v>7639</v>
      </c>
      <c r="U4763" s="2" t="s">
        <v>5395</v>
      </c>
      <c r="V4763" s="2" t="s">
        <v>47</v>
      </c>
      <c r="W4763" s="2" t="s">
        <v>48</v>
      </c>
      <c r="X4763" s="2">
        <v>15.68</v>
      </c>
    </row>
    <row r="4764" spans="1:24" x14ac:dyDescent="0.3">
      <c r="A4764">
        <v>22605</v>
      </c>
      <c r="B4764" t="s">
        <v>10607</v>
      </c>
      <c r="C4764" s="3">
        <v>41891</v>
      </c>
      <c r="D4764" t="s">
        <v>148</v>
      </c>
      <c r="E4764">
        <v>26</v>
      </c>
      <c r="F4764" s="3">
        <f ca="1">41892+(RANDBETWEEN(1,10))</f>
        <v>41897</v>
      </c>
      <c r="G4764" t="s">
        <v>26</v>
      </c>
      <c r="H4764" t="s">
        <v>27</v>
      </c>
      <c r="I4764" t="s">
        <v>28</v>
      </c>
      <c r="J4764">
        <v>324.66000000000003</v>
      </c>
      <c r="K4764">
        <v>7.0000000000000007E-2</v>
      </c>
      <c r="L4764">
        <v>0.37</v>
      </c>
      <c r="M4764">
        <v>1.75</v>
      </c>
      <c r="N4764">
        <v>-5007.8980000000001</v>
      </c>
      <c r="O4764" s="1" t="s">
        <v>29</v>
      </c>
      <c r="P4764" s="1" t="s">
        <v>3094</v>
      </c>
      <c r="Q4764" s="1" t="s">
        <v>3095</v>
      </c>
      <c r="R4764" s="1" t="s">
        <v>675</v>
      </c>
      <c r="S4764" s="1" t="s">
        <v>3096</v>
      </c>
      <c r="T4764" s="1" t="s">
        <v>3097</v>
      </c>
      <c r="U4764" s="2" t="s">
        <v>2907</v>
      </c>
      <c r="V4764" s="2" t="s">
        <v>47</v>
      </c>
      <c r="W4764" s="2" t="s">
        <v>203</v>
      </c>
      <c r="X4764" s="2">
        <v>13.125</v>
      </c>
    </row>
    <row r="4765" spans="1:24" x14ac:dyDescent="0.3">
      <c r="A4765">
        <v>22606</v>
      </c>
      <c r="B4765" t="s">
        <v>10607</v>
      </c>
      <c r="C4765" s="3">
        <v>41891</v>
      </c>
      <c r="D4765" t="s">
        <v>148</v>
      </c>
      <c r="E4765">
        <v>11</v>
      </c>
      <c r="F4765" s="3">
        <f ca="1">41893+(RANDBETWEEN(1,10))</f>
        <v>41894</v>
      </c>
      <c r="G4765" t="s">
        <v>26</v>
      </c>
      <c r="H4765" t="s">
        <v>27</v>
      </c>
      <c r="I4765" t="s">
        <v>28</v>
      </c>
      <c r="J4765">
        <v>172.30500000000001</v>
      </c>
      <c r="K4765">
        <v>0.02</v>
      </c>
      <c r="L4765">
        <v>0.38</v>
      </c>
      <c r="M4765">
        <v>18.41</v>
      </c>
      <c r="N4765">
        <v>-140.042</v>
      </c>
      <c r="O4765" s="1" t="s">
        <v>53</v>
      </c>
      <c r="P4765" s="1" t="s">
        <v>10608</v>
      </c>
      <c r="Q4765" s="1" t="s">
        <v>10609</v>
      </c>
      <c r="R4765" s="1" t="s">
        <v>440</v>
      </c>
      <c r="S4765" s="1" t="s">
        <v>10610</v>
      </c>
      <c r="T4765" s="1" t="s">
        <v>10611</v>
      </c>
      <c r="U4765" s="2" t="s">
        <v>1287</v>
      </c>
      <c r="V4765" s="2" t="s">
        <v>47</v>
      </c>
      <c r="W4765" s="2" t="s">
        <v>111</v>
      </c>
      <c r="X4765" s="2">
        <v>13.93</v>
      </c>
    </row>
    <row r="4766" spans="1:24" x14ac:dyDescent="0.3">
      <c r="A4766">
        <v>22607</v>
      </c>
      <c r="B4766" t="s">
        <v>10612</v>
      </c>
      <c r="C4766" s="3">
        <v>41446</v>
      </c>
      <c r="D4766" t="s">
        <v>62</v>
      </c>
      <c r="E4766">
        <v>3</v>
      </c>
      <c r="F4766" s="3">
        <f ca="1">41447+(RANDBETWEEN(1,10))</f>
        <v>41457</v>
      </c>
      <c r="G4766" t="s">
        <v>26</v>
      </c>
      <c r="H4766" t="s">
        <v>51</v>
      </c>
      <c r="I4766" t="s">
        <v>97</v>
      </c>
      <c r="J4766">
        <v>234.64</v>
      </c>
      <c r="K4766">
        <v>0.02</v>
      </c>
      <c r="L4766">
        <v>0.46</v>
      </c>
      <c r="M4766">
        <v>31.465</v>
      </c>
      <c r="N4766">
        <v>-79.352000000000004</v>
      </c>
      <c r="O4766" s="1" t="s">
        <v>87</v>
      </c>
      <c r="P4766" s="1" t="s">
        <v>8487</v>
      </c>
      <c r="Q4766" s="1" t="s">
        <v>8488</v>
      </c>
      <c r="R4766" s="1" t="s">
        <v>90</v>
      </c>
      <c r="S4766" s="1" t="s">
        <v>8489</v>
      </c>
      <c r="T4766" s="1" t="s">
        <v>8490</v>
      </c>
      <c r="U4766" s="2" t="s">
        <v>10613</v>
      </c>
      <c r="V4766" s="2" t="s">
        <v>83</v>
      </c>
      <c r="W4766" s="2" t="s">
        <v>178</v>
      </c>
      <c r="X4766" s="2">
        <v>70.84</v>
      </c>
    </row>
    <row r="4767" spans="1:24" x14ac:dyDescent="0.3">
      <c r="A4767">
        <v>22608</v>
      </c>
      <c r="B4767" t="s">
        <v>10614</v>
      </c>
      <c r="C4767" s="3">
        <v>41446</v>
      </c>
      <c r="D4767" t="s">
        <v>39</v>
      </c>
      <c r="E4767">
        <v>20</v>
      </c>
      <c r="F4767" s="3">
        <f ca="1">41447+(RANDBETWEEN(1,10))</f>
        <v>41457</v>
      </c>
      <c r="G4767" t="s">
        <v>156</v>
      </c>
      <c r="H4767" t="s">
        <v>27</v>
      </c>
      <c r="I4767" t="s">
        <v>97</v>
      </c>
      <c r="J4767">
        <v>256.65499999999997</v>
      </c>
      <c r="K4767">
        <v>0.1</v>
      </c>
      <c r="L4767">
        <v>0.38</v>
      </c>
      <c r="M4767">
        <v>1.75</v>
      </c>
      <c r="N4767">
        <v>-79.722999999999999</v>
      </c>
      <c r="O4767" s="1" t="s">
        <v>53</v>
      </c>
      <c r="P4767" s="1" t="s">
        <v>10608</v>
      </c>
      <c r="Q4767" s="1" t="s">
        <v>10609</v>
      </c>
      <c r="R4767" s="1" t="s">
        <v>440</v>
      </c>
      <c r="S4767" s="1" t="s">
        <v>10610</v>
      </c>
      <c r="T4767" s="1" t="s">
        <v>10611</v>
      </c>
      <c r="U4767" s="2" t="s">
        <v>312</v>
      </c>
      <c r="V4767" s="2" t="s">
        <v>47</v>
      </c>
      <c r="W4767" s="2" t="s">
        <v>203</v>
      </c>
      <c r="X4767" s="2">
        <v>12.914999999999999</v>
      </c>
    </row>
    <row r="4768" spans="1:24" x14ac:dyDescent="0.3">
      <c r="A4768">
        <v>22609</v>
      </c>
      <c r="B4768" t="s">
        <v>10614</v>
      </c>
      <c r="C4768" s="3">
        <v>41446</v>
      </c>
      <c r="D4768" t="s">
        <v>39</v>
      </c>
      <c r="E4768">
        <v>14</v>
      </c>
      <c r="F4768" s="3">
        <f ca="1">41448+(RANDBETWEEN(1,10))</f>
        <v>41455</v>
      </c>
      <c r="G4768" t="s">
        <v>26</v>
      </c>
      <c r="H4768" t="s">
        <v>27</v>
      </c>
      <c r="I4768" t="s">
        <v>97</v>
      </c>
      <c r="J4768">
        <v>328.51</v>
      </c>
      <c r="K4768">
        <v>0.02</v>
      </c>
      <c r="L4768">
        <v>0.37</v>
      </c>
      <c r="M4768">
        <v>18.2</v>
      </c>
      <c r="N4768">
        <v>-831.73090000000002</v>
      </c>
      <c r="O4768" s="1" t="s">
        <v>53</v>
      </c>
      <c r="P4768" s="1" t="s">
        <v>10608</v>
      </c>
      <c r="Q4768" s="1" t="s">
        <v>10609</v>
      </c>
      <c r="R4768" s="1" t="s">
        <v>440</v>
      </c>
      <c r="S4768" s="1" t="s">
        <v>10610</v>
      </c>
      <c r="T4768" s="1" t="s">
        <v>10611</v>
      </c>
      <c r="U4768" s="2" t="s">
        <v>4079</v>
      </c>
      <c r="V4768" s="2" t="s">
        <v>47</v>
      </c>
      <c r="W4768" s="2" t="s">
        <v>74</v>
      </c>
      <c r="X4768" s="2">
        <v>23.38</v>
      </c>
    </row>
    <row r="4769" spans="1:24" x14ac:dyDescent="0.3">
      <c r="A4769">
        <v>22610</v>
      </c>
      <c r="B4769" t="s">
        <v>10615</v>
      </c>
      <c r="C4769" s="3">
        <v>41148</v>
      </c>
      <c r="D4769" t="s">
        <v>62</v>
      </c>
      <c r="E4769">
        <v>18</v>
      </c>
      <c r="F4769" s="3">
        <f ca="1">41149+(RANDBETWEEN(1,10))</f>
        <v>41154</v>
      </c>
      <c r="G4769" t="s">
        <v>26</v>
      </c>
      <c r="H4769" t="s">
        <v>27</v>
      </c>
      <c r="I4769" t="s">
        <v>97</v>
      </c>
      <c r="J4769">
        <v>5590.13</v>
      </c>
      <c r="K4769">
        <v>0.1</v>
      </c>
      <c r="L4769">
        <v>0.57999999999999996</v>
      </c>
      <c r="M4769">
        <v>20.72</v>
      </c>
      <c r="N4769">
        <v>2968.4352600000002</v>
      </c>
      <c r="O4769" s="1" t="s">
        <v>40</v>
      </c>
      <c r="P4769" s="1" t="s">
        <v>8856</v>
      </c>
      <c r="Q4769" s="1" t="s">
        <v>8857</v>
      </c>
      <c r="R4769" s="1" t="s">
        <v>43</v>
      </c>
      <c r="S4769" s="1" t="s">
        <v>8858</v>
      </c>
      <c r="T4769" s="1" t="s">
        <v>8859</v>
      </c>
      <c r="U4769" s="2">
        <v>8890</v>
      </c>
      <c r="V4769" s="2" t="s">
        <v>36</v>
      </c>
      <c r="W4769" s="2" t="s">
        <v>37</v>
      </c>
      <c r="X4769" s="2">
        <v>405.96499999999997</v>
      </c>
    </row>
    <row r="4770" spans="1:24" x14ac:dyDescent="0.3">
      <c r="A4770">
        <v>22611</v>
      </c>
      <c r="B4770" t="s">
        <v>10616</v>
      </c>
      <c r="C4770" s="3">
        <v>41827</v>
      </c>
      <c r="D4770" t="s">
        <v>148</v>
      </c>
      <c r="E4770">
        <v>5</v>
      </c>
      <c r="F4770" s="3">
        <f ca="1">41829+(RANDBETWEEN(1,10))</f>
        <v>41833</v>
      </c>
      <c r="G4770" t="s">
        <v>26</v>
      </c>
      <c r="H4770" t="s">
        <v>27</v>
      </c>
      <c r="I4770" t="s">
        <v>28</v>
      </c>
      <c r="J4770">
        <v>667.83500000000004</v>
      </c>
      <c r="K4770">
        <v>0.05</v>
      </c>
      <c r="L4770">
        <v>0.56000000000000005</v>
      </c>
      <c r="M4770">
        <v>17.465</v>
      </c>
      <c r="N4770">
        <v>-62.042904</v>
      </c>
      <c r="O4770" s="1" t="s">
        <v>87</v>
      </c>
      <c r="P4770" s="1" t="s">
        <v>10590</v>
      </c>
      <c r="Q4770" s="1" t="s">
        <v>10591</v>
      </c>
      <c r="R4770" s="1" t="s">
        <v>90</v>
      </c>
      <c r="S4770" s="1" t="s">
        <v>10592</v>
      </c>
      <c r="T4770" s="1" t="s">
        <v>10593</v>
      </c>
      <c r="U4770" s="2" t="s">
        <v>3202</v>
      </c>
      <c r="V4770" s="2" t="s">
        <v>36</v>
      </c>
      <c r="W4770" s="2" t="s">
        <v>37</v>
      </c>
      <c r="X4770" s="2">
        <v>160.965</v>
      </c>
    </row>
    <row r="4771" spans="1:24" x14ac:dyDescent="0.3">
      <c r="A4771">
        <v>22612</v>
      </c>
      <c r="B4771" t="s">
        <v>10617</v>
      </c>
      <c r="C4771" s="3">
        <v>40560</v>
      </c>
      <c r="D4771" t="s">
        <v>50</v>
      </c>
      <c r="E4771">
        <v>10</v>
      </c>
      <c r="F4771" s="3">
        <f ca="1">40561+(RANDBETWEEN(1,10))</f>
        <v>40568</v>
      </c>
      <c r="G4771" t="s">
        <v>26</v>
      </c>
      <c r="H4771" t="s">
        <v>51</v>
      </c>
      <c r="I4771" t="s">
        <v>97</v>
      </c>
      <c r="J4771">
        <v>988.33</v>
      </c>
      <c r="K4771">
        <v>0.05</v>
      </c>
      <c r="L4771">
        <v>0.55000000000000004</v>
      </c>
      <c r="M4771">
        <v>21.594999999999999</v>
      </c>
      <c r="N4771">
        <v>-231.86799999999999</v>
      </c>
      <c r="O4771" s="1" t="s">
        <v>29</v>
      </c>
      <c r="P4771" s="1" t="s">
        <v>10618</v>
      </c>
      <c r="Q4771" s="1" t="s">
        <v>10619</v>
      </c>
      <c r="R4771" s="1" t="s">
        <v>32</v>
      </c>
      <c r="S4771" s="1" t="s">
        <v>3101</v>
      </c>
      <c r="T4771" s="1" t="s">
        <v>3102</v>
      </c>
      <c r="U4771" s="2" t="s">
        <v>1755</v>
      </c>
      <c r="V4771" s="2" t="s">
        <v>47</v>
      </c>
      <c r="W4771" s="2" t="s">
        <v>104</v>
      </c>
      <c r="X4771" s="2">
        <v>98.525000000000006</v>
      </c>
    </row>
    <row r="4772" spans="1:24" x14ac:dyDescent="0.3">
      <c r="A4772">
        <v>22613</v>
      </c>
      <c r="B4772" t="s">
        <v>10620</v>
      </c>
      <c r="C4772" s="3">
        <v>40629</v>
      </c>
      <c r="D4772" t="s">
        <v>148</v>
      </c>
      <c r="E4772">
        <v>10</v>
      </c>
      <c r="F4772" s="3">
        <f ca="1">40630+(RANDBETWEEN(1,10))</f>
        <v>40637</v>
      </c>
      <c r="G4772" t="s">
        <v>26</v>
      </c>
      <c r="H4772" t="s">
        <v>51</v>
      </c>
      <c r="I4772" t="s">
        <v>28</v>
      </c>
      <c r="J4772">
        <v>274.89</v>
      </c>
      <c r="K4772">
        <v>0.06</v>
      </c>
      <c r="L4772">
        <v>0.77</v>
      </c>
      <c r="M4772">
        <v>9.9049999999999994</v>
      </c>
      <c r="N4772">
        <v>-289.90499999999997</v>
      </c>
      <c r="O4772" s="1" t="s">
        <v>53</v>
      </c>
      <c r="P4772" s="1" t="s">
        <v>4447</v>
      </c>
      <c r="Q4772" s="1" t="s">
        <v>4448</v>
      </c>
      <c r="R4772" s="1" t="s">
        <v>100</v>
      </c>
      <c r="S4772" s="1" t="s">
        <v>4449</v>
      </c>
      <c r="T4772" s="1" t="s">
        <v>4450</v>
      </c>
      <c r="U4772" s="2" t="s">
        <v>2563</v>
      </c>
      <c r="V4772" s="2" t="s">
        <v>36</v>
      </c>
      <c r="W4772" s="2" t="s">
        <v>60</v>
      </c>
      <c r="X4772" s="2">
        <v>28.42</v>
      </c>
    </row>
    <row r="4773" spans="1:24" x14ac:dyDescent="0.3">
      <c r="A4773">
        <v>22614</v>
      </c>
      <c r="B4773" t="s">
        <v>10620</v>
      </c>
      <c r="C4773" s="3">
        <v>40629</v>
      </c>
      <c r="D4773" t="s">
        <v>148</v>
      </c>
      <c r="E4773">
        <v>12</v>
      </c>
      <c r="F4773" s="3">
        <f ca="1">40630+(RANDBETWEEN(1,10))</f>
        <v>40633</v>
      </c>
      <c r="G4773" t="s">
        <v>26</v>
      </c>
      <c r="H4773" t="s">
        <v>281</v>
      </c>
      <c r="I4773" t="s">
        <v>28</v>
      </c>
      <c r="J4773">
        <v>2117.85</v>
      </c>
      <c r="K4773">
        <v>0.05</v>
      </c>
      <c r="L4773">
        <v>0.65</v>
      </c>
      <c r="M4773">
        <v>64.575000000000003</v>
      </c>
      <c r="N4773">
        <v>87.64</v>
      </c>
      <c r="O4773" s="1" t="s">
        <v>53</v>
      </c>
      <c r="P4773" s="1" t="s">
        <v>4447</v>
      </c>
      <c r="Q4773" s="1" t="s">
        <v>4448</v>
      </c>
      <c r="R4773" s="1" t="s">
        <v>100</v>
      </c>
      <c r="S4773" s="1" t="s">
        <v>4449</v>
      </c>
      <c r="T4773" s="1" t="s">
        <v>4450</v>
      </c>
      <c r="U4773" s="2" t="s">
        <v>3758</v>
      </c>
      <c r="V4773" s="2" t="s">
        <v>83</v>
      </c>
      <c r="W4773" s="2" t="s">
        <v>178</v>
      </c>
      <c r="X4773" s="2">
        <v>180.77500000000001</v>
      </c>
    </row>
    <row r="4774" spans="1:24" x14ac:dyDescent="0.3">
      <c r="A4774">
        <v>22615</v>
      </c>
      <c r="B4774" t="s">
        <v>10621</v>
      </c>
      <c r="C4774" s="3">
        <v>41725</v>
      </c>
      <c r="D4774" t="s">
        <v>148</v>
      </c>
      <c r="E4774">
        <v>1</v>
      </c>
      <c r="F4774" s="3">
        <f ca="1">41726+(RANDBETWEEN(1,10))</f>
        <v>41736</v>
      </c>
      <c r="G4774" t="s">
        <v>26</v>
      </c>
      <c r="H4774" t="s">
        <v>96</v>
      </c>
      <c r="I4774" t="s">
        <v>28</v>
      </c>
      <c r="J4774">
        <v>26.704999999999998</v>
      </c>
      <c r="K4774">
        <v>0.01</v>
      </c>
      <c r="L4774">
        <v>0.48</v>
      </c>
      <c r="M4774">
        <v>5.25</v>
      </c>
      <c r="N4774">
        <v>-26.285</v>
      </c>
      <c r="O4774" s="1" t="s">
        <v>53</v>
      </c>
      <c r="P4774" s="1" t="s">
        <v>4447</v>
      </c>
      <c r="Q4774" s="1" t="s">
        <v>4448</v>
      </c>
      <c r="R4774" s="1" t="s">
        <v>100</v>
      </c>
      <c r="S4774" s="1" t="s">
        <v>4449</v>
      </c>
      <c r="T4774" s="1" t="s">
        <v>4450</v>
      </c>
      <c r="U4774" s="2" t="s">
        <v>2494</v>
      </c>
      <c r="V4774" s="2" t="s">
        <v>47</v>
      </c>
      <c r="W4774" s="2" t="s">
        <v>104</v>
      </c>
      <c r="X4774" s="2">
        <v>23.38</v>
      </c>
    </row>
    <row r="4775" spans="1:24" x14ac:dyDescent="0.3">
      <c r="A4775">
        <v>22616</v>
      </c>
      <c r="B4775" t="s">
        <v>10620</v>
      </c>
      <c r="C4775" s="3">
        <v>40629</v>
      </c>
      <c r="D4775" t="s">
        <v>148</v>
      </c>
      <c r="E4775">
        <v>10</v>
      </c>
      <c r="F4775" s="3">
        <f ca="1">40630+(RANDBETWEEN(1,10))</f>
        <v>40637</v>
      </c>
      <c r="G4775" t="s">
        <v>26</v>
      </c>
      <c r="H4775" t="s">
        <v>27</v>
      </c>
      <c r="I4775" t="s">
        <v>28</v>
      </c>
      <c r="J4775">
        <v>4712.12</v>
      </c>
      <c r="K4775">
        <v>0.1</v>
      </c>
      <c r="L4775">
        <v>0.56999999999999995</v>
      </c>
      <c r="M4775">
        <v>31.465</v>
      </c>
      <c r="N4775">
        <v>3251.3627999999999</v>
      </c>
      <c r="O4775" s="1" t="s">
        <v>87</v>
      </c>
      <c r="P4775" s="1" t="s">
        <v>10622</v>
      </c>
      <c r="Q4775" s="1" t="s">
        <v>10623</v>
      </c>
      <c r="R4775" s="1" t="s">
        <v>646</v>
      </c>
      <c r="S4775" s="1" t="s">
        <v>6024</v>
      </c>
      <c r="T4775" s="1" t="s">
        <v>6025</v>
      </c>
      <c r="U4775" s="2">
        <v>2180</v>
      </c>
      <c r="V4775" s="2" t="s">
        <v>36</v>
      </c>
      <c r="W4775" s="2" t="s">
        <v>37</v>
      </c>
      <c r="X4775" s="2">
        <v>615.96500000000003</v>
      </c>
    </row>
    <row r="4776" spans="1:24" x14ac:dyDescent="0.3">
      <c r="A4776">
        <v>22617</v>
      </c>
      <c r="B4776" t="s">
        <v>10624</v>
      </c>
      <c r="C4776" s="3">
        <v>41938</v>
      </c>
      <c r="D4776" t="s">
        <v>39</v>
      </c>
      <c r="E4776">
        <v>5</v>
      </c>
      <c r="F4776" s="3">
        <f ca="1">41940+(RANDBETWEEN(1,10))</f>
        <v>41950</v>
      </c>
      <c r="G4776" t="s">
        <v>26</v>
      </c>
      <c r="H4776" t="s">
        <v>27</v>
      </c>
      <c r="I4776" t="s">
        <v>86</v>
      </c>
      <c r="J4776">
        <v>209.86</v>
      </c>
      <c r="K4776">
        <v>0.04</v>
      </c>
      <c r="L4776">
        <v>0.64</v>
      </c>
      <c r="M4776">
        <v>22.75</v>
      </c>
      <c r="N4776">
        <v>-201.77500000000001</v>
      </c>
      <c r="O4776" s="1" t="s">
        <v>64</v>
      </c>
      <c r="P4776" s="1" t="s">
        <v>10118</v>
      </c>
      <c r="Q4776" s="1" t="s">
        <v>10119</v>
      </c>
      <c r="R4776" s="1" t="s">
        <v>67</v>
      </c>
      <c r="S4776" s="1" t="s">
        <v>10120</v>
      </c>
      <c r="T4776" s="1" t="s">
        <v>10121</v>
      </c>
      <c r="U4776" s="2" t="s">
        <v>337</v>
      </c>
      <c r="V4776" s="2" t="s">
        <v>36</v>
      </c>
      <c r="W4776" s="2" t="s">
        <v>60</v>
      </c>
      <c r="X4776" s="2">
        <v>38.395000000000003</v>
      </c>
    </row>
    <row r="4777" spans="1:24" x14ac:dyDescent="0.3">
      <c r="A4777">
        <v>22618</v>
      </c>
      <c r="B4777" t="s">
        <v>10624</v>
      </c>
      <c r="C4777" s="3">
        <v>41938</v>
      </c>
      <c r="D4777" t="s">
        <v>39</v>
      </c>
      <c r="E4777">
        <v>7</v>
      </c>
      <c r="F4777" s="3">
        <f ca="1">41940+(RANDBETWEEN(1,10))</f>
        <v>41946</v>
      </c>
      <c r="G4777" t="s">
        <v>76</v>
      </c>
      <c r="H4777" t="s">
        <v>77</v>
      </c>
      <c r="I4777" t="s">
        <v>86</v>
      </c>
      <c r="J4777">
        <v>3764.39</v>
      </c>
      <c r="K4777">
        <v>0.03</v>
      </c>
      <c r="L4777">
        <v>0.56000000000000005</v>
      </c>
      <c r="M4777">
        <v>62.475000000000001</v>
      </c>
      <c r="N4777">
        <v>626.67499999999995</v>
      </c>
      <c r="O4777" s="1" t="s">
        <v>64</v>
      </c>
      <c r="P4777" s="1" t="s">
        <v>10118</v>
      </c>
      <c r="Q4777" s="1" t="s">
        <v>10119</v>
      </c>
      <c r="R4777" s="1" t="s">
        <v>67</v>
      </c>
      <c r="S4777" s="1" t="s">
        <v>10120</v>
      </c>
      <c r="T4777" s="1" t="s">
        <v>10121</v>
      </c>
      <c r="U4777" s="2" t="s">
        <v>881</v>
      </c>
      <c r="V4777" s="2" t="s">
        <v>36</v>
      </c>
      <c r="W4777" s="2" t="s">
        <v>142</v>
      </c>
      <c r="X4777" s="2">
        <v>509.07499999999999</v>
      </c>
    </row>
    <row r="4778" spans="1:24" x14ac:dyDescent="0.3">
      <c r="A4778">
        <v>22619</v>
      </c>
      <c r="B4778" t="s">
        <v>10624</v>
      </c>
      <c r="C4778" s="3">
        <v>41938</v>
      </c>
      <c r="D4778" t="s">
        <v>39</v>
      </c>
      <c r="E4778">
        <v>22</v>
      </c>
      <c r="F4778" s="3">
        <f ca="1">41941+(RANDBETWEEN(1,10))</f>
        <v>41946</v>
      </c>
      <c r="G4778" t="s">
        <v>156</v>
      </c>
      <c r="H4778" t="s">
        <v>27</v>
      </c>
      <c r="I4778" t="s">
        <v>86</v>
      </c>
      <c r="J4778">
        <v>1722.91</v>
      </c>
      <c r="K4778">
        <v>0</v>
      </c>
      <c r="L4778">
        <v>0.77</v>
      </c>
      <c r="M4778">
        <v>14</v>
      </c>
      <c r="N4778">
        <v>34.020000000000003</v>
      </c>
      <c r="O4778" s="1" t="s">
        <v>40</v>
      </c>
      <c r="P4778" s="1" t="s">
        <v>10625</v>
      </c>
      <c r="Q4778" s="1" t="s">
        <v>10626</v>
      </c>
      <c r="R4778" s="1" t="s">
        <v>43</v>
      </c>
      <c r="S4778" s="1" t="s">
        <v>5013</v>
      </c>
      <c r="T4778" s="1" t="s">
        <v>5014</v>
      </c>
      <c r="U4778" s="2" t="s">
        <v>1138</v>
      </c>
      <c r="V4778" s="2" t="s">
        <v>36</v>
      </c>
      <c r="W4778" s="2" t="s">
        <v>60</v>
      </c>
      <c r="X4778" s="2">
        <v>73.394999999999996</v>
      </c>
    </row>
    <row r="4779" spans="1:24" x14ac:dyDescent="0.3">
      <c r="A4779">
        <v>22620</v>
      </c>
      <c r="B4779" t="s">
        <v>10627</v>
      </c>
      <c r="C4779" s="3">
        <v>41284</v>
      </c>
      <c r="D4779" t="s">
        <v>62</v>
      </c>
      <c r="E4779">
        <v>4</v>
      </c>
      <c r="F4779" s="3">
        <f ca="1">41285+(RANDBETWEEN(1,10))</f>
        <v>41286</v>
      </c>
      <c r="G4779" t="s">
        <v>26</v>
      </c>
      <c r="H4779" t="s">
        <v>27</v>
      </c>
      <c r="I4779" t="s">
        <v>28</v>
      </c>
      <c r="J4779">
        <v>53.55</v>
      </c>
      <c r="K4779">
        <v>0</v>
      </c>
      <c r="L4779">
        <v>0.37</v>
      </c>
      <c r="M4779">
        <v>1.75</v>
      </c>
      <c r="N4779">
        <v>36.9495</v>
      </c>
      <c r="O4779" s="1" t="s">
        <v>40</v>
      </c>
      <c r="P4779" s="1" t="s">
        <v>9852</v>
      </c>
      <c r="Q4779" s="1" t="s">
        <v>9853</v>
      </c>
      <c r="R4779" s="1" t="s">
        <v>43</v>
      </c>
      <c r="S4779" s="1" t="s">
        <v>9854</v>
      </c>
      <c r="T4779" s="1" t="s">
        <v>9855</v>
      </c>
      <c r="U4779" s="2" t="s">
        <v>5635</v>
      </c>
      <c r="V4779" s="2" t="s">
        <v>47</v>
      </c>
      <c r="W4779" s="2" t="s">
        <v>203</v>
      </c>
      <c r="X4779" s="2">
        <v>13.125</v>
      </c>
    </row>
    <row r="4780" spans="1:24" x14ac:dyDescent="0.3">
      <c r="A4780">
        <v>22621</v>
      </c>
      <c r="B4780" t="s">
        <v>10628</v>
      </c>
      <c r="C4780" s="3">
        <v>41701</v>
      </c>
      <c r="D4780" t="s">
        <v>39</v>
      </c>
      <c r="E4780">
        <v>9</v>
      </c>
      <c r="F4780" s="3">
        <f ca="1">41702+(RANDBETWEEN(1,10))</f>
        <v>41705</v>
      </c>
      <c r="G4780" t="s">
        <v>156</v>
      </c>
      <c r="H4780" t="s">
        <v>96</v>
      </c>
      <c r="I4780" t="s">
        <v>97</v>
      </c>
      <c r="J4780">
        <v>134.785</v>
      </c>
      <c r="K4780">
        <v>0.03</v>
      </c>
      <c r="L4780">
        <v>0.44</v>
      </c>
      <c r="M4780">
        <v>4.2</v>
      </c>
      <c r="N4780">
        <v>93.001649999999998</v>
      </c>
      <c r="O4780" s="1" t="s">
        <v>40</v>
      </c>
      <c r="P4780" s="1" t="s">
        <v>10629</v>
      </c>
      <c r="Q4780" s="1" t="s">
        <v>10630</v>
      </c>
      <c r="R4780" s="1" t="s">
        <v>43</v>
      </c>
      <c r="S4780" s="1" t="s">
        <v>10631</v>
      </c>
      <c r="T4780" s="1" t="s">
        <v>10632</v>
      </c>
      <c r="U4780" s="2" t="s">
        <v>103</v>
      </c>
      <c r="V4780" s="2" t="s">
        <v>47</v>
      </c>
      <c r="W4780" s="2" t="s">
        <v>104</v>
      </c>
      <c r="X4780" s="2">
        <v>14.91</v>
      </c>
    </row>
    <row r="4781" spans="1:24" x14ac:dyDescent="0.3">
      <c r="A4781">
        <v>22622</v>
      </c>
      <c r="B4781" t="s">
        <v>10628</v>
      </c>
      <c r="C4781" s="3">
        <v>41701</v>
      </c>
      <c r="D4781" t="s">
        <v>39</v>
      </c>
      <c r="E4781">
        <v>6</v>
      </c>
      <c r="F4781" s="3">
        <f ca="1">41703+(RANDBETWEEN(1,10))</f>
        <v>41710</v>
      </c>
      <c r="G4781" t="s">
        <v>76</v>
      </c>
      <c r="H4781" t="s">
        <v>77</v>
      </c>
      <c r="I4781" t="s">
        <v>97</v>
      </c>
      <c r="J4781">
        <v>1496.18</v>
      </c>
      <c r="K4781">
        <v>0.05</v>
      </c>
      <c r="L4781">
        <v>0.41</v>
      </c>
      <c r="M4781">
        <v>210</v>
      </c>
      <c r="N4781">
        <v>-1847.405</v>
      </c>
      <c r="O4781" s="1" t="s">
        <v>87</v>
      </c>
      <c r="P4781" s="1" t="s">
        <v>10633</v>
      </c>
      <c r="Q4781" s="1" t="s">
        <v>10634</v>
      </c>
      <c r="R4781" s="1" t="s">
        <v>90</v>
      </c>
      <c r="S4781" s="1" t="s">
        <v>10635</v>
      </c>
      <c r="T4781" s="1" t="s">
        <v>7946</v>
      </c>
      <c r="U4781" s="2" t="s">
        <v>287</v>
      </c>
      <c r="V4781" s="2" t="s">
        <v>47</v>
      </c>
      <c r="W4781" s="2" t="s">
        <v>71</v>
      </c>
      <c r="X4781" s="2">
        <v>240.83500000000001</v>
      </c>
    </row>
    <row r="4782" spans="1:24" x14ac:dyDescent="0.3">
      <c r="A4782">
        <v>22623</v>
      </c>
      <c r="B4782" t="s">
        <v>10628</v>
      </c>
      <c r="C4782" s="3">
        <v>41701</v>
      </c>
      <c r="D4782" t="s">
        <v>39</v>
      </c>
      <c r="E4782">
        <v>2</v>
      </c>
      <c r="F4782" s="3">
        <f ca="1">41703+(RANDBETWEEN(1,10))</f>
        <v>41708</v>
      </c>
      <c r="G4782" t="s">
        <v>26</v>
      </c>
      <c r="H4782" t="s">
        <v>51</v>
      </c>
      <c r="I4782" t="s">
        <v>97</v>
      </c>
      <c r="J4782">
        <v>56.104999999999997</v>
      </c>
      <c r="K4782">
        <v>0.03</v>
      </c>
      <c r="L4782">
        <v>0.57999999999999996</v>
      </c>
      <c r="M4782">
        <v>29.295000000000002</v>
      </c>
      <c r="N4782">
        <v>-168.98</v>
      </c>
      <c r="O4782" s="1" t="s">
        <v>87</v>
      </c>
      <c r="P4782" s="1" t="s">
        <v>10633</v>
      </c>
      <c r="Q4782" s="1" t="s">
        <v>10634</v>
      </c>
      <c r="R4782" s="1" t="s">
        <v>90</v>
      </c>
      <c r="S4782" s="1" t="s">
        <v>10635</v>
      </c>
      <c r="T4782" s="1" t="s">
        <v>7946</v>
      </c>
      <c r="U4782" s="2" t="s">
        <v>3635</v>
      </c>
      <c r="V4782" s="2" t="s">
        <v>47</v>
      </c>
      <c r="W4782" s="2" t="s">
        <v>94</v>
      </c>
      <c r="X4782" s="2">
        <v>23.94</v>
      </c>
    </row>
    <row r="4783" spans="1:24" x14ac:dyDescent="0.3">
      <c r="A4783">
        <v>22624</v>
      </c>
      <c r="B4783" t="s">
        <v>10636</v>
      </c>
      <c r="C4783" s="3">
        <v>41846</v>
      </c>
      <c r="D4783" t="s">
        <v>25</v>
      </c>
      <c r="E4783">
        <v>11</v>
      </c>
      <c r="F4783" s="3">
        <f ca="1">41853+(RANDBETWEEN(1,10))</f>
        <v>41859</v>
      </c>
      <c r="G4783" t="s">
        <v>26</v>
      </c>
      <c r="H4783" t="s">
        <v>27</v>
      </c>
      <c r="I4783" t="s">
        <v>86</v>
      </c>
      <c r="J4783">
        <v>564.54999999999995</v>
      </c>
      <c r="K4783">
        <v>7.0000000000000007E-2</v>
      </c>
      <c r="L4783">
        <v>0.56999999999999995</v>
      </c>
      <c r="M4783">
        <v>30.73</v>
      </c>
      <c r="N4783">
        <v>-379.05</v>
      </c>
      <c r="O4783" s="1" t="s">
        <v>87</v>
      </c>
      <c r="P4783" s="1" t="s">
        <v>4570</v>
      </c>
      <c r="Q4783" s="1" t="s">
        <v>4571</v>
      </c>
      <c r="R4783" s="1" t="s">
        <v>90</v>
      </c>
      <c r="S4783" s="1" t="s">
        <v>4572</v>
      </c>
      <c r="T4783" s="1" t="s">
        <v>1620</v>
      </c>
      <c r="U4783" s="2" t="s">
        <v>3278</v>
      </c>
      <c r="V4783" s="2" t="s">
        <v>47</v>
      </c>
      <c r="W4783" s="2" t="s">
        <v>119</v>
      </c>
      <c r="X4783" s="2">
        <v>53.585000000000001</v>
      </c>
    </row>
    <row r="4784" spans="1:24" x14ac:dyDescent="0.3">
      <c r="A4784">
        <v>22625</v>
      </c>
      <c r="B4784" t="s">
        <v>10637</v>
      </c>
      <c r="C4784" s="3">
        <v>41396</v>
      </c>
      <c r="D4784" t="s">
        <v>25</v>
      </c>
      <c r="E4784">
        <v>3</v>
      </c>
      <c r="F4784" s="3">
        <f ca="1">41400+(RANDBETWEEN(1,10))</f>
        <v>41407</v>
      </c>
      <c r="G4784" t="s">
        <v>26</v>
      </c>
      <c r="H4784" t="s">
        <v>27</v>
      </c>
      <c r="I4784" t="s">
        <v>28</v>
      </c>
      <c r="J4784">
        <v>58.484999999999999</v>
      </c>
      <c r="K4784">
        <v>0.05</v>
      </c>
      <c r="L4784">
        <v>0.38</v>
      </c>
      <c r="M4784">
        <v>4.8650000000000002</v>
      </c>
      <c r="N4784">
        <v>-515.23500000000001</v>
      </c>
      <c r="O4784" s="1" t="s">
        <v>64</v>
      </c>
      <c r="P4784" s="1" t="s">
        <v>7746</v>
      </c>
      <c r="Q4784" s="1" t="s">
        <v>7747</v>
      </c>
      <c r="R4784" s="1" t="s">
        <v>67</v>
      </c>
      <c r="S4784" s="1" t="s">
        <v>7748</v>
      </c>
      <c r="T4784" s="1" t="s">
        <v>7749</v>
      </c>
      <c r="U4784" s="2" t="s">
        <v>641</v>
      </c>
      <c r="V4784" s="2" t="s">
        <v>47</v>
      </c>
      <c r="W4784" s="2" t="s">
        <v>48</v>
      </c>
      <c r="X4784" s="2">
        <v>19.88</v>
      </c>
    </row>
    <row r="4785" spans="1:24" x14ac:dyDescent="0.3">
      <c r="A4785">
        <v>22626</v>
      </c>
      <c r="B4785" t="s">
        <v>10637</v>
      </c>
      <c r="C4785" s="3">
        <v>41396</v>
      </c>
      <c r="D4785" t="s">
        <v>25</v>
      </c>
      <c r="E4785">
        <v>5</v>
      </c>
      <c r="F4785" s="3">
        <f ca="1">41401+(RANDBETWEEN(1,10))</f>
        <v>41411</v>
      </c>
      <c r="G4785" t="s">
        <v>26</v>
      </c>
      <c r="H4785" t="s">
        <v>27</v>
      </c>
      <c r="I4785" t="s">
        <v>28</v>
      </c>
      <c r="J4785">
        <v>204.82</v>
      </c>
      <c r="K4785">
        <v>0.09</v>
      </c>
      <c r="L4785">
        <v>0.57999999999999996</v>
      </c>
      <c r="M4785">
        <v>16.835000000000001</v>
      </c>
      <c r="N4785">
        <v>-17978.349900000001</v>
      </c>
      <c r="O4785" s="1" t="s">
        <v>64</v>
      </c>
      <c r="P4785" s="1" t="s">
        <v>7746</v>
      </c>
      <c r="Q4785" s="1" t="s">
        <v>7747</v>
      </c>
      <c r="R4785" s="1" t="s">
        <v>67</v>
      </c>
      <c r="S4785" s="1" t="s">
        <v>7748</v>
      </c>
      <c r="T4785" s="1" t="s">
        <v>7749</v>
      </c>
      <c r="U4785" s="2" t="s">
        <v>5691</v>
      </c>
      <c r="V4785" s="2" t="s">
        <v>47</v>
      </c>
      <c r="W4785" s="2" t="s">
        <v>119</v>
      </c>
      <c r="X4785" s="2">
        <v>42.734999999999999</v>
      </c>
    </row>
    <row r="4786" spans="1:24" x14ac:dyDescent="0.3">
      <c r="A4786">
        <v>22627</v>
      </c>
      <c r="B4786" t="s">
        <v>10638</v>
      </c>
      <c r="C4786" s="3">
        <v>40954</v>
      </c>
      <c r="D4786" t="s">
        <v>25</v>
      </c>
      <c r="E4786">
        <v>8</v>
      </c>
      <c r="F4786" s="3">
        <f ca="1">40961+(RANDBETWEEN(1,10))</f>
        <v>40970</v>
      </c>
      <c r="G4786" t="s">
        <v>26</v>
      </c>
      <c r="H4786" t="s">
        <v>27</v>
      </c>
      <c r="I4786" t="s">
        <v>28</v>
      </c>
      <c r="J4786">
        <v>77.77</v>
      </c>
      <c r="K4786">
        <v>0.06</v>
      </c>
      <c r="L4786">
        <v>0.36</v>
      </c>
      <c r="M4786">
        <v>1.75</v>
      </c>
      <c r="N4786">
        <v>53.661299999999997</v>
      </c>
      <c r="O4786" s="1" t="s">
        <v>40</v>
      </c>
      <c r="P4786" s="1" t="s">
        <v>9499</v>
      </c>
      <c r="Q4786" s="1" t="s">
        <v>9500</v>
      </c>
      <c r="R4786" s="1" t="s">
        <v>220</v>
      </c>
      <c r="S4786" s="1" t="s">
        <v>9501</v>
      </c>
      <c r="T4786" s="1" t="s">
        <v>9502</v>
      </c>
      <c r="U4786" s="2" t="s">
        <v>10639</v>
      </c>
      <c r="V4786" s="2" t="s">
        <v>47</v>
      </c>
      <c r="W4786" s="2" t="s">
        <v>203</v>
      </c>
      <c r="X4786" s="2">
        <v>10.08</v>
      </c>
    </row>
    <row r="4787" spans="1:24" x14ac:dyDescent="0.3">
      <c r="A4787">
        <v>22628</v>
      </c>
      <c r="B4787" t="s">
        <v>10638</v>
      </c>
      <c r="C4787" s="3">
        <v>40954</v>
      </c>
      <c r="D4787" t="s">
        <v>25</v>
      </c>
      <c r="E4787">
        <v>6</v>
      </c>
      <c r="F4787" s="3">
        <f ca="1">40959+(RANDBETWEEN(1,10))</f>
        <v>40967</v>
      </c>
      <c r="G4787" t="s">
        <v>26</v>
      </c>
      <c r="H4787" t="s">
        <v>281</v>
      </c>
      <c r="I4787" t="s">
        <v>28</v>
      </c>
      <c r="J4787">
        <v>250.42500000000001</v>
      </c>
      <c r="K4787">
        <v>0.08</v>
      </c>
      <c r="L4787">
        <v>0.56999999999999995</v>
      </c>
      <c r="M4787">
        <v>21.945</v>
      </c>
      <c r="N4787">
        <v>-212.76499999999999</v>
      </c>
      <c r="O4787" s="1" t="s">
        <v>40</v>
      </c>
      <c r="P4787" s="1" t="s">
        <v>9499</v>
      </c>
      <c r="Q4787" s="1" t="s">
        <v>9500</v>
      </c>
      <c r="R4787" s="1" t="s">
        <v>220</v>
      </c>
      <c r="S4787" s="1" t="s">
        <v>9501</v>
      </c>
      <c r="T4787" s="1" t="s">
        <v>9502</v>
      </c>
      <c r="U4787" s="2" t="s">
        <v>517</v>
      </c>
      <c r="V4787" s="2" t="s">
        <v>47</v>
      </c>
      <c r="W4787" s="2" t="s">
        <v>119</v>
      </c>
      <c r="X4787" s="2">
        <v>43.54</v>
      </c>
    </row>
    <row r="4788" spans="1:24" x14ac:dyDescent="0.3">
      <c r="A4788">
        <v>22629</v>
      </c>
      <c r="B4788" t="s">
        <v>10640</v>
      </c>
      <c r="C4788" s="3">
        <v>40917</v>
      </c>
      <c r="D4788" t="s">
        <v>25</v>
      </c>
      <c r="E4788">
        <v>12</v>
      </c>
      <c r="F4788" s="3">
        <f ca="1">40921+(RANDBETWEEN(1,10))</f>
        <v>40926</v>
      </c>
      <c r="G4788" t="s">
        <v>26</v>
      </c>
      <c r="H4788" t="s">
        <v>63</v>
      </c>
      <c r="I4788" t="s">
        <v>28</v>
      </c>
      <c r="J4788">
        <v>25615.38</v>
      </c>
      <c r="K4788">
        <v>0.05</v>
      </c>
      <c r="L4788">
        <v>0.44</v>
      </c>
      <c r="M4788">
        <v>85.715000000000003</v>
      </c>
      <c r="N4788">
        <v>17674.6122</v>
      </c>
      <c r="O4788" s="1" t="s">
        <v>40</v>
      </c>
      <c r="P4788" s="1" t="s">
        <v>3919</v>
      </c>
      <c r="Q4788" s="1" t="s">
        <v>3920</v>
      </c>
      <c r="R4788" s="1" t="s">
        <v>43</v>
      </c>
      <c r="S4788" s="1" t="s">
        <v>80</v>
      </c>
      <c r="T4788" s="1" t="s">
        <v>3921</v>
      </c>
      <c r="U4788" s="2" t="s">
        <v>6295</v>
      </c>
      <c r="V4788" s="2" t="s">
        <v>36</v>
      </c>
      <c r="W4788" s="2" t="s">
        <v>1327</v>
      </c>
      <c r="X4788" s="2">
        <v>2099.9650000000001</v>
      </c>
    </row>
    <row r="4789" spans="1:24" x14ac:dyDescent="0.3">
      <c r="A4789">
        <v>22630</v>
      </c>
      <c r="B4789" t="s">
        <v>10641</v>
      </c>
      <c r="C4789" s="3">
        <v>41329</v>
      </c>
      <c r="D4789" t="s">
        <v>39</v>
      </c>
      <c r="E4789">
        <v>1</v>
      </c>
      <c r="F4789" s="3">
        <f ca="1">41330+(RANDBETWEEN(1,10))</f>
        <v>41339</v>
      </c>
      <c r="G4789" t="s">
        <v>26</v>
      </c>
      <c r="H4789" t="s">
        <v>96</v>
      </c>
      <c r="I4789" t="s">
        <v>86</v>
      </c>
      <c r="J4789">
        <v>19.53</v>
      </c>
      <c r="K4789">
        <v>0.04</v>
      </c>
      <c r="L4789">
        <v>0.35</v>
      </c>
      <c r="M4789">
        <v>10.395</v>
      </c>
      <c r="N4789">
        <v>-19.39</v>
      </c>
      <c r="O4789" s="1" t="s">
        <v>29</v>
      </c>
      <c r="P4789" s="1" t="s">
        <v>10642</v>
      </c>
      <c r="Q4789" s="1" t="s">
        <v>10643</v>
      </c>
      <c r="R4789" s="1" t="s">
        <v>675</v>
      </c>
      <c r="S4789" s="1" t="s">
        <v>1324</v>
      </c>
      <c r="T4789" s="1" t="s">
        <v>1325</v>
      </c>
      <c r="U4789" s="2" t="s">
        <v>3164</v>
      </c>
      <c r="V4789" s="2" t="s">
        <v>47</v>
      </c>
      <c r="W4789" s="2" t="s">
        <v>74</v>
      </c>
      <c r="X4789" s="2">
        <v>13.93</v>
      </c>
    </row>
    <row r="4790" spans="1:24" x14ac:dyDescent="0.3">
      <c r="A4790">
        <v>22631</v>
      </c>
      <c r="B4790" t="s">
        <v>10641</v>
      </c>
      <c r="C4790" s="3">
        <v>41329</v>
      </c>
      <c r="D4790" t="s">
        <v>39</v>
      </c>
      <c r="E4790">
        <v>7</v>
      </c>
      <c r="F4790" s="3">
        <f ca="1">41330+(RANDBETWEEN(1,10))</f>
        <v>41336</v>
      </c>
      <c r="G4790" t="s">
        <v>26</v>
      </c>
      <c r="H4790" t="s">
        <v>27</v>
      </c>
      <c r="I4790" t="s">
        <v>86</v>
      </c>
      <c r="J4790">
        <v>2378.7049999999999</v>
      </c>
      <c r="K4790">
        <v>0.1</v>
      </c>
      <c r="L4790">
        <v>0.52</v>
      </c>
      <c r="M4790">
        <v>69.965000000000003</v>
      </c>
      <c r="N4790">
        <v>796.84500000000003</v>
      </c>
      <c r="O4790" s="1" t="s">
        <v>40</v>
      </c>
      <c r="P4790" s="1" t="s">
        <v>10644</v>
      </c>
      <c r="Q4790" s="1" t="s">
        <v>10645</v>
      </c>
      <c r="R4790" s="1" t="s">
        <v>43</v>
      </c>
      <c r="S4790" s="1" t="s">
        <v>10646</v>
      </c>
      <c r="T4790" s="1" t="s">
        <v>10647</v>
      </c>
      <c r="U4790" s="2" t="s">
        <v>1438</v>
      </c>
      <c r="V4790" s="2" t="s">
        <v>36</v>
      </c>
      <c r="W4790" s="2" t="s">
        <v>60</v>
      </c>
      <c r="X4790" s="2">
        <v>349.96499999999997</v>
      </c>
    </row>
    <row r="4791" spans="1:24" x14ac:dyDescent="0.3">
      <c r="A4791">
        <v>22632</v>
      </c>
      <c r="B4791" t="s">
        <v>10648</v>
      </c>
      <c r="C4791" s="3">
        <v>41665</v>
      </c>
      <c r="D4791" t="s">
        <v>25</v>
      </c>
      <c r="E4791">
        <v>1</v>
      </c>
      <c r="F4791" s="3">
        <f ca="1">41672+(RANDBETWEEN(1,10))</f>
        <v>41681</v>
      </c>
      <c r="G4791" t="s">
        <v>76</v>
      </c>
      <c r="H4791" t="s">
        <v>77</v>
      </c>
      <c r="I4791" t="s">
        <v>97</v>
      </c>
      <c r="J4791">
        <v>905.8</v>
      </c>
      <c r="K4791">
        <v>0.08</v>
      </c>
      <c r="L4791">
        <v>0.56000000000000005</v>
      </c>
      <c r="M4791">
        <v>98.21</v>
      </c>
      <c r="N4791">
        <v>-178.703</v>
      </c>
      <c r="O4791" s="1" t="s">
        <v>87</v>
      </c>
      <c r="P4791" s="1" t="s">
        <v>4538</v>
      </c>
      <c r="Q4791" s="1" t="s">
        <v>4539</v>
      </c>
      <c r="R4791" s="1" t="s">
        <v>646</v>
      </c>
      <c r="S4791" s="1" t="s">
        <v>4444</v>
      </c>
      <c r="T4791" s="1" t="s">
        <v>4445</v>
      </c>
      <c r="U4791" s="2" t="s">
        <v>6948</v>
      </c>
      <c r="V4791" s="2" t="s">
        <v>36</v>
      </c>
      <c r="W4791" s="2" t="s">
        <v>142</v>
      </c>
      <c r="X4791" s="2">
        <v>948.39499999999998</v>
      </c>
    </row>
    <row r="4792" spans="1:24" x14ac:dyDescent="0.3">
      <c r="A4792">
        <v>22633</v>
      </c>
      <c r="B4792" t="s">
        <v>10648</v>
      </c>
      <c r="C4792" s="3">
        <v>41665</v>
      </c>
      <c r="D4792" t="s">
        <v>25</v>
      </c>
      <c r="E4792">
        <v>12</v>
      </c>
      <c r="F4792" s="3">
        <f ca="1">41669+(RANDBETWEEN(1,10))</f>
        <v>41671</v>
      </c>
      <c r="G4792" t="s">
        <v>26</v>
      </c>
      <c r="H4792" t="s">
        <v>96</v>
      </c>
      <c r="I4792" t="s">
        <v>97</v>
      </c>
      <c r="J4792">
        <v>72.45</v>
      </c>
      <c r="K4792">
        <v>0.01</v>
      </c>
      <c r="L4792">
        <v>0.42</v>
      </c>
      <c r="M4792">
        <v>4.5149999999999997</v>
      </c>
      <c r="N4792">
        <v>3588.5639999999999</v>
      </c>
      <c r="O4792" s="1" t="s">
        <v>87</v>
      </c>
      <c r="P4792" s="1" t="s">
        <v>4538</v>
      </c>
      <c r="Q4792" s="1" t="s">
        <v>4539</v>
      </c>
      <c r="R4792" s="1" t="s">
        <v>646</v>
      </c>
      <c r="S4792" s="1" t="s">
        <v>4444</v>
      </c>
      <c r="T4792" s="1" t="s">
        <v>4445</v>
      </c>
      <c r="U4792" s="2" t="s">
        <v>9221</v>
      </c>
      <c r="V4792" s="2" t="s">
        <v>47</v>
      </c>
      <c r="W4792" s="2" t="s">
        <v>104</v>
      </c>
      <c r="X4792" s="2">
        <v>5.6</v>
      </c>
    </row>
    <row r="4793" spans="1:24" x14ac:dyDescent="0.3">
      <c r="A4793">
        <v>22634</v>
      </c>
      <c r="B4793" t="s">
        <v>10649</v>
      </c>
      <c r="C4793" s="3">
        <v>41898</v>
      </c>
      <c r="D4793" t="s">
        <v>62</v>
      </c>
      <c r="E4793">
        <v>18</v>
      </c>
      <c r="F4793" s="3">
        <f ca="1">41898+(RANDBETWEEN(1,10))</f>
        <v>41900</v>
      </c>
      <c r="G4793" t="s">
        <v>26</v>
      </c>
      <c r="H4793" t="s">
        <v>27</v>
      </c>
      <c r="I4793" t="s">
        <v>52</v>
      </c>
      <c r="J4793">
        <v>419.51</v>
      </c>
      <c r="K4793">
        <v>0.05</v>
      </c>
      <c r="L4793">
        <v>0.37</v>
      </c>
      <c r="M4793">
        <v>30.555</v>
      </c>
      <c r="N4793">
        <v>-530.94579999999996</v>
      </c>
      <c r="O4793" s="1" t="s">
        <v>64</v>
      </c>
      <c r="P4793" s="1" t="s">
        <v>10410</v>
      </c>
      <c r="Q4793" s="1" t="s">
        <v>10411</v>
      </c>
      <c r="R4793" s="1" t="s">
        <v>67</v>
      </c>
      <c r="S4793" s="1" t="s">
        <v>10412</v>
      </c>
      <c r="T4793" s="1" t="s">
        <v>10413</v>
      </c>
      <c r="U4793" s="2" t="s">
        <v>2564</v>
      </c>
      <c r="V4793" s="2" t="s">
        <v>47</v>
      </c>
      <c r="W4793" s="2" t="s">
        <v>74</v>
      </c>
      <c r="X4793" s="2">
        <v>22.68</v>
      </c>
    </row>
    <row r="4794" spans="1:24" x14ac:dyDescent="0.3">
      <c r="A4794">
        <v>22635</v>
      </c>
      <c r="B4794" t="s">
        <v>10650</v>
      </c>
      <c r="C4794" s="3">
        <v>41260</v>
      </c>
      <c r="D4794" t="s">
        <v>62</v>
      </c>
      <c r="E4794">
        <v>7</v>
      </c>
      <c r="F4794" s="3">
        <f ca="1">41263+(RANDBETWEEN(1,10))</f>
        <v>41265</v>
      </c>
      <c r="G4794" t="s">
        <v>26</v>
      </c>
      <c r="H4794" t="s">
        <v>27</v>
      </c>
      <c r="I4794" t="s">
        <v>52</v>
      </c>
      <c r="J4794">
        <v>428.4</v>
      </c>
      <c r="K4794">
        <v>0.09</v>
      </c>
      <c r="L4794">
        <v>0.54</v>
      </c>
      <c r="M4794">
        <v>17.605</v>
      </c>
      <c r="N4794">
        <v>25167.229500000001</v>
      </c>
      <c r="O4794" s="1" t="s">
        <v>87</v>
      </c>
      <c r="P4794" s="1" t="s">
        <v>9721</v>
      </c>
      <c r="Q4794" s="1" t="s">
        <v>9722</v>
      </c>
      <c r="R4794" s="1" t="s">
        <v>646</v>
      </c>
      <c r="S4794" s="1" t="s">
        <v>9723</v>
      </c>
      <c r="T4794" s="1" t="s">
        <v>9724</v>
      </c>
      <c r="U4794" s="2" t="s">
        <v>3463</v>
      </c>
      <c r="V4794" s="2" t="s">
        <v>83</v>
      </c>
      <c r="W4794" s="2" t="s">
        <v>178</v>
      </c>
      <c r="X4794" s="2">
        <v>62.23</v>
      </c>
    </row>
    <row r="4795" spans="1:24" x14ac:dyDescent="0.3">
      <c r="A4795">
        <v>22636</v>
      </c>
      <c r="B4795" t="s">
        <v>10650</v>
      </c>
      <c r="C4795" s="3">
        <v>41260</v>
      </c>
      <c r="D4795" t="s">
        <v>62</v>
      </c>
      <c r="E4795">
        <v>1</v>
      </c>
      <c r="F4795" s="3">
        <f ca="1">41262+(RANDBETWEEN(1,10))</f>
        <v>41265</v>
      </c>
      <c r="G4795" t="s">
        <v>26</v>
      </c>
      <c r="H4795" t="s">
        <v>27</v>
      </c>
      <c r="I4795" t="s">
        <v>52</v>
      </c>
      <c r="J4795">
        <v>203.56</v>
      </c>
      <c r="K4795">
        <v>0.04</v>
      </c>
      <c r="L4795">
        <v>0.55000000000000004</v>
      </c>
      <c r="M4795">
        <v>13.65</v>
      </c>
      <c r="N4795">
        <v>267.85500000000002</v>
      </c>
      <c r="O4795" s="1" t="s">
        <v>87</v>
      </c>
      <c r="P4795" s="1" t="s">
        <v>9721</v>
      </c>
      <c r="Q4795" s="1" t="s">
        <v>9722</v>
      </c>
      <c r="R4795" s="1" t="s">
        <v>646</v>
      </c>
      <c r="S4795" s="1" t="s">
        <v>9723</v>
      </c>
      <c r="T4795" s="1" t="s">
        <v>9724</v>
      </c>
      <c r="U4795" s="2" t="s">
        <v>3221</v>
      </c>
      <c r="V4795" s="2" t="s">
        <v>36</v>
      </c>
      <c r="W4795" s="2" t="s">
        <v>37</v>
      </c>
      <c r="X4795" s="2">
        <v>230.965</v>
      </c>
    </row>
    <row r="4796" spans="1:24" x14ac:dyDescent="0.3">
      <c r="A4796">
        <v>22637</v>
      </c>
      <c r="B4796" t="s">
        <v>10651</v>
      </c>
      <c r="C4796" s="3">
        <v>41181</v>
      </c>
      <c r="D4796" t="s">
        <v>50</v>
      </c>
      <c r="E4796">
        <v>6</v>
      </c>
      <c r="F4796" s="3">
        <f ca="1">41182+(RANDBETWEEN(1,10))</f>
        <v>41186</v>
      </c>
      <c r="G4796" t="s">
        <v>76</v>
      </c>
      <c r="H4796" t="s">
        <v>258</v>
      </c>
      <c r="I4796" t="s">
        <v>28</v>
      </c>
      <c r="J4796">
        <v>2687.72</v>
      </c>
      <c r="K4796">
        <v>0.1</v>
      </c>
      <c r="L4796">
        <v>0.69</v>
      </c>
      <c r="M4796">
        <v>191.59</v>
      </c>
      <c r="N4796">
        <v>-1696.24</v>
      </c>
      <c r="O4796" s="1" t="s">
        <v>64</v>
      </c>
      <c r="P4796" s="1" t="s">
        <v>9559</v>
      </c>
      <c r="Q4796" s="1" t="s">
        <v>9560</v>
      </c>
      <c r="R4796" s="1" t="s">
        <v>67</v>
      </c>
      <c r="S4796" s="1" t="s">
        <v>9561</v>
      </c>
      <c r="T4796" s="1" t="s">
        <v>9562</v>
      </c>
      <c r="U4796" s="2" t="s">
        <v>493</v>
      </c>
      <c r="V4796" s="2" t="s">
        <v>83</v>
      </c>
      <c r="W4796" s="2" t="s">
        <v>298</v>
      </c>
      <c r="X4796" s="2">
        <v>458.43</v>
      </c>
    </row>
    <row r="4797" spans="1:24" x14ac:dyDescent="0.3">
      <c r="A4797">
        <v>22638</v>
      </c>
      <c r="B4797" t="s">
        <v>10652</v>
      </c>
      <c r="C4797" s="3">
        <v>40647</v>
      </c>
      <c r="D4797" t="s">
        <v>25</v>
      </c>
      <c r="E4797">
        <v>4</v>
      </c>
      <c r="F4797" s="3">
        <f ca="1">40652+(RANDBETWEEN(1,10))</f>
        <v>40653</v>
      </c>
      <c r="G4797" t="s">
        <v>76</v>
      </c>
      <c r="H4797" t="s">
        <v>258</v>
      </c>
      <c r="I4797" t="s">
        <v>97</v>
      </c>
      <c r="J4797">
        <v>1386.665</v>
      </c>
      <c r="K4797">
        <v>0.09</v>
      </c>
      <c r="L4797">
        <v>0.62</v>
      </c>
      <c r="M4797">
        <v>125.44</v>
      </c>
      <c r="N4797">
        <v>-677.53</v>
      </c>
      <c r="O4797" s="1" t="s">
        <v>64</v>
      </c>
      <c r="P4797" s="1" t="s">
        <v>10653</v>
      </c>
      <c r="Q4797" s="1" t="s">
        <v>10654</v>
      </c>
      <c r="R4797" s="1" t="s">
        <v>67</v>
      </c>
      <c r="S4797" s="1" t="s">
        <v>10655</v>
      </c>
      <c r="T4797" s="1" t="s">
        <v>10656</v>
      </c>
      <c r="U4797" s="2" t="s">
        <v>1271</v>
      </c>
      <c r="V4797" s="2" t="s">
        <v>83</v>
      </c>
      <c r="W4797" s="2" t="s">
        <v>298</v>
      </c>
      <c r="X4797" s="2">
        <v>353.43</v>
      </c>
    </row>
    <row r="4798" spans="1:24" x14ac:dyDescent="0.3">
      <c r="A4798">
        <v>22639</v>
      </c>
      <c r="B4798" t="s">
        <v>10657</v>
      </c>
      <c r="C4798" s="3">
        <v>40567</v>
      </c>
      <c r="D4798" t="s">
        <v>25</v>
      </c>
      <c r="E4798">
        <v>1</v>
      </c>
      <c r="F4798" s="3">
        <f ca="1">40572+(RANDBETWEEN(1,10))</f>
        <v>40576</v>
      </c>
      <c r="G4798" t="s">
        <v>26</v>
      </c>
      <c r="H4798" t="s">
        <v>27</v>
      </c>
      <c r="I4798" t="s">
        <v>86</v>
      </c>
      <c r="J4798">
        <v>222.81</v>
      </c>
      <c r="K4798">
        <v>0.08</v>
      </c>
      <c r="L4798">
        <v>0.57999999999999996</v>
      </c>
      <c r="M4798">
        <v>3.4649999999999999</v>
      </c>
      <c r="N4798">
        <v>-82.720399999999998</v>
      </c>
      <c r="O4798" s="1" t="s">
        <v>53</v>
      </c>
      <c r="P4798" s="1" t="s">
        <v>10658</v>
      </c>
      <c r="Q4798" s="1" t="s">
        <v>10659</v>
      </c>
      <c r="R4798" s="1" t="s">
        <v>440</v>
      </c>
      <c r="S4798" s="1" t="s">
        <v>10660</v>
      </c>
      <c r="T4798" s="1" t="s">
        <v>10661</v>
      </c>
      <c r="U4798" s="2" t="s">
        <v>8304</v>
      </c>
      <c r="V4798" s="2" t="s">
        <v>47</v>
      </c>
      <c r="W4798" s="2" t="s">
        <v>71</v>
      </c>
      <c r="X4798" s="2">
        <v>237.44</v>
      </c>
    </row>
    <row r="4799" spans="1:24" x14ac:dyDescent="0.3">
      <c r="A4799">
        <v>22640</v>
      </c>
      <c r="B4799" t="s">
        <v>10662</v>
      </c>
      <c r="C4799" s="3">
        <v>41790</v>
      </c>
      <c r="D4799" t="s">
        <v>39</v>
      </c>
      <c r="E4799">
        <v>13</v>
      </c>
      <c r="F4799" s="3">
        <f ca="1">41792+(RANDBETWEEN(1,10))</f>
        <v>41795</v>
      </c>
      <c r="G4799" t="s">
        <v>76</v>
      </c>
      <c r="H4799" t="s">
        <v>258</v>
      </c>
      <c r="I4799" t="s">
        <v>52</v>
      </c>
      <c r="J4799">
        <v>18699.625</v>
      </c>
      <c r="K4799">
        <v>0.02</v>
      </c>
      <c r="L4799">
        <v>0.79</v>
      </c>
      <c r="M4799">
        <v>263.30500000000001</v>
      </c>
      <c r="N4799">
        <v>-3530.5570299999999</v>
      </c>
      <c r="O4799" s="1" t="s">
        <v>53</v>
      </c>
      <c r="P4799" s="1" t="s">
        <v>9890</v>
      </c>
      <c r="Q4799" s="1" t="s">
        <v>9891</v>
      </c>
      <c r="R4799" s="1" t="s">
        <v>100</v>
      </c>
      <c r="S4799" s="1" t="s">
        <v>9892</v>
      </c>
      <c r="T4799" s="1" t="s">
        <v>9893</v>
      </c>
      <c r="U4799" s="2" t="s">
        <v>7995</v>
      </c>
      <c r="V4799" s="2" t="s">
        <v>83</v>
      </c>
      <c r="W4799" s="2" t="s">
        <v>263</v>
      </c>
      <c r="X4799" s="2">
        <v>1460.9</v>
      </c>
    </row>
    <row r="4800" spans="1:24" x14ac:dyDescent="0.3">
      <c r="A4800">
        <v>22641</v>
      </c>
      <c r="B4800" t="s">
        <v>10662</v>
      </c>
      <c r="C4800" s="3">
        <v>41790</v>
      </c>
      <c r="D4800" t="s">
        <v>39</v>
      </c>
      <c r="E4800">
        <v>3</v>
      </c>
      <c r="F4800" s="3">
        <f ca="1">41791+(RANDBETWEEN(1,10))</f>
        <v>41800</v>
      </c>
      <c r="G4800" t="s">
        <v>26</v>
      </c>
      <c r="H4800" t="s">
        <v>27</v>
      </c>
      <c r="I4800" t="s">
        <v>52</v>
      </c>
      <c r="J4800">
        <v>968.94</v>
      </c>
      <c r="K4800">
        <v>0.1</v>
      </c>
      <c r="L4800">
        <v>0.56999999999999995</v>
      </c>
      <c r="M4800">
        <v>8.75</v>
      </c>
      <c r="N4800">
        <v>-1002.2705</v>
      </c>
      <c r="O4800" s="1" t="s">
        <v>53</v>
      </c>
      <c r="P4800" s="1" t="s">
        <v>9890</v>
      </c>
      <c r="Q4800" s="1" t="s">
        <v>9891</v>
      </c>
      <c r="R4800" s="1" t="s">
        <v>100</v>
      </c>
      <c r="S4800" s="1" t="s">
        <v>9892</v>
      </c>
      <c r="T4800" s="1" t="s">
        <v>9893</v>
      </c>
      <c r="U4800" s="2">
        <v>6160</v>
      </c>
      <c r="V4800" s="2" t="s">
        <v>36</v>
      </c>
      <c r="W4800" s="2" t="s">
        <v>37</v>
      </c>
      <c r="X4800" s="2">
        <v>405.96499999999997</v>
      </c>
    </row>
    <row r="4801" spans="1:24" x14ac:dyDescent="0.3">
      <c r="A4801">
        <v>22642</v>
      </c>
      <c r="B4801" t="s">
        <v>10663</v>
      </c>
      <c r="C4801" s="3">
        <v>41875</v>
      </c>
      <c r="D4801" t="s">
        <v>39</v>
      </c>
      <c r="E4801">
        <v>12</v>
      </c>
      <c r="F4801" s="3">
        <f ca="1">41877+(RANDBETWEEN(1,10))</f>
        <v>41879</v>
      </c>
      <c r="G4801" t="s">
        <v>76</v>
      </c>
      <c r="H4801" t="s">
        <v>77</v>
      </c>
      <c r="I4801" t="s">
        <v>97</v>
      </c>
      <c r="J4801">
        <v>963.69</v>
      </c>
      <c r="K4801">
        <v>0.08</v>
      </c>
      <c r="L4801">
        <v>0.62</v>
      </c>
      <c r="M4801">
        <v>54.88</v>
      </c>
      <c r="N4801">
        <v>-199.79092</v>
      </c>
      <c r="O4801" s="1" t="s">
        <v>64</v>
      </c>
      <c r="P4801" s="1" t="s">
        <v>9083</v>
      </c>
      <c r="Q4801" s="1" t="s">
        <v>9084</v>
      </c>
      <c r="R4801" s="1" t="s">
        <v>67</v>
      </c>
      <c r="S4801" s="1" t="s">
        <v>9085</v>
      </c>
      <c r="T4801" s="1" t="s">
        <v>2127</v>
      </c>
      <c r="U4801" s="2" t="s">
        <v>7937</v>
      </c>
      <c r="V4801" s="2" t="s">
        <v>83</v>
      </c>
      <c r="W4801" s="2" t="s">
        <v>178</v>
      </c>
      <c r="X4801" s="2">
        <v>83.965000000000003</v>
      </c>
    </row>
    <row r="4802" spans="1:24" x14ac:dyDescent="0.3">
      <c r="A4802">
        <v>22643</v>
      </c>
      <c r="B4802" t="s">
        <v>10663</v>
      </c>
      <c r="C4802" s="3">
        <v>41875</v>
      </c>
      <c r="D4802" t="s">
        <v>39</v>
      </c>
      <c r="E4802">
        <v>9</v>
      </c>
      <c r="F4802" s="3">
        <f ca="1">41876+(RANDBETWEEN(1,10))</f>
        <v>41878</v>
      </c>
      <c r="G4802" t="s">
        <v>26</v>
      </c>
      <c r="H4802" t="s">
        <v>27</v>
      </c>
      <c r="I4802" t="s">
        <v>97</v>
      </c>
      <c r="J4802">
        <v>211.68</v>
      </c>
      <c r="K4802">
        <v>0.02</v>
      </c>
      <c r="L4802">
        <v>0.36</v>
      </c>
      <c r="M4802">
        <v>23.274999999999999</v>
      </c>
      <c r="N4802">
        <v>-79.675960000000003</v>
      </c>
      <c r="O4802" s="1" t="s">
        <v>64</v>
      </c>
      <c r="P4802" s="1" t="s">
        <v>9083</v>
      </c>
      <c r="Q4802" s="1" t="s">
        <v>9084</v>
      </c>
      <c r="R4802" s="1" t="s">
        <v>67</v>
      </c>
      <c r="S4802" s="1" t="s">
        <v>9085</v>
      </c>
      <c r="T4802" s="1" t="s">
        <v>2127</v>
      </c>
      <c r="U4802" s="2" t="s">
        <v>3190</v>
      </c>
      <c r="V4802" s="2" t="s">
        <v>47</v>
      </c>
      <c r="W4802" s="2" t="s">
        <v>74</v>
      </c>
      <c r="X4802" s="2">
        <v>22.68</v>
      </c>
    </row>
    <row r="4803" spans="1:24" x14ac:dyDescent="0.3">
      <c r="A4803">
        <v>22644</v>
      </c>
      <c r="B4803" t="s">
        <v>10664</v>
      </c>
      <c r="C4803" s="3">
        <v>40958</v>
      </c>
      <c r="D4803" t="s">
        <v>39</v>
      </c>
      <c r="E4803">
        <v>1</v>
      </c>
      <c r="F4803" s="3">
        <f ca="1">40959+(RANDBETWEEN(1,10))</f>
        <v>40969</v>
      </c>
      <c r="G4803" t="s">
        <v>26</v>
      </c>
      <c r="H4803" t="s">
        <v>27</v>
      </c>
      <c r="I4803" t="s">
        <v>97</v>
      </c>
      <c r="J4803">
        <v>18.515000000000001</v>
      </c>
      <c r="K4803">
        <v>0.05</v>
      </c>
      <c r="L4803">
        <v>0.35</v>
      </c>
      <c r="M4803">
        <v>16.414999999999999</v>
      </c>
      <c r="N4803">
        <v>-250.87020000000001</v>
      </c>
      <c r="O4803" s="1" t="s">
        <v>40</v>
      </c>
      <c r="P4803" s="1" t="s">
        <v>8516</v>
      </c>
      <c r="Q4803" s="1" t="s">
        <v>8517</v>
      </c>
      <c r="R4803" s="1" t="s">
        <v>43</v>
      </c>
      <c r="S4803" s="1" t="s">
        <v>8518</v>
      </c>
      <c r="T4803" s="1" t="s">
        <v>8519</v>
      </c>
      <c r="U4803" s="2" t="s">
        <v>6993</v>
      </c>
      <c r="V4803" s="2" t="s">
        <v>47</v>
      </c>
      <c r="W4803" s="2" t="s">
        <v>111</v>
      </c>
      <c r="X4803" s="2">
        <v>13.09</v>
      </c>
    </row>
    <row r="4804" spans="1:24" x14ac:dyDescent="0.3">
      <c r="A4804">
        <v>22645</v>
      </c>
      <c r="B4804" t="s">
        <v>10665</v>
      </c>
      <c r="C4804" s="3">
        <v>41470</v>
      </c>
      <c r="D4804" t="s">
        <v>39</v>
      </c>
      <c r="E4804">
        <v>16</v>
      </c>
      <c r="F4804" s="3">
        <f ca="1">41472+(RANDBETWEEN(1,10))</f>
        <v>41476</v>
      </c>
      <c r="G4804" t="s">
        <v>26</v>
      </c>
      <c r="H4804" t="s">
        <v>27</v>
      </c>
      <c r="I4804" t="s">
        <v>97</v>
      </c>
      <c r="J4804">
        <v>6205.36</v>
      </c>
      <c r="K4804">
        <v>0.06</v>
      </c>
      <c r="L4804">
        <v>0.78</v>
      </c>
      <c r="M4804">
        <v>30.24</v>
      </c>
      <c r="N4804">
        <v>1838.0250000000001</v>
      </c>
      <c r="O4804" s="1" t="s">
        <v>53</v>
      </c>
      <c r="P4804" s="1" t="s">
        <v>10666</v>
      </c>
      <c r="Q4804" s="1" t="s">
        <v>10667</v>
      </c>
      <c r="R4804" s="1" t="s">
        <v>56</v>
      </c>
      <c r="S4804" s="1" t="s">
        <v>1722</v>
      </c>
      <c r="T4804" s="1" t="s">
        <v>1723</v>
      </c>
      <c r="U4804" s="2" t="s">
        <v>5174</v>
      </c>
      <c r="V4804" s="2" t="s">
        <v>47</v>
      </c>
      <c r="W4804" s="2" t="s">
        <v>119</v>
      </c>
      <c r="X4804" s="2">
        <v>388.60500000000002</v>
      </c>
    </row>
    <row r="4805" spans="1:24" x14ac:dyDescent="0.3">
      <c r="A4805">
        <v>22646</v>
      </c>
      <c r="B4805" t="s">
        <v>10668</v>
      </c>
      <c r="C4805" s="3">
        <v>40760</v>
      </c>
      <c r="D4805" t="s">
        <v>148</v>
      </c>
      <c r="E4805">
        <v>12</v>
      </c>
      <c r="F4805" s="3">
        <f ca="1">40761+(RANDBETWEEN(1,10))</f>
        <v>40766</v>
      </c>
      <c r="G4805" t="s">
        <v>26</v>
      </c>
      <c r="H4805" t="s">
        <v>27</v>
      </c>
      <c r="I4805" t="s">
        <v>28</v>
      </c>
      <c r="J4805">
        <v>1670.2</v>
      </c>
      <c r="K4805">
        <v>0</v>
      </c>
      <c r="L4805">
        <v>0.56999999999999995</v>
      </c>
      <c r="M4805">
        <v>45.15</v>
      </c>
      <c r="N4805">
        <v>328.46379999999999</v>
      </c>
      <c r="O4805" s="1" t="s">
        <v>53</v>
      </c>
      <c r="P4805" s="1" t="s">
        <v>10669</v>
      </c>
      <c r="Q4805" s="1" t="s">
        <v>10670</v>
      </c>
      <c r="R4805" s="1" t="s">
        <v>100</v>
      </c>
      <c r="S4805" s="1" t="s">
        <v>3040</v>
      </c>
      <c r="T4805" s="1" t="s">
        <v>3041</v>
      </c>
      <c r="U4805" s="2" t="s">
        <v>4567</v>
      </c>
      <c r="V4805" s="2" t="s">
        <v>47</v>
      </c>
      <c r="W4805" s="2" t="s">
        <v>119</v>
      </c>
      <c r="X4805" s="2">
        <v>132.16</v>
      </c>
    </row>
    <row r="4806" spans="1:24" x14ac:dyDescent="0.3">
      <c r="A4806">
        <v>22647</v>
      </c>
      <c r="B4806" t="s">
        <v>10671</v>
      </c>
      <c r="C4806" s="3">
        <v>41299</v>
      </c>
      <c r="D4806" t="s">
        <v>39</v>
      </c>
      <c r="E4806">
        <v>7</v>
      </c>
      <c r="F4806" s="3">
        <f ca="1">41301+(RANDBETWEEN(1,10))</f>
        <v>41310</v>
      </c>
      <c r="G4806" t="s">
        <v>26</v>
      </c>
      <c r="H4806" t="s">
        <v>27</v>
      </c>
      <c r="I4806" t="s">
        <v>97</v>
      </c>
      <c r="J4806">
        <v>270.86500000000001</v>
      </c>
      <c r="K4806">
        <v>0.02</v>
      </c>
      <c r="L4806">
        <v>0.4</v>
      </c>
      <c r="M4806">
        <v>40.564999999999998</v>
      </c>
      <c r="N4806">
        <v>-558.51459999999997</v>
      </c>
      <c r="O4806" s="1" t="s">
        <v>53</v>
      </c>
      <c r="P4806" s="1" t="s">
        <v>2067</v>
      </c>
      <c r="Q4806" s="1" t="s">
        <v>2068</v>
      </c>
      <c r="R4806" s="1" t="s">
        <v>56</v>
      </c>
      <c r="S4806" s="1" t="s">
        <v>2069</v>
      </c>
      <c r="T4806" s="1" t="s">
        <v>2070</v>
      </c>
      <c r="U4806" s="2" t="s">
        <v>4430</v>
      </c>
      <c r="V4806" s="2" t="s">
        <v>47</v>
      </c>
      <c r="W4806" s="2" t="s">
        <v>74</v>
      </c>
      <c r="X4806" s="2">
        <v>34.965000000000003</v>
      </c>
    </row>
    <row r="4807" spans="1:24" x14ac:dyDescent="0.3">
      <c r="A4807">
        <v>22648</v>
      </c>
      <c r="B4807" t="s">
        <v>10672</v>
      </c>
      <c r="C4807" s="3">
        <v>41685</v>
      </c>
      <c r="D4807" t="s">
        <v>50</v>
      </c>
      <c r="E4807">
        <v>8</v>
      </c>
      <c r="F4807" s="3">
        <f ca="1">41687+(RANDBETWEEN(1,10))</f>
        <v>41692</v>
      </c>
      <c r="G4807" t="s">
        <v>26</v>
      </c>
      <c r="H4807" t="s">
        <v>27</v>
      </c>
      <c r="I4807" t="s">
        <v>52</v>
      </c>
      <c r="J4807">
        <v>4523.6099999999997</v>
      </c>
      <c r="K4807">
        <v>0.01</v>
      </c>
      <c r="L4807">
        <v>0.49</v>
      </c>
      <c r="M4807">
        <v>19.25</v>
      </c>
      <c r="N4807">
        <v>3121.2909</v>
      </c>
      <c r="O4807" s="1" t="s">
        <v>29</v>
      </c>
      <c r="P4807" s="1" t="s">
        <v>8843</v>
      </c>
      <c r="Q4807" s="1" t="s">
        <v>8844</v>
      </c>
      <c r="R4807" s="1" t="s">
        <v>32</v>
      </c>
      <c r="S4807" s="1" t="s">
        <v>8845</v>
      </c>
      <c r="T4807" s="1" t="s">
        <v>8846</v>
      </c>
      <c r="U4807" s="2" t="s">
        <v>3822</v>
      </c>
      <c r="V4807" s="2" t="s">
        <v>36</v>
      </c>
      <c r="W4807" s="2" t="s">
        <v>60</v>
      </c>
      <c r="X4807" s="2">
        <v>559.96500000000003</v>
      </c>
    </row>
    <row r="4808" spans="1:24" x14ac:dyDescent="0.3">
      <c r="A4808">
        <v>22649</v>
      </c>
      <c r="B4808" t="s">
        <v>10673</v>
      </c>
      <c r="C4808" s="3">
        <v>40589</v>
      </c>
      <c r="D4808" t="s">
        <v>50</v>
      </c>
      <c r="E4808">
        <v>9</v>
      </c>
      <c r="F4808" s="3">
        <f ca="1">40590+(RANDBETWEEN(1,10))</f>
        <v>40598</v>
      </c>
      <c r="G4808" t="s">
        <v>26</v>
      </c>
      <c r="H4808" t="s">
        <v>27</v>
      </c>
      <c r="I4808" t="s">
        <v>52</v>
      </c>
      <c r="J4808">
        <v>2360.9250000000002</v>
      </c>
      <c r="K4808">
        <v>0.1</v>
      </c>
      <c r="L4808">
        <v>0.43</v>
      </c>
      <c r="M4808">
        <v>69.965000000000003</v>
      </c>
      <c r="N4808">
        <v>1629.0382500000001</v>
      </c>
      <c r="O4808" s="1" t="s">
        <v>29</v>
      </c>
      <c r="P4808" s="1" t="s">
        <v>8843</v>
      </c>
      <c r="Q4808" s="1" t="s">
        <v>8844</v>
      </c>
      <c r="R4808" s="1" t="s">
        <v>32</v>
      </c>
      <c r="S4808" s="1" t="s">
        <v>8845</v>
      </c>
      <c r="T4808" s="1" t="s">
        <v>8846</v>
      </c>
      <c r="U4808" s="2" t="s">
        <v>7425</v>
      </c>
      <c r="V4808" s="2" t="s">
        <v>83</v>
      </c>
      <c r="W4808" s="2" t="s">
        <v>178</v>
      </c>
      <c r="X4808" s="2">
        <v>275.41500000000002</v>
      </c>
    </row>
    <row r="4809" spans="1:24" x14ac:dyDescent="0.3">
      <c r="A4809">
        <v>22650</v>
      </c>
      <c r="B4809" t="s">
        <v>10674</v>
      </c>
      <c r="C4809" s="3">
        <v>41079</v>
      </c>
      <c r="D4809" t="s">
        <v>25</v>
      </c>
      <c r="E4809">
        <v>8</v>
      </c>
      <c r="F4809" s="3">
        <f ca="1">41086+(RANDBETWEEN(1,10))</f>
        <v>41089</v>
      </c>
      <c r="G4809" t="s">
        <v>76</v>
      </c>
      <c r="H4809" t="s">
        <v>258</v>
      </c>
      <c r="I4809" t="s">
        <v>86</v>
      </c>
      <c r="J4809">
        <v>11291.49</v>
      </c>
      <c r="K4809">
        <v>0</v>
      </c>
      <c r="L4809">
        <v>0.36</v>
      </c>
      <c r="M4809">
        <v>168.91</v>
      </c>
      <c r="N4809">
        <v>7791.1280999999999</v>
      </c>
      <c r="O4809" s="1" t="s">
        <v>225</v>
      </c>
      <c r="P4809" s="1" t="s">
        <v>7674</v>
      </c>
      <c r="Q4809" s="1" t="s">
        <v>7675</v>
      </c>
      <c r="R4809" s="1" t="s">
        <v>391</v>
      </c>
      <c r="S4809" s="1" t="s">
        <v>7676</v>
      </c>
      <c r="T4809" s="1" t="s">
        <v>7677</v>
      </c>
      <c r="U4809" s="2" t="s">
        <v>7536</v>
      </c>
      <c r="V4809" s="2" t="s">
        <v>36</v>
      </c>
      <c r="W4809" s="2" t="s">
        <v>142</v>
      </c>
      <c r="X4809" s="2">
        <v>1403.395</v>
      </c>
    </row>
    <row r="4810" spans="1:24" x14ac:dyDescent="0.3">
      <c r="A4810">
        <v>22651</v>
      </c>
      <c r="B4810" t="s">
        <v>10675</v>
      </c>
      <c r="C4810" s="3">
        <v>41237</v>
      </c>
      <c r="D4810" t="s">
        <v>148</v>
      </c>
      <c r="E4810">
        <v>35</v>
      </c>
      <c r="F4810" s="3">
        <f ca="1">41239+(RANDBETWEEN(1,10))</f>
        <v>41249</v>
      </c>
      <c r="G4810" t="s">
        <v>76</v>
      </c>
      <c r="H4810" t="s">
        <v>258</v>
      </c>
      <c r="I4810" t="s">
        <v>28</v>
      </c>
      <c r="J4810">
        <v>18064.2</v>
      </c>
      <c r="K4810">
        <v>0.08</v>
      </c>
      <c r="L4810">
        <v>0.65</v>
      </c>
      <c r="M4810">
        <v>231.94499999999999</v>
      </c>
      <c r="N4810">
        <v>697.66899999999998</v>
      </c>
      <c r="O4810" s="1" t="s">
        <v>64</v>
      </c>
      <c r="P4810" s="1" t="s">
        <v>9470</v>
      </c>
      <c r="Q4810" s="1" t="s">
        <v>9471</v>
      </c>
      <c r="R4810" s="1" t="s">
        <v>128</v>
      </c>
      <c r="S4810" s="1" t="s">
        <v>9472</v>
      </c>
      <c r="T4810" s="1" t="s">
        <v>9473</v>
      </c>
      <c r="U4810" s="2" t="s">
        <v>3398</v>
      </c>
      <c r="V4810" s="2" t="s">
        <v>83</v>
      </c>
      <c r="W4810" s="2" t="s">
        <v>298</v>
      </c>
      <c r="X4810" s="2">
        <v>528.42999999999995</v>
      </c>
    </row>
    <row r="4811" spans="1:24" x14ac:dyDescent="0.3">
      <c r="A4811">
        <v>22652</v>
      </c>
      <c r="B4811" t="s">
        <v>10676</v>
      </c>
      <c r="C4811" s="3">
        <v>41590</v>
      </c>
      <c r="D4811" t="s">
        <v>62</v>
      </c>
      <c r="E4811">
        <v>39</v>
      </c>
      <c r="F4811" s="3">
        <f ca="1">41591+(RANDBETWEEN(1,10))</f>
        <v>41600</v>
      </c>
      <c r="G4811" t="s">
        <v>156</v>
      </c>
      <c r="H4811" t="s">
        <v>281</v>
      </c>
      <c r="I4811" t="s">
        <v>86</v>
      </c>
      <c r="J4811">
        <v>17744.509999999998</v>
      </c>
      <c r="K4811">
        <v>0.01</v>
      </c>
      <c r="L4811" t="s">
        <v>182</v>
      </c>
      <c r="M4811">
        <v>44.274999999999999</v>
      </c>
      <c r="N4811">
        <v>12243.7119</v>
      </c>
      <c r="O4811" s="1" t="s">
        <v>225</v>
      </c>
      <c r="P4811" s="1" t="s">
        <v>9379</v>
      </c>
      <c r="Q4811" s="1" t="s">
        <v>9380</v>
      </c>
      <c r="R4811" s="1" t="s">
        <v>391</v>
      </c>
      <c r="S4811" s="1" t="s">
        <v>9381</v>
      </c>
      <c r="T4811" s="1" t="s">
        <v>9382</v>
      </c>
      <c r="U4811" s="2" t="s">
        <v>1695</v>
      </c>
      <c r="V4811" s="2" t="s">
        <v>83</v>
      </c>
      <c r="W4811" s="2" t="s">
        <v>84</v>
      </c>
      <c r="X4811" s="2">
        <v>448.84</v>
      </c>
    </row>
    <row r="4812" spans="1:24" x14ac:dyDescent="0.3">
      <c r="A4812">
        <v>22653</v>
      </c>
      <c r="B4812" t="s">
        <v>10676</v>
      </c>
      <c r="C4812" s="3">
        <v>41590</v>
      </c>
      <c r="D4812" t="s">
        <v>62</v>
      </c>
      <c r="E4812">
        <v>24</v>
      </c>
      <c r="F4812" s="3">
        <f ca="1">41592+(RANDBETWEEN(1,10))</f>
        <v>41600</v>
      </c>
      <c r="G4812" t="s">
        <v>26</v>
      </c>
      <c r="H4812" t="s">
        <v>27</v>
      </c>
      <c r="I4812" t="s">
        <v>86</v>
      </c>
      <c r="J4812">
        <v>527.27499999999998</v>
      </c>
      <c r="K4812">
        <v>0.06</v>
      </c>
      <c r="L4812">
        <v>0.39</v>
      </c>
      <c r="M4812">
        <v>1.75</v>
      </c>
      <c r="N4812">
        <v>363.81975</v>
      </c>
      <c r="O4812" s="1" t="s">
        <v>225</v>
      </c>
      <c r="P4812" s="1" t="s">
        <v>9379</v>
      </c>
      <c r="Q4812" s="1" t="s">
        <v>9380</v>
      </c>
      <c r="R4812" s="1" t="s">
        <v>391</v>
      </c>
      <c r="S4812" s="1" t="s">
        <v>9381</v>
      </c>
      <c r="T4812" s="1" t="s">
        <v>9382</v>
      </c>
      <c r="U4812" s="2" t="s">
        <v>2675</v>
      </c>
      <c r="V4812" s="2" t="s">
        <v>47</v>
      </c>
      <c r="W4812" s="2" t="s">
        <v>203</v>
      </c>
      <c r="X4812" s="2">
        <v>22.05</v>
      </c>
    </row>
    <row r="4813" spans="1:24" x14ac:dyDescent="0.3">
      <c r="A4813">
        <v>22654</v>
      </c>
      <c r="B4813" t="s">
        <v>10677</v>
      </c>
      <c r="C4813" s="3">
        <v>41234</v>
      </c>
      <c r="D4813" t="s">
        <v>62</v>
      </c>
      <c r="E4813">
        <v>16</v>
      </c>
      <c r="F4813" s="3">
        <f ca="1">41236+(RANDBETWEEN(1,10))</f>
        <v>41239</v>
      </c>
      <c r="G4813" t="s">
        <v>26</v>
      </c>
      <c r="H4813" t="s">
        <v>27</v>
      </c>
      <c r="I4813" t="s">
        <v>28</v>
      </c>
      <c r="J4813">
        <v>7573.65</v>
      </c>
      <c r="K4813">
        <v>0</v>
      </c>
      <c r="L4813">
        <v>0.55000000000000004</v>
      </c>
      <c r="M4813">
        <v>31.465</v>
      </c>
      <c r="N4813">
        <v>3064.6538999999998</v>
      </c>
      <c r="O4813" s="1" t="s">
        <v>40</v>
      </c>
      <c r="P4813" s="1" t="s">
        <v>10067</v>
      </c>
      <c r="Q4813" s="1" t="s">
        <v>10068</v>
      </c>
      <c r="R4813" s="1" t="s">
        <v>43</v>
      </c>
      <c r="S4813" s="1" t="s">
        <v>10069</v>
      </c>
      <c r="T4813" s="1" t="s">
        <v>10070</v>
      </c>
      <c r="U4813" s="2" t="s">
        <v>9184</v>
      </c>
      <c r="V4813" s="2" t="s">
        <v>36</v>
      </c>
      <c r="W4813" s="2" t="s">
        <v>37</v>
      </c>
      <c r="X4813" s="2">
        <v>545.96500000000003</v>
      </c>
    </row>
    <row r="4814" spans="1:24" x14ac:dyDescent="0.3">
      <c r="A4814">
        <v>22655</v>
      </c>
      <c r="B4814" t="s">
        <v>10678</v>
      </c>
      <c r="C4814" s="3">
        <v>41124</v>
      </c>
      <c r="D4814" t="s">
        <v>62</v>
      </c>
      <c r="E4814">
        <v>3</v>
      </c>
      <c r="F4814" s="3">
        <f ca="1">41127+(RANDBETWEEN(1,10))</f>
        <v>41136</v>
      </c>
      <c r="G4814" t="s">
        <v>26</v>
      </c>
      <c r="H4814" t="s">
        <v>27</v>
      </c>
      <c r="I4814" t="s">
        <v>28</v>
      </c>
      <c r="J4814">
        <v>552.02</v>
      </c>
      <c r="K4814">
        <v>0.09</v>
      </c>
      <c r="L4814">
        <v>0.59</v>
      </c>
      <c r="M4814">
        <v>14.7</v>
      </c>
      <c r="N4814">
        <v>-398.23784000000001</v>
      </c>
      <c r="O4814" s="1" t="s">
        <v>40</v>
      </c>
      <c r="P4814" s="1" t="s">
        <v>10679</v>
      </c>
      <c r="Q4814" s="1" t="s">
        <v>10680</v>
      </c>
      <c r="R4814" s="1" t="s">
        <v>220</v>
      </c>
      <c r="S4814" s="1" t="s">
        <v>7048</v>
      </c>
      <c r="T4814" s="1" t="s">
        <v>7049</v>
      </c>
      <c r="U4814" s="2">
        <v>5170</v>
      </c>
      <c r="V4814" s="2" t="s">
        <v>36</v>
      </c>
      <c r="W4814" s="2" t="s">
        <v>37</v>
      </c>
      <c r="X4814" s="2">
        <v>230.965</v>
      </c>
    </row>
    <row r="4815" spans="1:24" x14ac:dyDescent="0.3">
      <c r="A4815">
        <v>22656</v>
      </c>
      <c r="B4815" t="s">
        <v>10681</v>
      </c>
      <c r="C4815" s="3">
        <v>41756</v>
      </c>
      <c r="D4815" t="s">
        <v>148</v>
      </c>
      <c r="E4815">
        <v>1</v>
      </c>
      <c r="F4815" s="3">
        <f ca="1">41758+(RANDBETWEEN(1,10))</f>
        <v>41762</v>
      </c>
      <c r="G4815" t="s">
        <v>26</v>
      </c>
      <c r="H4815" t="s">
        <v>96</v>
      </c>
      <c r="I4815" t="s">
        <v>28</v>
      </c>
      <c r="J4815">
        <v>66.150000000000006</v>
      </c>
      <c r="K4815">
        <v>0.01</v>
      </c>
      <c r="L4815">
        <v>0.37</v>
      </c>
      <c r="M4815">
        <v>3.4649999999999999</v>
      </c>
      <c r="N4815">
        <v>-248.40199999999999</v>
      </c>
      <c r="O4815" s="1" t="s">
        <v>87</v>
      </c>
      <c r="P4815" s="1" t="s">
        <v>9709</v>
      </c>
      <c r="Q4815" s="1" t="s">
        <v>9710</v>
      </c>
      <c r="R4815" s="1" t="s">
        <v>646</v>
      </c>
      <c r="S4815" s="1" t="s">
        <v>9711</v>
      </c>
      <c r="T4815" s="1" t="s">
        <v>3696</v>
      </c>
      <c r="U4815" s="2" t="s">
        <v>3359</v>
      </c>
      <c r="V4815" s="2" t="s">
        <v>36</v>
      </c>
      <c r="W4815" s="2" t="s">
        <v>37</v>
      </c>
      <c r="X4815" s="2">
        <v>73.465000000000003</v>
      </c>
    </row>
    <row r="4816" spans="1:24" x14ac:dyDescent="0.3">
      <c r="A4816">
        <v>22657</v>
      </c>
      <c r="B4816" t="s">
        <v>10682</v>
      </c>
      <c r="C4816" s="3">
        <v>41683</v>
      </c>
      <c r="D4816" t="s">
        <v>50</v>
      </c>
      <c r="E4816">
        <v>8</v>
      </c>
      <c r="F4816" s="3">
        <f ca="1">41685+(RANDBETWEEN(1,10))</f>
        <v>41692</v>
      </c>
      <c r="G4816" t="s">
        <v>26</v>
      </c>
      <c r="H4816" t="s">
        <v>27</v>
      </c>
      <c r="I4816" t="s">
        <v>86</v>
      </c>
      <c r="J4816">
        <v>352.17</v>
      </c>
      <c r="K4816">
        <v>0</v>
      </c>
      <c r="L4816">
        <v>0.4</v>
      </c>
      <c r="M4816">
        <v>19.704999999999998</v>
      </c>
      <c r="N4816">
        <v>-33.222000000000001</v>
      </c>
      <c r="O4816" s="1" t="s">
        <v>53</v>
      </c>
      <c r="P4816" s="1" t="s">
        <v>6131</v>
      </c>
      <c r="Q4816" s="1" t="s">
        <v>6132</v>
      </c>
      <c r="R4816" s="1" t="s">
        <v>56</v>
      </c>
      <c r="S4816" s="1" t="s">
        <v>57</v>
      </c>
      <c r="T4816" s="1" t="s">
        <v>6133</v>
      </c>
      <c r="U4816" s="2" t="s">
        <v>941</v>
      </c>
      <c r="V4816" s="2" t="s">
        <v>47</v>
      </c>
      <c r="W4816" s="2" t="s">
        <v>111</v>
      </c>
      <c r="X4816" s="2">
        <v>40.950000000000003</v>
      </c>
    </row>
    <row r="4817" spans="1:24" x14ac:dyDescent="0.3">
      <c r="A4817">
        <v>22658</v>
      </c>
      <c r="B4817" t="s">
        <v>10682</v>
      </c>
      <c r="C4817" s="3">
        <v>41683</v>
      </c>
      <c r="D4817" t="s">
        <v>50</v>
      </c>
      <c r="E4817">
        <v>1</v>
      </c>
      <c r="F4817" s="3">
        <f ca="1">41685+(RANDBETWEEN(1,10))</f>
        <v>41695</v>
      </c>
      <c r="G4817" t="s">
        <v>26</v>
      </c>
      <c r="H4817" t="s">
        <v>27</v>
      </c>
      <c r="I4817" t="s">
        <v>86</v>
      </c>
      <c r="J4817">
        <v>6140.0150000000003</v>
      </c>
      <c r="K4817">
        <v>0.09</v>
      </c>
      <c r="L4817">
        <v>0.36</v>
      </c>
      <c r="M4817">
        <v>69.965000000000003</v>
      </c>
      <c r="N4817">
        <v>95.150999999999996</v>
      </c>
      <c r="O4817" s="1" t="s">
        <v>53</v>
      </c>
      <c r="P4817" s="1" t="s">
        <v>6131</v>
      </c>
      <c r="Q4817" s="1" t="s">
        <v>6132</v>
      </c>
      <c r="R4817" s="1" t="s">
        <v>56</v>
      </c>
      <c r="S4817" s="1" t="s">
        <v>57</v>
      </c>
      <c r="T4817" s="1" t="s">
        <v>6133</v>
      </c>
      <c r="U4817" s="2" t="s">
        <v>9201</v>
      </c>
      <c r="V4817" s="2" t="s">
        <v>47</v>
      </c>
      <c r="W4817" s="2" t="s">
        <v>111</v>
      </c>
      <c r="X4817" s="2">
        <v>6614.9650000000001</v>
      </c>
    </row>
    <row r="4818" spans="1:24" x14ac:dyDescent="0.3">
      <c r="A4818">
        <v>22659</v>
      </c>
      <c r="B4818" t="s">
        <v>10683</v>
      </c>
      <c r="C4818" s="3">
        <v>41879</v>
      </c>
      <c r="D4818" t="s">
        <v>25</v>
      </c>
      <c r="E4818">
        <v>12</v>
      </c>
      <c r="F4818" s="3">
        <f ca="1">41881+(RANDBETWEEN(1,10))</f>
        <v>41884</v>
      </c>
      <c r="G4818" t="s">
        <v>26</v>
      </c>
      <c r="H4818" t="s">
        <v>27</v>
      </c>
      <c r="I4818" t="s">
        <v>28</v>
      </c>
      <c r="J4818">
        <v>2363.4450000000002</v>
      </c>
      <c r="K4818">
        <v>0.01</v>
      </c>
      <c r="L4818">
        <v>0.56000000000000005</v>
      </c>
      <c r="M4818">
        <v>18.41</v>
      </c>
      <c r="N4818">
        <v>1220.0509440000001</v>
      </c>
      <c r="O4818" s="1" t="s">
        <v>87</v>
      </c>
      <c r="P4818" s="1" t="s">
        <v>8930</v>
      </c>
      <c r="Q4818" s="1" t="s">
        <v>8931</v>
      </c>
      <c r="R4818" s="1" t="s">
        <v>497</v>
      </c>
      <c r="S4818" s="1" t="s">
        <v>1391</v>
      </c>
      <c r="T4818" s="1" t="s">
        <v>1392</v>
      </c>
      <c r="U4818" s="2">
        <v>8860</v>
      </c>
      <c r="V4818" s="2" t="s">
        <v>36</v>
      </c>
      <c r="W4818" s="2" t="s">
        <v>37</v>
      </c>
      <c r="X4818" s="2">
        <v>230.965</v>
      </c>
    </row>
    <row r="4819" spans="1:24" x14ac:dyDescent="0.3">
      <c r="A4819">
        <v>2266</v>
      </c>
      <c r="B4819" t="s">
        <v>10684</v>
      </c>
      <c r="C4819" s="3">
        <v>41107</v>
      </c>
      <c r="D4819" t="s">
        <v>39</v>
      </c>
      <c r="E4819">
        <v>59</v>
      </c>
      <c r="F4819" s="3">
        <f ca="1">41109+(RANDBETWEEN(1,10))</f>
        <v>41117</v>
      </c>
      <c r="G4819" t="s">
        <v>26</v>
      </c>
      <c r="H4819" t="s">
        <v>27</v>
      </c>
      <c r="I4819" t="s">
        <v>28</v>
      </c>
      <c r="J4819">
        <v>23644.705000000002</v>
      </c>
      <c r="K4819">
        <v>0.01</v>
      </c>
      <c r="L4819">
        <v>0.57999999999999996</v>
      </c>
      <c r="M4819">
        <v>8.75</v>
      </c>
      <c r="N4819">
        <v>7143.0344999999998</v>
      </c>
      <c r="O4819" s="1" t="s">
        <v>53</v>
      </c>
      <c r="P4819" s="1" t="s">
        <v>7631</v>
      </c>
      <c r="Q4819" s="1" t="s">
        <v>7632</v>
      </c>
      <c r="R4819" s="1" t="s">
        <v>56</v>
      </c>
      <c r="S4819" s="1" t="s">
        <v>159</v>
      </c>
      <c r="T4819" s="1" t="s">
        <v>7633</v>
      </c>
      <c r="U4819" s="2" t="s">
        <v>6698</v>
      </c>
      <c r="V4819" s="2" t="s">
        <v>36</v>
      </c>
      <c r="W4819" s="2" t="s">
        <v>37</v>
      </c>
      <c r="X4819" s="2">
        <v>440.96499999999997</v>
      </c>
    </row>
    <row r="4820" spans="1:24" x14ac:dyDescent="0.3">
      <c r="A4820">
        <v>22660</v>
      </c>
      <c r="B4820" t="s">
        <v>10685</v>
      </c>
      <c r="C4820" s="3">
        <v>40867</v>
      </c>
      <c r="D4820" t="s">
        <v>25</v>
      </c>
      <c r="E4820">
        <v>3</v>
      </c>
      <c r="F4820" s="3">
        <f ca="1">40874+(RANDBETWEEN(1,10))</f>
        <v>40883</v>
      </c>
      <c r="G4820" t="s">
        <v>26</v>
      </c>
      <c r="H4820" t="s">
        <v>27</v>
      </c>
      <c r="I4820" t="s">
        <v>52</v>
      </c>
      <c r="J4820">
        <v>305.23500000000001</v>
      </c>
      <c r="K4820">
        <v>0.02</v>
      </c>
      <c r="L4820">
        <v>0.75</v>
      </c>
      <c r="M4820">
        <v>14</v>
      </c>
      <c r="N4820">
        <v>67.578000000000003</v>
      </c>
      <c r="O4820" s="1" t="s">
        <v>87</v>
      </c>
      <c r="P4820" s="1" t="s">
        <v>3981</v>
      </c>
      <c r="Q4820" s="1" t="s">
        <v>3982</v>
      </c>
      <c r="R4820" s="1" t="s">
        <v>90</v>
      </c>
      <c r="S4820" s="1" t="s">
        <v>1492</v>
      </c>
      <c r="T4820" s="1" t="s">
        <v>1493</v>
      </c>
      <c r="U4820" s="2" t="s">
        <v>4155</v>
      </c>
      <c r="V4820" s="2" t="s">
        <v>36</v>
      </c>
      <c r="W4820" s="2" t="s">
        <v>60</v>
      </c>
      <c r="X4820" s="2">
        <v>96.18</v>
      </c>
    </row>
    <row r="4821" spans="1:24" x14ac:dyDescent="0.3">
      <c r="A4821">
        <v>22661</v>
      </c>
      <c r="B4821" t="s">
        <v>10685</v>
      </c>
      <c r="C4821" s="3">
        <v>40867</v>
      </c>
      <c r="D4821" t="s">
        <v>25</v>
      </c>
      <c r="E4821">
        <v>4</v>
      </c>
      <c r="F4821" s="3">
        <f ca="1">40871+(RANDBETWEEN(1,10))</f>
        <v>40872</v>
      </c>
      <c r="G4821" t="s">
        <v>26</v>
      </c>
      <c r="H4821" t="s">
        <v>96</v>
      </c>
      <c r="I4821" t="s">
        <v>52</v>
      </c>
      <c r="J4821">
        <v>140.52500000000001</v>
      </c>
      <c r="K4821">
        <v>0.08</v>
      </c>
      <c r="L4821">
        <v>0.39</v>
      </c>
      <c r="M4821">
        <v>7.21</v>
      </c>
      <c r="N4821">
        <v>1.155</v>
      </c>
      <c r="O4821" s="1" t="s">
        <v>87</v>
      </c>
      <c r="P4821" s="1" t="s">
        <v>3981</v>
      </c>
      <c r="Q4821" s="1" t="s">
        <v>3982</v>
      </c>
      <c r="R4821" s="1" t="s">
        <v>90</v>
      </c>
      <c r="S4821" s="1" t="s">
        <v>1492</v>
      </c>
      <c r="T4821" s="1" t="s">
        <v>1493</v>
      </c>
      <c r="U4821" s="2" t="s">
        <v>2438</v>
      </c>
      <c r="V4821" s="2" t="s">
        <v>47</v>
      </c>
      <c r="W4821" s="2" t="s">
        <v>74</v>
      </c>
      <c r="X4821" s="2">
        <v>35.21</v>
      </c>
    </row>
    <row r="4822" spans="1:24" x14ac:dyDescent="0.3">
      <c r="A4822">
        <v>22662</v>
      </c>
      <c r="B4822" t="s">
        <v>10686</v>
      </c>
      <c r="C4822" s="3">
        <v>40614</v>
      </c>
      <c r="D4822" t="s">
        <v>39</v>
      </c>
      <c r="E4822">
        <v>5</v>
      </c>
      <c r="F4822" s="3">
        <f ca="1">40615+(RANDBETWEEN(1,10))</f>
        <v>40619</v>
      </c>
      <c r="G4822" t="s">
        <v>26</v>
      </c>
      <c r="H4822" t="s">
        <v>27</v>
      </c>
      <c r="I4822" t="s">
        <v>86</v>
      </c>
      <c r="J4822">
        <v>1215.3050000000001</v>
      </c>
      <c r="K4822">
        <v>0.1</v>
      </c>
      <c r="L4822">
        <v>0.79</v>
      </c>
      <c r="M4822">
        <v>14</v>
      </c>
      <c r="N4822">
        <v>-804.54499999999996</v>
      </c>
      <c r="O4822" s="1" t="s">
        <v>64</v>
      </c>
      <c r="P4822" s="1" t="s">
        <v>10143</v>
      </c>
      <c r="Q4822" s="1" t="s">
        <v>10144</v>
      </c>
      <c r="R4822" s="1" t="s">
        <v>128</v>
      </c>
      <c r="S4822" s="1" t="s">
        <v>10145</v>
      </c>
      <c r="T4822" s="1" t="s">
        <v>10146</v>
      </c>
      <c r="U4822" s="2" t="s">
        <v>2448</v>
      </c>
      <c r="V4822" s="2" t="s">
        <v>36</v>
      </c>
      <c r="W4822" s="2" t="s">
        <v>60</v>
      </c>
      <c r="X4822" s="2">
        <v>258.93</v>
      </c>
    </row>
    <row r="4823" spans="1:24" x14ac:dyDescent="0.3">
      <c r="A4823">
        <v>22663</v>
      </c>
      <c r="B4823" t="s">
        <v>10686</v>
      </c>
      <c r="C4823" s="3">
        <v>40614</v>
      </c>
      <c r="D4823" t="s">
        <v>39</v>
      </c>
      <c r="E4823">
        <v>9</v>
      </c>
      <c r="F4823" s="3">
        <f ca="1">40615+(RANDBETWEEN(1,10))</f>
        <v>40621</v>
      </c>
      <c r="G4823" t="s">
        <v>26</v>
      </c>
      <c r="H4823" t="s">
        <v>281</v>
      </c>
      <c r="I4823" t="s">
        <v>86</v>
      </c>
      <c r="J4823">
        <v>1673.8050000000001</v>
      </c>
      <c r="K4823">
        <v>0.05</v>
      </c>
      <c r="L4823">
        <v>0.37</v>
      </c>
      <c r="M4823">
        <v>35.594999999999999</v>
      </c>
      <c r="N4823">
        <v>1154.92545</v>
      </c>
      <c r="O4823" s="1" t="s">
        <v>64</v>
      </c>
      <c r="P4823" s="1" t="s">
        <v>10143</v>
      </c>
      <c r="Q4823" s="1" t="s">
        <v>10144</v>
      </c>
      <c r="R4823" s="1" t="s">
        <v>128</v>
      </c>
      <c r="S4823" s="1" t="s">
        <v>10145</v>
      </c>
      <c r="T4823" s="1" t="s">
        <v>10146</v>
      </c>
      <c r="U4823" s="2" t="s">
        <v>3691</v>
      </c>
      <c r="V4823" s="2" t="s">
        <v>36</v>
      </c>
      <c r="W4823" s="2" t="s">
        <v>142</v>
      </c>
      <c r="X4823" s="2">
        <v>181.93</v>
      </c>
    </row>
    <row r="4824" spans="1:24" x14ac:dyDescent="0.3">
      <c r="A4824">
        <v>22664</v>
      </c>
      <c r="B4824" t="s">
        <v>10687</v>
      </c>
      <c r="C4824" s="3">
        <v>41645</v>
      </c>
      <c r="D4824" t="s">
        <v>50</v>
      </c>
      <c r="E4824">
        <v>7</v>
      </c>
      <c r="F4824" s="3">
        <f ca="1">41647+(RANDBETWEEN(1,10))</f>
        <v>41657</v>
      </c>
      <c r="G4824" t="s">
        <v>26</v>
      </c>
      <c r="H4824" t="s">
        <v>27</v>
      </c>
      <c r="I4824" t="s">
        <v>86</v>
      </c>
      <c r="J4824">
        <v>111.51</v>
      </c>
      <c r="K4824">
        <v>7.0000000000000007E-2</v>
      </c>
      <c r="L4824">
        <v>0.37</v>
      </c>
      <c r="M4824">
        <v>18.97</v>
      </c>
      <c r="N4824">
        <v>-106.673</v>
      </c>
      <c r="O4824" s="1" t="s">
        <v>40</v>
      </c>
      <c r="P4824" s="1" t="s">
        <v>3905</v>
      </c>
      <c r="Q4824" s="1" t="s">
        <v>3906</v>
      </c>
      <c r="R4824" s="1" t="s">
        <v>220</v>
      </c>
      <c r="S4824" s="1" t="s">
        <v>3907</v>
      </c>
      <c r="T4824" s="1" t="s">
        <v>3908</v>
      </c>
      <c r="U4824" s="2" t="s">
        <v>1571</v>
      </c>
      <c r="V4824" s="2" t="s">
        <v>47</v>
      </c>
      <c r="W4824" s="2" t="s">
        <v>111</v>
      </c>
      <c r="X4824" s="2">
        <v>15.994999999999999</v>
      </c>
    </row>
    <row r="4825" spans="1:24" x14ac:dyDescent="0.3">
      <c r="A4825">
        <v>22665</v>
      </c>
      <c r="B4825" t="s">
        <v>10688</v>
      </c>
      <c r="C4825" s="3">
        <v>40914</v>
      </c>
      <c r="D4825" t="s">
        <v>50</v>
      </c>
      <c r="E4825">
        <v>7</v>
      </c>
      <c r="F4825" s="3">
        <f ca="1">40915+(RANDBETWEEN(1,10))</f>
        <v>40925</v>
      </c>
      <c r="G4825" t="s">
        <v>26</v>
      </c>
      <c r="H4825" t="s">
        <v>27</v>
      </c>
      <c r="I4825" t="s">
        <v>86</v>
      </c>
      <c r="J4825">
        <v>405.61500000000001</v>
      </c>
      <c r="K4825">
        <v>0.04</v>
      </c>
      <c r="L4825">
        <v>0.5</v>
      </c>
      <c r="M4825">
        <v>27.09</v>
      </c>
      <c r="N4825">
        <v>-258.92824999999999</v>
      </c>
      <c r="O4825" s="1" t="s">
        <v>40</v>
      </c>
      <c r="P4825" s="1" t="s">
        <v>3905</v>
      </c>
      <c r="Q4825" s="1" t="s">
        <v>3906</v>
      </c>
      <c r="R4825" s="1" t="s">
        <v>220</v>
      </c>
      <c r="S4825" s="1" t="s">
        <v>3907</v>
      </c>
      <c r="T4825" s="1" t="s">
        <v>3908</v>
      </c>
      <c r="U4825" s="2" t="s">
        <v>10689</v>
      </c>
      <c r="V4825" s="2" t="s">
        <v>83</v>
      </c>
      <c r="W4825" s="2" t="s">
        <v>178</v>
      </c>
      <c r="X4825" s="2">
        <v>56.56</v>
      </c>
    </row>
    <row r="4826" spans="1:24" x14ac:dyDescent="0.3">
      <c r="A4826">
        <v>22666</v>
      </c>
      <c r="B4826" t="s">
        <v>10690</v>
      </c>
      <c r="C4826" s="3">
        <v>41618</v>
      </c>
      <c r="D4826" t="s">
        <v>39</v>
      </c>
      <c r="E4826">
        <v>16</v>
      </c>
      <c r="F4826" s="3">
        <f ca="1">41619+(RANDBETWEEN(1,10))</f>
        <v>41626</v>
      </c>
      <c r="G4826" t="s">
        <v>76</v>
      </c>
      <c r="H4826" t="s">
        <v>77</v>
      </c>
      <c r="I4826" t="s">
        <v>52</v>
      </c>
      <c r="J4826">
        <v>12848.43</v>
      </c>
      <c r="K4826">
        <v>0</v>
      </c>
      <c r="L4826">
        <v>0.59</v>
      </c>
      <c r="M4826">
        <v>224.7</v>
      </c>
      <c r="N4826">
        <v>4015.9875000000002</v>
      </c>
      <c r="O4826" s="1" t="s">
        <v>40</v>
      </c>
      <c r="P4826" s="1" t="s">
        <v>10388</v>
      </c>
      <c r="Q4826" s="1" t="s">
        <v>10389</v>
      </c>
      <c r="R4826" s="1" t="s">
        <v>220</v>
      </c>
      <c r="S4826" s="1" t="s">
        <v>10390</v>
      </c>
      <c r="T4826" s="1" t="s">
        <v>10391</v>
      </c>
      <c r="U4826" s="2" t="s">
        <v>2488</v>
      </c>
      <c r="V4826" s="2" t="s">
        <v>83</v>
      </c>
      <c r="W4826" s="2" t="s">
        <v>84</v>
      </c>
      <c r="X4826" s="2">
        <v>758.1</v>
      </c>
    </row>
    <row r="4827" spans="1:24" x14ac:dyDescent="0.3">
      <c r="A4827">
        <v>22667</v>
      </c>
      <c r="B4827" t="s">
        <v>10691</v>
      </c>
      <c r="C4827" s="3">
        <v>40648</v>
      </c>
      <c r="D4827" t="s">
        <v>50</v>
      </c>
      <c r="E4827">
        <v>12</v>
      </c>
      <c r="F4827" s="3">
        <f ca="1">40648+(RANDBETWEEN(1,10))</f>
        <v>40652</v>
      </c>
      <c r="G4827" t="s">
        <v>26</v>
      </c>
      <c r="H4827" t="s">
        <v>27</v>
      </c>
      <c r="I4827" t="s">
        <v>52</v>
      </c>
      <c r="J4827">
        <v>2820.9650000000001</v>
      </c>
      <c r="K4827">
        <v>0.09</v>
      </c>
      <c r="L4827">
        <v>0.59</v>
      </c>
      <c r="M4827">
        <v>12.25</v>
      </c>
      <c r="N4827">
        <v>-348.488</v>
      </c>
      <c r="O4827" s="1" t="s">
        <v>87</v>
      </c>
      <c r="P4827" s="1" t="s">
        <v>3148</v>
      </c>
      <c r="Q4827" s="1" t="s">
        <v>3149</v>
      </c>
      <c r="R4827" s="1" t="s">
        <v>646</v>
      </c>
      <c r="S4827" s="1" t="s">
        <v>3150</v>
      </c>
      <c r="T4827" s="1" t="s">
        <v>3151</v>
      </c>
      <c r="U4827" s="2" t="s">
        <v>989</v>
      </c>
      <c r="V4827" s="2" t="s">
        <v>47</v>
      </c>
      <c r="W4827" s="2" t="s">
        <v>71</v>
      </c>
      <c r="X4827" s="2">
        <v>248.39500000000001</v>
      </c>
    </row>
    <row r="4828" spans="1:24" x14ac:dyDescent="0.3">
      <c r="A4828">
        <v>22668</v>
      </c>
      <c r="B4828" t="s">
        <v>10692</v>
      </c>
      <c r="C4828" s="3">
        <v>41744</v>
      </c>
      <c r="D4828" t="s">
        <v>50</v>
      </c>
      <c r="E4828">
        <v>10</v>
      </c>
      <c r="F4828" s="3">
        <f ca="1">41747+(RANDBETWEEN(1,10))</f>
        <v>41755</v>
      </c>
      <c r="G4828" t="s">
        <v>26</v>
      </c>
      <c r="H4828" t="s">
        <v>27</v>
      </c>
      <c r="I4828" t="s">
        <v>52</v>
      </c>
      <c r="J4828">
        <v>644.84</v>
      </c>
      <c r="K4828">
        <v>0.1</v>
      </c>
      <c r="L4828">
        <v>0.49</v>
      </c>
      <c r="M4828">
        <v>36.715000000000003</v>
      </c>
      <c r="N4828">
        <v>2517.8391000000001</v>
      </c>
      <c r="O4828" s="1" t="s">
        <v>87</v>
      </c>
      <c r="P4828" s="1" t="s">
        <v>3148</v>
      </c>
      <c r="Q4828" s="1" t="s">
        <v>3149</v>
      </c>
      <c r="R4828" s="1" t="s">
        <v>646</v>
      </c>
      <c r="S4828" s="1" t="s">
        <v>3150</v>
      </c>
      <c r="T4828" s="1" t="s">
        <v>3151</v>
      </c>
      <c r="U4828" s="2" t="s">
        <v>2586</v>
      </c>
      <c r="V4828" s="2" t="s">
        <v>83</v>
      </c>
      <c r="W4828" s="2" t="s">
        <v>178</v>
      </c>
      <c r="X4828" s="2">
        <v>69.930000000000007</v>
      </c>
    </row>
    <row r="4829" spans="1:24" x14ac:dyDescent="0.3">
      <c r="A4829">
        <v>22669</v>
      </c>
      <c r="B4829" t="s">
        <v>10693</v>
      </c>
      <c r="C4829" s="3">
        <v>41809</v>
      </c>
      <c r="D4829" t="s">
        <v>148</v>
      </c>
      <c r="E4829">
        <v>7</v>
      </c>
      <c r="F4829" s="3">
        <f ca="1">41811+(RANDBETWEEN(1,10))</f>
        <v>41812</v>
      </c>
      <c r="G4829" t="s">
        <v>26</v>
      </c>
      <c r="H4829" t="s">
        <v>27</v>
      </c>
      <c r="I4829" t="s">
        <v>97</v>
      </c>
      <c r="J4829">
        <v>572.70500000000004</v>
      </c>
      <c r="K4829">
        <v>0.05</v>
      </c>
      <c r="L4829">
        <v>0.38</v>
      </c>
      <c r="M4829">
        <v>52.85</v>
      </c>
      <c r="N4829">
        <v>-157.39359999999999</v>
      </c>
      <c r="O4829" s="1" t="s">
        <v>64</v>
      </c>
      <c r="P4829" s="1" t="s">
        <v>8588</v>
      </c>
      <c r="Q4829" s="1" t="s">
        <v>8589</v>
      </c>
      <c r="R4829" s="1" t="s">
        <v>67</v>
      </c>
      <c r="S4829" s="1" t="s">
        <v>8590</v>
      </c>
      <c r="T4829" s="1" t="s">
        <v>8591</v>
      </c>
      <c r="U4829" s="2" t="s">
        <v>2602</v>
      </c>
      <c r="V4829" s="2" t="s">
        <v>47</v>
      </c>
      <c r="W4829" s="2" t="s">
        <v>111</v>
      </c>
      <c r="X4829" s="2">
        <v>78.33</v>
      </c>
    </row>
    <row r="4830" spans="1:24" x14ac:dyDescent="0.3">
      <c r="A4830">
        <v>2267</v>
      </c>
      <c r="B4830" t="s">
        <v>10684</v>
      </c>
      <c r="C4830" s="3">
        <v>41107</v>
      </c>
      <c r="D4830" t="s">
        <v>39</v>
      </c>
      <c r="E4830">
        <v>44</v>
      </c>
      <c r="F4830" s="3">
        <f ca="1">41109+(RANDBETWEEN(1,10))</f>
        <v>41115</v>
      </c>
      <c r="G4830" t="s">
        <v>26</v>
      </c>
      <c r="H4830" t="s">
        <v>51</v>
      </c>
      <c r="I4830" t="s">
        <v>28</v>
      </c>
      <c r="J4830">
        <v>1775.76</v>
      </c>
      <c r="K4830">
        <v>0.09</v>
      </c>
      <c r="L4830">
        <v>0.55000000000000004</v>
      </c>
      <c r="M4830">
        <v>9.9749999999999996</v>
      </c>
      <c r="N4830">
        <v>339.32499999999999</v>
      </c>
      <c r="O4830" s="1" t="s">
        <v>53</v>
      </c>
      <c r="P4830" s="1" t="s">
        <v>7631</v>
      </c>
      <c r="Q4830" s="1" t="s">
        <v>7632</v>
      </c>
      <c r="R4830" s="1" t="s">
        <v>56</v>
      </c>
      <c r="S4830" s="1" t="s">
        <v>159</v>
      </c>
      <c r="T4830" s="1" t="s">
        <v>7633</v>
      </c>
      <c r="U4830" s="2" t="s">
        <v>3256</v>
      </c>
      <c r="V4830" s="2" t="s">
        <v>83</v>
      </c>
      <c r="W4830" s="2" t="s">
        <v>178</v>
      </c>
      <c r="X4830" s="2">
        <v>42.77</v>
      </c>
    </row>
    <row r="4831" spans="1:24" x14ac:dyDescent="0.3">
      <c r="A4831">
        <v>22670</v>
      </c>
      <c r="B4831" t="s">
        <v>10693</v>
      </c>
      <c r="C4831" s="3">
        <v>41809</v>
      </c>
      <c r="D4831" t="s">
        <v>148</v>
      </c>
      <c r="E4831">
        <v>11</v>
      </c>
      <c r="F4831" s="3">
        <f ca="1">41810+(RANDBETWEEN(1,10))</f>
        <v>41811</v>
      </c>
      <c r="G4831" t="s">
        <v>76</v>
      </c>
      <c r="H4831" t="s">
        <v>77</v>
      </c>
      <c r="I4831" t="s">
        <v>97</v>
      </c>
      <c r="J4831">
        <v>2151.4499999999998</v>
      </c>
      <c r="K4831">
        <v>0.1</v>
      </c>
      <c r="L4831">
        <v>0.7</v>
      </c>
      <c r="M4831">
        <v>105</v>
      </c>
      <c r="N4831">
        <v>-1753.0239999999999</v>
      </c>
      <c r="O4831" s="1" t="s">
        <v>64</v>
      </c>
      <c r="P4831" s="1" t="s">
        <v>8588</v>
      </c>
      <c r="Q4831" s="1" t="s">
        <v>8589</v>
      </c>
      <c r="R4831" s="1" t="s">
        <v>67</v>
      </c>
      <c r="S4831" s="1" t="s">
        <v>8590</v>
      </c>
      <c r="T4831" s="1" t="s">
        <v>8591</v>
      </c>
      <c r="U4831" s="2" t="s">
        <v>5111</v>
      </c>
      <c r="V4831" s="2" t="s">
        <v>83</v>
      </c>
      <c r="W4831" s="2" t="s">
        <v>84</v>
      </c>
      <c r="X4831" s="2">
        <v>213.43</v>
      </c>
    </row>
    <row r="4832" spans="1:24" x14ac:dyDescent="0.3">
      <c r="A4832">
        <v>22671</v>
      </c>
      <c r="B4832" t="s">
        <v>10693</v>
      </c>
      <c r="C4832" s="3">
        <v>41809</v>
      </c>
      <c r="D4832" t="s">
        <v>148</v>
      </c>
      <c r="E4832">
        <v>18</v>
      </c>
      <c r="F4832" s="3">
        <f ca="1">41811+(RANDBETWEEN(1,10))</f>
        <v>41813</v>
      </c>
      <c r="G4832" t="s">
        <v>26</v>
      </c>
      <c r="H4832" t="s">
        <v>96</v>
      </c>
      <c r="I4832" t="s">
        <v>97</v>
      </c>
      <c r="J4832">
        <v>191.17</v>
      </c>
      <c r="K4832">
        <v>0.02</v>
      </c>
      <c r="L4832">
        <v>0.56000000000000005</v>
      </c>
      <c r="M4832">
        <v>2.4500000000000002</v>
      </c>
      <c r="N4832">
        <v>121.33799999999999</v>
      </c>
      <c r="O4832" s="1" t="s">
        <v>64</v>
      </c>
      <c r="P4832" s="1" t="s">
        <v>8588</v>
      </c>
      <c r="Q4832" s="1" t="s">
        <v>8589</v>
      </c>
      <c r="R4832" s="1" t="s">
        <v>67</v>
      </c>
      <c r="S4832" s="1" t="s">
        <v>8590</v>
      </c>
      <c r="T4832" s="1" t="s">
        <v>8591</v>
      </c>
      <c r="U4832" s="2" t="s">
        <v>1393</v>
      </c>
      <c r="V4832" s="2" t="s">
        <v>47</v>
      </c>
      <c r="W4832" s="2" t="s">
        <v>104</v>
      </c>
      <c r="X4832" s="2">
        <v>10.08</v>
      </c>
    </row>
    <row r="4833" spans="1:24" x14ac:dyDescent="0.3">
      <c r="A4833">
        <v>22672</v>
      </c>
      <c r="B4833" t="s">
        <v>10694</v>
      </c>
      <c r="C4833" s="3">
        <v>40719</v>
      </c>
      <c r="D4833" t="s">
        <v>50</v>
      </c>
      <c r="E4833">
        <v>15</v>
      </c>
      <c r="F4833" s="3">
        <f ca="1">40721+(RANDBETWEEN(1,10))</f>
        <v>40722</v>
      </c>
      <c r="G4833" t="s">
        <v>26</v>
      </c>
      <c r="H4833" t="s">
        <v>27</v>
      </c>
      <c r="I4833" t="s">
        <v>28</v>
      </c>
      <c r="J4833">
        <v>9687.8250000000007</v>
      </c>
      <c r="K4833">
        <v>0.04</v>
      </c>
      <c r="L4833">
        <v>0.56000000000000005</v>
      </c>
      <c r="M4833">
        <v>3.4649999999999999</v>
      </c>
      <c r="N4833">
        <v>6684.5992500000002</v>
      </c>
      <c r="O4833" s="1" t="s">
        <v>64</v>
      </c>
      <c r="P4833" s="1" t="s">
        <v>9559</v>
      </c>
      <c r="Q4833" s="1" t="s">
        <v>9560</v>
      </c>
      <c r="R4833" s="1" t="s">
        <v>67</v>
      </c>
      <c r="S4833" s="1" t="s">
        <v>9561</v>
      </c>
      <c r="T4833" s="1" t="s">
        <v>9562</v>
      </c>
      <c r="U4833" s="2" t="s">
        <v>10603</v>
      </c>
      <c r="V4833" s="2" t="s">
        <v>47</v>
      </c>
      <c r="W4833" s="2" t="s">
        <v>71</v>
      </c>
      <c r="X4833" s="2">
        <v>622.92999999999995</v>
      </c>
    </row>
    <row r="4834" spans="1:24" x14ac:dyDescent="0.3">
      <c r="A4834">
        <v>22673</v>
      </c>
      <c r="B4834" t="s">
        <v>10695</v>
      </c>
      <c r="C4834" s="3">
        <v>41608</v>
      </c>
      <c r="D4834" t="s">
        <v>50</v>
      </c>
      <c r="E4834">
        <v>5</v>
      </c>
      <c r="F4834" s="3">
        <f ca="1">41610+(RANDBETWEEN(1,10))</f>
        <v>41613</v>
      </c>
      <c r="G4834" t="s">
        <v>26</v>
      </c>
      <c r="H4834" t="s">
        <v>96</v>
      </c>
      <c r="I4834" t="s">
        <v>97</v>
      </c>
      <c r="J4834">
        <v>70.594999999999999</v>
      </c>
      <c r="K4834">
        <v>0.08</v>
      </c>
      <c r="L4834">
        <v>0.56999999999999995</v>
      </c>
      <c r="M4834">
        <v>4.0949999999999998</v>
      </c>
      <c r="N4834">
        <v>3.64</v>
      </c>
      <c r="O4834" s="1" t="s">
        <v>225</v>
      </c>
      <c r="P4834" s="1" t="s">
        <v>10696</v>
      </c>
      <c r="Q4834" s="1" t="s">
        <v>10697</v>
      </c>
      <c r="R4834" s="1" t="s">
        <v>228</v>
      </c>
      <c r="S4834" s="1" t="s">
        <v>10698</v>
      </c>
      <c r="T4834" s="1" t="s">
        <v>10699</v>
      </c>
      <c r="U4834" s="2" t="s">
        <v>6469</v>
      </c>
      <c r="V4834" s="2" t="s">
        <v>47</v>
      </c>
      <c r="W4834" s="2" t="s">
        <v>104</v>
      </c>
      <c r="X4834" s="2">
        <v>14.455</v>
      </c>
    </row>
    <row r="4835" spans="1:24" x14ac:dyDescent="0.3">
      <c r="A4835">
        <v>22674</v>
      </c>
      <c r="B4835" t="s">
        <v>10695</v>
      </c>
      <c r="C4835" s="3">
        <v>41608</v>
      </c>
      <c r="D4835" t="s">
        <v>50</v>
      </c>
      <c r="E4835">
        <v>14</v>
      </c>
      <c r="F4835" s="3">
        <f ca="1">41610+(RANDBETWEEN(1,10))</f>
        <v>41611</v>
      </c>
      <c r="G4835" t="s">
        <v>26</v>
      </c>
      <c r="H4835" t="s">
        <v>51</v>
      </c>
      <c r="I4835" t="s">
        <v>97</v>
      </c>
      <c r="J4835">
        <v>1510.95</v>
      </c>
      <c r="K4835">
        <v>0.04</v>
      </c>
      <c r="L4835">
        <v>0.39</v>
      </c>
      <c r="M4835">
        <v>11.55</v>
      </c>
      <c r="N4835">
        <v>984.47580000000005</v>
      </c>
      <c r="O4835" s="1" t="s">
        <v>64</v>
      </c>
      <c r="P4835" s="1" t="s">
        <v>10700</v>
      </c>
      <c r="Q4835" s="1" t="s">
        <v>10701</v>
      </c>
      <c r="R4835" s="1" t="s">
        <v>128</v>
      </c>
      <c r="S4835" s="1" t="s">
        <v>1686</v>
      </c>
      <c r="T4835" s="1" t="s">
        <v>1687</v>
      </c>
      <c r="U4835" s="2" t="s">
        <v>5976</v>
      </c>
      <c r="V4835" s="2" t="s">
        <v>36</v>
      </c>
      <c r="W4835" s="2" t="s">
        <v>37</v>
      </c>
      <c r="X4835" s="2">
        <v>125.965</v>
      </c>
    </row>
    <row r="4836" spans="1:24" x14ac:dyDescent="0.3">
      <c r="A4836">
        <v>22675</v>
      </c>
      <c r="B4836" t="s">
        <v>10702</v>
      </c>
      <c r="C4836" s="3">
        <v>41581</v>
      </c>
      <c r="D4836" t="s">
        <v>50</v>
      </c>
      <c r="E4836">
        <v>9</v>
      </c>
      <c r="F4836" s="3">
        <f ca="1">41583+(RANDBETWEEN(1,10))</f>
        <v>41592</v>
      </c>
      <c r="G4836" t="s">
        <v>26</v>
      </c>
      <c r="H4836" t="s">
        <v>96</v>
      </c>
      <c r="I4836" t="s">
        <v>97</v>
      </c>
      <c r="J4836">
        <v>1335.46</v>
      </c>
      <c r="K4836">
        <v>0.01</v>
      </c>
      <c r="L4836">
        <v>0.65</v>
      </c>
      <c r="M4836">
        <v>32.200000000000003</v>
      </c>
      <c r="N4836">
        <v>30.366</v>
      </c>
      <c r="O4836" s="1" t="s">
        <v>40</v>
      </c>
      <c r="P4836" s="1" t="s">
        <v>8516</v>
      </c>
      <c r="Q4836" s="1" t="s">
        <v>8517</v>
      </c>
      <c r="R4836" s="1" t="s">
        <v>43</v>
      </c>
      <c r="S4836" s="1" t="s">
        <v>8518</v>
      </c>
      <c r="T4836" s="1" t="s">
        <v>8519</v>
      </c>
      <c r="U4836" s="2" t="s">
        <v>5818</v>
      </c>
      <c r="V4836" s="2" t="s">
        <v>83</v>
      </c>
      <c r="W4836" s="2" t="s">
        <v>178</v>
      </c>
      <c r="X4836" s="2">
        <v>139.93</v>
      </c>
    </row>
    <row r="4837" spans="1:24" x14ac:dyDescent="0.3">
      <c r="A4837">
        <v>22676</v>
      </c>
      <c r="B4837" t="s">
        <v>10703</v>
      </c>
      <c r="C4837" s="3">
        <v>41084</v>
      </c>
      <c r="D4837" t="s">
        <v>62</v>
      </c>
      <c r="E4837">
        <v>7</v>
      </c>
      <c r="F4837" s="3">
        <f ca="1">41085+(RANDBETWEEN(1,10))</f>
        <v>41093</v>
      </c>
      <c r="G4837" t="s">
        <v>156</v>
      </c>
      <c r="H4837" t="s">
        <v>27</v>
      </c>
      <c r="I4837" t="s">
        <v>97</v>
      </c>
      <c r="J4837">
        <v>139.54499999999999</v>
      </c>
      <c r="K4837">
        <v>0.08</v>
      </c>
      <c r="L4837">
        <v>0.4</v>
      </c>
      <c r="M4837">
        <v>19.809999999999999</v>
      </c>
      <c r="N4837">
        <v>-140.05600000000001</v>
      </c>
      <c r="O4837" s="1" t="s">
        <v>40</v>
      </c>
      <c r="P4837" s="1" t="s">
        <v>4497</v>
      </c>
      <c r="Q4837" s="1" t="s">
        <v>4498</v>
      </c>
      <c r="R4837" s="1" t="s">
        <v>43</v>
      </c>
      <c r="S4837" s="1" t="s">
        <v>4499</v>
      </c>
      <c r="T4837" s="1" t="s">
        <v>4500</v>
      </c>
      <c r="U4837" s="2" t="s">
        <v>9988</v>
      </c>
      <c r="V4837" s="2" t="s">
        <v>47</v>
      </c>
      <c r="W4837" s="2" t="s">
        <v>74</v>
      </c>
      <c r="X4837" s="2">
        <v>18.48</v>
      </c>
    </row>
    <row r="4838" spans="1:24" x14ac:dyDescent="0.3">
      <c r="A4838">
        <v>22677</v>
      </c>
      <c r="B4838" t="s">
        <v>10704</v>
      </c>
      <c r="C4838" s="3">
        <v>40988</v>
      </c>
      <c r="D4838" t="s">
        <v>148</v>
      </c>
      <c r="E4838">
        <v>12</v>
      </c>
      <c r="F4838" s="3">
        <f ca="1">40988+(RANDBETWEEN(1,10))</f>
        <v>40992</v>
      </c>
      <c r="G4838" t="s">
        <v>76</v>
      </c>
      <c r="H4838" t="s">
        <v>258</v>
      </c>
      <c r="I4838" t="s">
        <v>97</v>
      </c>
      <c r="J4838">
        <v>9154.74</v>
      </c>
      <c r="K4838">
        <v>0.02</v>
      </c>
      <c r="L4838">
        <v>0.77</v>
      </c>
      <c r="M4838">
        <v>243.74</v>
      </c>
      <c r="N4838">
        <v>-4909.38</v>
      </c>
      <c r="O4838" s="1" t="s">
        <v>87</v>
      </c>
      <c r="P4838" s="1" t="s">
        <v>7430</v>
      </c>
      <c r="Q4838" s="1" t="s">
        <v>7431</v>
      </c>
      <c r="R4838" s="1" t="s">
        <v>497</v>
      </c>
      <c r="S4838" s="1" t="s">
        <v>7432</v>
      </c>
      <c r="T4838" s="1" t="s">
        <v>7433</v>
      </c>
      <c r="U4838" s="2" t="s">
        <v>1233</v>
      </c>
      <c r="V4838" s="2" t="s">
        <v>83</v>
      </c>
      <c r="W4838" s="2" t="s">
        <v>263</v>
      </c>
      <c r="X4838" s="2">
        <v>765.625</v>
      </c>
    </row>
    <row r="4839" spans="1:24" x14ac:dyDescent="0.3">
      <c r="A4839">
        <v>22678</v>
      </c>
      <c r="B4839" t="s">
        <v>10705</v>
      </c>
      <c r="C4839" s="3">
        <v>41729</v>
      </c>
      <c r="D4839" t="s">
        <v>25</v>
      </c>
      <c r="E4839">
        <v>5</v>
      </c>
      <c r="F4839" s="3">
        <f ca="1">41731+(RANDBETWEEN(1,10))</f>
        <v>41734</v>
      </c>
      <c r="G4839" t="s">
        <v>26</v>
      </c>
      <c r="H4839" t="s">
        <v>51</v>
      </c>
      <c r="I4839" t="s">
        <v>28</v>
      </c>
      <c r="J4839">
        <v>400.33</v>
      </c>
      <c r="K4839">
        <v>0.01</v>
      </c>
      <c r="L4839">
        <v>0.41</v>
      </c>
      <c r="M4839">
        <v>31.465</v>
      </c>
      <c r="N4839">
        <v>276.22770000000003</v>
      </c>
      <c r="O4839" s="1" t="s">
        <v>64</v>
      </c>
      <c r="P4839" s="1" t="s">
        <v>6946</v>
      </c>
      <c r="Q4839" s="1" t="s">
        <v>6947</v>
      </c>
      <c r="R4839" s="1" t="s">
        <v>128</v>
      </c>
      <c r="S4839" s="1" t="s">
        <v>2527</v>
      </c>
      <c r="T4839" s="1" t="s">
        <v>2528</v>
      </c>
      <c r="U4839" s="2" t="s">
        <v>2188</v>
      </c>
      <c r="V4839" s="2" t="s">
        <v>83</v>
      </c>
      <c r="W4839" s="2" t="s">
        <v>178</v>
      </c>
      <c r="X4839" s="2">
        <v>77.805000000000007</v>
      </c>
    </row>
    <row r="4840" spans="1:24" x14ac:dyDescent="0.3">
      <c r="A4840">
        <v>22679</v>
      </c>
      <c r="B4840" t="s">
        <v>10706</v>
      </c>
      <c r="C4840" s="3">
        <v>41658</v>
      </c>
      <c r="D4840" t="s">
        <v>39</v>
      </c>
      <c r="E4840">
        <v>1</v>
      </c>
      <c r="F4840" s="3">
        <f ca="1">41659+(RANDBETWEEN(1,10))</f>
        <v>41663</v>
      </c>
      <c r="G4840" t="s">
        <v>26</v>
      </c>
      <c r="H4840" t="s">
        <v>27</v>
      </c>
      <c r="I4840" t="s">
        <v>86</v>
      </c>
      <c r="J4840">
        <v>46.83</v>
      </c>
      <c r="K4840">
        <v>0.01</v>
      </c>
      <c r="L4840">
        <v>0.56999999999999995</v>
      </c>
      <c r="M4840">
        <v>21.454999999999998</v>
      </c>
      <c r="N4840">
        <v>-230.34899999999999</v>
      </c>
      <c r="O4840" s="1" t="s">
        <v>64</v>
      </c>
      <c r="P4840" s="1" t="s">
        <v>9042</v>
      </c>
      <c r="Q4840" s="1" t="s">
        <v>9043</v>
      </c>
      <c r="R4840" s="1" t="s">
        <v>128</v>
      </c>
      <c r="S4840" s="1" t="s">
        <v>9044</v>
      </c>
      <c r="T4840" s="1" t="s">
        <v>9045</v>
      </c>
      <c r="U4840" s="2" t="s">
        <v>5922</v>
      </c>
      <c r="V4840" s="2" t="s">
        <v>47</v>
      </c>
      <c r="W4840" s="2" t="s">
        <v>119</v>
      </c>
      <c r="X4840" s="2">
        <v>42.98</v>
      </c>
    </row>
    <row r="4841" spans="1:24" x14ac:dyDescent="0.3">
      <c r="A4841">
        <v>22680</v>
      </c>
      <c r="B4841" t="s">
        <v>10707</v>
      </c>
      <c r="C4841" s="3">
        <v>41386</v>
      </c>
      <c r="D4841" t="s">
        <v>62</v>
      </c>
      <c r="E4841">
        <v>12</v>
      </c>
      <c r="F4841" s="3">
        <f ca="1">41389+(RANDBETWEEN(1,10))</f>
        <v>41391</v>
      </c>
      <c r="G4841" t="s">
        <v>76</v>
      </c>
      <c r="H4841" t="s">
        <v>77</v>
      </c>
      <c r="I4841" t="s">
        <v>86</v>
      </c>
      <c r="J4841">
        <v>11363.45</v>
      </c>
      <c r="K4841">
        <v>0</v>
      </c>
      <c r="L4841">
        <v>0.56000000000000005</v>
      </c>
      <c r="M4841">
        <v>98.21</v>
      </c>
      <c r="N4841">
        <v>7840.7804999999998</v>
      </c>
      <c r="O4841" s="1" t="s">
        <v>29</v>
      </c>
      <c r="P4841" s="1" t="s">
        <v>10708</v>
      </c>
      <c r="Q4841" s="1" t="s">
        <v>10709</v>
      </c>
      <c r="R4841" s="1" t="s">
        <v>32</v>
      </c>
      <c r="S4841" s="1" t="s">
        <v>4180</v>
      </c>
      <c r="T4841" s="1" t="s">
        <v>4181</v>
      </c>
      <c r="U4841" s="2" t="s">
        <v>6948</v>
      </c>
      <c r="V4841" s="2" t="s">
        <v>36</v>
      </c>
      <c r="W4841" s="2" t="s">
        <v>142</v>
      </c>
      <c r="X4841" s="2">
        <v>948.39499999999998</v>
      </c>
    </row>
    <row r="4842" spans="1:24" x14ac:dyDescent="0.3">
      <c r="A4842">
        <v>22681</v>
      </c>
      <c r="B4842" t="s">
        <v>10710</v>
      </c>
      <c r="C4842" s="3">
        <v>41770</v>
      </c>
      <c r="D4842" t="s">
        <v>39</v>
      </c>
      <c r="E4842">
        <v>11</v>
      </c>
      <c r="F4842" s="3">
        <f ca="1">41772+(RANDBETWEEN(1,10))</f>
        <v>41780</v>
      </c>
      <c r="G4842" t="s">
        <v>26</v>
      </c>
      <c r="H4842" t="s">
        <v>63</v>
      </c>
      <c r="I4842" t="s">
        <v>52</v>
      </c>
      <c r="J4842">
        <v>223.685</v>
      </c>
      <c r="K4842">
        <v>0.08</v>
      </c>
      <c r="L4842">
        <v>0.6</v>
      </c>
      <c r="M4842">
        <v>171.5</v>
      </c>
      <c r="N4842">
        <v>-5620.0550000000003</v>
      </c>
      <c r="O4842" s="1" t="s">
        <v>53</v>
      </c>
      <c r="P4842" s="1" t="s">
        <v>9410</v>
      </c>
      <c r="Q4842" s="1" t="s">
        <v>9411</v>
      </c>
      <c r="R4842" s="1" t="s">
        <v>56</v>
      </c>
      <c r="S4842" s="1" t="s">
        <v>9412</v>
      </c>
      <c r="T4842" s="1" t="s">
        <v>9413</v>
      </c>
      <c r="U4842" s="2" t="s">
        <v>919</v>
      </c>
      <c r="V4842" s="2" t="s">
        <v>47</v>
      </c>
      <c r="W4842" s="2" t="s">
        <v>71</v>
      </c>
      <c r="X4842" s="2">
        <v>15.68</v>
      </c>
    </row>
    <row r="4843" spans="1:24" x14ac:dyDescent="0.3">
      <c r="A4843">
        <v>22682</v>
      </c>
      <c r="B4843" t="s">
        <v>10711</v>
      </c>
      <c r="C4843" s="3">
        <v>40674</v>
      </c>
      <c r="D4843" t="s">
        <v>39</v>
      </c>
      <c r="E4843">
        <v>7</v>
      </c>
      <c r="F4843" s="3">
        <f ca="1">40675+(RANDBETWEEN(1,10))</f>
        <v>40683</v>
      </c>
      <c r="G4843" t="s">
        <v>26</v>
      </c>
      <c r="H4843" t="s">
        <v>27</v>
      </c>
      <c r="I4843" t="s">
        <v>52</v>
      </c>
      <c r="J4843">
        <v>60.585000000000001</v>
      </c>
      <c r="K4843">
        <v>0.03</v>
      </c>
      <c r="L4843">
        <v>0.37</v>
      </c>
      <c r="M4843">
        <v>21.175000000000001</v>
      </c>
      <c r="N4843">
        <v>-317.04924999999997</v>
      </c>
      <c r="O4843" s="1" t="s">
        <v>53</v>
      </c>
      <c r="P4843" s="1" t="s">
        <v>9410</v>
      </c>
      <c r="Q4843" s="1" t="s">
        <v>9411</v>
      </c>
      <c r="R4843" s="1" t="s">
        <v>56</v>
      </c>
      <c r="S4843" s="1" t="s">
        <v>9412</v>
      </c>
      <c r="T4843" s="1" t="s">
        <v>9413</v>
      </c>
      <c r="U4843" s="2" t="s">
        <v>1376</v>
      </c>
      <c r="V4843" s="2" t="s">
        <v>47</v>
      </c>
      <c r="W4843" s="2" t="s">
        <v>111</v>
      </c>
      <c r="X4843" s="2">
        <v>7.56</v>
      </c>
    </row>
    <row r="4844" spans="1:24" x14ac:dyDescent="0.3">
      <c r="A4844">
        <v>22683</v>
      </c>
      <c r="B4844" t="s">
        <v>10711</v>
      </c>
      <c r="C4844" s="3">
        <v>40674</v>
      </c>
      <c r="D4844" t="s">
        <v>39</v>
      </c>
      <c r="E4844">
        <v>2</v>
      </c>
      <c r="F4844" s="3">
        <f ca="1">40674+(RANDBETWEEN(1,10))</f>
        <v>40678</v>
      </c>
      <c r="G4844" t="s">
        <v>26</v>
      </c>
      <c r="H4844" t="s">
        <v>27</v>
      </c>
      <c r="I4844" t="s">
        <v>52</v>
      </c>
      <c r="J4844">
        <v>82.46</v>
      </c>
      <c r="K4844">
        <v>0.03</v>
      </c>
      <c r="L4844">
        <v>0.6</v>
      </c>
      <c r="M4844">
        <v>33.075000000000003</v>
      </c>
      <c r="N4844">
        <v>-129.15</v>
      </c>
      <c r="O4844" s="1" t="s">
        <v>53</v>
      </c>
      <c r="P4844" s="1" t="s">
        <v>9410</v>
      </c>
      <c r="Q4844" s="1" t="s">
        <v>9411</v>
      </c>
      <c r="R4844" s="1" t="s">
        <v>56</v>
      </c>
      <c r="S4844" s="1" t="s">
        <v>9412</v>
      </c>
      <c r="T4844" s="1" t="s">
        <v>9413</v>
      </c>
      <c r="U4844" s="2" t="s">
        <v>483</v>
      </c>
      <c r="V4844" s="2" t="s">
        <v>47</v>
      </c>
      <c r="W4844" s="2" t="s">
        <v>119</v>
      </c>
      <c r="X4844" s="2">
        <v>33.984999999999999</v>
      </c>
    </row>
    <row r="4845" spans="1:24" x14ac:dyDescent="0.3">
      <c r="A4845">
        <v>22684</v>
      </c>
      <c r="B4845" t="s">
        <v>10710</v>
      </c>
      <c r="C4845" s="3">
        <v>41770</v>
      </c>
      <c r="D4845" t="s">
        <v>39</v>
      </c>
      <c r="E4845">
        <v>4</v>
      </c>
      <c r="F4845" s="3">
        <f ca="1">41772+(RANDBETWEEN(1,10))</f>
        <v>41777</v>
      </c>
      <c r="G4845" t="s">
        <v>26</v>
      </c>
      <c r="H4845" t="s">
        <v>51</v>
      </c>
      <c r="I4845" t="s">
        <v>52</v>
      </c>
      <c r="J4845">
        <v>648.76</v>
      </c>
      <c r="K4845">
        <v>0.09</v>
      </c>
      <c r="L4845">
        <v>0.55000000000000004</v>
      </c>
      <c r="M4845">
        <v>4.375</v>
      </c>
      <c r="N4845">
        <v>38.43</v>
      </c>
      <c r="O4845" s="1" t="s">
        <v>53</v>
      </c>
      <c r="P4845" s="1" t="s">
        <v>9410</v>
      </c>
      <c r="Q4845" s="1" t="s">
        <v>9411</v>
      </c>
      <c r="R4845" s="1" t="s">
        <v>56</v>
      </c>
      <c r="S4845" s="1" t="s">
        <v>9412</v>
      </c>
      <c r="T4845" s="1" t="s">
        <v>9413</v>
      </c>
      <c r="U4845" s="2" t="s">
        <v>3075</v>
      </c>
      <c r="V4845" s="2" t="s">
        <v>36</v>
      </c>
      <c r="W4845" s="2" t="s">
        <v>37</v>
      </c>
      <c r="X4845" s="2">
        <v>195.965</v>
      </c>
    </row>
    <row r="4846" spans="1:24" x14ac:dyDescent="0.3">
      <c r="A4846">
        <v>22685</v>
      </c>
      <c r="B4846" t="s">
        <v>10712</v>
      </c>
      <c r="C4846" s="3">
        <v>40629</v>
      </c>
      <c r="D4846" t="s">
        <v>50</v>
      </c>
      <c r="E4846">
        <v>3</v>
      </c>
      <c r="F4846" s="3">
        <f ca="1">40632+(RANDBETWEEN(1,10))</f>
        <v>40634</v>
      </c>
      <c r="G4846" t="s">
        <v>76</v>
      </c>
      <c r="H4846" t="s">
        <v>77</v>
      </c>
      <c r="I4846" t="s">
        <v>28</v>
      </c>
      <c r="J4846">
        <v>1657.355</v>
      </c>
      <c r="K4846">
        <v>0.01</v>
      </c>
      <c r="L4846">
        <v>0.77</v>
      </c>
      <c r="M4846">
        <v>210.7</v>
      </c>
      <c r="N4846">
        <v>-1770.16</v>
      </c>
      <c r="O4846" s="1" t="s">
        <v>225</v>
      </c>
      <c r="P4846" s="1" t="s">
        <v>8789</v>
      </c>
      <c r="Q4846" s="1" t="s">
        <v>8790</v>
      </c>
      <c r="R4846" s="1" t="s">
        <v>228</v>
      </c>
      <c r="S4846" s="1" t="s">
        <v>8791</v>
      </c>
      <c r="T4846" s="1" t="s">
        <v>8792</v>
      </c>
      <c r="U4846" s="2" t="s">
        <v>779</v>
      </c>
      <c r="V4846" s="2" t="s">
        <v>83</v>
      </c>
      <c r="W4846" s="2" t="s">
        <v>84</v>
      </c>
      <c r="X4846" s="2">
        <v>528.11500000000001</v>
      </c>
    </row>
    <row r="4847" spans="1:24" x14ac:dyDescent="0.3">
      <c r="A4847">
        <v>22686</v>
      </c>
      <c r="B4847" t="s">
        <v>10713</v>
      </c>
      <c r="C4847" s="3">
        <v>40745</v>
      </c>
      <c r="D4847" t="s">
        <v>50</v>
      </c>
      <c r="E4847">
        <v>1</v>
      </c>
      <c r="F4847" s="3">
        <f ca="1">40745+(RANDBETWEEN(1,10))</f>
        <v>40749</v>
      </c>
      <c r="G4847" t="s">
        <v>26</v>
      </c>
      <c r="H4847" t="s">
        <v>27</v>
      </c>
      <c r="I4847" t="s">
        <v>97</v>
      </c>
      <c r="J4847">
        <v>6251.14</v>
      </c>
      <c r="K4847">
        <v>0.1</v>
      </c>
      <c r="L4847">
        <v>0.36</v>
      </c>
      <c r="M4847">
        <v>69.965000000000003</v>
      </c>
      <c r="N4847">
        <v>-148.911</v>
      </c>
      <c r="O4847" s="1" t="s">
        <v>53</v>
      </c>
      <c r="P4847" s="1" t="s">
        <v>10714</v>
      </c>
      <c r="Q4847" s="1" t="s">
        <v>10715</v>
      </c>
      <c r="R4847" s="1" t="s">
        <v>100</v>
      </c>
      <c r="S4847" s="1" t="s">
        <v>8116</v>
      </c>
      <c r="T4847" s="1" t="s">
        <v>6127</v>
      </c>
      <c r="U4847" s="2" t="s">
        <v>9201</v>
      </c>
      <c r="V4847" s="2" t="s">
        <v>47</v>
      </c>
      <c r="W4847" s="2" t="s">
        <v>111</v>
      </c>
      <c r="X4847" s="2">
        <v>6614.9650000000001</v>
      </c>
    </row>
    <row r="4848" spans="1:24" x14ac:dyDescent="0.3">
      <c r="A4848">
        <v>22687</v>
      </c>
      <c r="B4848" t="s">
        <v>10716</v>
      </c>
      <c r="C4848" s="3">
        <v>41486</v>
      </c>
      <c r="D4848" t="s">
        <v>39</v>
      </c>
      <c r="E4848">
        <v>7</v>
      </c>
      <c r="F4848" s="3">
        <f ca="1">41488+(RANDBETWEEN(1,10))</f>
        <v>41494</v>
      </c>
      <c r="G4848" t="s">
        <v>26</v>
      </c>
      <c r="H4848" t="s">
        <v>96</v>
      </c>
      <c r="I4848" t="s">
        <v>28</v>
      </c>
      <c r="J4848">
        <v>122.99</v>
      </c>
      <c r="K4848">
        <v>0.06</v>
      </c>
      <c r="L4848">
        <v>0.36</v>
      </c>
      <c r="M4848">
        <v>7.14</v>
      </c>
      <c r="N4848">
        <v>41.79</v>
      </c>
      <c r="O4848" s="1" t="s">
        <v>225</v>
      </c>
      <c r="P4848" s="1" t="s">
        <v>10274</v>
      </c>
      <c r="Q4848" s="1" t="s">
        <v>10275</v>
      </c>
      <c r="R4848" s="1" t="s">
        <v>228</v>
      </c>
      <c r="S4848" s="1" t="s">
        <v>10276</v>
      </c>
      <c r="T4848" s="1" t="s">
        <v>10277</v>
      </c>
      <c r="U4848" s="2" t="s">
        <v>204</v>
      </c>
      <c r="V4848" s="2" t="s">
        <v>47</v>
      </c>
      <c r="W4848" s="2" t="s">
        <v>74</v>
      </c>
      <c r="X4848" s="2">
        <v>18.13</v>
      </c>
    </row>
    <row r="4849" spans="1:24" x14ac:dyDescent="0.3">
      <c r="A4849">
        <v>22688</v>
      </c>
      <c r="B4849" t="s">
        <v>10716</v>
      </c>
      <c r="C4849" s="3">
        <v>41486</v>
      </c>
      <c r="D4849" t="s">
        <v>39</v>
      </c>
      <c r="E4849">
        <v>6</v>
      </c>
      <c r="F4849" s="3">
        <f ca="1">41487+(RANDBETWEEN(1,10))</f>
        <v>41488</v>
      </c>
      <c r="G4849" t="s">
        <v>26</v>
      </c>
      <c r="H4849" t="s">
        <v>51</v>
      </c>
      <c r="I4849" t="s">
        <v>28</v>
      </c>
      <c r="J4849">
        <v>361.58499999999998</v>
      </c>
      <c r="K4849">
        <v>0.04</v>
      </c>
      <c r="L4849">
        <v>0.56000000000000005</v>
      </c>
      <c r="M4849">
        <v>11.41</v>
      </c>
      <c r="N4849">
        <v>165.55</v>
      </c>
      <c r="O4849" s="1" t="s">
        <v>225</v>
      </c>
      <c r="P4849" s="1" t="s">
        <v>10274</v>
      </c>
      <c r="Q4849" s="1" t="s">
        <v>10275</v>
      </c>
      <c r="R4849" s="1" t="s">
        <v>228</v>
      </c>
      <c r="S4849" s="1" t="s">
        <v>10276</v>
      </c>
      <c r="T4849" s="1" t="s">
        <v>10277</v>
      </c>
      <c r="U4849" s="2" t="s">
        <v>10717</v>
      </c>
      <c r="V4849" s="2" t="s">
        <v>47</v>
      </c>
      <c r="W4849" s="2" t="s">
        <v>94</v>
      </c>
      <c r="X4849" s="2">
        <v>60.34</v>
      </c>
    </row>
    <row r="4850" spans="1:24" x14ac:dyDescent="0.3">
      <c r="A4850">
        <v>22689</v>
      </c>
      <c r="B4850" t="s">
        <v>10718</v>
      </c>
      <c r="C4850" s="3">
        <v>41756</v>
      </c>
      <c r="D4850" t="s">
        <v>39</v>
      </c>
      <c r="E4850">
        <v>6</v>
      </c>
      <c r="F4850" s="3">
        <f ca="1">41757+(RANDBETWEEN(1,10))</f>
        <v>41765</v>
      </c>
      <c r="G4850" t="s">
        <v>26</v>
      </c>
      <c r="H4850" t="s">
        <v>27</v>
      </c>
      <c r="I4850" t="s">
        <v>52</v>
      </c>
      <c r="J4850">
        <v>794.11500000000001</v>
      </c>
      <c r="K4850">
        <v>0.1</v>
      </c>
      <c r="L4850">
        <v>0.4</v>
      </c>
      <c r="M4850">
        <v>34.405000000000001</v>
      </c>
      <c r="N4850">
        <v>547.93934999999999</v>
      </c>
      <c r="O4850" s="1" t="s">
        <v>87</v>
      </c>
      <c r="P4850" s="1" t="s">
        <v>10249</v>
      </c>
      <c r="Q4850" s="1" t="s">
        <v>10250</v>
      </c>
      <c r="R4850" s="1" t="s">
        <v>90</v>
      </c>
      <c r="S4850" s="1" t="s">
        <v>10251</v>
      </c>
      <c r="T4850" s="1" t="s">
        <v>10252</v>
      </c>
      <c r="U4850" s="2" t="s">
        <v>345</v>
      </c>
      <c r="V4850" s="2" t="s">
        <v>47</v>
      </c>
      <c r="W4850" s="2" t="s">
        <v>48</v>
      </c>
      <c r="X4850" s="2">
        <v>139.93</v>
      </c>
    </row>
    <row r="4851" spans="1:24" x14ac:dyDescent="0.3">
      <c r="A4851">
        <v>2269</v>
      </c>
      <c r="B4851" t="s">
        <v>10719</v>
      </c>
      <c r="C4851" s="3">
        <v>41567</v>
      </c>
      <c r="D4851" t="s">
        <v>50</v>
      </c>
      <c r="E4851">
        <v>33</v>
      </c>
      <c r="F4851" s="3">
        <f ca="1">41569+(RANDBETWEEN(1,10))</f>
        <v>41573</v>
      </c>
      <c r="G4851" t="s">
        <v>26</v>
      </c>
      <c r="H4851" t="s">
        <v>27</v>
      </c>
      <c r="I4851" t="s">
        <v>86</v>
      </c>
      <c r="J4851">
        <v>12616.485000000001</v>
      </c>
      <c r="K4851">
        <v>0</v>
      </c>
      <c r="L4851">
        <v>0.56999999999999995</v>
      </c>
      <c r="M4851">
        <v>28.28</v>
      </c>
      <c r="N4851">
        <v>495.23039999999997</v>
      </c>
      <c r="O4851" s="1" t="s">
        <v>29</v>
      </c>
      <c r="P4851" s="1" t="s">
        <v>10720</v>
      </c>
      <c r="Q4851" s="1" t="s">
        <v>10721</v>
      </c>
      <c r="R4851" s="1" t="s">
        <v>32</v>
      </c>
      <c r="S4851" s="1" t="s">
        <v>33</v>
      </c>
      <c r="T4851" s="1" t="s">
        <v>10722</v>
      </c>
      <c r="U4851" s="2" t="s">
        <v>1547</v>
      </c>
      <c r="V4851" s="2" t="s">
        <v>36</v>
      </c>
      <c r="W4851" s="2" t="s">
        <v>37</v>
      </c>
      <c r="X4851" s="2">
        <v>440.96499999999997</v>
      </c>
    </row>
    <row r="4852" spans="1:24" x14ac:dyDescent="0.3">
      <c r="A4852">
        <v>22690</v>
      </c>
      <c r="B4852" t="s">
        <v>10723</v>
      </c>
      <c r="C4852" s="3">
        <v>41680</v>
      </c>
      <c r="D4852" t="s">
        <v>50</v>
      </c>
      <c r="E4852">
        <v>2</v>
      </c>
      <c r="F4852" s="3">
        <f ca="1">41680+(RANDBETWEEN(1,10))</f>
        <v>41683</v>
      </c>
      <c r="G4852" t="s">
        <v>26</v>
      </c>
      <c r="H4852" t="s">
        <v>96</v>
      </c>
      <c r="I4852" t="s">
        <v>86</v>
      </c>
      <c r="J4852">
        <v>28.945</v>
      </c>
      <c r="K4852">
        <v>0.03</v>
      </c>
      <c r="L4852">
        <v>0.56999999999999995</v>
      </c>
      <c r="M4852">
        <v>4.0949999999999998</v>
      </c>
      <c r="N4852">
        <v>212.94</v>
      </c>
      <c r="O4852" s="1" t="s">
        <v>40</v>
      </c>
      <c r="P4852" s="1" t="s">
        <v>1032</v>
      </c>
      <c r="Q4852" s="1" t="s">
        <v>1033</v>
      </c>
      <c r="R4852" s="1" t="s">
        <v>43</v>
      </c>
      <c r="S4852" s="1" t="s">
        <v>1034</v>
      </c>
      <c r="T4852" s="1" t="s">
        <v>1035</v>
      </c>
      <c r="U4852" s="2" t="s">
        <v>6469</v>
      </c>
      <c r="V4852" s="2" t="s">
        <v>47</v>
      </c>
      <c r="W4852" s="2" t="s">
        <v>104</v>
      </c>
      <c r="X4852" s="2">
        <v>14.455</v>
      </c>
    </row>
    <row r="4853" spans="1:24" x14ac:dyDescent="0.3">
      <c r="A4853">
        <v>22691</v>
      </c>
      <c r="B4853" t="s">
        <v>10724</v>
      </c>
      <c r="C4853" s="3">
        <v>41918</v>
      </c>
      <c r="D4853" t="s">
        <v>148</v>
      </c>
      <c r="E4853">
        <v>6</v>
      </c>
      <c r="F4853" s="3">
        <f ca="1">41919+(RANDBETWEEN(1,10))</f>
        <v>41925</v>
      </c>
      <c r="G4853" t="s">
        <v>26</v>
      </c>
      <c r="H4853" t="s">
        <v>96</v>
      </c>
      <c r="I4853" t="s">
        <v>28</v>
      </c>
      <c r="J4853">
        <v>58.24</v>
      </c>
      <c r="K4853">
        <v>0.09</v>
      </c>
      <c r="L4853">
        <v>0.57999999999999996</v>
      </c>
      <c r="M4853">
        <v>8.4</v>
      </c>
      <c r="N4853">
        <v>-61.88</v>
      </c>
      <c r="O4853" s="1" t="s">
        <v>40</v>
      </c>
      <c r="P4853" s="1" t="s">
        <v>7490</v>
      </c>
      <c r="Q4853" s="1" t="s">
        <v>7491</v>
      </c>
      <c r="R4853" s="1" t="s">
        <v>43</v>
      </c>
      <c r="S4853" s="1" t="s">
        <v>7492</v>
      </c>
      <c r="T4853" s="1" t="s">
        <v>7493</v>
      </c>
      <c r="U4853" s="2" t="s">
        <v>6328</v>
      </c>
      <c r="V4853" s="2" t="s">
        <v>47</v>
      </c>
      <c r="W4853" s="2" t="s">
        <v>104</v>
      </c>
      <c r="X4853" s="2">
        <v>9.1</v>
      </c>
    </row>
    <row r="4854" spans="1:24" x14ac:dyDescent="0.3">
      <c r="A4854">
        <v>22692</v>
      </c>
      <c r="B4854" t="s">
        <v>10724</v>
      </c>
      <c r="C4854" s="3">
        <v>41918</v>
      </c>
      <c r="D4854" t="s">
        <v>148</v>
      </c>
      <c r="E4854">
        <v>4</v>
      </c>
      <c r="F4854" s="3">
        <f ca="1">41920+(RANDBETWEEN(1,10))</f>
        <v>41929</v>
      </c>
      <c r="G4854" t="s">
        <v>26</v>
      </c>
      <c r="H4854" t="s">
        <v>27</v>
      </c>
      <c r="I4854" t="s">
        <v>28</v>
      </c>
      <c r="J4854">
        <v>223.65</v>
      </c>
      <c r="K4854">
        <v>7.0000000000000007E-2</v>
      </c>
      <c r="L4854">
        <v>0.56999999999999995</v>
      </c>
      <c r="M4854">
        <v>26.285</v>
      </c>
      <c r="N4854">
        <v>-106.68</v>
      </c>
      <c r="O4854" s="1" t="s">
        <v>40</v>
      </c>
      <c r="P4854" s="1" t="s">
        <v>7490</v>
      </c>
      <c r="Q4854" s="1" t="s">
        <v>7491</v>
      </c>
      <c r="R4854" s="1" t="s">
        <v>43</v>
      </c>
      <c r="S4854" s="1" t="s">
        <v>7492</v>
      </c>
      <c r="T4854" s="1" t="s">
        <v>7493</v>
      </c>
      <c r="U4854" s="2" t="s">
        <v>5539</v>
      </c>
      <c r="V4854" s="2" t="s">
        <v>47</v>
      </c>
      <c r="W4854" s="2" t="s">
        <v>119</v>
      </c>
      <c r="X4854" s="2">
        <v>52.395000000000003</v>
      </c>
    </row>
    <row r="4855" spans="1:24" x14ac:dyDescent="0.3">
      <c r="A4855">
        <v>22693</v>
      </c>
      <c r="B4855" t="s">
        <v>10725</v>
      </c>
      <c r="C4855" s="3">
        <v>41853</v>
      </c>
      <c r="D4855" t="s">
        <v>25</v>
      </c>
      <c r="E4855">
        <v>9</v>
      </c>
      <c r="F4855" s="3">
        <f ca="1">41858+(RANDBETWEEN(1,10))</f>
        <v>41862</v>
      </c>
      <c r="G4855" t="s">
        <v>76</v>
      </c>
      <c r="H4855" t="s">
        <v>258</v>
      </c>
      <c r="I4855" t="s">
        <v>86</v>
      </c>
      <c r="J4855">
        <v>3109.68</v>
      </c>
      <c r="K4855">
        <v>7.0000000000000007E-2</v>
      </c>
      <c r="L4855">
        <v>0.62</v>
      </c>
      <c r="M4855">
        <v>125.44</v>
      </c>
      <c r="N4855">
        <v>-292.43704000000002</v>
      </c>
      <c r="O4855" s="1" t="s">
        <v>40</v>
      </c>
      <c r="P4855" s="1" t="s">
        <v>6292</v>
      </c>
      <c r="Q4855" s="1" t="s">
        <v>6293</v>
      </c>
      <c r="R4855" s="1" t="s">
        <v>43</v>
      </c>
      <c r="S4855" s="1" t="s">
        <v>80</v>
      </c>
      <c r="T4855" s="1" t="s">
        <v>6294</v>
      </c>
      <c r="U4855" s="2" t="s">
        <v>1271</v>
      </c>
      <c r="V4855" s="2" t="s">
        <v>83</v>
      </c>
      <c r="W4855" s="2" t="s">
        <v>298</v>
      </c>
      <c r="X4855" s="2">
        <v>353.43</v>
      </c>
    </row>
    <row r="4856" spans="1:24" x14ac:dyDescent="0.3">
      <c r="A4856">
        <v>22694</v>
      </c>
      <c r="B4856" t="s">
        <v>10725</v>
      </c>
      <c r="C4856" s="3">
        <v>41853</v>
      </c>
      <c r="D4856" t="s">
        <v>25</v>
      </c>
      <c r="E4856">
        <v>25</v>
      </c>
      <c r="F4856" s="3">
        <f ca="1">41858+(RANDBETWEEN(1,10))</f>
        <v>41866</v>
      </c>
      <c r="G4856" t="s">
        <v>76</v>
      </c>
      <c r="H4856" t="s">
        <v>258</v>
      </c>
      <c r="I4856" t="s">
        <v>86</v>
      </c>
      <c r="J4856">
        <v>6503.8050000000003</v>
      </c>
      <c r="K4856">
        <v>0.01</v>
      </c>
      <c r="L4856">
        <v>0.6</v>
      </c>
      <c r="M4856">
        <v>93.59</v>
      </c>
      <c r="N4856">
        <v>568.75476000000003</v>
      </c>
      <c r="O4856" s="1" t="s">
        <v>40</v>
      </c>
      <c r="P4856" s="1" t="s">
        <v>6292</v>
      </c>
      <c r="Q4856" s="1" t="s">
        <v>6293</v>
      </c>
      <c r="R4856" s="1" t="s">
        <v>43</v>
      </c>
      <c r="S4856" s="1" t="s">
        <v>80</v>
      </c>
      <c r="T4856" s="1" t="s">
        <v>6294</v>
      </c>
      <c r="U4856" s="2" t="s">
        <v>3851</v>
      </c>
      <c r="V4856" s="2" t="s">
        <v>83</v>
      </c>
      <c r="W4856" s="2" t="s">
        <v>298</v>
      </c>
      <c r="X4856" s="2">
        <v>248.43</v>
      </c>
    </row>
    <row r="4857" spans="1:24" x14ac:dyDescent="0.3">
      <c r="A4857">
        <v>22695</v>
      </c>
      <c r="B4857" t="s">
        <v>10725</v>
      </c>
      <c r="C4857" s="3">
        <v>41853</v>
      </c>
      <c r="D4857" t="s">
        <v>25</v>
      </c>
      <c r="E4857">
        <v>8</v>
      </c>
      <c r="F4857" s="3">
        <f ca="1">41855+(RANDBETWEEN(1,10))</f>
        <v>41862</v>
      </c>
      <c r="G4857" t="s">
        <v>26</v>
      </c>
      <c r="H4857" t="s">
        <v>63</v>
      </c>
      <c r="I4857" t="s">
        <v>86</v>
      </c>
      <c r="J4857">
        <v>5219.375</v>
      </c>
      <c r="K4857">
        <v>0.05</v>
      </c>
      <c r="L4857">
        <v>0.72</v>
      </c>
      <c r="M4857">
        <v>241.5</v>
      </c>
      <c r="N4857">
        <v>-874.93672000000004</v>
      </c>
      <c r="O4857" s="1" t="s">
        <v>40</v>
      </c>
      <c r="P4857" s="1" t="s">
        <v>6292</v>
      </c>
      <c r="Q4857" s="1" t="s">
        <v>6293</v>
      </c>
      <c r="R4857" s="1" t="s">
        <v>43</v>
      </c>
      <c r="S4857" s="1" t="s">
        <v>80</v>
      </c>
      <c r="T4857" s="1" t="s">
        <v>6294</v>
      </c>
      <c r="U4857" s="2" t="s">
        <v>10726</v>
      </c>
      <c r="V4857" s="2" t="s">
        <v>83</v>
      </c>
      <c r="W4857" s="2" t="s">
        <v>263</v>
      </c>
      <c r="X4857" s="2">
        <v>638.92499999999995</v>
      </c>
    </row>
    <row r="4858" spans="1:24" x14ac:dyDescent="0.3">
      <c r="A4858">
        <v>22696</v>
      </c>
      <c r="B4858" t="s">
        <v>10727</v>
      </c>
      <c r="C4858" s="3">
        <v>41278</v>
      </c>
      <c r="D4858" t="s">
        <v>25</v>
      </c>
      <c r="E4858">
        <v>14</v>
      </c>
      <c r="F4858" s="3">
        <f ca="1">41278+(RANDBETWEEN(1,10))</f>
        <v>41284</v>
      </c>
      <c r="G4858" t="s">
        <v>26</v>
      </c>
      <c r="H4858" t="s">
        <v>51</v>
      </c>
      <c r="I4858" t="s">
        <v>28</v>
      </c>
      <c r="J4858">
        <v>588.21</v>
      </c>
      <c r="K4858">
        <v>0.08</v>
      </c>
      <c r="L4858">
        <v>0.6</v>
      </c>
      <c r="M4858">
        <v>10.99</v>
      </c>
      <c r="N4858">
        <v>-805.85889999999995</v>
      </c>
      <c r="O4858" s="1" t="s">
        <v>29</v>
      </c>
      <c r="P4858" s="1" t="s">
        <v>9063</v>
      </c>
      <c r="Q4858" s="1" t="s">
        <v>9064</v>
      </c>
      <c r="R4858" s="1" t="s">
        <v>460</v>
      </c>
      <c r="S4858" s="1" t="s">
        <v>9065</v>
      </c>
      <c r="T4858" s="1" t="s">
        <v>9066</v>
      </c>
      <c r="U4858" s="2" t="s">
        <v>536</v>
      </c>
      <c r="V4858" s="2" t="s">
        <v>47</v>
      </c>
      <c r="W4858" s="2" t="s">
        <v>94</v>
      </c>
      <c r="X4858" s="2">
        <v>45.43</v>
      </c>
    </row>
    <row r="4859" spans="1:24" x14ac:dyDescent="0.3">
      <c r="A4859">
        <v>22697</v>
      </c>
      <c r="B4859" t="s">
        <v>10728</v>
      </c>
      <c r="C4859" s="3">
        <v>41931</v>
      </c>
      <c r="D4859" t="s">
        <v>39</v>
      </c>
      <c r="E4859">
        <v>15</v>
      </c>
      <c r="F4859" s="3">
        <f ca="1">41933+(RANDBETWEEN(1,10))</f>
        <v>41934</v>
      </c>
      <c r="G4859" t="s">
        <v>26</v>
      </c>
      <c r="H4859" t="s">
        <v>27</v>
      </c>
      <c r="I4859" t="s">
        <v>86</v>
      </c>
      <c r="J4859">
        <v>504.91</v>
      </c>
      <c r="K4859">
        <v>0.08</v>
      </c>
      <c r="L4859">
        <v>0.37</v>
      </c>
      <c r="M4859">
        <v>3.4649999999999999</v>
      </c>
      <c r="N4859">
        <v>348.3879</v>
      </c>
      <c r="O4859" s="1" t="s">
        <v>40</v>
      </c>
      <c r="P4859" s="1" t="s">
        <v>10388</v>
      </c>
      <c r="Q4859" s="1" t="s">
        <v>10389</v>
      </c>
      <c r="R4859" s="1" t="s">
        <v>220</v>
      </c>
      <c r="S4859" s="1" t="s">
        <v>10390</v>
      </c>
      <c r="T4859" s="1" t="s">
        <v>10391</v>
      </c>
      <c r="U4859" s="2" t="s">
        <v>4343</v>
      </c>
      <c r="V4859" s="2" t="s">
        <v>47</v>
      </c>
      <c r="W4859" s="2" t="s">
        <v>203</v>
      </c>
      <c r="X4859" s="2">
        <v>36.225000000000001</v>
      </c>
    </row>
    <row r="4860" spans="1:24" x14ac:dyDescent="0.3">
      <c r="A4860">
        <v>22698</v>
      </c>
      <c r="B4860" t="s">
        <v>10729</v>
      </c>
      <c r="C4860" s="3">
        <v>41074</v>
      </c>
      <c r="D4860" t="s">
        <v>39</v>
      </c>
      <c r="E4860">
        <v>8</v>
      </c>
      <c r="F4860" s="3">
        <f ca="1">41076+(RANDBETWEEN(1,10))</f>
        <v>41082</v>
      </c>
      <c r="G4860" t="s">
        <v>156</v>
      </c>
      <c r="H4860" t="s">
        <v>96</v>
      </c>
      <c r="I4860" t="s">
        <v>52</v>
      </c>
      <c r="J4860">
        <v>167.86</v>
      </c>
      <c r="K4860">
        <v>0.04</v>
      </c>
      <c r="L4860">
        <v>0.36</v>
      </c>
      <c r="M4860">
        <v>10.64</v>
      </c>
      <c r="N4860">
        <v>24.57</v>
      </c>
      <c r="O4860" s="1" t="s">
        <v>225</v>
      </c>
      <c r="P4860" s="1" t="s">
        <v>10730</v>
      </c>
      <c r="Q4860" s="1" t="s">
        <v>10731</v>
      </c>
      <c r="R4860" s="1" t="s">
        <v>228</v>
      </c>
      <c r="S4860" s="1" t="s">
        <v>3080</v>
      </c>
      <c r="T4860" s="1" t="s">
        <v>598</v>
      </c>
      <c r="U4860" s="2" t="s">
        <v>2918</v>
      </c>
      <c r="V4860" s="2" t="s">
        <v>47</v>
      </c>
      <c r="W4860" s="2" t="s">
        <v>74</v>
      </c>
      <c r="X4860" s="2">
        <v>20.58</v>
      </c>
    </row>
    <row r="4861" spans="1:24" x14ac:dyDescent="0.3">
      <c r="A4861">
        <v>22699</v>
      </c>
      <c r="B4861" t="s">
        <v>10732</v>
      </c>
      <c r="C4861" s="3">
        <v>41900</v>
      </c>
      <c r="D4861" t="s">
        <v>62</v>
      </c>
      <c r="E4861">
        <v>26</v>
      </c>
      <c r="F4861" s="3">
        <f ca="1">41902+(RANDBETWEEN(1,10))</f>
        <v>41905</v>
      </c>
      <c r="G4861" t="s">
        <v>26</v>
      </c>
      <c r="H4861" t="s">
        <v>27</v>
      </c>
      <c r="I4861" t="s">
        <v>97</v>
      </c>
      <c r="J4861">
        <v>1387.19</v>
      </c>
      <c r="K4861">
        <v>7.0000000000000007E-2</v>
      </c>
      <c r="L4861">
        <v>0.39</v>
      </c>
      <c r="M4861">
        <v>29.4</v>
      </c>
      <c r="N4861">
        <v>62.621369999999999</v>
      </c>
      <c r="O4861" s="1" t="s">
        <v>87</v>
      </c>
      <c r="P4861" s="1" t="s">
        <v>10733</v>
      </c>
      <c r="Q4861" s="1" t="s">
        <v>10734</v>
      </c>
      <c r="R4861" s="1" t="s">
        <v>90</v>
      </c>
      <c r="S4861" s="1" t="s">
        <v>1492</v>
      </c>
      <c r="T4861" s="1" t="s">
        <v>1493</v>
      </c>
      <c r="U4861" s="2" t="s">
        <v>110</v>
      </c>
      <c r="V4861" s="2" t="s">
        <v>47</v>
      </c>
      <c r="W4861" s="2" t="s">
        <v>111</v>
      </c>
      <c r="X4861" s="2">
        <v>52.534999999999997</v>
      </c>
    </row>
    <row r="4862" spans="1:24" x14ac:dyDescent="0.3">
      <c r="A4862">
        <v>227</v>
      </c>
      <c r="B4862" t="s">
        <v>10735</v>
      </c>
      <c r="C4862" s="3">
        <v>41684</v>
      </c>
      <c r="D4862" t="s">
        <v>50</v>
      </c>
      <c r="E4862">
        <v>5</v>
      </c>
      <c r="F4862" s="3">
        <f ca="1">41684+(RANDBETWEEN(1,10))</f>
        <v>41685</v>
      </c>
      <c r="G4862" t="s">
        <v>26</v>
      </c>
      <c r="H4862" t="s">
        <v>27</v>
      </c>
      <c r="I4862" t="s">
        <v>28</v>
      </c>
      <c r="J4862">
        <v>58.1</v>
      </c>
      <c r="K4862">
        <v>7.0000000000000007E-2</v>
      </c>
      <c r="L4862">
        <v>0.37</v>
      </c>
      <c r="M4862">
        <v>21.175000000000001</v>
      </c>
      <c r="N4862">
        <v>-71.041250000000005</v>
      </c>
      <c r="O4862" s="1" t="s">
        <v>64</v>
      </c>
      <c r="P4862" s="1" t="s">
        <v>214</v>
      </c>
      <c r="Q4862" s="1" t="s">
        <v>215</v>
      </c>
      <c r="R4862" s="1" t="s">
        <v>67</v>
      </c>
      <c r="S4862" s="1" t="s">
        <v>68</v>
      </c>
      <c r="T4862" s="1" t="s">
        <v>69</v>
      </c>
      <c r="U4862" s="2" t="s">
        <v>1376</v>
      </c>
      <c r="V4862" s="2" t="s">
        <v>47</v>
      </c>
      <c r="W4862" s="2" t="s">
        <v>111</v>
      </c>
      <c r="X4862" s="2">
        <v>7.56</v>
      </c>
    </row>
    <row r="4863" spans="1:24" x14ac:dyDescent="0.3">
      <c r="A4863">
        <v>22700</v>
      </c>
      <c r="B4863" t="s">
        <v>10732</v>
      </c>
      <c r="C4863" s="3">
        <v>41900</v>
      </c>
      <c r="D4863" t="s">
        <v>62</v>
      </c>
      <c r="E4863">
        <v>14</v>
      </c>
      <c r="F4863" s="3">
        <f ca="1">41902+(RANDBETWEEN(1,10))</f>
        <v>41908</v>
      </c>
      <c r="G4863" t="s">
        <v>26</v>
      </c>
      <c r="H4863" t="s">
        <v>96</v>
      </c>
      <c r="I4863" t="s">
        <v>97</v>
      </c>
      <c r="J4863">
        <v>427.315</v>
      </c>
      <c r="K4863">
        <v>0.06</v>
      </c>
      <c r="L4863">
        <v>0.38</v>
      </c>
      <c r="M4863">
        <v>18.059999999999999</v>
      </c>
      <c r="N4863">
        <v>-28.400400000000001</v>
      </c>
      <c r="O4863" s="1" t="s">
        <v>87</v>
      </c>
      <c r="P4863" s="1" t="s">
        <v>10733</v>
      </c>
      <c r="Q4863" s="1" t="s">
        <v>10734</v>
      </c>
      <c r="R4863" s="1" t="s">
        <v>90</v>
      </c>
      <c r="S4863" s="1" t="s">
        <v>1492</v>
      </c>
      <c r="T4863" s="1" t="s">
        <v>1493</v>
      </c>
      <c r="U4863" s="2" t="s">
        <v>7396</v>
      </c>
      <c r="V4863" s="2" t="s">
        <v>47</v>
      </c>
      <c r="W4863" s="2" t="s">
        <v>74</v>
      </c>
      <c r="X4863" s="2">
        <v>29.96</v>
      </c>
    </row>
    <row r="4864" spans="1:24" x14ac:dyDescent="0.3">
      <c r="A4864">
        <v>22701</v>
      </c>
      <c r="B4864" t="s">
        <v>10732</v>
      </c>
      <c r="C4864" s="3">
        <v>41900</v>
      </c>
      <c r="D4864" t="s">
        <v>62</v>
      </c>
      <c r="E4864">
        <v>13</v>
      </c>
      <c r="F4864" s="3">
        <f ca="1">41902+(RANDBETWEEN(1,10))</f>
        <v>41904</v>
      </c>
      <c r="G4864" t="s">
        <v>26</v>
      </c>
      <c r="H4864" t="s">
        <v>27</v>
      </c>
      <c r="I4864" t="s">
        <v>97</v>
      </c>
      <c r="J4864">
        <v>306.88</v>
      </c>
      <c r="K4864">
        <v>0.04</v>
      </c>
      <c r="L4864">
        <v>0.37</v>
      </c>
      <c r="M4864">
        <v>17.885000000000002</v>
      </c>
      <c r="N4864">
        <v>-629.06200000000001</v>
      </c>
      <c r="O4864" s="1" t="s">
        <v>87</v>
      </c>
      <c r="P4864" s="1" t="s">
        <v>532</v>
      </c>
      <c r="Q4864" s="1" t="s">
        <v>533</v>
      </c>
      <c r="R4864" s="1" t="s">
        <v>90</v>
      </c>
      <c r="S4864" s="1" t="s">
        <v>534</v>
      </c>
      <c r="T4864" s="1" t="s">
        <v>535</v>
      </c>
      <c r="U4864" s="2" t="s">
        <v>5609</v>
      </c>
      <c r="V4864" s="2" t="s">
        <v>47</v>
      </c>
      <c r="W4864" s="2" t="s">
        <v>74</v>
      </c>
      <c r="X4864" s="2">
        <v>22.68</v>
      </c>
    </row>
    <row r="4865" spans="1:24" x14ac:dyDescent="0.3">
      <c r="A4865">
        <v>22702</v>
      </c>
      <c r="B4865" t="s">
        <v>10736</v>
      </c>
      <c r="C4865" s="3">
        <v>41177</v>
      </c>
      <c r="D4865" t="s">
        <v>25</v>
      </c>
      <c r="E4865">
        <v>15</v>
      </c>
      <c r="F4865" s="3">
        <f ca="1">41181+(RANDBETWEEN(1,10))</f>
        <v>41185</v>
      </c>
      <c r="G4865" t="s">
        <v>26</v>
      </c>
      <c r="H4865" t="s">
        <v>96</v>
      </c>
      <c r="I4865" t="s">
        <v>52</v>
      </c>
      <c r="J4865">
        <v>193.23500000000001</v>
      </c>
      <c r="K4865">
        <v>0.09</v>
      </c>
      <c r="L4865">
        <v>0.37</v>
      </c>
      <c r="M4865">
        <v>4.55</v>
      </c>
      <c r="N4865">
        <v>72.87</v>
      </c>
      <c r="O4865" s="1" t="s">
        <v>64</v>
      </c>
      <c r="P4865" s="1" t="s">
        <v>8719</v>
      </c>
      <c r="Q4865" s="1" t="s">
        <v>8720</v>
      </c>
      <c r="R4865" s="1" t="s">
        <v>128</v>
      </c>
      <c r="S4865" s="1" t="s">
        <v>1269</v>
      </c>
      <c r="T4865" s="1" t="s">
        <v>1270</v>
      </c>
      <c r="U4865" s="2" t="s">
        <v>2823</v>
      </c>
      <c r="V4865" s="2" t="s">
        <v>47</v>
      </c>
      <c r="W4865" s="2" t="s">
        <v>74</v>
      </c>
      <c r="X4865" s="2">
        <v>14</v>
      </c>
    </row>
    <row r="4866" spans="1:24" x14ac:dyDescent="0.3">
      <c r="A4866">
        <v>22703</v>
      </c>
      <c r="B4866" t="s">
        <v>10736</v>
      </c>
      <c r="C4866" s="3">
        <v>41177</v>
      </c>
      <c r="D4866" t="s">
        <v>25</v>
      </c>
      <c r="E4866">
        <v>16</v>
      </c>
      <c r="F4866" s="3">
        <f ca="1">41177+(RANDBETWEEN(1,10))</f>
        <v>41180</v>
      </c>
      <c r="G4866" t="s">
        <v>156</v>
      </c>
      <c r="H4866" t="s">
        <v>27</v>
      </c>
      <c r="I4866" t="s">
        <v>52</v>
      </c>
      <c r="J4866">
        <v>3941.1750000000002</v>
      </c>
      <c r="K4866">
        <v>7.0000000000000007E-2</v>
      </c>
      <c r="L4866">
        <v>0.57999999999999996</v>
      </c>
      <c r="M4866">
        <v>37.729999999999997</v>
      </c>
      <c r="N4866">
        <v>1087.002</v>
      </c>
      <c r="O4866" s="1" t="s">
        <v>64</v>
      </c>
      <c r="P4866" s="1" t="s">
        <v>8719</v>
      </c>
      <c r="Q4866" s="1" t="s">
        <v>8720</v>
      </c>
      <c r="R4866" s="1" t="s">
        <v>128</v>
      </c>
      <c r="S4866" s="1" t="s">
        <v>1269</v>
      </c>
      <c r="T4866" s="1" t="s">
        <v>1270</v>
      </c>
      <c r="U4866" s="2">
        <v>3395</v>
      </c>
      <c r="V4866" s="2" t="s">
        <v>36</v>
      </c>
      <c r="W4866" s="2" t="s">
        <v>37</v>
      </c>
      <c r="X4866" s="2">
        <v>300.96499999999997</v>
      </c>
    </row>
    <row r="4867" spans="1:24" x14ac:dyDescent="0.3">
      <c r="A4867">
        <v>22704</v>
      </c>
      <c r="B4867" t="s">
        <v>10737</v>
      </c>
      <c r="C4867" s="3">
        <v>41610</v>
      </c>
      <c r="D4867" t="s">
        <v>39</v>
      </c>
      <c r="E4867">
        <v>21</v>
      </c>
      <c r="F4867" s="3">
        <f ca="1">41611+(RANDBETWEEN(1,10))</f>
        <v>41618</v>
      </c>
      <c r="G4867" t="s">
        <v>26</v>
      </c>
      <c r="H4867" t="s">
        <v>27</v>
      </c>
      <c r="I4867" t="s">
        <v>28</v>
      </c>
      <c r="J4867">
        <v>467.35500000000002</v>
      </c>
      <c r="K4867">
        <v>0.03</v>
      </c>
      <c r="L4867">
        <v>0.6</v>
      </c>
      <c r="M4867">
        <v>18.27</v>
      </c>
      <c r="N4867">
        <v>-169.66249999999999</v>
      </c>
      <c r="O4867" s="1" t="s">
        <v>29</v>
      </c>
      <c r="P4867" s="1" t="s">
        <v>8102</v>
      </c>
      <c r="Q4867" s="1" t="s">
        <v>8103</v>
      </c>
      <c r="R4867" s="1" t="s">
        <v>32</v>
      </c>
      <c r="S4867" s="1" t="s">
        <v>8104</v>
      </c>
      <c r="T4867" s="1" t="s">
        <v>8105</v>
      </c>
      <c r="U4867" s="2" t="s">
        <v>995</v>
      </c>
      <c r="V4867" s="2" t="s">
        <v>83</v>
      </c>
      <c r="W4867" s="2" t="s">
        <v>178</v>
      </c>
      <c r="X4867" s="2">
        <v>21.84</v>
      </c>
    </row>
    <row r="4868" spans="1:24" x14ac:dyDescent="0.3">
      <c r="A4868">
        <v>22705</v>
      </c>
      <c r="B4868" t="s">
        <v>10737</v>
      </c>
      <c r="C4868" s="3">
        <v>41610</v>
      </c>
      <c r="D4868" t="s">
        <v>39</v>
      </c>
      <c r="E4868">
        <v>6</v>
      </c>
      <c r="F4868" s="3">
        <f ca="1">41610+(RANDBETWEEN(1,10))</f>
        <v>41619</v>
      </c>
      <c r="G4868" t="s">
        <v>26</v>
      </c>
      <c r="H4868" t="s">
        <v>27</v>
      </c>
      <c r="I4868" t="s">
        <v>28</v>
      </c>
      <c r="J4868">
        <v>858.69</v>
      </c>
      <c r="K4868">
        <v>0.06</v>
      </c>
      <c r="L4868">
        <v>0.36</v>
      </c>
      <c r="M4868">
        <v>61.18</v>
      </c>
      <c r="N4868">
        <v>69.352500000000006</v>
      </c>
      <c r="O4868" s="1" t="s">
        <v>29</v>
      </c>
      <c r="P4868" s="1" t="s">
        <v>8102</v>
      </c>
      <c r="Q4868" s="1" t="s">
        <v>8103</v>
      </c>
      <c r="R4868" s="1" t="s">
        <v>32</v>
      </c>
      <c r="S4868" s="1" t="s">
        <v>8104</v>
      </c>
      <c r="T4868" s="1" t="s">
        <v>8105</v>
      </c>
      <c r="U4868" s="2" t="s">
        <v>1688</v>
      </c>
      <c r="V4868" s="2" t="s">
        <v>47</v>
      </c>
      <c r="W4868" s="2" t="s">
        <v>74</v>
      </c>
      <c r="X4868" s="2">
        <v>143.465</v>
      </c>
    </row>
    <row r="4869" spans="1:24" x14ac:dyDescent="0.3">
      <c r="A4869">
        <v>22706</v>
      </c>
      <c r="B4869" t="s">
        <v>10738</v>
      </c>
      <c r="C4869" s="3">
        <v>41134</v>
      </c>
      <c r="D4869" t="s">
        <v>148</v>
      </c>
      <c r="E4869">
        <v>12</v>
      </c>
      <c r="F4869" s="3">
        <f ca="1">41136+(RANDBETWEEN(1,10))</f>
        <v>41146</v>
      </c>
      <c r="G4869" t="s">
        <v>26</v>
      </c>
      <c r="H4869" t="s">
        <v>96</v>
      </c>
      <c r="I4869" t="s">
        <v>28</v>
      </c>
      <c r="J4869">
        <v>73.290000000000006</v>
      </c>
      <c r="K4869">
        <v>7.0000000000000007E-2</v>
      </c>
      <c r="L4869">
        <v>0.56000000000000005</v>
      </c>
      <c r="M4869">
        <v>2.4500000000000002</v>
      </c>
      <c r="N4869">
        <v>1102.8150000000001</v>
      </c>
      <c r="O4869" s="1" t="s">
        <v>225</v>
      </c>
      <c r="P4869" s="1" t="s">
        <v>9294</v>
      </c>
      <c r="Q4869" s="1" t="s">
        <v>9295</v>
      </c>
      <c r="R4869" s="1" t="s">
        <v>391</v>
      </c>
      <c r="S4869" s="1" t="s">
        <v>9296</v>
      </c>
      <c r="T4869" s="1" t="s">
        <v>9297</v>
      </c>
      <c r="U4869" s="2" t="s">
        <v>384</v>
      </c>
      <c r="V4869" s="2" t="s">
        <v>47</v>
      </c>
      <c r="W4869" s="2" t="s">
        <v>104</v>
      </c>
      <c r="X4869" s="2">
        <v>6.16</v>
      </c>
    </row>
    <row r="4870" spans="1:24" x14ac:dyDescent="0.3">
      <c r="A4870">
        <v>22707</v>
      </c>
      <c r="B4870" t="s">
        <v>10738</v>
      </c>
      <c r="C4870" s="3">
        <v>41134</v>
      </c>
      <c r="D4870" t="s">
        <v>148</v>
      </c>
      <c r="E4870">
        <v>4</v>
      </c>
      <c r="F4870" s="3">
        <f ca="1">41135+(RANDBETWEEN(1,10))</f>
        <v>41141</v>
      </c>
      <c r="G4870" t="s">
        <v>26</v>
      </c>
      <c r="H4870" t="s">
        <v>51</v>
      </c>
      <c r="I4870" t="s">
        <v>28</v>
      </c>
      <c r="J4870">
        <v>254.03</v>
      </c>
      <c r="K4870">
        <v>0.02</v>
      </c>
      <c r="L4870">
        <v>0.81</v>
      </c>
      <c r="M4870">
        <v>11.55</v>
      </c>
      <c r="N4870">
        <v>325.185</v>
      </c>
      <c r="O4870" s="1" t="s">
        <v>225</v>
      </c>
      <c r="P4870" s="1" t="s">
        <v>9294</v>
      </c>
      <c r="Q4870" s="1" t="s">
        <v>9295</v>
      </c>
      <c r="R4870" s="1" t="s">
        <v>391</v>
      </c>
      <c r="S4870" s="1" t="s">
        <v>9296</v>
      </c>
      <c r="T4870" s="1" t="s">
        <v>9297</v>
      </c>
      <c r="U4870" s="2" t="s">
        <v>2224</v>
      </c>
      <c r="V4870" s="2" t="s">
        <v>36</v>
      </c>
      <c r="W4870" s="2" t="s">
        <v>37</v>
      </c>
      <c r="X4870" s="2">
        <v>73.465000000000003</v>
      </c>
    </row>
    <row r="4871" spans="1:24" x14ac:dyDescent="0.3">
      <c r="A4871">
        <v>22708</v>
      </c>
      <c r="B4871" t="s">
        <v>10739</v>
      </c>
      <c r="C4871" s="3">
        <v>41431</v>
      </c>
      <c r="D4871" t="s">
        <v>25</v>
      </c>
      <c r="E4871">
        <v>9</v>
      </c>
      <c r="F4871" s="3">
        <f ca="1">41435+(RANDBETWEEN(1,10))</f>
        <v>41437</v>
      </c>
      <c r="G4871" t="s">
        <v>26</v>
      </c>
      <c r="H4871" t="s">
        <v>96</v>
      </c>
      <c r="I4871" t="s">
        <v>52</v>
      </c>
      <c r="J4871">
        <v>286.47500000000002</v>
      </c>
      <c r="K4871">
        <v>0.1</v>
      </c>
      <c r="L4871">
        <v>0.47</v>
      </c>
      <c r="M4871">
        <v>16.87</v>
      </c>
      <c r="N4871">
        <v>-76.02</v>
      </c>
      <c r="O4871" s="1" t="s">
        <v>40</v>
      </c>
      <c r="P4871" s="1" t="s">
        <v>10523</v>
      </c>
      <c r="Q4871" s="1" t="s">
        <v>10524</v>
      </c>
      <c r="R4871" s="1" t="s">
        <v>43</v>
      </c>
      <c r="S4871" s="1" t="s">
        <v>10525</v>
      </c>
      <c r="T4871" s="1" t="s">
        <v>10526</v>
      </c>
      <c r="U4871" s="2" t="s">
        <v>9076</v>
      </c>
      <c r="V4871" s="2" t="s">
        <v>47</v>
      </c>
      <c r="W4871" s="2" t="s">
        <v>104</v>
      </c>
      <c r="X4871" s="2">
        <v>34.475000000000001</v>
      </c>
    </row>
    <row r="4872" spans="1:24" x14ac:dyDescent="0.3">
      <c r="A4872">
        <v>22709</v>
      </c>
      <c r="B4872" t="s">
        <v>10740</v>
      </c>
      <c r="C4872" s="3">
        <v>41809</v>
      </c>
      <c r="D4872" t="s">
        <v>62</v>
      </c>
      <c r="E4872">
        <v>16</v>
      </c>
      <c r="F4872" s="3">
        <f ca="1">41809+(RANDBETWEEN(1,10))</f>
        <v>41815</v>
      </c>
      <c r="G4872" t="s">
        <v>26</v>
      </c>
      <c r="H4872" t="s">
        <v>51</v>
      </c>
      <c r="I4872" t="s">
        <v>86</v>
      </c>
      <c r="J4872">
        <v>667.8</v>
      </c>
      <c r="K4872">
        <v>0.08</v>
      </c>
      <c r="L4872">
        <v>0.43</v>
      </c>
      <c r="M4872">
        <v>21.07</v>
      </c>
      <c r="N4872">
        <v>67.787999999999997</v>
      </c>
      <c r="O4872" s="1" t="s">
        <v>29</v>
      </c>
      <c r="P4872" s="1" t="s">
        <v>4613</v>
      </c>
      <c r="Q4872" s="1" t="s">
        <v>4614</v>
      </c>
      <c r="R4872" s="1" t="s">
        <v>32</v>
      </c>
      <c r="S4872" s="1" t="s">
        <v>4615</v>
      </c>
      <c r="T4872" s="1" t="s">
        <v>4616</v>
      </c>
      <c r="U4872" s="2" t="s">
        <v>4414</v>
      </c>
      <c r="V4872" s="2" t="s">
        <v>83</v>
      </c>
      <c r="W4872" s="2" t="s">
        <v>178</v>
      </c>
      <c r="X4872" s="2">
        <v>42.7</v>
      </c>
    </row>
    <row r="4873" spans="1:24" x14ac:dyDescent="0.3">
      <c r="A4873">
        <v>22710</v>
      </c>
      <c r="B4873" t="s">
        <v>10741</v>
      </c>
      <c r="C4873" s="3">
        <v>41841</v>
      </c>
      <c r="D4873" t="s">
        <v>148</v>
      </c>
      <c r="E4873">
        <v>4</v>
      </c>
      <c r="F4873" s="3">
        <f ca="1">41842+(RANDBETWEEN(1,10))</f>
        <v>41850</v>
      </c>
      <c r="G4873" t="s">
        <v>26</v>
      </c>
      <c r="H4873" t="s">
        <v>281</v>
      </c>
      <c r="I4873" t="s">
        <v>86</v>
      </c>
      <c r="J4873">
        <v>880.21500000000003</v>
      </c>
      <c r="K4873">
        <v>0.02</v>
      </c>
      <c r="L4873">
        <v>0.72</v>
      </c>
      <c r="M4873">
        <v>182.7</v>
      </c>
      <c r="N4873">
        <v>-580.52904000000001</v>
      </c>
      <c r="O4873" s="1" t="s">
        <v>87</v>
      </c>
      <c r="P4873" s="1" t="s">
        <v>10246</v>
      </c>
      <c r="Q4873" s="1" t="s">
        <v>10247</v>
      </c>
      <c r="R4873" s="1" t="s">
        <v>497</v>
      </c>
      <c r="S4873" s="1" t="s">
        <v>1105</v>
      </c>
      <c r="T4873" s="1" t="s">
        <v>1106</v>
      </c>
      <c r="U4873" s="2" t="s">
        <v>7095</v>
      </c>
      <c r="V4873" s="2" t="s">
        <v>83</v>
      </c>
      <c r="W4873" s="2" t="s">
        <v>178</v>
      </c>
      <c r="X4873" s="2">
        <v>194.25</v>
      </c>
    </row>
    <row r="4874" spans="1:24" x14ac:dyDescent="0.3">
      <c r="A4874">
        <v>22711</v>
      </c>
      <c r="B4874" t="s">
        <v>10741</v>
      </c>
      <c r="C4874" s="3">
        <v>41841</v>
      </c>
      <c r="D4874" t="s">
        <v>148</v>
      </c>
      <c r="E4874">
        <v>8</v>
      </c>
      <c r="F4874" s="3">
        <f ca="1">41842+(RANDBETWEEN(1,10))</f>
        <v>41849</v>
      </c>
      <c r="G4874" t="s">
        <v>156</v>
      </c>
      <c r="H4874" t="s">
        <v>27</v>
      </c>
      <c r="I4874" t="s">
        <v>86</v>
      </c>
      <c r="J4874">
        <v>469.66500000000002</v>
      </c>
      <c r="K4874">
        <v>0.01</v>
      </c>
      <c r="L4874">
        <v>0.6</v>
      </c>
      <c r="M4874">
        <v>20.3</v>
      </c>
      <c r="N4874">
        <v>27.988800000000001</v>
      </c>
      <c r="O4874" s="1" t="s">
        <v>87</v>
      </c>
      <c r="P4874" s="1" t="s">
        <v>10246</v>
      </c>
      <c r="Q4874" s="1" t="s">
        <v>10247</v>
      </c>
      <c r="R4874" s="1" t="s">
        <v>497</v>
      </c>
      <c r="S4874" s="1" t="s">
        <v>1105</v>
      </c>
      <c r="T4874" s="1" t="s">
        <v>1106</v>
      </c>
      <c r="U4874" s="2" t="s">
        <v>10742</v>
      </c>
      <c r="V4874" s="2" t="s">
        <v>47</v>
      </c>
      <c r="W4874" s="2" t="s">
        <v>119</v>
      </c>
      <c r="X4874" s="2">
        <v>54.284999999999997</v>
      </c>
    </row>
    <row r="4875" spans="1:24" x14ac:dyDescent="0.3">
      <c r="A4875">
        <v>22712</v>
      </c>
      <c r="B4875" t="s">
        <v>10743</v>
      </c>
      <c r="C4875" s="3">
        <v>40783</v>
      </c>
      <c r="D4875" t="s">
        <v>25</v>
      </c>
      <c r="E4875">
        <v>4</v>
      </c>
      <c r="F4875" s="3">
        <f ca="1">40787+(RANDBETWEEN(1,10))</f>
        <v>40790</v>
      </c>
      <c r="G4875" t="s">
        <v>26</v>
      </c>
      <c r="H4875" t="s">
        <v>96</v>
      </c>
      <c r="I4875" t="s">
        <v>52</v>
      </c>
      <c r="J4875">
        <v>192.78</v>
      </c>
      <c r="K4875">
        <v>0.09</v>
      </c>
      <c r="L4875">
        <v>0.46</v>
      </c>
      <c r="M4875">
        <v>18.55</v>
      </c>
      <c r="N4875">
        <v>-1136.5550000000001</v>
      </c>
      <c r="O4875" s="1" t="s">
        <v>87</v>
      </c>
      <c r="P4875" s="1" t="s">
        <v>7239</v>
      </c>
      <c r="Q4875" s="1" t="s">
        <v>7240</v>
      </c>
      <c r="R4875" s="1" t="s">
        <v>398</v>
      </c>
      <c r="S4875" s="1" t="s">
        <v>3265</v>
      </c>
      <c r="T4875" s="1" t="s">
        <v>3266</v>
      </c>
      <c r="U4875" s="2" t="s">
        <v>2729</v>
      </c>
      <c r="V4875" s="2" t="s">
        <v>83</v>
      </c>
      <c r="W4875" s="2" t="s">
        <v>178</v>
      </c>
      <c r="X4875" s="2">
        <v>49.7</v>
      </c>
    </row>
    <row r="4876" spans="1:24" x14ac:dyDescent="0.3">
      <c r="A4876">
        <v>22713</v>
      </c>
      <c r="B4876" t="s">
        <v>10744</v>
      </c>
      <c r="C4876" s="3">
        <v>41989</v>
      </c>
      <c r="D4876" t="s">
        <v>50</v>
      </c>
      <c r="E4876">
        <v>23</v>
      </c>
      <c r="F4876" s="3">
        <f ca="1">41991+(RANDBETWEEN(1,10))</f>
        <v>41998</v>
      </c>
      <c r="G4876" t="s">
        <v>26</v>
      </c>
      <c r="H4876" t="s">
        <v>27</v>
      </c>
      <c r="I4876" t="s">
        <v>28</v>
      </c>
      <c r="J4876">
        <v>465.29</v>
      </c>
      <c r="K4876">
        <v>0.05</v>
      </c>
      <c r="L4876">
        <v>0.39</v>
      </c>
      <c r="M4876">
        <v>17.535</v>
      </c>
      <c r="N4876">
        <v>-106.89369600000001</v>
      </c>
      <c r="O4876" s="1" t="s">
        <v>53</v>
      </c>
      <c r="P4876" s="1" t="s">
        <v>5540</v>
      </c>
      <c r="Q4876" s="1" t="s">
        <v>5541</v>
      </c>
      <c r="R4876" s="1" t="s">
        <v>440</v>
      </c>
      <c r="S4876" s="1" t="s">
        <v>4083</v>
      </c>
      <c r="T4876" s="1" t="s">
        <v>3397</v>
      </c>
      <c r="U4876" s="2" t="s">
        <v>2422</v>
      </c>
      <c r="V4876" s="2" t="s">
        <v>47</v>
      </c>
      <c r="W4876" s="2" t="s">
        <v>111</v>
      </c>
      <c r="X4876" s="2">
        <v>20.09</v>
      </c>
    </row>
    <row r="4877" spans="1:24" x14ac:dyDescent="0.3">
      <c r="A4877">
        <v>22714</v>
      </c>
      <c r="B4877" t="s">
        <v>10744</v>
      </c>
      <c r="C4877" s="3">
        <v>41989</v>
      </c>
      <c r="D4877" t="s">
        <v>50</v>
      </c>
      <c r="E4877">
        <v>1</v>
      </c>
      <c r="F4877" s="3">
        <f ca="1">41991+(RANDBETWEEN(1,10))</f>
        <v>41999</v>
      </c>
      <c r="G4877" t="s">
        <v>76</v>
      </c>
      <c r="H4877" t="s">
        <v>77</v>
      </c>
      <c r="I4877" t="s">
        <v>28</v>
      </c>
      <c r="J4877">
        <v>5252.87</v>
      </c>
      <c r="K4877">
        <v>0.01</v>
      </c>
      <c r="L4877">
        <v>0.56999999999999995</v>
      </c>
      <c r="M4877">
        <v>103.95</v>
      </c>
      <c r="N4877">
        <v>-3977.2153014999999</v>
      </c>
      <c r="O4877" s="1" t="s">
        <v>53</v>
      </c>
      <c r="P4877" s="1" t="s">
        <v>5540</v>
      </c>
      <c r="Q4877" s="1" t="s">
        <v>5541</v>
      </c>
      <c r="R4877" s="1" t="s">
        <v>440</v>
      </c>
      <c r="S4877" s="1" t="s">
        <v>4083</v>
      </c>
      <c r="T4877" s="1" t="s">
        <v>3397</v>
      </c>
      <c r="U4877" s="2" t="s">
        <v>141</v>
      </c>
      <c r="V4877" s="2" t="s">
        <v>36</v>
      </c>
      <c r="W4877" s="2" t="s">
        <v>142</v>
      </c>
      <c r="X4877" s="2">
        <v>5253.3950000000004</v>
      </c>
    </row>
    <row r="4878" spans="1:24" x14ac:dyDescent="0.3">
      <c r="A4878">
        <v>22715</v>
      </c>
      <c r="B4878" t="s">
        <v>10744</v>
      </c>
      <c r="C4878" s="3">
        <v>41989</v>
      </c>
      <c r="D4878" t="s">
        <v>50</v>
      </c>
      <c r="E4878">
        <v>10</v>
      </c>
      <c r="F4878" s="3">
        <f ca="1">41989+(RANDBETWEEN(1,10))</f>
        <v>41991</v>
      </c>
      <c r="G4878" t="s">
        <v>26</v>
      </c>
      <c r="H4878" t="s">
        <v>27</v>
      </c>
      <c r="I4878" t="s">
        <v>28</v>
      </c>
      <c r="J4878">
        <v>5699.2250000000004</v>
      </c>
      <c r="K4878">
        <v>7.0000000000000007E-2</v>
      </c>
      <c r="L4878">
        <v>0.56000000000000005</v>
      </c>
      <c r="M4878">
        <v>18.41</v>
      </c>
      <c r="N4878">
        <v>1667.9819520000001</v>
      </c>
      <c r="O4878" s="1" t="s">
        <v>53</v>
      </c>
      <c r="P4878" s="1" t="s">
        <v>5540</v>
      </c>
      <c r="Q4878" s="1" t="s">
        <v>5541</v>
      </c>
      <c r="R4878" s="1" t="s">
        <v>440</v>
      </c>
      <c r="S4878" s="1" t="s">
        <v>4083</v>
      </c>
      <c r="T4878" s="1" t="s">
        <v>3397</v>
      </c>
      <c r="U4878" s="2" t="s">
        <v>1881</v>
      </c>
      <c r="V4878" s="2" t="s">
        <v>36</v>
      </c>
      <c r="W4878" s="2" t="s">
        <v>37</v>
      </c>
      <c r="X4878" s="2">
        <v>720.96500000000003</v>
      </c>
    </row>
    <row r="4879" spans="1:24" x14ac:dyDescent="0.3">
      <c r="A4879">
        <v>22716</v>
      </c>
      <c r="B4879" t="s">
        <v>10745</v>
      </c>
      <c r="C4879" s="3">
        <v>41558</v>
      </c>
      <c r="D4879" t="s">
        <v>148</v>
      </c>
      <c r="E4879">
        <v>1</v>
      </c>
      <c r="F4879" s="3">
        <f ca="1">41561+(RANDBETWEEN(1,10))</f>
        <v>41566</v>
      </c>
      <c r="G4879" t="s">
        <v>26</v>
      </c>
      <c r="H4879" t="s">
        <v>96</v>
      </c>
      <c r="I4879" t="s">
        <v>52</v>
      </c>
      <c r="J4879">
        <v>25.024999999999999</v>
      </c>
      <c r="K4879">
        <v>0.03</v>
      </c>
      <c r="L4879">
        <v>0.51</v>
      </c>
      <c r="M4879">
        <v>7.1050000000000004</v>
      </c>
      <c r="N4879">
        <v>194.166</v>
      </c>
      <c r="O4879" s="1" t="s">
        <v>64</v>
      </c>
      <c r="P4879" s="1" t="s">
        <v>8629</v>
      </c>
      <c r="Q4879" s="1" t="s">
        <v>8630</v>
      </c>
      <c r="R4879" s="1" t="s">
        <v>128</v>
      </c>
      <c r="S4879" s="1" t="s">
        <v>4685</v>
      </c>
      <c r="T4879" s="1" t="s">
        <v>4686</v>
      </c>
      <c r="U4879" s="2" t="s">
        <v>3434</v>
      </c>
      <c r="V4879" s="2" t="s">
        <v>83</v>
      </c>
      <c r="W4879" s="2" t="s">
        <v>178</v>
      </c>
      <c r="X4879" s="2">
        <v>17.78</v>
      </c>
    </row>
    <row r="4880" spans="1:24" x14ac:dyDescent="0.3">
      <c r="A4880">
        <v>22717</v>
      </c>
      <c r="B4880" t="s">
        <v>10746</v>
      </c>
      <c r="C4880" s="3">
        <v>41186</v>
      </c>
      <c r="D4880" t="s">
        <v>62</v>
      </c>
      <c r="E4880">
        <v>7</v>
      </c>
      <c r="F4880" s="3">
        <f ca="1">41186+(RANDBETWEEN(1,10))</f>
        <v>41192</v>
      </c>
      <c r="G4880" t="s">
        <v>76</v>
      </c>
      <c r="H4880" t="s">
        <v>258</v>
      </c>
      <c r="I4880" t="s">
        <v>28</v>
      </c>
      <c r="J4880">
        <v>3711.855</v>
      </c>
      <c r="K4880">
        <v>0.06</v>
      </c>
      <c r="L4880">
        <v>0.7</v>
      </c>
      <c r="M4880">
        <v>56.034999999999997</v>
      </c>
      <c r="N4880">
        <v>357.57262800000001</v>
      </c>
      <c r="O4880" s="1" t="s">
        <v>29</v>
      </c>
      <c r="P4880" s="1" t="s">
        <v>8102</v>
      </c>
      <c r="Q4880" s="1" t="s">
        <v>8103</v>
      </c>
      <c r="R4880" s="1" t="s">
        <v>32</v>
      </c>
      <c r="S4880" s="1" t="s">
        <v>8104</v>
      </c>
      <c r="T4880" s="1" t="s">
        <v>8105</v>
      </c>
      <c r="U4880" s="2" t="s">
        <v>342</v>
      </c>
      <c r="V4880" s="2" t="s">
        <v>83</v>
      </c>
      <c r="W4880" s="2" t="s">
        <v>263</v>
      </c>
      <c r="X4880" s="2">
        <v>528.42999999999995</v>
      </c>
    </row>
    <row r="4881" spans="1:24" x14ac:dyDescent="0.3">
      <c r="A4881">
        <v>22718</v>
      </c>
      <c r="B4881" t="s">
        <v>10747</v>
      </c>
      <c r="C4881" s="3">
        <v>41188</v>
      </c>
      <c r="D4881" t="s">
        <v>25</v>
      </c>
      <c r="E4881">
        <v>19</v>
      </c>
      <c r="F4881" s="3">
        <f ca="1">41190+(RANDBETWEEN(1,10))</f>
        <v>41192</v>
      </c>
      <c r="G4881" t="s">
        <v>26</v>
      </c>
      <c r="H4881" t="s">
        <v>27</v>
      </c>
      <c r="I4881" t="s">
        <v>28</v>
      </c>
      <c r="J4881">
        <v>296.52</v>
      </c>
      <c r="K4881">
        <v>0.06</v>
      </c>
      <c r="L4881">
        <v>0.4</v>
      </c>
      <c r="M4881">
        <v>16.765000000000001</v>
      </c>
      <c r="N4881">
        <v>-356.68079999999998</v>
      </c>
      <c r="O4881" s="1" t="s">
        <v>29</v>
      </c>
      <c r="P4881" s="1" t="s">
        <v>8650</v>
      </c>
      <c r="Q4881" s="1" t="s">
        <v>8651</v>
      </c>
      <c r="R4881" s="1" t="s">
        <v>460</v>
      </c>
      <c r="S4881" s="1" t="s">
        <v>8652</v>
      </c>
      <c r="T4881" s="1" t="s">
        <v>8653</v>
      </c>
      <c r="U4881" s="2" t="s">
        <v>4602</v>
      </c>
      <c r="V4881" s="2" t="s">
        <v>47</v>
      </c>
      <c r="W4881" s="2" t="s">
        <v>74</v>
      </c>
      <c r="X4881" s="2">
        <v>14.98</v>
      </c>
    </row>
    <row r="4882" spans="1:24" x14ac:dyDescent="0.3">
      <c r="A4882">
        <v>22719</v>
      </c>
      <c r="B4882" t="s">
        <v>10748</v>
      </c>
      <c r="C4882" s="3">
        <v>41504</v>
      </c>
      <c r="D4882" t="s">
        <v>39</v>
      </c>
      <c r="E4882">
        <v>5</v>
      </c>
      <c r="F4882" s="3">
        <f ca="1">41506+(RANDBETWEEN(1,10))</f>
        <v>41510</v>
      </c>
      <c r="G4882" t="s">
        <v>26</v>
      </c>
      <c r="H4882" t="s">
        <v>27</v>
      </c>
      <c r="I4882" t="s">
        <v>28</v>
      </c>
      <c r="J4882">
        <v>104.33499999999999</v>
      </c>
      <c r="K4882">
        <v>0.04</v>
      </c>
      <c r="L4882">
        <v>0.37</v>
      </c>
      <c r="M4882">
        <v>27.23</v>
      </c>
      <c r="N4882">
        <v>-102.47328</v>
      </c>
      <c r="O4882" s="1" t="s">
        <v>40</v>
      </c>
      <c r="P4882" s="1" t="s">
        <v>4967</v>
      </c>
      <c r="Q4882" s="1" t="s">
        <v>4968</v>
      </c>
      <c r="R4882" s="1" t="s">
        <v>220</v>
      </c>
      <c r="S4882" s="1" t="s">
        <v>4969</v>
      </c>
      <c r="T4882" s="1" t="s">
        <v>4970</v>
      </c>
      <c r="U4882" s="2" t="s">
        <v>599</v>
      </c>
      <c r="V4882" s="2" t="s">
        <v>47</v>
      </c>
      <c r="W4882" s="2" t="s">
        <v>111</v>
      </c>
      <c r="X4882" s="2">
        <v>18.899999999999999</v>
      </c>
    </row>
    <row r="4883" spans="1:24" x14ac:dyDescent="0.3">
      <c r="A4883">
        <v>22720</v>
      </c>
      <c r="B4883" t="s">
        <v>10749</v>
      </c>
      <c r="C4883" s="3">
        <v>41732</v>
      </c>
      <c r="D4883" t="s">
        <v>62</v>
      </c>
      <c r="E4883">
        <v>11</v>
      </c>
      <c r="F4883" s="3">
        <f ca="1">41734+(RANDBETWEEN(1,10))</f>
        <v>41740</v>
      </c>
      <c r="G4883" t="s">
        <v>26</v>
      </c>
      <c r="H4883" t="s">
        <v>27</v>
      </c>
      <c r="I4883" t="s">
        <v>28</v>
      </c>
      <c r="J4883">
        <v>140.245</v>
      </c>
      <c r="K4883">
        <v>0.04</v>
      </c>
      <c r="L4883">
        <v>0.38</v>
      </c>
      <c r="M4883">
        <v>23.905000000000001</v>
      </c>
      <c r="N4883">
        <v>2586.9753000000001</v>
      </c>
      <c r="O4883" s="1" t="s">
        <v>29</v>
      </c>
      <c r="P4883" s="1" t="s">
        <v>7587</v>
      </c>
      <c r="Q4883" s="1" t="s">
        <v>7588</v>
      </c>
      <c r="R4883" s="1" t="s">
        <v>675</v>
      </c>
      <c r="S4883" s="1" t="s">
        <v>7589</v>
      </c>
      <c r="T4883" s="1" t="s">
        <v>7590</v>
      </c>
      <c r="U4883" s="2" t="s">
        <v>6885</v>
      </c>
      <c r="V4883" s="2" t="s">
        <v>47</v>
      </c>
      <c r="W4883" s="2" t="s">
        <v>111</v>
      </c>
      <c r="X4883" s="2">
        <v>12.32</v>
      </c>
    </row>
    <row r="4884" spans="1:24" x14ac:dyDescent="0.3">
      <c r="A4884">
        <v>22721</v>
      </c>
      <c r="B4884" t="s">
        <v>10750</v>
      </c>
      <c r="C4884" s="3">
        <v>41699</v>
      </c>
      <c r="D4884" t="s">
        <v>39</v>
      </c>
      <c r="E4884">
        <v>12</v>
      </c>
      <c r="F4884" s="3">
        <f ca="1">41701+(RANDBETWEEN(1,10))</f>
        <v>41706</v>
      </c>
      <c r="G4884" t="s">
        <v>26</v>
      </c>
      <c r="H4884" t="s">
        <v>51</v>
      </c>
      <c r="I4884" t="s">
        <v>86</v>
      </c>
      <c r="J4884">
        <v>374.36</v>
      </c>
      <c r="K4884">
        <v>0.05</v>
      </c>
      <c r="L4884">
        <v>0.43</v>
      </c>
      <c r="M4884">
        <v>29.89</v>
      </c>
      <c r="N4884">
        <v>-484.36500000000001</v>
      </c>
      <c r="O4884" s="1" t="s">
        <v>87</v>
      </c>
      <c r="P4884" s="1" t="s">
        <v>5916</v>
      </c>
      <c r="Q4884" s="1" t="s">
        <v>5917</v>
      </c>
      <c r="R4884" s="1" t="s">
        <v>90</v>
      </c>
      <c r="S4884" s="1" t="s">
        <v>5918</v>
      </c>
      <c r="T4884" s="1" t="s">
        <v>5919</v>
      </c>
      <c r="U4884" s="2" t="s">
        <v>2925</v>
      </c>
      <c r="V4884" s="2" t="s">
        <v>83</v>
      </c>
      <c r="W4884" s="2" t="s">
        <v>178</v>
      </c>
      <c r="X4884" s="2">
        <v>30.625</v>
      </c>
    </row>
    <row r="4885" spans="1:24" x14ac:dyDescent="0.3">
      <c r="A4885">
        <v>22722</v>
      </c>
      <c r="B4885" t="s">
        <v>10751</v>
      </c>
      <c r="C4885" s="3">
        <v>41711</v>
      </c>
      <c r="D4885" t="s">
        <v>62</v>
      </c>
      <c r="E4885">
        <v>2</v>
      </c>
      <c r="F4885" s="3">
        <f ca="1">41712+(RANDBETWEEN(1,10))</f>
        <v>41720</v>
      </c>
      <c r="G4885" t="s">
        <v>26</v>
      </c>
      <c r="H4885" t="s">
        <v>27</v>
      </c>
      <c r="I4885" t="s">
        <v>97</v>
      </c>
      <c r="J4885">
        <v>668.18499999999995</v>
      </c>
      <c r="K4885">
        <v>0.06</v>
      </c>
      <c r="L4885">
        <v>0.56999999999999995</v>
      </c>
      <c r="M4885">
        <v>18.41</v>
      </c>
      <c r="N4885">
        <v>-972.2405</v>
      </c>
      <c r="O4885" s="1" t="s">
        <v>53</v>
      </c>
      <c r="P4885" s="1" t="s">
        <v>9646</v>
      </c>
      <c r="Q4885" s="1" t="s">
        <v>9647</v>
      </c>
      <c r="R4885" s="1" t="s">
        <v>56</v>
      </c>
      <c r="S4885" s="1" t="s">
        <v>9648</v>
      </c>
      <c r="T4885" s="1" t="s">
        <v>9649</v>
      </c>
      <c r="U4885" s="2">
        <v>636</v>
      </c>
      <c r="V4885" s="2" t="s">
        <v>36</v>
      </c>
      <c r="W4885" s="2" t="s">
        <v>37</v>
      </c>
      <c r="X4885" s="2">
        <v>405.96499999999997</v>
      </c>
    </row>
    <row r="4886" spans="1:24" x14ac:dyDescent="0.3">
      <c r="A4886">
        <v>22723</v>
      </c>
      <c r="B4886" t="s">
        <v>10752</v>
      </c>
      <c r="C4886" s="3">
        <v>41152</v>
      </c>
      <c r="D4886" t="s">
        <v>50</v>
      </c>
      <c r="E4886">
        <v>18</v>
      </c>
      <c r="F4886" s="3">
        <f ca="1">41154+(RANDBETWEEN(1,10))</f>
        <v>41159</v>
      </c>
      <c r="G4886" t="s">
        <v>26</v>
      </c>
      <c r="H4886" t="s">
        <v>27</v>
      </c>
      <c r="I4886" t="s">
        <v>86</v>
      </c>
      <c r="J4886">
        <v>427.35</v>
      </c>
      <c r="K4886">
        <v>0.05</v>
      </c>
      <c r="L4886">
        <v>0.37</v>
      </c>
      <c r="M4886">
        <v>27.51</v>
      </c>
      <c r="N4886">
        <v>-276.49439999999998</v>
      </c>
      <c r="O4886" s="1" t="s">
        <v>40</v>
      </c>
      <c r="P4886" s="1" t="s">
        <v>10451</v>
      </c>
      <c r="Q4886" s="1" t="s">
        <v>10452</v>
      </c>
      <c r="R4886" s="1" t="s">
        <v>43</v>
      </c>
      <c r="S4886" s="1" t="s">
        <v>10453</v>
      </c>
      <c r="T4886" s="1" t="s">
        <v>10454</v>
      </c>
      <c r="U4886" s="2" t="s">
        <v>2667</v>
      </c>
      <c r="V4886" s="2" t="s">
        <v>47</v>
      </c>
      <c r="W4886" s="2" t="s">
        <v>74</v>
      </c>
      <c r="X4886" s="2">
        <v>22.68</v>
      </c>
    </row>
    <row r="4887" spans="1:24" x14ac:dyDescent="0.3">
      <c r="A4887">
        <v>22724</v>
      </c>
      <c r="B4887" t="s">
        <v>10753</v>
      </c>
      <c r="C4887" s="3">
        <v>40736</v>
      </c>
      <c r="D4887" t="s">
        <v>39</v>
      </c>
      <c r="E4887">
        <v>2</v>
      </c>
      <c r="F4887" s="3">
        <f ca="1">40737+(RANDBETWEEN(1,10))</f>
        <v>40738</v>
      </c>
      <c r="G4887" t="s">
        <v>76</v>
      </c>
      <c r="H4887" t="s">
        <v>77</v>
      </c>
      <c r="I4887" t="s">
        <v>86</v>
      </c>
      <c r="J4887">
        <v>668.85</v>
      </c>
      <c r="K4887">
        <v>0.04</v>
      </c>
      <c r="L4887">
        <v>0.38</v>
      </c>
      <c r="M4887">
        <v>98</v>
      </c>
      <c r="N4887">
        <v>-605.83320000000003</v>
      </c>
      <c r="O4887" s="1" t="s">
        <v>29</v>
      </c>
      <c r="P4887" s="1" t="s">
        <v>744</v>
      </c>
      <c r="Q4887" s="1" t="s">
        <v>745</v>
      </c>
      <c r="R4887" s="1" t="s">
        <v>675</v>
      </c>
      <c r="S4887" s="1" t="s">
        <v>746</v>
      </c>
      <c r="T4887" s="1" t="s">
        <v>747</v>
      </c>
      <c r="U4887" s="2" t="s">
        <v>4632</v>
      </c>
      <c r="V4887" s="2" t="s">
        <v>36</v>
      </c>
      <c r="W4887" s="2" t="s">
        <v>142</v>
      </c>
      <c r="X4887" s="2">
        <v>318.39499999999998</v>
      </c>
    </row>
    <row r="4888" spans="1:24" x14ac:dyDescent="0.3">
      <c r="A4888">
        <v>22725</v>
      </c>
      <c r="B4888" t="s">
        <v>10753</v>
      </c>
      <c r="C4888" s="3">
        <v>40736</v>
      </c>
      <c r="D4888" t="s">
        <v>39</v>
      </c>
      <c r="E4888">
        <v>1</v>
      </c>
      <c r="F4888" s="3">
        <f ca="1">40737+(RANDBETWEEN(1,10))</f>
        <v>40740</v>
      </c>
      <c r="G4888" t="s">
        <v>26</v>
      </c>
      <c r="H4888" t="s">
        <v>63</v>
      </c>
      <c r="I4888" t="s">
        <v>86</v>
      </c>
      <c r="J4888">
        <v>98.174999999999997</v>
      </c>
      <c r="K4888">
        <v>7.0000000000000007E-2</v>
      </c>
      <c r="L4888">
        <v>0.84</v>
      </c>
      <c r="M4888">
        <v>122.5</v>
      </c>
      <c r="N4888">
        <v>-336.56</v>
      </c>
      <c r="O4888" s="1" t="s">
        <v>29</v>
      </c>
      <c r="P4888" s="1" t="s">
        <v>744</v>
      </c>
      <c r="Q4888" s="1" t="s">
        <v>745</v>
      </c>
      <c r="R4888" s="1" t="s">
        <v>675</v>
      </c>
      <c r="S4888" s="1" t="s">
        <v>746</v>
      </c>
      <c r="T4888" s="1" t="s">
        <v>747</v>
      </c>
      <c r="U4888" s="2" t="s">
        <v>2742</v>
      </c>
      <c r="V4888" s="2" t="s">
        <v>47</v>
      </c>
      <c r="W4888" s="2" t="s">
        <v>119</v>
      </c>
      <c r="X4888" s="2">
        <v>71.19</v>
      </c>
    </row>
    <row r="4889" spans="1:24" x14ac:dyDescent="0.3">
      <c r="A4889">
        <v>22726</v>
      </c>
      <c r="B4889" t="s">
        <v>10754</v>
      </c>
      <c r="C4889" s="3">
        <v>41967</v>
      </c>
      <c r="D4889" t="s">
        <v>25</v>
      </c>
      <c r="E4889">
        <v>32</v>
      </c>
      <c r="F4889" s="3">
        <f ca="1">41969+(RANDBETWEEN(1,10))</f>
        <v>41977</v>
      </c>
      <c r="G4889" t="s">
        <v>26</v>
      </c>
      <c r="H4889" t="s">
        <v>51</v>
      </c>
      <c r="I4889" t="s">
        <v>86</v>
      </c>
      <c r="J4889">
        <v>615.05499999999995</v>
      </c>
      <c r="K4889">
        <v>7.0000000000000007E-2</v>
      </c>
      <c r="L4889">
        <v>0.42</v>
      </c>
      <c r="M4889">
        <v>18.41</v>
      </c>
      <c r="N4889">
        <v>17131.169999999998</v>
      </c>
      <c r="O4889" s="1" t="s">
        <v>64</v>
      </c>
      <c r="P4889" s="1" t="s">
        <v>9042</v>
      </c>
      <c r="Q4889" s="1" t="s">
        <v>9043</v>
      </c>
      <c r="R4889" s="1" t="s">
        <v>128</v>
      </c>
      <c r="S4889" s="1" t="s">
        <v>9044</v>
      </c>
      <c r="T4889" s="1" t="s">
        <v>9045</v>
      </c>
      <c r="U4889" s="2" t="s">
        <v>1931</v>
      </c>
      <c r="V4889" s="2" t="s">
        <v>83</v>
      </c>
      <c r="W4889" s="2" t="s">
        <v>178</v>
      </c>
      <c r="X4889" s="2">
        <v>19.145</v>
      </c>
    </row>
    <row r="4890" spans="1:24" x14ac:dyDescent="0.3">
      <c r="A4890">
        <v>22727</v>
      </c>
      <c r="B4890" t="s">
        <v>10755</v>
      </c>
      <c r="C4890" s="3">
        <v>41419</v>
      </c>
      <c r="D4890" t="s">
        <v>25</v>
      </c>
      <c r="E4890">
        <v>18</v>
      </c>
      <c r="F4890" s="3">
        <f ca="1">41424+(RANDBETWEEN(1,10))</f>
        <v>41429</v>
      </c>
      <c r="G4890" t="s">
        <v>76</v>
      </c>
      <c r="H4890" t="s">
        <v>77</v>
      </c>
      <c r="I4890" t="s">
        <v>28</v>
      </c>
      <c r="J4890">
        <v>17440.674999999999</v>
      </c>
      <c r="K4890">
        <v>0.08</v>
      </c>
      <c r="L4890">
        <v>0.6</v>
      </c>
      <c r="M4890">
        <v>243.42500000000001</v>
      </c>
      <c r="N4890">
        <v>3722.11</v>
      </c>
      <c r="O4890" s="1" t="s">
        <v>40</v>
      </c>
      <c r="P4890" s="1" t="s">
        <v>10756</v>
      </c>
      <c r="Q4890" s="1" t="s">
        <v>10757</v>
      </c>
      <c r="R4890" s="1" t="s">
        <v>43</v>
      </c>
      <c r="S4890" s="1" t="s">
        <v>10758</v>
      </c>
      <c r="T4890" s="1" t="s">
        <v>10759</v>
      </c>
      <c r="U4890" s="2" t="s">
        <v>5566</v>
      </c>
      <c r="V4890" s="2" t="s">
        <v>83</v>
      </c>
      <c r="W4890" s="2" t="s">
        <v>84</v>
      </c>
      <c r="X4890" s="2">
        <v>997.43</v>
      </c>
    </row>
    <row r="4891" spans="1:24" x14ac:dyDescent="0.3">
      <c r="A4891">
        <v>22728</v>
      </c>
      <c r="B4891" t="s">
        <v>10760</v>
      </c>
      <c r="C4891" s="3">
        <v>41836</v>
      </c>
      <c r="D4891" t="s">
        <v>50</v>
      </c>
      <c r="E4891">
        <v>6</v>
      </c>
      <c r="F4891" s="3">
        <f ca="1">41838+(RANDBETWEEN(1,10))</f>
        <v>41842</v>
      </c>
      <c r="G4891" t="s">
        <v>26</v>
      </c>
      <c r="H4891" t="s">
        <v>63</v>
      </c>
      <c r="I4891" t="s">
        <v>97</v>
      </c>
      <c r="J4891">
        <v>4695.67</v>
      </c>
      <c r="K4891">
        <v>0.02</v>
      </c>
      <c r="L4891">
        <v>0.79</v>
      </c>
      <c r="M4891">
        <v>241.5</v>
      </c>
      <c r="N4891">
        <v>-2749.2801336000002</v>
      </c>
      <c r="O4891" s="1" t="s">
        <v>87</v>
      </c>
      <c r="P4891" s="1" t="s">
        <v>5916</v>
      </c>
      <c r="Q4891" s="1" t="s">
        <v>5917</v>
      </c>
      <c r="R4891" s="1" t="s">
        <v>90</v>
      </c>
      <c r="S4891" s="1" t="s">
        <v>5918</v>
      </c>
      <c r="T4891" s="1" t="s">
        <v>5919</v>
      </c>
      <c r="U4891" s="2" t="s">
        <v>3449</v>
      </c>
      <c r="V4891" s="2" t="s">
        <v>83</v>
      </c>
      <c r="W4891" s="2" t="s">
        <v>263</v>
      </c>
      <c r="X4891" s="2">
        <v>732.79499999999996</v>
      </c>
    </row>
    <row r="4892" spans="1:24" x14ac:dyDescent="0.3">
      <c r="A4892">
        <v>22729</v>
      </c>
      <c r="B4892" t="s">
        <v>10761</v>
      </c>
      <c r="C4892" s="3">
        <v>41756</v>
      </c>
      <c r="D4892" t="s">
        <v>39</v>
      </c>
      <c r="E4892">
        <v>13</v>
      </c>
      <c r="F4892" s="3">
        <f ca="1">41758+(RANDBETWEEN(1,10))</f>
        <v>41762</v>
      </c>
      <c r="G4892" t="s">
        <v>26</v>
      </c>
      <c r="H4892" t="s">
        <v>96</v>
      </c>
      <c r="I4892" t="s">
        <v>97</v>
      </c>
      <c r="J4892">
        <v>188.86</v>
      </c>
      <c r="K4892">
        <v>0.03</v>
      </c>
      <c r="L4892">
        <v>0.55000000000000004</v>
      </c>
      <c r="M4892">
        <v>4.3049999999999997</v>
      </c>
      <c r="N4892">
        <v>541.82100000000003</v>
      </c>
      <c r="O4892" s="1" t="s">
        <v>29</v>
      </c>
      <c r="P4892" s="1" t="s">
        <v>10762</v>
      </c>
      <c r="Q4892" s="1" t="s">
        <v>10763</v>
      </c>
      <c r="R4892" s="1" t="s">
        <v>675</v>
      </c>
      <c r="S4892" s="1" t="s">
        <v>10764</v>
      </c>
      <c r="T4892" s="1" t="s">
        <v>10765</v>
      </c>
      <c r="U4892" s="2" t="s">
        <v>10766</v>
      </c>
      <c r="V4892" s="2" t="s">
        <v>47</v>
      </c>
      <c r="W4892" s="2" t="s">
        <v>104</v>
      </c>
      <c r="X4892" s="2">
        <v>14.455</v>
      </c>
    </row>
    <row r="4893" spans="1:24" x14ac:dyDescent="0.3">
      <c r="A4893">
        <v>22730</v>
      </c>
      <c r="B4893" t="s">
        <v>10761</v>
      </c>
      <c r="C4893" s="3">
        <v>41756</v>
      </c>
      <c r="D4893" t="s">
        <v>39</v>
      </c>
      <c r="E4893">
        <v>1</v>
      </c>
      <c r="F4893" s="3">
        <f ca="1">41757+(RANDBETWEEN(1,10))</f>
        <v>41763</v>
      </c>
      <c r="G4893" t="s">
        <v>26</v>
      </c>
      <c r="H4893" t="s">
        <v>96</v>
      </c>
      <c r="I4893" t="s">
        <v>97</v>
      </c>
      <c r="J4893">
        <v>15.154999999999999</v>
      </c>
      <c r="K4893">
        <v>0.06</v>
      </c>
      <c r="L4893">
        <v>0.56000000000000005</v>
      </c>
      <c r="M4893">
        <v>17.5</v>
      </c>
      <c r="N4893">
        <v>21.651</v>
      </c>
      <c r="O4893" s="1" t="s">
        <v>29</v>
      </c>
      <c r="P4893" s="1" t="s">
        <v>10762</v>
      </c>
      <c r="Q4893" s="1" t="s">
        <v>10763</v>
      </c>
      <c r="R4893" s="1" t="s">
        <v>675</v>
      </c>
      <c r="S4893" s="1" t="s">
        <v>10764</v>
      </c>
      <c r="T4893" s="1" t="s">
        <v>10765</v>
      </c>
      <c r="U4893" s="2" t="s">
        <v>2523</v>
      </c>
      <c r="V4893" s="2" t="s">
        <v>47</v>
      </c>
      <c r="W4893" s="2" t="s">
        <v>104</v>
      </c>
      <c r="X4893" s="2">
        <v>11.48</v>
      </c>
    </row>
    <row r="4894" spans="1:24" x14ac:dyDescent="0.3">
      <c r="A4894">
        <v>22731</v>
      </c>
      <c r="B4894" t="s">
        <v>10767</v>
      </c>
      <c r="C4894" s="3">
        <v>41766</v>
      </c>
      <c r="D4894" t="s">
        <v>39</v>
      </c>
      <c r="E4894">
        <v>1</v>
      </c>
      <c r="F4894" s="3">
        <f ca="1">41768+(RANDBETWEEN(1,10))</f>
        <v>41771</v>
      </c>
      <c r="G4894" t="s">
        <v>26</v>
      </c>
      <c r="H4894" t="s">
        <v>27</v>
      </c>
      <c r="I4894" t="s">
        <v>86</v>
      </c>
      <c r="J4894">
        <v>101.045</v>
      </c>
      <c r="K4894">
        <v>0.06</v>
      </c>
      <c r="L4894">
        <v>0.75</v>
      </c>
      <c r="M4894">
        <v>14</v>
      </c>
      <c r="N4894">
        <v>-354.935</v>
      </c>
      <c r="O4894" s="1" t="s">
        <v>87</v>
      </c>
      <c r="P4894" s="1" t="s">
        <v>2226</v>
      </c>
      <c r="Q4894" s="1" t="s">
        <v>2227</v>
      </c>
      <c r="R4894" s="1" t="s">
        <v>646</v>
      </c>
      <c r="S4894" s="1" t="s">
        <v>2228</v>
      </c>
      <c r="T4894" s="1" t="s">
        <v>2229</v>
      </c>
      <c r="U4894" s="2" t="s">
        <v>4155</v>
      </c>
      <c r="V4894" s="2" t="s">
        <v>36</v>
      </c>
      <c r="W4894" s="2" t="s">
        <v>60</v>
      </c>
      <c r="X4894" s="2">
        <v>96.18</v>
      </c>
    </row>
    <row r="4895" spans="1:24" x14ac:dyDescent="0.3">
      <c r="A4895">
        <v>22732</v>
      </c>
      <c r="B4895" t="s">
        <v>10768</v>
      </c>
      <c r="C4895" s="3">
        <v>40750</v>
      </c>
      <c r="D4895" t="s">
        <v>25</v>
      </c>
      <c r="E4895">
        <v>5</v>
      </c>
      <c r="F4895" s="3">
        <f ca="1">40757+(RANDBETWEEN(1,10))</f>
        <v>40763</v>
      </c>
      <c r="G4895" t="s">
        <v>26</v>
      </c>
      <c r="H4895" t="s">
        <v>27</v>
      </c>
      <c r="I4895" t="s">
        <v>86</v>
      </c>
      <c r="J4895">
        <v>282.02999999999997</v>
      </c>
      <c r="K4895">
        <v>7.0000000000000007E-2</v>
      </c>
      <c r="L4895">
        <v>0.81</v>
      </c>
      <c r="M4895">
        <v>24.64</v>
      </c>
      <c r="N4895">
        <v>-399.7</v>
      </c>
      <c r="O4895" s="1" t="s">
        <v>87</v>
      </c>
      <c r="P4895" s="1" t="s">
        <v>10769</v>
      </c>
      <c r="Q4895" s="1" t="s">
        <v>10770</v>
      </c>
      <c r="R4895" s="1" t="s">
        <v>646</v>
      </c>
      <c r="S4895" s="1" t="s">
        <v>10771</v>
      </c>
      <c r="T4895" s="1" t="s">
        <v>4445</v>
      </c>
      <c r="U4895" s="2" t="s">
        <v>5325</v>
      </c>
      <c r="V4895" s="2" t="s">
        <v>47</v>
      </c>
      <c r="W4895" s="2" t="s">
        <v>119</v>
      </c>
      <c r="X4895" s="2">
        <v>58.59</v>
      </c>
    </row>
    <row r="4896" spans="1:24" x14ac:dyDescent="0.3">
      <c r="A4896">
        <v>22733</v>
      </c>
      <c r="B4896" t="s">
        <v>10768</v>
      </c>
      <c r="C4896" s="3">
        <v>40750</v>
      </c>
      <c r="D4896" t="s">
        <v>25</v>
      </c>
      <c r="E4896">
        <v>4</v>
      </c>
      <c r="F4896" s="3">
        <f ca="1">40754+(RANDBETWEEN(1,10))</f>
        <v>40758</v>
      </c>
      <c r="G4896" t="s">
        <v>76</v>
      </c>
      <c r="H4896" t="s">
        <v>77</v>
      </c>
      <c r="I4896" t="s">
        <v>86</v>
      </c>
      <c r="J4896">
        <v>1744.085</v>
      </c>
      <c r="K4896">
        <v>0.05</v>
      </c>
      <c r="L4896">
        <v>0.74</v>
      </c>
      <c r="M4896">
        <v>245.7</v>
      </c>
      <c r="N4896">
        <v>-2527.8049999999998</v>
      </c>
      <c r="O4896" s="1" t="s">
        <v>64</v>
      </c>
      <c r="P4896" s="1" t="s">
        <v>10772</v>
      </c>
      <c r="Q4896" s="1" t="s">
        <v>10773</v>
      </c>
      <c r="R4896" s="1" t="s">
        <v>67</v>
      </c>
      <c r="S4896" s="1" t="s">
        <v>4650</v>
      </c>
      <c r="T4896" s="1" t="s">
        <v>4651</v>
      </c>
      <c r="U4896" s="2" t="s">
        <v>358</v>
      </c>
      <c r="V4896" s="2" t="s">
        <v>83</v>
      </c>
      <c r="W4896" s="2" t="s">
        <v>84</v>
      </c>
      <c r="X4896" s="2">
        <v>430.46499999999997</v>
      </c>
    </row>
    <row r="4897" spans="1:24" x14ac:dyDescent="0.3">
      <c r="A4897">
        <v>22734</v>
      </c>
      <c r="B4897" t="s">
        <v>10768</v>
      </c>
      <c r="C4897" s="3">
        <v>40750</v>
      </c>
      <c r="D4897" t="s">
        <v>25</v>
      </c>
      <c r="E4897">
        <v>9</v>
      </c>
      <c r="F4897" s="3">
        <f ca="1">40755+(RANDBETWEEN(1,10))</f>
        <v>40756</v>
      </c>
      <c r="G4897" t="s">
        <v>26</v>
      </c>
      <c r="H4897" t="s">
        <v>96</v>
      </c>
      <c r="I4897" t="s">
        <v>86</v>
      </c>
      <c r="J4897">
        <v>199.99</v>
      </c>
      <c r="K4897">
        <v>0.06</v>
      </c>
      <c r="L4897">
        <v>0.36</v>
      </c>
      <c r="M4897">
        <v>4.6900000000000004</v>
      </c>
      <c r="N4897">
        <v>137.9931</v>
      </c>
      <c r="O4897" s="1" t="s">
        <v>29</v>
      </c>
      <c r="P4897" s="1" t="s">
        <v>10774</v>
      </c>
      <c r="Q4897" s="1" t="s">
        <v>10775</v>
      </c>
      <c r="R4897" s="1" t="s">
        <v>675</v>
      </c>
      <c r="S4897" s="1" t="s">
        <v>10776</v>
      </c>
      <c r="T4897" s="1" t="s">
        <v>6356</v>
      </c>
      <c r="U4897" s="2" t="s">
        <v>7075</v>
      </c>
      <c r="V4897" s="2" t="s">
        <v>47</v>
      </c>
      <c r="W4897" s="2" t="s">
        <v>74</v>
      </c>
      <c r="X4897" s="2">
        <v>22.574999999999999</v>
      </c>
    </row>
    <row r="4898" spans="1:24" x14ac:dyDescent="0.3">
      <c r="A4898">
        <v>22735</v>
      </c>
      <c r="B4898" t="s">
        <v>10777</v>
      </c>
      <c r="C4898" s="3">
        <v>41371</v>
      </c>
      <c r="D4898" t="s">
        <v>25</v>
      </c>
      <c r="E4898">
        <v>10</v>
      </c>
      <c r="F4898" s="3">
        <f ca="1">41375+(RANDBETWEEN(1,10))</f>
        <v>41378</v>
      </c>
      <c r="G4898" t="s">
        <v>26</v>
      </c>
      <c r="H4898" t="s">
        <v>27</v>
      </c>
      <c r="I4898" t="s">
        <v>28</v>
      </c>
      <c r="J4898">
        <v>252.91</v>
      </c>
      <c r="K4898">
        <v>0</v>
      </c>
      <c r="L4898">
        <v>0.37</v>
      </c>
      <c r="M4898">
        <v>28.664999999999999</v>
      </c>
      <c r="N4898">
        <v>-468.93</v>
      </c>
      <c r="O4898" s="1" t="s">
        <v>40</v>
      </c>
      <c r="P4898" s="1" t="s">
        <v>7626</v>
      </c>
      <c r="Q4898" s="1" t="s">
        <v>7627</v>
      </c>
      <c r="R4898" s="1" t="s">
        <v>43</v>
      </c>
      <c r="S4898" s="1" t="s">
        <v>7628</v>
      </c>
      <c r="T4898" s="1" t="s">
        <v>7629</v>
      </c>
      <c r="U4898" s="2" t="s">
        <v>474</v>
      </c>
      <c r="V4898" s="2" t="s">
        <v>47</v>
      </c>
      <c r="W4898" s="2" t="s">
        <v>74</v>
      </c>
      <c r="X4898" s="2">
        <v>22.68</v>
      </c>
    </row>
    <row r="4899" spans="1:24" x14ac:dyDescent="0.3">
      <c r="A4899">
        <v>22736</v>
      </c>
      <c r="B4899" t="s">
        <v>10778</v>
      </c>
      <c r="C4899" s="3">
        <v>40817</v>
      </c>
      <c r="D4899" t="s">
        <v>148</v>
      </c>
      <c r="E4899">
        <v>16</v>
      </c>
      <c r="F4899" s="3">
        <f ca="1">40819+(RANDBETWEEN(1,10))</f>
        <v>40825</v>
      </c>
      <c r="G4899" t="s">
        <v>156</v>
      </c>
      <c r="H4899" t="s">
        <v>27</v>
      </c>
      <c r="I4899" t="s">
        <v>52</v>
      </c>
      <c r="J4899">
        <v>3732.89</v>
      </c>
      <c r="K4899">
        <v>0.08</v>
      </c>
      <c r="L4899">
        <v>0.4</v>
      </c>
      <c r="M4899">
        <v>69.965000000000003</v>
      </c>
      <c r="N4899">
        <v>786.97709999999995</v>
      </c>
      <c r="O4899" s="1" t="s">
        <v>87</v>
      </c>
      <c r="P4899" s="1" t="s">
        <v>3148</v>
      </c>
      <c r="Q4899" s="1" t="s">
        <v>3149</v>
      </c>
      <c r="R4899" s="1" t="s">
        <v>646</v>
      </c>
      <c r="S4899" s="1" t="s">
        <v>3150</v>
      </c>
      <c r="T4899" s="1" t="s">
        <v>3151</v>
      </c>
      <c r="U4899" s="2" t="s">
        <v>2385</v>
      </c>
      <c r="V4899" s="2" t="s">
        <v>47</v>
      </c>
      <c r="W4899" s="2" t="s">
        <v>111</v>
      </c>
      <c r="X4899" s="2">
        <v>235.48</v>
      </c>
    </row>
    <row r="4900" spans="1:24" x14ac:dyDescent="0.3">
      <c r="A4900">
        <v>22737</v>
      </c>
      <c r="B4900" t="s">
        <v>10779</v>
      </c>
      <c r="C4900" s="3">
        <v>41884</v>
      </c>
      <c r="D4900" t="s">
        <v>50</v>
      </c>
      <c r="E4900">
        <v>7</v>
      </c>
      <c r="F4900" s="3">
        <f ca="1">41885+(RANDBETWEEN(1,10))</f>
        <v>41892</v>
      </c>
      <c r="G4900" t="s">
        <v>156</v>
      </c>
      <c r="H4900" t="s">
        <v>27</v>
      </c>
      <c r="I4900" t="s">
        <v>28</v>
      </c>
      <c r="J4900">
        <v>98.454999999999998</v>
      </c>
      <c r="K4900">
        <v>0</v>
      </c>
      <c r="L4900">
        <v>0.38</v>
      </c>
      <c r="M4900">
        <v>1.75</v>
      </c>
      <c r="N4900">
        <v>67.933949999999996</v>
      </c>
      <c r="O4900" s="1" t="s">
        <v>29</v>
      </c>
      <c r="P4900" s="1" t="s">
        <v>8511</v>
      </c>
      <c r="Q4900" s="1" t="s">
        <v>8512</v>
      </c>
      <c r="R4900" s="1" t="s">
        <v>460</v>
      </c>
      <c r="S4900" s="1" t="s">
        <v>8513</v>
      </c>
      <c r="T4900" s="1" t="s">
        <v>3646</v>
      </c>
      <c r="U4900" s="2" t="s">
        <v>468</v>
      </c>
      <c r="V4900" s="2" t="s">
        <v>47</v>
      </c>
      <c r="W4900" s="2" t="s">
        <v>203</v>
      </c>
      <c r="X4900" s="2">
        <v>10.115</v>
      </c>
    </row>
    <row r="4901" spans="1:24" x14ac:dyDescent="0.3">
      <c r="A4901">
        <v>22738</v>
      </c>
      <c r="B4901" t="s">
        <v>10780</v>
      </c>
      <c r="C4901" s="3">
        <v>40945</v>
      </c>
      <c r="D4901" t="s">
        <v>50</v>
      </c>
      <c r="E4901">
        <v>1</v>
      </c>
      <c r="F4901" s="3">
        <f ca="1">40946+(RANDBETWEEN(1,10))</f>
        <v>40955</v>
      </c>
      <c r="G4901" t="s">
        <v>26</v>
      </c>
      <c r="H4901" t="s">
        <v>51</v>
      </c>
      <c r="I4901" t="s">
        <v>28</v>
      </c>
      <c r="J4901">
        <v>212.065</v>
      </c>
      <c r="K4901">
        <v>0.08</v>
      </c>
      <c r="L4901">
        <v>0.5</v>
      </c>
      <c r="M4901">
        <v>6.9649999999999999</v>
      </c>
      <c r="N4901">
        <v>-460.18</v>
      </c>
      <c r="O4901" s="1" t="s">
        <v>40</v>
      </c>
      <c r="P4901" s="1" t="s">
        <v>1478</v>
      </c>
      <c r="Q4901" s="1" t="s">
        <v>1479</v>
      </c>
      <c r="R4901" s="1" t="s">
        <v>43</v>
      </c>
      <c r="S4901" s="1" t="s">
        <v>783</v>
      </c>
      <c r="T4901" s="1" t="s">
        <v>784</v>
      </c>
      <c r="U4901" s="2" t="s">
        <v>7088</v>
      </c>
      <c r="V4901" s="2" t="s">
        <v>36</v>
      </c>
      <c r="W4901" s="2" t="s">
        <v>60</v>
      </c>
      <c r="X4901" s="2">
        <v>213.43</v>
      </c>
    </row>
    <row r="4902" spans="1:24" x14ac:dyDescent="0.3">
      <c r="A4902">
        <v>22739</v>
      </c>
      <c r="B4902" t="s">
        <v>10780</v>
      </c>
      <c r="C4902" s="3">
        <v>40945</v>
      </c>
      <c r="D4902" t="s">
        <v>50</v>
      </c>
      <c r="E4902">
        <v>6</v>
      </c>
      <c r="F4902" s="3">
        <f ca="1">40946+(RANDBETWEEN(1,10))</f>
        <v>40956</v>
      </c>
      <c r="G4902" t="s">
        <v>26</v>
      </c>
      <c r="H4902" t="s">
        <v>27</v>
      </c>
      <c r="I4902" t="s">
        <v>28</v>
      </c>
      <c r="J4902">
        <v>673.85500000000002</v>
      </c>
      <c r="K4902">
        <v>0</v>
      </c>
      <c r="L4902">
        <v>0.7</v>
      </c>
      <c r="M4902">
        <v>23.24</v>
      </c>
      <c r="N4902">
        <v>196.91</v>
      </c>
      <c r="O4902" s="1" t="s">
        <v>40</v>
      </c>
      <c r="P4902" s="1" t="s">
        <v>1478</v>
      </c>
      <c r="Q4902" s="1" t="s">
        <v>1479</v>
      </c>
      <c r="R4902" s="1" t="s">
        <v>43</v>
      </c>
      <c r="S4902" s="1" t="s">
        <v>783</v>
      </c>
      <c r="T4902" s="1" t="s">
        <v>784</v>
      </c>
      <c r="U4902" s="2" t="s">
        <v>4355</v>
      </c>
      <c r="V4902" s="2" t="s">
        <v>47</v>
      </c>
      <c r="W4902" s="2" t="s">
        <v>119</v>
      </c>
      <c r="X4902" s="2">
        <v>104.09</v>
      </c>
    </row>
    <row r="4903" spans="1:24" x14ac:dyDescent="0.3">
      <c r="A4903">
        <v>22740</v>
      </c>
      <c r="B4903" t="s">
        <v>10780</v>
      </c>
      <c r="C4903" s="3">
        <v>40945</v>
      </c>
      <c r="D4903" t="s">
        <v>50</v>
      </c>
      <c r="E4903">
        <v>1</v>
      </c>
      <c r="F4903" s="3">
        <f ca="1">40947+(RANDBETWEEN(1,10))</f>
        <v>40957</v>
      </c>
      <c r="G4903" t="s">
        <v>156</v>
      </c>
      <c r="H4903" t="s">
        <v>27</v>
      </c>
      <c r="I4903" t="s">
        <v>28</v>
      </c>
      <c r="J4903">
        <v>55.58</v>
      </c>
      <c r="K4903">
        <v>0.08</v>
      </c>
      <c r="L4903">
        <v>0.57999999999999996</v>
      </c>
      <c r="M4903">
        <v>16.835000000000001</v>
      </c>
      <c r="N4903">
        <v>-29.645</v>
      </c>
      <c r="O4903" s="1" t="s">
        <v>40</v>
      </c>
      <c r="P4903" s="1" t="s">
        <v>1478</v>
      </c>
      <c r="Q4903" s="1" t="s">
        <v>1479</v>
      </c>
      <c r="R4903" s="1" t="s">
        <v>43</v>
      </c>
      <c r="S4903" s="1" t="s">
        <v>783</v>
      </c>
      <c r="T4903" s="1" t="s">
        <v>784</v>
      </c>
      <c r="U4903" s="2" t="s">
        <v>5691</v>
      </c>
      <c r="V4903" s="2" t="s">
        <v>47</v>
      </c>
      <c r="W4903" s="2" t="s">
        <v>119</v>
      </c>
      <c r="X4903" s="2">
        <v>42.734999999999999</v>
      </c>
    </row>
    <row r="4904" spans="1:24" x14ac:dyDescent="0.3">
      <c r="A4904">
        <v>22741</v>
      </c>
      <c r="B4904" t="s">
        <v>10781</v>
      </c>
      <c r="C4904" s="3">
        <v>41901</v>
      </c>
      <c r="D4904" t="s">
        <v>50</v>
      </c>
      <c r="E4904">
        <v>14</v>
      </c>
      <c r="F4904" s="3">
        <f ca="1">41902+(RANDBETWEEN(1,10))</f>
        <v>41905</v>
      </c>
      <c r="G4904" t="s">
        <v>26</v>
      </c>
      <c r="H4904" t="s">
        <v>63</v>
      </c>
      <c r="I4904" t="s">
        <v>86</v>
      </c>
      <c r="J4904">
        <v>13183.94</v>
      </c>
      <c r="K4904">
        <v>7.0000000000000007E-2</v>
      </c>
      <c r="L4904">
        <v>0.8</v>
      </c>
      <c r="M4904">
        <v>122.5</v>
      </c>
      <c r="N4904">
        <v>-922.7876</v>
      </c>
      <c r="O4904" s="1" t="s">
        <v>87</v>
      </c>
      <c r="P4904" s="1" t="s">
        <v>5568</v>
      </c>
      <c r="Q4904" s="1" t="s">
        <v>5569</v>
      </c>
      <c r="R4904" s="1" t="s">
        <v>646</v>
      </c>
      <c r="S4904" s="1" t="s">
        <v>5570</v>
      </c>
      <c r="T4904" s="1" t="s">
        <v>5571</v>
      </c>
      <c r="U4904" s="2" t="s">
        <v>2645</v>
      </c>
      <c r="V4904" s="2" t="s">
        <v>47</v>
      </c>
      <c r="W4904" s="2" t="s">
        <v>119</v>
      </c>
      <c r="X4904" s="2">
        <v>978.18</v>
      </c>
    </row>
    <row r="4905" spans="1:24" x14ac:dyDescent="0.3">
      <c r="A4905">
        <v>22742</v>
      </c>
      <c r="B4905" t="s">
        <v>10782</v>
      </c>
      <c r="C4905" s="3">
        <v>41920</v>
      </c>
      <c r="D4905" t="s">
        <v>39</v>
      </c>
      <c r="E4905">
        <v>14</v>
      </c>
      <c r="F4905" s="3">
        <f ca="1">41921+(RANDBETWEEN(1,10))</f>
        <v>41930</v>
      </c>
      <c r="G4905" t="s">
        <v>76</v>
      </c>
      <c r="H4905" t="s">
        <v>77</v>
      </c>
      <c r="I4905" t="s">
        <v>28</v>
      </c>
      <c r="J4905">
        <v>14905.73</v>
      </c>
      <c r="K4905">
        <v>0.02</v>
      </c>
      <c r="L4905">
        <v>0.6</v>
      </c>
      <c r="M4905">
        <v>243.42500000000001</v>
      </c>
      <c r="N4905">
        <v>-520.82100000000003</v>
      </c>
      <c r="O4905" s="1" t="s">
        <v>29</v>
      </c>
      <c r="P4905" s="1" t="s">
        <v>3544</v>
      </c>
      <c r="Q4905" s="1" t="s">
        <v>3545</v>
      </c>
      <c r="R4905" s="1" t="s">
        <v>460</v>
      </c>
      <c r="S4905" s="1" t="s">
        <v>3546</v>
      </c>
      <c r="T4905" s="1" t="s">
        <v>3547</v>
      </c>
      <c r="U4905" s="2" t="s">
        <v>5566</v>
      </c>
      <c r="V4905" s="2" t="s">
        <v>83</v>
      </c>
      <c r="W4905" s="2" t="s">
        <v>84</v>
      </c>
      <c r="X4905" s="2">
        <v>997.43</v>
      </c>
    </row>
    <row r="4906" spans="1:24" x14ac:dyDescent="0.3">
      <c r="A4906">
        <v>22743</v>
      </c>
      <c r="B4906" t="s">
        <v>10782</v>
      </c>
      <c r="C4906" s="3">
        <v>41920</v>
      </c>
      <c r="D4906" t="s">
        <v>39</v>
      </c>
      <c r="E4906">
        <v>17</v>
      </c>
      <c r="F4906" s="3">
        <f ca="1">41920+(RANDBETWEEN(1,10))</f>
        <v>41922</v>
      </c>
      <c r="G4906" t="s">
        <v>26</v>
      </c>
      <c r="H4906" t="s">
        <v>96</v>
      </c>
      <c r="I4906" t="s">
        <v>28</v>
      </c>
      <c r="J4906">
        <v>202.685</v>
      </c>
      <c r="K4906">
        <v>0.09</v>
      </c>
      <c r="L4906">
        <v>0.36</v>
      </c>
      <c r="M4906">
        <v>5.7050000000000001</v>
      </c>
      <c r="N4906">
        <v>1890.126</v>
      </c>
      <c r="O4906" s="1" t="s">
        <v>29</v>
      </c>
      <c r="P4906" s="1" t="s">
        <v>3544</v>
      </c>
      <c r="Q4906" s="1" t="s">
        <v>3545</v>
      </c>
      <c r="R4906" s="1" t="s">
        <v>460</v>
      </c>
      <c r="S4906" s="1" t="s">
        <v>3546</v>
      </c>
      <c r="T4906" s="1" t="s">
        <v>3547</v>
      </c>
      <c r="U4906" s="2" t="s">
        <v>1087</v>
      </c>
      <c r="V4906" s="2" t="s">
        <v>47</v>
      </c>
      <c r="W4906" s="2" t="s">
        <v>176</v>
      </c>
      <c r="X4906" s="2">
        <v>12.53</v>
      </c>
    </row>
    <row r="4907" spans="1:24" x14ac:dyDescent="0.3">
      <c r="A4907">
        <v>22744</v>
      </c>
      <c r="B4907" t="s">
        <v>10782</v>
      </c>
      <c r="C4907" s="3">
        <v>41920</v>
      </c>
      <c r="D4907" t="s">
        <v>39</v>
      </c>
      <c r="E4907">
        <v>6</v>
      </c>
      <c r="F4907" s="3">
        <f ca="1">41922+(RANDBETWEEN(1,10))</f>
        <v>41929</v>
      </c>
      <c r="G4907" t="s">
        <v>26</v>
      </c>
      <c r="H4907" t="s">
        <v>27</v>
      </c>
      <c r="I4907" t="s">
        <v>28</v>
      </c>
      <c r="J4907">
        <v>243.04</v>
      </c>
      <c r="K4907">
        <v>0.05</v>
      </c>
      <c r="L4907">
        <v>0.59</v>
      </c>
      <c r="M4907">
        <v>17.605</v>
      </c>
      <c r="N4907">
        <v>956.27700000000004</v>
      </c>
      <c r="O4907" s="1" t="s">
        <v>87</v>
      </c>
      <c r="P4907" s="1" t="s">
        <v>10783</v>
      </c>
      <c r="Q4907" s="1" t="s">
        <v>10784</v>
      </c>
      <c r="R4907" s="1" t="s">
        <v>90</v>
      </c>
      <c r="S4907" s="1" t="s">
        <v>10785</v>
      </c>
      <c r="T4907" s="1" t="s">
        <v>10786</v>
      </c>
      <c r="U4907" s="2" t="s">
        <v>3292</v>
      </c>
      <c r="V4907" s="2" t="s">
        <v>47</v>
      </c>
      <c r="W4907" s="2" t="s">
        <v>119</v>
      </c>
      <c r="X4907" s="2">
        <v>39.515000000000001</v>
      </c>
    </row>
    <row r="4908" spans="1:24" x14ac:dyDescent="0.3">
      <c r="A4908">
        <v>22745</v>
      </c>
      <c r="B4908" t="s">
        <v>10787</v>
      </c>
      <c r="C4908" s="3">
        <v>40783</v>
      </c>
      <c r="D4908" t="s">
        <v>50</v>
      </c>
      <c r="E4908">
        <v>15</v>
      </c>
      <c r="F4908" s="3">
        <f ca="1">40784+(RANDBETWEEN(1,10))</f>
        <v>40790</v>
      </c>
      <c r="G4908" t="s">
        <v>26</v>
      </c>
      <c r="H4908" t="s">
        <v>27</v>
      </c>
      <c r="I4908" t="s">
        <v>28</v>
      </c>
      <c r="J4908">
        <v>529.69000000000005</v>
      </c>
      <c r="K4908">
        <v>0.05</v>
      </c>
      <c r="L4908">
        <v>0.55000000000000004</v>
      </c>
      <c r="M4908">
        <v>21.77</v>
      </c>
      <c r="N4908">
        <v>-51.251199999999997</v>
      </c>
      <c r="O4908" s="1" t="s">
        <v>64</v>
      </c>
      <c r="P4908" s="1" t="s">
        <v>9268</v>
      </c>
      <c r="Q4908" s="1" t="s">
        <v>9269</v>
      </c>
      <c r="R4908" s="1" t="s">
        <v>67</v>
      </c>
      <c r="S4908" s="1" t="s">
        <v>6687</v>
      </c>
      <c r="T4908" s="1" t="s">
        <v>6688</v>
      </c>
      <c r="U4908" s="2" t="s">
        <v>1422</v>
      </c>
      <c r="V4908" s="2" t="s">
        <v>83</v>
      </c>
      <c r="W4908" s="2" t="s">
        <v>178</v>
      </c>
      <c r="X4908" s="2">
        <v>33.774999999999999</v>
      </c>
    </row>
    <row r="4909" spans="1:24" x14ac:dyDescent="0.3">
      <c r="A4909">
        <v>22746</v>
      </c>
      <c r="B4909" t="s">
        <v>10788</v>
      </c>
      <c r="C4909" s="3">
        <v>41564</v>
      </c>
      <c r="D4909" t="s">
        <v>50</v>
      </c>
      <c r="E4909">
        <v>6</v>
      </c>
      <c r="F4909" s="3">
        <f ca="1">41565+(RANDBETWEEN(1,10))</f>
        <v>41567</v>
      </c>
      <c r="G4909" t="s">
        <v>26</v>
      </c>
      <c r="H4909" t="s">
        <v>96</v>
      </c>
      <c r="I4909" t="s">
        <v>28</v>
      </c>
      <c r="J4909">
        <v>600.80999999999995</v>
      </c>
      <c r="K4909">
        <v>0.05</v>
      </c>
      <c r="L4909">
        <v>0.38</v>
      </c>
      <c r="M4909">
        <v>17.010000000000002</v>
      </c>
      <c r="N4909">
        <v>343.02659999999997</v>
      </c>
      <c r="O4909" s="1" t="s">
        <v>87</v>
      </c>
      <c r="P4909" s="1" t="s">
        <v>5056</v>
      </c>
      <c r="Q4909" s="1" t="s">
        <v>5057</v>
      </c>
      <c r="R4909" s="1" t="s">
        <v>90</v>
      </c>
      <c r="S4909" s="1" t="s">
        <v>5058</v>
      </c>
      <c r="T4909" s="1" t="s">
        <v>5059</v>
      </c>
      <c r="U4909" s="2" t="s">
        <v>8213</v>
      </c>
      <c r="V4909" s="2" t="s">
        <v>47</v>
      </c>
      <c r="W4909" s="2" t="s">
        <v>74</v>
      </c>
      <c r="X4909" s="2">
        <v>101.99</v>
      </c>
    </row>
    <row r="4910" spans="1:24" x14ac:dyDescent="0.3">
      <c r="A4910">
        <v>22747</v>
      </c>
      <c r="B4910" t="s">
        <v>10789</v>
      </c>
      <c r="C4910" s="3">
        <v>41855</v>
      </c>
      <c r="D4910" t="s">
        <v>39</v>
      </c>
      <c r="E4910">
        <v>23</v>
      </c>
      <c r="F4910" s="3">
        <f ca="1">41856+(RANDBETWEEN(1,10))</f>
        <v>41865</v>
      </c>
      <c r="G4910" t="s">
        <v>26</v>
      </c>
      <c r="H4910" t="s">
        <v>51</v>
      </c>
      <c r="I4910" t="s">
        <v>97</v>
      </c>
      <c r="J4910">
        <v>829.92</v>
      </c>
      <c r="K4910">
        <v>0.06</v>
      </c>
      <c r="L4910">
        <v>0.6</v>
      </c>
      <c r="M4910">
        <v>10.115</v>
      </c>
      <c r="N4910">
        <v>165.25935999999999</v>
      </c>
      <c r="O4910" s="1" t="s">
        <v>40</v>
      </c>
      <c r="P4910" s="1" t="s">
        <v>10790</v>
      </c>
      <c r="Q4910" s="1" t="s">
        <v>10791</v>
      </c>
      <c r="R4910" s="1" t="s">
        <v>220</v>
      </c>
      <c r="S4910" s="1" t="s">
        <v>10792</v>
      </c>
      <c r="T4910" s="1" t="s">
        <v>10793</v>
      </c>
      <c r="U4910" s="2" t="s">
        <v>6149</v>
      </c>
      <c r="V4910" s="2" t="s">
        <v>47</v>
      </c>
      <c r="W4910" s="2" t="s">
        <v>104</v>
      </c>
      <c r="X4910" s="2">
        <v>36.68</v>
      </c>
    </row>
    <row r="4911" spans="1:24" x14ac:dyDescent="0.3">
      <c r="A4911">
        <v>22748</v>
      </c>
      <c r="B4911" t="s">
        <v>10794</v>
      </c>
      <c r="C4911" s="3">
        <v>41175</v>
      </c>
      <c r="D4911" t="s">
        <v>50</v>
      </c>
      <c r="E4911">
        <v>10</v>
      </c>
      <c r="F4911" s="3">
        <f ca="1">41177+(RANDBETWEEN(1,10))</f>
        <v>41187</v>
      </c>
      <c r="G4911" t="s">
        <v>26</v>
      </c>
      <c r="H4911" t="s">
        <v>63</v>
      </c>
      <c r="I4911" t="s">
        <v>28</v>
      </c>
      <c r="J4911">
        <v>16421.650000000001</v>
      </c>
      <c r="K4911">
        <v>0.08</v>
      </c>
      <c r="L4911">
        <v>0.36</v>
      </c>
      <c r="M4911">
        <v>85.715000000000003</v>
      </c>
      <c r="N4911">
        <v>-821.76499999999999</v>
      </c>
      <c r="O4911" s="1" t="s">
        <v>225</v>
      </c>
      <c r="P4911" s="1" t="s">
        <v>6460</v>
      </c>
      <c r="Q4911" s="1" t="s">
        <v>6461</v>
      </c>
      <c r="R4911" s="1" t="s">
        <v>228</v>
      </c>
      <c r="S4911" s="1" t="s">
        <v>6462</v>
      </c>
      <c r="T4911" s="1" t="s">
        <v>6463</v>
      </c>
      <c r="U4911" s="2" t="s">
        <v>3414</v>
      </c>
      <c r="V4911" s="2" t="s">
        <v>36</v>
      </c>
      <c r="W4911" s="2" t="s">
        <v>1327</v>
      </c>
      <c r="X4911" s="2">
        <v>1749.9649999999999</v>
      </c>
    </row>
    <row r="4912" spans="1:24" x14ac:dyDescent="0.3">
      <c r="A4912">
        <v>22749</v>
      </c>
      <c r="B4912" t="s">
        <v>10795</v>
      </c>
      <c r="C4912" s="3">
        <v>41315</v>
      </c>
      <c r="D4912" t="s">
        <v>62</v>
      </c>
      <c r="E4912">
        <v>9</v>
      </c>
      <c r="F4912" s="3">
        <f ca="1">41316+(RANDBETWEEN(1,10))</f>
        <v>41323</v>
      </c>
      <c r="G4912" t="s">
        <v>26</v>
      </c>
      <c r="H4912" t="s">
        <v>96</v>
      </c>
      <c r="I4912" t="s">
        <v>86</v>
      </c>
      <c r="J4912">
        <v>229.81</v>
      </c>
      <c r="K4912">
        <v>0.01</v>
      </c>
      <c r="L4912">
        <v>0.47</v>
      </c>
      <c r="M4912">
        <v>8.2249999999999996</v>
      </c>
      <c r="N4912">
        <v>125.93</v>
      </c>
      <c r="O4912" s="1" t="s">
        <v>64</v>
      </c>
      <c r="P4912" s="1" t="s">
        <v>9083</v>
      </c>
      <c r="Q4912" s="1" t="s">
        <v>9084</v>
      </c>
      <c r="R4912" s="1" t="s">
        <v>67</v>
      </c>
      <c r="S4912" s="1" t="s">
        <v>9085</v>
      </c>
      <c r="T4912" s="1" t="s">
        <v>2127</v>
      </c>
      <c r="U4912" s="2" t="s">
        <v>6690</v>
      </c>
      <c r="V4912" s="2" t="s">
        <v>47</v>
      </c>
      <c r="W4912" s="2" t="s">
        <v>104</v>
      </c>
      <c r="X4912" s="2">
        <v>24.78</v>
      </c>
    </row>
    <row r="4913" spans="1:24" x14ac:dyDescent="0.3">
      <c r="A4913">
        <v>22750</v>
      </c>
      <c r="B4913" t="s">
        <v>10795</v>
      </c>
      <c r="C4913" s="3">
        <v>41315</v>
      </c>
      <c r="D4913" t="s">
        <v>62</v>
      </c>
      <c r="E4913">
        <v>1</v>
      </c>
      <c r="F4913" s="3">
        <f ca="1">41317+(RANDBETWEEN(1,10))</f>
        <v>41319</v>
      </c>
      <c r="G4913" t="s">
        <v>26</v>
      </c>
      <c r="H4913" t="s">
        <v>27</v>
      </c>
      <c r="I4913" t="s">
        <v>86</v>
      </c>
      <c r="J4913">
        <v>472.36</v>
      </c>
      <c r="K4913">
        <v>0</v>
      </c>
      <c r="L4913">
        <v>0.59</v>
      </c>
      <c r="M4913">
        <v>69.965000000000003</v>
      </c>
      <c r="N4913">
        <v>-226.73</v>
      </c>
      <c r="O4913" s="1" t="s">
        <v>29</v>
      </c>
      <c r="P4913" s="1" t="s">
        <v>10796</v>
      </c>
      <c r="Q4913" s="1" t="s">
        <v>10797</v>
      </c>
      <c r="R4913" s="1" t="s">
        <v>460</v>
      </c>
      <c r="S4913" s="1" t="s">
        <v>10798</v>
      </c>
      <c r="T4913" s="1" t="s">
        <v>10799</v>
      </c>
      <c r="U4913" s="2" t="s">
        <v>1801</v>
      </c>
      <c r="V4913" s="2" t="s">
        <v>47</v>
      </c>
      <c r="W4913" s="2" t="s">
        <v>119</v>
      </c>
      <c r="X4913" s="2">
        <v>421.15499999999997</v>
      </c>
    </row>
    <row r="4914" spans="1:24" x14ac:dyDescent="0.3">
      <c r="A4914">
        <v>22751</v>
      </c>
      <c r="B4914" t="s">
        <v>10795</v>
      </c>
      <c r="C4914" s="3">
        <v>41315</v>
      </c>
      <c r="D4914" t="s">
        <v>62</v>
      </c>
      <c r="E4914">
        <v>2</v>
      </c>
      <c r="F4914" s="3">
        <f ca="1">41316+(RANDBETWEEN(1,10))</f>
        <v>41321</v>
      </c>
      <c r="G4914" t="s">
        <v>156</v>
      </c>
      <c r="H4914" t="s">
        <v>27</v>
      </c>
      <c r="I4914" t="s">
        <v>86</v>
      </c>
      <c r="J4914">
        <v>1201.55</v>
      </c>
      <c r="K4914">
        <v>0.06</v>
      </c>
      <c r="L4914">
        <v>0.56000000000000005</v>
      </c>
      <c r="M4914">
        <v>31.465</v>
      </c>
      <c r="N4914">
        <v>-2172.9014999999999</v>
      </c>
      <c r="O4914" s="1" t="s">
        <v>29</v>
      </c>
      <c r="P4914" s="1" t="s">
        <v>10796</v>
      </c>
      <c r="Q4914" s="1" t="s">
        <v>10797</v>
      </c>
      <c r="R4914" s="1" t="s">
        <v>460</v>
      </c>
      <c r="S4914" s="1" t="s">
        <v>10798</v>
      </c>
      <c r="T4914" s="1" t="s">
        <v>10799</v>
      </c>
      <c r="U4914" s="2" t="s">
        <v>4735</v>
      </c>
      <c r="V4914" s="2" t="s">
        <v>36</v>
      </c>
      <c r="W4914" s="2" t="s">
        <v>37</v>
      </c>
      <c r="X4914" s="2">
        <v>720.96500000000003</v>
      </c>
    </row>
    <row r="4915" spans="1:24" x14ac:dyDescent="0.3">
      <c r="A4915">
        <v>22752</v>
      </c>
      <c r="B4915" t="s">
        <v>10800</v>
      </c>
      <c r="C4915" s="3">
        <v>41817</v>
      </c>
      <c r="D4915" t="s">
        <v>62</v>
      </c>
      <c r="E4915">
        <v>6</v>
      </c>
      <c r="F4915" s="3">
        <f ca="1">41818+(RANDBETWEEN(1,10))</f>
        <v>41822</v>
      </c>
      <c r="G4915" t="s">
        <v>26</v>
      </c>
      <c r="H4915" t="s">
        <v>27</v>
      </c>
      <c r="I4915" t="s">
        <v>97</v>
      </c>
      <c r="J4915">
        <v>330.54</v>
      </c>
      <c r="K4915">
        <v>0.03</v>
      </c>
      <c r="L4915">
        <v>0.39</v>
      </c>
      <c r="M4915">
        <v>52.814999999999998</v>
      </c>
      <c r="N4915">
        <v>769.923</v>
      </c>
      <c r="O4915" s="1" t="s">
        <v>29</v>
      </c>
      <c r="P4915" s="1" t="s">
        <v>10801</v>
      </c>
      <c r="Q4915" s="1" t="s">
        <v>10802</v>
      </c>
      <c r="R4915" s="1" t="s">
        <v>32</v>
      </c>
      <c r="S4915" s="1" t="s">
        <v>5627</v>
      </c>
      <c r="T4915" s="1" t="s">
        <v>5628</v>
      </c>
      <c r="U4915" s="2" t="s">
        <v>7654</v>
      </c>
      <c r="V4915" s="2" t="s">
        <v>47</v>
      </c>
      <c r="W4915" s="2" t="s">
        <v>111</v>
      </c>
      <c r="X4915" s="2">
        <v>53.06</v>
      </c>
    </row>
    <row r="4916" spans="1:24" x14ac:dyDescent="0.3">
      <c r="A4916">
        <v>22753</v>
      </c>
      <c r="B4916" t="s">
        <v>10803</v>
      </c>
      <c r="C4916" s="3">
        <v>41327</v>
      </c>
      <c r="D4916" t="s">
        <v>62</v>
      </c>
      <c r="E4916">
        <v>5</v>
      </c>
      <c r="F4916" s="3">
        <f ca="1">41329+(RANDBETWEEN(1,10))</f>
        <v>41335</v>
      </c>
      <c r="G4916" t="s">
        <v>26</v>
      </c>
      <c r="H4916" t="s">
        <v>51</v>
      </c>
      <c r="I4916" t="s">
        <v>86</v>
      </c>
      <c r="J4916">
        <v>90.194999999999993</v>
      </c>
      <c r="K4916">
        <v>0.06</v>
      </c>
      <c r="L4916">
        <v>0.52</v>
      </c>
      <c r="M4916">
        <v>10.675000000000001</v>
      </c>
      <c r="N4916">
        <v>-441.34300000000002</v>
      </c>
      <c r="O4916" s="1" t="s">
        <v>53</v>
      </c>
      <c r="P4916" s="1" t="s">
        <v>2813</v>
      </c>
      <c r="Q4916" s="1" t="s">
        <v>2814</v>
      </c>
      <c r="R4916" s="1" t="s">
        <v>56</v>
      </c>
      <c r="S4916" s="1" t="s">
        <v>2815</v>
      </c>
      <c r="T4916" s="1" t="s">
        <v>2816</v>
      </c>
      <c r="U4916" s="2" t="s">
        <v>9086</v>
      </c>
      <c r="V4916" s="2" t="s">
        <v>83</v>
      </c>
      <c r="W4916" s="2" t="s">
        <v>178</v>
      </c>
      <c r="X4916" s="2">
        <v>17.184999999999999</v>
      </c>
    </row>
    <row r="4917" spans="1:24" x14ac:dyDescent="0.3">
      <c r="A4917">
        <v>22754</v>
      </c>
      <c r="B4917" t="s">
        <v>10804</v>
      </c>
      <c r="C4917" s="3">
        <v>40554</v>
      </c>
      <c r="D4917" t="s">
        <v>50</v>
      </c>
      <c r="E4917">
        <v>5</v>
      </c>
      <c r="F4917" s="3">
        <f ca="1">40554+(RANDBETWEEN(1,10))</f>
        <v>40561</v>
      </c>
      <c r="G4917" t="s">
        <v>76</v>
      </c>
      <c r="H4917" t="s">
        <v>77</v>
      </c>
      <c r="I4917" t="s">
        <v>86</v>
      </c>
      <c r="J4917">
        <v>3964.94</v>
      </c>
      <c r="K4917">
        <v>0.08</v>
      </c>
      <c r="L4917">
        <v>0.56999999999999995</v>
      </c>
      <c r="M4917">
        <v>51.45</v>
      </c>
      <c r="N4917">
        <v>1738.7888</v>
      </c>
      <c r="O4917" s="1" t="s">
        <v>225</v>
      </c>
      <c r="P4917" s="1" t="s">
        <v>10805</v>
      </c>
      <c r="Q4917" s="1" t="s">
        <v>10806</v>
      </c>
      <c r="R4917" s="1" t="s">
        <v>228</v>
      </c>
      <c r="S4917" s="1" t="s">
        <v>10807</v>
      </c>
      <c r="T4917" s="1" t="s">
        <v>10808</v>
      </c>
      <c r="U4917" s="2" t="s">
        <v>7593</v>
      </c>
      <c r="V4917" s="2" t="s">
        <v>36</v>
      </c>
      <c r="W4917" s="2" t="s">
        <v>142</v>
      </c>
      <c r="X4917" s="2">
        <v>1041.74</v>
      </c>
    </row>
    <row r="4918" spans="1:24" x14ac:dyDescent="0.3">
      <c r="A4918">
        <v>22755</v>
      </c>
      <c r="B4918" t="s">
        <v>10804</v>
      </c>
      <c r="C4918" s="3">
        <v>40554</v>
      </c>
      <c r="D4918" t="s">
        <v>50</v>
      </c>
      <c r="E4918">
        <v>11</v>
      </c>
      <c r="F4918" s="3">
        <f ca="1">40555+(RANDBETWEEN(1,10))</f>
        <v>40560</v>
      </c>
      <c r="G4918" t="s">
        <v>26</v>
      </c>
      <c r="H4918" t="s">
        <v>63</v>
      </c>
      <c r="I4918" t="s">
        <v>86</v>
      </c>
      <c r="J4918">
        <v>502.70499999999998</v>
      </c>
      <c r="K4918">
        <v>0.02</v>
      </c>
      <c r="L4918">
        <v>0.73</v>
      </c>
      <c r="M4918">
        <v>50.295000000000002</v>
      </c>
      <c r="N4918">
        <v>-1948.8335999999999</v>
      </c>
      <c r="O4918" s="1" t="s">
        <v>29</v>
      </c>
      <c r="P4918" s="1" t="s">
        <v>10809</v>
      </c>
      <c r="Q4918" s="1" t="s">
        <v>10810</v>
      </c>
      <c r="R4918" s="1" t="s">
        <v>32</v>
      </c>
      <c r="S4918" s="1" t="s">
        <v>10811</v>
      </c>
      <c r="T4918" s="1" t="s">
        <v>10812</v>
      </c>
      <c r="U4918" s="2" t="s">
        <v>5853</v>
      </c>
      <c r="V4918" s="2" t="s">
        <v>83</v>
      </c>
      <c r="W4918" s="2" t="s">
        <v>178</v>
      </c>
      <c r="X4918" s="2">
        <v>45.465000000000003</v>
      </c>
    </row>
    <row r="4919" spans="1:24" x14ac:dyDescent="0.3">
      <c r="A4919">
        <v>22756</v>
      </c>
      <c r="B4919" t="s">
        <v>10804</v>
      </c>
      <c r="C4919" s="3">
        <v>40554</v>
      </c>
      <c r="D4919" t="s">
        <v>50</v>
      </c>
      <c r="E4919">
        <v>5</v>
      </c>
      <c r="F4919" s="3">
        <f ca="1">40555+(RANDBETWEEN(1,10))</f>
        <v>40565</v>
      </c>
      <c r="G4919" t="s">
        <v>26</v>
      </c>
      <c r="H4919" t="s">
        <v>281</v>
      </c>
      <c r="I4919" t="s">
        <v>86</v>
      </c>
      <c r="J4919">
        <v>255.64</v>
      </c>
      <c r="K4919">
        <v>0.06</v>
      </c>
      <c r="L4919">
        <v>0.52</v>
      </c>
      <c r="M4919">
        <v>23.625</v>
      </c>
      <c r="N4919">
        <v>-97.085800000000006</v>
      </c>
      <c r="O4919" s="1" t="s">
        <v>40</v>
      </c>
      <c r="P4919" s="1" t="s">
        <v>10813</v>
      </c>
      <c r="Q4919" s="1" t="s">
        <v>10814</v>
      </c>
      <c r="R4919" s="1" t="s">
        <v>43</v>
      </c>
      <c r="S4919" s="1" t="s">
        <v>10815</v>
      </c>
      <c r="T4919" s="1" t="s">
        <v>10816</v>
      </c>
      <c r="U4919" s="2" t="s">
        <v>1196</v>
      </c>
      <c r="V4919" s="2" t="s">
        <v>47</v>
      </c>
      <c r="W4919" s="2" t="s">
        <v>71</v>
      </c>
      <c r="X4919" s="2">
        <v>50.47</v>
      </c>
    </row>
    <row r="4920" spans="1:24" x14ac:dyDescent="0.3">
      <c r="A4920">
        <v>22757</v>
      </c>
      <c r="B4920" t="s">
        <v>10804</v>
      </c>
      <c r="C4920" s="3">
        <v>40554</v>
      </c>
      <c r="D4920" t="s">
        <v>50</v>
      </c>
      <c r="E4920">
        <v>7</v>
      </c>
      <c r="F4920" s="3">
        <f ca="1">40556+(RANDBETWEEN(1,10))</f>
        <v>40560</v>
      </c>
      <c r="G4920" t="s">
        <v>156</v>
      </c>
      <c r="H4920" t="s">
        <v>27</v>
      </c>
      <c r="I4920" t="s">
        <v>86</v>
      </c>
      <c r="J4920">
        <v>116.72499999999999</v>
      </c>
      <c r="K4920">
        <v>0.05</v>
      </c>
      <c r="L4920">
        <v>0.49</v>
      </c>
      <c r="M4920">
        <v>23.1</v>
      </c>
      <c r="N4920">
        <v>-450.40519999999998</v>
      </c>
      <c r="O4920" s="1" t="s">
        <v>87</v>
      </c>
      <c r="P4920" s="1" t="s">
        <v>10817</v>
      </c>
      <c r="Q4920" s="1" t="s">
        <v>10818</v>
      </c>
      <c r="R4920" s="1" t="s">
        <v>398</v>
      </c>
      <c r="S4920" s="1" t="s">
        <v>1799</v>
      </c>
      <c r="T4920" s="1" t="s">
        <v>1800</v>
      </c>
      <c r="U4920" s="2" t="s">
        <v>5685</v>
      </c>
      <c r="V4920" s="2" t="s">
        <v>83</v>
      </c>
      <c r="W4920" s="2" t="s">
        <v>178</v>
      </c>
      <c r="X4920" s="2">
        <v>14.49</v>
      </c>
    </row>
    <row r="4921" spans="1:24" x14ac:dyDescent="0.3">
      <c r="A4921">
        <v>22758</v>
      </c>
      <c r="B4921" t="s">
        <v>10804</v>
      </c>
      <c r="C4921" s="3">
        <v>40554</v>
      </c>
      <c r="D4921" t="s">
        <v>50</v>
      </c>
      <c r="E4921">
        <v>5</v>
      </c>
      <c r="F4921" s="3">
        <f ca="1">40554+(RANDBETWEEN(1,10))</f>
        <v>40564</v>
      </c>
      <c r="G4921" t="s">
        <v>26</v>
      </c>
      <c r="H4921" t="s">
        <v>27</v>
      </c>
      <c r="I4921" t="s">
        <v>86</v>
      </c>
      <c r="J4921">
        <v>210.84</v>
      </c>
      <c r="K4921">
        <v>0.03</v>
      </c>
      <c r="L4921">
        <v>0.36</v>
      </c>
      <c r="M4921">
        <v>17.535</v>
      </c>
      <c r="N4921">
        <v>81.209800000000001</v>
      </c>
      <c r="O4921" s="1" t="s">
        <v>225</v>
      </c>
      <c r="P4921" s="1" t="s">
        <v>10819</v>
      </c>
      <c r="Q4921" s="1" t="s">
        <v>10820</v>
      </c>
      <c r="R4921" s="1" t="s">
        <v>391</v>
      </c>
      <c r="S4921" s="1" t="s">
        <v>10821</v>
      </c>
      <c r="T4921" s="1" t="s">
        <v>10822</v>
      </c>
      <c r="U4921" s="2" t="s">
        <v>4556</v>
      </c>
      <c r="V4921" s="2" t="s">
        <v>47</v>
      </c>
      <c r="W4921" s="2" t="s">
        <v>74</v>
      </c>
      <c r="X4921" s="2">
        <v>39.69</v>
      </c>
    </row>
    <row r="4922" spans="1:24" x14ac:dyDescent="0.3">
      <c r="A4922">
        <v>22759</v>
      </c>
      <c r="B4922" t="s">
        <v>10823</v>
      </c>
      <c r="C4922" s="3">
        <v>41335</v>
      </c>
      <c r="D4922" t="s">
        <v>62</v>
      </c>
      <c r="E4922">
        <v>5</v>
      </c>
      <c r="F4922" s="3">
        <f ca="1">41336+(RANDBETWEEN(1,10))</f>
        <v>41343</v>
      </c>
      <c r="G4922" t="s">
        <v>26</v>
      </c>
      <c r="H4922" t="s">
        <v>96</v>
      </c>
      <c r="I4922" t="s">
        <v>28</v>
      </c>
      <c r="J4922">
        <v>46.97</v>
      </c>
      <c r="K4922">
        <v>0.06</v>
      </c>
      <c r="L4922">
        <v>0.45</v>
      </c>
      <c r="M4922">
        <v>4.6900000000000004</v>
      </c>
      <c r="N4922">
        <v>-13.3</v>
      </c>
      <c r="O4922" s="1" t="s">
        <v>29</v>
      </c>
      <c r="P4922" s="1" t="s">
        <v>8935</v>
      </c>
      <c r="Q4922" s="1" t="s">
        <v>8936</v>
      </c>
      <c r="R4922" s="1" t="s">
        <v>32</v>
      </c>
      <c r="S4922" s="1" t="s">
        <v>3140</v>
      </c>
      <c r="T4922" s="1" t="s">
        <v>3141</v>
      </c>
      <c r="U4922" s="2" t="s">
        <v>1227</v>
      </c>
      <c r="V4922" s="2" t="s">
        <v>47</v>
      </c>
      <c r="W4922" s="2" t="s">
        <v>104</v>
      </c>
      <c r="X4922" s="2">
        <v>9.73</v>
      </c>
    </row>
    <row r="4923" spans="1:24" x14ac:dyDescent="0.3">
      <c r="A4923">
        <v>22760</v>
      </c>
      <c r="B4923" t="s">
        <v>10824</v>
      </c>
      <c r="C4923" s="3">
        <v>41262</v>
      </c>
      <c r="D4923" t="s">
        <v>25</v>
      </c>
      <c r="E4923">
        <v>6</v>
      </c>
      <c r="F4923" s="3">
        <f ca="1">41266+(RANDBETWEEN(1,10))</f>
        <v>41268</v>
      </c>
      <c r="G4923" t="s">
        <v>26</v>
      </c>
      <c r="H4923" t="s">
        <v>51</v>
      </c>
      <c r="I4923" t="s">
        <v>86</v>
      </c>
      <c r="J4923">
        <v>300.19499999999999</v>
      </c>
      <c r="K4923">
        <v>0.03</v>
      </c>
      <c r="L4923">
        <v>0.49</v>
      </c>
      <c r="M4923">
        <v>17.5</v>
      </c>
      <c r="N4923">
        <v>207.13454999999999</v>
      </c>
      <c r="O4923" s="1" t="s">
        <v>40</v>
      </c>
      <c r="P4923" s="1" t="s">
        <v>10399</v>
      </c>
      <c r="Q4923" s="1" t="s">
        <v>10400</v>
      </c>
      <c r="R4923" s="1" t="s">
        <v>43</v>
      </c>
      <c r="S4923" s="1" t="s">
        <v>10401</v>
      </c>
      <c r="T4923" s="1" t="s">
        <v>10402</v>
      </c>
      <c r="U4923" s="2" t="s">
        <v>830</v>
      </c>
      <c r="V4923" s="2" t="s">
        <v>83</v>
      </c>
      <c r="W4923" s="2" t="s">
        <v>178</v>
      </c>
      <c r="X4923" s="2">
        <v>50.19</v>
      </c>
    </row>
    <row r="4924" spans="1:24" x14ac:dyDescent="0.3">
      <c r="A4924">
        <v>22761</v>
      </c>
      <c r="B4924" t="s">
        <v>10825</v>
      </c>
      <c r="C4924" s="3">
        <v>41028</v>
      </c>
      <c r="D4924" t="s">
        <v>62</v>
      </c>
      <c r="E4924">
        <v>5</v>
      </c>
      <c r="F4924" s="3">
        <f ca="1">41029+(RANDBETWEEN(1,10))</f>
        <v>41031</v>
      </c>
      <c r="G4924" t="s">
        <v>26</v>
      </c>
      <c r="H4924" t="s">
        <v>96</v>
      </c>
      <c r="I4924" t="s">
        <v>97</v>
      </c>
      <c r="J4924">
        <v>126.56</v>
      </c>
      <c r="K4924">
        <v>0</v>
      </c>
      <c r="L4924">
        <v>0.38</v>
      </c>
      <c r="M4924">
        <v>7.5949999999999998</v>
      </c>
      <c r="N4924">
        <v>-90.65</v>
      </c>
      <c r="O4924" s="1" t="s">
        <v>29</v>
      </c>
      <c r="P4924" s="1" t="s">
        <v>8924</v>
      </c>
      <c r="Q4924" s="1" t="s">
        <v>8925</v>
      </c>
      <c r="R4924" s="1" t="s">
        <v>32</v>
      </c>
      <c r="S4924" s="1" t="s">
        <v>8926</v>
      </c>
      <c r="T4924" s="1" t="s">
        <v>8927</v>
      </c>
      <c r="U4924" s="2" t="s">
        <v>6554</v>
      </c>
      <c r="V4924" s="2" t="s">
        <v>47</v>
      </c>
      <c r="W4924" s="2" t="s">
        <v>74</v>
      </c>
      <c r="X4924" s="2">
        <v>24.64</v>
      </c>
    </row>
    <row r="4925" spans="1:24" x14ac:dyDescent="0.3">
      <c r="A4925">
        <v>22762</v>
      </c>
      <c r="B4925" t="s">
        <v>10826</v>
      </c>
      <c r="C4925" s="3">
        <v>41082</v>
      </c>
      <c r="D4925" t="s">
        <v>50</v>
      </c>
      <c r="E4925">
        <v>8</v>
      </c>
      <c r="F4925" s="3">
        <f ca="1">41083+(RANDBETWEEN(1,10))</f>
        <v>41089</v>
      </c>
      <c r="G4925" t="s">
        <v>26</v>
      </c>
      <c r="H4925" t="s">
        <v>27</v>
      </c>
      <c r="I4925" t="s">
        <v>52</v>
      </c>
      <c r="J4925">
        <v>159.81</v>
      </c>
      <c r="K4925">
        <v>0.03</v>
      </c>
      <c r="L4925">
        <v>0.35</v>
      </c>
      <c r="M4925">
        <v>18.55</v>
      </c>
      <c r="N4925">
        <v>-126.44799999999999</v>
      </c>
      <c r="O4925" s="1" t="s">
        <v>40</v>
      </c>
      <c r="P4925" s="1" t="s">
        <v>1849</v>
      </c>
      <c r="Q4925" s="1" t="s">
        <v>1850</v>
      </c>
      <c r="R4925" s="1" t="s">
        <v>43</v>
      </c>
      <c r="S4925" s="1" t="s">
        <v>1851</v>
      </c>
      <c r="T4925" s="1" t="s">
        <v>1852</v>
      </c>
      <c r="U4925" s="2" t="s">
        <v>2464</v>
      </c>
      <c r="V4925" s="2" t="s">
        <v>47</v>
      </c>
      <c r="W4925" s="2" t="s">
        <v>48</v>
      </c>
      <c r="X4925" s="2">
        <v>19.53</v>
      </c>
    </row>
    <row r="4926" spans="1:24" x14ac:dyDescent="0.3">
      <c r="A4926">
        <v>22763</v>
      </c>
      <c r="B4926" t="s">
        <v>10827</v>
      </c>
      <c r="C4926" s="3">
        <v>40775</v>
      </c>
      <c r="D4926" t="s">
        <v>50</v>
      </c>
      <c r="E4926">
        <v>14</v>
      </c>
      <c r="F4926" s="3">
        <f ca="1">40778+(RANDBETWEEN(1,10))</f>
        <v>40788</v>
      </c>
      <c r="G4926" t="s">
        <v>26</v>
      </c>
      <c r="H4926" t="s">
        <v>27</v>
      </c>
      <c r="I4926" t="s">
        <v>97</v>
      </c>
      <c r="J4926">
        <v>552.33500000000004</v>
      </c>
      <c r="K4926">
        <v>0.04</v>
      </c>
      <c r="L4926">
        <v>0.4</v>
      </c>
      <c r="M4926">
        <v>25.164999999999999</v>
      </c>
      <c r="N4926">
        <v>-81.752579999999995</v>
      </c>
      <c r="O4926" s="1" t="s">
        <v>40</v>
      </c>
      <c r="P4926" s="1" t="s">
        <v>10828</v>
      </c>
      <c r="Q4926" s="1" t="s">
        <v>10829</v>
      </c>
      <c r="R4926" s="1" t="s">
        <v>220</v>
      </c>
      <c r="S4926" s="1" t="s">
        <v>5536</v>
      </c>
      <c r="T4926" s="1" t="s">
        <v>5537</v>
      </c>
      <c r="U4926" s="2" t="s">
        <v>1736</v>
      </c>
      <c r="V4926" s="2" t="s">
        <v>47</v>
      </c>
      <c r="W4926" s="2" t="s">
        <v>111</v>
      </c>
      <c r="X4926" s="2">
        <v>40.25</v>
      </c>
    </row>
    <row r="4927" spans="1:24" x14ac:dyDescent="0.3">
      <c r="A4927">
        <v>22764</v>
      </c>
      <c r="B4927" t="s">
        <v>10827</v>
      </c>
      <c r="C4927" s="3">
        <v>40775</v>
      </c>
      <c r="D4927" t="s">
        <v>50</v>
      </c>
      <c r="E4927">
        <v>1</v>
      </c>
      <c r="F4927" s="3">
        <f ca="1">40776+(RANDBETWEEN(1,10))</f>
        <v>40781</v>
      </c>
      <c r="G4927" t="s">
        <v>26</v>
      </c>
      <c r="H4927" t="s">
        <v>27</v>
      </c>
      <c r="I4927" t="s">
        <v>97</v>
      </c>
      <c r="J4927">
        <v>68.040000000000006</v>
      </c>
      <c r="K4927">
        <v>0.02</v>
      </c>
      <c r="L4927">
        <v>0.6</v>
      </c>
      <c r="M4927">
        <v>39.375</v>
      </c>
      <c r="N4927">
        <v>-63.845599999999997</v>
      </c>
      <c r="O4927" s="1" t="s">
        <v>40</v>
      </c>
      <c r="P4927" s="1" t="s">
        <v>10828</v>
      </c>
      <c r="Q4927" s="1" t="s">
        <v>10829</v>
      </c>
      <c r="R4927" s="1" t="s">
        <v>220</v>
      </c>
      <c r="S4927" s="1" t="s">
        <v>5536</v>
      </c>
      <c r="T4927" s="1" t="s">
        <v>5537</v>
      </c>
      <c r="U4927" s="2" t="s">
        <v>742</v>
      </c>
      <c r="V4927" s="2" t="s">
        <v>47</v>
      </c>
      <c r="W4927" s="2" t="s">
        <v>119</v>
      </c>
      <c r="X4927" s="2">
        <v>54.95</v>
      </c>
    </row>
    <row r="4928" spans="1:24" x14ac:dyDescent="0.3">
      <c r="A4928">
        <v>22765</v>
      </c>
      <c r="B4928" t="s">
        <v>10827</v>
      </c>
      <c r="C4928" s="3">
        <v>40775</v>
      </c>
      <c r="D4928" t="s">
        <v>50</v>
      </c>
      <c r="E4928">
        <v>21</v>
      </c>
      <c r="F4928" s="3">
        <f ca="1">40777+(RANDBETWEEN(1,10))</f>
        <v>40782</v>
      </c>
      <c r="G4928" t="s">
        <v>76</v>
      </c>
      <c r="H4928" t="s">
        <v>77</v>
      </c>
      <c r="I4928" t="s">
        <v>97</v>
      </c>
      <c r="J4928">
        <v>16228.205</v>
      </c>
      <c r="K4928">
        <v>0.05</v>
      </c>
      <c r="L4928">
        <v>0.72</v>
      </c>
      <c r="M4928">
        <v>100.31</v>
      </c>
      <c r="N4928">
        <v>5001.1863999999996</v>
      </c>
      <c r="O4928" s="1" t="s">
        <v>40</v>
      </c>
      <c r="P4928" s="1" t="s">
        <v>10828</v>
      </c>
      <c r="Q4928" s="1" t="s">
        <v>10829</v>
      </c>
      <c r="R4928" s="1" t="s">
        <v>220</v>
      </c>
      <c r="S4928" s="1" t="s">
        <v>5536</v>
      </c>
      <c r="T4928" s="1" t="s">
        <v>5537</v>
      </c>
      <c r="U4928" s="2" t="s">
        <v>2071</v>
      </c>
      <c r="V4928" s="2" t="s">
        <v>47</v>
      </c>
      <c r="W4928" s="2" t="s">
        <v>119</v>
      </c>
      <c r="X4928" s="2">
        <v>787.57</v>
      </c>
    </row>
    <row r="4929" spans="1:24" x14ac:dyDescent="0.3">
      <c r="A4929">
        <v>22766</v>
      </c>
      <c r="B4929" t="s">
        <v>10830</v>
      </c>
      <c r="C4929" s="3">
        <v>41219</v>
      </c>
      <c r="D4929" t="s">
        <v>25</v>
      </c>
      <c r="E4929">
        <v>39</v>
      </c>
      <c r="F4929" s="3">
        <f ca="1">41224+(RANDBETWEEN(1,10))</f>
        <v>41230</v>
      </c>
      <c r="G4929" t="s">
        <v>76</v>
      </c>
      <c r="H4929" t="s">
        <v>77</v>
      </c>
      <c r="I4929" t="s">
        <v>86</v>
      </c>
      <c r="J4929">
        <v>26843.985000000001</v>
      </c>
      <c r="K4929">
        <v>0</v>
      </c>
      <c r="L4929">
        <v>0.56999999999999995</v>
      </c>
      <c r="M4929">
        <v>193.34</v>
      </c>
      <c r="N4929">
        <v>10764.831</v>
      </c>
      <c r="O4929" s="1" t="s">
        <v>53</v>
      </c>
      <c r="P4929" s="1" t="s">
        <v>10423</v>
      </c>
      <c r="Q4929" s="1" t="s">
        <v>10424</v>
      </c>
      <c r="R4929" s="1" t="s">
        <v>56</v>
      </c>
      <c r="S4929" s="1" t="s">
        <v>10425</v>
      </c>
      <c r="T4929" s="1" t="s">
        <v>10426</v>
      </c>
      <c r="U4929" s="2" t="s">
        <v>4544</v>
      </c>
      <c r="V4929" s="2" t="s">
        <v>47</v>
      </c>
      <c r="W4929" s="2" t="s">
        <v>71</v>
      </c>
      <c r="X4929" s="2">
        <v>633.42999999999995</v>
      </c>
    </row>
    <row r="4930" spans="1:24" x14ac:dyDescent="0.3">
      <c r="A4930">
        <v>22767</v>
      </c>
      <c r="B4930" t="s">
        <v>10830</v>
      </c>
      <c r="C4930" s="3">
        <v>41219</v>
      </c>
      <c r="D4930" t="s">
        <v>25</v>
      </c>
      <c r="E4930">
        <v>37</v>
      </c>
      <c r="F4930" s="3">
        <f ca="1">41226+(RANDBETWEEN(1,10))</f>
        <v>41231</v>
      </c>
      <c r="G4930" t="s">
        <v>26</v>
      </c>
      <c r="H4930" t="s">
        <v>27</v>
      </c>
      <c r="I4930" t="s">
        <v>86</v>
      </c>
      <c r="J4930">
        <v>1108.17</v>
      </c>
      <c r="K4930">
        <v>0.06</v>
      </c>
      <c r="L4930">
        <v>0.57999999999999996</v>
      </c>
      <c r="M4930">
        <v>12.25</v>
      </c>
      <c r="N4930">
        <v>11.276999999999999</v>
      </c>
      <c r="O4930" s="1" t="s">
        <v>53</v>
      </c>
      <c r="P4930" s="1" t="s">
        <v>10423</v>
      </c>
      <c r="Q4930" s="1" t="s">
        <v>10424</v>
      </c>
      <c r="R4930" s="1" t="s">
        <v>56</v>
      </c>
      <c r="S4930" s="1" t="s">
        <v>10425</v>
      </c>
      <c r="T4930" s="1" t="s">
        <v>10426</v>
      </c>
      <c r="U4930" s="2" t="s">
        <v>2447</v>
      </c>
      <c r="V4930" s="2" t="s">
        <v>47</v>
      </c>
      <c r="W4930" s="2" t="s">
        <v>71</v>
      </c>
      <c r="X4930" s="2">
        <v>30.344999999999999</v>
      </c>
    </row>
    <row r="4931" spans="1:24" x14ac:dyDescent="0.3">
      <c r="A4931">
        <v>22768</v>
      </c>
      <c r="B4931" t="s">
        <v>10830</v>
      </c>
      <c r="C4931" s="3">
        <v>41219</v>
      </c>
      <c r="D4931" t="s">
        <v>25</v>
      </c>
      <c r="E4931">
        <v>23</v>
      </c>
      <c r="F4931" s="3">
        <f ca="1">41223+(RANDBETWEEN(1,10))</f>
        <v>41226</v>
      </c>
      <c r="G4931" t="s">
        <v>26</v>
      </c>
      <c r="H4931" t="s">
        <v>27</v>
      </c>
      <c r="I4931" t="s">
        <v>86</v>
      </c>
      <c r="J4931">
        <v>474.21499999999997</v>
      </c>
      <c r="K4931">
        <v>0.04</v>
      </c>
      <c r="L4931">
        <v>0.36</v>
      </c>
      <c r="M4931">
        <v>8.75</v>
      </c>
      <c r="N4931">
        <v>165.24199999999999</v>
      </c>
      <c r="O4931" s="1" t="s">
        <v>53</v>
      </c>
      <c r="P4931" s="1" t="s">
        <v>10423</v>
      </c>
      <c r="Q4931" s="1" t="s">
        <v>10424</v>
      </c>
      <c r="R4931" s="1" t="s">
        <v>56</v>
      </c>
      <c r="S4931" s="1" t="s">
        <v>10425</v>
      </c>
      <c r="T4931" s="1" t="s">
        <v>10426</v>
      </c>
      <c r="U4931" s="2" t="s">
        <v>1486</v>
      </c>
      <c r="V4931" s="2" t="s">
        <v>47</v>
      </c>
      <c r="W4931" s="2" t="s">
        <v>48</v>
      </c>
      <c r="X4931" s="2">
        <v>20.93</v>
      </c>
    </row>
    <row r="4932" spans="1:24" x14ac:dyDescent="0.3">
      <c r="A4932">
        <v>22769</v>
      </c>
      <c r="B4932" t="s">
        <v>10830</v>
      </c>
      <c r="C4932" s="3">
        <v>41219</v>
      </c>
      <c r="D4932" t="s">
        <v>25</v>
      </c>
      <c r="E4932">
        <v>33</v>
      </c>
      <c r="F4932" s="3">
        <f ca="1">41221+(RANDBETWEEN(1,10))</f>
        <v>41224</v>
      </c>
      <c r="G4932" t="s">
        <v>26</v>
      </c>
      <c r="H4932" t="s">
        <v>27</v>
      </c>
      <c r="I4932" t="s">
        <v>86</v>
      </c>
      <c r="J4932">
        <v>343.94499999999999</v>
      </c>
      <c r="K4932">
        <v>0.01</v>
      </c>
      <c r="L4932">
        <v>0.36</v>
      </c>
      <c r="M4932">
        <v>1.75</v>
      </c>
      <c r="N4932">
        <v>237.32204999999999</v>
      </c>
      <c r="O4932" s="1" t="s">
        <v>53</v>
      </c>
      <c r="P4932" s="1" t="s">
        <v>10423</v>
      </c>
      <c r="Q4932" s="1" t="s">
        <v>10424</v>
      </c>
      <c r="R4932" s="1" t="s">
        <v>56</v>
      </c>
      <c r="S4932" s="1" t="s">
        <v>10425</v>
      </c>
      <c r="T4932" s="1" t="s">
        <v>10426</v>
      </c>
      <c r="U4932" s="2" t="s">
        <v>363</v>
      </c>
      <c r="V4932" s="2" t="s">
        <v>47</v>
      </c>
      <c r="W4932" s="2" t="s">
        <v>203</v>
      </c>
      <c r="X4932" s="2">
        <v>10.08</v>
      </c>
    </row>
    <row r="4933" spans="1:24" x14ac:dyDescent="0.3">
      <c r="A4933">
        <v>22770</v>
      </c>
      <c r="B4933" t="s">
        <v>10831</v>
      </c>
      <c r="C4933" s="3">
        <v>41902</v>
      </c>
      <c r="D4933" t="s">
        <v>50</v>
      </c>
      <c r="E4933">
        <v>3</v>
      </c>
      <c r="F4933" s="3">
        <f ca="1">41904+(RANDBETWEEN(1,10))</f>
        <v>41909</v>
      </c>
      <c r="G4933" t="s">
        <v>26</v>
      </c>
      <c r="H4933" t="s">
        <v>27</v>
      </c>
      <c r="I4933" t="s">
        <v>52</v>
      </c>
      <c r="J4933">
        <v>406.38499999999999</v>
      </c>
      <c r="K4933">
        <v>0</v>
      </c>
      <c r="L4933">
        <v>0.4</v>
      </c>
      <c r="M4933">
        <v>51.52</v>
      </c>
      <c r="N4933">
        <v>-45.176600000000001</v>
      </c>
      <c r="O4933" s="1" t="s">
        <v>225</v>
      </c>
      <c r="P4933" s="1" t="s">
        <v>10832</v>
      </c>
      <c r="Q4933" s="1" t="s">
        <v>10833</v>
      </c>
      <c r="R4933" s="1" t="s">
        <v>228</v>
      </c>
      <c r="S4933" s="1" t="s">
        <v>2805</v>
      </c>
      <c r="T4933" s="1" t="s">
        <v>2806</v>
      </c>
      <c r="U4933" s="2" t="s">
        <v>5698</v>
      </c>
      <c r="V4933" s="2" t="s">
        <v>47</v>
      </c>
      <c r="W4933" s="2" t="s">
        <v>48</v>
      </c>
      <c r="X4933" s="2">
        <v>125.61499999999999</v>
      </c>
    </row>
    <row r="4934" spans="1:24" x14ac:dyDescent="0.3">
      <c r="A4934">
        <v>22771</v>
      </c>
      <c r="B4934" t="s">
        <v>10831</v>
      </c>
      <c r="C4934" s="3">
        <v>41902</v>
      </c>
      <c r="D4934" t="s">
        <v>50</v>
      </c>
      <c r="E4934">
        <v>8</v>
      </c>
      <c r="F4934" s="3">
        <f ca="1">41903+(RANDBETWEEN(1,10))</f>
        <v>41908</v>
      </c>
      <c r="G4934" t="s">
        <v>26</v>
      </c>
      <c r="H4934" t="s">
        <v>96</v>
      </c>
      <c r="I4934" t="s">
        <v>52</v>
      </c>
      <c r="J4934">
        <v>154.52500000000001</v>
      </c>
      <c r="K4934">
        <v>0.09</v>
      </c>
      <c r="L4934">
        <v>0.56000000000000005</v>
      </c>
      <c r="M4934">
        <v>7.9450000000000003</v>
      </c>
      <c r="N4934">
        <v>-39.090800000000002</v>
      </c>
      <c r="O4934" s="1" t="s">
        <v>225</v>
      </c>
      <c r="P4934" s="1" t="s">
        <v>10832</v>
      </c>
      <c r="Q4934" s="1" t="s">
        <v>10833</v>
      </c>
      <c r="R4934" s="1" t="s">
        <v>228</v>
      </c>
      <c r="S4934" s="1" t="s">
        <v>2805</v>
      </c>
      <c r="T4934" s="1" t="s">
        <v>2806</v>
      </c>
      <c r="U4934" s="2" t="s">
        <v>212</v>
      </c>
      <c r="V4934" s="2" t="s">
        <v>47</v>
      </c>
      <c r="W4934" s="2" t="s">
        <v>104</v>
      </c>
      <c r="X4934" s="2">
        <v>20.475000000000001</v>
      </c>
    </row>
    <row r="4935" spans="1:24" x14ac:dyDescent="0.3">
      <c r="A4935">
        <v>22772</v>
      </c>
      <c r="B4935" t="s">
        <v>10834</v>
      </c>
      <c r="C4935" s="3">
        <v>41074</v>
      </c>
      <c r="D4935" t="s">
        <v>62</v>
      </c>
      <c r="E4935">
        <v>5</v>
      </c>
      <c r="F4935" s="3">
        <f ca="1">41077+(RANDBETWEEN(1,10))</f>
        <v>41086</v>
      </c>
      <c r="G4935" t="s">
        <v>26</v>
      </c>
      <c r="H4935" t="s">
        <v>96</v>
      </c>
      <c r="I4935" t="s">
        <v>28</v>
      </c>
      <c r="J4935">
        <v>175.84</v>
      </c>
      <c r="K4935">
        <v>0</v>
      </c>
      <c r="L4935">
        <v>0.38</v>
      </c>
      <c r="M4935">
        <v>15.365</v>
      </c>
      <c r="N4935">
        <v>47.628</v>
      </c>
      <c r="O4935" s="1" t="s">
        <v>40</v>
      </c>
      <c r="P4935" s="1" t="s">
        <v>6090</v>
      </c>
      <c r="Q4935" s="1" t="s">
        <v>6091</v>
      </c>
      <c r="R4935" s="1" t="s">
        <v>220</v>
      </c>
      <c r="S4935" s="1" t="s">
        <v>2607</v>
      </c>
      <c r="T4935" s="1" t="s">
        <v>2608</v>
      </c>
      <c r="U4935" s="2" t="s">
        <v>1254</v>
      </c>
      <c r="V4935" s="2" t="s">
        <v>47</v>
      </c>
      <c r="W4935" s="2" t="s">
        <v>74</v>
      </c>
      <c r="X4935" s="2">
        <v>32.445</v>
      </c>
    </row>
    <row r="4936" spans="1:24" x14ac:dyDescent="0.3">
      <c r="A4936">
        <v>22773</v>
      </c>
      <c r="B4936" t="s">
        <v>10834</v>
      </c>
      <c r="C4936" s="3">
        <v>41074</v>
      </c>
      <c r="D4936" t="s">
        <v>62</v>
      </c>
      <c r="E4936">
        <v>2</v>
      </c>
      <c r="F4936" s="3">
        <f ca="1">41075+(RANDBETWEEN(1,10))</f>
        <v>41076</v>
      </c>
      <c r="G4936" t="s">
        <v>26</v>
      </c>
      <c r="H4936" t="s">
        <v>51</v>
      </c>
      <c r="I4936" t="s">
        <v>28</v>
      </c>
      <c r="J4936">
        <v>60.06</v>
      </c>
      <c r="K4936">
        <v>0.02</v>
      </c>
      <c r="L4936">
        <v>0.57999999999999996</v>
      </c>
      <c r="M4936">
        <v>29.295000000000002</v>
      </c>
      <c r="N4936">
        <v>-90.944000000000003</v>
      </c>
      <c r="O4936" s="1" t="s">
        <v>40</v>
      </c>
      <c r="P4936" s="1" t="s">
        <v>6090</v>
      </c>
      <c r="Q4936" s="1" t="s">
        <v>6091</v>
      </c>
      <c r="R4936" s="1" t="s">
        <v>220</v>
      </c>
      <c r="S4936" s="1" t="s">
        <v>2607</v>
      </c>
      <c r="T4936" s="1" t="s">
        <v>2608</v>
      </c>
      <c r="U4936" s="2" t="s">
        <v>3635</v>
      </c>
      <c r="V4936" s="2" t="s">
        <v>47</v>
      </c>
      <c r="W4936" s="2" t="s">
        <v>94</v>
      </c>
      <c r="X4936" s="2">
        <v>23.94</v>
      </c>
    </row>
    <row r="4937" spans="1:24" x14ac:dyDescent="0.3">
      <c r="A4937">
        <v>22774</v>
      </c>
      <c r="B4937" t="s">
        <v>10834</v>
      </c>
      <c r="C4937" s="3">
        <v>41074</v>
      </c>
      <c r="D4937" t="s">
        <v>62</v>
      </c>
      <c r="E4937">
        <v>18</v>
      </c>
      <c r="F4937" s="3">
        <f ca="1">41076+(RANDBETWEEN(1,10))</f>
        <v>41084</v>
      </c>
      <c r="G4937" t="s">
        <v>26</v>
      </c>
      <c r="H4937" t="s">
        <v>51</v>
      </c>
      <c r="I4937" t="s">
        <v>28</v>
      </c>
      <c r="J4937">
        <v>297.29000000000002</v>
      </c>
      <c r="K4937">
        <v>0.09</v>
      </c>
      <c r="L4937">
        <v>0.64</v>
      </c>
      <c r="M4937">
        <v>16.170000000000002</v>
      </c>
      <c r="N4937">
        <v>-484.82</v>
      </c>
      <c r="O4937" s="1" t="s">
        <v>29</v>
      </c>
      <c r="P4937" s="1" t="s">
        <v>10835</v>
      </c>
      <c r="Q4937" s="1" t="s">
        <v>10836</v>
      </c>
      <c r="R4937" s="1" t="s">
        <v>460</v>
      </c>
      <c r="S4937" s="1" t="s">
        <v>3781</v>
      </c>
      <c r="T4937" s="1" t="s">
        <v>10837</v>
      </c>
      <c r="U4937" s="2" t="s">
        <v>505</v>
      </c>
      <c r="V4937" s="2" t="s">
        <v>36</v>
      </c>
      <c r="W4937" s="2" t="s">
        <v>60</v>
      </c>
      <c r="X4937" s="2">
        <v>17.43</v>
      </c>
    </row>
    <row r="4938" spans="1:24" x14ac:dyDescent="0.3">
      <c r="A4938">
        <v>22775</v>
      </c>
      <c r="B4938" t="s">
        <v>10834</v>
      </c>
      <c r="C4938" s="3">
        <v>41074</v>
      </c>
      <c r="D4938" t="s">
        <v>62</v>
      </c>
      <c r="E4938">
        <v>5</v>
      </c>
      <c r="F4938" s="3">
        <f ca="1">41076+(RANDBETWEEN(1,10))</f>
        <v>41080</v>
      </c>
      <c r="G4938" t="s">
        <v>156</v>
      </c>
      <c r="H4938" t="s">
        <v>27</v>
      </c>
      <c r="I4938" t="s">
        <v>28</v>
      </c>
      <c r="J4938">
        <v>590.87</v>
      </c>
      <c r="K4938">
        <v>0.04</v>
      </c>
      <c r="L4938">
        <v>0.75</v>
      </c>
      <c r="M4938">
        <v>19.25</v>
      </c>
      <c r="N4938">
        <v>-333.25599999999997</v>
      </c>
      <c r="O4938" s="1" t="s">
        <v>29</v>
      </c>
      <c r="P4938" s="1" t="s">
        <v>10835</v>
      </c>
      <c r="Q4938" s="1" t="s">
        <v>10836</v>
      </c>
      <c r="R4938" s="1" t="s">
        <v>460</v>
      </c>
      <c r="S4938" s="1" t="s">
        <v>3781</v>
      </c>
      <c r="T4938" s="1" t="s">
        <v>10837</v>
      </c>
      <c r="U4938" s="2" t="s">
        <v>2960</v>
      </c>
      <c r="V4938" s="2" t="s">
        <v>36</v>
      </c>
      <c r="W4938" s="2" t="s">
        <v>60</v>
      </c>
      <c r="X4938" s="2">
        <v>115.43</v>
      </c>
    </row>
    <row r="4939" spans="1:24" x14ac:dyDescent="0.3">
      <c r="A4939">
        <v>22776</v>
      </c>
      <c r="B4939" t="s">
        <v>10838</v>
      </c>
      <c r="C4939" s="3">
        <v>40998</v>
      </c>
      <c r="D4939" t="s">
        <v>25</v>
      </c>
      <c r="E4939">
        <v>9</v>
      </c>
      <c r="F4939" s="3">
        <f ca="1">41007+(RANDBETWEEN(1,10))</f>
        <v>41013</v>
      </c>
      <c r="G4939" t="s">
        <v>76</v>
      </c>
      <c r="H4939" t="s">
        <v>77</v>
      </c>
      <c r="I4939" t="s">
        <v>86</v>
      </c>
      <c r="J4939">
        <v>1614.62</v>
      </c>
      <c r="K4939">
        <v>0.05</v>
      </c>
      <c r="L4939">
        <v>0.56000000000000005</v>
      </c>
      <c r="M4939">
        <v>49.664999999999999</v>
      </c>
      <c r="N4939">
        <v>686.73500000000001</v>
      </c>
      <c r="O4939" s="1" t="s">
        <v>87</v>
      </c>
      <c r="P4939" s="1" t="s">
        <v>4570</v>
      </c>
      <c r="Q4939" s="1" t="s">
        <v>4571</v>
      </c>
      <c r="R4939" s="1" t="s">
        <v>90</v>
      </c>
      <c r="S4939" s="1" t="s">
        <v>4572</v>
      </c>
      <c r="T4939" s="1" t="s">
        <v>1620</v>
      </c>
      <c r="U4939" s="2" t="s">
        <v>3412</v>
      </c>
      <c r="V4939" s="2" t="s">
        <v>83</v>
      </c>
      <c r="W4939" s="2" t="s">
        <v>84</v>
      </c>
      <c r="X4939" s="2">
        <v>178.43</v>
      </c>
    </row>
    <row r="4940" spans="1:24" x14ac:dyDescent="0.3">
      <c r="A4940">
        <v>22777</v>
      </c>
      <c r="B4940" t="s">
        <v>10839</v>
      </c>
      <c r="C4940" s="3">
        <v>40966</v>
      </c>
      <c r="D4940" t="s">
        <v>50</v>
      </c>
      <c r="E4940">
        <v>8</v>
      </c>
      <c r="F4940" s="3">
        <f ca="1">40966+(RANDBETWEEN(1,10))</f>
        <v>40971</v>
      </c>
      <c r="G4940" t="s">
        <v>76</v>
      </c>
      <c r="H4940" t="s">
        <v>77</v>
      </c>
      <c r="I4940" t="s">
        <v>97</v>
      </c>
      <c r="J4940">
        <v>13775.545</v>
      </c>
      <c r="K4940">
        <v>0.06</v>
      </c>
      <c r="L4940">
        <v>0.37</v>
      </c>
      <c r="M4940">
        <v>242.55</v>
      </c>
      <c r="N4940">
        <v>9505.1260500000008</v>
      </c>
      <c r="O4940" s="1" t="s">
        <v>29</v>
      </c>
      <c r="P4940" s="1" t="s">
        <v>9630</v>
      </c>
      <c r="Q4940" s="1" t="s">
        <v>9631</v>
      </c>
      <c r="R4940" s="1" t="s">
        <v>32</v>
      </c>
      <c r="S4940" s="1" t="s">
        <v>9632</v>
      </c>
      <c r="T4940" s="1" t="s">
        <v>9633</v>
      </c>
      <c r="U4940" s="2" t="s">
        <v>5361</v>
      </c>
      <c r="V4940" s="2" t="s">
        <v>36</v>
      </c>
      <c r="W4940" s="2" t="s">
        <v>142</v>
      </c>
      <c r="X4940" s="2">
        <v>1753.395</v>
      </c>
    </row>
    <row r="4941" spans="1:24" x14ac:dyDescent="0.3">
      <c r="A4941">
        <v>22778</v>
      </c>
      <c r="B4941" t="s">
        <v>10840</v>
      </c>
      <c r="C4941" s="3">
        <v>41646</v>
      </c>
      <c r="D4941" t="s">
        <v>25</v>
      </c>
      <c r="E4941">
        <v>9</v>
      </c>
      <c r="F4941" s="3">
        <f ca="1">41650+(RANDBETWEEN(1,10))</f>
        <v>41660</v>
      </c>
      <c r="G4941" t="s">
        <v>26</v>
      </c>
      <c r="H4941" t="s">
        <v>27</v>
      </c>
      <c r="I4941" t="s">
        <v>86</v>
      </c>
      <c r="J4941">
        <v>1817.55</v>
      </c>
      <c r="K4941">
        <v>0.05</v>
      </c>
      <c r="L4941">
        <v>0.57999999999999996</v>
      </c>
      <c r="M4941">
        <v>20.965</v>
      </c>
      <c r="N4941">
        <v>1132.5056400000001</v>
      </c>
      <c r="O4941" s="1" t="s">
        <v>29</v>
      </c>
      <c r="P4941" s="1" t="s">
        <v>9417</v>
      </c>
      <c r="Q4941" s="1" t="s">
        <v>9418</v>
      </c>
      <c r="R4941" s="1" t="s">
        <v>675</v>
      </c>
      <c r="S4941" s="1" t="s">
        <v>7383</v>
      </c>
      <c r="T4941" s="1" t="s">
        <v>9419</v>
      </c>
      <c r="U4941" s="2" t="s">
        <v>326</v>
      </c>
      <c r="V4941" s="2" t="s">
        <v>36</v>
      </c>
      <c r="W4941" s="2" t="s">
        <v>37</v>
      </c>
      <c r="X4941" s="2">
        <v>230.965</v>
      </c>
    </row>
    <row r="4942" spans="1:24" x14ac:dyDescent="0.3">
      <c r="A4942">
        <v>22779</v>
      </c>
      <c r="B4942" t="s">
        <v>10841</v>
      </c>
      <c r="C4942" s="3">
        <v>41930</v>
      </c>
      <c r="D4942" t="s">
        <v>50</v>
      </c>
      <c r="E4942">
        <v>6</v>
      </c>
      <c r="F4942" s="3">
        <f ca="1">41932+(RANDBETWEEN(1,10))</f>
        <v>41941</v>
      </c>
      <c r="G4942" t="s">
        <v>76</v>
      </c>
      <c r="H4942" t="s">
        <v>77</v>
      </c>
      <c r="I4942" t="s">
        <v>52</v>
      </c>
      <c r="J4942">
        <v>10794.14</v>
      </c>
      <c r="K4942">
        <v>0.05</v>
      </c>
      <c r="L4942">
        <v>0.38</v>
      </c>
      <c r="M4942">
        <v>98.49</v>
      </c>
      <c r="N4942">
        <v>5397</v>
      </c>
      <c r="O4942" s="1" t="s">
        <v>225</v>
      </c>
      <c r="P4942" s="1" t="s">
        <v>7377</v>
      </c>
      <c r="Q4942" s="1" t="s">
        <v>7378</v>
      </c>
      <c r="R4942" s="1" t="s">
        <v>228</v>
      </c>
      <c r="S4942" s="1" t="s">
        <v>6861</v>
      </c>
      <c r="T4942" s="1" t="s">
        <v>6862</v>
      </c>
      <c r="U4942" s="2" t="s">
        <v>720</v>
      </c>
      <c r="V4942" s="2" t="s">
        <v>36</v>
      </c>
      <c r="W4942" s="2" t="s">
        <v>142</v>
      </c>
      <c r="X4942" s="2">
        <v>1753.43</v>
      </c>
    </row>
    <row r="4943" spans="1:24" x14ac:dyDescent="0.3">
      <c r="A4943">
        <v>22780</v>
      </c>
      <c r="B4943" t="s">
        <v>10842</v>
      </c>
      <c r="C4943" s="3">
        <v>41397</v>
      </c>
      <c r="D4943" t="s">
        <v>25</v>
      </c>
      <c r="E4943">
        <v>18</v>
      </c>
      <c r="F4943" s="3">
        <f ca="1">41401+(RANDBETWEEN(1,10))</f>
        <v>41408</v>
      </c>
      <c r="G4943" t="s">
        <v>26</v>
      </c>
      <c r="H4943" t="s">
        <v>27</v>
      </c>
      <c r="I4943" t="s">
        <v>97</v>
      </c>
      <c r="J4943">
        <v>1995.7</v>
      </c>
      <c r="K4943">
        <v>0.03</v>
      </c>
      <c r="L4943">
        <v>0.4</v>
      </c>
      <c r="M4943">
        <v>69.965000000000003</v>
      </c>
      <c r="N4943">
        <v>-332.67500000000001</v>
      </c>
      <c r="O4943" s="1" t="s">
        <v>53</v>
      </c>
      <c r="P4943" s="1" t="s">
        <v>10843</v>
      </c>
      <c r="Q4943" s="1" t="s">
        <v>10844</v>
      </c>
      <c r="R4943" s="1" t="s">
        <v>440</v>
      </c>
      <c r="S4943" s="1" t="s">
        <v>10845</v>
      </c>
      <c r="T4943" s="1" t="s">
        <v>10846</v>
      </c>
      <c r="U4943" s="2" t="s">
        <v>8215</v>
      </c>
      <c r="V4943" s="2" t="s">
        <v>47</v>
      </c>
      <c r="W4943" s="2" t="s">
        <v>74</v>
      </c>
      <c r="X4943" s="2">
        <v>108.43</v>
      </c>
    </row>
    <row r="4944" spans="1:24" x14ac:dyDescent="0.3">
      <c r="A4944">
        <v>22781</v>
      </c>
      <c r="B4944" t="s">
        <v>10847</v>
      </c>
      <c r="C4944" s="3">
        <v>41658</v>
      </c>
      <c r="D4944" t="s">
        <v>25</v>
      </c>
      <c r="E4944">
        <v>4</v>
      </c>
      <c r="F4944" s="3">
        <f ca="1">41660+(RANDBETWEEN(1,10))</f>
        <v>41665</v>
      </c>
      <c r="G4944" t="s">
        <v>26</v>
      </c>
      <c r="H4944" t="s">
        <v>96</v>
      </c>
      <c r="I4944" t="s">
        <v>86</v>
      </c>
      <c r="J4944">
        <v>118.02</v>
      </c>
      <c r="K4944">
        <v>0</v>
      </c>
      <c r="L4944">
        <v>0.42</v>
      </c>
      <c r="M4944">
        <v>14</v>
      </c>
      <c r="N4944">
        <v>81.433800000000005</v>
      </c>
      <c r="O4944" s="1" t="s">
        <v>225</v>
      </c>
      <c r="P4944" s="1" t="s">
        <v>1175</v>
      </c>
      <c r="Q4944" s="1" t="s">
        <v>1176</v>
      </c>
      <c r="R4944" s="1" t="s">
        <v>228</v>
      </c>
      <c r="S4944" s="1" t="s">
        <v>1177</v>
      </c>
      <c r="T4944" s="1" t="s">
        <v>1178</v>
      </c>
      <c r="U4944" s="2" t="s">
        <v>2801</v>
      </c>
      <c r="V4944" s="2" t="s">
        <v>83</v>
      </c>
      <c r="W4944" s="2" t="s">
        <v>178</v>
      </c>
      <c r="X4944" s="2">
        <v>26.565000000000001</v>
      </c>
    </row>
    <row r="4945" spans="1:24" x14ac:dyDescent="0.3">
      <c r="A4945">
        <v>22782</v>
      </c>
      <c r="B4945" t="s">
        <v>10848</v>
      </c>
      <c r="C4945" s="3">
        <v>41307</v>
      </c>
      <c r="D4945" t="s">
        <v>62</v>
      </c>
      <c r="E4945">
        <v>8</v>
      </c>
      <c r="F4945" s="3">
        <f ca="1">41309+(RANDBETWEEN(1,10))</f>
        <v>41310</v>
      </c>
      <c r="G4945" t="s">
        <v>26</v>
      </c>
      <c r="H4945" t="s">
        <v>51</v>
      </c>
      <c r="I4945" t="s">
        <v>86</v>
      </c>
      <c r="J4945">
        <v>479.5</v>
      </c>
      <c r="K4945">
        <v>0.1</v>
      </c>
      <c r="L4945">
        <v>0.81</v>
      </c>
      <c r="M4945">
        <v>11.55</v>
      </c>
      <c r="N4945">
        <v>-420.18900000000002</v>
      </c>
      <c r="O4945" s="1" t="s">
        <v>87</v>
      </c>
      <c r="P4945" s="1" t="s">
        <v>10849</v>
      </c>
      <c r="Q4945" s="1" t="s">
        <v>10850</v>
      </c>
      <c r="R4945" s="1" t="s">
        <v>90</v>
      </c>
      <c r="S4945" s="1" t="s">
        <v>10851</v>
      </c>
      <c r="T4945" s="1" t="s">
        <v>10852</v>
      </c>
      <c r="U4945" s="2" t="s">
        <v>2224</v>
      </c>
      <c r="V4945" s="2" t="s">
        <v>36</v>
      </c>
      <c r="W4945" s="2" t="s">
        <v>37</v>
      </c>
      <c r="X4945" s="2">
        <v>73.465000000000003</v>
      </c>
    </row>
    <row r="4946" spans="1:24" x14ac:dyDescent="0.3">
      <c r="A4946">
        <v>22783</v>
      </c>
      <c r="B4946" t="s">
        <v>10848</v>
      </c>
      <c r="C4946" s="3">
        <v>41307</v>
      </c>
      <c r="D4946" t="s">
        <v>62</v>
      </c>
      <c r="E4946">
        <v>4</v>
      </c>
      <c r="F4946" s="3">
        <f ca="1">41309+(RANDBETWEEN(1,10))</f>
        <v>41311</v>
      </c>
      <c r="G4946" t="s">
        <v>26</v>
      </c>
      <c r="H4946" t="s">
        <v>27</v>
      </c>
      <c r="I4946" t="s">
        <v>86</v>
      </c>
      <c r="J4946">
        <v>336.49</v>
      </c>
      <c r="K4946">
        <v>0.09</v>
      </c>
      <c r="L4946">
        <v>0.56000000000000005</v>
      </c>
      <c r="M4946">
        <v>18.795000000000002</v>
      </c>
      <c r="N4946">
        <v>19.46</v>
      </c>
      <c r="O4946" s="1" t="s">
        <v>29</v>
      </c>
      <c r="P4946" s="1" t="s">
        <v>10853</v>
      </c>
      <c r="Q4946" s="1" t="s">
        <v>10854</v>
      </c>
      <c r="R4946" s="1" t="s">
        <v>460</v>
      </c>
      <c r="S4946" s="1" t="s">
        <v>10855</v>
      </c>
      <c r="T4946" s="1" t="s">
        <v>10856</v>
      </c>
      <c r="U4946" s="2" t="s">
        <v>6853</v>
      </c>
      <c r="V4946" s="2" t="s">
        <v>47</v>
      </c>
      <c r="W4946" s="2" t="s">
        <v>104</v>
      </c>
      <c r="X4946" s="2">
        <v>90.965000000000003</v>
      </c>
    </row>
    <row r="4947" spans="1:24" x14ac:dyDescent="0.3">
      <c r="A4947">
        <v>22784</v>
      </c>
      <c r="B4947" t="s">
        <v>10857</v>
      </c>
      <c r="C4947" s="3">
        <v>40755</v>
      </c>
      <c r="D4947" t="s">
        <v>62</v>
      </c>
      <c r="E4947">
        <v>7</v>
      </c>
      <c r="F4947" s="3">
        <f ca="1">40756+(RANDBETWEEN(1,10))</f>
        <v>40764</v>
      </c>
      <c r="G4947" t="s">
        <v>76</v>
      </c>
      <c r="H4947" t="s">
        <v>258</v>
      </c>
      <c r="I4947" t="s">
        <v>28</v>
      </c>
      <c r="J4947">
        <v>391.51</v>
      </c>
      <c r="K4947">
        <v>0.03</v>
      </c>
      <c r="L4947">
        <v>0.76</v>
      </c>
      <c r="M4947">
        <v>97.125</v>
      </c>
      <c r="N4947">
        <v>40.778325000000002</v>
      </c>
      <c r="O4947" s="1" t="s">
        <v>29</v>
      </c>
      <c r="P4947" s="1" t="s">
        <v>10858</v>
      </c>
      <c r="Q4947" s="1" t="s">
        <v>10859</v>
      </c>
      <c r="R4947" s="1" t="s">
        <v>675</v>
      </c>
      <c r="S4947" s="1" t="s">
        <v>1324</v>
      </c>
      <c r="T4947" s="1" t="s">
        <v>1325</v>
      </c>
      <c r="U4947" s="2" t="s">
        <v>365</v>
      </c>
      <c r="V4947" s="2" t="s">
        <v>83</v>
      </c>
      <c r="W4947" s="2" t="s">
        <v>263</v>
      </c>
      <c r="X4947" s="2">
        <v>53.305</v>
      </c>
    </row>
    <row r="4948" spans="1:24" x14ac:dyDescent="0.3">
      <c r="A4948">
        <v>22785</v>
      </c>
      <c r="B4948" t="s">
        <v>10860</v>
      </c>
      <c r="C4948" s="3">
        <v>41572</v>
      </c>
      <c r="D4948" t="s">
        <v>39</v>
      </c>
      <c r="E4948">
        <v>9</v>
      </c>
      <c r="F4948" s="3">
        <f ca="1">41573+(RANDBETWEEN(1,10))</f>
        <v>41574</v>
      </c>
      <c r="G4948" t="s">
        <v>76</v>
      </c>
      <c r="H4948" t="s">
        <v>77</v>
      </c>
      <c r="I4948" t="s">
        <v>86</v>
      </c>
      <c r="J4948">
        <v>2680.6149999999998</v>
      </c>
      <c r="K4948">
        <v>0.1</v>
      </c>
      <c r="L4948">
        <v>0.61</v>
      </c>
      <c r="M4948">
        <v>105</v>
      </c>
      <c r="N4948">
        <v>-716.49900000000002</v>
      </c>
      <c r="O4948" s="1" t="s">
        <v>40</v>
      </c>
      <c r="P4948" s="1" t="s">
        <v>10861</v>
      </c>
      <c r="Q4948" s="1" t="s">
        <v>10862</v>
      </c>
      <c r="R4948" s="1" t="s">
        <v>43</v>
      </c>
      <c r="S4948" s="1" t="s">
        <v>4289</v>
      </c>
      <c r="T4948" s="1" t="s">
        <v>4290</v>
      </c>
      <c r="U4948" s="2" t="s">
        <v>1790</v>
      </c>
      <c r="V4948" s="2" t="s">
        <v>83</v>
      </c>
      <c r="W4948" s="2" t="s">
        <v>84</v>
      </c>
      <c r="X4948" s="2">
        <v>318.43</v>
      </c>
    </row>
    <row r="4949" spans="1:24" x14ac:dyDescent="0.3">
      <c r="A4949">
        <v>22786</v>
      </c>
      <c r="B4949" t="s">
        <v>10860</v>
      </c>
      <c r="C4949" s="3">
        <v>41572</v>
      </c>
      <c r="D4949" t="s">
        <v>39</v>
      </c>
      <c r="E4949">
        <v>13</v>
      </c>
      <c r="F4949" s="3">
        <f ca="1">41573+(RANDBETWEEN(1,10))</f>
        <v>41582</v>
      </c>
      <c r="G4949" t="s">
        <v>26</v>
      </c>
      <c r="H4949" t="s">
        <v>27</v>
      </c>
      <c r="I4949" t="s">
        <v>86</v>
      </c>
      <c r="J4949">
        <v>2563.4</v>
      </c>
      <c r="K4949">
        <v>7.0000000000000007E-2</v>
      </c>
      <c r="L4949">
        <v>0.59</v>
      </c>
      <c r="M4949">
        <v>13.965</v>
      </c>
      <c r="N4949">
        <v>871.34166000000005</v>
      </c>
      <c r="O4949" s="1" t="s">
        <v>29</v>
      </c>
      <c r="P4949" s="1" t="s">
        <v>7699</v>
      </c>
      <c r="Q4949" s="1" t="s">
        <v>7700</v>
      </c>
      <c r="R4949" s="1" t="s">
        <v>32</v>
      </c>
      <c r="S4949" s="1" t="s">
        <v>7701</v>
      </c>
      <c r="T4949" s="1" t="s">
        <v>7702</v>
      </c>
      <c r="U4949" s="2" t="s">
        <v>1991</v>
      </c>
      <c r="V4949" s="2" t="s">
        <v>36</v>
      </c>
      <c r="W4949" s="2" t="s">
        <v>37</v>
      </c>
      <c r="X4949" s="2">
        <v>230.965</v>
      </c>
    </row>
    <row r="4950" spans="1:24" x14ac:dyDescent="0.3">
      <c r="A4950">
        <v>22787</v>
      </c>
      <c r="B4950" t="s">
        <v>10863</v>
      </c>
      <c r="C4950" s="3">
        <v>40553</v>
      </c>
      <c r="D4950" t="s">
        <v>148</v>
      </c>
      <c r="E4950">
        <v>8</v>
      </c>
      <c r="F4950" s="3">
        <f ca="1">40554+(RANDBETWEEN(1,10))</f>
        <v>40558</v>
      </c>
      <c r="G4950" t="s">
        <v>26</v>
      </c>
      <c r="H4950" t="s">
        <v>51</v>
      </c>
      <c r="I4950" t="s">
        <v>52</v>
      </c>
      <c r="J4950">
        <v>153.79</v>
      </c>
      <c r="K4950">
        <v>0</v>
      </c>
      <c r="L4950">
        <v>0.79</v>
      </c>
      <c r="M4950">
        <v>17.989999999999998</v>
      </c>
      <c r="N4950">
        <v>-557.5598</v>
      </c>
      <c r="O4950" s="1" t="s">
        <v>87</v>
      </c>
      <c r="P4950" s="1" t="s">
        <v>8375</v>
      </c>
      <c r="Q4950" s="1" t="s">
        <v>8376</v>
      </c>
      <c r="R4950" s="1" t="s">
        <v>646</v>
      </c>
      <c r="S4950" s="1" t="s">
        <v>8377</v>
      </c>
      <c r="T4950" s="1" t="s">
        <v>8378</v>
      </c>
      <c r="U4950" s="2" t="s">
        <v>1639</v>
      </c>
      <c r="V4950" s="2" t="s">
        <v>36</v>
      </c>
      <c r="W4950" s="2" t="s">
        <v>60</v>
      </c>
      <c r="X4950" s="2">
        <v>17.57</v>
      </c>
    </row>
    <row r="4951" spans="1:24" x14ac:dyDescent="0.3">
      <c r="A4951">
        <v>22788</v>
      </c>
      <c r="B4951" t="s">
        <v>10864</v>
      </c>
      <c r="C4951" s="3">
        <v>40625</v>
      </c>
      <c r="D4951" t="s">
        <v>39</v>
      </c>
      <c r="E4951">
        <v>5</v>
      </c>
      <c r="F4951" s="3">
        <f ca="1">40625+(RANDBETWEEN(1,10))</f>
        <v>40634</v>
      </c>
      <c r="G4951" t="s">
        <v>156</v>
      </c>
      <c r="H4951" t="s">
        <v>96</v>
      </c>
      <c r="I4951" t="s">
        <v>28</v>
      </c>
      <c r="J4951">
        <v>90.474999999999994</v>
      </c>
      <c r="K4951">
        <v>0.05</v>
      </c>
      <c r="L4951">
        <v>0.52</v>
      </c>
      <c r="M4951">
        <v>2.4849999999999999</v>
      </c>
      <c r="N4951">
        <v>62.427750000000003</v>
      </c>
      <c r="O4951" s="1" t="s">
        <v>87</v>
      </c>
      <c r="P4951" s="1" t="s">
        <v>2198</v>
      </c>
      <c r="Q4951" s="1" t="s">
        <v>2199</v>
      </c>
      <c r="R4951" s="1" t="s">
        <v>398</v>
      </c>
      <c r="S4951" s="1" t="s">
        <v>2200</v>
      </c>
      <c r="T4951" s="1" t="s">
        <v>2201</v>
      </c>
      <c r="U4951" s="2" t="s">
        <v>2636</v>
      </c>
      <c r="V4951" s="2" t="s">
        <v>47</v>
      </c>
      <c r="W4951" s="2" t="s">
        <v>104</v>
      </c>
      <c r="X4951" s="2">
        <v>16.940000000000001</v>
      </c>
    </row>
    <row r="4952" spans="1:24" x14ac:dyDescent="0.3">
      <c r="A4952">
        <v>22789</v>
      </c>
      <c r="B4952" t="s">
        <v>10865</v>
      </c>
      <c r="C4952" s="3">
        <v>41721</v>
      </c>
      <c r="D4952" t="s">
        <v>39</v>
      </c>
      <c r="E4952">
        <v>7</v>
      </c>
      <c r="F4952" s="3">
        <f ca="1">41723+(RANDBETWEEN(1,10))</f>
        <v>41732</v>
      </c>
      <c r="G4952" t="s">
        <v>26</v>
      </c>
      <c r="H4952" t="s">
        <v>27</v>
      </c>
      <c r="I4952" t="s">
        <v>28</v>
      </c>
      <c r="J4952">
        <v>380.97500000000002</v>
      </c>
      <c r="K4952">
        <v>0.01</v>
      </c>
      <c r="L4952">
        <v>0.56999999999999995</v>
      </c>
      <c r="M4952">
        <v>26.914999999999999</v>
      </c>
      <c r="N4952">
        <v>-171.39500000000001</v>
      </c>
      <c r="O4952" s="1" t="s">
        <v>87</v>
      </c>
      <c r="P4952" s="1" t="s">
        <v>2198</v>
      </c>
      <c r="Q4952" s="1" t="s">
        <v>2199</v>
      </c>
      <c r="R4952" s="1" t="s">
        <v>398</v>
      </c>
      <c r="S4952" s="1" t="s">
        <v>2200</v>
      </c>
      <c r="T4952" s="1" t="s">
        <v>2201</v>
      </c>
      <c r="U4952" s="2" t="s">
        <v>3304</v>
      </c>
      <c r="V4952" s="2" t="s">
        <v>47</v>
      </c>
      <c r="W4952" s="2" t="s">
        <v>119</v>
      </c>
      <c r="X4952" s="2">
        <v>52.43</v>
      </c>
    </row>
    <row r="4953" spans="1:24" x14ac:dyDescent="0.3">
      <c r="A4953">
        <v>2279</v>
      </c>
      <c r="B4953" t="s">
        <v>10866</v>
      </c>
      <c r="C4953" s="3">
        <v>41556</v>
      </c>
      <c r="D4953" t="s">
        <v>62</v>
      </c>
      <c r="E4953">
        <v>79</v>
      </c>
      <c r="F4953" s="3">
        <f ca="1">41557+(RANDBETWEEN(1,10))</f>
        <v>41567</v>
      </c>
      <c r="G4953" t="s">
        <v>26</v>
      </c>
      <c r="H4953" t="s">
        <v>27</v>
      </c>
      <c r="I4953" t="s">
        <v>86</v>
      </c>
      <c r="J4953">
        <v>1880.27</v>
      </c>
      <c r="K4953">
        <v>0.01</v>
      </c>
      <c r="L4953">
        <v>0.37</v>
      </c>
      <c r="M4953">
        <v>17.989999999999998</v>
      </c>
      <c r="N4953">
        <v>-178.29</v>
      </c>
      <c r="O4953" s="1" t="s">
        <v>87</v>
      </c>
      <c r="P4953" s="1" t="s">
        <v>10867</v>
      </c>
      <c r="Q4953" s="1" t="s">
        <v>10868</v>
      </c>
      <c r="R4953" s="1" t="s">
        <v>398</v>
      </c>
      <c r="S4953" s="1" t="s">
        <v>3179</v>
      </c>
      <c r="T4953" s="1" t="s">
        <v>10869</v>
      </c>
      <c r="U4953" s="2" t="s">
        <v>146</v>
      </c>
      <c r="V4953" s="2" t="s">
        <v>47</v>
      </c>
      <c r="W4953" s="2" t="s">
        <v>74</v>
      </c>
      <c r="X4953" s="2">
        <v>22.68</v>
      </c>
    </row>
    <row r="4954" spans="1:24" x14ac:dyDescent="0.3">
      <c r="A4954">
        <v>22790</v>
      </c>
      <c r="B4954" t="s">
        <v>10870</v>
      </c>
      <c r="C4954" s="3">
        <v>41946</v>
      </c>
      <c r="D4954" t="s">
        <v>50</v>
      </c>
      <c r="E4954">
        <v>5</v>
      </c>
      <c r="F4954" s="3">
        <f ca="1">41948+(RANDBETWEEN(1,10))</f>
        <v>41957</v>
      </c>
      <c r="G4954" t="s">
        <v>26</v>
      </c>
      <c r="H4954" t="s">
        <v>51</v>
      </c>
      <c r="I4954" t="s">
        <v>86</v>
      </c>
      <c r="J4954">
        <v>128.03</v>
      </c>
      <c r="K4954">
        <v>0.06</v>
      </c>
      <c r="L4954">
        <v>0.37</v>
      </c>
      <c r="M4954">
        <v>17.324999999999999</v>
      </c>
      <c r="N4954">
        <v>88.340699999999998</v>
      </c>
      <c r="O4954" s="1" t="s">
        <v>29</v>
      </c>
      <c r="P4954" s="1" t="s">
        <v>10498</v>
      </c>
      <c r="Q4954" s="1" t="s">
        <v>10499</v>
      </c>
      <c r="R4954" s="1" t="s">
        <v>32</v>
      </c>
      <c r="S4954" s="1" t="s">
        <v>7258</v>
      </c>
      <c r="T4954" s="1" t="s">
        <v>7259</v>
      </c>
      <c r="U4954" s="2" t="s">
        <v>790</v>
      </c>
      <c r="V4954" s="2" t="s">
        <v>83</v>
      </c>
      <c r="W4954" s="2" t="s">
        <v>178</v>
      </c>
      <c r="X4954" s="2">
        <v>23.24</v>
      </c>
    </row>
    <row r="4955" spans="1:24" x14ac:dyDescent="0.3">
      <c r="A4955">
        <v>22791</v>
      </c>
      <c r="B4955" t="s">
        <v>10870</v>
      </c>
      <c r="C4955" s="3">
        <v>41946</v>
      </c>
      <c r="D4955" t="s">
        <v>50</v>
      </c>
      <c r="E4955">
        <v>45</v>
      </c>
      <c r="F4955" s="3">
        <f ca="1">41946+(RANDBETWEEN(1,10))</f>
        <v>41953</v>
      </c>
      <c r="G4955" t="s">
        <v>26</v>
      </c>
      <c r="H4955" t="s">
        <v>51</v>
      </c>
      <c r="I4955" t="s">
        <v>86</v>
      </c>
      <c r="J4955">
        <v>744.27499999999998</v>
      </c>
      <c r="K4955">
        <v>0.05</v>
      </c>
      <c r="L4955">
        <v>0.52</v>
      </c>
      <c r="M4955">
        <v>10.675000000000001</v>
      </c>
      <c r="N4955">
        <v>55.31344</v>
      </c>
      <c r="O4955" s="1" t="s">
        <v>29</v>
      </c>
      <c r="P4955" s="1" t="s">
        <v>10498</v>
      </c>
      <c r="Q4955" s="1" t="s">
        <v>10499</v>
      </c>
      <c r="R4955" s="1" t="s">
        <v>32</v>
      </c>
      <c r="S4955" s="1" t="s">
        <v>7258</v>
      </c>
      <c r="T4955" s="1" t="s">
        <v>7259</v>
      </c>
      <c r="U4955" s="2" t="s">
        <v>9086</v>
      </c>
      <c r="V4955" s="2" t="s">
        <v>83</v>
      </c>
      <c r="W4955" s="2" t="s">
        <v>178</v>
      </c>
      <c r="X4955" s="2">
        <v>17.184999999999999</v>
      </c>
    </row>
    <row r="4956" spans="1:24" x14ac:dyDescent="0.3">
      <c r="A4956">
        <v>22792</v>
      </c>
      <c r="B4956" t="s">
        <v>10871</v>
      </c>
      <c r="C4956" s="3">
        <v>41361</v>
      </c>
      <c r="D4956" t="s">
        <v>25</v>
      </c>
      <c r="E4956">
        <v>1</v>
      </c>
      <c r="F4956" s="3">
        <f ca="1">41363+(RANDBETWEEN(1,10))</f>
        <v>41366</v>
      </c>
      <c r="G4956" t="s">
        <v>26</v>
      </c>
      <c r="H4956" t="s">
        <v>51</v>
      </c>
      <c r="I4956" t="s">
        <v>28</v>
      </c>
      <c r="J4956">
        <v>93.38</v>
      </c>
      <c r="K4956">
        <v>0.04</v>
      </c>
      <c r="L4956">
        <v>0.52</v>
      </c>
      <c r="M4956">
        <v>12.705</v>
      </c>
      <c r="N4956">
        <v>-37.590000000000003</v>
      </c>
      <c r="O4956" s="1" t="s">
        <v>87</v>
      </c>
      <c r="P4956" s="1" t="s">
        <v>10622</v>
      </c>
      <c r="Q4956" s="1" t="s">
        <v>10623</v>
      </c>
      <c r="R4956" s="1" t="s">
        <v>646</v>
      </c>
      <c r="S4956" s="1" t="s">
        <v>6024</v>
      </c>
      <c r="T4956" s="1" t="s">
        <v>6025</v>
      </c>
      <c r="U4956" s="2" t="s">
        <v>6058</v>
      </c>
      <c r="V4956" s="2" t="s">
        <v>83</v>
      </c>
      <c r="W4956" s="2" t="s">
        <v>178</v>
      </c>
      <c r="X4956" s="2">
        <v>77.805000000000007</v>
      </c>
    </row>
    <row r="4957" spans="1:24" x14ac:dyDescent="0.3">
      <c r="A4957">
        <v>22793</v>
      </c>
      <c r="B4957" t="s">
        <v>10872</v>
      </c>
      <c r="C4957" s="3">
        <v>41575</v>
      </c>
      <c r="D4957" t="s">
        <v>50</v>
      </c>
      <c r="E4957">
        <v>9</v>
      </c>
      <c r="F4957" s="3">
        <f ca="1">41576+(RANDBETWEEN(1,10))</f>
        <v>41586</v>
      </c>
      <c r="G4957" t="s">
        <v>26</v>
      </c>
      <c r="H4957" t="s">
        <v>27</v>
      </c>
      <c r="I4957" t="s">
        <v>28</v>
      </c>
      <c r="J4957">
        <v>4204.7250000000004</v>
      </c>
      <c r="K4957">
        <v>0.1</v>
      </c>
      <c r="L4957">
        <v>0.56000000000000005</v>
      </c>
      <c r="M4957">
        <v>69.965000000000003</v>
      </c>
      <c r="N4957">
        <v>1128.9964</v>
      </c>
      <c r="O4957" s="1" t="s">
        <v>87</v>
      </c>
      <c r="P4957" s="1" t="s">
        <v>5512</v>
      </c>
      <c r="Q4957" s="1" t="s">
        <v>5513</v>
      </c>
      <c r="R4957" s="1" t="s">
        <v>90</v>
      </c>
      <c r="S4957" s="1" t="s">
        <v>5514</v>
      </c>
      <c r="T4957" s="1" t="s">
        <v>5515</v>
      </c>
      <c r="U4957" s="2" t="s">
        <v>3048</v>
      </c>
      <c r="V4957" s="2" t="s">
        <v>47</v>
      </c>
      <c r="W4957" s="2" t="s">
        <v>119</v>
      </c>
      <c r="X4957" s="2">
        <v>500.01</v>
      </c>
    </row>
    <row r="4958" spans="1:24" x14ac:dyDescent="0.3">
      <c r="A4958">
        <v>22794</v>
      </c>
      <c r="B4958" t="s">
        <v>10872</v>
      </c>
      <c r="C4958" s="3">
        <v>41575</v>
      </c>
      <c r="D4958" t="s">
        <v>50</v>
      </c>
      <c r="E4958">
        <v>10</v>
      </c>
      <c r="F4958" s="3">
        <f ca="1">41576+(RANDBETWEEN(1,10))</f>
        <v>41586</v>
      </c>
      <c r="G4958" t="s">
        <v>26</v>
      </c>
      <c r="H4958" t="s">
        <v>27</v>
      </c>
      <c r="I4958" t="s">
        <v>28</v>
      </c>
      <c r="J4958">
        <v>67.48</v>
      </c>
      <c r="K4958">
        <v>7.0000000000000007E-2</v>
      </c>
      <c r="L4958">
        <v>0.37</v>
      </c>
      <c r="M4958">
        <v>5.2149999999999999</v>
      </c>
      <c r="N4958">
        <v>-38.731769999999997</v>
      </c>
      <c r="O4958" s="1" t="s">
        <v>225</v>
      </c>
      <c r="P4958" s="1" t="s">
        <v>10873</v>
      </c>
      <c r="Q4958" s="1" t="s">
        <v>10874</v>
      </c>
      <c r="R4958" s="1" t="s">
        <v>228</v>
      </c>
      <c r="S4958" s="1" t="s">
        <v>10875</v>
      </c>
      <c r="T4958" s="1" t="s">
        <v>10876</v>
      </c>
      <c r="U4958" s="2" t="s">
        <v>4275</v>
      </c>
      <c r="V4958" s="2" t="s">
        <v>47</v>
      </c>
      <c r="W4958" s="2" t="s">
        <v>111</v>
      </c>
      <c r="X4958" s="2">
        <v>6.58</v>
      </c>
    </row>
    <row r="4959" spans="1:24" x14ac:dyDescent="0.3">
      <c r="A4959">
        <v>22795</v>
      </c>
      <c r="B4959" t="s">
        <v>10872</v>
      </c>
      <c r="C4959" s="3">
        <v>41575</v>
      </c>
      <c r="D4959" t="s">
        <v>50</v>
      </c>
      <c r="E4959">
        <v>17</v>
      </c>
      <c r="F4959" s="3">
        <f ca="1">41577+(RANDBETWEEN(1,10))</f>
        <v>41586</v>
      </c>
      <c r="G4959" t="s">
        <v>26</v>
      </c>
      <c r="H4959" t="s">
        <v>51</v>
      </c>
      <c r="I4959" t="s">
        <v>28</v>
      </c>
      <c r="J4959">
        <v>1299.3399999999999</v>
      </c>
      <c r="K4959">
        <v>0.02</v>
      </c>
      <c r="L4959">
        <v>0.59</v>
      </c>
      <c r="M4959">
        <v>31.465</v>
      </c>
      <c r="N4959">
        <v>-130.75020000000001</v>
      </c>
      <c r="O4959" s="1" t="s">
        <v>225</v>
      </c>
      <c r="P4959" s="1" t="s">
        <v>10873</v>
      </c>
      <c r="Q4959" s="1" t="s">
        <v>10874</v>
      </c>
      <c r="R4959" s="1" t="s">
        <v>228</v>
      </c>
      <c r="S4959" s="1" t="s">
        <v>10875</v>
      </c>
      <c r="T4959" s="1" t="s">
        <v>10876</v>
      </c>
      <c r="U4959" s="2" t="s">
        <v>2789</v>
      </c>
      <c r="V4959" s="2" t="s">
        <v>47</v>
      </c>
      <c r="W4959" s="2" t="s">
        <v>104</v>
      </c>
      <c r="X4959" s="2">
        <v>74.83</v>
      </c>
    </row>
    <row r="4960" spans="1:24" x14ac:dyDescent="0.3">
      <c r="A4960">
        <v>22796</v>
      </c>
      <c r="B4960" t="s">
        <v>10877</v>
      </c>
      <c r="C4960" s="3">
        <v>41675</v>
      </c>
      <c r="D4960" t="s">
        <v>50</v>
      </c>
      <c r="E4960">
        <v>7</v>
      </c>
      <c r="F4960" s="3">
        <f ca="1">41675+(RANDBETWEEN(1,10))</f>
        <v>41683</v>
      </c>
      <c r="G4960" t="s">
        <v>156</v>
      </c>
      <c r="H4960" t="s">
        <v>51</v>
      </c>
      <c r="I4960" t="s">
        <v>86</v>
      </c>
      <c r="J4960">
        <v>1195.5650000000001</v>
      </c>
      <c r="K4960">
        <v>0.02</v>
      </c>
      <c r="L4960">
        <v>0.8</v>
      </c>
      <c r="M4960">
        <v>17.5</v>
      </c>
      <c r="N4960">
        <v>-227.304</v>
      </c>
      <c r="O4960" s="1" t="s">
        <v>64</v>
      </c>
      <c r="P4960" s="1" t="s">
        <v>6517</v>
      </c>
      <c r="Q4960" s="1" t="s">
        <v>6518</v>
      </c>
      <c r="R4960" s="1" t="s">
        <v>128</v>
      </c>
      <c r="S4960" s="1" t="s">
        <v>6519</v>
      </c>
      <c r="T4960" s="1" t="s">
        <v>6520</v>
      </c>
      <c r="U4960" s="2" t="s">
        <v>2876</v>
      </c>
      <c r="V4960" s="2" t="s">
        <v>36</v>
      </c>
      <c r="W4960" s="2" t="s">
        <v>37</v>
      </c>
      <c r="X4960" s="2">
        <v>195.965</v>
      </c>
    </row>
    <row r="4961" spans="1:24" x14ac:dyDescent="0.3">
      <c r="A4961">
        <v>22797</v>
      </c>
      <c r="B4961" t="s">
        <v>10878</v>
      </c>
      <c r="C4961" s="3">
        <v>41758</v>
      </c>
      <c r="D4961" t="s">
        <v>39</v>
      </c>
      <c r="E4961">
        <v>10</v>
      </c>
      <c r="F4961" s="3">
        <f ca="1">41760+(RANDBETWEEN(1,10))</f>
        <v>41768</v>
      </c>
      <c r="G4961" t="s">
        <v>26</v>
      </c>
      <c r="H4961" t="s">
        <v>27</v>
      </c>
      <c r="I4961" t="s">
        <v>52</v>
      </c>
      <c r="J4961">
        <v>1922.375</v>
      </c>
      <c r="K4961">
        <v>0.04</v>
      </c>
      <c r="L4961">
        <v>0.55000000000000004</v>
      </c>
      <c r="M4961">
        <v>8.75</v>
      </c>
      <c r="N4961">
        <v>1326.43875</v>
      </c>
      <c r="O4961" s="1" t="s">
        <v>225</v>
      </c>
      <c r="P4961" s="1" t="s">
        <v>8818</v>
      </c>
      <c r="Q4961" s="1" t="s">
        <v>8819</v>
      </c>
      <c r="R4961" s="1" t="s">
        <v>228</v>
      </c>
      <c r="S4961" s="1" t="s">
        <v>472</v>
      </c>
      <c r="T4961" s="1" t="s">
        <v>473</v>
      </c>
      <c r="U4961" s="2">
        <v>6190</v>
      </c>
      <c r="V4961" s="2" t="s">
        <v>36</v>
      </c>
      <c r="W4961" s="2" t="s">
        <v>37</v>
      </c>
      <c r="X4961" s="2">
        <v>230.965</v>
      </c>
    </row>
    <row r="4962" spans="1:24" x14ac:dyDescent="0.3">
      <c r="A4962">
        <v>22798</v>
      </c>
      <c r="B4962" t="s">
        <v>10879</v>
      </c>
      <c r="C4962" s="3">
        <v>40748</v>
      </c>
      <c r="D4962" t="s">
        <v>25</v>
      </c>
      <c r="E4962">
        <v>9</v>
      </c>
      <c r="F4962" s="3">
        <f ca="1">40752+(RANDBETWEEN(1,10))</f>
        <v>40757</v>
      </c>
      <c r="G4962" t="s">
        <v>26</v>
      </c>
      <c r="H4962" t="s">
        <v>27</v>
      </c>
      <c r="I4962" t="s">
        <v>28</v>
      </c>
      <c r="J4962">
        <v>3127.355</v>
      </c>
      <c r="K4962">
        <v>0.05</v>
      </c>
      <c r="L4962">
        <v>0.56999999999999995</v>
      </c>
      <c r="M4962">
        <v>18.41</v>
      </c>
      <c r="N4962">
        <v>2157.8749499999999</v>
      </c>
      <c r="O4962" s="1" t="s">
        <v>29</v>
      </c>
      <c r="P4962" s="1" t="s">
        <v>7436</v>
      </c>
      <c r="Q4962" s="1" t="s">
        <v>7437</v>
      </c>
      <c r="R4962" s="1" t="s">
        <v>675</v>
      </c>
      <c r="S4962" s="1" t="s">
        <v>7438</v>
      </c>
      <c r="T4962" s="1" t="s">
        <v>7439</v>
      </c>
      <c r="U4962" s="2">
        <v>636</v>
      </c>
      <c r="V4962" s="2" t="s">
        <v>36</v>
      </c>
      <c r="W4962" s="2" t="s">
        <v>37</v>
      </c>
      <c r="X4962" s="2">
        <v>405.96499999999997</v>
      </c>
    </row>
    <row r="4963" spans="1:24" x14ac:dyDescent="0.3">
      <c r="A4963">
        <v>22799</v>
      </c>
      <c r="B4963" t="s">
        <v>10880</v>
      </c>
      <c r="C4963" s="3">
        <v>41518</v>
      </c>
      <c r="D4963" t="s">
        <v>62</v>
      </c>
      <c r="E4963">
        <v>6</v>
      </c>
      <c r="F4963" s="3">
        <f ca="1">41520+(RANDBETWEEN(1,10))</f>
        <v>41530</v>
      </c>
      <c r="G4963" t="s">
        <v>26</v>
      </c>
      <c r="H4963" t="s">
        <v>281</v>
      </c>
      <c r="I4963" t="s">
        <v>86</v>
      </c>
      <c r="J4963">
        <v>510.125</v>
      </c>
      <c r="K4963">
        <v>0.1</v>
      </c>
      <c r="L4963">
        <v>0.56000000000000005</v>
      </c>
      <c r="M4963">
        <v>30.065000000000001</v>
      </c>
      <c r="N4963">
        <v>26.733000000000001</v>
      </c>
      <c r="O4963" s="1" t="s">
        <v>53</v>
      </c>
      <c r="P4963" s="1" t="s">
        <v>6131</v>
      </c>
      <c r="Q4963" s="1" t="s">
        <v>6132</v>
      </c>
      <c r="R4963" s="1" t="s">
        <v>56</v>
      </c>
      <c r="S4963" s="1" t="s">
        <v>57</v>
      </c>
      <c r="T4963" s="1" t="s">
        <v>6133</v>
      </c>
      <c r="U4963" s="2" t="s">
        <v>5362</v>
      </c>
      <c r="V4963" s="2" t="s">
        <v>36</v>
      </c>
      <c r="W4963" s="2" t="s">
        <v>37</v>
      </c>
      <c r="X4963" s="2">
        <v>101.465</v>
      </c>
    </row>
    <row r="4964" spans="1:24" x14ac:dyDescent="0.3">
      <c r="A4964">
        <v>2280</v>
      </c>
      <c r="B4964" t="s">
        <v>10866</v>
      </c>
      <c r="C4964" s="3">
        <v>41556</v>
      </c>
      <c r="D4964" t="s">
        <v>62</v>
      </c>
      <c r="E4964">
        <v>32</v>
      </c>
      <c r="F4964" s="3">
        <f ca="1">41558+(RANDBETWEEN(1,10))</f>
        <v>41566</v>
      </c>
      <c r="G4964" t="s">
        <v>26</v>
      </c>
      <c r="H4964" t="s">
        <v>51</v>
      </c>
      <c r="I4964" t="s">
        <v>86</v>
      </c>
      <c r="J4964">
        <v>1200.5</v>
      </c>
      <c r="K4964">
        <v>0.02</v>
      </c>
      <c r="L4964">
        <v>0.59</v>
      </c>
      <c r="M4964">
        <v>16.38</v>
      </c>
      <c r="N4964">
        <v>-85.721999999999994</v>
      </c>
      <c r="O4964" s="1" t="s">
        <v>87</v>
      </c>
      <c r="P4964" s="1" t="s">
        <v>10867</v>
      </c>
      <c r="Q4964" s="1" t="s">
        <v>10868</v>
      </c>
      <c r="R4964" s="1" t="s">
        <v>398</v>
      </c>
      <c r="S4964" s="1" t="s">
        <v>3179</v>
      </c>
      <c r="T4964" s="1" t="s">
        <v>10869</v>
      </c>
      <c r="U4964" s="2" t="s">
        <v>3567</v>
      </c>
      <c r="V4964" s="2" t="s">
        <v>47</v>
      </c>
      <c r="W4964" s="2" t="s">
        <v>94</v>
      </c>
      <c r="X4964" s="2">
        <v>35.805</v>
      </c>
    </row>
    <row r="4965" spans="1:24" x14ac:dyDescent="0.3">
      <c r="A4965">
        <v>22800</v>
      </c>
      <c r="B4965" t="s">
        <v>10881</v>
      </c>
      <c r="C4965" s="3">
        <v>41677</v>
      </c>
      <c r="D4965" t="s">
        <v>39</v>
      </c>
      <c r="E4965">
        <v>11</v>
      </c>
      <c r="F4965" s="3">
        <f ca="1">41679+(RANDBETWEEN(1,10))</f>
        <v>41684</v>
      </c>
      <c r="G4965" t="s">
        <v>26</v>
      </c>
      <c r="H4965" t="s">
        <v>27</v>
      </c>
      <c r="I4965" t="s">
        <v>86</v>
      </c>
      <c r="J4965">
        <v>256.62</v>
      </c>
      <c r="K4965">
        <v>0.06</v>
      </c>
      <c r="L4965">
        <v>0.35</v>
      </c>
      <c r="M4965">
        <v>10.465</v>
      </c>
      <c r="N4965">
        <v>135.60050000000001</v>
      </c>
      <c r="O4965" s="1" t="s">
        <v>29</v>
      </c>
      <c r="P4965" s="1" t="s">
        <v>10796</v>
      </c>
      <c r="Q4965" s="1" t="s">
        <v>10797</v>
      </c>
      <c r="R4965" s="1" t="s">
        <v>460</v>
      </c>
      <c r="S4965" s="1" t="s">
        <v>10798</v>
      </c>
      <c r="T4965" s="1" t="s">
        <v>10799</v>
      </c>
      <c r="U4965" s="2" t="s">
        <v>4681</v>
      </c>
      <c r="V4965" s="2" t="s">
        <v>47</v>
      </c>
      <c r="W4965" s="2" t="s">
        <v>111</v>
      </c>
      <c r="X4965" s="2">
        <v>23.625</v>
      </c>
    </row>
    <row r="4966" spans="1:24" x14ac:dyDescent="0.3">
      <c r="A4966">
        <v>22801</v>
      </c>
      <c r="B4966" t="s">
        <v>10882</v>
      </c>
      <c r="C4966" s="3">
        <v>41872</v>
      </c>
      <c r="D4966" t="s">
        <v>62</v>
      </c>
      <c r="E4966">
        <v>17</v>
      </c>
      <c r="F4966" s="3">
        <f ca="1">41873+(RANDBETWEEN(1,10))</f>
        <v>41877</v>
      </c>
      <c r="G4966" t="s">
        <v>26</v>
      </c>
      <c r="H4966" t="s">
        <v>27</v>
      </c>
      <c r="I4966" t="s">
        <v>86</v>
      </c>
      <c r="J4966">
        <v>246.64500000000001</v>
      </c>
      <c r="K4966">
        <v>0.06</v>
      </c>
      <c r="L4966">
        <v>0.39</v>
      </c>
      <c r="M4966">
        <v>3.4649999999999999</v>
      </c>
      <c r="N4966">
        <v>170.18504999999999</v>
      </c>
      <c r="O4966" s="1" t="s">
        <v>87</v>
      </c>
      <c r="P4966" s="1" t="s">
        <v>5916</v>
      </c>
      <c r="Q4966" s="1" t="s">
        <v>5917</v>
      </c>
      <c r="R4966" s="1" t="s">
        <v>90</v>
      </c>
      <c r="S4966" s="1" t="s">
        <v>5918</v>
      </c>
      <c r="T4966" s="1" t="s">
        <v>5919</v>
      </c>
      <c r="U4966" s="2" t="s">
        <v>2720</v>
      </c>
      <c r="V4966" s="2" t="s">
        <v>47</v>
      </c>
      <c r="W4966" s="2" t="s">
        <v>203</v>
      </c>
      <c r="X4966" s="2">
        <v>14.455</v>
      </c>
    </row>
    <row r="4967" spans="1:24" x14ac:dyDescent="0.3">
      <c r="A4967">
        <v>22802</v>
      </c>
      <c r="B4967" t="s">
        <v>10883</v>
      </c>
      <c r="C4967" s="3">
        <v>41526</v>
      </c>
      <c r="D4967" t="s">
        <v>50</v>
      </c>
      <c r="E4967">
        <v>13</v>
      </c>
      <c r="F4967" s="3">
        <f ca="1">41527+(RANDBETWEEN(1,10))</f>
        <v>41530</v>
      </c>
      <c r="G4967" t="s">
        <v>26</v>
      </c>
      <c r="H4967" t="s">
        <v>27</v>
      </c>
      <c r="I4967" t="s">
        <v>28</v>
      </c>
      <c r="J4967">
        <v>7169.9949999999999</v>
      </c>
      <c r="K4967">
        <v>0.1</v>
      </c>
      <c r="L4967">
        <v>0.56000000000000005</v>
      </c>
      <c r="M4967">
        <v>31.465</v>
      </c>
      <c r="N4967">
        <v>1755.4005</v>
      </c>
      <c r="O4967" s="1" t="s">
        <v>64</v>
      </c>
      <c r="P4967" s="1" t="s">
        <v>10884</v>
      </c>
      <c r="Q4967" s="1" t="s">
        <v>10885</v>
      </c>
      <c r="R4967" s="1" t="s">
        <v>67</v>
      </c>
      <c r="S4967" s="1" t="s">
        <v>639</v>
      </c>
      <c r="T4967" s="1" t="s">
        <v>640</v>
      </c>
      <c r="U4967" s="2" t="s">
        <v>4735</v>
      </c>
      <c r="V4967" s="2" t="s">
        <v>36</v>
      </c>
      <c r="W4967" s="2" t="s">
        <v>37</v>
      </c>
      <c r="X4967" s="2">
        <v>720.96500000000003</v>
      </c>
    </row>
    <row r="4968" spans="1:24" x14ac:dyDescent="0.3">
      <c r="A4968">
        <v>22803</v>
      </c>
      <c r="B4968" t="s">
        <v>10886</v>
      </c>
      <c r="C4968" s="3">
        <v>41866</v>
      </c>
      <c r="D4968" t="s">
        <v>39</v>
      </c>
      <c r="E4968">
        <v>7</v>
      </c>
      <c r="F4968" s="3">
        <f ca="1">41869+(RANDBETWEEN(1,10))</f>
        <v>41874</v>
      </c>
      <c r="G4968" t="s">
        <v>26</v>
      </c>
      <c r="H4968" t="s">
        <v>27</v>
      </c>
      <c r="I4968" t="s">
        <v>28</v>
      </c>
      <c r="J4968">
        <v>64.855000000000004</v>
      </c>
      <c r="K4968">
        <v>0.02</v>
      </c>
      <c r="L4968">
        <v>0.39</v>
      </c>
      <c r="M4968">
        <v>1.75</v>
      </c>
      <c r="N4968">
        <v>44.749949999999998</v>
      </c>
      <c r="O4968" s="1" t="s">
        <v>87</v>
      </c>
      <c r="P4968" s="1" t="s">
        <v>10887</v>
      </c>
      <c r="Q4968" s="1" t="s">
        <v>10888</v>
      </c>
      <c r="R4968" s="1" t="s">
        <v>646</v>
      </c>
      <c r="S4968" s="1" t="s">
        <v>2697</v>
      </c>
      <c r="T4968" s="1" t="s">
        <v>2698</v>
      </c>
      <c r="U4968" s="2" t="s">
        <v>1726</v>
      </c>
      <c r="V4968" s="2" t="s">
        <v>47</v>
      </c>
      <c r="W4968" s="2" t="s">
        <v>203</v>
      </c>
      <c r="X4968" s="2">
        <v>9.1349999999999998</v>
      </c>
    </row>
    <row r="4969" spans="1:24" x14ac:dyDescent="0.3">
      <c r="A4969">
        <v>22804</v>
      </c>
      <c r="B4969" t="s">
        <v>10889</v>
      </c>
      <c r="C4969" s="3">
        <v>40770</v>
      </c>
      <c r="D4969" t="s">
        <v>39</v>
      </c>
      <c r="E4969">
        <v>12</v>
      </c>
      <c r="F4969" s="3">
        <f ca="1">40771+(RANDBETWEEN(1,10))</f>
        <v>40776</v>
      </c>
      <c r="G4969" t="s">
        <v>26</v>
      </c>
      <c r="H4969" t="s">
        <v>27</v>
      </c>
      <c r="I4969" t="s">
        <v>28</v>
      </c>
      <c r="J4969">
        <v>279.08999999999997</v>
      </c>
      <c r="K4969">
        <v>0.1</v>
      </c>
      <c r="L4969">
        <v>0.38</v>
      </c>
      <c r="M4969">
        <v>1.7150000000000001</v>
      </c>
      <c r="N4969">
        <v>192.57210000000001</v>
      </c>
      <c r="O4969" s="1" t="s">
        <v>87</v>
      </c>
      <c r="P4969" s="1" t="s">
        <v>10887</v>
      </c>
      <c r="Q4969" s="1" t="s">
        <v>10888</v>
      </c>
      <c r="R4969" s="1" t="s">
        <v>646</v>
      </c>
      <c r="S4969" s="1" t="s">
        <v>2697</v>
      </c>
      <c r="T4969" s="1" t="s">
        <v>2698</v>
      </c>
      <c r="U4969" s="2" t="s">
        <v>1897</v>
      </c>
      <c r="V4969" s="2" t="s">
        <v>47</v>
      </c>
      <c r="W4969" s="2" t="s">
        <v>203</v>
      </c>
      <c r="X4969" s="2">
        <v>25.585000000000001</v>
      </c>
    </row>
    <row r="4970" spans="1:24" x14ac:dyDescent="0.3">
      <c r="A4970">
        <v>22805</v>
      </c>
      <c r="B4970" t="s">
        <v>10889</v>
      </c>
      <c r="C4970" s="3">
        <v>40770</v>
      </c>
      <c r="D4970" t="s">
        <v>39</v>
      </c>
      <c r="E4970">
        <v>23</v>
      </c>
      <c r="F4970" s="3">
        <f ca="1">40771+(RANDBETWEEN(1,10))</f>
        <v>40773</v>
      </c>
      <c r="G4970" t="s">
        <v>26</v>
      </c>
      <c r="H4970" t="s">
        <v>96</v>
      </c>
      <c r="I4970" t="s">
        <v>28</v>
      </c>
      <c r="J4970">
        <v>1373.575</v>
      </c>
      <c r="K4970">
        <v>0.1</v>
      </c>
      <c r="L4970">
        <v>0.81</v>
      </c>
      <c r="M4970">
        <v>8.75</v>
      </c>
      <c r="N4970">
        <v>-152.79264000000001</v>
      </c>
      <c r="O4970" s="1" t="s">
        <v>87</v>
      </c>
      <c r="P4970" s="1" t="s">
        <v>10887</v>
      </c>
      <c r="Q4970" s="1" t="s">
        <v>10888</v>
      </c>
      <c r="R4970" s="1" t="s">
        <v>646</v>
      </c>
      <c r="S4970" s="1" t="s">
        <v>2697</v>
      </c>
      <c r="T4970" s="1" t="s">
        <v>2698</v>
      </c>
      <c r="U4970" s="2" t="s">
        <v>1282</v>
      </c>
      <c r="V4970" s="2" t="s">
        <v>36</v>
      </c>
      <c r="W4970" s="2" t="s">
        <v>37</v>
      </c>
      <c r="X4970" s="2">
        <v>73.465000000000003</v>
      </c>
    </row>
    <row r="4971" spans="1:24" x14ac:dyDescent="0.3">
      <c r="A4971">
        <v>22806</v>
      </c>
      <c r="B4971" t="s">
        <v>10890</v>
      </c>
      <c r="C4971" s="3">
        <v>41580</v>
      </c>
      <c r="D4971" t="s">
        <v>50</v>
      </c>
      <c r="E4971">
        <v>18</v>
      </c>
      <c r="F4971" s="3">
        <f ca="1">41582+(RANDBETWEEN(1,10))</f>
        <v>41591</v>
      </c>
      <c r="G4971" t="s">
        <v>26</v>
      </c>
      <c r="H4971" t="s">
        <v>51</v>
      </c>
      <c r="I4971" t="s">
        <v>28</v>
      </c>
      <c r="J4971">
        <v>879.79499999999996</v>
      </c>
      <c r="K4971">
        <v>7.0000000000000007E-2</v>
      </c>
      <c r="L4971">
        <v>0.49</v>
      </c>
      <c r="M4971">
        <v>6.9649999999999999</v>
      </c>
      <c r="N4971">
        <v>343.11200000000002</v>
      </c>
      <c r="O4971" s="1" t="s">
        <v>29</v>
      </c>
      <c r="P4971" s="1" t="s">
        <v>10073</v>
      </c>
      <c r="Q4971" s="1" t="s">
        <v>10074</v>
      </c>
      <c r="R4971" s="1" t="s">
        <v>675</v>
      </c>
      <c r="S4971" s="1" t="s">
        <v>10075</v>
      </c>
      <c r="T4971" s="1" t="s">
        <v>10076</v>
      </c>
      <c r="U4971" s="2" t="s">
        <v>1903</v>
      </c>
      <c r="V4971" s="2" t="s">
        <v>36</v>
      </c>
      <c r="W4971" s="2" t="s">
        <v>60</v>
      </c>
      <c r="X4971" s="2">
        <v>50.68</v>
      </c>
    </row>
    <row r="4972" spans="1:24" x14ac:dyDescent="0.3">
      <c r="A4972">
        <v>22807</v>
      </c>
      <c r="B4972" t="s">
        <v>10891</v>
      </c>
      <c r="C4972" s="3">
        <v>41520</v>
      </c>
      <c r="D4972" t="s">
        <v>39</v>
      </c>
      <c r="E4972">
        <v>1</v>
      </c>
      <c r="F4972" s="3">
        <f ca="1">41520+(RANDBETWEEN(1,10))</f>
        <v>41530</v>
      </c>
      <c r="G4972" t="s">
        <v>156</v>
      </c>
      <c r="H4972" t="s">
        <v>27</v>
      </c>
      <c r="I4972" t="s">
        <v>28</v>
      </c>
      <c r="J4972">
        <v>47.25</v>
      </c>
      <c r="K4972">
        <v>0.02</v>
      </c>
      <c r="L4972">
        <v>0.36</v>
      </c>
      <c r="M4972">
        <v>28.315000000000001</v>
      </c>
      <c r="N4972">
        <v>-381.85700000000003</v>
      </c>
      <c r="O4972" s="1" t="s">
        <v>40</v>
      </c>
      <c r="P4972" s="1" t="s">
        <v>10892</v>
      </c>
      <c r="Q4972" s="1" t="s">
        <v>10893</v>
      </c>
      <c r="R4972" s="1" t="s">
        <v>43</v>
      </c>
      <c r="S4972" s="1" t="s">
        <v>10894</v>
      </c>
      <c r="T4972" s="1" t="s">
        <v>10895</v>
      </c>
      <c r="U4972" s="2" t="s">
        <v>1749</v>
      </c>
      <c r="V4972" s="2" t="s">
        <v>47</v>
      </c>
      <c r="W4972" s="2" t="s">
        <v>74</v>
      </c>
      <c r="X4972" s="2">
        <v>20.23</v>
      </c>
    </row>
    <row r="4973" spans="1:24" x14ac:dyDescent="0.3">
      <c r="A4973">
        <v>22808</v>
      </c>
      <c r="B4973" t="s">
        <v>10896</v>
      </c>
      <c r="C4973" s="3">
        <v>41929</v>
      </c>
      <c r="D4973" t="s">
        <v>62</v>
      </c>
      <c r="E4973">
        <v>16</v>
      </c>
      <c r="F4973" s="3">
        <f ca="1">41931+(RANDBETWEEN(1,10))</f>
        <v>41935</v>
      </c>
      <c r="G4973" t="s">
        <v>26</v>
      </c>
      <c r="H4973" t="s">
        <v>51</v>
      </c>
      <c r="I4973" t="s">
        <v>97</v>
      </c>
      <c r="J4973">
        <v>607.56500000000005</v>
      </c>
      <c r="K4973">
        <v>0.05</v>
      </c>
      <c r="L4973">
        <v>0.52</v>
      </c>
      <c r="M4973">
        <v>27.79</v>
      </c>
      <c r="N4973">
        <v>-314.64999999999998</v>
      </c>
      <c r="O4973" s="1" t="s">
        <v>225</v>
      </c>
      <c r="P4973" s="1" t="s">
        <v>545</v>
      </c>
      <c r="Q4973" s="1" t="s">
        <v>546</v>
      </c>
      <c r="R4973" s="1" t="s">
        <v>228</v>
      </c>
      <c r="S4973" s="1" t="s">
        <v>547</v>
      </c>
      <c r="T4973" s="1" t="s">
        <v>548</v>
      </c>
      <c r="U4973" s="2" t="s">
        <v>7715</v>
      </c>
      <c r="V4973" s="2" t="s">
        <v>83</v>
      </c>
      <c r="W4973" s="2" t="s">
        <v>178</v>
      </c>
      <c r="X4973" s="2">
        <v>36.82</v>
      </c>
    </row>
    <row r="4974" spans="1:24" x14ac:dyDescent="0.3">
      <c r="A4974">
        <v>22809</v>
      </c>
      <c r="B4974" t="s">
        <v>10897</v>
      </c>
      <c r="C4974" s="3">
        <v>41145</v>
      </c>
      <c r="D4974" t="s">
        <v>39</v>
      </c>
      <c r="E4974">
        <v>22</v>
      </c>
      <c r="F4974" s="3">
        <f ca="1">41147+(RANDBETWEEN(1,10))</f>
        <v>41149</v>
      </c>
      <c r="G4974" t="s">
        <v>26</v>
      </c>
      <c r="H4974" t="s">
        <v>96</v>
      </c>
      <c r="I4974" t="s">
        <v>28</v>
      </c>
      <c r="J4974">
        <v>1131.655</v>
      </c>
      <c r="K4974">
        <v>0.04</v>
      </c>
      <c r="L4974">
        <v>0.46</v>
      </c>
      <c r="M4974">
        <v>18.55</v>
      </c>
      <c r="N4974">
        <v>780.84195</v>
      </c>
      <c r="O4974" s="1" t="s">
        <v>40</v>
      </c>
      <c r="P4974" s="1" t="s">
        <v>5506</v>
      </c>
      <c r="Q4974" s="1" t="s">
        <v>5507</v>
      </c>
      <c r="R4974" s="1" t="s">
        <v>220</v>
      </c>
      <c r="S4974" s="1" t="s">
        <v>5508</v>
      </c>
      <c r="T4974" s="1" t="s">
        <v>5509</v>
      </c>
      <c r="U4974" s="2" t="s">
        <v>2729</v>
      </c>
      <c r="V4974" s="2" t="s">
        <v>83</v>
      </c>
      <c r="W4974" s="2" t="s">
        <v>178</v>
      </c>
      <c r="X4974" s="2">
        <v>49.7</v>
      </c>
    </row>
    <row r="4975" spans="1:24" x14ac:dyDescent="0.3">
      <c r="A4975">
        <v>22810</v>
      </c>
      <c r="B4975" t="s">
        <v>10897</v>
      </c>
      <c r="C4975" s="3">
        <v>41145</v>
      </c>
      <c r="D4975" t="s">
        <v>39</v>
      </c>
      <c r="E4975">
        <v>13</v>
      </c>
      <c r="F4975" s="3">
        <f ca="1">41147+(RANDBETWEEN(1,10))</f>
        <v>41149</v>
      </c>
      <c r="G4975" t="s">
        <v>26</v>
      </c>
      <c r="H4975" t="s">
        <v>27</v>
      </c>
      <c r="I4975" t="s">
        <v>28</v>
      </c>
      <c r="J4975">
        <v>1634.43</v>
      </c>
      <c r="K4975">
        <v>0.03</v>
      </c>
      <c r="L4975">
        <v>0.38</v>
      </c>
      <c r="M4975">
        <v>17.22</v>
      </c>
      <c r="N4975">
        <v>1127.7566999999999</v>
      </c>
      <c r="O4975" s="1" t="s">
        <v>40</v>
      </c>
      <c r="P4975" s="1" t="s">
        <v>5506</v>
      </c>
      <c r="Q4975" s="1" t="s">
        <v>5507</v>
      </c>
      <c r="R4975" s="1" t="s">
        <v>220</v>
      </c>
      <c r="S4975" s="1" t="s">
        <v>5508</v>
      </c>
      <c r="T4975" s="1" t="s">
        <v>5509</v>
      </c>
      <c r="U4975" s="2" t="s">
        <v>6817</v>
      </c>
      <c r="V4975" s="2" t="s">
        <v>47</v>
      </c>
      <c r="W4975" s="2" t="s">
        <v>74</v>
      </c>
      <c r="X4975" s="2">
        <v>124.04</v>
      </c>
    </row>
    <row r="4976" spans="1:24" x14ac:dyDescent="0.3">
      <c r="A4976">
        <v>22811</v>
      </c>
      <c r="B4976" t="s">
        <v>10898</v>
      </c>
      <c r="C4976" s="3">
        <v>41683</v>
      </c>
      <c r="D4976" t="s">
        <v>50</v>
      </c>
      <c r="E4976">
        <v>4</v>
      </c>
      <c r="F4976" s="3">
        <f ca="1">41686+(RANDBETWEEN(1,10))</f>
        <v>41694</v>
      </c>
      <c r="G4976" t="s">
        <v>26</v>
      </c>
      <c r="H4976" t="s">
        <v>96</v>
      </c>
      <c r="I4976" t="s">
        <v>86</v>
      </c>
      <c r="J4976">
        <v>127.4</v>
      </c>
      <c r="K4976">
        <v>0.1</v>
      </c>
      <c r="L4976">
        <v>0.43</v>
      </c>
      <c r="M4976">
        <v>3.8149999999999999</v>
      </c>
      <c r="N4976">
        <v>87.906000000000006</v>
      </c>
      <c r="O4976" s="1" t="s">
        <v>87</v>
      </c>
      <c r="P4976" s="1" t="s">
        <v>8201</v>
      </c>
      <c r="Q4976" s="1" t="s">
        <v>8202</v>
      </c>
      <c r="R4976" s="1" t="s">
        <v>398</v>
      </c>
      <c r="S4976" s="1" t="s">
        <v>8203</v>
      </c>
      <c r="T4976" s="1" t="s">
        <v>8204</v>
      </c>
      <c r="U4976" s="2" t="s">
        <v>1067</v>
      </c>
      <c r="V4976" s="2" t="s">
        <v>47</v>
      </c>
      <c r="W4976" s="2" t="s">
        <v>104</v>
      </c>
      <c r="X4976" s="2">
        <v>34.755000000000003</v>
      </c>
    </row>
    <row r="4977" spans="1:24" x14ac:dyDescent="0.3">
      <c r="A4977">
        <v>22812</v>
      </c>
      <c r="B4977" t="s">
        <v>10899</v>
      </c>
      <c r="C4977" s="3">
        <v>41408</v>
      </c>
      <c r="D4977" t="s">
        <v>39</v>
      </c>
      <c r="E4977">
        <v>2</v>
      </c>
      <c r="F4977" s="3">
        <f ca="1">41409+(RANDBETWEEN(1,10))</f>
        <v>41415</v>
      </c>
      <c r="G4977" t="s">
        <v>26</v>
      </c>
      <c r="H4977" t="s">
        <v>27</v>
      </c>
      <c r="I4977" t="s">
        <v>97</v>
      </c>
      <c r="J4977">
        <v>41.58</v>
      </c>
      <c r="K4977">
        <v>0.02</v>
      </c>
      <c r="L4977">
        <v>0.38</v>
      </c>
      <c r="M4977">
        <v>10.465</v>
      </c>
      <c r="N4977">
        <v>-20.728750000000002</v>
      </c>
      <c r="O4977" s="1" t="s">
        <v>53</v>
      </c>
      <c r="P4977" s="1" t="s">
        <v>10318</v>
      </c>
      <c r="Q4977" s="1" t="s">
        <v>10319</v>
      </c>
      <c r="R4977" s="1" t="s">
        <v>100</v>
      </c>
      <c r="S4977" s="1" t="s">
        <v>10320</v>
      </c>
      <c r="T4977" s="1" t="s">
        <v>10321</v>
      </c>
      <c r="U4977" s="2" t="s">
        <v>1125</v>
      </c>
      <c r="V4977" s="2" t="s">
        <v>47</v>
      </c>
      <c r="W4977" s="2" t="s">
        <v>111</v>
      </c>
      <c r="X4977" s="2">
        <v>18.690000000000001</v>
      </c>
    </row>
    <row r="4978" spans="1:24" x14ac:dyDescent="0.3">
      <c r="A4978">
        <v>22813</v>
      </c>
      <c r="B4978" t="s">
        <v>10900</v>
      </c>
      <c r="C4978" s="3">
        <v>41920</v>
      </c>
      <c r="D4978" t="s">
        <v>25</v>
      </c>
      <c r="E4978">
        <v>2</v>
      </c>
      <c r="F4978" s="3">
        <f ca="1">41920+(RANDBETWEEN(1,10))</f>
        <v>41922</v>
      </c>
      <c r="G4978" t="s">
        <v>26</v>
      </c>
      <c r="H4978" t="s">
        <v>27</v>
      </c>
      <c r="I4978" t="s">
        <v>97</v>
      </c>
      <c r="J4978">
        <v>363.23</v>
      </c>
      <c r="K4978">
        <v>0.08</v>
      </c>
      <c r="L4978">
        <v>0.36</v>
      </c>
      <c r="M4978">
        <v>8.75</v>
      </c>
      <c r="N4978">
        <v>56.805</v>
      </c>
      <c r="O4978" s="1" t="s">
        <v>87</v>
      </c>
      <c r="P4978" s="1" t="s">
        <v>9685</v>
      </c>
      <c r="Q4978" s="1" t="s">
        <v>9686</v>
      </c>
      <c r="R4978" s="1" t="s">
        <v>646</v>
      </c>
      <c r="S4978" s="1" t="s">
        <v>9687</v>
      </c>
      <c r="T4978" s="1" t="s">
        <v>9688</v>
      </c>
      <c r="U4978" s="2" t="s">
        <v>10901</v>
      </c>
      <c r="V4978" s="2" t="s">
        <v>47</v>
      </c>
      <c r="W4978" s="2" t="s">
        <v>48</v>
      </c>
      <c r="X4978" s="2">
        <v>184.48500000000001</v>
      </c>
    </row>
    <row r="4979" spans="1:24" x14ac:dyDescent="0.3">
      <c r="A4979">
        <v>22814</v>
      </c>
      <c r="B4979" t="s">
        <v>10902</v>
      </c>
      <c r="C4979" s="3">
        <v>41316</v>
      </c>
      <c r="D4979" t="s">
        <v>39</v>
      </c>
      <c r="E4979">
        <v>3</v>
      </c>
      <c r="F4979" s="3">
        <f ca="1">41318+(RANDBETWEEN(1,10))</f>
        <v>41328</v>
      </c>
      <c r="G4979" t="s">
        <v>26</v>
      </c>
      <c r="H4979" t="s">
        <v>51</v>
      </c>
      <c r="I4979" t="s">
        <v>97</v>
      </c>
      <c r="J4979">
        <v>93.484999999999999</v>
      </c>
      <c r="K4979">
        <v>0.08</v>
      </c>
      <c r="L4979">
        <v>0.43</v>
      </c>
      <c r="M4979">
        <v>29.89</v>
      </c>
      <c r="N4979">
        <v>-57.715000000000003</v>
      </c>
      <c r="O4979" s="1" t="s">
        <v>40</v>
      </c>
      <c r="P4979" s="1" t="s">
        <v>10903</v>
      </c>
      <c r="Q4979" s="1" t="s">
        <v>10904</v>
      </c>
      <c r="R4979" s="1" t="s">
        <v>43</v>
      </c>
      <c r="S4979" s="1" t="s">
        <v>2411</v>
      </c>
      <c r="T4979" s="1" t="s">
        <v>10905</v>
      </c>
      <c r="U4979" s="2" t="s">
        <v>2925</v>
      </c>
      <c r="V4979" s="2" t="s">
        <v>83</v>
      </c>
      <c r="W4979" s="2" t="s">
        <v>178</v>
      </c>
      <c r="X4979" s="2">
        <v>30.625</v>
      </c>
    </row>
    <row r="4980" spans="1:24" x14ac:dyDescent="0.3">
      <c r="A4980">
        <v>22815</v>
      </c>
      <c r="B4980" t="s">
        <v>10902</v>
      </c>
      <c r="C4980" s="3">
        <v>41316</v>
      </c>
      <c r="D4980" t="s">
        <v>39</v>
      </c>
      <c r="E4980">
        <v>11</v>
      </c>
      <c r="F4980" s="3">
        <f ca="1">41317+(RANDBETWEEN(1,10))</f>
        <v>41321</v>
      </c>
      <c r="G4980" t="s">
        <v>156</v>
      </c>
      <c r="H4980" t="s">
        <v>27</v>
      </c>
      <c r="I4980" t="s">
        <v>97</v>
      </c>
      <c r="J4980">
        <v>286.19499999999999</v>
      </c>
      <c r="K4980">
        <v>0.04</v>
      </c>
      <c r="L4980">
        <v>0.37</v>
      </c>
      <c r="M4980">
        <v>39.024999999999999</v>
      </c>
      <c r="N4980">
        <v>-948.36</v>
      </c>
      <c r="O4980" s="1" t="s">
        <v>40</v>
      </c>
      <c r="P4980" s="1" t="s">
        <v>10903</v>
      </c>
      <c r="Q4980" s="1" t="s">
        <v>10904</v>
      </c>
      <c r="R4980" s="1" t="s">
        <v>43</v>
      </c>
      <c r="S4980" s="1" t="s">
        <v>2411</v>
      </c>
      <c r="T4980" s="1" t="s">
        <v>10905</v>
      </c>
      <c r="U4980" s="2" t="s">
        <v>4160</v>
      </c>
      <c r="V4980" s="2" t="s">
        <v>47</v>
      </c>
      <c r="W4980" s="2" t="s">
        <v>74</v>
      </c>
      <c r="X4980" s="2">
        <v>25.48</v>
      </c>
    </row>
    <row r="4981" spans="1:24" x14ac:dyDescent="0.3">
      <c r="A4981">
        <v>22816</v>
      </c>
      <c r="B4981" t="s">
        <v>10902</v>
      </c>
      <c r="C4981" s="3">
        <v>41316</v>
      </c>
      <c r="D4981" t="s">
        <v>39</v>
      </c>
      <c r="E4981">
        <v>10</v>
      </c>
      <c r="F4981" s="3">
        <f ca="1">41318+(RANDBETWEEN(1,10))</f>
        <v>41326</v>
      </c>
      <c r="G4981" t="s">
        <v>26</v>
      </c>
      <c r="H4981" t="s">
        <v>63</v>
      </c>
      <c r="I4981" t="s">
        <v>97</v>
      </c>
      <c r="J4981">
        <v>1264.1300000000001</v>
      </c>
      <c r="K4981">
        <v>0.02</v>
      </c>
      <c r="L4981">
        <v>0.85</v>
      </c>
      <c r="M4981">
        <v>122.5</v>
      </c>
      <c r="N4981">
        <v>-3805.76</v>
      </c>
      <c r="O4981" s="1" t="s">
        <v>40</v>
      </c>
      <c r="P4981" s="1" t="s">
        <v>10903</v>
      </c>
      <c r="Q4981" s="1" t="s">
        <v>10904</v>
      </c>
      <c r="R4981" s="1" t="s">
        <v>43</v>
      </c>
      <c r="S4981" s="1" t="s">
        <v>2411</v>
      </c>
      <c r="T4981" s="1" t="s">
        <v>10905</v>
      </c>
      <c r="U4981" s="2" t="s">
        <v>1433</v>
      </c>
      <c r="V4981" s="2" t="s">
        <v>47</v>
      </c>
      <c r="W4981" s="2" t="s">
        <v>119</v>
      </c>
      <c r="X4981" s="2">
        <v>124.18</v>
      </c>
    </row>
    <row r="4982" spans="1:24" x14ac:dyDescent="0.3">
      <c r="A4982">
        <v>22817</v>
      </c>
      <c r="B4982" t="s">
        <v>10906</v>
      </c>
      <c r="C4982" s="3">
        <v>41181</v>
      </c>
      <c r="D4982" t="s">
        <v>25</v>
      </c>
      <c r="E4982">
        <v>11</v>
      </c>
      <c r="F4982" s="3">
        <f ca="1">41190+(RANDBETWEEN(1,10))</f>
        <v>41195</v>
      </c>
      <c r="G4982" t="s">
        <v>156</v>
      </c>
      <c r="H4982" t="s">
        <v>51</v>
      </c>
      <c r="I4982" t="s">
        <v>52</v>
      </c>
      <c r="J4982">
        <v>316.15499999999997</v>
      </c>
      <c r="K4982">
        <v>0</v>
      </c>
      <c r="L4982">
        <v>0.69</v>
      </c>
      <c r="M4982">
        <v>19.355</v>
      </c>
      <c r="N4982">
        <v>-313.45999999999998</v>
      </c>
      <c r="O4982" s="1" t="s">
        <v>40</v>
      </c>
      <c r="P4982" s="1" t="s">
        <v>10388</v>
      </c>
      <c r="Q4982" s="1" t="s">
        <v>10389</v>
      </c>
      <c r="R4982" s="1" t="s">
        <v>220</v>
      </c>
      <c r="S4982" s="1" t="s">
        <v>10390</v>
      </c>
      <c r="T4982" s="1" t="s">
        <v>10391</v>
      </c>
      <c r="U4982" s="2" t="s">
        <v>3244</v>
      </c>
      <c r="V4982" s="2" t="s">
        <v>36</v>
      </c>
      <c r="W4982" s="2" t="s">
        <v>60</v>
      </c>
      <c r="X4982" s="2">
        <v>25.795000000000002</v>
      </c>
    </row>
    <row r="4983" spans="1:24" x14ac:dyDescent="0.3">
      <c r="A4983">
        <v>22818</v>
      </c>
      <c r="B4983" t="s">
        <v>10906</v>
      </c>
      <c r="C4983" s="3">
        <v>41181</v>
      </c>
      <c r="D4983" t="s">
        <v>25</v>
      </c>
      <c r="E4983">
        <v>2</v>
      </c>
      <c r="F4983" s="3">
        <f ca="1">41183+(RANDBETWEEN(1,10))</f>
        <v>41184</v>
      </c>
      <c r="G4983" t="s">
        <v>26</v>
      </c>
      <c r="H4983" t="s">
        <v>51</v>
      </c>
      <c r="I4983" t="s">
        <v>52</v>
      </c>
      <c r="J4983">
        <v>219.97499999999999</v>
      </c>
      <c r="K4983">
        <v>0.04</v>
      </c>
      <c r="L4983">
        <v>0.42</v>
      </c>
      <c r="M4983">
        <v>6.9649999999999999</v>
      </c>
      <c r="N4983">
        <v>-219.69499999999999</v>
      </c>
      <c r="O4983" s="1" t="s">
        <v>40</v>
      </c>
      <c r="P4983" s="1" t="s">
        <v>10388</v>
      </c>
      <c r="Q4983" s="1" t="s">
        <v>10389</v>
      </c>
      <c r="R4983" s="1" t="s">
        <v>220</v>
      </c>
      <c r="S4983" s="1" t="s">
        <v>10390</v>
      </c>
      <c r="T4983" s="1" t="s">
        <v>10391</v>
      </c>
      <c r="U4983" s="2" t="s">
        <v>1226</v>
      </c>
      <c r="V4983" s="2" t="s">
        <v>36</v>
      </c>
      <c r="W4983" s="2" t="s">
        <v>60</v>
      </c>
      <c r="X4983" s="2">
        <v>111.23</v>
      </c>
    </row>
    <row r="4984" spans="1:24" x14ac:dyDescent="0.3">
      <c r="A4984">
        <v>22819</v>
      </c>
      <c r="B4984" t="s">
        <v>10907</v>
      </c>
      <c r="C4984" s="3">
        <v>41677</v>
      </c>
      <c r="D4984" t="s">
        <v>148</v>
      </c>
      <c r="E4984">
        <v>11</v>
      </c>
      <c r="F4984" s="3">
        <f ca="1">41678+(RANDBETWEEN(1,10))</f>
        <v>41683</v>
      </c>
      <c r="G4984" t="s">
        <v>26</v>
      </c>
      <c r="H4984" t="s">
        <v>27</v>
      </c>
      <c r="I4984" t="s">
        <v>52</v>
      </c>
      <c r="J4984">
        <v>173.46</v>
      </c>
      <c r="K4984">
        <v>0.05</v>
      </c>
      <c r="L4984">
        <v>0.4</v>
      </c>
      <c r="M4984">
        <v>16.765000000000001</v>
      </c>
      <c r="N4984">
        <v>-323.47000000000003</v>
      </c>
      <c r="O4984" s="1" t="s">
        <v>87</v>
      </c>
      <c r="P4984" s="1" t="s">
        <v>10908</v>
      </c>
      <c r="Q4984" s="1" t="s">
        <v>10909</v>
      </c>
      <c r="R4984" s="1" t="s">
        <v>398</v>
      </c>
      <c r="S4984" s="1" t="s">
        <v>7505</v>
      </c>
      <c r="T4984" s="1" t="s">
        <v>7506</v>
      </c>
      <c r="U4984" s="2" t="s">
        <v>4602</v>
      </c>
      <c r="V4984" s="2" t="s">
        <v>47</v>
      </c>
      <c r="W4984" s="2" t="s">
        <v>74</v>
      </c>
      <c r="X4984" s="2">
        <v>14.98</v>
      </c>
    </row>
    <row r="4985" spans="1:24" x14ac:dyDescent="0.3">
      <c r="A4985">
        <v>22820</v>
      </c>
      <c r="B4985" t="s">
        <v>10910</v>
      </c>
      <c r="C4985" s="3">
        <v>41189</v>
      </c>
      <c r="D4985" t="s">
        <v>62</v>
      </c>
      <c r="E4985">
        <v>22</v>
      </c>
      <c r="F4985" s="3">
        <f ca="1">41190+(RANDBETWEEN(1,10))</f>
        <v>41198</v>
      </c>
      <c r="G4985" t="s">
        <v>26</v>
      </c>
      <c r="H4985" t="s">
        <v>27</v>
      </c>
      <c r="I4985" t="s">
        <v>97</v>
      </c>
      <c r="J4985">
        <v>314.05500000000001</v>
      </c>
      <c r="K4985">
        <v>0.03</v>
      </c>
      <c r="L4985">
        <v>0.6</v>
      </c>
      <c r="M4985">
        <v>24.114999999999998</v>
      </c>
      <c r="N4985">
        <v>-971.87580000000003</v>
      </c>
      <c r="O4985" s="1" t="s">
        <v>53</v>
      </c>
      <c r="P4985" s="1" t="s">
        <v>6550</v>
      </c>
      <c r="Q4985" s="1" t="s">
        <v>6551</v>
      </c>
      <c r="R4985" s="1" t="s">
        <v>100</v>
      </c>
      <c r="S4985" s="1" t="s">
        <v>6552</v>
      </c>
      <c r="T4985" s="1" t="s">
        <v>6553</v>
      </c>
      <c r="U4985" s="2" t="s">
        <v>3815</v>
      </c>
      <c r="V4985" s="2" t="s">
        <v>47</v>
      </c>
      <c r="W4985" s="2" t="s">
        <v>71</v>
      </c>
      <c r="X4985" s="2">
        <v>14.21</v>
      </c>
    </row>
    <row r="4986" spans="1:24" x14ac:dyDescent="0.3">
      <c r="A4986">
        <v>22821</v>
      </c>
      <c r="B4986" t="s">
        <v>10910</v>
      </c>
      <c r="C4986" s="3">
        <v>41189</v>
      </c>
      <c r="D4986" t="s">
        <v>62</v>
      </c>
      <c r="E4986">
        <v>8</v>
      </c>
      <c r="F4986" s="3">
        <f ca="1">41190+(RANDBETWEEN(1,10))</f>
        <v>41195</v>
      </c>
      <c r="G4986" t="s">
        <v>26</v>
      </c>
      <c r="H4986" t="s">
        <v>27</v>
      </c>
      <c r="I4986" t="s">
        <v>97</v>
      </c>
      <c r="J4986">
        <v>2936.92</v>
      </c>
      <c r="K4986">
        <v>0.03</v>
      </c>
      <c r="L4986">
        <v>0.52</v>
      </c>
      <c r="M4986">
        <v>69.965000000000003</v>
      </c>
      <c r="N4986">
        <v>619.30259999999998</v>
      </c>
      <c r="O4986" s="1" t="s">
        <v>53</v>
      </c>
      <c r="P4986" s="1" t="s">
        <v>6550</v>
      </c>
      <c r="Q4986" s="1" t="s">
        <v>6551</v>
      </c>
      <c r="R4986" s="1" t="s">
        <v>100</v>
      </c>
      <c r="S4986" s="1" t="s">
        <v>6552</v>
      </c>
      <c r="T4986" s="1" t="s">
        <v>6553</v>
      </c>
      <c r="U4986" s="2" t="s">
        <v>4088</v>
      </c>
      <c r="V4986" s="2" t="s">
        <v>36</v>
      </c>
      <c r="W4986" s="2" t="s">
        <v>142</v>
      </c>
      <c r="X4986" s="2">
        <v>349.96499999999997</v>
      </c>
    </row>
    <row r="4987" spans="1:24" x14ac:dyDescent="0.3">
      <c r="A4987">
        <v>22822</v>
      </c>
      <c r="B4987" t="s">
        <v>10910</v>
      </c>
      <c r="C4987" s="3">
        <v>41189</v>
      </c>
      <c r="D4987" t="s">
        <v>62</v>
      </c>
      <c r="E4987">
        <v>12</v>
      </c>
      <c r="F4987" s="3">
        <f ca="1">41191+(RANDBETWEEN(1,10))</f>
        <v>41200</v>
      </c>
      <c r="G4987" t="s">
        <v>26</v>
      </c>
      <c r="H4987" t="s">
        <v>27</v>
      </c>
      <c r="I4987" t="s">
        <v>97</v>
      </c>
      <c r="J4987">
        <v>501.97</v>
      </c>
      <c r="K4987">
        <v>0.01</v>
      </c>
      <c r="L4987">
        <v>0.35</v>
      </c>
      <c r="M4987">
        <v>24.395</v>
      </c>
      <c r="N4987">
        <v>6.1501999999999999</v>
      </c>
      <c r="O4987" s="1" t="s">
        <v>87</v>
      </c>
      <c r="P4987" s="1" t="s">
        <v>10911</v>
      </c>
      <c r="Q4987" s="1" t="s">
        <v>10912</v>
      </c>
      <c r="R4987" s="1" t="s">
        <v>90</v>
      </c>
      <c r="S4987" s="1" t="s">
        <v>1474</v>
      </c>
      <c r="T4987" s="1" t="s">
        <v>1475</v>
      </c>
      <c r="U4987" s="2" t="s">
        <v>2886</v>
      </c>
      <c r="V4987" s="2" t="s">
        <v>47</v>
      </c>
      <c r="W4987" s="2" t="s">
        <v>48</v>
      </c>
      <c r="X4987" s="2">
        <v>40.53</v>
      </c>
    </row>
    <row r="4988" spans="1:24" x14ac:dyDescent="0.3">
      <c r="A4988">
        <v>22823</v>
      </c>
      <c r="B4988" t="s">
        <v>10913</v>
      </c>
      <c r="C4988" s="3">
        <v>40725</v>
      </c>
      <c r="D4988" t="s">
        <v>25</v>
      </c>
      <c r="E4988">
        <v>8</v>
      </c>
      <c r="F4988" s="3">
        <f ca="1">40727+(RANDBETWEEN(1,10))</f>
        <v>40736</v>
      </c>
      <c r="G4988" t="s">
        <v>26</v>
      </c>
      <c r="H4988" t="s">
        <v>96</v>
      </c>
      <c r="I4988" t="s">
        <v>86</v>
      </c>
      <c r="J4988">
        <v>128.03</v>
      </c>
      <c r="K4988">
        <v>7.0000000000000007E-2</v>
      </c>
      <c r="L4988">
        <v>0.52</v>
      </c>
      <c r="M4988">
        <v>2.4849999999999999</v>
      </c>
      <c r="N4988">
        <v>88.340699999999998</v>
      </c>
      <c r="O4988" s="1" t="s">
        <v>64</v>
      </c>
      <c r="P4988" s="1" t="s">
        <v>7103</v>
      </c>
      <c r="Q4988" s="1" t="s">
        <v>7104</v>
      </c>
      <c r="R4988" s="1" t="s">
        <v>128</v>
      </c>
      <c r="S4988" s="1" t="s">
        <v>7105</v>
      </c>
      <c r="T4988" s="1" t="s">
        <v>7106</v>
      </c>
      <c r="U4988" s="2" t="s">
        <v>2636</v>
      </c>
      <c r="V4988" s="2" t="s">
        <v>47</v>
      </c>
      <c r="W4988" s="2" t="s">
        <v>104</v>
      </c>
      <c r="X4988" s="2">
        <v>16.940000000000001</v>
      </c>
    </row>
    <row r="4989" spans="1:24" x14ac:dyDescent="0.3">
      <c r="A4989">
        <v>22824</v>
      </c>
      <c r="B4989" t="s">
        <v>10914</v>
      </c>
      <c r="C4989" s="3">
        <v>40725</v>
      </c>
      <c r="D4989" t="s">
        <v>25</v>
      </c>
      <c r="E4989">
        <v>1</v>
      </c>
      <c r="F4989" s="3">
        <f ca="1">40730+(RANDBETWEEN(1,10))</f>
        <v>40736</v>
      </c>
      <c r="G4989" t="s">
        <v>76</v>
      </c>
      <c r="H4989" t="s">
        <v>77</v>
      </c>
      <c r="I4989" t="s">
        <v>86</v>
      </c>
      <c r="J4989">
        <v>7047.8450000000003</v>
      </c>
      <c r="K4989">
        <v>0.04</v>
      </c>
      <c r="L4989">
        <v>0.55000000000000004</v>
      </c>
      <c r="M4989">
        <v>51.45</v>
      </c>
      <c r="N4989">
        <v>-16775.513999999999</v>
      </c>
      <c r="O4989" s="1" t="s">
        <v>64</v>
      </c>
      <c r="P4989" s="1" t="s">
        <v>10915</v>
      </c>
      <c r="Q4989" s="1" t="s">
        <v>10916</v>
      </c>
      <c r="R4989" s="1" t="s">
        <v>67</v>
      </c>
      <c r="S4989" s="1" t="s">
        <v>1865</v>
      </c>
      <c r="T4989" s="1" t="s">
        <v>1866</v>
      </c>
      <c r="U4989" s="2" t="s">
        <v>1855</v>
      </c>
      <c r="V4989" s="2" t="s">
        <v>36</v>
      </c>
      <c r="W4989" s="2" t="s">
        <v>142</v>
      </c>
      <c r="X4989" s="2">
        <v>7127.68</v>
      </c>
    </row>
    <row r="4990" spans="1:24" x14ac:dyDescent="0.3">
      <c r="A4990">
        <v>22825</v>
      </c>
      <c r="B4990" t="s">
        <v>10917</v>
      </c>
      <c r="C4990" s="3">
        <v>41726</v>
      </c>
      <c r="D4990" t="s">
        <v>50</v>
      </c>
      <c r="E4990">
        <v>1</v>
      </c>
      <c r="F4990" s="3">
        <f ca="1">41728+(RANDBETWEEN(1,10))</f>
        <v>41731</v>
      </c>
      <c r="G4990" t="s">
        <v>76</v>
      </c>
      <c r="H4990" t="s">
        <v>77</v>
      </c>
      <c r="I4990" t="s">
        <v>52</v>
      </c>
      <c r="J4990">
        <v>980.63</v>
      </c>
      <c r="K4990">
        <v>0.1</v>
      </c>
      <c r="L4990" t="s">
        <v>182</v>
      </c>
      <c r="M4990">
        <v>210</v>
      </c>
      <c r="N4990">
        <v>26.425000000000001</v>
      </c>
      <c r="O4990" s="1" t="s">
        <v>87</v>
      </c>
      <c r="P4990" s="1" t="s">
        <v>7901</v>
      </c>
      <c r="Q4990" s="1" t="s">
        <v>7902</v>
      </c>
      <c r="R4990" s="1" t="s">
        <v>398</v>
      </c>
      <c r="S4990" s="1" t="s">
        <v>7903</v>
      </c>
      <c r="T4990" s="1" t="s">
        <v>7904</v>
      </c>
      <c r="U4990" s="2" t="s">
        <v>3108</v>
      </c>
      <c r="V4990" s="2" t="s">
        <v>83</v>
      </c>
      <c r="W4990" s="2" t="s">
        <v>263</v>
      </c>
      <c r="X4990" s="2">
        <v>1223.075</v>
      </c>
    </row>
    <row r="4991" spans="1:24" x14ac:dyDescent="0.3">
      <c r="A4991">
        <v>22826</v>
      </c>
      <c r="B4991" t="s">
        <v>10918</v>
      </c>
      <c r="C4991" s="3">
        <v>41888</v>
      </c>
      <c r="D4991" t="s">
        <v>39</v>
      </c>
      <c r="E4991">
        <v>8</v>
      </c>
      <c r="F4991" s="3">
        <f ca="1">41890+(RANDBETWEEN(1,10))</f>
        <v>41900</v>
      </c>
      <c r="G4991" t="s">
        <v>26</v>
      </c>
      <c r="H4991" t="s">
        <v>27</v>
      </c>
      <c r="I4991" t="s">
        <v>86</v>
      </c>
      <c r="J4991">
        <v>132.61500000000001</v>
      </c>
      <c r="K4991">
        <v>0</v>
      </c>
      <c r="L4991">
        <v>0.59</v>
      </c>
      <c r="M4991">
        <v>18.024999999999999</v>
      </c>
      <c r="N4991">
        <v>-182.31639999999999</v>
      </c>
      <c r="O4991" s="1" t="s">
        <v>87</v>
      </c>
      <c r="P4991" s="1" t="s">
        <v>10919</v>
      </c>
      <c r="Q4991" s="1" t="s">
        <v>10920</v>
      </c>
      <c r="R4991" s="1" t="s">
        <v>90</v>
      </c>
      <c r="S4991" s="1" t="s">
        <v>10921</v>
      </c>
      <c r="T4991" s="1" t="s">
        <v>10922</v>
      </c>
      <c r="U4991" s="2" t="s">
        <v>3610</v>
      </c>
      <c r="V4991" s="2" t="s">
        <v>47</v>
      </c>
      <c r="W4991" s="2" t="s">
        <v>71</v>
      </c>
      <c r="X4991" s="2">
        <v>15.295</v>
      </c>
    </row>
    <row r="4992" spans="1:24" x14ac:dyDescent="0.3">
      <c r="A4992">
        <v>22827</v>
      </c>
      <c r="B4992" t="s">
        <v>10923</v>
      </c>
      <c r="C4992" s="3">
        <v>40791</v>
      </c>
      <c r="D4992" t="s">
        <v>39</v>
      </c>
      <c r="E4992">
        <v>18</v>
      </c>
      <c r="F4992" s="3">
        <f ca="1">40792+(RANDBETWEEN(1,10))</f>
        <v>40801</v>
      </c>
      <c r="G4992" t="s">
        <v>26</v>
      </c>
      <c r="H4992" t="s">
        <v>96</v>
      </c>
      <c r="I4992" t="s">
        <v>28</v>
      </c>
      <c r="J4992">
        <v>214.51499999999999</v>
      </c>
      <c r="K4992">
        <v>0.05</v>
      </c>
      <c r="L4992">
        <v>0.56000000000000005</v>
      </c>
      <c r="M4992">
        <v>13.895</v>
      </c>
      <c r="N4992">
        <v>-350.84</v>
      </c>
      <c r="O4992" s="1" t="s">
        <v>87</v>
      </c>
      <c r="P4992" s="1" t="s">
        <v>10924</v>
      </c>
      <c r="Q4992" s="1" t="s">
        <v>10925</v>
      </c>
      <c r="R4992" s="1" t="s">
        <v>90</v>
      </c>
      <c r="S4992" s="1" t="s">
        <v>9462</v>
      </c>
      <c r="T4992" s="1" t="s">
        <v>9463</v>
      </c>
      <c r="U4992" s="2" t="s">
        <v>5622</v>
      </c>
      <c r="V4992" s="2" t="s">
        <v>47</v>
      </c>
      <c r="W4992" s="2" t="s">
        <v>104</v>
      </c>
      <c r="X4992" s="2">
        <v>11.48</v>
      </c>
    </row>
    <row r="4993" spans="1:24" x14ac:dyDescent="0.3">
      <c r="A4993">
        <v>22828</v>
      </c>
      <c r="B4993" t="s">
        <v>10923</v>
      </c>
      <c r="C4993" s="3">
        <v>40791</v>
      </c>
      <c r="D4993" t="s">
        <v>39</v>
      </c>
      <c r="E4993">
        <v>15</v>
      </c>
      <c r="F4993" s="3">
        <f ca="1">40793+(RANDBETWEEN(1,10))</f>
        <v>40794</v>
      </c>
      <c r="G4993" t="s">
        <v>26</v>
      </c>
      <c r="H4993" t="s">
        <v>27</v>
      </c>
      <c r="I4993" t="s">
        <v>28</v>
      </c>
      <c r="J4993">
        <v>382.02499999999998</v>
      </c>
      <c r="K4993">
        <v>0.03</v>
      </c>
      <c r="L4993">
        <v>0.83</v>
      </c>
      <c r="M4993">
        <v>33.914999999999999</v>
      </c>
      <c r="N4993">
        <v>-919.17</v>
      </c>
      <c r="O4993" s="1" t="s">
        <v>87</v>
      </c>
      <c r="P4993" s="1" t="s">
        <v>10924</v>
      </c>
      <c r="Q4993" s="1" t="s">
        <v>10925</v>
      </c>
      <c r="R4993" s="1" t="s">
        <v>90</v>
      </c>
      <c r="S4993" s="1" t="s">
        <v>9462</v>
      </c>
      <c r="T4993" s="1" t="s">
        <v>9463</v>
      </c>
      <c r="U4993" s="2" t="s">
        <v>6865</v>
      </c>
      <c r="V4993" s="2" t="s">
        <v>47</v>
      </c>
      <c r="W4993" s="2" t="s">
        <v>119</v>
      </c>
      <c r="X4993" s="2">
        <v>24.43</v>
      </c>
    </row>
    <row r="4994" spans="1:24" x14ac:dyDescent="0.3">
      <c r="A4994">
        <v>22829</v>
      </c>
      <c r="B4994" t="s">
        <v>10926</v>
      </c>
      <c r="C4994" s="3">
        <v>41043</v>
      </c>
      <c r="D4994" t="s">
        <v>148</v>
      </c>
      <c r="E4994">
        <v>13</v>
      </c>
      <c r="F4994" s="3">
        <f ca="1">41044+(RANDBETWEEN(1,10))</f>
        <v>41050</v>
      </c>
      <c r="G4994" t="s">
        <v>156</v>
      </c>
      <c r="H4994" t="s">
        <v>51</v>
      </c>
      <c r="I4994" t="s">
        <v>28</v>
      </c>
      <c r="J4994">
        <v>4563.72</v>
      </c>
      <c r="K4994">
        <v>0.04</v>
      </c>
      <c r="L4994">
        <v>0.35</v>
      </c>
      <c r="M4994">
        <v>31.465</v>
      </c>
      <c r="N4994">
        <v>3148.9668000000001</v>
      </c>
      <c r="O4994" s="1" t="s">
        <v>87</v>
      </c>
      <c r="P4994" s="1" t="s">
        <v>846</v>
      </c>
      <c r="Q4994" s="1" t="s">
        <v>847</v>
      </c>
      <c r="R4994" s="1" t="s">
        <v>90</v>
      </c>
      <c r="S4994" s="1" t="s">
        <v>848</v>
      </c>
      <c r="T4994" s="1" t="s">
        <v>849</v>
      </c>
      <c r="U4994" s="2" t="s">
        <v>177</v>
      </c>
      <c r="V4994" s="2" t="s">
        <v>83</v>
      </c>
      <c r="W4994" s="2" t="s">
        <v>178</v>
      </c>
      <c r="X4994" s="2">
        <v>347.30500000000001</v>
      </c>
    </row>
    <row r="4995" spans="1:24" x14ac:dyDescent="0.3">
      <c r="A4995">
        <v>22830</v>
      </c>
      <c r="B4995" t="s">
        <v>10927</v>
      </c>
      <c r="C4995" s="3">
        <v>41090</v>
      </c>
      <c r="D4995" t="s">
        <v>25</v>
      </c>
      <c r="E4995">
        <v>10</v>
      </c>
      <c r="F4995" s="3">
        <f ca="1">41095+(RANDBETWEEN(1,10))</f>
        <v>41096</v>
      </c>
      <c r="G4995" t="s">
        <v>156</v>
      </c>
      <c r="H4995" t="s">
        <v>27</v>
      </c>
      <c r="I4995" t="s">
        <v>28</v>
      </c>
      <c r="J4995">
        <v>1413.6849999999999</v>
      </c>
      <c r="K4995">
        <v>0.04</v>
      </c>
      <c r="L4995">
        <v>0.36</v>
      </c>
      <c r="M4995">
        <v>46.41</v>
      </c>
      <c r="N4995">
        <v>975.44264999999996</v>
      </c>
      <c r="O4995" s="1" t="s">
        <v>64</v>
      </c>
      <c r="P4995" s="1" t="s">
        <v>10928</v>
      </c>
      <c r="Q4995" s="1" t="s">
        <v>10929</v>
      </c>
      <c r="R4995" s="1" t="s">
        <v>128</v>
      </c>
      <c r="S4995" s="1" t="s">
        <v>4024</v>
      </c>
      <c r="T4995" s="1" t="s">
        <v>4025</v>
      </c>
      <c r="U4995" s="2" t="s">
        <v>2065</v>
      </c>
      <c r="V4995" s="2" t="s">
        <v>47</v>
      </c>
      <c r="W4995" s="2" t="s">
        <v>74</v>
      </c>
      <c r="X4995" s="2">
        <v>135.66</v>
      </c>
    </row>
    <row r="4996" spans="1:24" x14ac:dyDescent="0.3">
      <c r="A4996">
        <v>22831</v>
      </c>
      <c r="B4996" t="s">
        <v>10930</v>
      </c>
      <c r="C4996" s="3">
        <v>41000</v>
      </c>
      <c r="D4996" t="s">
        <v>148</v>
      </c>
      <c r="E4996">
        <v>5</v>
      </c>
      <c r="F4996" s="3">
        <f ca="1">41002+(RANDBETWEEN(1,10))</f>
        <v>41007</v>
      </c>
      <c r="G4996" t="s">
        <v>76</v>
      </c>
      <c r="H4996" t="s">
        <v>77</v>
      </c>
      <c r="I4996" t="s">
        <v>52</v>
      </c>
      <c r="J4996">
        <v>8102.5349999999999</v>
      </c>
      <c r="K4996">
        <v>0.05</v>
      </c>
      <c r="L4996">
        <v>0.56000000000000005</v>
      </c>
      <c r="M4996">
        <v>51.45</v>
      </c>
      <c r="N4996">
        <v>5590.7491499999996</v>
      </c>
      <c r="O4996" s="1" t="s">
        <v>87</v>
      </c>
      <c r="P4996" s="1" t="s">
        <v>10931</v>
      </c>
      <c r="Q4996" s="1" t="s">
        <v>10932</v>
      </c>
      <c r="R4996" s="1" t="s">
        <v>90</v>
      </c>
      <c r="S4996" s="1" t="s">
        <v>700</v>
      </c>
      <c r="T4996" s="1" t="s">
        <v>701</v>
      </c>
      <c r="U4996" s="2" t="s">
        <v>4182</v>
      </c>
      <c r="V4996" s="2" t="s">
        <v>36</v>
      </c>
      <c r="W4996" s="2" t="s">
        <v>142</v>
      </c>
      <c r="X4996" s="2">
        <v>1785.49</v>
      </c>
    </row>
    <row r="4997" spans="1:24" x14ac:dyDescent="0.3">
      <c r="A4997">
        <v>22832</v>
      </c>
      <c r="B4997" t="s">
        <v>10933</v>
      </c>
      <c r="C4997" s="3">
        <v>40724</v>
      </c>
      <c r="D4997" t="s">
        <v>25</v>
      </c>
      <c r="E4997">
        <v>16</v>
      </c>
      <c r="F4997" s="3">
        <f ca="1">40731+(RANDBETWEEN(1,10))</f>
        <v>40735</v>
      </c>
      <c r="G4997" t="s">
        <v>26</v>
      </c>
      <c r="H4997" t="s">
        <v>51</v>
      </c>
      <c r="I4997" t="s">
        <v>86</v>
      </c>
      <c r="J4997">
        <v>459.41</v>
      </c>
      <c r="K4997">
        <v>0.04</v>
      </c>
      <c r="L4997">
        <v>0.52</v>
      </c>
      <c r="M4997">
        <v>6.9649999999999999</v>
      </c>
      <c r="N4997">
        <v>157.12200000000001</v>
      </c>
      <c r="O4997" s="1" t="s">
        <v>87</v>
      </c>
      <c r="P4997" s="1" t="s">
        <v>10246</v>
      </c>
      <c r="Q4997" s="1" t="s">
        <v>10247</v>
      </c>
      <c r="R4997" s="1" t="s">
        <v>497</v>
      </c>
      <c r="S4997" s="1" t="s">
        <v>1105</v>
      </c>
      <c r="T4997" s="1" t="s">
        <v>1106</v>
      </c>
      <c r="U4997" s="2" t="s">
        <v>2853</v>
      </c>
      <c r="V4997" s="2" t="s">
        <v>36</v>
      </c>
      <c r="W4997" s="2" t="s">
        <v>60</v>
      </c>
      <c r="X4997" s="2">
        <v>29.155000000000001</v>
      </c>
    </row>
    <row r="4998" spans="1:24" x14ac:dyDescent="0.3">
      <c r="A4998">
        <v>22833</v>
      </c>
      <c r="B4998" t="s">
        <v>10934</v>
      </c>
      <c r="C4998" s="3">
        <v>41997</v>
      </c>
      <c r="D4998" t="s">
        <v>25</v>
      </c>
      <c r="E4998">
        <v>13</v>
      </c>
      <c r="F4998" s="3">
        <f ca="1">42001+(RANDBETWEEN(1,10))</f>
        <v>42006</v>
      </c>
      <c r="G4998" t="s">
        <v>26</v>
      </c>
      <c r="H4998" t="s">
        <v>51</v>
      </c>
      <c r="I4998" t="s">
        <v>28</v>
      </c>
      <c r="J4998">
        <v>168.42</v>
      </c>
      <c r="K4998">
        <v>0.01</v>
      </c>
      <c r="L4998">
        <v>0.59</v>
      </c>
      <c r="M4998">
        <v>14.595000000000001</v>
      </c>
      <c r="N4998">
        <v>4439.2950000000001</v>
      </c>
      <c r="O4998" s="1" t="s">
        <v>225</v>
      </c>
      <c r="P4998" s="1" t="s">
        <v>9795</v>
      </c>
      <c r="Q4998" s="1" t="s">
        <v>9796</v>
      </c>
      <c r="R4998" s="1" t="s">
        <v>391</v>
      </c>
      <c r="S4998" s="1" t="s">
        <v>9797</v>
      </c>
      <c r="T4998" s="1" t="s">
        <v>9798</v>
      </c>
      <c r="U4998" s="2" t="s">
        <v>1747</v>
      </c>
      <c r="V4998" s="2" t="s">
        <v>47</v>
      </c>
      <c r="W4998" s="2" t="s">
        <v>104</v>
      </c>
      <c r="X4998" s="2">
        <v>12.494999999999999</v>
      </c>
    </row>
    <row r="4999" spans="1:24" x14ac:dyDescent="0.3">
      <c r="A4999">
        <v>22834</v>
      </c>
      <c r="B4999" t="s">
        <v>10934</v>
      </c>
      <c r="C4999" s="3">
        <v>41997</v>
      </c>
      <c r="D4999" t="s">
        <v>25</v>
      </c>
      <c r="E4999">
        <v>9</v>
      </c>
      <c r="F4999" s="3">
        <f ca="1">42002+(RANDBETWEEN(1,10))</f>
        <v>42003</v>
      </c>
      <c r="G4999" t="s">
        <v>26</v>
      </c>
      <c r="H4999" t="s">
        <v>27</v>
      </c>
      <c r="I4999" t="s">
        <v>28</v>
      </c>
      <c r="J4999">
        <v>1831.9</v>
      </c>
      <c r="K4999">
        <v>0.04</v>
      </c>
      <c r="L4999">
        <v>0.59</v>
      </c>
      <c r="M4999">
        <v>14.7</v>
      </c>
      <c r="N4999">
        <v>140.637</v>
      </c>
      <c r="O4999" s="1" t="s">
        <v>225</v>
      </c>
      <c r="P4999" s="1" t="s">
        <v>9795</v>
      </c>
      <c r="Q4999" s="1" t="s">
        <v>9796</v>
      </c>
      <c r="R4999" s="1" t="s">
        <v>391</v>
      </c>
      <c r="S4999" s="1" t="s">
        <v>9797</v>
      </c>
      <c r="T4999" s="1" t="s">
        <v>9798</v>
      </c>
      <c r="U4999" s="2">
        <v>5170</v>
      </c>
      <c r="V4999" s="2" t="s">
        <v>36</v>
      </c>
      <c r="W4999" s="2" t="s">
        <v>37</v>
      </c>
      <c r="X4999" s="2">
        <v>230.965</v>
      </c>
    </row>
    <row r="5000" spans="1:24" x14ac:dyDescent="0.3">
      <c r="A5000">
        <v>22835</v>
      </c>
      <c r="B5000" t="s">
        <v>10935</v>
      </c>
      <c r="C5000" s="3">
        <v>41031</v>
      </c>
      <c r="D5000" t="s">
        <v>39</v>
      </c>
      <c r="E5000">
        <v>14</v>
      </c>
      <c r="F5000" s="3">
        <f ca="1">41033+(RANDBETWEEN(1,10))</f>
        <v>41035</v>
      </c>
      <c r="G5000" t="s">
        <v>26</v>
      </c>
      <c r="H5000" t="s">
        <v>63</v>
      </c>
      <c r="I5000" t="s">
        <v>28</v>
      </c>
      <c r="J5000">
        <v>3890.145</v>
      </c>
      <c r="K5000">
        <v>0.05</v>
      </c>
      <c r="L5000">
        <v>0.81</v>
      </c>
      <c r="M5000">
        <v>122.5</v>
      </c>
      <c r="N5000">
        <v>13.377000000000001</v>
      </c>
      <c r="O5000" s="1" t="s">
        <v>40</v>
      </c>
      <c r="P5000" s="1" t="s">
        <v>6535</v>
      </c>
      <c r="Q5000" s="1" t="s">
        <v>6536</v>
      </c>
      <c r="R5000" s="1" t="s">
        <v>220</v>
      </c>
      <c r="S5000" s="1" t="s">
        <v>6537</v>
      </c>
      <c r="T5000" s="1" t="s">
        <v>6538</v>
      </c>
      <c r="U5000" s="2" t="s">
        <v>166</v>
      </c>
      <c r="V5000" s="2" t="s">
        <v>47</v>
      </c>
      <c r="W5000" s="2" t="s">
        <v>119</v>
      </c>
      <c r="X5000" s="2">
        <v>283.43</v>
      </c>
    </row>
    <row r="5001" spans="1:24" x14ac:dyDescent="0.3">
      <c r="A5001">
        <v>22836</v>
      </c>
      <c r="B5001" t="s">
        <v>10935</v>
      </c>
      <c r="C5001" s="3">
        <v>41031</v>
      </c>
      <c r="D5001" t="s">
        <v>39</v>
      </c>
      <c r="E5001">
        <v>4</v>
      </c>
      <c r="F5001" s="3">
        <f ca="1">41034+(RANDBETWEEN(1,10))</f>
        <v>41039</v>
      </c>
      <c r="G5001" t="s">
        <v>156</v>
      </c>
      <c r="H5001" t="s">
        <v>27</v>
      </c>
      <c r="I5001" t="s">
        <v>28</v>
      </c>
      <c r="J5001">
        <v>61.74</v>
      </c>
      <c r="K5001">
        <v>7.0000000000000007E-2</v>
      </c>
      <c r="L5001">
        <v>0.37</v>
      </c>
      <c r="M5001">
        <v>1.75</v>
      </c>
      <c r="N5001">
        <v>1144.731</v>
      </c>
      <c r="O5001" s="1" t="s">
        <v>29</v>
      </c>
      <c r="P5001" s="1" t="s">
        <v>10936</v>
      </c>
      <c r="Q5001" s="1" t="s">
        <v>10937</v>
      </c>
      <c r="R5001" s="1" t="s">
        <v>32</v>
      </c>
      <c r="S5001" s="1" t="s">
        <v>10938</v>
      </c>
      <c r="T5001" s="1" t="s">
        <v>10939</v>
      </c>
      <c r="U5001" s="2" t="s">
        <v>5970</v>
      </c>
      <c r="V5001" s="2" t="s">
        <v>47</v>
      </c>
      <c r="W5001" s="2" t="s">
        <v>203</v>
      </c>
      <c r="X5001" s="2">
        <v>11.025</v>
      </c>
    </row>
    <row r="5002" spans="1:24" x14ac:dyDescent="0.3">
      <c r="A5002">
        <v>22837</v>
      </c>
      <c r="B5002" t="s">
        <v>10940</v>
      </c>
      <c r="C5002" s="3">
        <v>41910</v>
      </c>
      <c r="D5002" t="s">
        <v>148</v>
      </c>
      <c r="E5002">
        <v>15</v>
      </c>
      <c r="F5002" s="3">
        <f ca="1">41911+(RANDBETWEEN(1,10))</f>
        <v>41917</v>
      </c>
      <c r="G5002" t="s">
        <v>26</v>
      </c>
      <c r="H5002" t="s">
        <v>96</v>
      </c>
      <c r="I5002" t="s">
        <v>97</v>
      </c>
      <c r="J5002">
        <v>258.125</v>
      </c>
      <c r="K5002">
        <v>0.02</v>
      </c>
      <c r="L5002">
        <v>0.85</v>
      </c>
      <c r="M5002">
        <v>2.4500000000000002</v>
      </c>
      <c r="N5002">
        <v>-10.400600000000001</v>
      </c>
      <c r="O5002" s="1" t="s">
        <v>29</v>
      </c>
      <c r="P5002" s="1" t="s">
        <v>3420</v>
      </c>
      <c r="Q5002" s="1" t="s">
        <v>3421</v>
      </c>
      <c r="R5002" s="1" t="s">
        <v>460</v>
      </c>
      <c r="S5002" s="1" t="s">
        <v>3422</v>
      </c>
      <c r="T5002" s="1" t="s">
        <v>3423</v>
      </c>
      <c r="U5002" s="2" t="s">
        <v>2251</v>
      </c>
      <c r="V5002" s="2" t="s">
        <v>47</v>
      </c>
      <c r="W5002" s="2" t="s">
        <v>176</v>
      </c>
      <c r="X5002" s="2">
        <v>16.484999999999999</v>
      </c>
    </row>
    <row r="5003" spans="1:24" x14ac:dyDescent="0.3">
      <c r="A5003">
        <v>22838</v>
      </c>
      <c r="B5003" t="s">
        <v>10941</v>
      </c>
      <c r="C5003" s="3">
        <v>41121</v>
      </c>
      <c r="D5003" t="s">
        <v>25</v>
      </c>
      <c r="E5003">
        <v>12</v>
      </c>
      <c r="F5003" s="3">
        <f ca="1">41121+(RANDBETWEEN(1,10))</f>
        <v>41124</v>
      </c>
      <c r="G5003" t="s">
        <v>26</v>
      </c>
      <c r="H5003" t="s">
        <v>27</v>
      </c>
      <c r="I5003" t="s">
        <v>52</v>
      </c>
      <c r="J5003">
        <v>1521.1</v>
      </c>
      <c r="K5003">
        <v>0.03</v>
      </c>
      <c r="L5003">
        <v>0.4</v>
      </c>
      <c r="M5003">
        <v>51.52</v>
      </c>
      <c r="N5003">
        <v>401.0958</v>
      </c>
      <c r="O5003" s="1" t="s">
        <v>64</v>
      </c>
      <c r="P5003" s="1" t="s">
        <v>9613</v>
      </c>
      <c r="Q5003" s="1" t="s">
        <v>9614</v>
      </c>
      <c r="R5003" s="1" t="s">
        <v>67</v>
      </c>
      <c r="S5003" s="1" t="s">
        <v>9615</v>
      </c>
      <c r="T5003" s="1" t="s">
        <v>9616</v>
      </c>
      <c r="U5003" s="2" t="s">
        <v>5698</v>
      </c>
      <c r="V5003" s="2" t="s">
        <v>47</v>
      </c>
      <c r="W5003" s="2" t="s">
        <v>48</v>
      </c>
      <c r="X5003" s="2">
        <v>125.61499999999999</v>
      </c>
    </row>
    <row r="5004" spans="1:24" x14ac:dyDescent="0.3">
      <c r="A5004">
        <v>22839</v>
      </c>
      <c r="B5004" t="s">
        <v>10942</v>
      </c>
      <c r="C5004" s="3">
        <v>40640</v>
      </c>
      <c r="D5004" t="s">
        <v>50</v>
      </c>
      <c r="E5004">
        <v>5</v>
      </c>
      <c r="F5004" s="3">
        <f ca="1">40641+(RANDBETWEEN(1,10))</f>
        <v>40646</v>
      </c>
      <c r="G5004" t="s">
        <v>26</v>
      </c>
      <c r="H5004" t="s">
        <v>27</v>
      </c>
      <c r="I5004" t="s">
        <v>97</v>
      </c>
      <c r="J5004">
        <v>213.85</v>
      </c>
      <c r="K5004">
        <v>0.08</v>
      </c>
      <c r="L5004">
        <v>0.38</v>
      </c>
      <c r="M5004">
        <v>1.75</v>
      </c>
      <c r="N5004">
        <v>755.01300000000003</v>
      </c>
      <c r="O5004" s="1" t="s">
        <v>53</v>
      </c>
      <c r="P5004" s="1" t="s">
        <v>7275</v>
      </c>
      <c r="Q5004" s="1" t="s">
        <v>7276</v>
      </c>
      <c r="R5004" s="1" t="s">
        <v>100</v>
      </c>
      <c r="S5004" s="1" t="s">
        <v>7277</v>
      </c>
      <c r="T5004" s="1" t="s">
        <v>7278</v>
      </c>
      <c r="U5004" s="2" t="s">
        <v>7215</v>
      </c>
      <c r="V5004" s="2" t="s">
        <v>47</v>
      </c>
      <c r="W5004" s="2" t="s">
        <v>203</v>
      </c>
      <c r="X5004" s="2">
        <v>43.854999999999997</v>
      </c>
    </row>
    <row r="5005" spans="1:24" x14ac:dyDescent="0.3">
      <c r="A5005">
        <v>22840</v>
      </c>
      <c r="B5005" t="s">
        <v>10942</v>
      </c>
      <c r="C5005" s="3">
        <v>40640</v>
      </c>
      <c r="D5005" t="s">
        <v>50</v>
      </c>
      <c r="E5005">
        <v>1</v>
      </c>
      <c r="F5005" s="3">
        <f ca="1">40641+(RANDBETWEEN(1,10))</f>
        <v>40651</v>
      </c>
      <c r="G5005" t="s">
        <v>26</v>
      </c>
      <c r="H5005" t="s">
        <v>27</v>
      </c>
      <c r="I5005" t="s">
        <v>97</v>
      </c>
      <c r="J5005">
        <v>678.33500000000004</v>
      </c>
      <c r="K5005">
        <v>0.02</v>
      </c>
      <c r="L5005">
        <v>0.55000000000000004</v>
      </c>
      <c r="M5005">
        <v>69.965000000000003</v>
      </c>
      <c r="N5005">
        <v>374.4468</v>
      </c>
      <c r="O5005" s="1" t="s">
        <v>225</v>
      </c>
      <c r="P5005" s="1" t="s">
        <v>10943</v>
      </c>
      <c r="Q5005" s="1" t="s">
        <v>10944</v>
      </c>
      <c r="R5005" s="1" t="s">
        <v>228</v>
      </c>
      <c r="S5005" s="1" t="s">
        <v>1949</v>
      </c>
      <c r="T5005" s="1" t="s">
        <v>1950</v>
      </c>
      <c r="U5005" s="2" t="s">
        <v>721</v>
      </c>
      <c r="V5005" s="2" t="s">
        <v>47</v>
      </c>
      <c r="W5005" s="2" t="s">
        <v>119</v>
      </c>
      <c r="X5005" s="2">
        <v>624.64499999999998</v>
      </c>
    </row>
    <row r="5006" spans="1:24" x14ac:dyDescent="0.3">
      <c r="A5006">
        <v>22841</v>
      </c>
      <c r="B5006" t="s">
        <v>10945</v>
      </c>
      <c r="C5006" s="3">
        <v>41403</v>
      </c>
      <c r="D5006" t="s">
        <v>50</v>
      </c>
      <c r="E5006">
        <v>6</v>
      </c>
      <c r="F5006" s="3">
        <f ca="1">41404+(RANDBETWEEN(1,10))</f>
        <v>41414</v>
      </c>
      <c r="G5006" t="s">
        <v>26</v>
      </c>
      <c r="H5006" t="s">
        <v>27</v>
      </c>
      <c r="I5006" t="s">
        <v>86</v>
      </c>
      <c r="J5006">
        <v>42.454999999999998</v>
      </c>
      <c r="K5006">
        <v>0.08</v>
      </c>
      <c r="L5006">
        <v>0.37</v>
      </c>
      <c r="M5006">
        <v>16.765000000000001</v>
      </c>
      <c r="N5006">
        <v>-221.17375000000001</v>
      </c>
      <c r="O5006" s="1" t="s">
        <v>64</v>
      </c>
      <c r="P5006" s="1" t="s">
        <v>10946</v>
      </c>
      <c r="Q5006" s="1" t="s">
        <v>10947</v>
      </c>
      <c r="R5006" s="1" t="s">
        <v>67</v>
      </c>
      <c r="S5006" s="1" t="s">
        <v>10948</v>
      </c>
      <c r="T5006" s="1" t="s">
        <v>10949</v>
      </c>
      <c r="U5006" s="2" t="s">
        <v>10064</v>
      </c>
      <c r="V5006" s="2" t="s">
        <v>47</v>
      </c>
      <c r="W5006" s="2" t="s">
        <v>111</v>
      </c>
      <c r="X5006" s="2">
        <v>6.3</v>
      </c>
    </row>
    <row r="5007" spans="1:24" x14ac:dyDescent="0.3">
      <c r="A5007">
        <v>22842</v>
      </c>
      <c r="B5007" t="s">
        <v>10945</v>
      </c>
      <c r="C5007" s="3">
        <v>41403</v>
      </c>
      <c r="D5007" t="s">
        <v>50</v>
      </c>
      <c r="E5007">
        <v>9</v>
      </c>
      <c r="F5007" s="3">
        <f ca="1">41405+(RANDBETWEEN(1,10))</f>
        <v>41406</v>
      </c>
      <c r="G5007" t="s">
        <v>26</v>
      </c>
      <c r="H5007" t="s">
        <v>27</v>
      </c>
      <c r="I5007" t="s">
        <v>86</v>
      </c>
      <c r="J5007">
        <v>159.63499999999999</v>
      </c>
      <c r="K5007">
        <v>0.04</v>
      </c>
      <c r="L5007">
        <v>0.39</v>
      </c>
      <c r="M5007">
        <v>1.7150000000000001</v>
      </c>
      <c r="N5007">
        <v>110.14815</v>
      </c>
      <c r="O5007" s="1" t="s">
        <v>64</v>
      </c>
      <c r="P5007" s="1" t="s">
        <v>10946</v>
      </c>
      <c r="Q5007" s="1" t="s">
        <v>10947</v>
      </c>
      <c r="R5007" s="1" t="s">
        <v>67</v>
      </c>
      <c r="S5007" s="1" t="s">
        <v>10948</v>
      </c>
      <c r="T5007" s="1" t="s">
        <v>10949</v>
      </c>
      <c r="U5007" s="2" t="s">
        <v>892</v>
      </c>
      <c r="V5007" s="2" t="s">
        <v>47</v>
      </c>
      <c r="W5007" s="2" t="s">
        <v>203</v>
      </c>
      <c r="X5007" s="2">
        <v>17.43</v>
      </c>
    </row>
    <row r="5008" spans="1:24" x14ac:dyDescent="0.3">
      <c r="A5008">
        <v>22843</v>
      </c>
      <c r="B5008" t="s">
        <v>10950</v>
      </c>
      <c r="C5008" s="3">
        <v>40760</v>
      </c>
      <c r="D5008" t="s">
        <v>25</v>
      </c>
      <c r="E5008">
        <v>19</v>
      </c>
      <c r="F5008" s="3">
        <f ca="1">40762+(RANDBETWEEN(1,10))</f>
        <v>40770</v>
      </c>
      <c r="G5008" t="s">
        <v>26</v>
      </c>
      <c r="H5008" t="s">
        <v>51</v>
      </c>
      <c r="I5008" t="s">
        <v>52</v>
      </c>
      <c r="J5008">
        <v>708.33</v>
      </c>
      <c r="K5008">
        <v>0.01</v>
      </c>
      <c r="L5008">
        <v>0.6</v>
      </c>
      <c r="M5008">
        <v>10.115</v>
      </c>
      <c r="N5008">
        <v>211.96559999999999</v>
      </c>
      <c r="O5008" s="1" t="s">
        <v>87</v>
      </c>
      <c r="P5008" s="1" t="s">
        <v>7836</v>
      </c>
      <c r="Q5008" s="1" t="s">
        <v>7837</v>
      </c>
      <c r="R5008" s="1" t="s">
        <v>646</v>
      </c>
      <c r="S5008" s="1" t="s">
        <v>7838</v>
      </c>
      <c r="T5008" s="1" t="s">
        <v>7839</v>
      </c>
      <c r="U5008" s="2" t="s">
        <v>6149</v>
      </c>
      <c r="V5008" s="2" t="s">
        <v>47</v>
      </c>
      <c r="W5008" s="2" t="s">
        <v>104</v>
      </c>
      <c r="X5008" s="2">
        <v>36.68</v>
      </c>
    </row>
    <row r="5009" spans="1:24" x14ac:dyDescent="0.3">
      <c r="A5009">
        <v>22844</v>
      </c>
      <c r="B5009" t="s">
        <v>10951</v>
      </c>
      <c r="C5009" s="3">
        <v>41254</v>
      </c>
      <c r="D5009" t="s">
        <v>39</v>
      </c>
      <c r="E5009">
        <v>13</v>
      </c>
      <c r="F5009" s="3">
        <f ca="1">41255+(RANDBETWEEN(1,10))</f>
        <v>41259</v>
      </c>
      <c r="G5009" t="s">
        <v>26</v>
      </c>
      <c r="H5009" t="s">
        <v>51</v>
      </c>
      <c r="I5009" t="s">
        <v>52</v>
      </c>
      <c r="J5009">
        <v>956.375</v>
      </c>
      <c r="K5009">
        <v>0.04</v>
      </c>
      <c r="L5009">
        <v>0.57999999999999996</v>
      </c>
      <c r="M5009">
        <v>31.465</v>
      </c>
      <c r="N5009">
        <v>-53.76</v>
      </c>
      <c r="O5009" s="1" t="s">
        <v>53</v>
      </c>
      <c r="P5009" s="1" t="s">
        <v>9865</v>
      </c>
      <c r="Q5009" s="1" t="s">
        <v>9866</v>
      </c>
      <c r="R5009" s="1" t="s">
        <v>56</v>
      </c>
      <c r="S5009" s="1" t="s">
        <v>9867</v>
      </c>
      <c r="T5009" s="1" t="s">
        <v>9868</v>
      </c>
      <c r="U5009" s="2" t="s">
        <v>2615</v>
      </c>
      <c r="V5009" s="2" t="s">
        <v>47</v>
      </c>
      <c r="W5009" s="2" t="s">
        <v>104</v>
      </c>
      <c r="X5009" s="2">
        <v>70.525000000000006</v>
      </c>
    </row>
    <row r="5010" spans="1:24" x14ac:dyDescent="0.3">
      <c r="A5010">
        <v>22845</v>
      </c>
      <c r="B5010" t="s">
        <v>10952</v>
      </c>
      <c r="C5010" s="3">
        <v>41671</v>
      </c>
      <c r="D5010" t="s">
        <v>62</v>
      </c>
      <c r="E5010">
        <v>8</v>
      </c>
      <c r="F5010" s="3">
        <f ca="1">41672+(RANDBETWEEN(1,10))</f>
        <v>41679</v>
      </c>
      <c r="G5010" t="s">
        <v>76</v>
      </c>
      <c r="H5010" t="s">
        <v>258</v>
      </c>
      <c r="I5010" t="s">
        <v>97</v>
      </c>
      <c r="J5010">
        <v>2679.0749999999998</v>
      </c>
      <c r="K5010">
        <v>0.08</v>
      </c>
      <c r="L5010">
        <v>0.78</v>
      </c>
      <c r="M5010">
        <v>200.83</v>
      </c>
      <c r="N5010">
        <v>-5097.085</v>
      </c>
      <c r="O5010" s="1" t="s">
        <v>64</v>
      </c>
      <c r="P5010" s="1" t="s">
        <v>10441</v>
      </c>
      <c r="Q5010" s="1" t="s">
        <v>10442</v>
      </c>
      <c r="R5010" s="1" t="s">
        <v>67</v>
      </c>
      <c r="S5010" s="1" t="s">
        <v>10443</v>
      </c>
      <c r="T5010" s="1" t="s">
        <v>10444</v>
      </c>
      <c r="U5010" s="2" t="s">
        <v>1795</v>
      </c>
      <c r="V5010" s="2" t="s">
        <v>83</v>
      </c>
      <c r="W5010" s="2" t="s">
        <v>298</v>
      </c>
      <c r="X5010" s="2">
        <v>353.43</v>
      </c>
    </row>
    <row r="5011" spans="1:24" x14ac:dyDescent="0.3">
      <c r="A5011">
        <v>22846</v>
      </c>
      <c r="B5011" t="s">
        <v>10953</v>
      </c>
      <c r="C5011" s="3">
        <v>40612</v>
      </c>
      <c r="D5011" t="s">
        <v>148</v>
      </c>
      <c r="E5011">
        <v>9</v>
      </c>
      <c r="F5011" s="3">
        <f ca="1">40613+(RANDBETWEEN(1,10))</f>
        <v>40623</v>
      </c>
      <c r="G5011" t="s">
        <v>26</v>
      </c>
      <c r="H5011" t="s">
        <v>27</v>
      </c>
      <c r="I5011" t="s">
        <v>52</v>
      </c>
      <c r="J5011">
        <v>153.44</v>
      </c>
      <c r="K5011">
        <v>0.1</v>
      </c>
      <c r="L5011">
        <v>0.38</v>
      </c>
      <c r="M5011">
        <v>26.39</v>
      </c>
      <c r="N5011">
        <v>157.773</v>
      </c>
      <c r="O5011" s="1" t="s">
        <v>40</v>
      </c>
      <c r="P5011" s="1" t="s">
        <v>10954</v>
      </c>
      <c r="Q5011" s="1" t="s">
        <v>10955</v>
      </c>
      <c r="R5011" s="1" t="s">
        <v>43</v>
      </c>
      <c r="S5011" s="1" t="s">
        <v>6394</v>
      </c>
      <c r="T5011" s="1" t="s">
        <v>6395</v>
      </c>
      <c r="U5011" s="2" t="s">
        <v>9298</v>
      </c>
      <c r="V5011" s="2" t="s">
        <v>47</v>
      </c>
      <c r="W5011" s="2" t="s">
        <v>74</v>
      </c>
      <c r="X5011" s="2">
        <v>17.43</v>
      </c>
    </row>
    <row r="5012" spans="1:24" x14ac:dyDescent="0.3">
      <c r="A5012">
        <v>22847</v>
      </c>
      <c r="B5012" t="s">
        <v>10953</v>
      </c>
      <c r="C5012" s="3">
        <v>40612</v>
      </c>
      <c r="D5012" t="s">
        <v>148</v>
      </c>
      <c r="E5012">
        <v>6</v>
      </c>
      <c r="F5012" s="3">
        <f ca="1">40614+(RANDBETWEEN(1,10))</f>
        <v>40616</v>
      </c>
      <c r="G5012" t="s">
        <v>26</v>
      </c>
      <c r="H5012" t="s">
        <v>27</v>
      </c>
      <c r="I5012" t="s">
        <v>52</v>
      </c>
      <c r="J5012">
        <v>496.09</v>
      </c>
      <c r="K5012">
        <v>0</v>
      </c>
      <c r="L5012">
        <v>0.39</v>
      </c>
      <c r="M5012">
        <v>28.63</v>
      </c>
      <c r="N5012">
        <v>-386.31599999999997</v>
      </c>
      <c r="O5012" s="1" t="s">
        <v>40</v>
      </c>
      <c r="P5012" s="1" t="s">
        <v>10954</v>
      </c>
      <c r="Q5012" s="1" t="s">
        <v>10955</v>
      </c>
      <c r="R5012" s="1" t="s">
        <v>43</v>
      </c>
      <c r="S5012" s="1" t="s">
        <v>6394</v>
      </c>
      <c r="T5012" s="1" t="s">
        <v>6395</v>
      </c>
      <c r="U5012" s="2" t="s">
        <v>4870</v>
      </c>
      <c r="V5012" s="2" t="s">
        <v>47</v>
      </c>
      <c r="W5012" s="2" t="s">
        <v>74</v>
      </c>
      <c r="X5012" s="2">
        <v>79.94</v>
      </c>
    </row>
    <row r="5013" spans="1:24" x14ac:dyDescent="0.3">
      <c r="A5013">
        <v>22848</v>
      </c>
      <c r="B5013" t="s">
        <v>10956</v>
      </c>
      <c r="C5013" s="3">
        <v>40589</v>
      </c>
      <c r="D5013" t="s">
        <v>25</v>
      </c>
      <c r="E5013">
        <v>1</v>
      </c>
      <c r="F5013" s="3">
        <f ca="1">40594+(RANDBETWEEN(1,10))</f>
        <v>40595</v>
      </c>
      <c r="G5013" t="s">
        <v>156</v>
      </c>
      <c r="H5013" t="s">
        <v>27</v>
      </c>
      <c r="I5013" t="s">
        <v>86</v>
      </c>
      <c r="J5013">
        <v>41.23</v>
      </c>
      <c r="K5013">
        <v>0.09</v>
      </c>
      <c r="L5013">
        <v>0.38</v>
      </c>
      <c r="M5013">
        <v>4.8650000000000002</v>
      </c>
      <c r="N5013">
        <v>82.656000000000006</v>
      </c>
      <c r="O5013" s="1" t="s">
        <v>40</v>
      </c>
      <c r="P5013" s="1" t="s">
        <v>10957</v>
      </c>
      <c r="Q5013" s="1" t="s">
        <v>10958</v>
      </c>
      <c r="R5013" s="1" t="s">
        <v>220</v>
      </c>
      <c r="S5013" s="1" t="s">
        <v>7623</v>
      </c>
      <c r="T5013" s="1" t="s">
        <v>7624</v>
      </c>
      <c r="U5013" s="2" t="s">
        <v>1682</v>
      </c>
      <c r="V5013" s="2" t="s">
        <v>47</v>
      </c>
      <c r="W5013" s="2" t="s">
        <v>48</v>
      </c>
      <c r="X5013" s="2">
        <v>30.59</v>
      </c>
    </row>
    <row r="5014" spans="1:24" x14ac:dyDescent="0.3">
      <c r="A5014">
        <v>22849</v>
      </c>
      <c r="B5014" t="s">
        <v>10956</v>
      </c>
      <c r="C5014" s="3">
        <v>40589</v>
      </c>
      <c r="D5014" t="s">
        <v>25</v>
      </c>
      <c r="E5014">
        <v>1</v>
      </c>
      <c r="F5014" s="3">
        <f ca="1">40594+(RANDBETWEEN(1,10))</f>
        <v>40604</v>
      </c>
      <c r="G5014" t="s">
        <v>26</v>
      </c>
      <c r="H5014" t="s">
        <v>27</v>
      </c>
      <c r="I5014" t="s">
        <v>86</v>
      </c>
      <c r="J5014">
        <v>73.36</v>
      </c>
      <c r="K5014">
        <v>0.09</v>
      </c>
      <c r="L5014">
        <v>0.37</v>
      </c>
      <c r="M5014">
        <v>31.605</v>
      </c>
      <c r="N5014">
        <v>-6118.0420000000004</v>
      </c>
      <c r="O5014" s="1" t="s">
        <v>40</v>
      </c>
      <c r="P5014" s="1" t="s">
        <v>10957</v>
      </c>
      <c r="Q5014" s="1" t="s">
        <v>10958</v>
      </c>
      <c r="R5014" s="1" t="s">
        <v>220</v>
      </c>
      <c r="S5014" s="1" t="s">
        <v>7623</v>
      </c>
      <c r="T5014" s="1" t="s">
        <v>7624</v>
      </c>
      <c r="U5014" s="2" t="s">
        <v>482</v>
      </c>
      <c r="V5014" s="2" t="s">
        <v>47</v>
      </c>
      <c r="W5014" s="2" t="s">
        <v>74</v>
      </c>
      <c r="X5014" s="2">
        <v>66.394999999999996</v>
      </c>
    </row>
    <row r="5015" spans="1:24" x14ac:dyDescent="0.3">
      <c r="A5015">
        <v>22850</v>
      </c>
      <c r="B5015" t="s">
        <v>10959</v>
      </c>
      <c r="C5015" s="3">
        <v>41108</v>
      </c>
      <c r="D5015" t="s">
        <v>148</v>
      </c>
      <c r="E5015">
        <v>1</v>
      </c>
      <c r="F5015" s="3">
        <f ca="1">41109+(RANDBETWEEN(1,10))</f>
        <v>41110</v>
      </c>
      <c r="G5015" t="s">
        <v>76</v>
      </c>
      <c r="H5015" t="s">
        <v>77</v>
      </c>
      <c r="I5015" t="s">
        <v>97</v>
      </c>
      <c r="J5015">
        <v>972.44</v>
      </c>
      <c r="K5015">
        <v>0.01</v>
      </c>
      <c r="L5015">
        <v>0.56999999999999995</v>
      </c>
      <c r="M5015">
        <v>220.29</v>
      </c>
      <c r="N5015">
        <v>-26.215</v>
      </c>
      <c r="O5015" s="1" t="s">
        <v>29</v>
      </c>
      <c r="P5015" s="1" t="s">
        <v>10801</v>
      </c>
      <c r="Q5015" s="1" t="s">
        <v>10802</v>
      </c>
      <c r="R5015" s="1" t="s">
        <v>32</v>
      </c>
      <c r="S5015" s="1" t="s">
        <v>5627</v>
      </c>
      <c r="T5015" s="1" t="s">
        <v>5628</v>
      </c>
      <c r="U5015" s="2" t="s">
        <v>4113</v>
      </c>
      <c r="V5015" s="2" t="s">
        <v>83</v>
      </c>
      <c r="W5015" s="2" t="s">
        <v>84</v>
      </c>
      <c r="X5015" s="2">
        <v>853.93</v>
      </c>
    </row>
    <row r="5016" spans="1:24" x14ac:dyDescent="0.3">
      <c r="A5016">
        <v>22851</v>
      </c>
      <c r="B5016" t="s">
        <v>10960</v>
      </c>
      <c r="C5016" s="3">
        <v>41151</v>
      </c>
      <c r="D5016" t="s">
        <v>25</v>
      </c>
      <c r="E5016">
        <v>10</v>
      </c>
      <c r="F5016" s="3">
        <f ca="1">41153+(RANDBETWEEN(1,10))</f>
        <v>41159</v>
      </c>
      <c r="G5016" t="s">
        <v>156</v>
      </c>
      <c r="H5016" t="s">
        <v>27</v>
      </c>
      <c r="I5016" t="s">
        <v>52</v>
      </c>
      <c r="J5016">
        <v>2412.0250000000001</v>
      </c>
      <c r="K5016">
        <v>0.06</v>
      </c>
      <c r="L5016">
        <v>0.57999999999999996</v>
      </c>
      <c r="M5016">
        <v>3.4649999999999999</v>
      </c>
      <c r="N5016">
        <v>1664.2972500000001</v>
      </c>
      <c r="O5016" s="1" t="s">
        <v>40</v>
      </c>
      <c r="P5016" s="1" t="s">
        <v>5886</v>
      </c>
      <c r="Q5016" s="1" t="s">
        <v>5887</v>
      </c>
      <c r="R5016" s="1" t="s">
        <v>220</v>
      </c>
      <c r="S5016" s="1" t="s">
        <v>5888</v>
      </c>
      <c r="T5016" s="1" t="s">
        <v>5889</v>
      </c>
      <c r="U5016" s="2" t="s">
        <v>8304</v>
      </c>
      <c r="V5016" s="2" t="s">
        <v>47</v>
      </c>
      <c r="W5016" s="2" t="s">
        <v>71</v>
      </c>
      <c r="X5016" s="2">
        <v>237.44</v>
      </c>
    </row>
    <row r="5017" spans="1:24" x14ac:dyDescent="0.3">
      <c r="A5017">
        <v>22852</v>
      </c>
      <c r="B5017" t="s">
        <v>10960</v>
      </c>
      <c r="C5017" s="3">
        <v>41151</v>
      </c>
      <c r="D5017" t="s">
        <v>25</v>
      </c>
      <c r="E5017">
        <v>17</v>
      </c>
      <c r="F5017" s="3">
        <f ca="1">41156+(RANDBETWEEN(1,10))</f>
        <v>41157</v>
      </c>
      <c r="G5017" t="s">
        <v>26</v>
      </c>
      <c r="H5017" t="s">
        <v>51</v>
      </c>
      <c r="I5017" t="s">
        <v>52</v>
      </c>
      <c r="J5017">
        <v>959.03499999999997</v>
      </c>
      <c r="K5017">
        <v>0.09</v>
      </c>
      <c r="L5017">
        <v>0.45</v>
      </c>
      <c r="M5017">
        <v>6.9649999999999999</v>
      </c>
      <c r="N5017">
        <v>661.73415</v>
      </c>
      <c r="O5017" s="1" t="s">
        <v>40</v>
      </c>
      <c r="P5017" s="1" t="s">
        <v>5886</v>
      </c>
      <c r="Q5017" s="1" t="s">
        <v>5887</v>
      </c>
      <c r="R5017" s="1" t="s">
        <v>220</v>
      </c>
      <c r="S5017" s="1" t="s">
        <v>5888</v>
      </c>
      <c r="T5017" s="1" t="s">
        <v>5889</v>
      </c>
      <c r="U5017" s="2" t="s">
        <v>59</v>
      </c>
      <c r="V5017" s="2" t="s">
        <v>36</v>
      </c>
      <c r="W5017" s="2" t="s">
        <v>60</v>
      </c>
      <c r="X5017" s="2">
        <v>61.18</v>
      </c>
    </row>
    <row r="5018" spans="1:24" x14ac:dyDescent="0.3">
      <c r="A5018">
        <v>22853</v>
      </c>
      <c r="B5018" t="s">
        <v>10960</v>
      </c>
      <c r="C5018" s="3">
        <v>41151</v>
      </c>
      <c r="D5018" t="s">
        <v>25</v>
      </c>
      <c r="E5018">
        <v>3</v>
      </c>
      <c r="F5018" s="3">
        <f ca="1">41156+(RANDBETWEEN(1,10))</f>
        <v>41162</v>
      </c>
      <c r="G5018" t="s">
        <v>76</v>
      </c>
      <c r="H5018" t="s">
        <v>258</v>
      </c>
      <c r="I5018" t="s">
        <v>52</v>
      </c>
      <c r="J5018">
        <v>1638.63</v>
      </c>
      <c r="K5018">
        <v>0.03</v>
      </c>
      <c r="L5018">
        <v>0.7</v>
      </c>
      <c r="M5018">
        <v>56.034999999999997</v>
      </c>
      <c r="N5018">
        <v>-664.06952605000004</v>
      </c>
      <c r="O5018" s="1" t="s">
        <v>40</v>
      </c>
      <c r="P5018" s="1" t="s">
        <v>5886</v>
      </c>
      <c r="Q5018" s="1" t="s">
        <v>5887</v>
      </c>
      <c r="R5018" s="1" t="s">
        <v>220</v>
      </c>
      <c r="S5018" s="1" t="s">
        <v>5888</v>
      </c>
      <c r="T5018" s="1" t="s">
        <v>5889</v>
      </c>
      <c r="U5018" s="2" t="s">
        <v>342</v>
      </c>
      <c r="V5018" s="2" t="s">
        <v>83</v>
      </c>
      <c r="W5018" s="2" t="s">
        <v>263</v>
      </c>
      <c r="X5018" s="2">
        <v>528.42999999999995</v>
      </c>
    </row>
    <row r="5019" spans="1:24" x14ac:dyDescent="0.3">
      <c r="A5019">
        <v>22854</v>
      </c>
      <c r="B5019" t="s">
        <v>10961</v>
      </c>
      <c r="C5019" s="3">
        <v>41984</v>
      </c>
      <c r="D5019" t="s">
        <v>25</v>
      </c>
      <c r="E5019">
        <v>21</v>
      </c>
      <c r="F5019" s="3">
        <f ca="1">41991+(RANDBETWEEN(1,10))</f>
        <v>41994</v>
      </c>
      <c r="G5019" t="s">
        <v>156</v>
      </c>
      <c r="H5019" t="s">
        <v>27</v>
      </c>
      <c r="I5019" t="s">
        <v>86</v>
      </c>
      <c r="J5019">
        <v>2212.8049999999998</v>
      </c>
      <c r="K5019">
        <v>0.04</v>
      </c>
      <c r="L5019">
        <v>0.36</v>
      </c>
      <c r="M5019">
        <v>68.284999999999997</v>
      </c>
      <c r="N5019">
        <v>-99.689520000000002</v>
      </c>
      <c r="O5019" s="1" t="s">
        <v>225</v>
      </c>
      <c r="P5019" s="1" t="s">
        <v>7447</v>
      </c>
      <c r="Q5019" s="1" t="s">
        <v>7448</v>
      </c>
      <c r="R5019" s="1" t="s">
        <v>228</v>
      </c>
      <c r="S5019" s="1" t="s">
        <v>2325</v>
      </c>
      <c r="T5019" s="1" t="s">
        <v>2326</v>
      </c>
      <c r="U5019" s="2" t="s">
        <v>4107</v>
      </c>
      <c r="V5019" s="2" t="s">
        <v>47</v>
      </c>
      <c r="W5019" s="2" t="s">
        <v>48</v>
      </c>
      <c r="X5019" s="2">
        <v>108.43</v>
      </c>
    </row>
    <row r="5020" spans="1:24" x14ac:dyDescent="0.3">
      <c r="A5020">
        <v>22855</v>
      </c>
      <c r="B5020" t="s">
        <v>10962</v>
      </c>
      <c r="C5020" s="3">
        <v>41145</v>
      </c>
      <c r="D5020" t="s">
        <v>25</v>
      </c>
      <c r="E5020">
        <v>10</v>
      </c>
      <c r="F5020" s="3">
        <f ca="1">41147+(RANDBETWEEN(1,10))</f>
        <v>41152</v>
      </c>
      <c r="G5020" t="s">
        <v>26</v>
      </c>
      <c r="H5020" t="s">
        <v>51</v>
      </c>
      <c r="I5020" t="s">
        <v>86</v>
      </c>
      <c r="J5020">
        <v>893.97</v>
      </c>
      <c r="K5020">
        <v>0.1</v>
      </c>
      <c r="L5020">
        <v>0.51</v>
      </c>
      <c r="M5020">
        <v>6.9649999999999999</v>
      </c>
      <c r="N5020">
        <v>299.50760000000002</v>
      </c>
      <c r="O5020" s="1" t="s">
        <v>29</v>
      </c>
      <c r="P5020" s="1" t="s">
        <v>4613</v>
      </c>
      <c r="Q5020" s="1" t="s">
        <v>4614</v>
      </c>
      <c r="R5020" s="1" t="s">
        <v>32</v>
      </c>
      <c r="S5020" s="1" t="s">
        <v>4615</v>
      </c>
      <c r="T5020" s="1" t="s">
        <v>4616</v>
      </c>
      <c r="U5020" s="2" t="s">
        <v>9810</v>
      </c>
      <c r="V5020" s="2" t="s">
        <v>36</v>
      </c>
      <c r="W5020" s="2" t="s">
        <v>60</v>
      </c>
      <c r="X5020" s="2">
        <v>99.33</v>
      </c>
    </row>
    <row r="5021" spans="1:24" x14ac:dyDescent="0.3">
      <c r="A5021">
        <v>22856</v>
      </c>
      <c r="B5021" t="s">
        <v>10962</v>
      </c>
      <c r="C5021" s="3">
        <v>41145</v>
      </c>
      <c r="D5021" t="s">
        <v>25</v>
      </c>
      <c r="E5021">
        <v>9</v>
      </c>
      <c r="F5021" s="3">
        <f ca="1">41149+(RANDBETWEEN(1,10))</f>
        <v>41158</v>
      </c>
      <c r="G5021" t="s">
        <v>26</v>
      </c>
      <c r="H5021" t="s">
        <v>27</v>
      </c>
      <c r="I5021" t="s">
        <v>86</v>
      </c>
      <c r="J5021">
        <v>606.20000000000005</v>
      </c>
      <c r="K5021">
        <v>0.03</v>
      </c>
      <c r="L5021">
        <v>0.37</v>
      </c>
      <c r="M5021">
        <v>31.605</v>
      </c>
      <c r="N5021">
        <v>117.9486</v>
      </c>
      <c r="O5021" s="1" t="s">
        <v>29</v>
      </c>
      <c r="P5021" s="1" t="s">
        <v>4613</v>
      </c>
      <c r="Q5021" s="1" t="s">
        <v>4614</v>
      </c>
      <c r="R5021" s="1" t="s">
        <v>32</v>
      </c>
      <c r="S5021" s="1" t="s">
        <v>4615</v>
      </c>
      <c r="T5021" s="1" t="s">
        <v>4616</v>
      </c>
      <c r="U5021" s="2" t="s">
        <v>482</v>
      </c>
      <c r="V5021" s="2" t="s">
        <v>47</v>
      </c>
      <c r="W5021" s="2" t="s">
        <v>74</v>
      </c>
      <c r="X5021" s="2">
        <v>66.394999999999996</v>
      </c>
    </row>
    <row r="5022" spans="1:24" x14ac:dyDescent="0.3">
      <c r="A5022">
        <v>22857</v>
      </c>
      <c r="B5022" t="s">
        <v>10963</v>
      </c>
      <c r="C5022" s="3">
        <v>40737</v>
      </c>
      <c r="D5022" t="s">
        <v>148</v>
      </c>
      <c r="E5022">
        <v>14</v>
      </c>
      <c r="F5022" s="3">
        <f ca="1">40738+(RANDBETWEEN(1,10))</f>
        <v>40746</v>
      </c>
      <c r="G5022" t="s">
        <v>26</v>
      </c>
      <c r="H5022" t="s">
        <v>27</v>
      </c>
      <c r="I5022" t="s">
        <v>52</v>
      </c>
      <c r="J5022">
        <v>5020.7849999999999</v>
      </c>
      <c r="K5022">
        <v>0.08</v>
      </c>
      <c r="L5022">
        <v>0.56999999999999995</v>
      </c>
      <c r="M5022">
        <v>14.7</v>
      </c>
      <c r="N5022">
        <v>3464.3416499999998</v>
      </c>
      <c r="O5022" s="1" t="s">
        <v>87</v>
      </c>
      <c r="P5022" s="1" t="s">
        <v>9755</v>
      </c>
      <c r="Q5022" s="1" t="s">
        <v>9756</v>
      </c>
      <c r="R5022" s="1" t="s">
        <v>646</v>
      </c>
      <c r="S5022" s="1" t="s">
        <v>9757</v>
      </c>
      <c r="T5022" s="1" t="s">
        <v>9758</v>
      </c>
      <c r="U5022" s="2" t="s">
        <v>4401</v>
      </c>
      <c r="V5022" s="2" t="s">
        <v>36</v>
      </c>
      <c r="W5022" s="2" t="s">
        <v>37</v>
      </c>
      <c r="X5022" s="2">
        <v>440.96499999999997</v>
      </c>
    </row>
    <row r="5023" spans="1:24" x14ac:dyDescent="0.3">
      <c r="A5023">
        <v>22858</v>
      </c>
      <c r="B5023" t="s">
        <v>10964</v>
      </c>
      <c r="C5023" s="3">
        <v>40659</v>
      </c>
      <c r="D5023" t="s">
        <v>25</v>
      </c>
      <c r="E5023">
        <v>5</v>
      </c>
      <c r="F5023" s="3">
        <f ca="1">40663+(RANDBETWEEN(1,10))</f>
        <v>40670</v>
      </c>
      <c r="G5023" t="s">
        <v>76</v>
      </c>
      <c r="H5023" t="s">
        <v>77</v>
      </c>
      <c r="I5023" t="s">
        <v>52</v>
      </c>
      <c r="J5023">
        <v>3251.22</v>
      </c>
      <c r="K5023">
        <v>0.03</v>
      </c>
      <c r="L5023">
        <v>0.59</v>
      </c>
      <c r="M5023">
        <v>91.7</v>
      </c>
      <c r="N5023">
        <v>2059.89</v>
      </c>
      <c r="O5023" s="1" t="s">
        <v>29</v>
      </c>
      <c r="P5023" s="1" t="s">
        <v>8132</v>
      </c>
      <c r="Q5023" s="1" t="s">
        <v>8133</v>
      </c>
      <c r="R5023" s="1" t="s">
        <v>675</v>
      </c>
      <c r="S5023" s="1" t="s">
        <v>8134</v>
      </c>
      <c r="T5023" s="1" t="s">
        <v>3517</v>
      </c>
      <c r="U5023" s="2" t="s">
        <v>4925</v>
      </c>
      <c r="V5023" s="2" t="s">
        <v>83</v>
      </c>
      <c r="W5023" s="2" t="s">
        <v>84</v>
      </c>
      <c r="X5023" s="2">
        <v>633.42999999999995</v>
      </c>
    </row>
    <row r="5024" spans="1:24" x14ac:dyDescent="0.3">
      <c r="A5024">
        <v>22859</v>
      </c>
      <c r="B5024" t="s">
        <v>10965</v>
      </c>
      <c r="C5024" s="3">
        <v>41839</v>
      </c>
      <c r="D5024" t="s">
        <v>148</v>
      </c>
      <c r="E5024">
        <v>4</v>
      </c>
      <c r="F5024" s="3">
        <f ca="1">41840+(RANDBETWEEN(1,10))</f>
        <v>41841</v>
      </c>
      <c r="G5024" t="s">
        <v>26</v>
      </c>
      <c r="H5024" t="s">
        <v>27</v>
      </c>
      <c r="I5024" t="s">
        <v>86</v>
      </c>
      <c r="J5024">
        <v>570.08000000000004</v>
      </c>
      <c r="K5024">
        <v>7.0000000000000007E-2</v>
      </c>
      <c r="L5024">
        <v>0.36</v>
      </c>
      <c r="M5024">
        <v>61.18</v>
      </c>
      <c r="N5024">
        <v>75.512640000000005</v>
      </c>
      <c r="O5024" s="1" t="s">
        <v>29</v>
      </c>
      <c r="P5024" s="1" t="s">
        <v>10966</v>
      </c>
      <c r="Q5024" s="1" t="s">
        <v>10967</v>
      </c>
      <c r="R5024" s="1" t="s">
        <v>32</v>
      </c>
      <c r="S5024" s="1" t="s">
        <v>8209</v>
      </c>
      <c r="T5024" s="1" t="s">
        <v>8210</v>
      </c>
      <c r="U5024" s="2" t="s">
        <v>1688</v>
      </c>
      <c r="V5024" s="2" t="s">
        <v>47</v>
      </c>
      <c r="W5024" s="2" t="s">
        <v>74</v>
      </c>
      <c r="X5024" s="2">
        <v>143.465</v>
      </c>
    </row>
    <row r="5025" spans="1:24" x14ac:dyDescent="0.3">
      <c r="A5025">
        <v>2286</v>
      </c>
      <c r="B5025" t="s">
        <v>10968</v>
      </c>
      <c r="C5025" s="3">
        <v>41979</v>
      </c>
      <c r="D5025" t="s">
        <v>50</v>
      </c>
      <c r="E5025">
        <v>28</v>
      </c>
      <c r="F5025" s="3">
        <f ca="1">41981+(RANDBETWEEN(1,10))</f>
        <v>41985</v>
      </c>
      <c r="G5025" t="s">
        <v>156</v>
      </c>
      <c r="H5025" t="s">
        <v>27</v>
      </c>
      <c r="I5025" t="s">
        <v>52</v>
      </c>
      <c r="J5025">
        <v>610.61</v>
      </c>
      <c r="K5025">
        <v>0.09</v>
      </c>
      <c r="L5025">
        <v>0.37</v>
      </c>
      <c r="M5025">
        <v>27.23</v>
      </c>
      <c r="N5025">
        <v>-243.35149999999999</v>
      </c>
      <c r="O5025" s="1" t="s">
        <v>64</v>
      </c>
      <c r="P5025" s="1" t="s">
        <v>10969</v>
      </c>
      <c r="Q5025" s="1" t="s">
        <v>10970</v>
      </c>
      <c r="R5025" s="1" t="s">
        <v>128</v>
      </c>
      <c r="S5025" s="1" t="s">
        <v>129</v>
      </c>
      <c r="T5025" s="1" t="s">
        <v>10971</v>
      </c>
      <c r="U5025" s="2" t="s">
        <v>599</v>
      </c>
      <c r="V5025" s="2" t="s">
        <v>47</v>
      </c>
      <c r="W5025" s="2" t="s">
        <v>111</v>
      </c>
      <c r="X5025" s="2">
        <v>18.899999999999999</v>
      </c>
    </row>
    <row r="5026" spans="1:24" x14ac:dyDescent="0.3">
      <c r="A5026">
        <v>22860</v>
      </c>
      <c r="B5026" t="s">
        <v>10972</v>
      </c>
      <c r="C5026" s="3">
        <v>41517</v>
      </c>
      <c r="D5026" t="s">
        <v>62</v>
      </c>
      <c r="E5026">
        <v>19</v>
      </c>
      <c r="F5026" s="3">
        <f ca="1">41518+(RANDBETWEEN(1,10))</f>
        <v>41523</v>
      </c>
      <c r="G5026" t="s">
        <v>26</v>
      </c>
      <c r="H5026" t="s">
        <v>27</v>
      </c>
      <c r="I5026" t="s">
        <v>52</v>
      </c>
      <c r="J5026">
        <v>515.09500000000003</v>
      </c>
      <c r="K5026">
        <v>0.05</v>
      </c>
      <c r="L5026">
        <v>0.35</v>
      </c>
      <c r="M5026">
        <v>21.56</v>
      </c>
      <c r="N5026">
        <v>-12.201000000000001</v>
      </c>
      <c r="O5026" s="1" t="s">
        <v>87</v>
      </c>
      <c r="P5026" s="1" t="s">
        <v>9026</v>
      </c>
      <c r="Q5026" s="1" t="s">
        <v>9027</v>
      </c>
      <c r="R5026" s="1" t="s">
        <v>398</v>
      </c>
      <c r="S5026" s="1" t="s">
        <v>9028</v>
      </c>
      <c r="T5026" s="1" t="s">
        <v>9029</v>
      </c>
      <c r="U5026" s="2" t="s">
        <v>3717</v>
      </c>
      <c r="V5026" s="2" t="s">
        <v>47</v>
      </c>
      <c r="W5026" s="2" t="s">
        <v>111</v>
      </c>
      <c r="X5026" s="2">
        <v>26.88</v>
      </c>
    </row>
    <row r="5027" spans="1:24" x14ac:dyDescent="0.3">
      <c r="A5027">
        <v>22861</v>
      </c>
      <c r="B5027" t="s">
        <v>10973</v>
      </c>
      <c r="C5027" s="3">
        <v>41259</v>
      </c>
      <c r="D5027" t="s">
        <v>148</v>
      </c>
      <c r="E5027">
        <v>4</v>
      </c>
      <c r="F5027" s="3">
        <f ca="1">41261+(RANDBETWEEN(1,10))</f>
        <v>41270</v>
      </c>
      <c r="G5027" t="s">
        <v>156</v>
      </c>
      <c r="H5027" t="s">
        <v>27</v>
      </c>
      <c r="I5027" t="s">
        <v>97</v>
      </c>
      <c r="J5027">
        <v>1486.345</v>
      </c>
      <c r="K5027">
        <v>7.0000000000000007E-2</v>
      </c>
      <c r="L5027">
        <v>0.57999999999999996</v>
      </c>
      <c r="M5027">
        <v>8.75</v>
      </c>
      <c r="N5027">
        <v>-452.99099999999999</v>
      </c>
      <c r="O5027" s="1" t="s">
        <v>40</v>
      </c>
      <c r="P5027" s="1" t="s">
        <v>9885</v>
      </c>
      <c r="Q5027" s="1" t="s">
        <v>9886</v>
      </c>
      <c r="R5027" s="1" t="s">
        <v>220</v>
      </c>
      <c r="S5027" s="1" t="s">
        <v>9887</v>
      </c>
      <c r="T5027" s="1" t="s">
        <v>9888</v>
      </c>
      <c r="U5027" s="2" t="s">
        <v>6698</v>
      </c>
      <c r="V5027" s="2" t="s">
        <v>36</v>
      </c>
      <c r="W5027" s="2" t="s">
        <v>37</v>
      </c>
      <c r="X5027" s="2">
        <v>440.96499999999997</v>
      </c>
    </row>
    <row r="5028" spans="1:24" x14ac:dyDescent="0.3">
      <c r="A5028">
        <v>22862</v>
      </c>
      <c r="B5028" t="s">
        <v>10974</v>
      </c>
      <c r="C5028" s="3">
        <v>40971</v>
      </c>
      <c r="D5028" t="s">
        <v>25</v>
      </c>
      <c r="E5028">
        <v>7</v>
      </c>
      <c r="F5028" s="3">
        <f ca="1">40975+(RANDBETWEEN(1,10))</f>
        <v>40984</v>
      </c>
      <c r="G5028" t="s">
        <v>26</v>
      </c>
      <c r="H5028" t="s">
        <v>96</v>
      </c>
      <c r="I5028" t="s">
        <v>86</v>
      </c>
      <c r="J5028">
        <v>180.495</v>
      </c>
      <c r="K5028">
        <v>0.08</v>
      </c>
      <c r="L5028">
        <v>0.52</v>
      </c>
      <c r="M5028">
        <v>12.88</v>
      </c>
      <c r="N5028">
        <v>25.094999999999999</v>
      </c>
      <c r="O5028" s="1" t="s">
        <v>87</v>
      </c>
      <c r="P5028" s="1" t="s">
        <v>3061</v>
      </c>
      <c r="Q5028" s="1" t="s">
        <v>3062</v>
      </c>
      <c r="R5028" s="1" t="s">
        <v>90</v>
      </c>
      <c r="S5028" s="1" t="s">
        <v>3063</v>
      </c>
      <c r="T5028" s="1" t="s">
        <v>3064</v>
      </c>
      <c r="U5028" s="2" t="s">
        <v>2888</v>
      </c>
      <c r="V5028" s="2" t="s">
        <v>83</v>
      </c>
      <c r="W5028" s="2" t="s">
        <v>178</v>
      </c>
      <c r="X5028" s="2">
        <v>26.95</v>
      </c>
    </row>
    <row r="5029" spans="1:24" x14ac:dyDescent="0.3">
      <c r="A5029">
        <v>22863</v>
      </c>
      <c r="B5029" t="s">
        <v>10974</v>
      </c>
      <c r="C5029" s="3">
        <v>40971</v>
      </c>
      <c r="D5029" t="s">
        <v>25</v>
      </c>
      <c r="E5029">
        <v>7</v>
      </c>
      <c r="F5029" s="3">
        <f ca="1">40975+(RANDBETWEEN(1,10))</f>
        <v>40985</v>
      </c>
      <c r="G5029" t="s">
        <v>26</v>
      </c>
      <c r="H5029" t="s">
        <v>27</v>
      </c>
      <c r="I5029" t="s">
        <v>86</v>
      </c>
      <c r="J5029">
        <v>793.17</v>
      </c>
      <c r="K5029">
        <v>0.05</v>
      </c>
      <c r="L5029">
        <v>0.4</v>
      </c>
      <c r="M5029">
        <v>59.78</v>
      </c>
      <c r="N5029">
        <v>77.734999999999999</v>
      </c>
      <c r="O5029" s="1" t="s">
        <v>87</v>
      </c>
      <c r="P5029" s="1" t="s">
        <v>3061</v>
      </c>
      <c r="Q5029" s="1" t="s">
        <v>3062</v>
      </c>
      <c r="R5029" s="1" t="s">
        <v>90</v>
      </c>
      <c r="S5029" s="1" t="s">
        <v>3063</v>
      </c>
      <c r="T5029" s="1" t="s">
        <v>3064</v>
      </c>
      <c r="U5029" s="2" t="s">
        <v>6956</v>
      </c>
      <c r="V5029" s="2" t="s">
        <v>47</v>
      </c>
      <c r="W5029" s="2" t="s">
        <v>74</v>
      </c>
      <c r="X5029" s="2">
        <v>108.43</v>
      </c>
    </row>
    <row r="5030" spans="1:24" x14ac:dyDescent="0.3">
      <c r="A5030">
        <v>22864</v>
      </c>
      <c r="B5030" t="s">
        <v>10975</v>
      </c>
      <c r="C5030" s="3">
        <v>40839</v>
      </c>
      <c r="D5030" t="s">
        <v>50</v>
      </c>
      <c r="E5030">
        <v>2</v>
      </c>
      <c r="F5030" s="3">
        <f ca="1">40840+(RANDBETWEEN(1,10))</f>
        <v>40841</v>
      </c>
      <c r="G5030" t="s">
        <v>26</v>
      </c>
      <c r="H5030" t="s">
        <v>27</v>
      </c>
      <c r="I5030" t="s">
        <v>28</v>
      </c>
      <c r="J5030">
        <v>30.87</v>
      </c>
      <c r="K5030">
        <v>0.06</v>
      </c>
      <c r="L5030">
        <v>0.4</v>
      </c>
      <c r="M5030">
        <v>21.945</v>
      </c>
      <c r="N5030">
        <v>-84.201390000000004</v>
      </c>
      <c r="O5030" s="1" t="s">
        <v>40</v>
      </c>
      <c r="P5030" s="1" t="s">
        <v>7313</v>
      </c>
      <c r="Q5030" s="1" t="s">
        <v>7314</v>
      </c>
      <c r="R5030" s="1" t="s">
        <v>220</v>
      </c>
      <c r="S5030" s="1" t="s">
        <v>7315</v>
      </c>
      <c r="T5030" s="1" t="s">
        <v>7316</v>
      </c>
      <c r="U5030" s="2" t="s">
        <v>1887</v>
      </c>
      <c r="V5030" s="2" t="s">
        <v>47</v>
      </c>
      <c r="W5030" s="2" t="s">
        <v>111</v>
      </c>
      <c r="X5030" s="2">
        <v>11.76</v>
      </c>
    </row>
    <row r="5031" spans="1:24" x14ac:dyDescent="0.3">
      <c r="A5031">
        <v>22865</v>
      </c>
      <c r="B5031" t="s">
        <v>10975</v>
      </c>
      <c r="C5031" s="3">
        <v>40839</v>
      </c>
      <c r="D5031" t="s">
        <v>50</v>
      </c>
      <c r="E5031">
        <v>9</v>
      </c>
      <c r="F5031" s="3">
        <f ca="1">40841+(RANDBETWEEN(1,10))</f>
        <v>40842</v>
      </c>
      <c r="G5031" t="s">
        <v>26</v>
      </c>
      <c r="H5031" t="s">
        <v>63</v>
      </c>
      <c r="I5031" t="s">
        <v>28</v>
      </c>
      <c r="J5031">
        <v>20916.314999999999</v>
      </c>
      <c r="K5031">
        <v>7.0000000000000007E-2</v>
      </c>
      <c r="L5031">
        <v>0.41</v>
      </c>
      <c r="M5031">
        <v>85.715000000000003</v>
      </c>
      <c r="N5031">
        <v>9042.4651799999992</v>
      </c>
      <c r="O5031" s="1" t="s">
        <v>40</v>
      </c>
      <c r="P5031" s="1" t="s">
        <v>7313</v>
      </c>
      <c r="Q5031" s="1" t="s">
        <v>7314</v>
      </c>
      <c r="R5031" s="1" t="s">
        <v>220</v>
      </c>
      <c r="S5031" s="1" t="s">
        <v>7315</v>
      </c>
      <c r="T5031" s="1" t="s">
        <v>7316</v>
      </c>
      <c r="U5031" s="2" t="s">
        <v>1326</v>
      </c>
      <c r="V5031" s="2" t="s">
        <v>36</v>
      </c>
      <c r="W5031" s="2" t="s">
        <v>1327</v>
      </c>
      <c r="X5031" s="2">
        <v>2449.9650000000001</v>
      </c>
    </row>
    <row r="5032" spans="1:24" x14ac:dyDescent="0.3">
      <c r="A5032">
        <v>22866</v>
      </c>
      <c r="B5032" t="s">
        <v>10976</v>
      </c>
      <c r="C5032" s="3">
        <v>41034</v>
      </c>
      <c r="D5032" t="s">
        <v>25</v>
      </c>
      <c r="E5032">
        <v>17</v>
      </c>
      <c r="F5032" s="3">
        <f ca="1">41043+(RANDBETWEEN(1,10))</f>
        <v>41044</v>
      </c>
      <c r="G5032" t="s">
        <v>156</v>
      </c>
      <c r="H5032" t="s">
        <v>27</v>
      </c>
      <c r="I5032" t="s">
        <v>28</v>
      </c>
      <c r="J5032">
        <v>1806.665</v>
      </c>
      <c r="K5032">
        <v>0.04</v>
      </c>
      <c r="L5032">
        <v>0.36</v>
      </c>
      <c r="M5032">
        <v>68.284999999999997</v>
      </c>
      <c r="N5032">
        <v>-264.95</v>
      </c>
      <c r="O5032" s="1" t="s">
        <v>40</v>
      </c>
      <c r="P5032" s="1" t="s">
        <v>3229</v>
      </c>
      <c r="Q5032" s="1" t="s">
        <v>3230</v>
      </c>
      <c r="R5032" s="1" t="s">
        <v>43</v>
      </c>
      <c r="S5032" s="1" t="s">
        <v>454</v>
      </c>
      <c r="T5032" s="1" t="s">
        <v>455</v>
      </c>
      <c r="U5032" s="2" t="s">
        <v>4107</v>
      </c>
      <c r="V5032" s="2" t="s">
        <v>47</v>
      </c>
      <c r="W5032" s="2" t="s">
        <v>48</v>
      </c>
      <c r="X5032" s="2">
        <v>108.43</v>
      </c>
    </row>
    <row r="5033" spans="1:24" x14ac:dyDescent="0.3">
      <c r="A5033">
        <v>22867</v>
      </c>
      <c r="B5033" t="s">
        <v>10977</v>
      </c>
      <c r="C5033" s="3">
        <v>41231</v>
      </c>
      <c r="D5033" t="s">
        <v>148</v>
      </c>
      <c r="E5033">
        <v>28</v>
      </c>
      <c r="F5033" s="3">
        <f ca="1">41231+(RANDBETWEEN(1,10))</f>
        <v>41237</v>
      </c>
      <c r="G5033" t="s">
        <v>76</v>
      </c>
      <c r="H5033" t="s">
        <v>258</v>
      </c>
      <c r="I5033" t="s">
        <v>86</v>
      </c>
      <c r="J5033">
        <v>8023.19</v>
      </c>
      <c r="K5033">
        <v>0.05</v>
      </c>
      <c r="L5033">
        <v>0.6</v>
      </c>
      <c r="M5033">
        <v>195.33500000000001</v>
      </c>
      <c r="N5033">
        <v>648.43100000000004</v>
      </c>
      <c r="O5033" s="1" t="s">
        <v>87</v>
      </c>
      <c r="P5033" s="1" t="s">
        <v>8201</v>
      </c>
      <c r="Q5033" s="1" t="s">
        <v>8202</v>
      </c>
      <c r="R5033" s="1" t="s">
        <v>398</v>
      </c>
      <c r="S5033" s="1" t="s">
        <v>8203</v>
      </c>
      <c r="T5033" s="1" t="s">
        <v>8204</v>
      </c>
      <c r="U5033" s="2" t="s">
        <v>4019</v>
      </c>
      <c r="V5033" s="2" t="s">
        <v>83</v>
      </c>
      <c r="W5033" s="2" t="s">
        <v>298</v>
      </c>
      <c r="X5033" s="2">
        <v>286.79000000000002</v>
      </c>
    </row>
    <row r="5034" spans="1:24" x14ac:dyDescent="0.3">
      <c r="A5034">
        <v>22868</v>
      </c>
      <c r="B5034" t="s">
        <v>10978</v>
      </c>
      <c r="C5034" s="3">
        <v>41962</v>
      </c>
      <c r="D5034" t="s">
        <v>39</v>
      </c>
      <c r="E5034">
        <v>38</v>
      </c>
      <c r="F5034" s="3">
        <f ca="1">41964+(RANDBETWEEN(1,10))</f>
        <v>41972</v>
      </c>
      <c r="G5034" t="s">
        <v>26</v>
      </c>
      <c r="H5034" t="s">
        <v>27</v>
      </c>
      <c r="I5034" t="s">
        <v>52</v>
      </c>
      <c r="J5034">
        <v>821.52</v>
      </c>
      <c r="K5034">
        <v>0</v>
      </c>
      <c r="L5034">
        <v>0.35</v>
      </c>
      <c r="M5034">
        <v>17.395</v>
      </c>
      <c r="N5034">
        <v>85.293291999999994</v>
      </c>
      <c r="O5034" s="1" t="s">
        <v>53</v>
      </c>
      <c r="P5034" s="1" t="s">
        <v>10096</v>
      </c>
      <c r="Q5034" s="1" t="s">
        <v>10097</v>
      </c>
      <c r="R5034" s="1" t="s">
        <v>440</v>
      </c>
      <c r="S5034" s="1" t="s">
        <v>10098</v>
      </c>
      <c r="T5034" s="1" t="s">
        <v>10099</v>
      </c>
      <c r="U5034" s="2" t="s">
        <v>10979</v>
      </c>
      <c r="V5034" s="2" t="s">
        <v>47</v>
      </c>
      <c r="W5034" s="2" t="s">
        <v>111</v>
      </c>
      <c r="X5034" s="2">
        <v>20.195</v>
      </c>
    </row>
    <row r="5035" spans="1:24" x14ac:dyDescent="0.3">
      <c r="A5035">
        <v>22869</v>
      </c>
      <c r="B5035" t="s">
        <v>10980</v>
      </c>
      <c r="C5035" s="3">
        <v>41520</v>
      </c>
      <c r="D5035" t="s">
        <v>50</v>
      </c>
      <c r="E5035">
        <v>2</v>
      </c>
      <c r="F5035" s="3">
        <f ca="1">41521+(RANDBETWEEN(1,10))</f>
        <v>41523</v>
      </c>
      <c r="G5035" t="s">
        <v>26</v>
      </c>
      <c r="H5035" t="s">
        <v>27</v>
      </c>
      <c r="I5035" t="s">
        <v>97</v>
      </c>
      <c r="J5035">
        <v>43.365000000000002</v>
      </c>
      <c r="K5035">
        <v>0.1</v>
      </c>
      <c r="L5035">
        <v>0.36</v>
      </c>
      <c r="M5035">
        <v>19.88</v>
      </c>
      <c r="N5035">
        <v>1193.1759</v>
      </c>
      <c r="O5035" s="1" t="s">
        <v>40</v>
      </c>
      <c r="P5035" s="1" t="s">
        <v>6223</v>
      </c>
      <c r="Q5035" s="1" t="s">
        <v>6224</v>
      </c>
      <c r="R5035" s="1" t="s">
        <v>43</v>
      </c>
      <c r="S5035" s="1" t="s">
        <v>6225</v>
      </c>
      <c r="T5035" s="1" t="s">
        <v>6226</v>
      </c>
      <c r="U5035" s="2" t="s">
        <v>4013</v>
      </c>
      <c r="V5035" s="2" t="s">
        <v>47</v>
      </c>
      <c r="W5035" s="2" t="s">
        <v>111</v>
      </c>
      <c r="X5035" s="2">
        <v>17.184999999999999</v>
      </c>
    </row>
    <row r="5036" spans="1:24" x14ac:dyDescent="0.3">
      <c r="A5036">
        <v>22870</v>
      </c>
      <c r="B5036" t="s">
        <v>10980</v>
      </c>
      <c r="C5036" s="3">
        <v>41520</v>
      </c>
      <c r="D5036" t="s">
        <v>50</v>
      </c>
      <c r="E5036">
        <v>18</v>
      </c>
      <c r="F5036" s="3">
        <f ca="1">41522+(RANDBETWEEN(1,10))</f>
        <v>41529</v>
      </c>
      <c r="G5036" t="s">
        <v>26</v>
      </c>
      <c r="H5036" t="s">
        <v>281</v>
      </c>
      <c r="I5036" t="s">
        <v>97</v>
      </c>
      <c r="J5036">
        <v>6706.665</v>
      </c>
      <c r="K5036">
        <v>0.01</v>
      </c>
      <c r="L5036">
        <v>0.65</v>
      </c>
      <c r="M5036">
        <v>20.335000000000001</v>
      </c>
      <c r="N5036">
        <v>-275.88959999999997</v>
      </c>
      <c r="O5036" s="1" t="s">
        <v>87</v>
      </c>
      <c r="P5036" s="1" t="s">
        <v>10981</v>
      </c>
      <c r="Q5036" s="1" t="s">
        <v>10982</v>
      </c>
      <c r="R5036" s="1" t="s">
        <v>90</v>
      </c>
      <c r="S5036" s="1" t="s">
        <v>4522</v>
      </c>
      <c r="T5036" s="1" t="s">
        <v>4523</v>
      </c>
      <c r="U5036" s="2" t="s">
        <v>351</v>
      </c>
      <c r="V5036" s="2" t="s">
        <v>83</v>
      </c>
      <c r="W5036" s="2" t="s">
        <v>178</v>
      </c>
      <c r="X5036" s="2">
        <v>376.35500000000002</v>
      </c>
    </row>
    <row r="5037" spans="1:24" x14ac:dyDescent="0.3">
      <c r="A5037">
        <v>22871</v>
      </c>
      <c r="B5037" t="s">
        <v>10983</v>
      </c>
      <c r="C5037" s="3">
        <v>40928</v>
      </c>
      <c r="D5037" t="s">
        <v>62</v>
      </c>
      <c r="E5037">
        <v>7</v>
      </c>
      <c r="F5037" s="3">
        <f ca="1">40930+(RANDBETWEEN(1,10))</f>
        <v>40936</v>
      </c>
      <c r="G5037" t="s">
        <v>26</v>
      </c>
      <c r="H5037" t="s">
        <v>27</v>
      </c>
      <c r="I5037" t="s">
        <v>28</v>
      </c>
      <c r="J5037">
        <v>814.31</v>
      </c>
      <c r="K5037">
        <v>0.09</v>
      </c>
      <c r="L5037">
        <v>0.55000000000000004</v>
      </c>
      <c r="M5037">
        <v>69.965000000000003</v>
      </c>
      <c r="N5037">
        <v>302.12700000000001</v>
      </c>
      <c r="O5037" s="1" t="s">
        <v>64</v>
      </c>
      <c r="P5037" s="1" t="s">
        <v>10984</v>
      </c>
      <c r="Q5037" s="1" t="s">
        <v>10985</v>
      </c>
      <c r="R5037" s="1" t="s">
        <v>128</v>
      </c>
      <c r="S5037" s="1" t="s">
        <v>10986</v>
      </c>
      <c r="T5037" s="1" t="s">
        <v>10987</v>
      </c>
      <c r="U5037" s="2" t="s">
        <v>3861</v>
      </c>
      <c r="V5037" s="2" t="s">
        <v>83</v>
      </c>
      <c r="W5037" s="2" t="s">
        <v>178</v>
      </c>
      <c r="X5037" s="2">
        <v>118.93</v>
      </c>
    </row>
    <row r="5038" spans="1:24" x14ac:dyDescent="0.3">
      <c r="A5038">
        <v>22872</v>
      </c>
      <c r="B5038" t="s">
        <v>10988</v>
      </c>
      <c r="C5038" s="3">
        <v>41649</v>
      </c>
      <c r="D5038" t="s">
        <v>62</v>
      </c>
      <c r="E5038">
        <v>10</v>
      </c>
      <c r="F5038" s="3">
        <f ca="1">41651+(RANDBETWEEN(1,10))</f>
        <v>41653</v>
      </c>
      <c r="G5038" t="s">
        <v>76</v>
      </c>
      <c r="H5038" t="s">
        <v>77</v>
      </c>
      <c r="I5038" t="s">
        <v>52</v>
      </c>
      <c r="J5038">
        <v>12741.82</v>
      </c>
      <c r="K5038">
        <v>0.09</v>
      </c>
      <c r="L5038">
        <v>0.65</v>
      </c>
      <c r="M5038">
        <v>346.5</v>
      </c>
      <c r="N5038">
        <v>252.8596</v>
      </c>
      <c r="O5038" s="1" t="s">
        <v>29</v>
      </c>
      <c r="P5038" s="1" t="s">
        <v>10989</v>
      </c>
      <c r="Q5038" s="1" t="s">
        <v>10990</v>
      </c>
      <c r="R5038" s="1" t="s">
        <v>32</v>
      </c>
      <c r="S5038" s="1" t="s">
        <v>9243</v>
      </c>
      <c r="T5038" s="1" t="s">
        <v>9244</v>
      </c>
      <c r="U5038" s="2" t="s">
        <v>1540</v>
      </c>
      <c r="V5038" s="2" t="s">
        <v>47</v>
      </c>
      <c r="W5038" s="2" t="s">
        <v>119</v>
      </c>
      <c r="X5038" s="2">
        <v>1298.43</v>
      </c>
    </row>
    <row r="5039" spans="1:24" x14ac:dyDescent="0.3">
      <c r="A5039">
        <v>22873</v>
      </c>
      <c r="B5039" t="s">
        <v>10991</v>
      </c>
      <c r="C5039" s="3">
        <v>41461</v>
      </c>
      <c r="D5039" t="s">
        <v>50</v>
      </c>
      <c r="E5039">
        <v>13</v>
      </c>
      <c r="F5039" s="3">
        <f ca="1">41463+(RANDBETWEEN(1,10))</f>
        <v>41473</v>
      </c>
      <c r="G5039" t="s">
        <v>76</v>
      </c>
      <c r="H5039" t="s">
        <v>77</v>
      </c>
      <c r="I5039" t="s">
        <v>28</v>
      </c>
      <c r="J5039">
        <v>34946.974999999999</v>
      </c>
      <c r="K5039">
        <v>0.05</v>
      </c>
      <c r="L5039">
        <v>0.4</v>
      </c>
      <c r="M5039">
        <v>193.55</v>
      </c>
      <c r="N5039">
        <v>196.05600000000001</v>
      </c>
      <c r="O5039" s="1" t="s">
        <v>29</v>
      </c>
      <c r="P5039" s="1" t="s">
        <v>10221</v>
      </c>
      <c r="Q5039" s="1" t="s">
        <v>10222</v>
      </c>
      <c r="R5039" s="1" t="s">
        <v>32</v>
      </c>
      <c r="S5039" s="1" t="s">
        <v>10223</v>
      </c>
      <c r="T5039" s="1" t="s">
        <v>10224</v>
      </c>
      <c r="U5039" s="2" t="s">
        <v>8440</v>
      </c>
      <c r="V5039" s="2" t="s">
        <v>36</v>
      </c>
      <c r="W5039" s="2" t="s">
        <v>142</v>
      </c>
      <c r="X5039" s="2">
        <v>2829.7150000000001</v>
      </c>
    </row>
    <row r="5040" spans="1:24" x14ac:dyDescent="0.3">
      <c r="A5040">
        <v>22874</v>
      </c>
      <c r="B5040" t="s">
        <v>10992</v>
      </c>
      <c r="C5040" s="3">
        <v>40870</v>
      </c>
      <c r="D5040" t="s">
        <v>25</v>
      </c>
      <c r="E5040">
        <v>31</v>
      </c>
      <c r="F5040" s="3">
        <f ca="1">40877+(RANDBETWEEN(1,10))</f>
        <v>40882</v>
      </c>
      <c r="G5040" t="s">
        <v>26</v>
      </c>
      <c r="H5040" t="s">
        <v>27</v>
      </c>
      <c r="I5040" t="s">
        <v>97</v>
      </c>
      <c r="J5040">
        <v>1725.15</v>
      </c>
      <c r="K5040">
        <v>7.0000000000000007E-2</v>
      </c>
      <c r="L5040">
        <v>0.57999999999999996</v>
      </c>
      <c r="M5040">
        <v>21.875</v>
      </c>
      <c r="N5040">
        <v>27.65</v>
      </c>
      <c r="O5040" s="1" t="s">
        <v>225</v>
      </c>
      <c r="P5040" s="1" t="s">
        <v>10993</v>
      </c>
      <c r="Q5040" s="1" t="s">
        <v>10994</v>
      </c>
      <c r="R5040" s="1" t="s">
        <v>228</v>
      </c>
      <c r="S5040" s="1" t="s">
        <v>10995</v>
      </c>
      <c r="T5040" s="1" t="s">
        <v>10598</v>
      </c>
      <c r="U5040" s="2" t="s">
        <v>306</v>
      </c>
      <c r="V5040" s="2" t="s">
        <v>47</v>
      </c>
      <c r="W5040" s="2" t="s">
        <v>119</v>
      </c>
      <c r="X5040" s="2">
        <v>59.185000000000002</v>
      </c>
    </row>
    <row r="5041" spans="1:24" x14ac:dyDescent="0.3">
      <c r="A5041">
        <v>22875</v>
      </c>
      <c r="B5041" t="s">
        <v>10996</v>
      </c>
      <c r="C5041" s="3">
        <v>40557</v>
      </c>
      <c r="D5041" t="s">
        <v>62</v>
      </c>
      <c r="E5041">
        <v>7</v>
      </c>
      <c r="F5041" s="3">
        <f ca="1">40559+(RANDBETWEEN(1,10))</f>
        <v>40567</v>
      </c>
      <c r="G5041" t="s">
        <v>26</v>
      </c>
      <c r="H5041" t="s">
        <v>27</v>
      </c>
      <c r="I5041" t="s">
        <v>86</v>
      </c>
      <c r="J5041">
        <v>197.54</v>
      </c>
      <c r="K5041">
        <v>0.08</v>
      </c>
      <c r="L5041">
        <v>0.57999999999999996</v>
      </c>
      <c r="M5041">
        <v>32.305</v>
      </c>
      <c r="N5041">
        <v>-732.375</v>
      </c>
      <c r="O5041" s="1" t="s">
        <v>40</v>
      </c>
      <c r="P5041" s="1" t="s">
        <v>6962</v>
      </c>
      <c r="Q5041" s="1" t="s">
        <v>6963</v>
      </c>
      <c r="R5041" s="1" t="s">
        <v>43</v>
      </c>
      <c r="S5041" s="1" t="s">
        <v>6964</v>
      </c>
      <c r="T5041" s="1" t="s">
        <v>6965</v>
      </c>
      <c r="U5041" s="2" t="s">
        <v>4333</v>
      </c>
      <c r="V5041" s="2" t="s">
        <v>47</v>
      </c>
      <c r="W5041" s="2" t="s">
        <v>71</v>
      </c>
      <c r="X5041" s="2">
        <v>27.195</v>
      </c>
    </row>
    <row r="5042" spans="1:24" x14ac:dyDescent="0.3">
      <c r="A5042">
        <v>22876</v>
      </c>
      <c r="B5042" t="s">
        <v>10997</v>
      </c>
      <c r="C5042" s="3">
        <v>41653</v>
      </c>
      <c r="D5042" t="s">
        <v>62</v>
      </c>
      <c r="E5042">
        <v>6</v>
      </c>
      <c r="F5042" s="3">
        <f ca="1">41653+(RANDBETWEEN(1,10))</f>
        <v>41655</v>
      </c>
      <c r="G5042" t="s">
        <v>76</v>
      </c>
      <c r="H5042" t="s">
        <v>77</v>
      </c>
      <c r="I5042" t="s">
        <v>86</v>
      </c>
      <c r="J5042">
        <v>6576.6049999999996</v>
      </c>
      <c r="K5042">
        <v>0.02</v>
      </c>
      <c r="L5042">
        <v>0.56000000000000005</v>
      </c>
      <c r="M5042">
        <v>92.855000000000004</v>
      </c>
      <c r="N5042">
        <v>3790.7926000000002</v>
      </c>
      <c r="O5042" s="1" t="s">
        <v>40</v>
      </c>
      <c r="P5042" s="1" t="s">
        <v>6962</v>
      </c>
      <c r="Q5042" s="1" t="s">
        <v>6963</v>
      </c>
      <c r="R5042" s="1" t="s">
        <v>43</v>
      </c>
      <c r="S5042" s="1" t="s">
        <v>6964</v>
      </c>
      <c r="T5042" s="1" t="s">
        <v>6965</v>
      </c>
      <c r="U5042" s="2" t="s">
        <v>481</v>
      </c>
      <c r="V5042" s="2" t="s">
        <v>36</v>
      </c>
      <c r="W5042" s="2" t="s">
        <v>142</v>
      </c>
      <c r="X5042" s="2">
        <v>1071.49</v>
      </c>
    </row>
    <row r="5043" spans="1:24" x14ac:dyDescent="0.3">
      <c r="A5043">
        <v>22877</v>
      </c>
      <c r="B5043" t="s">
        <v>10996</v>
      </c>
      <c r="C5043" s="3">
        <v>40557</v>
      </c>
      <c r="D5043" t="s">
        <v>62</v>
      </c>
      <c r="E5043">
        <v>3</v>
      </c>
      <c r="F5043" s="3">
        <f ca="1">40559+(RANDBETWEEN(1,10))</f>
        <v>40567</v>
      </c>
      <c r="G5043" t="s">
        <v>156</v>
      </c>
      <c r="H5043" t="s">
        <v>27</v>
      </c>
      <c r="I5043" t="s">
        <v>86</v>
      </c>
      <c r="J5043">
        <v>198.55500000000001</v>
      </c>
      <c r="K5043">
        <v>0.1</v>
      </c>
      <c r="L5043">
        <v>0.37</v>
      </c>
      <c r="M5043">
        <v>33.39</v>
      </c>
      <c r="N5043">
        <v>-32.072600000000001</v>
      </c>
      <c r="O5043" s="1" t="s">
        <v>40</v>
      </c>
      <c r="P5043" s="1" t="s">
        <v>6962</v>
      </c>
      <c r="Q5043" s="1" t="s">
        <v>6963</v>
      </c>
      <c r="R5043" s="1" t="s">
        <v>43</v>
      </c>
      <c r="S5043" s="1" t="s">
        <v>6964</v>
      </c>
      <c r="T5043" s="1" t="s">
        <v>6965</v>
      </c>
      <c r="U5043" s="2" t="s">
        <v>838</v>
      </c>
      <c r="V5043" s="2" t="s">
        <v>47</v>
      </c>
      <c r="W5043" s="2" t="s">
        <v>74</v>
      </c>
      <c r="X5043" s="2">
        <v>66.394999999999996</v>
      </c>
    </row>
    <row r="5044" spans="1:24" x14ac:dyDescent="0.3">
      <c r="A5044">
        <v>22878</v>
      </c>
      <c r="B5044" t="s">
        <v>10998</v>
      </c>
      <c r="C5044" s="3">
        <v>41392</v>
      </c>
      <c r="D5044" t="s">
        <v>25</v>
      </c>
      <c r="E5044">
        <v>3</v>
      </c>
      <c r="F5044" s="3">
        <f ca="1">41392+(RANDBETWEEN(1,10))</f>
        <v>41397</v>
      </c>
      <c r="G5044" t="s">
        <v>26</v>
      </c>
      <c r="H5044" t="s">
        <v>27</v>
      </c>
      <c r="I5044" t="s">
        <v>52</v>
      </c>
      <c r="J5044">
        <v>52.954999999999998</v>
      </c>
      <c r="K5044">
        <v>0.04</v>
      </c>
      <c r="L5044">
        <v>0.54</v>
      </c>
      <c r="M5044">
        <v>25.34</v>
      </c>
      <c r="N5044">
        <v>-130.62</v>
      </c>
      <c r="O5044" s="1" t="s">
        <v>40</v>
      </c>
      <c r="P5044" s="1" t="s">
        <v>10999</v>
      </c>
      <c r="Q5044" s="1" t="s">
        <v>11000</v>
      </c>
      <c r="R5044" s="1" t="s">
        <v>43</v>
      </c>
      <c r="S5044" s="1" t="s">
        <v>10024</v>
      </c>
      <c r="T5044" s="1" t="s">
        <v>10025</v>
      </c>
      <c r="U5044" s="2" t="s">
        <v>4939</v>
      </c>
      <c r="V5044" s="2" t="s">
        <v>83</v>
      </c>
      <c r="W5044" s="2" t="s">
        <v>178</v>
      </c>
      <c r="X5044" s="2">
        <v>15.68</v>
      </c>
    </row>
    <row r="5045" spans="1:24" x14ac:dyDescent="0.3">
      <c r="A5045">
        <v>22879</v>
      </c>
      <c r="B5045" t="s">
        <v>11001</v>
      </c>
      <c r="C5045" s="3">
        <v>41214</v>
      </c>
      <c r="D5045" t="s">
        <v>50</v>
      </c>
      <c r="E5045">
        <v>39</v>
      </c>
      <c r="F5045" s="3">
        <f ca="1">41215+(RANDBETWEEN(1,10))</f>
        <v>41217</v>
      </c>
      <c r="G5045" t="s">
        <v>26</v>
      </c>
      <c r="H5045" t="s">
        <v>51</v>
      </c>
      <c r="I5045" t="s">
        <v>28</v>
      </c>
      <c r="J5045">
        <v>1493.1</v>
      </c>
      <c r="K5045">
        <v>0.01</v>
      </c>
      <c r="L5045">
        <v>0.59</v>
      </c>
      <c r="M5045">
        <v>16.38</v>
      </c>
      <c r="N5045">
        <v>7.1470000000000002</v>
      </c>
      <c r="O5045" s="1" t="s">
        <v>29</v>
      </c>
      <c r="P5045" s="1" t="s">
        <v>11002</v>
      </c>
      <c r="Q5045" s="1" t="s">
        <v>11003</v>
      </c>
      <c r="R5045" s="1" t="s">
        <v>460</v>
      </c>
      <c r="S5045" s="1" t="s">
        <v>5492</v>
      </c>
      <c r="T5045" s="1" t="s">
        <v>5493</v>
      </c>
      <c r="U5045" s="2" t="s">
        <v>3567</v>
      </c>
      <c r="V5045" s="2" t="s">
        <v>47</v>
      </c>
      <c r="W5045" s="2" t="s">
        <v>94</v>
      </c>
      <c r="X5045" s="2">
        <v>35.805</v>
      </c>
    </row>
    <row r="5046" spans="1:24" x14ac:dyDescent="0.3">
      <c r="A5046">
        <v>22880</v>
      </c>
      <c r="B5046" t="s">
        <v>11004</v>
      </c>
      <c r="C5046" s="3">
        <v>41982</v>
      </c>
      <c r="D5046" t="s">
        <v>148</v>
      </c>
      <c r="E5046">
        <v>2</v>
      </c>
      <c r="F5046" s="3">
        <f ca="1">41984+(RANDBETWEEN(1,10))</f>
        <v>41985</v>
      </c>
      <c r="G5046" t="s">
        <v>76</v>
      </c>
      <c r="H5046" t="s">
        <v>77</v>
      </c>
      <c r="I5046" t="s">
        <v>86</v>
      </c>
      <c r="J5046">
        <v>10666.495000000001</v>
      </c>
      <c r="K5046">
        <v>0.06</v>
      </c>
      <c r="L5046">
        <v>0.56999999999999995</v>
      </c>
      <c r="M5046">
        <v>103.95</v>
      </c>
      <c r="N5046">
        <v>60.396000000000001</v>
      </c>
      <c r="O5046" s="1" t="s">
        <v>87</v>
      </c>
      <c r="P5046" s="1" t="s">
        <v>11005</v>
      </c>
      <c r="Q5046" s="1" t="s">
        <v>11006</v>
      </c>
      <c r="R5046" s="1" t="s">
        <v>398</v>
      </c>
      <c r="S5046" s="1" t="s">
        <v>11007</v>
      </c>
      <c r="T5046" s="1" t="s">
        <v>11008</v>
      </c>
      <c r="U5046" s="2" t="s">
        <v>141</v>
      </c>
      <c r="V5046" s="2" t="s">
        <v>36</v>
      </c>
      <c r="W5046" s="2" t="s">
        <v>142</v>
      </c>
      <c r="X5046" s="2">
        <v>5253.3950000000004</v>
      </c>
    </row>
    <row r="5047" spans="1:24" x14ac:dyDescent="0.3">
      <c r="A5047">
        <v>22881</v>
      </c>
      <c r="B5047" t="s">
        <v>11004</v>
      </c>
      <c r="C5047" s="3">
        <v>41982</v>
      </c>
      <c r="D5047" t="s">
        <v>148</v>
      </c>
      <c r="E5047">
        <v>23</v>
      </c>
      <c r="F5047" s="3">
        <f ca="1">41985+(RANDBETWEEN(1,10))</f>
        <v>41988</v>
      </c>
      <c r="G5047" t="s">
        <v>76</v>
      </c>
      <c r="H5047" t="s">
        <v>258</v>
      </c>
      <c r="I5047" t="s">
        <v>86</v>
      </c>
      <c r="J5047">
        <v>6608.49</v>
      </c>
      <c r="K5047">
        <v>0.06</v>
      </c>
      <c r="L5047">
        <v>0.4</v>
      </c>
      <c r="M5047">
        <v>105.21</v>
      </c>
      <c r="N5047">
        <v>-159.887</v>
      </c>
      <c r="O5047" s="1" t="s">
        <v>87</v>
      </c>
      <c r="P5047" s="1" t="s">
        <v>11005</v>
      </c>
      <c r="Q5047" s="1" t="s">
        <v>11006</v>
      </c>
      <c r="R5047" s="1" t="s">
        <v>398</v>
      </c>
      <c r="S5047" s="1" t="s">
        <v>11007</v>
      </c>
      <c r="T5047" s="1" t="s">
        <v>11008</v>
      </c>
      <c r="U5047" s="2" t="s">
        <v>286</v>
      </c>
      <c r="V5047" s="2" t="s">
        <v>36</v>
      </c>
      <c r="W5047" s="2" t="s">
        <v>142</v>
      </c>
      <c r="X5047" s="2">
        <v>283.39499999999998</v>
      </c>
    </row>
    <row r="5048" spans="1:24" x14ac:dyDescent="0.3">
      <c r="A5048">
        <v>22882</v>
      </c>
      <c r="B5048" t="s">
        <v>11004</v>
      </c>
      <c r="C5048" s="3">
        <v>41982</v>
      </c>
      <c r="D5048" t="s">
        <v>148</v>
      </c>
      <c r="E5048">
        <v>15</v>
      </c>
      <c r="F5048" s="3">
        <f ca="1">41984+(RANDBETWEEN(1,10))</f>
        <v>41992</v>
      </c>
      <c r="G5048" t="s">
        <v>26</v>
      </c>
      <c r="H5048" t="s">
        <v>27</v>
      </c>
      <c r="I5048" t="s">
        <v>86</v>
      </c>
      <c r="J5048">
        <v>2693.6</v>
      </c>
      <c r="K5048">
        <v>0.09</v>
      </c>
      <c r="L5048">
        <v>0.56000000000000005</v>
      </c>
      <c r="M5048">
        <v>31.465</v>
      </c>
      <c r="N5048">
        <v>-181.49600000000001</v>
      </c>
      <c r="O5048" s="1" t="s">
        <v>87</v>
      </c>
      <c r="P5048" s="1" t="s">
        <v>11005</v>
      </c>
      <c r="Q5048" s="1" t="s">
        <v>11006</v>
      </c>
      <c r="R5048" s="1" t="s">
        <v>398</v>
      </c>
      <c r="S5048" s="1" t="s">
        <v>11007</v>
      </c>
      <c r="T5048" s="1" t="s">
        <v>11008</v>
      </c>
      <c r="U5048" s="2">
        <v>5180</v>
      </c>
      <c r="V5048" s="2" t="s">
        <v>36</v>
      </c>
      <c r="W5048" s="2" t="s">
        <v>37</v>
      </c>
      <c r="X5048" s="2">
        <v>230.965</v>
      </c>
    </row>
    <row r="5049" spans="1:24" x14ac:dyDescent="0.3">
      <c r="A5049">
        <v>22883</v>
      </c>
      <c r="B5049" t="s">
        <v>11009</v>
      </c>
      <c r="C5049" s="3">
        <v>41482</v>
      </c>
      <c r="D5049" t="s">
        <v>25</v>
      </c>
      <c r="E5049">
        <v>5</v>
      </c>
      <c r="F5049" s="3">
        <f ca="1">41484+(RANDBETWEEN(1,10))</f>
        <v>41489</v>
      </c>
      <c r="G5049" t="s">
        <v>26</v>
      </c>
      <c r="H5049" t="s">
        <v>63</v>
      </c>
      <c r="I5049" t="s">
        <v>86</v>
      </c>
      <c r="J5049">
        <v>2356.7600000000002</v>
      </c>
      <c r="K5049">
        <v>0.08</v>
      </c>
      <c r="L5049" t="s">
        <v>182</v>
      </c>
      <c r="M5049">
        <v>122.5</v>
      </c>
      <c r="N5049">
        <v>-1836.59</v>
      </c>
      <c r="O5049" s="1" t="s">
        <v>87</v>
      </c>
      <c r="P5049" s="1" t="s">
        <v>11010</v>
      </c>
      <c r="Q5049" s="1" t="s">
        <v>11011</v>
      </c>
      <c r="R5049" s="1" t="s">
        <v>646</v>
      </c>
      <c r="S5049" s="1" t="s">
        <v>2520</v>
      </c>
      <c r="T5049" s="1" t="s">
        <v>2521</v>
      </c>
      <c r="U5049" s="2" t="s">
        <v>844</v>
      </c>
      <c r="V5049" s="2" t="s">
        <v>47</v>
      </c>
      <c r="W5049" s="2" t="s">
        <v>119</v>
      </c>
      <c r="X5049" s="2">
        <v>483.49</v>
      </c>
    </row>
    <row r="5050" spans="1:24" x14ac:dyDescent="0.3">
      <c r="A5050">
        <v>22884</v>
      </c>
      <c r="B5050" t="s">
        <v>11012</v>
      </c>
      <c r="C5050" s="3">
        <v>41346</v>
      </c>
      <c r="D5050" t="s">
        <v>25</v>
      </c>
      <c r="E5050">
        <v>6</v>
      </c>
      <c r="F5050" s="3">
        <f ca="1">41350+(RANDBETWEEN(1,10))</f>
        <v>41352</v>
      </c>
      <c r="G5050" t="s">
        <v>156</v>
      </c>
      <c r="H5050" t="s">
        <v>27</v>
      </c>
      <c r="I5050" t="s">
        <v>28</v>
      </c>
      <c r="J5050">
        <v>167.685</v>
      </c>
      <c r="K5050">
        <v>0.1</v>
      </c>
      <c r="L5050">
        <v>0.4</v>
      </c>
      <c r="M5050">
        <v>31.29</v>
      </c>
      <c r="N5050">
        <v>-400.44725</v>
      </c>
      <c r="O5050" s="1" t="s">
        <v>87</v>
      </c>
      <c r="P5050" s="1" t="s">
        <v>601</v>
      </c>
      <c r="Q5050" s="1" t="s">
        <v>602</v>
      </c>
      <c r="R5050" s="1" t="s">
        <v>497</v>
      </c>
      <c r="S5050" s="1" t="s">
        <v>603</v>
      </c>
      <c r="T5050" s="1" t="s">
        <v>604</v>
      </c>
      <c r="U5050" s="2" t="s">
        <v>2966</v>
      </c>
      <c r="V5050" s="2" t="s">
        <v>47</v>
      </c>
      <c r="W5050" s="2" t="s">
        <v>111</v>
      </c>
      <c r="X5050" s="2">
        <v>28.14</v>
      </c>
    </row>
    <row r="5051" spans="1:24" x14ac:dyDescent="0.3">
      <c r="A5051">
        <v>22885</v>
      </c>
      <c r="B5051" t="s">
        <v>11013</v>
      </c>
      <c r="C5051" s="3">
        <v>40926</v>
      </c>
      <c r="D5051" t="s">
        <v>50</v>
      </c>
      <c r="E5051">
        <v>2</v>
      </c>
      <c r="F5051" s="3">
        <f ca="1">40928+(RANDBETWEEN(1,10))</f>
        <v>40930</v>
      </c>
      <c r="G5051" t="s">
        <v>26</v>
      </c>
      <c r="H5051" t="s">
        <v>96</v>
      </c>
      <c r="I5051" t="s">
        <v>86</v>
      </c>
      <c r="J5051">
        <v>117.075</v>
      </c>
      <c r="K5051">
        <v>0.09</v>
      </c>
      <c r="L5051">
        <v>0.56999999999999995</v>
      </c>
      <c r="M5051">
        <v>3.4649999999999999</v>
      </c>
      <c r="N5051">
        <v>-276.46233999999998</v>
      </c>
      <c r="O5051" s="1" t="s">
        <v>64</v>
      </c>
      <c r="P5051" s="1" t="s">
        <v>10946</v>
      </c>
      <c r="Q5051" s="1" t="s">
        <v>10947</v>
      </c>
      <c r="R5051" s="1" t="s">
        <v>67</v>
      </c>
      <c r="S5051" s="1" t="s">
        <v>10948</v>
      </c>
      <c r="T5051" s="1" t="s">
        <v>10949</v>
      </c>
      <c r="U5051" s="2" t="s">
        <v>5426</v>
      </c>
      <c r="V5051" s="2" t="s">
        <v>36</v>
      </c>
      <c r="W5051" s="2" t="s">
        <v>37</v>
      </c>
      <c r="X5051" s="2">
        <v>73.465000000000003</v>
      </c>
    </row>
    <row r="5052" spans="1:24" x14ac:dyDescent="0.3">
      <c r="A5052">
        <v>22886</v>
      </c>
      <c r="B5052" t="s">
        <v>11014</v>
      </c>
      <c r="C5052" s="3">
        <v>41794</v>
      </c>
      <c r="D5052" t="s">
        <v>62</v>
      </c>
      <c r="E5052">
        <v>6</v>
      </c>
      <c r="F5052" s="3">
        <f ca="1">41796+(RANDBETWEEN(1,10))</f>
        <v>41805</v>
      </c>
      <c r="G5052" t="s">
        <v>26</v>
      </c>
      <c r="H5052" t="s">
        <v>96</v>
      </c>
      <c r="I5052" t="s">
        <v>97</v>
      </c>
      <c r="J5052">
        <v>818.16</v>
      </c>
      <c r="K5052">
        <v>0.03</v>
      </c>
      <c r="L5052">
        <v>0.38</v>
      </c>
      <c r="M5052">
        <v>17.78</v>
      </c>
      <c r="N5052">
        <v>1187.2139999999999</v>
      </c>
      <c r="O5052" s="1" t="s">
        <v>87</v>
      </c>
      <c r="P5052" s="1" t="s">
        <v>8141</v>
      </c>
      <c r="Q5052" s="1" t="s">
        <v>8142</v>
      </c>
      <c r="R5052" s="1" t="s">
        <v>90</v>
      </c>
      <c r="S5052" s="1" t="s">
        <v>8143</v>
      </c>
      <c r="T5052" s="1" t="s">
        <v>8144</v>
      </c>
      <c r="U5052" s="2" t="s">
        <v>2638</v>
      </c>
      <c r="V5052" s="2" t="s">
        <v>47</v>
      </c>
      <c r="W5052" s="2" t="s">
        <v>74</v>
      </c>
      <c r="X5052" s="2">
        <v>132.79</v>
      </c>
    </row>
    <row r="5053" spans="1:24" x14ac:dyDescent="0.3">
      <c r="A5053">
        <v>22887</v>
      </c>
      <c r="B5053" t="s">
        <v>11015</v>
      </c>
      <c r="C5053" s="3">
        <v>41787</v>
      </c>
      <c r="D5053" t="s">
        <v>39</v>
      </c>
      <c r="E5053">
        <v>13</v>
      </c>
      <c r="F5053" s="3">
        <f ca="1">41789+(RANDBETWEEN(1,10))</f>
        <v>41796</v>
      </c>
      <c r="G5053" t="s">
        <v>156</v>
      </c>
      <c r="H5053" t="s">
        <v>27</v>
      </c>
      <c r="I5053" t="s">
        <v>86</v>
      </c>
      <c r="J5053">
        <v>285.07499999999999</v>
      </c>
      <c r="K5053">
        <v>0.1</v>
      </c>
      <c r="L5053">
        <v>0.37</v>
      </c>
      <c r="M5053">
        <v>21.77</v>
      </c>
      <c r="N5053">
        <v>26.481000000000002</v>
      </c>
      <c r="O5053" s="1" t="s">
        <v>87</v>
      </c>
      <c r="P5053" s="1" t="s">
        <v>11005</v>
      </c>
      <c r="Q5053" s="1" t="s">
        <v>11006</v>
      </c>
      <c r="R5053" s="1" t="s">
        <v>398</v>
      </c>
      <c r="S5053" s="1" t="s">
        <v>11007</v>
      </c>
      <c r="T5053" s="1" t="s">
        <v>11008</v>
      </c>
      <c r="U5053" s="2" t="s">
        <v>4158</v>
      </c>
      <c r="V5053" s="2" t="s">
        <v>47</v>
      </c>
      <c r="W5053" s="2" t="s">
        <v>74</v>
      </c>
      <c r="X5053" s="2">
        <v>22.68</v>
      </c>
    </row>
    <row r="5054" spans="1:24" x14ac:dyDescent="0.3">
      <c r="A5054">
        <v>22888</v>
      </c>
      <c r="B5054" t="s">
        <v>11016</v>
      </c>
      <c r="C5054" s="3">
        <v>40933</v>
      </c>
      <c r="D5054" t="s">
        <v>62</v>
      </c>
      <c r="E5054">
        <v>11</v>
      </c>
      <c r="F5054" s="3">
        <f ca="1">40936+(RANDBETWEEN(1,10))</f>
        <v>40944</v>
      </c>
      <c r="G5054" t="s">
        <v>76</v>
      </c>
      <c r="H5054" t="s">
        <v>258</v>
      </c>
      <c r="I5054" t="s">
        <v>28</v>
      </c>
      <c r="J5054">
        <v>13233.92</v>
      </c>
      <c r="K5054">
        <v>0.01</v>
      </c>
      <c r="L5054">
        <v>0.71</v>
      </c>
      <c r="M5054">
        <v>148.82</v>
      </c>
      <c r="N5054">
        <v>-4205.6699090000002</v>
      </c>
      <c r="O5054" s="1" t="s">
        <v>29</v>
      </c>
      <c r="P5054" s="1" t="s">
        <v>7436</v>
      </c>
      <c r="Q5054" s="1" t="s">
        <v>7437</v>
      </c>
      <c r="R5054" s="1" t="s">
        <v>675</v>
      </c>
      <c r="S5054" s="1" t="s">
        <v>7438</v>
      </c>
      <c r="T5054" s="1" t="s">
        <v>7439</v>
      </c>
      <c r="U5054" s="2" t="s">
        <v>2984</v>
      </c>
      <c r="V5054" s="2" t="s">
        <v>83</v>
      </c>
      <c r="W5054" s="2" t="s">
        <v>263</v>
      </c>
      <c r="X5054" s="2">
        <v>1403.43</v>
      </c>
    </row>
    <row r="5055" spans="1:24" x14ac:dyDescent="0.3">
      <c r="A5055">
        <v>22889</v>
      </c>
      <c r="B5055" t="s">
        <v>11017</v>
      </c>
      <c r="C5055" s="3">
        <v>40967</v>
      </c>
      <c r="D5055" t="s">
        <v>25</v>
      </c>
      <c r="E5055">
        <v>4</v>
      </c>
      <c r="F5055" s="3">
        <f ca="1">40970+(RANDBETWEEN(1,10))</f>
        <v>40973</v>
      </c>
      <c r="G5055" t="s">
        <v>26</v>
      </c>
      <c r="H5055" t="s">
        <v>51</v>
      </c>
      <c r="I5055" t="s">
        <v>28</v>
      </c>
      <c r="J5055">
        <v>453.98500000000001</v>
      </c>
      <c r="K5055">
        <v>0.05</v>
      </c>
      <c r="L5055">
        <v>0.57999999999999996</v>
      </c>
      <c r="M5055">
        <v>31.465</v>
      </c>
      <c r="N5055">
        <v>51.134999999999998</v>
      </c>
      <c r="O5055" s="1" t="s">
        <v>225</v>
      </c>
      <c r="P5055" s="1" t="s">
        <v>8165</v>
      </c>
      <c r="Q5055" s="1" t="s">
        <v>8166</v>
      </c>
      <c r="R5055" s="1" t="s">
        <v>228</v>
      </c>
      <c r="S5055" s="1" t="s">
        <v>8167</v>
      </c>
      <c r="T5055" s="1" t="s">
        <v>8168</v>
      </c>
      <c r="U5055" s="2" t="s">
        <v>1439</v>
      </c>
      <c r="V5055" s="2" t="s">
        <v>47</v>
      </c>
      <c r="W5055" s="2" t="s">
        <v>104</v>
      </c>
      <c r="X5055" s="2">
        <v>108.43</v>
      </c>
    </row>
    <row r="5056" spans="1:24" x14ac:dyDescent="0.3">
      <c r="A5056">
        <v>22890</v>
      </c>
      <c r="B5056" t="s">
        <v>11018</v>
      </c>
      <c r="C5056" s="3">
        <v>40856</v>
      </c>
      <c r="D5056" t="s">
        <v>39</v>
      </c>
      <c r="E5056">
        <v>3</v>
      </c>
      <c r="F5056" s="3">
        <f ca="1">40858+(RANDBETWEEN(1,10))</f>
        <v>40867</v>
      </c>
      <c r="G5056" t="s">
        <v>26</v>
      </c>
      <c r="H5056" t="s">
        <v>27</v>
      </c>
      <c r="I5056" t="s">
        <v>28</v>
      </c>
      <c r="J5056">
        <v>79.974999999999994</v>
      </c>
      <c r="K5056">
        <v>0.02</v>
      </c>
      <c r="L5056">
        <v>0.36</v>
      </c>
      <c r="M5056">
        <v>18.024999999999999</v>
      </c>
      <c r="N5056">
        <v>7.49</v>
      </c>
      <c r="O5056" s="1" t="s">
        <v>225</v>
      </c>
      <c r="P5056" s="1" t="s">
        <v>11019</v>
      </c>
      <c r="Q5056" s="1" t="s">
        <v>11020</v>
      </c>
      <c r="R5056" s="1" t="s">
        <v>228</v>
      </c>
      <c r="S5056" s="1" t="s">
        <v>11021</v>
      </c>
      <c r="T5056" s="1" t="s">
        <v>11022</v>
      </c>
      <c r="U5056" s="2" t="s">
        <v>542</v>
      </c>
      <c r="V5056" s="2" t="s">
        <v>47</v>
      </c>
      <c r="W5056" s="2" t="s">
        <v>74</v>
      </c>
      <c r="X5056" s="2">
        <v>20.93</v>
      </c>
    </row>
    <row r="5057" spans="1:24" x14ac:dyDescent="0.3">
      <c r="A5057">
        <v>22891</v>
      </c>
      <c r="B5057" t="s">
        <v>11023</v>
      </c>
      <c r="C5057" s="3">
        <v>41401</v>
      </c>
      <c r="D5057" t="s">
        <v>148</v>
      </c>
      <c r="E5057">
        <v>15</v>
      </c>
      <c r="F5057" s="3">
        <f ca="1">41403+(RANDBETWEEN(1,10))</f>
        <v>41406</v>
      </c>
      <c r="G5057" t="s">
        <v>26</v>
      </c>
      <c r="H5057" t="s">
        <v>96</v>
      </c>
      <c r="I5057" t="s">
        <v>97</v>
      </c>
      <c r="J5057">
        <v>403.79500000000002</v>
      </c>
      <c r="K5057">
        <v>0.03</v>
      </c>
      <c r="L5057">
        <v>0.42</v>
      </c>
      <c r="M5057">
        <v>14</v>
      </c>
      <c r="N5057">
        <v>118.33499999999999</v>
      </c>
      <c r="O5057" s="1" t="s">
        <v>53</v>
      </c>
      <c r="P5057" s="1" t="s">
        <v>11024</v>
      </c>
      <c r="Q5057" s="1" t="s">
        <v>11025</v>
      </c>
      <c r="R5057" s="1" t="s">
        <v>100</v>
      </c>
      <c r="S5057" s="1" t="s">
        <v>11026</v>
      </c>
      <c r="T5057" s="1" t="s">
        <v>11027</v>
      </c>
      <c r="U5057" s="2" t="s">
        <v>2801</v>
      </c>
      <c r="V5057" s="2" t="s">
        <v>83</v>
      </c>
      <c r="W5057" s="2" t="s">
        <v>178</v>
      </c>
      <c r="X5057" s="2">
        <v>26.565000000000001</v>
      </c>
    </row>
    <row r="5058" spans="1:24" x14ac:dyDescent="0.3">
      <c r="A5058">
        <v>22892</v>
      </c>
      <c r="B5058" t="s">
        <v>11023</v>
      </c>
      <c r="C5058" s="3">
        <v>41401</v>
      </c>
      <c r="D5058" t="s">
        <v>148</v>
      </c>
      <c r="E5058">
        <v>4</v>
      </c>
      <c r="F5058" s="3">
        <f ca="1">41401+(RANDBETWEEN(1,10))</f>
        <v>41411</v>
      </c>
      <c r="G5058" t="s">
        <v>26</v>
      </c>
      <c r="H5058" t="s">
        <v>27</v>
      </c>
      <c r="I5058" t="s">
        <v>97</v>
      </c>
      <c r="J5058">
        <v>1571.5</v>
      </c>
      <c r="K5058">
        <v>0.01</v>
      </c>
      <c r="L5058">
        <v>0.37</v>
      </c>
      <c r="M5058">
        <v>69.965000000000003</v>
      </c>
      <c r="N5058">
        <v>950.25</v>
      </c>
      <c r="O5058" s="1" t="s">
        <v>53</v>
      </c>
      <c r="P5058" s="1" t="s">
        <v>11024</v>
      </c>
      <c r="Q5058" s="1" t="s">
        <v>11025</v>
      </c>
      <c r="R5058" s="1" t="s">
        <v>100</v>
      </c>
      <c r="S5058" s="1" t="s">
        <v>11026</v>
      </c>
      <c r="T5058" s="1" t="s">
        <v>11027</v>
      </c>
      <c r="U5058" s="2" t="s">
        <v>9706</v>
      </c>
      <c r="V5058" s="2" t="s">
        <v>47</v>
      </c>
      <c r="W5058" s="2" t="s">
        <v>74</v>
      </c>
      <c r="X5058" s="2">
        <v>366.97500000000002</v>
      </c>
    </row>
    <row r="5059" spans="1:24" x14ac:dyDescent="0.3">
      <c r="A5059">
        <v>22893</v>
      </c>
      <c r="B5059" t="s">
        <v>11028</v>
      </c>
      <c r="C5059" s="3">
        <v>41218</v>
      </c>
      <c r="D5059" t="s">
        <v>50</v>
      </c>
      <c r="E5059">
        <v>25</v>
      </c>
      <c r="F5059" s="3">
        <f ca="1">41218+(RANDBETWEEN(1,10))</f>
        <v>41227</v>
      </c>
      <c r="G5059" t="s">
        <v>26</v>
      </c>
      <c r="H5059" t="s">
        <v>27</v>
      </c>
      <c r="I5059" t="s">
        <v>28</v>
      </c>
      <c r="J5059">
        <v>3495.31</v>
      </c>
      <c r="K5059">
        <v>0.1</v>
      </c>
      <c r="L5059">
        <v>0.56000000000000005</v>
      </c>
      <c r="M5059">
        <v>15.75</v>
      </c>
      <c r="N5059">
        <v>2057.1320000000001</v>
      </c>
      <c r="O5059" s="1" t="s">
        <v>225</v>
      </c>
      <c r="P5059" s="1" t="s">
        <v>11029</v>
      </c>
      <c r="Q5059" s="1" t="s">
        <v>11030</v>
      </c>
      <c r="R5059" s="1" t="s">
        <v>228</v>
      </c>
      <c r="S5059" s="1" t="s">
        <v>1788</v>
      </c>
      <c r="T5059" s="1" t="s">
        <v>1789</v>
      </c>
      <c r="U5059" s="2" t="s">
        <v>10154</v>
      </c>
      <c r="V5059" s="2" t="s">
        <v>47</v>
      </c>
      <c r="W5059" s="2" t="s">
        <v>71</v>
      </c>
      <c r="X5059" s="2">
        <v>145.98500000000001</v>
      </c>
    </row>
    <row r="5060" spans="1:24" x14ac:dyDescent="0.3">
      <c r="A5060">
        <v>22894</v>
      </c>
      <c r="B5060" t="s">
        <v>11028</v>
      </c>
      <c r="C5060" s="3">
        <v>41218</v>
      </c>
      <c r="D5060" t="s">
        <v>50</v>
      </c>
      <c r="E5060">
        <v>37</v>
      </c>
      <c r="F5060" s="3">
        <f ca="1">41220+(RANDBETWEEN(1,10))</f>
        <v>41226</v>
      </c>
      <c r="G5060" t="s">
        <v>26</v>
      </c>
      <c r="H5060" t="s">
        <v>27</v>
      </c>
      <c r="I5060" t="s">
        <v>28</v>
      </c>
      <c r="J5060">
        <v>7736.0150000000003</v>
      </c>
      <c r="K5060">
        <v>0.1</v>
      </c>
      <c r="L5060">
        <v>0.38</v>
      </c>
      <c r="M5060">
        <v>69.965000000000003</v>
      </c>
      <c r="N5060">
        <v>4548.9290000000001</v>
      </c>
      <c r="O5060" s="1" t="s">
        <v>53</v>
      </c>
      <c r="P5060" s="1" t="s">
        <v>4705</v>
      </c>
      <c r="Q5060" s="1" t="s">
        <v>4706</v>
      </c>
      <c r="R5060" s="1" t="s">
        <v>100</v>
      </c>
      <c r="S5060" s="1" t="s">
        <v>4707</v>
      </c>
      <c r="T5060" s="1" t="s">
        <v>4708</v>
      </c>
      <c r="U5060" s="2" t="s">
        <v>3909</v>
      </c>
      <c r="V5060" s="2" t="s">
        <v>47</v>
      </c>
      <c r="W5060" s="2" t="s">
        <v>48</v>
      </c>
      <c r="X5060" s="2">
        <v>213.43</v>
      </c>
    </row>
    <row r="5061" spans="1:24" x14ac:dyDescent="0.3">
      <c r="A5061">
        <v>22895</v>
      </c>
      <c r="B5061" t="s">
        <v>11031</v>
      </c>
      <c r="C5061" s="3">
        <v>41830</v>
      </c>
      <c r="D5061" t="s">
        <v>50</v>
      </c>
      <c r="E5061">
        <v>8</v>
      </c>
      <c r="F5061" s="3">
        <f ca="1">41831+(RANDBETWEEN(1,10))</f>
        <v>41839</v>
      </c>
      <c r="G5061" t="s">
        <v>26</v>
      </c>
      <c r="H5061" t="s">
        <v>51</v>
      </c>
      <c r="I5061" t="s">
        <v>52</v>
      </c>
      <c r="J5061">
        <v>1205.82</v>
      </c>
      <c r="K5061">
        <v>0.04</v>
      </c>
      <c r="L5061">
        <v>0.44</v>
      </c>
      <c r="M5061">
        <v>6.9649999999999999</v>
      </c>
      <c r="N5061">
        <v>832.01580000000001</v>
      </c>
      <c r="O5061" s="1" t="s">
        <v>29</v>
      </c>
      <c r="P5061" s="1" t="s">
        <v>1959</v>
      </c>
      <c r="Q5061" s="1" t="s">
        <v>1960</v>
      </c>
      <c r="R5061" s="1" t="s">
        <v>32</v>
      </c>
      <c r="S5061" s="1" t="s">
        <v>1961</v>
      </c>
      <c r="T5061" s="1" t="s">
        <v>1962</v>
      </c>
      <c r="U5061" s="2" t="s">
        <v>2902</v>
      </c>
      <c r="V5061" s="2" t="s">
        <v>36</v>
      </c>
      <c r="W5061" s="2" t="s">
        <v>60</v>
      </c>
      <c r="X5061" s="2">
        <v>153.93</v>
      </c>
    </row>
    <row r="5062" spans="1:24" x14ac:dyDescent="0.3">
      <c r="A5062">
        <v>22896</v>
      </c>
      <c r="B5062" t="s">
        <v>11032</v>
      </c>
      <c r="C5062" s="3">
        <v>41194</v>
      </c>
      <c r="D5062" t="s">
        <v>62</v>
      </c>
      <c r="E5062">
        <v>1</v>
      </c>
      <c r="F5062" s="3">
        <f ca="1">41196+(RANDBETWEEN(1,10))</f>
        <v>41205</v>
      </c>
      <c r="G5062" t="s">
        <v>26</v>
      </c>
      <c r="H5062" t="s">
        <v>27</v>
      </c>
      <c r="I5062" t="s">
        <v>97</v>
      </c>
      <c r="J5062">
        <v>13.72</v>
      </c>
      <c r="K5062">
        <v>0.1</v>
      </c>
      <c r="L5062">
        <v>0.39</v>
      </c>
      <c r="M5062">
        <v>1.75</v>
      </c>
      <c r="N5062">
        <v>2820.1529999999998</v>
      </c>
      <c r="O5062" s="1" t="s">
        <v>53</v>
      </c>
      <c r="P5062" s="1" t="s">
        <v>10608</v>
      </c>
      <c r="Q5062" s="1" t="s">
        <v>10609</v>
      </c>
      <c r="R5062" s="1" t="s">
        <v>440</v>
      </c>
      <c r="S5062" s="1" t="s">
        <v>10610</v>
      </c>
      <c r="T5062" s="1" t="s">
        <v>10611</v>
      </c>
      <c r="U5062" s="2" t="s">
        <v>1889</v>
      </c>
      <c r="V5062" s="2" t="s">
        <v>47</v>
      </c>
      <c r="W5062" s="2" t="s">
        <v>203</v>
      </c>
      <c r="X5062" s="2">
        <v>14.455</v>
      </c>
    </row>
    <row r="5063" spans="1:24" x14ac:dyDescent="0.3">
      <c r="A5063">
        <v>22897</v>
      </c>
      <c r="B5063" t="s">
        <v>11032</v>
      </c>
      <c r="C5063" s="3">
        <v>41194</v>
      </c>
      <c r="D5063" t="s">
        <v>62</v>
      </c>
      <c r="E5063">
        <v>10</v>
      </c>
      <c r="F5063" s="3">
        <f ca="1">41195+(RANDBETWEEN(1,10))</f>
        <v>41200</v>
      </c>
      <c r="G5063" t="s">
        <v>26</v>
      </c>
      <c r="H5063" t="s">
        <v>96</v>
      </c>
      <c r="I5063" t="s">
        <v>97</v>
      </c>
      <c r="J5063">
        <v>159.285</v>
      </c>
      <c r="K5063">
        <v>0.08</v>
      </c>
      <c r="L5063">
        <v>0.36</v>
      </c>
      <c r="M5063">
        <v>5.32</v>
      </c>
      <c r="N5063">
        <v>70.266000000000005</v>
      </c>
      <c r="O5063" s="1" t="s">
        <v>53</v>
      </c>
      <c r="P5063" s="1" t="s">
        <v>10608</v>
      </c>
      <c r="Q5063" s="1" t="s">
        <v>10609</v>
      </c>
      <c r="R5063" s="1" t="s">
        <v>440</v>
      </c>
      <c r="S5063" s="1" t="s">
        <v>10610</v>
      </c>
      <c r="T5063" s="1" t="s">
        <v>10611</v>
      </c>
      <c r="U5063" s="2" t="s">
        <v>1951</v>
      </c>
      <c r="V5063" s="2" t="s">
        <v>47</v>
      </c>
      <c r="W5063" s="2" t="s">
        <v>74</v>
      </c>
      <c r="X5063" s="2">
        <v>16.555</v>
      </c>
    </row>
    <row r="5064" spans="1:24" x14ac:dyDescent="0.3">
      <c r="A5064">
        <v>22898</v>
      </c>
      <c r="B5064" t="s">
        <v>11032</v>
      </c>
      <c r="C5064" s="3">
        <v>41194</v>
      </c>
      <c r="D5064" t="s">
        <v>62</v>
      </c>
      <c r="E5064">
        <v>1</v>
      </c>
      <c r="F5064" s="3">
        <f ca="1">41195+(RANDBETWEEN(1,10))</f>
        <v>41203</v>
      </c>
      <c r="G5064" t="s">
        <v>26</v>
      </c>
      <c r="H5064" t="s">
        <v>27</v>
      </c>
      <c r="I5064" t="s">
        <v>97</v>
      </c>
      <c r="J5064">
        <v>1391.74</v>
      </c>
      <c r="K5064">
        <v>7.0000000000000007E-2</v>
      </c>
      <c r="L5064">
        <v>0.57999999999999996</v>
      </c>
      <c r="M5064">
        <v>69.965000000000003</v>
      </c>
      <c r="N5064">
        <v>2444.5050000000001</v>
      </c>
      <c r="O5064" s="1" t="s">
        <v>53</v>
      </c>
      <c r="P5064" s="1" t="s">
        <v>10608</v>
      </c>
      <c r="Q5064" s="1" t="s">
        <v>10609</v>
      </c>
      <c r="R5064" s="1" t="s">
        <v>440</v>
      </c>
      <c r="S5064" s="1" t="s">
        <v>10610</v>
      </c>
      <c r="T5064" s="1" t="s">
        <v>10611</v>
      </c>
      <c r="U5064" s="2" t="s">
        <v>3569</v>
      </c>
      <c r="V5064" s="2" t="s">
        <v>47</v>
      </c>
      <c r="W5064" s="2" t="s">
        <v>119</v>
      </c>
      <c r="X5064" s="2">
        <v>1467.165</v>
      </c>
    </row>
    <row r="5065" spans="1:24" x14ac:dyDescent="0.3">
      <c r="A5065">
        <v>22899</v>
      </c>
      <c r="B5065" t="s">
        <v>11033</v>
      </c>
      <c r="C5065" s="3">
        <v>41887</v>
      </c>
      <c r="D5065" t="s">
        <v>25</v>
      </c>
      <c r="E5065">
        <v>14</v>
      </c>
      <c r="F5065" s="3">
        <f ca="1">41891+(RANDBETWEEN(1,10))</f>
        <v>41901</v>
      </c>
      <c r="G5065" t="s">
        <v>26</v>
      </c>
      <c r="H5065" t="s">
        <v>27</v>
      </c>
      <c r="I5065" t="s">
        <v>28</v>
      </c>
      <c r="J5065">
        <v>101.64</v>
      </c>
      <c r="K5065">
        <v>0.04</v>
      </c>
      <c r="L5065">
        <v>0.38</v>
      </c>
      <c r="M5065">
        <v>5.2149999999999999</v>
      </c>
      <c r="N5065">
        <v>-35.252560000000003</v>
      </c>
      <c r="O5065" s="1" t="s">
        <v>87</v>
      </c>
      <c r="P5065" s="1" t="s">
        <v>9771</v>
      </c>
      <c r="Q5065" s="1" t="s">
        <v>9772</v>
      </c>
      <c r="R5065" s="1" t="s">
        <v>646</v>
      </c>
      <c r="S5065" s="1" t="s">
        <v>5251</v>
      </c>
      <c r="T5065" s="1" t="s">
        <v>5252</v>
      </c>
      <c r="U5065" s="2" t="s">
        <v>7281</v>
      </c>
      <c r="V5065" s="2" t="s">
        <v>47</v>
      </c>
      <c r="W5065" s="2" t="s">
        <v>111</v>
      </c>
      <c r="X5065" s="2">
        <v>7.28</v>
      </c>
    </row>
    <row r="5066" spans="1:24" x14ac:dyDescent="0.3">
      <c r="A5066">
        <v>22900</v>
      </c>
      <c r="B5066" t="s">
        <v>11034</v>
      </c>
      <c r="C5066" s="3">
        <v>41546</v>
      </c>
      <c r="D5066" t="s">
        <v>62</v>
      </c>
      <c r="E5066">
        <v>24</v>
      </c>
      <c r="F5066" s="3">
        <f ca="1">41549+(RANDBETWEEN(1,10))</f>
        <v>41559</v>
      </c>
      <c r="G5066" t="s">
        <v>26</v>
      </c>
      <c r="H5066" t="s">
        <v>96</v>
      </c>
      <c r="I5066" t="s">
        <v>86</v>
      </c>
      <c r="J5066">
        <v>1117.55</v>
      </c>
      <c r="K5066">
        <v>0.16</v>
      </c>
      <c r="L5066">
        <v>0.54</v>
      </c>
      <c r="M5066">
        <v>23.975000000000001</v>
      </c>
      <c r="N5066">
        <v>-260.78500000000003</v>
      </c>
      <c r="O5066" s="1" t="s">
        <v>225</v>
      </c>
      <c r="P5066" s="1" t="s">
        <v>10595</v>
      </c>
      <c r="Q5066" s="1" t="s">
        <v>10596</v>
      </c>
      <c r="R5066" s="1" t="s">
        <v>228</v>
      </c>
      <c r="S5066" s="1" t="s">
        <v>10597</v>
      </c>
      <c r="T5066" s="1" t="s">
        <v>10598</v>
      </c>
      <c r="U5066" s="2" t="s">
        <v>1047</v>
      </c>
      <c r="V5066" s="2" t="s">
        <v>83</v>
      </c>
      <c r="W5066" s="2" t="s">
        <v>178</v>
      </c>
      <c r="X5066" s="2">
        <v>48.055</v>
      </c>
    </row>
    <row r="5067" spans="1:24" x14ac:dyDescent="0.3">
      <c r="A5067">
        <v>22901</v>
      </c>
      <c r="B5067" t="s">
        <v>11035</v>
      </c>
      <c r="C5067" s="3">
        <v>41898</v>
      </c>
      <c r="D5067" t="s">
        <v>39</v>
      </c>
      <c r="E5067">
        <v>23</v>
      </c>
      <c r="F5067" s="3">
        <f ca="1">41899+(RANDBETWEEN(1,10))</f>
        <v>41901</v>
      </c>
      <c r="G5067" t="s">
        <v>26</v>
      </c>
      <c r="H5067" t="s">
        <v>27</v>
      </c>
      <c r="I5067" t="s">
        <v>97</v>
      </c>
      <c r="J5067">
        <v>520.27499999999998</v>
      </c>
      <c r="K5067">
        <v>0.04</v>
      </c>
      <c r="L5067">
        <v>0.37</v>
      </c>
      <c r="M5067">
        <v>18.164999999999999</v>
      </c>
      <c r="N5067">
        <v>-201.02459999999999</v>
      </c>
      <c r="O5067" s="1" t="s">
        <v>64</v>
      </c>
      <c r="P5067" s="1" t="s">
        <v>9933</v>
      </c>
      <c r="Q5067" s="1" t="s">
        <v>9934</v>
      </c>
      <c r="R5067" s="1" t="s">
        <v>67</v>
      </c>
      <c r="S5067" s="1" t="s">
        <v>9935</v>
      </c>
      <c r="T5067" s="1" t="s">
        <v>9936</v>
      </c>
      <c r="U5067" s="2" t="s">
        <v>8796</v>
      </c>
      <c r="V5067" s="2" t="s">
        <v>47</v>
      </c>
      <c r="W5067" s="2" t="s">
        <v>74</v>
      </c>
      <c r="X5067" s="2">
        <v>22.68</v>
      </c>
    </row>
    <row r="5068" spans="1:24" x14ac:dyDescent="0.3">
      <c r="A5068">
        <v>22902</v>
      </c>
      <c r="B5068" t="s">
        <v>11036</v>
      </c>
      <c r="C5068" s="3">
        <v>41312</v>
      </c>
      <c r="D5068" t="s">
        <v>148</v>
      </c>
      <c r="E5068">
        <v>10</v>
      </c>
      <c r="F5068" s="3">
        <f ca="1">41314+(RANDBETWEEN(1,10))</f>
        <v>41321</v>
      </c>
      <c r="G5068" t="s">
        <v>26</v>
      </c>
      <c r="H5068" t="s">
        <v>27</v>
      </c>
      <c r="I5068" t="s">
        <v>28</v>
      </c>
      <c r="J5068">
        <v>177.24</v>
      </c>
      <c r="K5068">
        <v>0.01</v>
      </c>
      <c r="L5068">
        <v>0.37</v>
      </c>
      <c r="M5068">
        <v>17.324999999999999</v>
      </c>
      <c r="N5068">
        <v>-297.52800000000002</v>
      </c>
      <c r="O5068" s="1" t="s">
        <v>40</v>
      </c>
      <c r="P5068" s="1" t="s">
        <v>10067</v>
      </c>
      <c r="Q5068" s="1" t="s">
        <v>10068</v>
      </c>
      <c r="R5068" s="1" t="s">
        <v>43</v>
      </c>
      <c r="S5068" s="1" t="s">
        <v>10069</v>
      </c>
      <c r="T5068" s="1" t="s">
        <v>10070</v>
      </c>
      <c r="U5068" s="2" t="s">
        <v>5209</v>
      </c>
      <c r="V5068" s="2" t="s">
        <v>47</v>
      </c>
      <c r="W5068" s="2" t="s">
        <v>111</v>
      </c>
      <c r="X5068" s="2">
        <v>17.43</v>
      </c>
    </row>
    <row r="5069" spans="1:24" x14ac:dyDescent="0.3">
      <c r="A5069">
        <v>22903</v>
      </c>
      <c r="B5069" t="s">
        <v>11037</v>
      </c>
      <c r="C5069" s="3">
        <v>41844</v>
      </c>
      <c r="D5069" t="s">
        <v>62</v>
      </c>
      <c r="E5069">
        <v>15</v>
      </c>
      <c r="F5069" s="3">
        <f ca="1">41845+(RANDBETWEEN(1,10))</f>
        <v>41854</v>
      </c>
      <c r="G5069" t="s">
        <v>26</v>
      </c>
      <c r="H5069" t="s">
        <v>27</v>
      </c>
      <c r="I5069" t="s">
        <v>97</v>
      </c>
      <c r="J5069">
        <v>103.32</v>
      </c>
      <c r="K5069">
        <v>0.03</v>
      </c>
      <c r="L5069">
        <v>0.37</v>
      </c>
      <c r="M5069">
        <v>5.2149999999999999</v>
      </c>
      <c r="N5069">
        <v>-48.197603999999998</v>
      </c>
      <c r="O5069" s="1" t="s">
        <v>225</v>
      </c>
      <c r="P5069" s="1" t="s">
        <v>11038</v>
      </c>
      <c r="Q5069" s="1" t="s">
        <v>11039</v>
      </c>
      <c r="R5069" s="1" t="s">
        <v>228</v>
      </c>
      <c r="S5069" s="1" t="s">
        <v>11040</v>
      </c>
      <c r="T5069" s="1" t="s">
        <v>11041</v>
      </c>
      <c r="U5069" s="2" t="s">
        <v>4275</v>
      </c>
      <c r="V5069" s="2" t="s">
        <v>47</v>
      </c>
      <c r="W5069" s="2" t="s">
        <v>111</v>
      </c>
      <c r="X5069" s="2">
        <v>6.58</v>
      </c>
    </row>
    <row r="5070" spans="1:24" x14ac:dyDescent="0.3">
      <c r="A5070">
        <v>22904</v>
      </c>
      <c r="B5070" t="s">
        <v>11042</v>
      </c>
      <c r="C5070" s="3">
        <v>40851</v>
      </c>
      <c r="D5070" t="s">
        <v>62</v>
      </c>
      <c r="E5070">
        <v>26</v>
      </c>
      <c r="F5070" s="3">
        <f ca="1">40852+(RANDBETWEEN(1,10))</f>
        <v>40862</v>
      </c>
      <c r="G5070" t="s">
        <v>26</v>
      </c>
      <c r="H5070" t="s">
        <v>96</v>
      </c>
      <c r="I5070" t="s">
        <v>28</v>
      </c>
      <c r="J5070">
        <v>2659.58</v>
      </c>
      <c r="K5070">
        <v>0.05</v>
      </c>
      <c r="L5070">
        <v>0.38</v>
      </c>
      <c r="M5070">
        <v>20.965</v>
      </c>
      <c r="N5070">
        <v>1835.1102000000001</v>
      </c>
      <c r="O5070" s="1" t="s">
        <v>53</v>
      </c>
      <c r="P5070" s="1" t="s">
        <v>8356</v>
      </c>
      <c r="Q5070" s="1" t="s">
        <v>8357</v>
      </c>
      <c r="R5070" s="1" t="s">
        <v>56</v>
      </c>
      <c r="S5070" s="1" t="s">
        <v>8358</v>
      </c>
      <c r="T5070" s="1" t="s">
        <v>8359</v>
      </c>
      <c r="U5070" s="2" t="s">
        <v>5234</v>
      </c>
      <c r="V5070" s="2" t="s">
        <v>36</v>
      </c>
      <c r="W5070" s="2" t="s">
        <v>37</v>
      </c>
      <c r="X5070" s="2">
        <v>125.965</v>
      </c>
    </row>
    <row r="5071" spans="1:24" x14ac:dyDescent="0.3">
      <c r="A5071">
        <v>22905</v>
      </c>
      <c r="B5071" t="s">
        <v>11043</v>
      </c>
      <c r="C5071" s="3">
        <v>41600</v>
      </c>
      <c r="D5071" t="s">
        <v>148</v>
      </c>
      <c r="E5071">
        <v>13</v>
      </c>
      <c r="F5071" s="3">
        <f ca="1">41602+(RANDBETWEEN(1,10))</f>
        <v>41612</v>
      </c>
      <c r="G5071" t="s">
        <v>26</v>
      </c>
      <c r="H5071" t="s">
        <v>27</v>
      </c>
      <c r="I5071" t="s">
        <v>97</v>
      </c>
      <c r="J5071">
        <v>326.48</v>
      </c>
      <c r="K5071">
        <v>0</v>
      </c>
      <c r="L5071">
        <v>0.37</v>
      </c>
      <c r="M5071">
        <v>19.18</v>
      </c>
      <c r="N5071">
        <v>-1095.1500000000001</v>
      </c>
      <c r="O5071" s="1" t="s">
        <v>40</v>
      </c>
      <c r="P5071" s="1" t="s">
        <v>4389</v>
      </c>
      <c r="Q5071" s="1" t="s">
        <v>4390</v>
      </c>
      <c r="R5071" s="1" t="s">
        <v>43</v>
      </c>
      <c r="S5071" s="1" t="s">
        <v>4391</v>
      </c>
      <c r="T5071" s="1" t="s">
        <v>4392</v>
      </c>
      <c r="U5071" s="2" t="s">
        <v>5054</v>
      </c>
      <c r="V5071" s="2" t="s">
        <v>47</v>
      </c>
      <c r="W5071" s="2" t="s">
        <v>111</v>
      </c>
      <c r="X5071" s="2">
        <v>23.835000000000001</v>
      </c>
    </row>
    <row r="5072" spans="1:24" x14ac:dyDescent="0.3">
      <c r="A5072">
        <v>22906</v>
      </c>
      <c r="B5072" t="s">
        <v>11044</v>
      </c>
      <c r="C5072" s="3">
        <v>41130</v>
      </c>
      <c r="D5072" t="s">
        <v>39</v>
      </c>
      <c r="E5072">
        <v>1</v>
      </c>
      <c r="F5072" s="3">
        <f ca="1">41132+(RANDBETWEEN(1,10))</f>
        <v>41141</v>
      </c>
      <c r="G5072" t="s">
        <v>156</v>
      </c>
      <c r="H5072" t="s">
        <v>51</v>
      </c>
      <c r="I5072" t="s">
        <v>52</v>
      </c>
      <c r="J5072">
        <v>28.42</v>
      </c>
      <c r="K5072">
        <v>0.08</v>
      </c>
      <c r="L5072">
        <v>0.47</v>
      </c>
      <c r="M5072">
        <v>20.02</v>
      </c>
      <c r="N5072">
        <v>19.6098</v>
      </c>
      <c r="O5072" s="1" t="s">
        <v>87</v>
      </c>
      <c r="P5072" s="1" t="s">
        <v>5916</v>
      </c>
      <c r="Q5072" s="1" t="s">
        <v>5917</v>
      </c>
      <c r="R5072" s="1" t="s">
        <v>90</v>
      </c>
      <c r="S5072" s="1" t="s">
        <v>5918</v>
      </c>
      <c r="T5072" s="1" t="s">
        <v>5919</v>
      </c>
      <c r="U5072" s="2" t="s">
        <v>5176</v>
      </c>
      <c r="V5072" s="2" t="s">
        <v>83</v>
      </c>
      <c r="W5072" s="2" t="s">
        <v>178</v>
      </c>
      <c r="X5072" s="2">
        <v>16.87</v>
      </c>
    </row>
    <row r="5073" spans="1:24" x14ac:dyDescent="0.3">
      <c r="A5073">
        <v>22907</v>
      </c>
      <c r="B5073" t="s">
        <v>11045</v>
      </c>
      <c r="C5073" s="3">
        <v>40839</v>
      </c>
      <c r="D5073" t="s">
        <v>148</v>
      </c>
      <c r="E5073">
        <v>5</v>
      </c>
      <c r="F5073" s="3">
        <f ca="1">40840+(RANDBETWEEN(1,10))</f>
        <v>40841</v>
      </c>
      <c r="G5073" t="s">
        <v>76</v>
      </c>
      <c r="H5073" t="s">
        <v>77</v>
      </c>
      <c r="I5073" t="s">
        <v>28</v>
      </c>
      <c r="J5073">
        <v>3253.4949999999999</v>
      </c>
      <c r="K5073">
        <v>0.06</v>
      </c>
      <c r="L5073">
        <v>0.59</v>
      </c>
      <c r="M5073">
        <v>91.7</v>
      </c>
      <c r="N5073">
        <v>879.92939999999999</v>
      </c>
      <c r="O5073" s="1" t="s">
        <v>87</v>
      </c>
      <c r="P5073" s="1" t="s">
        <v>11046</v>
      </c>
      <c r="Q5073" s="1" t="s">
        <v>11047</v>
      </c>
      <c r="R5073" s="1" t="s">
        <v>497</v>
      </c>
      <c r="S5073" s="1" t="s">
        <v>11048</v>
      </c>
      <c r="T5073" s="1" t="s">
        <v>11049</v>
      </c>
      <c r="U5073" s="2" t="s">
        <v>4925</v>
      </c>
      <c r="V5073" s="2" t="s">
        <v>83</v>
      </c>
      <c r="W5073" s="2" t="s">
        <v>84</v>
      </c>
      <c r="X5073" s="2">
        <v>633.42999999999995</v>
      </c>
    </row>
    <row r="5074" spans="1:24" x14ac:dyDescent="0.3">
      <c r="A5074">
        <v>22908</v>
      </c>
      <c r="B5074" t="s">
        <v>11050</v>
      </c>
      <c r="C5074" s="3">
        <v>41935</v>
      </c>
      <c r="D5074" t="s">
        <v>148</v>
      </c>
      <c r="E5074">
        <v>13</v>
      </c>
      <c r="F5074" s="3">
        <f ca="1">41937+(RANDBETWEEN(1,10))</f>
        <v>41940</v>
      </c>
      <c r="G5074" t="s">
        <v>26</v>
      </c>
      <c r="H5074" t="s">
        <v>96</v>
      </c>
      <c r="I5074" t="s">
        <v>28</v>
      </c>
      <c r="J5074">
        <v>365.4</v>
      </c>
      <c r="K5074">
        <v>0.01</v>
      </c>
      <c r="L5074">
        <v>0.42</v>
      </c>
      <c r="M5074">
        <v>27.93</v>
      </c>
      <c r="N5074">
        <v>-212.13499999999999</v>
      </c>
      <c r="O5074" s="1" t="s">
        <v>87</v>
      </c>
      <c r="P5074" s="1" t="s">
        <v>11046</v>
      </c>
      <c r="Q5074" s="1" t="s">
        <v>11047</v>
      </c>
      <c r="R5074" s="1" t="s">
        <v>497</v>
      </c>
      <c r="S5074" s="1" t="s">
        <v>11048</v>
      </c>
      <c r="T5074" s="1" t="s">
        <v>11049</v>
      </c>
      <c r="U5074" s="2" t="s">
        <v>523</v>
      </c>
      <c r="V5074" s="2" t="s">
        <v>83</v>
      </c>
      <c r="W5074" s="2" t="s">
        <v>178</v>
      </c>
      <c r="X5074" s="2">
        <v>25.48</v>
      </c>
    </row>
    <row r="5075" spans="1:24" x14ac:dyDescent="0.3">
      <c r="A5075">
        <v>22909</v>
      </c>
      <c r="B5075" t="s">
        <v>11051</v>
      </c>
      <c r="C5075" s="3">
        <v>40920</v>
      </c>
      <c r="D5075" t="s">
        <v>62</v>
      </c>
      <c r="E5075">
        <v>4</v>
      </c>
      <c r="F5075" s="3">
        <f ca="1">40920+(RANDBETWEEN(1,10))</f>
        <v>40927</v>
      </c>
      <c r="G5075" t="s">
        <v>76</v>
      </c>
      <c r="H5075" t="s">
        <v>77</v>
      </c>
      <c r="I5075" t="s">
        <v>97</v>
      </c>
      <c r="J5075">
        <v>986.58</v>
      </c>
      <c r="K5075">
        <v>0.08</v>
      </c>
      <c r="L5075">
        <v>0.41</v>
      </c>
      <c r="M5075">
        <v>210</v>
      </c>
      <c r="N5075">
        <v>-1752.2316000000001</v>
      </c>
      <c r="O5075" s="1" t="s">
        <v>53</v>
      </c>
      <c r="P5075" s="1" t="s">
        <v>10843</v>
      </c>
      <c r="Q5075" s="1" t="s">
        <v>10844</v>
      </c>
      <c r="R5075" s="1" t="s">
        <v>440</v>
      </c>
      <c r="S5075" s="1" t="s">
        <v>10845</v>
      </c>
      <c r="T5075" s="1" t="s">
        <v>10846</v>
      </c>
      <c r="U5075" s="2" t="s">
        <v>287</v>
      </c>
      <c r="V5075" s="2" t="s">
        <v>47</v>
      </c>
      <c r="W5075" s="2" t="s">
        <v>71</v>
      </c>
      <c r="X5075" s="2">
        <v>240.83500000000001</v>
      </c>
    </row>
    <row r="5076" spans="1:24" x14ac:dyDescent="0.3">
      <c r="A5076">
        <v>22910</v>
      </c>
      <c r="B5076" t="s">
        <v>11052</v>
      </c>
      <c r="C5076" s="3">
        <v>41967</v>
      </c>
      <c r="D5076" t="s">
        <v>148</v>
      </c>
      <c r="E5076">
        <v>41</v>
      </c>
      <c r="F5076" s="3">
        <f ca="1">41969+(RANDBETWEEN(1,10))</f>
        <v>41971</v>
      </c>
      <c r="G5076" t="s">
        <v>76</v>
      </c>
      <c r="H5076" t="s">
        <v>77</v>
      </c>
      <c r="I5076" t="s">
        <v>97</v>
      </c>
      <c r="J5076">
        <v>14270.27</v>
      </c>
      <c r="K5076">
        <v>0.02</v>
      </c>
      <c r="L5076">
        <v>0.56999999999999995</v>
      </c>
      <c r="M5076">
        <v>260.22500000000002</v>
      </c>
      <c r="N5076">
        <v>2474.60248</v>
      </c>
      <c r="O5076" s="1" t="s">
        <v>225</v>
      </c>
      <c r="P5076" s="1" t="s">
        <v>6236</v>
      </c>
      <c r="Q5076" s="1" t="s">
        <v>6237</v>
      </c>
      <c r="R5076" s="1" t="s">
        <v>391</v>
      </c>
      <c r="S5076" s="1" t="s">
        <v>1484</v>
      </c>
      <c r="T5076" s="1" t="s">
        <v>6238</v>
      </c>
      <c r="U5076" s="2" t="s">
        <v>1560</v>
      </c>
      <c r="V5076" s="2" t="s">
        <v>83</v>
      </c>
      <c r="W5076" s="2" t="s">
        <v>84</v>
      </c>
      <c r="X5076" s="2">
        <v>335.82499999999999</v>
      </c>
    </row>
    <row r="5077" spans="1:24" x14ac:dyDescent="0.3">
      <c r="A5077">
        <v>22911</v>
      </c>
      <c r="B5077" t="s">
        <v>11052</v>
      </c>
      <c r="C5077" s="3">
        <v>41967</v>
      </c>
      <c r="D5077" t="s">
        <v>148</v>
      </c>
      <c r="E5077">
        <v>26</v>
      </c>
      <c r="F5077" s="3">
        <f ca="1">41968+(RANDBETWEEN(1,10))</f>
        <v>41971</v>
      </c>
      <c r="G5077" t="s">
        <v>26</v>
      </c>
      <c r="H5077" t="s">
        <v>27</v>
      </c>
      <c r="I5077" t="s">
        <v>97</v>
      </c>
      <c r="J5077">
        <v>527.79999999999995</v>
      </c>
      <c r="K5077">
        <v>0.08</v>
      </c>
      <c r="L5077">
        <v>0.36</v>
      </c>
      <c r="M5077">
        <v>19.11</v>
      </c>
      <c r="N5077">
        <v>104.79671999999999</v>
      </c>
      <c r="O5077" s="1" t="s">
        <v>225</v>
      </c>
      <c r="P5077" s="1" t="s">
        <v>6236</v>
      </c>
      <c r="Q5077" s="1" t="s">
        <v>6237</v>
      </c>
      <c r="R5077" s="1" t="s">
        <v>391</v>
      </c>
      <c r="S5077" s="1" t="s">
        <v>1484</v>
      </c>
      <c r="T5077" s="1" t="s">
        <v>6238</v>
      </c>
      <c r="U5077" s="2" t="s">
        <v>7070</v>
      </c>
      <c r="V5077" s="2" t="s">
        <v>47</v>
      </c>
      <c r="W5077" s="2" t="s">
        <v>74</v>
      </c>
      <c r="X5077" s="2">
        <v>20.93</v>
      </c>
    </row>
    <row r="5078" spans="1:24" x14ac:dyDescent="0.3">
      <c r="A5078">
        <v>22912</v>
      </c>
      <c r="B5078" t="s">
        <v>11053</v>
      </c>
      <c r="C5078" s="3">
        <v>41309</v>
      </c>
      <c r="D5078" t="s">
        <v>39</v>
      </c>
      <c r="E5078">
        <v>14</v>
      </c>
      <c r="F5078" s="3">
        <f ca="1">41311+(RANDBETWEEN(1,10))</f>
        <v>41321</v>
      </c>
      <c r="G5078" t="s">
        <v>26</v>
      </c>
      <c r="H5078" t="s">
        <v>27</v>
      </c>
      <c r="I5078" t="s">
        <v>52</v>
      </c>
      <c r="J5078">
        <v>165.51499999999999</v>
      </c>
      <c r="K5078">
        <v>0.08</v>
      </c>
      <c r="L5078">
        <v>0.38</v>
      </c>
      <c r="M5078">
        <v>23.905000000000001</v>
      </c>
      <c r="N5078">
        <v>-944.66750000000002</v>
      </c>
      <c r="O5078" s="1" t="s">
        <v>87</v>
      </c>
      <c r="P5078" s="1" t="s">
        <v>9122</v>
      </c>
      <c r="Q5078" s="1" t="s">
        <v>9123</v>
      </c>
      <c r="R5078" s="1" t="s">
        <v>646</v>
      </c>
      <c r="S5078" s="1" t="s">
        <v>9124</v>
      </c>
      <c r="T5078" s="1" t="s">
        <v>9125</v>
      </c>
      <c r="U5078" s="2" t="s">
        <v>6885</v>
      </c>
      <c r="V5078" s="2" t="s">
        <v>47</v>
      </c>
      <c r="W5078" s="2" t="s">
        <v>111</v>
      </c>
      <c r="X5078" s="2">
        <v>12.32</v>
      </c>
    </row>
    <row r="5079" spans="1:24" x14ac:dyDescent="0.3">
      <c r="A5079">
        <v>22913</v>
      </c>
      <c r="B5079" t="s">
        <v>11054</v>
      </c>
      <c r="C5079" s="3">
        <v>41180</v>
      </c>
      <c r="D5079" t="s">
        <v>62</v>
      </c>
      <c r="E5079">
        <v>7</v>
      </c>
      <c r="F5079" s="3">
        <f ca="1">41182+(RANDBETWEEN(1,10))</f>
        <v>41192</v>
      </c>
      <c r="G5079" t="s">
        <v>26</v>
      </c>
      <c r="H5079" t="s">
        <v>51</v>
      </c>
      <c r="I5079" t="s">
        <v>86</v>
      </c>
      <c r="J5079">
        <v>996.27499999999998</v>
      </c>
      <c r="K5079">
        <v>0</v>
      </c>
      <c r="L5079">
        <v>0.54</v>
      </c>
      <c r="M5079">
        <v>6.9649999999999999</v>
      </c>
      <c r="N5079">
        <v>220.255</v>
      </c>
      <c r="O5079" s="1" t="s">
        <v>87</v>
      </c>
      <c r="P5079" s="1" t="s">
        <v>10169</v>
      </c>
      <c r="Q5079" s="1" t="s">
        <v>10170</v>
      </c>
      <c r="R5079" s="1" t="s">
        <v>497</v>
      </c>
      <c r="S5079" s="1" t="s">
        <v>5554</v>
      </c>
      <c r="T5079" s="1" t="s">
        <v>5555</v>
      </c>
      <c r="U5079" s="2" t="s">
        <v>685</v>
      </c>
      <c r="V5079" s="2" t="s">
        <v>36</v>
      </c>
      <c r="W5079" s="2" t="s">
        <v>60</v>
      </c>
      <c r="X5079" s="2">
        <v>138.18</v>
      </c>
    </row>
    <row r="5080" spans="1:24" x14ac:dyDescent="0.3">
      <c r="A5080">
        <v>22914</v>
      </c>
      <c r="B5080" t="s">
        <v>11055</v>
      </c>
      <c r="C5080" s="3">
        <v>41123</v>
      </c>
      <c r="D5080" t="s">
        <v>50</v>
      </c>
      <c r="E5080">
        <v>3</v>
      </c>
      <c r="F5080" s="3">
        <f ca="1">41125+(RANDBETWEEN(1,10))</f>
        <v>41134</v>
      </c>
      <c r="G5080" t="s">
        <v>26</v>
      </c>
      <c r="H5080" t="s">
        <v>51</v>
      </c>
      <c r="I5080" t="s">
        <v>28</v>
      </c>
      <c r="J5080">
        <v>211.155</v>
      </c>
      <c r="K5080">
        <v>0.01</v>
      </c>
      <c r="L5080">
        <v>0.39</v>
      </c>
      <c r="M5080">
        <v>13.195</v>
      </c>
      <c r="N5080">
        <v>145.69694999999999</v>
      </c>
      <c r="O5080" s="1" t="s">
        <v>53</v>
      </c>
      <c r="P5080" s="1" t="s">
        <v>5135</v>
      </c>
      <c r="Q5080" s="1" t="s">
        <v>5136</v>
      </c>
      <c r="R5080" s="1" t="s">
        <v>100</v>
      </c>
      <c r="S5080" s="1" t="s">
        <v>5137</v>
      </c>
      <c r="T5080" s="1" t="s">
        <v>5138</v>
      </c>
      <c r="U5080" s="2" t="s">
        <v>6197</v>
      </c>
      <c r="V5080" s="2" t="s">
        <v>83</v>
      </c>
      <c r="W5080" s="2" t="s">
        <v>178</v>
      </c>
      <c r="X5080" s="2">
        <v>65.275000000000006</v>
      </c>
    </row>
    <row r="5081" spans="1:24" x14ac:dyDescent="0.3">
      <c r="A5081">
        <v>22915</v>
      </c>
      <c r="B5081" t="s">
        <v>11055</v>
      </c>
      <c r="C5081" s="3">
        <v>41123</v>
      </c>
      <c r="D5081" t="s">
        <v>50</v>
      </c>
      <c r="E5081">
        <v>11</v>
      </c>
      <c r="F5081" s="3">
        <f ca="1">41125+(RANDBETWEEN(1,10))</f>
        <v>41132</v>
      </c>
      <c r="G5081" t="s">
        <v>156</v>
      </c>
      <c r="H5081" t="s">
        <v>27</v>
      </c>
      <c r="I5081" t="s">
        <v>28</v>
      </c>
      <c r="J5081">
        <v>1306.2</v>
      </c>
      <c r="K5081">
        <v>0.06</v>
      </c>
      <c r="L5081">
        <v>0.6</v>
      </c>
      <c r="M5081">
        <v>19.215</v>
      </c>
      <c r="N5081">
        <v>621.70360000000005</v>
      </c>
      <c r="O5081" s="1" t="s">
        <v>53</v>
      </c>
      <c r="P5081" s="1" t="s">
        <v>5135</v>
      </c>
      <c r="Q5081" s="1" t="s">
        <v>5136</v>
      </c>
      <c r="R5081" s="1" t="s">
        <v>100</v>
      </c>
      <c r="S5081" s="1" t="s">
        <v>5137</v>
      </c>
      <c r="T5081" s="1" t="s">
        <v>5138</v>
      </c>
      <c r="U5081" s="2" t="s">
        <v>2651</v>
      </c>
      <c r="V5081" s="2" t="s">
        <v>47</v>
      </c>
      <c r="W5081" s="2" t="s">
        <v>119</v>
      </c>
      <c r="X5081" s="2">
        <v>121.66</v>
      </c>
    </row>
    <row r="5082" spans="1:24" x14ac:dyDescent="0.3">
      <c r="A5082">
        <v>22916</v>
      </c>
      <c r="B5082" t="s">
        <v>11056</v>
      </c>
      <c r="C5082" s="3">
        <v>41853</v>
      </c>
      <c r="D5082" t="s">
        <v>50</v>
      </c>
      <c r="E5082">
        <v>6</v>
      </c>
      <c r="F5082" s="3">
        <f ca="1">41855+(RANDBETWEEN(1,10))</f>
        <v>41862</v>
      </c>
      <c r="G5082" t="s">
        <v>26</v>
      </c>
      <c r="H5082" t="s">
        <v>281</v>
      </c>
      <c r="I5082" t="s">
        <v>28</v>
      </c>
      <c r="J5082">
        <v>983.78</v>
      </c>
      <c r="K5082">
        <v>0.01</v>
      </c>
      <c r="L5082">
        <v>0.46</v>
      </c>
      <c r="M5082">
        <v>17.850000000000001</v>
      </c>
      <c r="N5082">
        <v>678.80820000000006</v>
      </c>
      <c r="O5082" s="1" t="s">
        <v>64</v>
      </c>
      <c r="P5082" s="1" t="s">
        <v>11057</v>
      </c>
      <c r="Q5082" s="1" t="s">
        <v>11058</v>
      </c>
      <c r="R5082" s="1" t="s">
        <v>128</v>
      </c>
      <c r="S5082" s="1" t="s">
        <v>11059</v>
      </c>
      <c r="T5082" s="1" t="s">
        <v>11060</v>
      </c>
      <c r="U5082" s="2" t="s">
        <v>4675</v>
      </c>
      <c r="V5082" s="2" t="s">
        <v>47</v>
      </c>
      <c r="W5082" s="2" t="s">
        <v>71</v>
      </c>
      <c r="X5082" s="2">
        <v>164.11500000000001</v>
      </c>
    </row>
    <row r="5083" spans="1:24" x14ac:dyDescent="0.3">
      <c r="A5083">
        <v>22917</v>
      </c>
      <c r="B5083" t="s">
        <v>11061</v>
      </c>
      <c r="C5083" s="3">
        <v>41983</v>
      </c>
      <c r="D5083" t="s">
        <v>50</v>
      </c>
      <c r="E5083">
        <v>7</v>
      </c>
      <c r="F5083" s="3">
        <f ca="1">41985+(RANDBETWEEN(1,10))</f>
        <v>41994</v>
      </c>
      <c r="G5083" t="s">
        <v>26</v>
      </c>
      <c r="H5083" t="s">
        <v>51</v>
      </c>
      <c r="I5083" t="s">
        <v>28</v>
      </c>
      <c r="J5083">
        <v>270.30500000000001</v>
      </c>
      <c r="K5083">
        <v>0.09</v>
      </c>
      <c r="L5083">
        <v>0.56999999999999995</v>
      </c>
      <c r="M5083">
        <v>11.795</v>
      </c>
      <c r="N5083">
        <v>-2.7165599999999999</v>
      </c>
      <c r="O5083" s="1" t="s">
        <v>87</v>
      </c>
      <c r="P5083" s="1" t="s">
        <v>11062</v>
      </c>
      <c r="Q5083" s="1" t="s">
        <v>11063</v>
      </c>
      <c r="R5083" s="1" t="s">
        <v>497</v>
      </c>
      <c r="S5083" s="1" t="s">
        <v>11064</v>
      </c>
      <c r="T5083" s="1" t="s">
        <v>11065</v>
      </c>
      <c r="U5083" s="2" t="s">
        <v>5857</v>
      </c>
      <c r="V5083" s="2" t="s">
        <v>47</v>
      </c>
      <c r="W5083" s="2" t="s">
        <v>94</v>
      </c>
      <c r="X5083" s="2">
        <v>38.43</v>
      </c>
    </row>
    <row r="5084" spans="1:24" x14ac:dyDescent="0.3">
      <c r="A5084">
        <v>22918</v>
      </c>
      <c r="B5084" t="s">
        <v>11066</v>
      </c>
      <c r="C5084" s="3">
        <v>41798</v>
      </c>
      <c r="D5084" t="s">
        <v>148</v>
      </c>
      <c r="E5084">
        <v>4</v>
      </c>
      <c r="F5084" s="3">
        <f ca="1">41798+(RANDBETWEEN(1,10))</f>
        <v>41805</v>
      </c>
      <c r="G5084" t="s">
        <v>26</v>
      </c>
      <c r="H5084" t="s">
        <v>27</v>
      </c>
      <c r="I5084" t="s">
        <v>28</v>
      </c>
      <c r="J5084">
        <v>177.52</v>
      </c>
      <c r="K5084">
        <v>0.04</v>
      </c>
      <c r="L5084">
        <v>0.57999999999999996</v>
      </c>
      <c r="M5084">
        <v>17.43</v>
      </c>
      <c r="N5084">
        <v>-45.863999999999997</v>
      </c>
      <c r="O5084" s="1" t="s">
        <v>225</v>
      </c>
      <c r="P5084" s="1" t="s">
        <v>6380</v>
      </c>
      <c r="Q5084" s="1" t="s">
        <v>6381</v>
      </c>
      <c r="R5084" s="1" t="s">
        <v>391</v>
      </c>
      <c r="S5084" s="1" t="s">
        <v>6382</v>
      </c>
      <c r="T5084" s="1" t="s">
        <v>6383</v>
      </c>
      <c r="U5084" s="2" t="s">
        <v>5213</v>
      </c>
      <c r="V5084" s="2" t="s">
        <v>47</v>
      </c>
      <c r="W5084" s="2" t="s">
        <v>71</v>
      </c>
      <c r="X5084" s="2">
        <v>41.895000000000003</v>
      </c>
    </row>
    <row r="5085" spans="1:24" x14ac:dyDescent="0.3">
      <c r="A5085">
        <v>22919</v>
      </c>
      <c r="B5085" t="s">
        <v>11066</v>
      </c>
      <c r="C5085" s="3">
        <v>41798</v>
      </c>
      <c r="D5085" t="s">
        <v>148</v>
      </c>
      <c r="E5085">
        <v>4</v>
      </c>
      <c r="F5085" s="3">
        <f ca="1">41799+(RANDBETWEEN(1,10))</f>
        <v>41804</v>
      </c>
      <c r="G5085" t="s">
        <v>26</v>
      </c>
      <c r="H5085" t="s">
        <v>27</v>
      </c>
      <c r="I5085" t="s">
        <v>28</v>
      </c>
      <c r="J5085">
        <v>2252.9850000000001</v>
      </c>
      <c r="K5085">
        <v>0.08</v>
      </c>
      <c r="L5085">
        <v>0.56000000000000005</v>
      </c>
      <c r="M5085">
        <v>14.7</v>
      </c>
      <c r="N5085">
        <v>-464.64879999999999</v>
      </c>
      <c r="O5085" s="1" t="s">
        <v>29</v>
      </c>
      <c r="P5085" s="1" t="s">
        <v>11067</v>
      </c>
      <c r="Q5085" s="1" t="s">
        <v>11068</v>
      </c>
      <c r="R5085" s="1" t="s">
        <v>32</v>
      </c>
      <c r="S5085" s="1" t="s">
        <v>1668</v>
      </c>
      <c r="T5085" s="1" t="s">
        <v>1669</v>
      </c>
      <c r="U5085" s="2" t="s">
        <v>3784</v>
      </c>
      <c r="V5085" s="2" t="s">
        <v>36</v>
      </c>
      <c r="W5085" s="2" t="s">
        <v>37</v>
      </c>
      <c r="X5085" s="2">
        <v>685.96500000000003</v>
      </c>
    </row>
    <row r="5086" spans="1:24" x14ac:dyDescent="0.3">
      <c r="A5086">
        <v>22920</v>
      </c>
      <c r="B5086" t="s">
        <v>11069</v>
      </c>
      <c r="C5086" s="3">
        <v>41747</v>
      </c>
      <c r="D5086" t="s">
        <v>50</v>
      </c>
      <c r="E5086">
        <v>11</v>
      </c>
      <c r="F5086" s="3">
        <f ca="1">41750+(RANDBETWEEN(1,10))</f>
        <v>41758</v>
      </c>
      <c r="G5086" t="s">
        <v>26</v>
      </c>
      <c r="H5086" t="s">
        <v>27</v>
      </c>
      <c r="I5086" t="s">
        <v>97</v>
      </c>
      <c r="J5086">
        <v>425.81</v>
      </c>
      <c r="K5086">
        <v>0.03</v>
      </c>
      <c r="L5086">
        <v>0.59</v>
      </c>
      <c r="M5086">
        <v>26.11</v>
      </c>
      <c r="N5086">
        <v>-3507.313208</v>
      </c>
      <c r="O5086" s="1" t="s">
        <v>87</v>
      </c>
      <c r="P5086" s="1" t="s">
        <v>7125</v>
      </c>
      <c r="Q5086" s="1" t="s">
        <v>7126</v>
      </c>
      <c r="R5086" s="1" t="s">
        <v>646</v>
      </c>
      <c r="S5086" s="1" t="s">
        <v>7127</v>
      </c>
      <c r="T5086" s="1" t="s">
        <v>7128</v>
      </c>
      <c r="U5086" s="2" t="s">
        <v>2766</v>
      </c>
      <c r="V5086" s="2" t="s">
        <v>47</v>
      </c>
      <c r="W5086" s="2" t="s">
        <v>119</v>
      </c>
      <c r="X5086" s="2">
        <v>38.15</v>
      </c>
    </row>
    <row r="5087" spans="1:24" x14ac:dyDescent="0.3">
      <c r="A5087">
        <v>22921</v>
      </c>
      <c r="B5087" t="s">
        <v>11070</v>
      </c>
      <c r="C5087" s="3">
        <v>40648</v>
      </c>
      <c r="D5087" t="s">
        <v>50</v>
      </c>
      <c r="E5087">
        <v>7</v>
      </c>
      <c r="F5087" s="3">
        <f ca="1">40648+(RANDBETWEEN(1,10))</f>
        <v>40652</v>
      </c>
      <c r="G5087" t="s">
        <v>26</v>
      </c>
      <c r="H5087" t="s">
        <v>27</v>
      </c>
      <c r="I5087" t="s">
        <v>97</v>
      </c>
      <c r="J5087">
        <v>388.255</v>
      </c>
      <c r="K5087">
        <v>0.01</v>
      </c>
      <c r="L5087">
        <v>0.39</v>
      </c>
      <c r="M5087">
        <v>52.814999999999998</v>
      </c>
      <c r="N5087">
        <v>-703.00649999999996</v>
      </c>
      <c r="O5087" s="1" t="s">
        <v>29</v>
      </c>
      <c r="P5087" s="1" t="s">
        <v>8759</v>
      </c>
      <c r="Q5087" s="1" t="s">
        <v>8760</v>
      </c>
      <c r="R5087" s="1" t="s">
        <v>32</v>
      </c>
      <c r="S5087" s="1" t="s">
        <v>8761</v>
      </c>
      <c r="T5087" s="1" t="s">
        <v>8762</v>
      </c>
      <c r="U5087" s="2" t="s">
        <v>7654</v>
      </c>
      <c r="V5087" s="2" t="s">
        <v>47</v>
      </c>
      <c r="W5087" s="2" t="s">
        <v>111</v>
      </c>
      <c r="X5087" s="2">
        <v>53.06</v>
      </c>
    </row>
    <row r="5088" spans="1:24" x14ac:dyDescent="0.3">
      <c r="A5088">
        <v>22922</v>
      </c>
      <c r="B5088" t="s">
        <v>11071</v>
      </c>
      <c r="C5088" s="3">
        <v>41245</v>
      </c>
      <c r="D5088" t="s">
        <v>50</v>
      </c>
      <c r="E5088">
        <v>11</v>
      </c>
      <c r="F5088" s="3">
        <f ca="1">41246+(RANDBETWEEN(1,10))</f>
        <v>41254</v>
      </c>
      <c r="G5088" t="s">
        <v>26</v>
      </c>
      <c r="H5088" t="s">
        <v>27</v>
      </c>
      <c r="I5088" t="s">
        <v>97</v>
      </c>
      <c r="J5088">
        <v>2003.4349999999999</v>
      </c>
      <c r="K5088">
        <v>0.06</v>
      </c>
      <c r="L5088">
        <v>0.73</v>
      </c>
      <c r="M5088">
        <v>22.75</v>
      </c>
      <c r="N5088">
        <v>-21.892499999999998</v>
      </c>
      <c r="O5088" s="1" t="s">
        <v>225</v>
      </c>
      <c r="P5088" s="1" t="s">
        <v>8453</v>
      </c>
      <c r="Q5088" s="1" t="s">
        <v>8454</v>
      </c>
      <c r="R5088" s="1" t="s">
        <v>228</v>
      </c>
      <c r="S5088" s="1" t="s">
        <v>8455</v>
      </c>
      <c r="T5088" s="1" t="s">
        <v>8456</v>
      </c>
      <c r="U5088" s="2" t="s">
        <v>4548</v>
      </c>
      <c r="V5088" s="2" t="s">
        <v>36</v>
      </c>
      <c r="W5088" s="2" t="s">
        <v>60</v>
      </c>
      <c r="X5088" s="2">
        <v>178.43</v>
      </c>
    </row>
    <row r="5089" spans="1:24" x14ac:dyDescent="0.3">
      <c r="A5089">
        <v>22923</v>
      </c>
      <c r="B5089" t="s">
        <v>11072</v>
      </c>
      <c r="C5089" s="3">
        <v>41109</v>
      </c>
      <c r="D5089" t="s">
        <v>50</v>
      </c>
      <c r="E5089">
        <v>14</v>
      </c>
      <c r="F5089" s="3">
        <f ca="1">41110+(RANDBETWEEN(1,10))</f>
        <v>41115</v>
      </c>
      <c r="G5089" t="s">
        <v>156</v>
      </c>
      <c r="H5089" t="s">
        <v>96</v>
      </c>
      <c r="I5089" t="s">
        <v>97</v>
      </c>
      <c r="J5089">
        <v>136.32499999999999</v>
      </c>
      <c r="K5089">
        <v>0.01</v>
      </c>
      <c r="L5089">
        <v>0.39</v>
      </c>
      <c r="M5089">
        <v>2.8</v>
      </c>
      <c r="N5089">
        <v>-412.25659999999999</v>
      </c>
      <c r="O5089" s="1" t="s">
        <v>225</v>
      </c>
      <c r="P5089" s="1" t="s">
        <v>11073</v>
      </c>
      <c r="Q5089" s="1" t="s">
        <v>11074</v>
      </c>
      <c r="R5089" s="1" t="s">
        <v>228</v>
      </c>
      <c r="S5089" s="1" t="s">
        <v>11075</v>
      </c>
      <c r="T5089" s="1" t="s">
        <v>11076</v>
      </c>
      <c r="U5089" s="2" t="s">
        <v>2672</v>
      </c>
      <c r="V5089" s="2" t="s">
        <v>47</v>
      </c>
      <c r="W5089" s="2" t="s">
        <v>176</v>
      </c>
      <c r="X5089" s="2">
        <v>9.17</v>
      </c>
    </row>
    <row r="5090" spans="1:24" x14ac:dyDescent="0.3">
      <c r="A5090">
        <v>22924</v>
      </c>
      <c r="B5090" t="s">
        <v>11072</v>
      </c>
      <c r="C5090" s="3">
        <v>41109</v>
      </c>
      <c r="D5090" t="s">
        <v>50</v>
      </c>
      <c r="E5090">
        <v>3</v>
      </c>
      <c r="F5090" s="3">
        <f ca="1">41110+(RANDBETWEEN(1,10))</f>
        <v>41120</v>
      </c>
      <c r="G5090" t="s">
        <v>26</v>
      </c>
      <c r="H5090" t="s">
        <v>27</v>
      </c>
      <c r="I5090" t="s">
        <v>97</v>
      </c>
      <c r="J5090">
        <v>1078.1400000000001</v>
      </c>
      <c r="K5090">
        <v>0.06</v>
      </c>
      <c r="L5090">
        <v>0.56999999999999995</v>
      </c>
      <c r="M5090">
        <v>28.28</v>
      </c>
      <c r="N5090">
        <v>-1314.9639999999999</v>
      </c>
      <c r="O5090" s="1" t="s">
        <v>225</v>
      </c>
      <c r="P5090" s="1" t="s">
        <v>11073</v>
      </c>
      <c r="Q5090" s="1" t="s">
        <v>11074</v>
      </c>
      <c r="R5090" s="1" t="s">
        <v>228</v>
      </c>
      <c r="S5090" s="1" t="s">
        <v>11075</v>
      </c>
      <c r="T5090" s="1" t="s">
        <v>11076</v>
      </c>
      <c r="U5090" s="2" t="s">
        <v>1547</v>
      </c>
      <c r="V5090" s="2" t="s">
        <v>36</v>
      </c>
      <c r="W5090" s="2" t="s">
        <v>37</v>
      </c>
      <c r="X5090" s="2">
        <v>440.96499999999997</v>
      </c>
    </row>
    <row r="5091" spans="1:24" x14ac:dyDescent="0.3">
      <c r="A5091">
        <v>22925</v>
      </c>
      <c r="B5091" t="s">
        <v>11077</v>
      </c>
      <c r="C5091" s="3">
        <v>41731</v>
      </c>
      <c r="D5091" t="s">
        <v>148</v>
      </c>
      <c r="E5091">
        <v>11</v>
      </c>
      <c r="F5091" s="3">
        <f ca="1">41733+(RANDBETWEEN(1,10))</f>
        <v>41742</v>
      </c>
      <c r="G5091" t="s">
        <v>26</v>
      </c>
      <c r="H5091" t="s">
        <v>27</v>
      </c>
      <c r="I5091" t="s">
        <v>86</v>
      </c>
      <c r="J5091">
        <v>494.375</v>
      </c>
      <c r="K5091">
        <v>0.1</v>
      </c>
      <c r="L5091">
        <v>0.59</v>
      </c>
      <c r="M5091">
        <v>15.785</v>
      </c>
      <c r="N5091">
        <v>-230.34899999999999</v>
      </c>
      <c r="O5091" s="1" t="s">
        <v>53</v>
      </c>
      <c r="P5091" s="1" t="s">
        <v>11078</v>
      </c>
      <c r="Q5091" s="1" t="s">
        <v>11079</v>
      </c>
      <c r="R5091" s="1" t="s">
        <v>440</v>
      </c>
      <c r="S5091" s="1" t="s">
        <v>5967</v>
      </c>
      <c r="T5091" s="1" t="s">
        <v>5968</v>
      </c>
      <c r="U5091" s="2" t="s">
        <v>1495</v>
      </c>
      <c r="V5091" s="2" t="s">
        <v>47</v>
      </c>
      <c r="W5091" s="2" t="s">
        <v>119</v>
      </c>
      <c r="X5091" s="2">
        <v>47.18</v>
      </c>
    </row>
    <row r="5092" spans="1:24" x14ac:dyDescent="0.3">
      <c r="A5092">
        <v>22926</v>
      </c>
      <c r="B5092" t="s">
        <v>11080</v>
      </c>
      <c r="C5092" s="3">
        <v>41114</v>
      </c>
      <c r="D5092" t="s">
        <v>148</v>
      </c>
      <c r="E5092">
        <v>6</v>
      </c>
      <c r="F5092" s="3">
        <f ca="1">41114+(RANDBETWEEN(1,10))</f>
        <v>41115</v>
      </c>
      <c r="G5092" t="s">
        <v>156</v>
      </c>
      <c r="H5092" t="s">
        <v>27</v>
      </c>
      <c r="I5092" t="s">
        <v>28</v>
      </c>
      <c r="J5092">
        <v>151.86500000000001</v>
      </c>
      <c r="K5092">
        <v>0.1</v>
      </c>
      <c r="L5092">
        <v>0.39</v>
      </c>
      <c r="M5092">
        <v>21.175000000000001</v>
      </c>
      <c r="N5092">
        <v>-191.3485</v>
      </c>
      <c r="O5092" s="1" t="s">
        <v>53</v>
      </c>
      <c r="P5092" s="1" t="s">
        <v>6423</v>
      </c>
      <c r="Q5092" s="1" t="s">
        <v>6424</v>
      </c>
      <c r="R5092" s="1" t="s">
        <v>100</v>
      </c>
      <c r="S5092" s="1" t="s">
        <v>6425</v>
      </c>
      <c r="T5092" s="1" t="s">
        <v>6426</v>
      </c>
      <c r="U5092" s="2" t="s">
        <v>2669</v>
      </c>
      <c r="V5092" s="2" t="s">
        <v>47</v>
      </c>
      <c r="W5092" s="2" t="s">
        <v>111</v>
      </c>
      <c r="X5092" s="2">
        <v>24.85</v>
      </c>
    </row>
    <row r="5093" spans="1:24" x14ac:dyDescent="0.3">
      <c r="A5093">
        <v>22927</v>
      </c>
      <c r="B5093" t="s">
        <v>11080</v>
      </c>
      <c r="C5093" s="3">
        <v>41114</v>
      </c>
      <c r="D5093" t="s">
        <v>148</v>
      </c>
      <c r="E5093">
        <v>4</v>
      </c>
      <c r="F5093" s="3">
        <f ca="1">41115+(RANDBETWEEN(1,10))</f>
        <v>41119</v>
      </c>
      <c r="G5093" t="s">
        <v>76</v>
      </c>
      <c r="H5093" t="s">
        <v>77</v>
      </c>
      <c r="I5093" t="s">
        <v>28</v>
      </c>
      <c r="J5093">
        <v>3859.5549999999998</v>
      </c>
      <c r="K5093">
        <v>7.0000000000000007E-2</v>
      </c>
      <c r="L5093">
        <v>0.6</v>
      </c>
      <c r="M5093">
        <v>243.42500000000001</v>
      </c>
      <c r="N5093">
        <v>-395.78</v>
      </c>
      <c r="O5093" s="1" t="s">
        <v>53</v>
      </c>
      <c r="P5093" s="1" t="s">
        <v>6423</v>
      </c>
      <c r="Q5093" s="1" t="s">
        <v>6424</v>
      </c>
      <c r="R5093" s="1" t="s">
        <v>100</v>
      </c>
      <c r="S5093" s="1" t="s">
        <v>6425</v>
      </c>
      <c r="T5093" s="1" t="s">
        <v>6426</v>
      </c>
      <c r="U5093" s="2" t="s">
        <v>5566</v>
      </c>
      <c r="V5093" s="2" t="s">
        <v>83</v>
      </c>
      <c r="W5093" s="2" t="s">
        <v>84</v>
      </c>
      <c r="X5093" s="2">
        <v>997.43</v>
      </c>
    </row>
    <row r="5094" spans="1:24" x14ac:dyDescent="0.3">
      <c r="A5094">
        <v>22928</v>
      </c>
      <c r="B5094" t="s">
        <v>11080</v>
      </c>
      <c r="C5094" s="3">
        <v>41114</v>
      </c>
      <c r="D5094" t="s">
        <v>148</v>
      </c>
      <c r="E5094">
        <v>14</v>
      </c>
      <c r="F5094" s="3">
        <f ca="1">41115+(RANDBETWEEN(1,10))</f>
        <v>41116</v>
      </c>
      <c r="G5094" t="s">
        <v>156</v>
      </c>
      <c r="H5094" t="s">
        <v>281</v>
      </c>
      <c r="I5094" t="s">
        <v>28</v>
      </c>
      <c r="J5094">
        <v>5391.47</v>
      </c>
      <c r="K5094">
        <v>0.03</v>
      </c>
      <c r="L5094">
        <v>0.65</v>
      </c>
      <c r="M5094">
        <v>20.335000000000001</v>
      </c>
      <c r="N5094">
        <v>3720.1143000000002</v>
      </c>
      <c r="O5094" s="1" t="s">
        <v>53</v>
      </c>
      <c r="P5094" s="1" t="s">
        <v>6423</v>
      </c>
      <c r="Q5094" s="1" t="s">
        <v>6424</v>
      </c>
      <c r="R5094" s="1" t="s">
        <v>100</v>
      </c>
      <c r="S5094" s="1" t="s">
        <v>6425</v>
      </c>
      <c r="T5094" s="1" t="s">
        <v>6426</v>
      </c>
      <c r="U5094" s="2" t="s">
        <v>351</v>
      </c>
      <c r="V5094" s="2" t="s">
        <v>83</v>
      </c>
      <c r="W5094" s="2" t="s">
        <v>178</v>
      </c>
      <c r="X5094" s="2">
        <v>376.35500000000002</v>
      </c>
    </row>
    <row r="5095" spans="1:24" x14ac:dyDescent="0.3">
      <c r="A5095">
        <v>22929</v>
      </c>
      <c r="B5095" t="s">
        <v>11081</v>
      </c>
      <c r="C5095" s="3">
        <v>41069</v>
      </c>
      <c r="D5095" t="s">
        <v>148</v>
      </c>
      <c r="E5095">
        <v>12</v>
      </c>
      <c r="F5095" s="3">
        <f ca="1">41071+(RANDBETWEEN(1,10))</f>
        <v>41079</v>
      </c>
      <c r="G5095" t="s">
        <v>26</v>
      </c>
      <c r="H5095" t="s">
        <v>96</v>
      </c>
      <c r="I5095" t="s">
        <v>97</v>
      </c>
      <c r="J5095">
        <v>200.76</v>
      </c>
      <c r="K5095">
        <v>0</v>
      </c>
      <c r="L5095">
        <v>0.85</v>
      </c>
      <c r="M5095">
        <v>2.4500000000000002</v>
      </c>
      <c r="N5095">
        <v>-19.768000000000001</v>
      </c>
      <c r="O5095" s="1" t="s">
        <v>29</v>
      </c>
      <c r="P5095" s="1" t="s">
        <v>11082</v>
      </c>
      <c r="Q5095" s="1" t="s">
        <v>11083</v>
      </c>
      <c r="R5095" s="1" t="s">
        <v>32</v>
      </c>
      <c r="S5095" s="1" t="s">
        <v>4789</v>
      </c>
      <c r="T5095" s="1" t="s">
        <v>4790</v>
      </c>
      <c r="U5095" s="2" t="s">
        <v>2251</v>
      </c>
      <c r="V5095" s="2" t="s">
        <v>47</v>
      </c>
      <c r="W5095" s="2" t="s">
        <v>176</v>
      </c>
      <c r="X5095" s="2">
        <v>16.484999999999999</v>
      </c>
    </row>
    <row r="5096" spans="1:24" x14ac:dyDescent="0.3">
      <c r="A5096">
        <v>22930</v>
      </c>
      <c r="B5096" t="s">
        <v>11084</v>
      </c>
      <c r="C5096" s="3">
        <v>41554</v>
      </c>
      <c r="D5096" t="s">
        <v>39</v>
      </c>
      <c r="E5096">
        <v>14</v>
      </c>
      <c r="F5096" s="3">
        <f ca="1">41555+(RANDBETWEEN(1,10))</f>
        <v>41562</v>
      </c>
      <c r="G5096" t="s">
        <v>26</v>
      </c>
      <c r="H5096" t="s">
        <v>96</v>
      </c>
      <c r="I5096" t="s">
        <v>97</v>
      </c>
      <c r="J5096">
        <v>137.02500000000001</v>
      </c>
      <c r="K5096">
        <v>0.06</v>
      </c>
      <c r="L5096">
        <v>0.57999999999999996</v>
      </c>
      <c r="M5096">
        <v>3.36</v>
      </c>
      <c r="N5096">
        <v>-7.8246000000000002</v>
      </c>
      <c r="O5096" s="1" t="s">
        <v>53</v>
      </c>
      <c r="P5096" s="1" t="s">
        <v>11085</v>
      </c>
      <c r="Q5096" s="1" t="s">
        <v>11086</v>
      </c>
      <c r="R5096" s="1" t="s">
        <v>440</v>
      </c>
      <c r="S5096" s="1" t="s">
        <v>11087</v>
      </c>
      <c r="T5096" s="1" t="s">
        <v>11088</v>
      </c>
      <c r="U5096" s="2" t="s">
        <v>154</v>
      </c>
      <c r="V5096" s="2" t="s">
        <v>47</v>
      </c>
      <c r="W5096" s="2" t="s">
        <v>104</v>
      </c>
      <c r="X5096" s="2">
        <v>10.29</v>
      </c>
    </row>
    <row r="5097" spans="1:24" x14ac:dyDescent="0.3">
      <c r="A5097">
        <v>22931</v>
      </c>
      <c r="B5097" t="s">
        <v>11089</v>
      </c>
      <c r="C5097" s="3">
        <v>41865</v>
      </c>
      <c r="D5097" t="s">
        <v>39</v>
      </c>
      <c r="E5097">
        <v>7</v>
      </c>
      <c r="F5097" s="3">
        <f ca="1">41867+(RANDBETWEEN(1,10))</f>
        <v>41875</v>
      </c>
      <c r="G5097" t="s">
        <v>26</v>
      </c>
      <c r="H5097" t="s">
        <v>258</v>
      </c>
      <c r="I5097" t="s">
        <v>52</v>
      </c>
      <c r="J5097">
        <v>134.88999999999999</v>
      </c>
      <c r="K5097">
        <v>0.02</v>
      </c>
      <c r="L5097">
        <v>0.65</v>
      </c>
      <c r="M5097">
        <v>17.324999999999999</v>
      </c>
      <c r="N5097">
        <v>-45.549154000000001</v>
      </c>
      <c r="O5097" s="1" t="s">
        <v>87</v>
      </c>
      <c r="P5097" s="1" t="s">
        <v>8583</v>
      </c>
      <c r="Q5097" s="1" t="s">
        <v>8584</v>
      </c>
      <c r="R5097" s="1" t="s">
        <v>646</v>
      </c>
      <c r="S5097" s="1" t="s">
        <v>8585</v>
      </c>
      <c r="T5097" s="1" t="s">
        <v>8586</v>
      </c>
      <c r="U5097" s="2" t="s">
        <v>3398</v>
      </c>
      <c r="V5097" s="2" t="s">
        <v>83</v>
      </c>
      <c r="W5097" s="2" t="s">
        <v>298</v>
      </c>
      <c r="X5097" s="2">
        <v>17.43</v>
      </c>
    </row>
    <row r="5098" spans="1:24" x14ac:dyDescent="0.3">
      <c r="A5098">
        <v>22932</v>
      </c>
      <c r="B5098" t="s">
        <v>11090</v>
      </c>
      <c r="C5098" s="3">
        <v>41135</v>
      </c>
      <c r="D5098" t="s">
        <v>39</v>
      </c>
      <c r="E5098">
        <v>14</v>
      </c>
      <c r="F5098" s="3">
        <f ca="1">41137+(RANDBETWEEN(1,10))</f>
        <v>41146</v>
      </c>
      <c r="G5098" t="s">
        <v>156</v>
      </c>
      <c r="H5098" t="s">
        <v>63</v>
      </c>
      <c r="I5098" t="s">
        <v>52</v>
      </c>
      <c r="J5098">
        <v>3158.5749999999998</v>
      </c>
      <c r="K5098">
        <v>0.01</v>
      </c>
      <c r="L5098">
        <v>0.63</v>
      </c>
      <c r="M5098">
        <v>69.965000000000003</v>
      </c>
      <c r="N5098">
        <v>2179.4167499999999</v>
      </c>
      <c r="O5098" s="1" t="s">
        <v>40</v>
      </c>
      <c r="P5098" s="1" t="s">
        <v>11091</v>
      </c>
      <c r="Q5098" s="1" t="s">
        <v>11092</v>
      </c>
      <c r="R5098" s="1" t="s">
        <v>43</v>
      </c>
      <c r="S5098" s="1" t="s">
        <v>11093</v>
      </c>
      <c r="T5098" s="1" t="s">
        <v>11094</v>
      </c>
      <c r="U5098" s="2" t="s">
        <v>6044</v>
      </c>
      <c r="V5098" s="2" t="s">
        <v>83</v>
      </c>
      <c r="W5098" s="2" t="s">
        <v>263</v>
      </c>
      <c r="X5098" s="2">
        <v>213.43</v>
      </c>
    </row>
    <row r="5099" spans="1:24" x14ac:dyDescent="0.3">
      <c r="A5099">
        <v>22933</v>
      </c>
      <c r="B5099" t="s">
        <v>11095</v>
      </c>
      <c r="C5099" s="3">
        <v>41751</v>
      </c>
      <c r="D5099" t="s">
        <v>39</v>
      </c>
      <c r="E5099">
        <v>1</v>
      </c>
      <c r="F5099" s="3">
        <f ca="1">41754+(RANDBETWEEN(1,10))</f>
        <v>41758</v>
      </c>
      <c r="G5099" t="s">
        <v>26</v>
      </c>
      <c r="H5099" t="s">
        <v>27</v>
      </c>
      <c r="I5099" t="s">
        <v>86</v>
      </c>
      <c r="J5099">
        <v>127.08499999999999</v>
      </c>
      <c r="K5099">
        <v>0.04</v>
      </c>
      <c r="L5099">
        <v>0.51</v>
      </c>
      <c r="M5099">
        <v>19.25</v>
      </c>
      <c r="N5099">
        <v>-260.57499999999999</v>
      </c>
      <c r="O5099" s="1" t="s">
        <v>40</v>
      </c>
      <c r="P5099" s="1" t="s">
        <v>9618</v>
      </c>
      <c r="Q5099" s="1" t="s">
        <v>9619</v>
      </c>
      <c r="R5099" s="1" t="s">
        <v>43</v>
      </c>
      <c r="S5099" s="1" t="s">
        <v>9620</v>
      </c>
      <c r="T5099" s="1" t="s">
        <v>9621</v>
      </c>
      <c r="U5099" s="2" t="s">
        <v>2603</v>
      </c>
      <c r="V5099" s="2" t="s">
        <v>36</v>
      </c>
      <c r="W5099" s="2" t="s">
        <v>60</v>
      </c>
      <c r="X5099" s="2">
        <v>104.965</v>
      </c>
    </row>
    <row r="5100" spans="1:24" x14ac:dyDescent="0.3">
      <c r="A5100">
        <v>22934</v>
      </c>
      <c r="B5100" t="s">
        <v>11095</v>
      </c>
      <c r="C5100" s="3">
        <v>41751</v>
      </c>
      <c r="D5100" t="s">
        <v>39</v>
      </c>
      <c r="E5100">
        <v>5</v>
      </c>
      <c r="F5100" s="3">
        <f ca="1">41753+(RANDBETWEEN(1,10))</f>
        <v>41763</v>
      </c>
      <c r="G5100" t="s">
        <v>26</v>
      </c>
      <c r="H5100" t="s">
        <v>63</v>
      </c>
      <c r="I5100" t="s">
        <v>86</v>
      </c>
      <c r="J5100">
        <v>377.37</v>
      </c>
      <c r="K5100">
        <v>0</v>
      </c>
      <c r="L5100">
        <v>0.56999999999999995</v>
      </c>
      <c r="M5100">
        <v>52.045000000000002</v>
      </c>
      <c r="N5100">
        <v>-154.73500000000001</v>
      </c>
      <c r="O5100" s="1" t="s">
        <v>40</v>
      </c>
      <c r="P5100" s="1" t="s">
        <v>9618</v>
      </c>
      <c r="Q5100" s="1" t="s">
        <v>9619</v>
      </c>
      <c r="R5100" s="1" t="s">
        <v>43</v>
      </c>
      <c r="S5100" s="1" t="s">
        <v>9620</v>
      </c>
      <c r="T5100" s="1" t="s">
        <v>9621</v>
      </c>
      <c r="U5100" s="2" t="s">
        <v>8886</v>
      </c>
      <c r="V5100" s="2" t="s">
        <v>83</v>
      </c>
      <c r="W5100" s="2" t="s">
        <v>178</v>
      </c>
      <c r="X5100" s="2">
        <v>69.790000000000006</v>
      </c>
    </row>
    <row r="5101" spans="1:24" x14ac:dyDescent="0.3">
      <c r="A5101">
        <v>22935</v>
      </c>
      <c r="B5101" t="s">
        <v>11096</v>
      </c>
      <c r="C5101" s="3">
        <v>41565</v>
      </c>
      <c r="D5101" t="s">
        <v>39</v>
      </c>
      <c r="E5101">
        <v>7</v>
      </c>
      <c r="F5101" s="3">
        <f ca="1">41566+(RANDBETWEEN(1,10))</f>
        <v>41574</v>
      </c>
      <c r="G5101" t="s">
        <v>26</v>
      </c>
      <c r="H5101" t="s">
        <v>27</v>
      </c>
      <c r="I5101" t="s">
        <v>28</v>
      </c>
      <c r="J5101">
        <v>22409.205000000002</v>
      </c>
      <c r="K5101">
        <v>0.01</v>
      </c>
      <c r="L5101">
        <v>0.38</v>
      </c>
      <c r="M5101">
        <v>69.965000000000003</v>
      </c>
      <c r="N5101">
        <v>15462.35145</v>
      </c>
      <c r="O5101" s="1" t="s">
        <v>225</v>
      </c>
      <c r="P5101" s="1" t="s">
        <v>8368</v>
      </c>
      <c r="Q5101" s="1" t="s">
        <v>8369</v>
      </c>
      <c r="R5101" s="1" t="s">
        <v>228</v>
      </c>
      <c r="S5101" s="1" t="s">
        <v>229</v>
      </c>
      <c r="T5101" s="1" t="s">
        <v>8370</v>
      </c>
      <c r="U5101" s="2" t="s">
        <v>1207</v>
      </c>
      <c r="V5101" s="2" t="s">
        <v>47</v>
      </c>
      <c r="W5101" s="2" t="s">
        <v>111</v>
      </c>
      <c r="X5101" s="2">
        <v>3139.4650000000001</v>
      </c>
    </row>
    <row r="5102" spans="1:24" x14ac:dyDescent="0.3">
      <c r="A5102">
        <v>22936</v>
      </c>
      <c r="B5102" t="s">
        <v>11096</v>
      </c>
      <c r="C5102" s="3">
        <v>41565</v>
      </c>
      <c r="D5102" t="s">
        <v>39</v>
      </c>
      <c r="E5102">
        <v>24</v>
      </c>
      <c r="F5102" s="3">
        <f ca="1">41567+(RANDBETWEEN(1,10))</f>
        <v>41571</v>
      </c>
      <c r="G5102" t="s">
        <v>26</v>
      </c>
      <c r="H5102" t="s">
        <v>51</v>
      </c>
      <c r="I5102" t="s">
        <v>28</v>
      </c>
      <c r="J5102">
        <v>2460.5349999999999</v>
      </c>
      <c r="K5102">
        <v>0.02</v>
      </c>
      <c r="L5102">
        <v>0.5</v>
      </c>
      <c r="M5102">
        <v>6.9649999999999999</v>
      </c>
      <c r="N5102">
        <v>1564.759</v>
      </c>
      <c r="O5102" s="1" t="s">
        <v>225</v>
      </c>
      <c r="P5102" s="1" t="s">
        <v>8368</v>
      </c>
      <c r="Q5102" s="1" t="s">
        <v>8369</v>
      </c>
      <c r="R5102" s="1" t="s">
        <v>228</v>
      </c>
      <c r="S5102" s="1" t="s">
        <v>229</v>
      </c>
      <c r="T5102" s="1" t="s">
        <v>8370</v>
      </c>
      <c r="U5102" s="2" t="s">
        <v>124</v>
      </c>
      <c r="V5102" s="2" t="s">
        <v>36</v>
      </c>
      <c r="W5102" s="2" t="s">
        <v>60</v>
      </c>
      <c r="X5102" s="2">
        <v>104.61499999999999</v>
      </c>
    </row>
    <row r="5103" spans="1:24" x14ac:dyDescent="0.3">
      <c r="A5103">
        <v>22937</v>
      </c>
      <c r="B5103" t="s">
        <v>11097</v>
      </c>
      <c r="C5103" s="3">
        <v>41065</v>
      </c>
      <c r="D5103" t="s">
        <v>62</v>
      </c>
      <c r="E5103">
        <v>15</v>
      </c>
      <c r="F5103" s="3">
        <f ca="1">41067+(RANDBETWEEN(1,10))</f>
        <v>41072</v>
      </c>
      <c r="G5103" t="s">
        <v>26</v>
      </c>
      <c r="H5103" t="s">
        <v>27</v>
      </c>
      <c r="I5103" t="s">
        <v>86</v>
      </c>
      <c r="J5103">
        <v>1202.4949999999999</v>
      </c>
      <c r="K5103">
        <v>0.08</v>
      </c>
      <c r="L5103">
        <v>0.35</v>
      </c>
      <c r="M5103">
        <v>23.484999999999999</v>
      </c>
      <c r="N5103">
        <v>829.72154999999998</v>
      </c>
      <c r="O5103" s="1" t="s">
        <v>87</v>
      </c>
      <c r="P5103" s="1" t="s">
        <v>11098</v>
      </c>
      <c r="Q5103" s="1" t="s">
        <v>11099</v>
      </c>
      <c r="R5103" s="1" t="s">
        <v>90</v>
      </c>
      <c r="S5103" s="1" t="s">
        <v>4241</v>
      </c>
      <c r="T5103" s="1" t="s">
        <v>4242</v>
      </c>
      <c r="U5103" s="2" t="s">
        <v>5144</v>
      </c>
      <c r="V5103" s="2" t="s">
        <v>47</v>
      </c>
      <c r="W5103" s="2" t="s">
        <v>48</v>
      </c>
      <c r="X5103" s="2">
        <v>83.965000000000003</v>
      </c>
    </row>
    <row r="5104" spans="1:24" x14ac:dyDescent="0.3">
      <c r="A5104">
        <v>22938</v>
      </c>
      <c r="B5104" t="s">
        <v>11100</v>
      </c>
      <c r="C5104" s="3">
        <v>40824</v>
      </c>
      <c r="D5104" t="s">
        <v>62</v>
      </c>
      <c r="E5104">
        <v>10</v>
      </c>
      <c r="F5104" s="3">
        <f ca="1">40825+(RANDBETWEEN(1,10))</f>
        <v>40828</v>
      </c>
      <c r="G5104" t="s">
        <v>26</v>
      </c>
      <c r="H5104" t="s">
        <v>96</v>
      </c>
      <c r="I5104" t="s">
        <v>28</v>
      </c>
      <c r="J5104">
        <v>104.58</v>
      </c>
      <c r="K5104">
        <v>7.0000000000000007E-2</v>
      </c>
      <c r="L5104">
        <v>0.4</v>
      </c>
      <c r="M5104">
        <v>2.835</v>
      </c>
      <c r="N5104">
        <v>-328.74590000000001</v>
      </c>
      <c r="O5104" s="1" t="s">
        <v>225</v>
      </c>
      <c r="P5104" s="1" t="s">
        <v>557</v>
      </c>
      <c r="Q5104" s="1" t="s">
        <v>558</v>
      </c>
      <c r="R5104" s="1" t="s">
        <v>228</v>
      </c>
      <c r="S5104" s="1" t="s">
        <v>349</v>
      </c>
      <c r="T5104" s="1" t="s">
        <v>350</v>
      </c>
      <c r="U5104" s="2" t="s">
        <v>5264</v>
      </c>
      <c r="V5104" s="2" t="s">
        <v>47</v>
      </c>
      <c r="W5104" s="2" t="s">
        <v>104</v>
      </c>
      <c r="X5104" s="2">
        <v>10.29</v>
      </c>
    </row>
    <row r="5105" spans="1:24" x14ac:dyDescent="0.3">
      <c r="A5105">
        <v>22939</v>
      </c>
      <c r="B5105" t="s">
        <v>11101</v>
      </c>
      <c r="C5105" s="3">
        <v>41107</v>
      </c>
      <c r="D5105" t="s">
        <v>39</v>
      </c>
      <c r="E5105">
        <v>12</v>
      </c>
      <c r="F5105" s="3">
        <f ca="1">41109+(RANDBETWEEN(1,10))</f>
        <v>41110</v>
      </c>
      <c r="G5105" t="s">
        <v>156</v>
      </c>
      <c r="H5105" t="s">
        <v>27</v>
      </c>
      <c r="I5105" t="s">
        <v>97</v>
      </c>
      <c r="J5105">
        <v>230.54499999999999</v>
      </c>
      <c r="K5105">
        <v>0.05</v>
      </c>
      <c r="L5105">
        <v>0.38</v>
      </c>
      <c r="M5105">
        <v>10.465</v>
      </c>
      <c r="N5105">
        <v>8342.7119999999995</v>
      </c>
      <c r="O5105" s="1" t="s">
        <v>53</v>
      </c>
      <c r="P5105" s="1" t="s">
        <v>11102</v>
      </c>
      <c r="Q5105" s="1" t="s">
        <v>11103</v>
      </c>
      <c r="R5105" s="1" t="s">
        <v>56</v>
      </c>
      <c r="S5105" s="1" t="s">
        <v>11104</v>
      </c>
      <c r="T5105" s="1" t="s">
        <v>11105</v>
      </c>
      <c r="U5105" s="2" t="s">
        <v>1125</v>
      </c>
      <c r="V5105" s="2" t="s">
        <v>47</v>
      </c>
      <c r="W5105" s="2" t="s">
        <v>111</v>
      </c>
      <c r="X5105" s="2">
        <v>18.690000000000001</v>
      </c>
    </row>
    <row r="5106" spans="1:24" x14ac:dyDescent="0.3">
      <c r="A5106">
        <v>22940</v>
      </c>
      <c r="B5106" t="s">
        <v>11106</v>
      </c>
      <c r="C5106" s="3">
        <v>41837</v>
      </c>
      <c r="D5106" t="s">
        <v>39</v>
      </c>
      <c r="E5106">
        <v>16</v>
      </c>
      <c r="F5106" s="3">
        <f ca="1">41840+(RANDBETWEEN(1,10))</f>
        <v>41848</v>
      </c>
      <c r="G5106" t="s">
        <v>26</v>
      </c>
      <c r="H5106" t="s">
        <v>27</v>
      </c>
      <c r="I5106" t="s">
        <v>97</v>
      </c>
      <c r="J5106">
        <v>1241.2750000000001</v>
      </c>
      <c r="K5106">
        <v>0.1</v>
      </c>
      <c r="L5106">
        <v>0.35</v>
      </c>
      <c r="M5106">
        <v>23.484999999999999</v>
      </c>
      <c r="N5106">
        <v>-518.24850000000004</v>
      </c>
      <c r="O5106" s="1" t="s">
        <v>53</v>
      </c>
      <c r="P5106" s="1" t="s">
        <v>11102</v>
      </c>
      <c r="Q5106" s="1" t="s">
        <v>11103</v>
      </c>
      <c r="R5106" s="1" t="s">
        <v>56</v>
      </c>
      <c r="S5106" s="1" t="s">
        <v>11104</v>
      </c>
      <c r="T5106" s="1" t="s">
        <v>11105</v>
      </c>
      <c r="U5106" s="2" t="s">
        <v>5144</v>
      </c>
      <c r="V5106" s="2" t="s">
        <v>47</v>
      </c>
      <c r="W5106" s="2" t="s">
        <v>48</v>
      </c>
      <c r="X5106" s="2">
        <v>83.965000000000003</v>
      </c>
    </row>
    <row r="5107" spans="1:24" x14ac:dyDescent="0.3">
      <c r="A5107">
        <v>22941</v>
      </c>
      <c r="B5107" t="s">
        <v>11107</v>
      </c>
      <c r="C5107" s="3">
        <v>41657</v>
      </c>
      <c r="D5107" t="s">
        <v>39</v>
      </c>
      <c r="E5107">
        <v>8</v>
      </c>
      <c r="F5107" s="3">
        <f ca="1">41658+(RANDBETWEEN(1,10))</f>
        <v>41659</v>
      </c>
      <c r="G5107" t="s">
        <v>26</v>
      </c>
      <c r="H5107" t="s">
        <v>27</v>
      </c>
      <c r="I5107" t="s">
        <v>97</v>
      </c>
      <c r="J5107">
        <v>255.64</v>
      </c>
      <c r="K5107">
        <v>0.02</v>
      </c>
      <c r="L5107">
        <v>0.39</v>
      </c>
      <c r="M5107">
        <v>10.465</v>
      </c>
      <c r="N5107">
        <v>141.10901000000001</v>
      </c>
      <c r="O5107" s="1" t="s">
        <v>225</v>
      </c>
      <c r="P5107" s="1" t="s">
        <v>6236</v>
      </c>
      <c r="Q5107" s="1" t="s">
        <v>6237</v>
      </c>
      <c r="R5107" s="1" t="s">
        <v>391</v>
      </c>
      <c r="S5107" s="1" t="s">
        <v>1484</v>
      </c>
      <c r="T5107" s="1" t="s">
        <v>6238</v>
      </c>
      <c r="U5107" s="2" t="s">
        <v>618</v>
      </c>
      <c r="V5107" s="2" t="s">
        <v>47</v>
      </c>
      <c r="W5107" s="2" t="s">
        <v>111</v>
      </c>
      <c r="X5107" s="2">
        <v>30.414999999999999</v>
      </c>
    </row>
    <row r="5108" spans="1:24" x14ac:dyDescent="0.3">
      <c r="A5108">
        <v>22942</v>
      </c>
      <c r="B5108" t="s">
        <v>11108</v>
      </c>
      <c r="C5108" s="3">
        <v>40926</v>
      </c>
      <c r="D5108" t="s">
        <v>39</v>
      </c>
      <c r="E5108">
        <v>1</v>
      </c>
      <c r="F5108" s="3">
        <f ca="1">40927+(RANDBETWEEN(1,10))</f>
        <v>40931</v>
      </c>
      <c r="G5108" t="s">
        <v>76</v>
      </c>
      <c r="H5108" t="s">
        <v>258</v>
      </c>
      <c r="I5108" t="s">
        <v>97</v>
      </c>
      <c r="J5108">
        <v>12110.385</v>
      </c>
      <c r="K5108">
        <v>0.05</v>
      </c>
      <c r="L5108">
        <v>0.56999999999999995</v>
      </c>
      <c r="M5108">
        <v>30.555</v>
      </c>
      <c r="N5108">
        <v>-36410.303720000004</v>
      </c>
      <c r="O5108" s="1" t="s">
        <v>225</v>
      </c>
      <c r="P5108" s="1" t="s">
        <v>3072</v>
      </c>
      <c r="Q5108" s="1" t="s">
        <v>3073</v>
      </c>
      <c r="R5108" s="1" t="s">
        <v>228</v>
      </c>
      <c r="S5108" s="1" t="s">
        <v>1794</v>
      </c>
      <c r="T5108" s="1" t="s">
        <v>548</v>
      </c>
      <c r="U5108" s="2" t="s">
        <v>1769</v>
      </c>
      <c r="V5108" s="2" t="s">
        <v>36</v>
      </c>
      <c r="W5108" s="2" t="s">
        <v>142</v>
      </c>
      <c r="X5108" s="2">
        <v>12257.49</v>
      </c>
    </row>
    <row r="5109" spans="1:24" x14ac:dyDescent="0.3">
      <c r="A5109">
        <v>22943</v>
      </c>
      <c r="B5109" t="s">
        <v>11108</v>
      </c>
      <c r="C5109" s="3">
        <v>40926</v>
      </c>
      <c r="D5109" t="s">
        <v>39</v>
      </c>
      <c r="E5109">
        <v>6</v>
      </c>
      <c r="F5109" s="3">
        <f ca="1">40928+(RANDBETWEEN(1,10))</f>
        <v>40932</v>
      </c>
      <c r="G5109" t="s">
        <v>26</v>
      </c>
      <c r="H5109" t="s">
        <v>51</v>
      </c>
      <c r="I5109" t="s">
        <v>97</v>
      </c>
      <c r="J5109">
        <v>718.13</v>
      </c>
      <c r="K5109">
        <v>0.05</v>
      </c>
      <c r="L5109">
        <v>0.56000000000000005</v>
      </c>
      <c r="M5109">
        <v>31.465</v>
      </c>
      <c r="N5109">
        <v>204.4742</v>
      </c>
      <c r="O5109" s="1" t="s">
        <v>225</v>
      </c>
      <c r="P5109" s="1" t="s">
        <v>3072</v>
      </c>
      <c r="Q5109" s="1" t="s">
        <v>3073</v>
      </c>
      <c r="R5109" s="1" t="s">
        <v>228</v>
      </c>
      <c r="S5109" s="1" t="s">
        <v>1794</v>
      </c>
      <c r="T5109" s="1" t="s">
        <v>548</v>
      </c>
      <c r="U5109" s="2" t="s">
        <v>741</v>
      </c>
      <c r="V5109" s="2" t="s">
        <v>47</v>
      </c>
      <c r="W5109" s="2" t="s">
        <v>104</v>
      </c>
      <c r="X5109" s="2">
        <v>121.03</v>
      </c>
    </row>
    <row r="5110" spans="1:24" x14ac:dyDescent="0.3">
      <c r="A5110">
        <v>22944</v>
      </c>
      <c r="B5110" t="s">
        <v>11108</v>
      </c>
      <c r="C5110" s="3">
        <v>40926</v>
      </c>
      <c r="D5110" t="s">
        <v>39</v>
      </c>
      <c r="E5110">
        <v>8</v>
      </c>
      <c r="F5110" s="3">
        <f ca="1">40928+(RANDBETWEEN(1,10))</f>
        <v>40934</v>
      </c>
      <c r="G5110" t="s">
        <v>26</v>
      </c>
      <c r="H5110" t="s">
        <v>27</v>
      </c>
      <c r="I5110" t="s">
        <v>97</v>
      </c>
      <c r="J5110">
        <v>341.25</v>
      </c>
      <c r="K5110">
        <v>7.0000000000000007E-2</v>
      </c>
      <c r="L5110">
        <v>0.57999999999999996</v>
      </c>
      <c r="M5110">
        <v>16.835000000000001</v>
      </c>
      <c r="N5110">
        <v>-65.013199999999998</v>
      </c>
      <c r="O5110" s="1" t="s">
        <v>225</v>
      </c>
      <c r="P5110" s="1" t="s">
        <v>3072</v>
      </c>
      <c r="Q5110" s="1" t="s">
        <v>3073</v>
      </c>
      <c r="R5110" s="1" t="s">
        <v>228</v>
      </c>
      <c r="S5110" s="1" t="s">
        <v>1794</v>
      </c>
      <c r="T5110" s="1" t="s">
        <v>548</v>
      </c>
      <c r="U5110" s="2" t="s">
        <v>5691</v>
      </c>
      <c r="V5110" s="2" t="s">
        <v>47</v>
      </c>
      <c r="W5110" s="2" t="s">
        <v>119</v>
      </c>
      <c r="X5110" s="2">
        <v>42.734999999999999</v>
      </c>
    </row>
    <row r="5111" spans="1:24" x14ac:dyDescent="0.3">
      <c r="A5111">
        <v>22945</v>
      </c>
      <c r="B5111" t="s">
        <v>11109</v>
      </c>
      <c r="C5111" s="3">
        <v>41163</v>
      </c>
      <c r="D5111" t="s">
        <v>148</v>
      </c>
      <c r="E5111">
        <v>13</v>
      </c>
      <c r="F5111" s="3">
        <f ca="1">41164+(RANDBETWEEN(1,10))</f>
        <v>41172</v>
      </c>
      <c r="G5111" t="s">
        <v>26</v>
      </c>
      <c r="H5111" t="s">
        <v>27</v>
      </c>
      <c r="I5111" t="s">
        <v>86</v>
      </c>
      <c r="J5111">
        <v>3211.39</v>
      </c>
      <c r="K5111">
        <v>0.02</v>
      </c>
      <c r="L5111">
        <v>0.4</v>
      </c>
      <c r="M5111">
        <v>69.965000000000003</v>
      </c>
      <c r="N5111">
        <v>1642.46775</v>
      </c>
      <c r="O5111" s="1" t="s">
        <v>87</v>
      </c>
      <c r="P5111" s="1" t="s">
        <v>4608</v>
      </c>
      <c r="Q5111" s="1" t="s">
        <v>4609</v>
      </c>
      <c r="R5111" s="1" t="s">
        <v>497</v>
      </c>
      <c r="S5111" s="1" t="s">
        <v>4610</v>
      </c>
      <c r="T5111" s="1" t="s">
        <v>4611</v>
      </c>
      <c r="U5111" s="2" t="s">
        <v>2385</v>
      </c>
      <c r="V5111" s="2" t="s">
        <v>47</v>
      </c>
      <c r="W5111" s="2" t="s">
        <v>111</v>
      </c>
      <c r="X5111" s="2">
        <v>235.48</v>
      </c>
    </row>
    <row r="5112" spans="1:24" x14ac:dyDescent="0.3">
      <c r="A5112">
        <v>22946</v>
      </c>
      <c r="B5112" t="s">
        <v>11110</v>
      </c>
      <c r="C5112" s="3">
        <v>41021</v>
      </c>
      <c r="D5112" t="s">
        <v>25</v>
      </c>
      <c r="E5112">
        <v>3</v>
      </c>
      <c r="F5112" s="3">
        <f ca="1">41023+(RANDBETWEEN(1,10))</f>
        <v>41029</v>
      </c>
      <c r="G5112" t="s">
        <v>26</v>
      </c>
      <c r="H5112" t="s">
        <v>51</v>
      </c>
      <c r="I5112" t="s">
        <v>28</v>
      </c>
      <c r="J5112">
        <v>220.745</v>
      </c>
      <c r="K5112">
        <v>0.03</v>
      </c>
      <c r="L5112">
        <v>0.49</v>
      </c>
      <c r="M5112">
        <v>23.344999999999999</v>
      </c>
      <c r="N5112">
        <v>152.31405000000001</v>
      </c>
      <c r="O5112" s="1" t="s">
        <v>40</v>
      </c>
      <c r="P5112" s="1" t="s">
        <v>11111</v>
      </c>
      <c r="Q5112" s="1" t="s">
        <v>11112</v>
      </c>
      <c r="R5112" s="1" t="s">
        <v>43</v>
      </c>
      <c r="S5112" s="1" t="s">
        <v>11113</v>
      </c>
      <c r="T5112" s="1" t="s">
        <v>11114</v>
      </c>
      <c r="U5112" s="2" t="s">
        <v>2831</v>
      </c>
      <c r="V5112" s="2" t="s">
        <v>83</v>
      </c>
      <c r="W5112" s="2" t="s">
        <v>178</v>
      </c>
      <c r="X5112" s="2">
        <v>70.84</v>
      </c>
    </row>
    <row r="5113" spans="1:24" x14ac:dyDescent="0.3">
      <c r="A5113">
        <v>22947</v>
      </c>
      <c r="B5113" t="s">
        <v>11115</v>
      </c>
      <c r="C5113" s="3">
        <v>41711</v>
      </c>
      <c r="D5113" t="s">
        <v>50</v>
      </c>
      <c r="E5113">
        <v>7</v>
      </c>
      <c r="F5113" s="3">
        <f ca="1">41713+(RANDBETWEEN(1,10))</f>
        <v>41717</v>
      </c>
      <c r="G5113" t="s">
        <v>76</v>
      </c>
      <c r="H5113" t="s">
        <v>258</v>
      </c>
      <c r="I5113" t="s">
        <v>28</v>
      </c>
      <c r="J5113">
        <v>5477.22</v>
      </c>
      <c r="K5113">
        <v>0.09</v>
      </c>
      <c r="L5113">
        <v>0.56000000000000005</v>
      </c>
      <c r="M5113">
        <v>210.7</v>
      </c>
      <c r="N5113">
        <v>1196.93</v>
      </c>
      <c r="O5113" s="1" t="s">
        <v>87</v>
      </c>
      <c r="P5113" s="1" t="s">
        <v>10924</v>
      </c>
      <c r="Q5113" s="1" t="s">
        <v>10925</v>
      </c>
      <c r="R5113" s="1" t="s">
        <v>90</v>
      </c>
      <c r="S5113" s="1" t="s">
        <v>9462</v>
      </c>
      <c r="T5113" s="1" t="s">
        <v>9463</v>
      </c>
      <c r="U5113" s="2" t="s">
        <v>5128</v>
      </c>
      <c r="V5113" s="2" t="s">
        <v>83</v>
      </c>
      <c r="W5113" s="2" t="s">
        <v>298</v>
      </c>
      <c r="X5113" s="2">
        <v>843.43</v>
      </c>
    </row>
    <row r="5114" spans="1:24" x14ac:dyDescent="0.3">
      <c r="A5114">
        <v>22948</v>
      </c>
      <c r="B5114" t="s">
        <v>11115</v>
      </c>
      <c r="C5114" s="3">
        <v>41711</v>
      </c>
      <c r="D5114" t="s">
        <v>50</v>
      </c>
      <c r="E5114">
        <v>3</v>
      </c>
      <c r="F5114" s="3">
        <f ca="1">41713+(RANDBETWEEN(1,10))</f>
        <v>41718</v>
      </c>
      <c r="G5114" t="s">
        <v>26</v>
      </c>
      <c r="H5114" t="s">
        <v>27</v>
      </c>
      <c r="I5114" t="s">
        <v>28</v>
      </c>
      <c r="J5114">
        <v>1168.0899999999999</v>
      </c>
      <c r="K5114">
        <v>0.02</v>
      </c>
      <c r="L5114">
        <v>0.56999999999999995</v>
      </c>
      <c r="M5114">
        <v>28.28</v>
      </c>
      <c r="N5114">
        <v>103.446</v>
      </c>
      <c r="O5114" s="1" t="s">
        <v>87</v>
      </c>
      <c r="P5114" s="1" t="s">
        <v>10924</v>
      </c>
      <c r="Q5114" s="1" t="s">
        <v>10925</v>
      </c>
      <c r="R5114" s="1" t="s">
        <v>90</v>
      </c>
      <c r="S5114" s="1" t="s">
        <v>9462</v>
      </c>
      <c r="T5114" s="1" t="s">
        <v>9463</v>
      </c>
      <c r="U5114" s="2" t="s">
        <v>566</v>
      </c>
      <c r="V5114" s="2" t="s">
        <v>36</v>
      </c>
      <c r="W5114" s="2" t="s">
        <v>37</v>
      </c>
      <c r="X5114" s="2">
        <v>440.96499999999997</v>
      </c>
    </row>
    <row r="5115" spans="1:24" x14ac:dyDescent="0.3">
      <c r="A5115">
        <v>22949</v>
      </c>
      <c r="B5115" t="s">
        <v>11116</v>
      </c>
      <c r="C5115" s="3">
        <v>41675</v>
      </c>
      <c r="D5115" t="s">
        <v>148</v>
      </c>
      <c r="E5115">
        <v>4</v>
      </c>
      <c r="F5115" s="3">
        <f ca="1">41677+(RANDBETWEEN(1,10))</f>
        <v>41687</v>
      </c>
      <c r="G5115" t="s">
        <v>26</v>
      </c>
      <c r="H5115" t="s">
        <v>27</v>
      </c>
      <c r="I5115" t="s">
        <v>28</v>
      </c>
      <c r="J5115">
        <v>140.21</v>
      </c>
      <c r="K5115">
        <v>0.08</v>
      </c>
      <c r="L5115">
        <v>0.56999999999999995</v>
      </c>
      <c r="M5115">
        <v>43.82</v>
      </c>
      <c r="N5115">
        <v>-360.255</v>
      </c>
      <c r="O5115" s="1" t="s">
        <v>53</v>
      </c>
      <c r="P5115" s="1" t="s">
        <v>8563</v>
      </c>
      <c r="Q5115" s="1" t="s">
        <v>8564</v>
      </c>
      <c r="R5115" s="1" t="s">
        <v>440</v>
      </c>
      <c r="S5115" s="1" t="s">
        <v>7286</v>
      </c>
      <c r="T5115" s="1" t="s">
        <v>2516</v>
      </c>
      <c r="U5115" s="2" t="s">
        <v>8087</v>
      </c>
      <c r="V5115" s="2" t="s">
        <v>83</v>
      </c>
      <c r="W5115" s="2" t="s">
        <v>178</v>
      </c>
      <c r="X5115" s="2">
        <v>34.93</v>
      </c>
    </row>
    <row r="5116" spans="1:24" x14ac:dyDescent="0.3">
      <c r="A5116">
        <v>22950</v>
      </c>
      <c r="B5116" t="s">
        <v>11117</v>
      </c>
      <c r="C5116" s="3">
        <v>41064</v>
      </c>
      <c r="D5116" t="s">
        <v>25</v>
      </c>
      <c r="E5116">
        <v>7</v>
      </c>
      <c r="F5116" s="3">
        <f ca="1">41071+(RANDBETWEEN(1,10))</f>
        <v>41075</v>
      </c>
      <c r="G5116" t="s">
        <v>26</v>
      </c>
      <c r="H5116" t="s">
        <v>27</v>
      </c>
      <c r="I5116" t="s">
        <v>97</v>
      </c>
      <c r="J5116">
        <v>287.80500000000001</v>
      </c>
      <c r="K5116">
        <v>0.03</v>
      </c>
      <c r="L5116">
        <v>0.64</v>
      </c>
      <c r="M5116">
        <v>22.75</v>
      </c>
      <c r="N5116">
        <v>-212.268</v>
      </c>
      <c r="O5116" s="1" t="s">
        <v>40</v>
      </c>
      <c r="P5116" s="1" t="s">
        <v>11118</v>
      </c>
      <c r="Q5116" s="1" t="s">
        <v>11119</v>
      </c>
      <c r="R5116" s="1" t="s">
        <v>220</v>
      </c>
      <c r="S5116" s="1" t="s">
        <v>5869</v>
      </c>
      <c r="T5116" s="1" t="s">
        <v>5870</v>
      </c>
      <c r="U5116" s="2" t="s">
        <v>337</v>
      </c>
      <c r="V5116" s="2" t="s">
        <v>36</v>
      </c>
      <c r="W5116" s="2" t="s">
        <v>60</v>
      </c>
      <c r="X5116" s="2">
        <v>38.395000000000003</v>
      </c>
    </row>
    <row r="5117" spans="1:24" x14ac:dyDescent="0.3">
      <c r="A5117">
        <v>22951</v>
      </c>
      <c r="B5117" t="s">
        <v>11120</v>
      </c>
      <c r="C5117" s="3">
        <v>41392</v>
      </c>
      <c r="D5117" t="s">
        <v>25</v>
      </c>
      <c r="E5117">
        <v>8</v>
      </c>
      <c r="F5117" s="3">
        <f ca="1">41392+(RANDBETWEEN(1,10))</f>
        <v>41399</v>
      </c>
      <c r="G5117" t="s">
        <v>156</v>
      </c>
      <c r="H5117" t="s">
        <v>27</v>
      </c>
      <c r="I5117" t="s">
        <v>86</v>
      </c>
      <c r="J5117">
        <v>1454.9849999999999</v>
      </c>
      <c r="K5117">
        <v>0.1</v>
      </c>
      <c r="L5117">
        <v>0.56000000000000005</v>
      </c>
      <c r="M5117">
        <v>19.704999999999998</v>
      </c>
      <c r="N5117">
        <v>-83.623400000000004</v>
      </c>
      <c r="O5117" s="1" t="s">
        <v>87</v>
      </c>
      <c r="P5117" s="1" t="s">
        <v>7125</v>
      </c>
      <c r="Q5117" s="1" t="s">
        <v>7126</v>
      </c>
      <c r="R5117" s="1" t="s">
        <v>646</v>
      </c>
      <c r="S5117" s="1" t="s">
        <v>7127</v>
      </c>
      <c r="T5117" s="1" t="s">
        <v>7128</v>
      </c>
      <c r="U5117" s="2">
        <v>2190</v>
      </c>
      <c r="V5117" s="2" t="s">
        <v>36</v>
      </c>
      <c r="W5117" s="2" t="s">
        <v>37</v>
      </c>
      <c r="X5117" s="2">
        <v>230.965</v>
      </c>
    </row>
    <row r="5118" spans="1:24" x14ac:dyDescent="0.3">
      <c r="A5118">
        <v>22952</v>
      </c>
      <c r="B5118" t="s">
        <v>11121</v>
      </c>
      <c r="C5118" s="3">
        <v>41590</v>
      </c>
      <c r="D5118" t="s">
        <v>62</v>
      </c>
      <c r="E5118">
        <v>18</v>
      </c>
      <c r="F5118" s="3">
        <f ca="1">41591+(RANDBETWEEN(1,10))</f>
        <v>41599</v>
      </c>
      <c r="G5118" t="s">
        <v>26</v>
      </c>
      <c r="H5118" t="s">
        <v>27</v>
      </c>
      <c r="I5118" t="s">
        <v>86</v>
      </c>
      <c r="J5118">
        <v>327.88</v>
      </c>
      <c r="K5118">
        <v>0.08</v>
      </c>
      <c r="L5118">
        <v>0.4</v>
      </c>
      <c r="M5118">
        <v>21.91</v>
      </c>
      <c r="N5118">
        <v>53.956000000000003</v>
      </c>
      <c r="O5118" s="1" t="s">
        <v>29</v>
      </c>
      <c r="P5118" s="1" t="s">
        <v>11122</v>
      </c>
      <c r="Q5118" s="1" t="s">
        <v>11123</v>
      </c>
      <c r="R5118" s="1" t="s">
        <v>32</v>
      </c>
      <c r="S5118" s="1" t="s">
        <v>11124</v>
      </c>
      <c r="T5118" s="1" t="s">
        <v>11125</v>
      </c>
      <c r="U5118" s="2" t="s">
        <v>817</v>
      </c>
      <c r="V5118" s="2" t="s">
        <v>47</v>
      </c>
      <c r="W5118" s="2" t="s">
        <v>74</v>
      </c>
      <c r="X5118" s="2">
        <v>18.48</v>
      </c>
    </row>
    <row r="5119" spans="1:24" x14ac:dyDescent="0.3">
      <c r="A5119">
        <v>22953</v>
      </c>
      <c r="B5119" t="s">
        <v>11121</v>
      </c>
      <c r="C5119" s="3">
        <v>41590</v>
      </c>
      <c r="D5119" t="s">
        <v>62</v>
      </c>
      <c r="E5119">
        <v>32</v>
      </c>
      <c r="F5119" s="3">
        <f ca="1">41592+(RANDBETWEEN(1,10))</f>
        <v>41599</v>
      </c>
      <c r="G5119" t="s">
        <v>26</v>
      </c>
      <c r="H5119" t="s">
        <v>27</v>
      </c>
      <c r="I5119" t="s">
        <v>86</v>
      </c>
      <c r="J5119">
        <v>6654.7950000000001</v>
      </c>
      <c r="K5119">
        <v>0.01</v>
      </c>
      <c r="L5119">
        <v>0.56999999999999995</v>
      </c>
      <c r="M5119">
        <v>33.984999999999999</v>
      </c>
      <c r="N5119">
        <v>3657.346</v>
      </c>
      <c r="O5119" s="1" t="s">
        <v>29</v>
      </c>
      <c r="P5119" s="1" t="s">
        <v>11122</v>
      </c>
      <c r="Q5119" s="1" t="s">
        <v>11123</v>
      </c>
      <c r="R5119" s="1" t="s">
        <v>32</v>
      </c>
      <c r="S5119" s="1" t="s">
        <v>11124</v>
      </c>
      <c r="T5119" s="1" t="s">
        <v>11125</v>
      </c>
      <c r="U5119" s="2" t="s">
        <v>5588</v>
      </c>
      <c r="V5119" s="2" t="s">
        <v>47</v>
      </c>
      <c r="W5119" s="2" t="s">
        <v>119</v>
      </c>
      <c r="X5119" s="2">
        <v>209.16</v>
      </c>
    </row>
    <row r="5120" spans="1:24" x14ac:dyDescent="0.3">
      <c r="A5120">
        <v>22954</v>
      </c>
      <c r="B5120" t="s">
        <v>11126</v>
      </c>
      <c r="C5120" s="3">
        <v>41242</v>
      </c>
      <c r="D5120" t="s">
        <v>50</v>
      </c>
      <c r="E5120">
        <v>3</v>
      </c>
      <c r="F5120" s="3">
        <f ca="1">41243+(RANDBETWEEN(1,10))</f>
        <v>41250</v>
      </c>
      <c r="G5120" t="s">
        <v>26</v>
      </c>
      <c r="H5120" t="s">
        <v>27</v>
      </c>
      <c r="I5120" t="s">
        <v>86</v>
      </c>
      <c r="J5120">
        <v>330.19</v>
      </c>
      <c r="K5120">
        <v>0.02</v>
      </c>
      <c r="L5120">
        <v>0.35</v>
      </c>
      <c r="M5120">
        <v>10.465</v>
      </c>
      <c r="N5120">
        <v>-74.100250000000003</v>
      </c>
      <c r="O5120" s="1" t="s">
        <v>64</v>
      </c>
      <c r="P5120" s="1" t="s">
        <v>568</v>
      </c>
      <c r="Q5120" s="1" t="s">
        <v>569</v>
      </c>
      <c r="R5120" s="1" t="s">
        <v>128</v>
      </c>
      <c r="S5120" s="1" t="s">
        <v>570</v>
      </c>
      <c r="T5120" s="1" t="s">
        <v>571</v>
      </c>
      <c r="U5120" s="2" t="s">
        <v>4393</v>
      </c>
      <c r="V5120" s="2" t="s">
        <v>47</v>
      </c>
      <c r="W5120" s="2" t="s">
        <v>111</v>
      </c>
      <c r="X5120" s="2">
        <v>106.96</v>
      </c>
    </row>
    <row r="5121" spans="1:24" x14ac:dyDescent="0.3">
      <c r="A5121">
        <v>22955</v>
      </c>
      <c r="B5121" t="s">
        <v>11127</v>
      </c>
      <c r="C5121" s="3">
        <v>41972</v>
      </c>
      <c r="D5121" t="s">
        <v>50</v>
      </c>
      <c r="E5121">
        <v>14</v>
      </c>
      <c r="F5121" s="3">
        <f ca="1">41973+(RANDBETWEEN(1,10))</f>
        <v>41974</v>
      </c>
      <c r="G5121" t="s">
        <v>76</v>
      </c>
      <c r="H5121" t="s">
        <v>77</v>
      </c>
      <c r="I5121" t="s">
        <v>86</v>
      </c>
      <c r="J5121">
        <v>1767.08</v>
      </c>
      <c r="K5121">
        <v>0.04</v>
      </c>
      <c r="L5121">
        <v>0.57999999999999996</v>
      </c>
      <c r="M5121">
        <v>67.165000000000006</v>
      </c>
      <c r="N5121">
        <v>506.41500000000002</v>
      </c>
      <c r="O5121" s="1" t="s">
        <v>64</v>
      </c>
      <c r="P5121" s="1" t="s">
        <v>568</v>
      </c>
      <c r="Q5121" s="1" t="s">
        <v>569</v>
      </c>
      <c r="R5121" s="1" t="s">
        <v>128</v>
      </c>
      <c r="S5121" s="1" t="s">
        <v>570</v>
      </c>
      <c r="T5121" s="1" t="s">
        <v>571</v>
      </c>
      <c r="U5121" s="2" t="s">
        <v>8686</v>
      </c>
      <c r="V5121" s="2" t="s">
        <v>83</v>
      </c>
      <c r="W5121" s="2" t="s">
        <v>84</v>
      </c>
      <c r="X5121" s="2">
        <v>118.79</v>
      </c>
    </row>
    <row r="5122" spans="1:24" x14ac:dyDescent="0.3">
      <c r="A5122">
        <v>22956</v>
      </c>
      <c r="B5122" t="s">
        <v>11126</v>
      </c>
      <c r="C5122" s="3">
        <v>41242</v>
      </c>
      <c r="D5122" t="s">
        <v>50</v>
      </c>
      <c r="E5122">
        <v>2</v>
      </c>
      <c r="F5122" s="3">
        <f ca="1">41244+(RANDBETWEEN(1,10))</f>
        <v>41253</v>
      </c>
      <c r="G5122" t="s">
        <v>26</v>
      </c>
      <c r="H5122" t="s">
        <v>281</v>
      </c>
      <c r="I5122" t="s">
        <v>86</v>
      </c>
      <c r="J5122">
        <v>85.855000000000004</v>
      </c>
      <c r="K5122">
        <v>0.04</v>
      </c>
      <c r="L5122">
        <v>0.39</v>
      </c>
      <c r="M5122">
        <v>20.16</v>
      </c>
      <c r="N5122">
        <v>-141.16900000000001</v>
      </c>
      <c r="O5122" s="1" t="s">
        <v>64</v>
      </c>
      <c r="P5122" s="1" t="s">
        <v>568</v>
      </c>
      <c r="Q5122" s="1" t="s">
        <v>569</v>
      </c>
      <c r="R5122" s="1" t="s">
        <v>128</v>
      </c>
      <c r="S5122" s="1" t="s">
        <v>570</v>
      </c>
      <c r="T5122" s="1" t="s">
        <v>571</v>
      </c>
      <c r="U5122" s="2" t="s">
        <v>7988</v>
      </c>
      <c r="V5122" s="2" t="s">
        <v>36</v>
      </c>
      <c r="W5122" s="2" t="s">
        <v>142</v>
      </c>
      <c r="X5122" s="2">
        <v>33.215000000000003</v>
      </c>
    </row>
    <row r="5123" spans="1:24" x14ac:dyDescent="0.3">
      <c r="A5123">
        <v>22957</v>
      </c>
      <c r="B5123" t="s">
        <v>11128</v>
      </c>
      <c r="C5123" s="3">
        <v>41284</v>
      </c>
      <c r="D5123" t="s">
        <v>50</v>
      </c>
      <c r="E5123">
        <v>11</v>
      </c>
      <c r="F5123" s="3">
        <f ca="1">41284+(RANDBETWEEN(1,10))</f>
        <v>41288</v>
      </c>
      <c r="G5123" t="s">
        <v>26</v>
      </c>
      <c r="H5123" t="s">
        <v>96</v>
      </c>
      <c r="I5123" t="s">
        <v>28</v>
      </c>
      <c r="J5123">
        <v>214.48</v>
      </c>
      <c r="K5123">
        <v>7.0000000000000007E-2</v>
      </c>
      <c r="L5123">
        <v>0.55000000000000004</v>
      </c>
      <c r="M5123">
        <v>4.2</v>
      </c>
      <c r="N5123">
        <v>89.11</v>
      </c>
      <c r="O5123" s="1" t="s">
        <v>225</v>
      </c>
      <c r="P5123" s="1" t="s">
        <v>10274</v>
      </c>
      <c r="Q5123" s="1" t="s">
        <v>10275</v>
      </c>
      <c r="R5123" s="1" t="s">
        <v>228</v>
      </c>
      <c r="S5123" s="1" t="s">
        <v>10276</v>
      </c>
      <c r="T5123" s="1" t="s">
        <v>10277</v>
      </c>
      <c r="U5123" s="2" t="s">
        <v>4460</v>
      </c>
      <c r="V5123" s="2" t="s">
        <v>47</v>
      </c>
      <c r="W5123" s="2" t="s">
        <v>104</v>
      </c>
      <c r="X5123" s="2">
        <v>20.440000000000001</v>
      </c>
    </row>
    <row r="5124" spans="1:24" x14ac:dyDescent="0.3">
      <c r="A5124">
        <v>22958</v>
      </c>
      <c r="B5124" t="s">
        <v>11128</v>
      </c>
      <c r="C5124" s="3">
        <v>41284</v>
      </c>
      <c r="D5124" t="s">
        <v>50</v>
      </c>
      <c r="E5124">
        <v>8</v>
      </c>
      <c r="F5124" s="3">
        <f ca="1">41286+(RANDBETWEEN(1,10))</f>
        <v>41288</v>
      </c>
      <c r="G5124" t="s">
        <v>76</v>
      </c>
      <c r="H5124" t="s">
        <v>258</v>
      </c>
      <c r="I5124" t="s">
        <v>28</v>
      </c>
      <c r="J5124">
        <v>5993.75</v>
      </c>
      <c r="K5124">
        <v>7.0000000000000007E-2</v>
      </c>
      <c r="L5124">
        <v>0.77</v>
      </c>
      <c r="M5124">
        <v>243.74</v>
      </c>
      <c r="N5124">
        <v>-4335.3865800000003</v>
      </c>
      <c r="O5124" s="1" t="s">
        <v>225</v>
      </c>
      <c r="P5124" s="1" t="s">
        <v>10274</v>
      </c>
      <c r="Q5124" s="1" t="s">
        <v>10275</v>
      </c>
      <c r="R5124" s="1" t="s">
        <v>228</v>
      </c>
      <c r="S5124" s="1" t="s">
        <v>10276</v>
      </c>
      <c r="T5124" s="1" t="s">
        <v>10277</v>
      </c>
      <c r="U5124" s="2" t="s">
        <v>1233</v>
      </c>
      <c r="V5124" s="2" t="s">
        <v>83</v>
      </c>
      <c r="W5124" s="2" t="s">
        <v>263</v>
      </c>
      <c r="X5124" s="2">
        <v>765.625</v>
      </c>
    </row>
    <row r="5125" spans="1:24" x14ac:dyDescent="0.3">
      <c r="A5125">
        <v>22959</v>
      </c>
      <c r="B5125" t="s">
        <v>11129</v>
      </c>
      <c r="C5125" s="3">
        <v>41116</v>
      </c>
      <c r="D5125" t="s">
        <v>39</v>
      </c>
      <c r="E5125">
        <v>6</v>
      </c>
      <c r="F5125" s="3">
        <f ca="1">41117+(RANDBETWEEN(1,10))</f>
        <v>41119</v>
      </c>
      <c r="G5125" t="s">
        <v>26</v>
      </c>
      <c r="H5125" t="s">
        <v>27</v>
      </c>
      <c r="I5125" t="s">
        <v>97</v>
      </c>
      <c r="J5125">
        <v>1197.4549999999999</v>
      </c>
      <c r="K5125">
        <v>0.02</v>
      </c>
      <c r="L5125">
        <v>0.56000000000000005</v>
      </c>
      <c r="M5125">
        <v>31.465</v>
      </c>
      <c r="N5125">
        <v>225.85499999999999</v>
      </c>
      <c r="O5125" s="1" t="s">
        <v>225</v>
      </c>
      <c r="P5125" s="1" t="s">
        <v>11130</v>
      </c>
      <c r="Q5125" s="1" t="s">
        <v>11131</v>
      </c>
      <c r="R5125" s="1" t="s">
        <v>391</v>
      </c>
      <c r="S5125" s="1" t="s">
        <v>2285</v>
      </c>
      <c r="T5125" s="1" t="s">
        <v>2286</v>
      </c>
      <c r="U5125" s="2">
        <v>5180</v>
      </c>
      <c r="V5125" s="2" t="s">
        <v>36</v>
      </c>
      <c r="W5125" s="2" t="s">
        <v>37</v>
      </c>
      <c r="X5125" s="2">
        <v>230.965</v>
      </c>
    </row>
    <row r="5126" spans="1:24" x14ac:dyDescent="0.3">
      <c r="A5126">
        <v>2296</v>
      </c>
      <c r="B5126" t="s">
        <v>11132</v>
      </c>
      <c r="C5126" s="3">
        <v>40592</v>
      </c>
      <c r="D5126" t="s">
        <v>50</v>
      </c>
      <c r="E5126">
        <v>30</v>
      </c>
      <c r="F5126" s="3">
        <f ca="1">40594+(RANDBETWEEN(1,10))</f>
        <v>40604</v>
      </c>
      <c r="G5126" t="s">
        <v>76</v>
      </c>
      <c r="H5126" t="s">
        <v>77</v>
      </c>
      <c r="I5126" t="s">
        <v>28</v>
      </c>
      <c r="J5126">
        <v>36941.205000000002</v>
      </c>
      <c r="K5126">
        <v>0.09</v>
      </c>
      <c r="L5126">
        <v>0.64</v>
      </c>
      <c r="M5126">
        <v>206.22</v>
      </c>
      <c r="N5126">
        <v>4340.875</v>
      </c>
      <c r="O5126" s="1" t="s">
        <v>53</v>
      </c>
      <c r="P5126" s="1" t="s">
        <v>157</v>
      </c>
      <c r="Q5126" s="1" t="s">
        <v>158</v>
      </c>
      <c r="R5126" s="1" t="s">
        <v>56</v>
      </c>
      <c r="S5126" s="1" t="s">
        <v>159</v>
      </c>
      <c r="T5126" s="1" t="s">
        <v>160</v>
      </c>
      <c r="U5126" s="2" t="s">
        <v>207</v>
      </c>
      <c r="V5126" s="2" t="s">
        <v>83</v>
      </c>
      <c r="W5126" s="2" t="s">
        <v>84</v>
      </c>
      <c r="X5126" s="2">
        <v>1245.93</v>
      </c>
    </row>
    <row r="5127" spans="1:24" x14ac:dyDescent="0.3">
      <c r="A5127">
        <v>22960</v>
      </c>
      <c r="B5127" t="s">
        <v>11133</v>
      </c>
      <c r="C5127" s="3">
        <v>41354</v>
      </c>
      <c r="D5127" t="s">
        <v>25</v>
      </c>
      <c r="E5127">
        <v>2</v>
      </c>
      <c r="F5127" s="3">
        <f ca="1">41356+(RANDBETWEEN(1,10))</f>
        <v>41364</v>
      </c>
      <c r="G5127" t="s">
        <v>26</v>
      </c>
      <c r="H5127" t="s">
        <v>27</v>
      </c>
      <c r="I5127" t="s">
        <v>28</v>
      </c>
      <c r="J5127">
        <v>407.89</v>
      </c>
      <c r="K5127">
        <v>0.02</v>
      </c>
      <c r="L5127">
        <v>0.59</v>
      </c>
      <c r="M5127">
        <v>13.965</v>
      </c>
      <c r="N5127">
        <v>-579.69449999999995</v>
      </c>
      <c r="O5127" s="1" t="s">
        <v>87</v>
      </c>
      <c r="P5127" s="1" t="s">
        <v>11134</v>
      </c>
      <c r="Q5127" s="1" t="s">
        <v>11135</v>
      </c>
      <c r="R5127" s="1" t="s">
        <v>398</v>
      </c>
      <c r="S5127" s="1" t="s">
        <v>9137</v>
      </c>
      <c r="T5127" s="1" t="s">
        <v>9138</v>
      </c>
      <c r="U5127" s="2" t="s">
        <v>1991</v>
      </c>
      <c r="V5127" s="2" t="s">
        <v>36</v>
      </c>
      <c r="W5127" s="2" t="s">
        <v>37</v>
      </c>
      <c r="X5127" s="2">
        <v>230.965</v>
      </c>
    </row>
    <row r="5128" spans="1:24" x14ac:dyDescent="0.3">
      <c r="A5128">
        <v>22961</v>
      </c>
      <c r="B5128" t="s">
        <v>11136</v>
      </c>
      <c r="C5128" s="3">
        <v>41861</v>
      </c>
      <c r="D5128" t="s">
        <v>50</v>
      </c>
      <c r="E5128">
        <v>21</v>
      </c>
      <c r="F5128" s="3">
        <f ca="1">41863+(RANDBETWEEN(1,10))</f>
        <v>41872</v>
      </c>
      <c r="G5128" t="s">
        <v>26</v>
      </c>
      <c r="H5128" t="s">
        <v>27</v>
      </c>
      <c r="I5128" t="s">
        <v>28</v>
      </c>
      <c r="J5128">
        <v>7814.31</v>
      </c>
      <c r="K5128">
        <v>0.02</v>
      </c>
      <c r="L5128">
        <v>0.52</v>
      </c>
      <c r="M5128">
        <v>69.965000000000003</v>
      </c>
      <c r="N5128">
        <v>18828.242999999999</v>
      </c>
      <c r="O5128" s="1" t="s">
        <v>29</v>
      </c>
      <c r="P5128" s="1" t="s">
        <v>11137</v>
      </c>
      <c r="Q5128" s="1" t="s">
        <v>11138</v>
      </c>
      <c r="R5128" s="1" t="s">
        <v>32</v>
      </c>
      <c r="S5128" s="1" t="s">
        <v>3248</v>
      </c>
      <c r="T5128" s="1" t="s">
        <v>3249</v>
      </c>
      <c r="U5128" s="2" t="s">
        <v>1438</v>
      </c>
      <c r="V5128" s="2" t="s">
        <v>36</v>
      </c>
      <c r="W5128" s="2" t="s">
        <v>60</v>
      </c>
      <c r="X5128" s="2">
        <v>349.96499999999997</v>
      </c>
    </row>
    <row r="5129" spans="1:24" x14ac:dyDescent="0.3">
      <c r="A5129">
        <v>22962</v>
      </c>
      <c r="B5129" t="s">
        <v>11139</v>
      </c>
      <c r="C5129" s="3">
        <v>40970</v>
      </c>
      <c r="D5129" t="s">
        <v>148</v>
      </c>
      <c r="E5129">
        <v>3</v>
      </c>
      <c r="F5129" s="3">
        <f ca="1">40971+(RANDBETWEEN(1,10))</f>
        <v>40976</v>
      </c>
      <c r="G5129" t="s">
        <v>26</v>
      </c>
      <c r="H5129" t="s">
        <v>27</v>
      </c>
      <c r="I5129" t="s">
        <v>28</v>
      </c>
      <c r="J5129">
        <v>30.24</v>
      </c>
      <c r="K5129">
        <v>0.02</v>
      </c>
      <c r="L5129">
        <v>0.38</v>
      </c>
      <c r="M5129">
        <v>1.7150000000000001</v>
      </c>
      <c r="N5129">
        <v>20.865600000000001</v>
      </c>
      <c r="O5129" s="1" t="s">
        <v>225</v>
      </c>
      <c r="P5129" s="1" t="s">
        <v>11140</v>
      </c>
      <c r="Q5129" s="1" t="s">
        <v>11141</v>
      </c>
      <c r="R5129" s="1" t="s">
        <v>228</v>
      </c>
      <c r="S5129" s="1" t="s">
        <v>11142</v>
      </c>
      <c r="T5129" s="1" t="s">
        <v>11143</v>
      </c>
      <c r="U5129" s="2" t="s">
        <v>2566</v>
      </c>
      <c r="V5129" s="2" t="s">
        <v>47</v>
      </c>
      <c r="W5129" s="2" t="s">
        <v>203</v>
      </c>
      <c r="X5129" s="2">
        <v>10.115</v>
      </c>
    </row>
    <row r="5130" spans="1:24" x14ac:dyDescent="0.3">
      <c r="A5130">
        <v>22963</v>
      </c>
      <c r="B5130" t="s">
        <v>11139</v>
      </c>
      <c r="C5130" s="3">
        <v>40970</v>
      </c>
      <c r="D5130" t="s">
        <v>148</v>
      </c>
      <c r="E5130">
        <v>9</v>
      </c>
      <c r="F5130" s="3">
        <f ca="1">40973+(RANDBETWEEN(1,10))</f>
        <v>40978</v>
      </c>
      <c r="G5130" t="s">
        <v>26</v>
      </c>
      <c r="H5130" t="s">
        <v>281</v>
      </c>
      <c r="I5130" t="s">
        <v>28</v>
      </c>
      <c r="J5130">
        <v>1301.0550000000001</v>
      </c>
      <c r="K5130">
        <v>0.08</v>
      </c>
      <c r="L5130">
        <v>0.76</v>
      </c>
      <c r="M5130">
        <v>30.31</v>
      </c>
      <c r="N5130">
        <v>441.10500000000002</v>
      </c>
      <c r="O5130" s="1" t="s">
        <v>225</v>
      </c>
      <c r="P5130" s="1" t="s">
        <v>11140</v>
      </c>
      <c r="Q5130" s="1" t="s">
        <v>11141</v>
      </c>
      <c r="R5130" s="1" t="s">
        <v>228</v>
      </c>
      <c r="S5130" s="1" t="s">
        <v>11142</v>
      </c>
      <c r="T5130" s="1" t="s">
        <v>11143</v>
      </c>
      <c r="U5130" s="2" t="s">
        <v>880</v>
      </c>
      <c r="V5130" s="2" t="s">
        <v>83</v>
      </c>
      <c r="W5130" s="2" t="s">
        <v>178</v>
      </c>
      <c r="X5130" s="2">
        <v>144.62</v>
      </c>
    </row>
    <row r="5131" spans="1:24" x14ac:dyDescent="0.3">
      <c r="A5131">
        <v>22964</v>
      </c>
      <c r="B5131" t="s">
        <v>11139</v>
      </c>
      <c r="C5131" s="3">
        <v>40970</v>
      </c>
      <c r="D5131" t="s">
        <v>148</v>
      </c>
      <c r="E5131">
        <v>3</v>
      </c>
      <c r="F5131" s="3">
        <f ca="1">40971+(RANDBETWEEN(1,10))</f>
        <v>40973</v>
      </c>
      <c r="G5131" t="s">
        <v>26</v>
      </c>
      <c r="H5131" t="s">
        <v>96</v>
      </c>
      <c r="I5131" t="s">
        <v>28</v>
      </c>
      <c r="J5131">
        <v>96.144999999999996</v>
      </c>
      <c r="K5131">
        <v>0.06</v>
      </c>
      <c r="L5131">
        <v>0.39</v>
      </c>
      <c r="M5131">
        <v>7.0350000000000001</v>
      </c>
      <c r="N5131">
        <v>66.340050000000005</v>
      </c>
      <c r="O5131" s="1" t="s">
        <v>225</v>
      </c>
      <c r="P5131" s="1" t="s">
        <v>11140</v>
      </c>
      <c r="Q5131" s="1" t="s">
        <v>11141</v>
      </c>
      <c r="R5131" s="1" t="s">
        <v>228</v>
      </c>
      <c r="S5131" s="1" t="s">
        <v>11142</v>
      </c>
      <c r="T5131" s="1" t="s">
        <v>11143</v>
      </c>
      <c r="U5131" s="2" t="s">
        <v>7728</v>
      </c>
      <c r="V5131" s="2" t="s">
        <v>47</v>
      </c>
      <c r="W5131" s="2" t="s">
        <v>74</v>
      </c>
      <c r="X5131" s="2">
        <v>31.324999999999999</v>
      </c>
    </row>
    <row r="5132" spans="1:24" x14ac:dyDescent="0.3">
      <c r="A5132">
        <v>22965</v>
      </c>
      <c r="B5132" t="s">
        <v>11144</v>
      </c>
      <c r="C5132" s="3">
        <v>41067</v>
      </c>
      <c r="D5132" t="s">
        <v>148</v>
      </c>
      <c r="E5132">
        <v>2</v>
      </c>
      <c r="F5132" s="3">
        <f ca="1">41067+(RANDBETWEEN(1,10))</f>
        <v>41069</v>
      </c>
      <c r="G5132" t="s">
        <v>26</v>
      </c>
      <c r="H5132" t="s">
        <v>27</v>
      </c>
      <c r="I5132" t="s">
        <v>86</v>
      </c>
      <c r="J5132">
        <v>219.83500000000001</v>
      </c>
      <c r="K5132">
        <v>0.09</v>
      </c>
      <c r="L5132">
        <v>0.4</v>
      </c>
      <c r="M5132">
        <v>20.16</v>
      </c>
      <c r="N5132">
        <v>73.793999999999997</v>
      </c>
      <c r="O5132" s="1" t="s">
        <v>29</v>
      </c>
      <c r="P5132" s="1" t="s">
        <v>11145</v>
      </c>
      <c r="Q5132" s="1" t="s">
        <v>11146</v>
      </c>
      <c r="R5132" s="1" t="s">
        <v>460</v>
      </c>
      <c r="S5132" s="1" t="s">
        <v>9263</v>
      </c>
      <c r="T5132" s="1" t="s">
        <v>9264</v>
      </c>
      <c r="U5132" s="2" t="s">
        <v>2045</v>
      </c>
      <c r="V5132" s="2" t="s">
        <v>47</v>
      </c>
      <c r="W5132" s="2" t="s">
        <v>74</v>
      </c>
      <c r="X5132" s="2">
        <v>108.43</v>
      </c>
    </row>
    <row r="5133" spans="1:24" x14ac:dyDescent="0.3">
      <c r="A5133">
        <v>22966</v>
      </c>
      <c r="B5133" t="s">
        <v>11144</v>
      </c>
      <c r="C5133" s="3">
        <v>41067</v>
      </c>
      <c r="D5133" t="s">
        <v>148</v>
      </c>
      <c r="E5133">
        <v>5</v>
      </c>
      <c r="F5133" s="3">
        <f ca="1">41068+(RANDBETWEEN(1,10))</f>
        <v>41071</v>
      </c>
      <c r="G5133" t="s">
        <v>26</v>
      </c>
      <c r="H5133" t="s">
        <v>27</v>
      </c>
      <c r="I5133" t="s">
        <v>86</v>
      </c>
      <c r="J5133">
        <v>1703.5550000000001</v>
      </c>
      <c r="K5133">
        <v>0.1</v>
      </c>
      <c r="L5133">
        <v>0.59</v>
      </c>
      <c r="M5133">
        <v>26.914999999999999</v>
      </c>
      <c r="N5133">
        <v>-638.91520000000003</v>
      </c>
      <c r="O5133" s="1" t="s">
        <v>29</v>
      </c>
      <c r="P5133" s="1" t="s">
        <v>11145</v>
      </c>
      <c r="Q5133" s="1" t="s">
        <v>11146</v>
      </c>
      <c r="R5133" s="1" t="s">
        <v>460</v>
      </c>
      <c r="S5133" s="1" t="s">
        <v>9263</v>
      </c>
      <c r="T5133" s="1" t="s">
        <v>9264</v>
      </c>
      <c r="U5133" s="2" t="s">
        <v>2809</v>
      </c>
      <c r="V5133" s="2" t="s">
        <v>36</v>
      </c>
      <c r="W5133" s="2" t="s">
        <v>37</v>
      </c>
      <c r="X5133" s="2">
        <v>440.96499999999997</v>
      </c>
    </row>
    <row r="5134" spans="1:24" x14ac:dyDescent="0.3">
      <c r="A5134">
        <v>22967</v>
      </c>
      <c r="B5134" t="s">
        <v>11147</v>
      </c>
      <c r="C5134" s="3">
        <v>41382</v>
      </c>
      <c r="D5134" t="s">
        <v>62</v>
      </c>
      <c r="E5134">
        <v>1</v>
      </c>
      <c r="F5134" s="3">
        <f ca="1">41384+(RANDBETWEEN(1,10))</f>
        <v>41386</v>
      </c>
      <c r="G5134" t="s">
        <v>26</v>
      </c>
      <c r="H5134" t="s">
        <v>27</v>
      </c>
      <c r="I5134" t="s">
        <v>28</v>
      </c>
      <c r="J5134">
        <v>35.945</v>
      </c>
      <c r="K5134">
        <v>0.04</v>
      </c>
      <c r="L5134">
        <v>0.35</v>
      </c>
      <c r="M5134">
        <v>21.98</v>
      </c>
      <c r="N5134">
        <v>-57.356250000000003</v>
      </c>
      <c r="O5134" s="1" t="s">
        <v>87</v>
      </c>
      <c r="P5134" s="1" t="s">
        <v>11148</v>
      </c>
      <c r="Q5134" s="1" t="s">
        <v>11149</v>
      </c>
      <c r="R5134" s="1" t="s">
        <v>497</v>
      </c>
      <c r="S5134" s="1" t="s">
        <v>11150</v>
      </c>
      <c r="T5134" s="1" t="s">
        <v>11151</v>
      </c>
      <c r="U5134" s="2" t="s">
        <v>2481</v>
      </c>
      <c r="V5134" s="2" t="s">
        <v>47</v>
      </c>
      <c r="W5134" s="2" t="s">
        <v>111</v>
      </c>
      <c r="X5134" s="2">
        <v>31.08</v>
      </c>
    </row>
    <row r="5135" spans="1:24" x14ac:dyDescent="0.3">
      <c r="A5135">
        <v>22968</v>
      </c>
      <c r="B5135" t="s">
        <v>11152</v>
      </c>
      <c r="C5135" s="3">
        <v>41735</v>
      </c>
      <c r="D5135" t="s">
        <v>148</v>
      </c>
      <c r="E5135">
        <v>10</v>
      </c>
      <c r="F5135" s="3">
        <f ca="1">41736+(RANDBETWEEN(1,10))</f>
        <v>41746</v>
      </c>
      <c r="G5135" t="s">
        <v>156</v>
      </c>
      <c r="H5135" t="s">
        <v>27</v>
      </c>
      <c r="I5135" t="s">
        <v>97</v>
      </c>
      <c r="J5135">
        <v>653.55499999999995</v>
      </c>
      <c r="K5135">
        <v>0.09</v>
      </c>
      <c r="L5135">
        <v>0.37</v>
      </c>
      <c r="M5135">
        <v>31.605</v>
      </c>
      <c r="N5135">
        <v>234.60499999999999</v>
      </c>
      <c r="O5135" s="1" t="s">
        <v>87</v>
      </c>
      <c r="P5135" s="1" t="s">
        <v>10633</v>
      </c>
      <c r="Q5135" s="1" t="s">
        <v>10634</v>
      </c>
      <c r="R5135" s="1" t="s">
        <v>90</v>
      </c>
      <c r="S5135" s="1" t="s">
        <v>10635</v>
      </c>
      <c r="T5135" s="1" t="s">
        <v>7946</v>
      </c>
      <c r="U5135" s="2" t="s">
        <v>482</v>
      </c>
      <c r="V5135" s="2" t="s">
        <v>47</v>
      </c>
      <c r="W5135" s="2" t="s">
        <v>74</v>
      </c>
      <c r="X5135" s="2">
        <v>66.394999999999996</v>
      </c>
    </row>
    <row r="5136" spans="1:24" x14ac:dyDescent="0.3">
      <c r="A5136">
        <v>22969</v>
      </c>
      <c r="B5136" t="s">
        <v>11153</v>
      </c>
      <c r="C5136" s="3">
        <v>40639</v>
      </c>
      <c r="D5136" t="s">
        <v>148</v>
      </c>
      <c r="E5136">
        <v>9</v>
      </c>
      <c r="F5136" s="3">
        <f ca="1">40640+(RANDBETWEEN(1,10))</f>
        <v>40645</v>
      </c>
      <c r="G5136" t="s">
        <v>26</v>
      </c>
      <c r="H5136" t="s">
        <v>27</v>
      </c>
      <c r="I5136" t="s">
        <v>97</v>
      </c>
      <c r="J5136">
        <v>266.80500000000001</v>
      </c>
      <c r="K5136">
        <v>0</v>
      </c>
      <c r="L5136">
        <v>0.4</v>
      </c>
      <c r="M5136">
        <v>16.87</v>
      </c>
      <c r="N5136">
        <v>-17.675000000000001</v>
      </c>
      <c r="O5136" s="1" t="s">
        <v>87</v>
      </c>
      <c r="P5136" s="1" t="s">
        <v>10633</v>
      </c>
      <c r="Q5136" s="1" t="s">
        <v>10634</v>
      </c>
      <c r="R5136" s="1" t="s">
        <v>90</v>
      </c>
      <c r="S5136" s="1" t="s">
        <v>10635</v>
      </c>
      <c r="T5136" s="1" t="s">
        <v>7946</v>
      </c>
      <c r="U5136" s="2" t="s">
        <v>1488</v>
      </c>
      <c r="V5136" s="2" t="s">
        <v>47</v>
      </c>
      <c r="W5136" s="2" t="s">
        <v>74</v>
      </c>
      <c r="X5136" s="2">
        <v>29.19</v>
      </c>
    </row>
    <row r="5137" spans="1:24" x14ac:dyDescent="0.3">
      <c r="A5137">
        <v>2297</v>
      </c>
      <c r="B5137" t="s">
        <v>11132</v>
      </c>
      <c r="C5137" s="3">
        <v>40592</v>
      </c>
      <c r="D5137" t="s">
        <v>50</v>
      </c>
      <c r="E5137">
        <v>8</v>
      </c>
      <c r="F5137" s="3">
        <f ca="1">40592+(RANDBETWEEN(1,10))</f>
        <v>40600</v>
      </c>
      <c r="G5137" t="s">
        <v>76</v>
      </c>
      <c r="H5137" t="s">
        <v>258</v>
      </c>
      <c r="I5137" t="s">
        <v>28</v>
      </c>
      <c r="J5137">
        <v>6123.74</v>
      </c>
      <c r="K5137">
        <v>0.04</v>
      </c>
      <c r="L5137">
        <v>0.77</v>
      </c>
      <c r="M5137">
        <v>243.74</v>
      </c>
      <c r="N5137">
        <v>-1866.3119999999999</v>
      </c>
      <c r="O5137" s="1" t="s">
        <v>53</v>
      </c>
      <c r="P5137" s="1" t="s">
        <v>157</v>
      </c>
      <c r="Q5137" s="1" t="s">
        <v>158</v>
      </c>
      <c r="R5137" s="1" t="s">
        <v>56</v>
      </c>
      <c r="S5137" s="1" t="s">
        <v>159</v>
      </c>
      <c r="T5137" s="1" t="s">
        <v>160</v>
      </c>
      <c r="U5137" s="2" t="s">
        <v>1233</v>
      </c>
      <c r="V5137" s="2" t="s">
        <v>83</v>
      </c>
      <c r="W5137" s="2" t="s">
        <v>263</v>
      </c>
      <c r="X5137" s="2">
        <v>765.625</v>
      </c>
    </row>
    <row r="5138" spans="1:24" x14ac:dyDescent="0.3">
      <c r="A5138">
        <v>22970</v>
      </c>
      <c r="B5138" t="s">
        <v>11154</v>
      </c>
      <c r="C5138" s="3">
        <v>40889</v>
      </c>
      <c r="D5138" t="s">
        <v>62</v>
      </c>
      <c r="E5138">
        <v>7</v>
      </c>
      <c r="F5138" s="3">
        <f ca="1">40891+(RANDBETWEEN(1,10))</f>
        <v>40898</v>
      </c>
      <c r="G5138" t="s">
        <v>26</v>
      </c>
      <c r="H5138" t="s">
        <v>27</v>
      </c>
      <c r="I5138" t="s">
        <v>28</v>
      </c>
      <c r="J5138">
        <v>110.39</v>
      </c>
      <c r="K5138">
        <v>0.04</v>
      </c>
      <c r="L5138">
        <v>0.4</v>
      </c>
      <c r="M5138">
        <v>19.88</v>
      </c>
      <c r="N5138">
        <v>-95.8125</v>
      </c>
      <c r="O5138" s="1" t="s">
        <v>40</v>
      </c>
      <c r="P5138" s="1" t="s">
        <v>10756</v>
      </c>
      <c r="Q5138" s="1" t="s">
        <v>10757</v>
      </c>
      <c r="R5138" s="1" t="s">
        <v>43</v>
      </c>
      <c r="S5138" s="1" t="s">
        <v>10758</v>
      </c>
      <c r="T5138" s="1" t="s">
        <v>10759</v>
      </c>
      <c r="U5138" s="2" t="s">
        <v>5040</v>
      </c>
      <c r="V5138" s="2" t="s">
        <v>47</v>
      </c>
      <c r="W5138" s="2" t="s">
        <v>74</v>
      </c>
      <c r="X5138" s="2">
        <v>14.98</v>
      </c>
    </row>
    <row r="5139" spans="1:24" x14ac:dyDescent="0.3">
      <c r="A5139">
        <v>22971</v>
      </c>
      <c r="B5139" t="s">
        <v>11154</v>
      </c>
      <c r="C5139" s="3">
        <v>40889</v>
      </c>
      <c r="D5139" t="s">
        <v>62</v>
      </c>
      <c r="E5139">
        <v>13</v>
      </c>
      <c r="F5139" s="3">
        <f ca="1">40891+(RANDBETWEEN(1,10))</f>
        <v>40896</v>
      </c>
      <c r="G5139" t="s">
        <v>76</v>
      </c>
      <c r="H5139" t="s">
        <v>258</v>
      </c>
      <c r="I5139" t="s">
        <v>28</v>
      </c>
      <c r="J5139">
        <v>16221.415000000001</v>
      </c>
      <c r="K5139">
        <v>0.06</v>
      </c>
      <c r="L5139">
        <v>0.74</v>
      </c>
      <c r="M5139">
        <v>299.70499999999998</v>
      </c>
      <c r="N5139">
        <v>-1525.1512499999999</v>
      </c>
      <c r="O5139" s="1" t="s">
        <v>40</v>
      </c>
      <c r="P5139" s="1" t="s">
        <v>10756</v>
      </c>
      <c r="Q5139" s="1" t="s">
        <v>10757</v>
      </c>
      <c r="R5139" s="1" t="s">
        <v>43</v>
      </c>
      <c r="S5139" s="1" t="s">
        <v>10758</v>
      </c>
      <c r="T5139" s="1" t="s">
        <v>10759</v>
      </c>
      <c r="U5139" s="2" t="s">
        <v>3542</v>
      </c>
      <c r="V5139" s="2" t="s">
        <v>83</v>
      </c>
      <c r="W5139" s="2" t="s">
        <v>263</v>
      </c>
      <c r="X5139" s="2">
        <v>1316.4549999999999</v>
      </c>
    </row>
    <row r="5140" spans="1:24" x14ac:dyDescent="0.3">
      <c r="A5140">
        <v>22972</v>
      </c>
      <c r="B5140" t="s">
        <v>11154</v>
      </c>
      <c r="C5140" s="3">
        <v>40889</v>
      </c>
      <c r="D5140" t="s">
        <v>62</v>
      </c>
      <c r="E5140">
        <v>17</v>
      </c>
      <c r="F5140" s="3">
        <f ca="1">40890+(RANDBETWEEN(1,10))</f>
        <v>40893</v>
      </c>
      <c r="G5140" t="s">
        <v>76</v>
      </c>
      <c r="H5140" t="s">
        <v>258</v>
      </c>
      <c r="I5140" t="s">
        <v>28</v>
      </c>
      <c r="J5140">
        <v>25564.105</v>
      </c>
      <c r="K5140">
        <v>0.06</v>
      </c>
      <c r="L5140">
        <v>0.67</v>
      </c>
      <c r="M5140">
        <v>385.7</v>
      </c>
      <c r="N5140">
        <v>2388.855</v>
      </c>
      <c r="O5140" s="1" t="s">
        <v>40</v>
      </c>
      <c r="P5140" s="1" t="s">
        <v>10756</v>
      </c>
      <c r="Q5140" s="1" t="s">
        <v>10757</v>
      </c>
      <c r="R5140" s="1" t="s">
        <v>43</v>
      </c>
      <c r="S5140" s="1" t="s">
        <v>10758</v>
      </c>
      <c r="T5140" s="1" t="s">
        <v>10759</v>
      </c>
      <c r="U5140" s="2" t="s">
        <v>9280</v>
      </c>
      <c r="V5140" s="2" t="s">
        <v>83</v>
      </c>
      <c r="W5140" s="2" t="s">
        <v>263</v>
      </c>
      <c r="X5140" s="2">
        <v>1484.7349999999999</v>
      </c>
    </row>
    <row r="5141" spans="1:24" x14ac:dyDescent="0.3">
      <c r="A5141">
        <v>22973</v>
      </c>
      <c r="B5141" t="s">
        <v>11154</v>
      </c>
      <c r="C5141" s="3">
        <v>40889</v>
      </c>
      <c r="D5141" t="s">
        <v>62</v>
      </c>
      <c r="E5141">
        <v>4</v>
      </c>
      <c r="F5141" s="3">
        <f ca="1">40891+(RANDBETWEEN(1,10))</f>
        <v>40896</v>
      </c>
      <c r="G5141" t="s">
        <v>26</v>
      </c>
      <c r="H5141" t="s">
        <v>27</v>
      </c>
      <c r="I5141" t="s">
        <v>28</v>
      </c>
      <c r="J5141">
        <v>2214.2750000000001</v>
      </c>
      <c r="K5141">
        <v>0.06</v>
      </c>
      <c r="L5141">
        <v>0.6</v>
      </c>
      <c r="M5141">
        <v>31.465</v>
      </c>
      <c r="N5141">
        <v>-970.27700000000004</v>
      </c>
      <c r="O5141" s="1" t="s">
        <v>40</v>
      </c>
      <c r="P5141" s="1" t="s">
        <v>10756</v>
      </c>
      <c r="Q5141" s="1" t="s">
        <v>10757</v>
      </c>
      <c r="R5141" s="1" t="s">
        <v>43</v>
      </c>
      <c r="S5141" s="1" t="s">
        <v>10758</v>
      </c>
      <c r="T5141" s="1" t="s">
        <v>10759</v>
      </c>
      <c r="U5141" s="2" t="s">
        <v>1123</v>
      </c>
      <c r="V5141" s="2" t="s">
        <v>36</v>
      </c>
      <c r="W5141" s="2" t="s">
        <v>37</v>
      </c>
      <c r="X5141" s="2">
        <v>685.96500000000003</v>
      </c>
    </row>
    <row r="5142" spans="1:24" x14ac:dyDescent="0.3">
      <c r="A5142">
        <v>22974</v>
      </c>
      <c r="B5142" t="s">
        <v>11155</v>
      </c>
      <c r="C5142" s="3">
        <v>41467</v>
      </c>
      <c r="D5142" t="s">
        <v>25</v>
      </c>
      <c r="E5142">
        <v>8</v>
      </c>
      <c r="F5142" s="3">
        <f ca="1">41474+(RANDBETWEEN(1,10))</f>
        <v>41482</v>
      </c>
      <c r="G5142" t="s">
        <v>26</v>
      </c>
      <c r="H5142" t="s">
        <v>27</v>
      </c>
      <c r="I5142" t="s">
        <v>52</v>
      </c>
      <c r="J5142">
        <v>181.755</v>
      </c>
      <c r="K5142">
        <v>0.06</v>
      </c>
      <c r="L5142">
        <v>0.37</v>
      </c>
      <c r="M5142">
        <v>27.335000000000001</v>
      </c>
      <c r="N5142">
        <v>-344.47</v>
      </c>
      <c r="O5142" s="1" t="s">
        <v>64</v>
      </c>
      <c r="P5142" s="1" t="s">
        <v>9953</v>
      </c>
      <c r="Q5142" s="1" t="s">
        <v>9954</v>
      </c>
      <c r="R5142" s="1" t="s">
        <v>128</v>
      </c>
      <c r="S5142" s="1" t="s">
        <v>1552</v>
      </c>
      <c r="T5142" s="1" t="s">
        <v>1553</v>
      </c>
      <c r="U5142" s="2" t="s">
        <v>11156</v>
      </c>
      <c r="V5142" s="2" t="s">
        <v>47</v>
      </c>
      <c r="W5142" s="2" t="s">
        <v>74</v>
      </c>
      <c r="X5142" s="2">
        <v>22.68</v>
      </c>
    </row>
    <row r="5143" spans="1:24" x14ac:dyDescent="0.3">
      <c r="A5143">
        <v>22975</v>
      </c>
      <c r="B5143" t="s">
        <v>11157</v>
      </c>
      <c r="C5143" s="3">
        <v>41693</v>
      </c>
      <c r="D5143" t="s">
        <v>39</v>
      </c>
      <c r="E5143">
        <v>2</v>
      </c>
      <c r="F5143" s="3">
        <f ca="1">41693+(RANDBETWEEN(1,10))</f>
        <v>41698</v>
      </c>
      <c r="G5143" t="s">
        <v>26</v>
      </c>
      <c r="H5143" t="s">
        <v>27</v>
      </c>
      <c r="I5143" t="s">
        <v>86</v>
      </c>
      <c r="J5143">
        <v>55.125</v>
      </c>
      <c r="K5143">
        <v>0.01</v>
      </c>
      <c r="L5143">
        <v>0.36</v>
      </c>
      <c r="M5143">
        <v>33.880000000000003</v>
      </c>
      <c r="N5143">
        <v>-211.97399999999999</v>
      </c>
      <c r="O5143" s="1" t="s">
        <v>29</v>
      </c>
      <c r="P5143" s="1" t="s">
        <v>9002</v>
      </c>
      <c r="Q5143" s="1" t="s">
        <v>9003</v>
      </c>
      <c r="R5143" s="1" t="s">
        <v>32</v>
      </c>
      <c r="S5143" s="1" t="s">
        <v>1166</v>
      </c>
      <c r="T5143" s="1" t="s">
        <v>1167</v>
      </c>
      <c r="U5143" s="2" t="s">
        <v>6485</v>
      </c>
      <c r="V5143" s="2" t="s">
        <v>47</v>
      </c>
      <c r="W5143" s="2" t="s">
        <v>74</v>
      </c>
      <c r="X5143" s="2">
        <v>22.68</v>
      </c>
    </row>
    <row r="5144" spans="1:24" x14ac:dyDescent="0.3">
      <c r="A5144">
        <v>22976</v>
      </c>
      <c r="B5144" t="s">
        <v>11158</v>
      </c>
      <c r="C5144" s="3">
        <v>41295</v>
      </c>
      <c r="D5144" t="s">
        <v>25</v>
      </c>
      <c r="E5144">
        <v>11</v>
      </c>
      <c r="F5144" s="3">
        <f ca="1">41297+(RANDBETWEEN(1,10))</f>
        <v>41303</v>
      </c>
      <c r="G5144" t="s">
        <v>26</v>
      </c>
      <c r="H5144" t="s">
        <v>27</v>
      </c>
      <c r="I5144" t="s">
        <v>28</v>
      </c>
      <c r="J5144">
        <v>190.85499999999999</v>
      </c>
      <c r="K5144">
        <v>0.04</v>
      </c>
      <c r="L5144">
        <v>0.36</v>
      </c>
      <c r="M5144">
        <v>19.88</v>
      </c>
      <c r="N5144">
        <v>-1103.7274500000001</v>
      </c>
      <c r="O5144" s="1" t="s">
        <v>53</v>
      </c>
      <c r="P5144" s="1" t="s">
        <v>11159</v>
      </c>
      <c r="Q5144" s="1" t="s">
        <v>11160</v>
      </c>
      <c r="R5144" s="1" t="s">
        <v>100</v>
      </c>
      <c r="S5144" s="1" t="s">
        <v>10089</v>
      </c>
      <c r="T5144" s="1" t="s">
        <v>10090</v>
      </c>
      <c r="U5144" s="2" t="s">
        <v>4013</v>
      </c>
      <c r="V5144" s="2" t="s">
        <v>47</v>
      </c>
      <c r="W5144" s="2" t="s">
        <v>111</v>
      </c>
      <c r="X5144" s="2">
        <v>17.184999999999999</v>
      </c>
    </row>
    <row r="5145" spans="1:24" x14ac:dyDescent="0.3">
      <c r="A5145">
        <v>22977</v>
      </c>
      <c r="B5145" t="s">
        <v>11161</v>
      </c>
      <c r="C5145" s="3">
        <v>40996</v>
      </c>
      <c r="D5145" t="s">
        <v>50</v>
      </c>
      <c r="E5145">
        <v>6</v>
      </c>
      <c r="F5145" s="3">
        <f ca="1">40998+(RANDBETWEEN(1,10))</f>
        <v>41001</v>
      </c>
      <c r="G5145" t="s">
        <v>26</v>
      </c>
      <c r="H5145" t="s">
        <v>27</v>
      </c>
      <c r="I5145" t="s">
        <v>97</v>
      </c>
      <c r="J5145">
        <v>84.28</v>
      </c>
      <c r="K5145">
        <v>0</v>
      </c>
      <c r="L5145">
        <v>0.37</v>
      </c>
      <c r="M5145">
        <v>19.145</v>
      </c>
      <c r="N5145">
        <v>62.5779</v>
      </c>
      <c r="O5145" s="1" t="s">
        <v>87</v>
      </c>
      <c r="P5145" s="1" t="s">
        <v>10981</v>
      </c>
      <c r="Q5145" s="1" t="s">
        <v>10982</v>
      </c>
      <c r="R5145" s="1" t="s">
        <v>90</v>
      </c>
      <c r="S5145" s="1" t="s">
        <v>4522</v>
      </c>
      <c r="T5145" s="1" t="s">
        <v>4523</v>
      </c>
      <c r="U5145" s="2" t="s">
        <v>879</v>
      </c>
      <c r="V5145" s="2" t="s">
        <v>47</v>
      </c>
      <c r="W5145" s="2" t="s">
        <v>111</v>
      </c>
      <c r="X5145" s="2">
        <v>12.53</v>
      </c>
    </row>
    <row r="5146" spans="1:24" x14ac:dyDescent="0.3">
      <c r="A5146">
        <v>22978</v>
      </c>
      <c r="B5146" t="s">
        <v>11161</v>
      </c>
      <c r="C5146" s="3">
        <v>40996</v>
      </c>
      <c r="D5146" t="s">
        <v>50</v>
      </c>
      <c r="E5146">
        <v>11</v>
      </c>
      <c r="F5146" s="3">
        <f ca="1">40998+(RANDBETWEEN(1,10))</f>
        <v>41001</v>
      </c>
      <c r="G5146" t="s">
        <v>26</v>
      </c>
      <c r="H5146" t="s">
        <v>96</v>
      </c>
      <c r="I5146" t="s">
        <v>97</v>
      </c>
      <c r="J5146">
        <v>64.75</v>
      </c>
      <c r="K5146">
        <v>0.08</v>
      </c>
      <c r="L5146">
        <v>0.52</v>
      </c>
      <c r="M5146">
        <v>2.625</v>
      </c>
      <c r="N5146">
        <v>-183.40700000000001</v>
      </c>
      <c r="O5146" s="1" t="s">
        <v>87</v>
      </c>
      <c r="P5146" s="1" t="s">
        <v>10981</v>
      </c>
      <c r="Q5146" s="1" t="s">
        <v>10982</v>
      </c>
      <c r="R5146" s="1" t="s">
        <v>90</v>
      </c>
      <c r="S5146" s="1" t="s">
        <v>4522</v>
      </c>
      <c r="T5146" s="1" t="s">
        <v>4523</v>
      </c>
      <c r="U5146" s="2" t="s">
        <v>378</v>
      </c>
      <c r="V5146" s="2" t="s">
        <v>47</v>
      </c>
      <c r="W5146" s="2" t="s">
        <v>176</v>
      </c>
      <c r="X5146" s="2">
        <v>6.335</v>
      </c>
    </row>
    <row r="5147" spans="1:24" x14ac:dyDescent="0.3">
      <c r="A5147">
        <v>22979</v>
      </c>
      <c r="B5147" t="s">
        <v>11162</v>
      </c>
      <c r="C5147" s="3">
        <v>41185</v>
      </c>
      <c r="D5147" t="s">
        <v>39</v>
      </c>
      <c r="E5147">
        <v>2</v>
      </c>
      <c r="F5147" s="3">
        <f ca="1">41186+(RANDBETWEEN(1,10))</f>
        <v>41189</v>
      </c>
      <c r="G5147" t="s">
        <v>26</v>
      </c>
      <c r="H5147" t="s">
        <v>96</v>
      </c>
      <c r="I5147" t="s">
        <v>86</v>
      </c>
      <c r="J5147">
        <v>74.2</v>
      </c>
      <c r="K5147">
        <v>0.08</v>
      </c>
      <c r="L5147">
        <v>0.38</v>
      </c>
      <c r="M5147">
        <v>6.2649999999999997</v>
      </c>
      <c r="N5147">
        <v>12.397</v>
      </c>
      <c r="O5147" s="1" t="s">
        <v>87</v>
      </c>
      <c r="P5147" s="1" t="s">
        <v>11163</v>
      </c>
      <c r="Q5147" s="1" t="s">
        <v>11164</v>
      </c>
      <c r="R5147" s="1" t="s">
        <v>398</v>
      </c>
      <c r="S5147" s="1" t="s">
        <v>2267</v>
      </c>
      <c r="T5147" s="1" t="s">
        <v>2268</v>
      </c>
      <c r="U5147" s="2" t="s">
        <v>3017</v>
      </c>
      <c r="V5147" s="2" t="s">
        <v>47</v>
      </c>
      <c r="W5147" s="2" t="s">
        <v>74</v>
      </c>
      <c r="X5147" s="2">
        <v>36.085000000000001</v>
      </c>
    </row>
    <row r="5148" spans="1:24" x14ac:dyDescent="0.3">
      <c r="A5148">
        <v>22980</v>
      </c>
      <c r="B5148" t="s">
        <v>11165</v>
      </c>
      <c r="C5148" s="3">
        <v>40993</v>
      </c>
      <c r="D5148" t="s">
        <v>25</v>
      </c>
      <c r="E5148">
        <v>4</v>
      </c>
      <c r="F5148" s="3">
        <f ca="1">41000+(RANDBETWEEN(1,10))</f>
        <v>41001</v>
      </c>
      <c r="G5148" t="s">
        <v>26</v>
      </c>
      <c r="H5148" t="s">
        <v>281</v>
      </c>
      <c r="I5148" t="s">
        <v>97</v>
      </c>
      <c r="J5148">
        <v>1606.36</v>
      </c>
      <c r="K5148">
        <v>0.05</v>
      </c>
      <c r="L5148">
        <v>0.69</v>
      </c>
      <c r="M5148">
        <v>48.965000000000003</v>
      </c>
      <c r="N5148">
        <v>1108.3884</v>
      </c>
      <c r="O5148" s="1" t="s">
        <v>87</v>
      </c>
      <c r="P5148" s="1" t="s">
        <v>2947</v>
      </c>
      <c r="Q5148" s="1" t="s">
        <v>2948</v>
      </c>
      <c r="R5148" s="1" t="s">
        <v>646</v>
      </c>
      <c r="S5148" s="1" t="s">
        <v>2949</v>
      </c>
      <c r="T5148" s="1" t="s">
        <v>2950</v>
      </c>
      <c r="U5148" s="2" t="s">
        <v>1145</v>
      </c>
      <c r="V5148" s="2" t="s">
        <v>83</v>
      </c>
      <c r="W5148" s="2" t="s">
        <v>178</v>
      </c>
      <c r="X5148" s="2">
        <v>388.43</v>
      </c>
    </row>
    <row r="5149" spans="1:24" x14ac:dyDescent="0.3">
      <c r="A5149">
        <v>22981</v>
      </c>
      <c r="B5149" t="s">
        <v>11165</v>
      </c>
      <c r="C5149" s="3">
        <v>40993</v>
      </c>
      <c r="D5149" t="s">
        <v>25</v>
      </c>
      <c r="E5149">
        <v>12</v>
      </c>
      <c r="F5149" s="3">
        <f ca="1">40997+(RANDBETWEEN(1,10))</f>
        <v>41004</v>
      </c>
      <c r="G5149" t="s">
        <v>26</v>
      </c>
      <c r="H5149" t="s">
        <v>96</v>
      </c>
      <c r="I5149" t="s">
        <v>97</v>
      </c>
      <c r="J5149">
        <v>116.76</v>
      </c>
      <c r="K5149">
        <v>0.1</v>
      </c>
      <c r="L5149">
        <v>0.54</v>
      </c>
      <c r="M5149">
        <v>3.2549999999999999</v>
      </c>
      <c r="N5149">
        <v>33.25</v>
      </c>
      <c r="O5149" s="1" t="s">
        <v>87</v>
      </c>
      <c r="P5149" s="1" t="s">
        <v>2947</v>
      </c>
      <c r="Q5149" s="1" t="s">
        <v>2948</v>
      </c>
      <c r="R5149" s="1" t="s">
        <v>646</v>
      </c>
      <c r="S5149" s="1" t="s">
        <v>2949</v>
      </c>
      <c r="T5149" s="1" t="s">
        <v>2950</v>
      </c>
      <c r="U5149" s="2" t="s">
        <v>1476</v>
      </c>
      <c r="V5149" s="2" t="s">
        <v>47</v>
      </c>
      <c r="W5149" s="2" t="s">
        <v>104</v>
      </c>
      <c r="X5149" s="2">
        <v>9.94</v>
      </c>
    </row>
    <row r="5150" spans="1:24" x14ac:dyDescent="0.3">
      <c r="A5150">
        <v>22982</v>
      </c>
      <c r="B5150" t="s">
        <v>11165</v>
      </c>
      <c r="C5150" s="3">
        <v>40993</v>
      </c>
      <c r="D5150" t="s">
        <v>25</v>
      </c>
      <c r="E5150">
        <v>8</v>
      </c>
      <c r="F5150" s="3">
        <f ca="1">40995+(RANDBETWEEN(1,10))</f>
        <v>41005</v>
      </c>
      <c r="G5150" t="s">
        <v>26</v>
      </c>
      <c r="H5150" t="s">
        <v>27</v>
      </c>
      <c r="I5150" t="s">
        <v>97</v>
      </c>
      <c r="J5150">
        <v>1495.165</v>
      </c>
      <c r="K5150">
        <v>0.08</v>
      </c>
      <c r="L5150">
        <v>0.56000000000000005</v>
      </c>
      <c r="M5150">
        <v>31.465</v>
      </c>
      <c r="N5150">
        <v>608.76900000000001</v>
      </c>
      <c r="O5150" s="1" t="s">
        <v>87</v>
      </c>
      <c r="P5150" s="1" t="s">
        <v>2947</v>
      </c>
      <c r="Q5150" s="1" t="s">
        <v>2948</v>
      </c>
      <c r="R5150" s="1" t="s">
        <v>646</v>
      </c>
      <c r="S5150" s="1" t="s">
        <v>2949</v>
      </c>
      <c r="T5150" s="1" t="s">
        <v>2950</v>
      </c>
      <c r="U5150" s="2">
        <v>5180</v>
      </c>
      <c r="V5150" s="2" t="s">
        <v>36</v>
      </c>
      <c r="W5150" s="2" t="s">
        <v>37</v>
      </c>
      <c r="X5150" s="2">
        <v>230.965</v>
      </c>
    </row>
    <row r="5151" spans="1:24" x14ac:dyDescent="0.3">
      <c r="A5151">
        <v>22983</v>
      </c>
      <c r="B5151" t="s">
        <v>11166</v>
      </c>
      <c r="C5151" s="3">
        <v>41944</v>
      </c>
      <c r="D5151" t="s">
        <v>62</v>
      </c>
      <c r="E5151">
        <v>33</v>
      </c>
      <c r="F5151" s="3">
        <f ca="1">41946+(RANDBETWEEN(1,10))</f>
        <v>41954</v>
      </c>
      <c r="G5151" t="s">
        <v>26</v>
      </c>
      <c r="H5151" t="s">
        <v>96</v>
      </c>
      <c r="I5151" t="s">
        <v>28</v>
      </c>
      <c r="J5151">
        <v>144.76</v>
      </c>
      <c r="K5151">
        <v>0.03</v>
      </c>
      <c r="L5151">
        <v>0.81</v>
      </c>
      <c r="M5151">
        <v>2.4500000000000002</v>
      </c>
      <c r="N5151">
        <v>32.171439999999997</v>
      </c>
      <c r="O5151" s="1" t="s">
        <v>53</v>
      </c>
      <c r="P5151" s="1" t="s">
        <v>10096</v>
      </c>
      <c r="Q5151" s="1" t="s">
        <v>10097</v>
      </c>
      <c r="R5151" s="1" t="s">
        <v>440</v>
      </c>
      <c r="S5151" s="1" t="s">
        <v>10098</v>
      </c>
      <c r="T5151" s="1" t="s">
        <v>10099</v>
      </c>
      <c r="U5151" s="2" t="s">
        <v>925</v>
      </c>
      <c r="V5151" s="2" t="s">
        <v>47</v>
      </c>
      <c r="W5151" s="2" t="s">
        <v>176</v>
      </c>
      <c r="X5151" s="2">
        <v>4.41</v>
      </c>
    </row>
    <row r="5152" spans="1:24" x14ac:dyDescent="0.3">
      <c r="A5152">
        <v>22984</v>
      </c>
      <c r="B5152" t="s">
        <v>11167</v>
      </c>
      <c r="C5152" s="3">
        <v>40884</v>
      </c>
      <c r="D5152" t="s">
        <v>25</v>
      </c>
      <c r="E5152">
        <v>21</v>
      </c>
      <c r="F5152" s="3">
        <f ca="1">40891+(RANDBETWEEN(1,10))</f>
        <v>40899</v>
      </c>
      <c r="G5152" t="s">
        <v>26</v>
      </c>
      <c r="H5152" t="s">
        <v>27</v>
      </c>
      <c r="I5152" t="s">
        <v>52</v>
      </c>
      <c r="J5152">
        <v>5367.5649999999996</v>
      </c>
      <c r="K5152">
        <v>0.02</v>
      </c>
      <c r="L5152">
        <v>0.59</v>
      </c>
      <c r="M5152">
        <v>12.25</v>
      </c>
      <c r="N5152">
        <v>82.656000000000006</v>
      </c>
      <c r="O5152" s="1" t="s">
        <v>225</v>
      </c>
      <c r="P5152" s="1" t="s">
        <v>5757</v>
      </c>
      <c r="Q5152" s="1" t="s">
        <v>5758</v>
      </c>
      <c r="R5152" s="1" t="s">
        <v>228</v>
      </c>
      <c r="S5152" s="1" t="s">
        <v>1658</v>
      </c>
      <c r="T5152" s="1" t="s">
        <v>1659</v>
      </c>
      <c r="U5152" s="2" t="s">
        <v>989</v>
      </c>
      <c r="V5152" s="2" t="s">
        <v>47</v>
      </c>
      <c r="W5152" s="2" t="s">
        <v>71</v>
      </c>
      <c r="X5152" s="2">
        <v>248.39500000000001</v>
      </c>
    </row>
    <row r="5153" spans="1:24" x14ac:dyDescent="0.3">
      <c r="A5153">
        <v>22985</v>
      </c>
      <c r="B5153" t="s">
        <v>11168</v>
      </c>
      <c r="C5153" s="3">
        <v>41791</v>
      </c>
      <c r="D5153" t="s">
        <v>62</v>
      </c>
      <c r="E5153">
        <v>4</v>
      </c>
      <c r="F5153" s="3">
        <f ca="1">41791+(RANDBETWEEN(1,10))</f>
        <v>41800</v>
      </c>
      <c r="G5153" t="s">
        <v>26</v>
      </c>
      <c r="H5153" t="s">
        <v>27</v>
      </c>
      <c r="I5153" t="s">
        <v>28</v>
      </c>
      <c r="J5153">
        <v>62.055</v>
      </c>
      <c r="K5153">
        <v>0.08</v>
      </c>
      <c r="L5153">
        <v>0.39</v>
      </c>
      <c r="M5153">
        <v>5.2149999999999999</v>
      </c>
      <c r="N5153">
        <v>-3980.0250000000001</v>
      </c>
      <c r="O5153" s="1" t="s">
        <v>87</v>
      </c>
      <c r="P5153" s="1" t="s">
        <v>11169</v>
      </c>
      <c r="Q5153" s="1" t="s">
        <v>11170</v>
      </c>
      <c r="R5153" s="1" t="s">
        <v>497</v>
      </c>
      <c r="S5153" s="1" t="s">
        <v>11171</v>
      </c>
      <c r="T5153" s="1" t="s">
        <v>11172</v>
      </c>
      <c r="U5153" s="2" t="s">
        <v>11173</v>
      </c>
      <c r="V5153" s="2" t="s">
        <v>47</v>
      </c>
      <c r="W5153" s="2" t="s">
        <v>111</v>
      </c>
      <c r="X5153" s="2">
        <v>15.715</v>
      </c>
    </row>
    <row r="5154" spans="1:24" x14ac:dyDescent="0.3">
      <c r="A5154">
        <v>22986</v>
      </c>
      <c r="B5154" t="s">
        <v>11174</v>
      </c>
      <c r="C5154" s="3">
        <v>40695</v>
      </c>
      <c r="D5154" t="s">
        <v>62</v>
      </c>
      <c r="E5154">
        <v>11</v>
      </c>
      <c r="F5154" s="3">
        <f ca="1">40696+(RANDBETWEEN(1,10))</f>
        <v>40702</v>
      </c>
      <c r="G5154" t="s">
        <v>26</v>
      </c>
      <c r="H5154" t="s">
        <v>96</v>
      </c>
      <c r="I5154" t="s">
        <v>28</v>
      </c>
      <c r="J5154">
        <v>144.51499999999999</v>
      </c>
      <c r="K5154">
        <v>0.04</v>
      </c>
      <c r="L5154">
        <v>0.83</v>
      </c>
      <c r="M5154">
        <v>4.62</v>
      </c>
      <c r="N5154">
        <v>1053.2402999999999</v>
      </c>
      <c r="O5154" s="1" t="s">
        <v>87</v>
      </c>
      <c r="P5154" s="1" t="s">
        <v>11169</v>
      </c>
      <c r="Q5154" s="1" t="s">
        <v>11170</v>
      </c>
      <c r="R5154" s="1" t="s">
        <v>497</v>
      </c>
      <c r="S5154" s="1" t="s">
        <v>11171</v>
      </c>
      <c r="T5154" s="1" t="s">
        <v>11172</v>
      </c>
      <c r="U5154" s="2" t="s">
        <v>3023</v>
      </c>
      <c r="V5154" s="2" t="s">
        <v>47</v>
      </c>
      <c r="W5154" s="2" t="s">
        <v>94</v>
      </c>
      <c r="X5154" s="2">
        <v>12.88</v>
      </c>
    </row>
    <row r="5155" spans="1:24" x14ac:dyDescent="0.3">
      <c r="A5155">
        <v>22987</v>
      </c>
      <c r="B5155" t="s">
        <v>11175</v>
      </c>
      <c r="C5155" s="3">
        <v>41250</v>
      </c>
      <c r="D5155" t="s">
        <v>39</v>
      </c>
      <c r="E5155">
        <v>3</v>
      </c>
      <c r="F5155" s="3">
        <f ca="1">41252+(RANDBETWEEN(1,10))</f>
        <v>41259</v>
      </c>
      <c r="G5155" t="s">
        <v>156</v>
      </c>
      <c r="H5155" t="s">
        <v>96</v>
      </c>
      <c r="I5155" t="s">
        <v>86</v>
      </c>
      <c r="J5155">
        <v>66.954999999999998</v>
      </c>
      <c r="K5155">
        <v>0.03</v>
      </c>
      <c r="L5155">
        <v>0.55000000000000004</v>
      </c>
      <c r="M5155">
        <v>4.2</v>
      </c>
      <c r="N5155">
        <v>10.92</v>
      </c>
      <c r="O5155" s="1" t="s">
        <v>40</v>
      </c>
      <c r="P5155" s="1" t="s">
        <v>8807</v>
      </c>
      <c r="Q5155" s="1" t="s">
        <v>8808</v>
      </c>
      <c r="R5155" s="1" t="s">
        <v>220</v>
      </c>
      <c r="S5155" s="1" t="s">
        <v>8809</v>
      </c>
      <c r="T5155" s="1" t="s">
        <v>8810</v>
      </c>
      <c r="U5155" s="2" t="s">
        <v>4460</v>
      </c>
      <c r="V5155" s="2" t="s">
        <v>47</v>
      </c>
      <c r="W5155" s="2" t="s">
        <v>104</v>
      </c>
      <c r="X5155" s="2">
        <v>20.440000000000001</v>
      </c>
    </row>
    <row r="5156" spans="1:24" x14ac:dyDescent="0.3">
      <c r="A5156">
        <v>22988</v>
      </c>
      <c r="B5156" t="s">
        <v>11175</v>
      </c>
      <c r="C5156" s="3">
        <v>41250</v>
      </c>
      <c r="D5156" t="s">
        <v>39</v>
      </c>
      <c r="E5156">
        <v>19</v>
      </c>
      <c r="F5156" s="3">
        <f ca="1">41252+(RANDBETWEEN(1,10))</f>
        <v>41258</v>
      </c>
      <c r="G5156" t="s">
        <v>26</v>
      </c>
      <c r="H5156" t="s">
        <v>27</v>
      </c>
      <c r="I5156" t="s">
        <v>86</v>
      </c>
      <c r="J5156">
        <v>2091.7049999999999</v>
      </c>
      <c r="K5156">
        <v>0.03</v>
      </c>
      <c r="L5156">
        <v>0.55000000000000004</v>
      </c>
      <c r="M5156">
        <v>3.85</v>
      </c>
      <c r="N5156">
        <v>1443.2764500000001</v>
      </c>
      <c r="O5156" s="1" t="s">
        <v>40</v>
      </c>
      <c r="P5156" s="1" t="s">
        <v>8807</v>
      </c>
      <c r="Q5156" s="1" t="s">
        <v>8808</v>
      </c>
      <c r="R5156" s="1" t="s">
        <v>220</v>
      </c>
      <c r="S5156" s="1" t="s">
        <v>8809</v>
      </c>
      <c r="T5156" s="1" t="s">
        <v>8810</v>
      </c>
      <c r="U5156" s="2" t="s">
        <v>1451</v>
      </c>
      <c r="V5156" s="2" t="s">
        <v>36</v>
      </c>
      <c r="W5156" s="2" t="s">
        <v>37</v>
      </c>
      <c r="X5156" s="2">
        <v>125.965</v>
      </c>
    </row>
    <row r="5157" spans="1:24" x14ac:dyDescent="0.3">
      <c r="A5157">
        <v>22989</v>
      </c>
      <c r="B5157" t="s">
        <v>11176</v>
      </c>
      <c r="C5157" s="3">
        <v>41680</v>
      </c>
      <c r="D5157" t="s">
        <v>148</v>
      </c>
      <c r="E5157">
        <v>9</v>
      </c>
      <c r="F5157" s="3">
        <f ca="1">41682+(RANDBETWEEN(1,10))</f>
        <v>41684</v>
      </c>
      <c r="G5157" t="s">
        <v>156</v>
      </c>
      <c r="H5157" t="s">
        <v>51</v>
      </c>
      <c r="I5157" t="s">
        <v>28</v>
      </c>
      <c r="J5157">
        <v>398.93</v>
      </c>
      <c r="K5157">
        <v>0.02</v>
      </c>
      <c r="L5157">
        <v>0.48</v>
      </c>
      <c r="M5157">
        <v>17.43</v>
      </c>
      <c r="N5157">
        <v>275.26170000000002</v>
      </c>
      <c r="O5157" s="1" t="s">
        <v>29</v>
      </c>
      <c r="P5157" s="1" t="s">
        <v>11177</v>
      </c>
      <c r="Q5157" s="1" t="s">
        <v>11178</v>
      </c>
      <c r="R5157" s="1" t="s">
        <v>32</v>
      </c>
      <c r="S5157" s="1" t="s">
        <v>9838</v>
      </c>
      <c r="T5157" s="1" t="s">
        <v>9839</v>
      </c>
      <c r="U5157" s="2" t="s">
        <v>430</v>
      </c>
      <c r="V5157" s="2" t="s">
        <v>83</v>
      </c>
      <c r="W5157" s="2" t="s">
        <v>178</v>
      </c>
      <c r="X5157" s="2">
        <v>44.24</v>
      </c>
    </row>
    <row r="5158" spans="1:24" x14ac:dyDescent="0.3">
      <c r="A5158">
        <v>22990</v>
      </c>
      <c r="B5158" t="s">
        <v>11179</v>
      </c>
      <c r="C5158" s="3">
        <v>41319</v>
      </c>
      <c r="D5158" t="s">
        <v>148</v>
      </c>
      <c r="E5158">
        <v>5</v>
      </c>
      <c r="F5158" s="3">
        <f ca="1">41320+(RANDBETWEEN(1,10))</f>
        <v>41324</v>
      </c>
      <c r="G5158" t="s">
        <v>26</v>
      </c>
      <c r="H5158" t="s">
        <v>63</v>
      </c>
      <c r="I5158" t="s">
        <v>52</v>
      </c>
      <c r="J5158">
        <v>1683.01</v>
      </c>
      <c r="K5158">
        <v>0.01</v>
      </c>
      <c r="L5158">
        <v>0.63</v>
      </c>
      <c r="M5158">
        <v>241.5</v>
      </c>
      <c r="N5158">
        <v>-947.008062</v>
      </c>
      <c r="O5158" s="1" t="s">
        <v>53</v>
      </c>
      <c r="P5158" s="1" t="s">
        <v>11180</v>
      </c>
      <c r="Q5158" s="1" t="s">
        <v>11181</v>
      </c>
      <c r="R5158" s="1" t="s">
        <v>440</v>
      </c>
      <c r="S5158" s="1" t="s">
        <v>4117</v>
      </c>
      <c r="T5158" s="1" t="s">
        <v>4118</v>
      </c>
      <c r="U5158" s="2" t="s">
        <v>6044</v>
      </c>
      <c r="V5158" s="2" t="s">
        <v>83</v>
      </c>
      <c r="W5158" s="2" t="s">
        <v>263</v>
      </c>
      <c r="X5158" s="2">
        <v>391.86</v>
      </c>
    </row>
    <row r="5159" spans="1:24" x14ac:dyDescent="0.3">
      <c r="A5159">
        <v>22991</v>
      </c>
      <c r="B5159" t="s">
        <v>11182</v>
      </c>
      <c r="C5159" s="3">
        <v>41207</v>
      </c>
      <c r="D5159" t="s">
        <v>25</v>
      </c>
      <c r="E5159">
        <v>12</v>
      </c>
      <c r="F5159" s="3">
        <f ca="1">41214+(RANDBETWEEN(1,10))</f>
        <v>41218</v>
      </c>
      <c r="G5159" t="s">
        <v>26</v>
      </c>
      <c r="H5159" t="s">
        <v>27</v>
      </c>
      <c r="I5159" t="s">
        <v>97</v>
      </c>
      <c r="J5159">
        <v>4005.5749999999998</v>
      </c>
      <c r="K5159">
        <v>0.09</v>
      </c>
      <c r="L5159">
        <v>0.52</v>
      </c>
      <c r="M5159">
        <v>69.965000000000003</v>
      </c>
      <c r="N5159">
        <v>745.30119999999999</v>
      </c>
      <c r="O5159" s="1" t="s">
        <v>87</v>
      </c>
      <c r="P5159" s="1" t="s">
        <v>9039</v>
      </c>
      <c r="Q5159" s="1" t="s">
        <v>9040</v>
      </c>
      <c r="R5159" s="1" t="s">
        <v>398</v>
      </c>
      <c r="S5159" s="1" t="s">
        <v>6156</v>
      </c>
      <c r="T5159" s="1" t="s">
        <v>6157</v>
      </c>
      <c r="U5159" s="2" t="s">
        <v>1438</v>
      </c>
      <c r="V5159" s="2" t="s">
        <v>36</v>
      </c>
      <c r="W5159" s="2" t="s">
        <v>60</v>
      </c>
      <c r="X5159" s="2">
        <v>349.96499999999997</v>
      </c>
    </row>
    <row r="5160" spans="1:24" x14ac:dyDescent="0.3">
      <c r="A5160">
        <v>22992</v>
      </c>
      <c r="B5160" t="s">
        <v>11183</v>
      </c>
      <c r="C5160" s="3">
        <v>41906</v>
      </c>
      <c r="D5160" t="s">
        <v>50</v>
      </c>
      <c r="E5160">
        <v>18</v>
      </c>
      <c r="F5160" s="3">
        <f ca="1">41908+(RANDBETWEEN(1,10))</f>
        <v>41915</v>
      </c>
      <c r="G5160" t="s">
        <v>76</v>
      </c>
      <c r="H5160" t="s">
        <v>258</v>
      </c>
      <c r="I5160" t="s">
        <v>52</v>
      </c>
      <c r="J5160">
        <v>8489.32</v>
      </c>
      <c r="K5160">
        <v>0.05</v>
      </c>
      <c r="L5160">
        <v>0.69</v>
      </c>
      <c r="M5160">
        <v>191.59</v>
      </c>
      <c r="N5160">
        <v>-1978.2714000000001</v>
      </c>
      <c r="O5160" s="1" t="s">
        <v>40</v>
      </c>
      <c r="P5160" s="1" t="s">
        <v>11091</v>
      </c>
      <c r="Q5160" s="1" t="s">
        <v>11092</v>
      </c>
      <c r="R5160" s="1" t="s">
        <v>43</v>
      </c>
      <c r="S5160" s="1" t="s">
        <v>11093</v>
      </c>
      <c r="T5160" s="1" t="s">
        <v>11094</v>
      </c>
      <c r="U5160" s="2" t="s">
        <v>493</v>
      </c>
      <c r="V5160" s="2" t="s">
        <v>83</v>
      </c>
      <c r="W5160" s="2" t="s">
        <v>298</v>
      </c>
      <c r="X5160" s="2">
        <v>458.43</v>
      </c>
    </row>
    <row r="5161" spans="1:24" x14ac:dyDescent="0.3">
      <c r="A5161">
        <v>22993</v>
      </c>
      <c r="B5161" t="s">
        <v>11184</v>
      </c>
      <c r="C5161" s="3">
        <v>41337</v>
      </c>
      <c r="D5161" t="s">
        <v>148</v>
      </c>
      <c r="E5161">
        <v>14</v>
      </c>
      <c r="F5161" s="3">
        <f ca="1">41338+(RANDBETWEEN(1,10))</f>
        <v>41345</v>
      </c>
      <c r="G5161" t="s">
        <v>76</v>
      </c>
      <c r="H5161" t="s">
        <v>77</v>
      </c>
      <c r="I5161" t="s">
        <v>28</v>
      </c>
      <c r="J5161">
        <v>11041.065000000001</v>
      </c>
      <c r="K5161">
        <v>0.08</v>
      </c>
      <c r="L5161">
        <v>0.55000000000000004</v>
      </c>
      <c r="M5161">
        <v>151.62</v>
      </c>
      <c r="N5161">
        <v>6660.4650000000001</v>
      </c>
      <c r="O5161" s="1" t="s">
        <v>53</v>
      </c>
      <c r="P5161" s="1" t="s">
        <v>2247</v>
      </c>
      <c r="Q5161" s="1" t="s">
        <v>2248</v>
      </c>
      <c r="R5161" s="1" t="s">
        <v>440</v>
      </c>
      <c r="S5161" s="1" t="s">
        <v>2249</v>
      </c>
      <c r="T5161" s="1" t="s">
        <v>2250</v>
      </c>
      <c r="U5161" s="2" t="s">
        <v>1924</v>
      </c>
      <c r="V5161" s="2" t="s">
        <v>83</v>
      </c>
      <c r="W5161" s="2" t="s">
        <v>84</v>
      </c>
      <c r="X5161" s="2">
        <v>853.93</v>
      </c>
    </row>
    <row r="5162" spans="1:24" x14ac:dyDescent="0.3">
      <c r="A5162">
        <v>22994</v>
      </c>
      <c r="B5162" t="s">
        <v>11184</v>
      </c>
      <c r="C5162" s="3">
        <v>41337</v>
      </c>
      <c r="D5162" t="s">
        <v>148</v>
      </c>
      <c r="E5162">
        <v>4</v>
      </c>
      <c r="F5162" s="3">
        <f ca="1">41339+(RANDBETWEEN(1,10))</f>
        <v>41344</v>
      </c>
      <c r="G5162" t="s">
        <v>26</v>
      </c>
      <c r="H5162" t="s">
        <v>51</v>
      </c>
      <c r="I5162" t="s">
        <v>28</v>
      </c>
      <c r="J5162">
        <v>66.849999999999994</v>
      </c>
      <c r="K5162">
        <v>0.1</v>
      </c>
      <c r="L5162">
        <v>0.66</v>
      </c>
      <c r="M5162">
        <v>17.254999999999999</v>
      </c>
      <c r="N5162">
        <v>-246.08500000000001</v>
      </c>
      <c r="O5162" s="1" t="s">
        <v>53</v>
      </c>
      <c r="P5162" s="1" t="s">
        <v>7636</v>
      </c>
      <c r="Q5162" s="1" t="s">
        <v>7637</v>
      </c>
      <c r="R5162" s="1" t="s">
        <v>100</v>
      </c>
      <c r="S5162" s="1" t="s">
        <v>7638</v>
      </c>
      <c r="T5162" s="1" t="s">
        <v>7639</v>
      </c>
      <c r="U5162" s="2" t="s">
        <v>1387</v>
      </c>
      <c r="V5162" s="2" t="s">
        <v>36</v>
      </c>
      <c r="W5162" s="2" t="s">
        <v>60</v>
      </c>
      <c r="X5162" s="2">
        <v>17.114999999999998</v>
      </c>
    </row>
    <row r="5163" spans="1:24" x14ac:dyDescent="0.3">
      <c r="A5163">
        <v>22995</v>
      </c>
      <c r="B5163" t="s">
        <v>11184</v>
      </c>
      <c r="C5163" s="3">
        <v>41337</v>
      </c>
      <c r="D5163" t="s">
        <v>148</v>
      </c>
      <c r="E5163">
        <v>1</v>
      </c>
      <c r="F5163" s="3">
        <f ca="1">41337+(RANDBETWEEN(1,10))</f>
        <v>41341</v>
      </c>
      <c r="G5163" t="s">
        <v>26</v>
      </c>
      <c r="H5163" t="s">
        <v>96</v>
      </c>
      <c r="I5163" t="s">
        <v>28</v>
      </c>
      <c r="J5163">
        <v>18.27</v>
      </c>
      <c r="K5163">
        <v>7.0000000000000007E-2</v>
      </c>
      <c r="L5163">
        <v>0.36</v>
      </c>
      <c r="M5163">
        <v>2.8</v>
      </c>
      <c r="N5163">
        <v>-16.52</v>
      </c>
      <c r="O5163" s="1" t="s">
        <v>53</v>
      </c>
      <c r="P5163" s="1" t="s">
        <v>7636</v>
      </c>
      <c r="Q5163" s="1" t="s">
        <v>7637</v>
      </c>
      <c r="R5163" s="1" t="s">
        <v>100</v>
      </c>
      <c r="S5163" s="1" t="s">
        <v>7638</v>
      </c>
      <c r="T5163" s="1" t="s">
        <v>7639</v>
      </c>
      <c r="U5163" s="2" t="s">
        <v>1416</v>
      </c>
      <c r="V5163" s="2" t="s">
        <v>47</v>
      </c>
      <c r="W5163" s="2" t="s">
        <v>74</v>
      </c>
      <c r="X5163" s="2">
        <v>17.43</v>
      </c>
    </row>
    <row r="5164" spans="1:24" x14ac:dyDescent="0.3">
      <c r="A5164">
        <v>22996</v>
      </c>
      <c r="B5164" t="s">
        <v>11185</v>
      </c>
      <c r="C5164" s="3">
        <v>40801</v>
      </c>
      <c r="D5164" t="s">
        <v>62</v>
      </c>
      <c r="E5164">
        <v>1</v>
      </c>
      <c r="F5164" s="3">
        <f ca="1">40803+(RANDBETWEEN(1,10))</f>
        <v>40809</v>
      </c>
      <c r="G5164" t="s">
        <v>26</v>
      </c>
      <c r="H5164" t="s">
        <v>27</v>
      </c>
      <c r="I5164" t="s">
        <v>52</v>
      </c>
      <c r="J5164">
        <v>61.04</v>
      </c>
      <c r="K5164">
        <v>0.09</v>
      </c>
      <c r="L5164">
        <v>0.43</v>
      </c>
      <c r="M5164">
        <v>30.73</v>
      </c>
      <c r="N5164">
        <v>-77.42</v>
      </c>
      <c r="O5164" s="1" t="s">
        <v>87</v>
      </c>
      <c r="P5164" s="1" t="s">
        <v>9122</v>
      </c>
      <c r="Q5164" s="1" t="s">
        <v>9123</v>
      </c>
      <c r="R5164" s="1" t="s">
        <v>646</v>
      </c>
      <c r="S5164" s="1" t="s">
        <v>9124</v>
      </c>
      <c r="T5164" s="1" t="s">
        <v>9125</v>
      </c>
      <c r="U5164" s="2" t="s">
        <v>4722</v>
      </c>
      <c r="V5164" s="2" t="s">
        <v>83</v>
      </c>
      <c r="W5164" s="2" t="s">
        <v>178</v>
      </c>
      <c r="X5164" s="2">
        <v>48.265000000000001</v>
      </c>
    </row>
    <row r="5165" spans="1:24" x14ac:dyDescent="0.3">
      <c r="A5165">
        <v>22997</v>
      </c>
      <c r="B5165" t="s">
        <v>11186</v>
      </c>
      <c r="C5165" s="3">
        <v>41397</v>
      </c>
      <c r="D5165" t="s">
        <v>148</v>
      </c>
      <c r="E5165">
        <v>6</v>
      </c>
      <c r="F5165" s="3">
        <f ca="1">41397+(RANDBETWEEN(1,10))</f>
        <v>41402</v>
      </c>
      <c r="G5165" t="s">
        <v>156</v>
      </c>
      <c r="H5165" t="s">
        <v>27</v>
      </c>
      <c r="I5165" t="s">
        <v>28</v>
      </c>
      <c r="J5165">
        <v>210.45500000000001</v>
      </c>
      <c r="K5165">
        <v>0.08</v>
      </c>
      <c r="L5165">
        <v>0.6</v>
      </c>
      <c r="M5165">
        <v>33.075000000000003</v>
      </c>
      <c r="N5165">
        <v>-343.80500000000001</v>
      </c>
      <c r="O5165" s="1" t="s">
        <v>40</v>
      </c>
      <c r="P5165" s="1" t="s">
        <v>11111</v>
      </c>
      <c r="Q5165" s="1" t="s">
        <v>11112</v>
      </c>
      <c r="R5165" s="1" t="s">
        <v>43</v>
      </c>
      <c r="S5165" s="1" t="s">
        <v>11113</v>
      </c>
      <c r="T5165" s="1" t="s">
        <v>11114</v>
      </c>
      <c r="U5165" s="2" t="s">
        <v>483</v>
      </c>
      <c r="V5165" s="2" t="s">
        <v>47</v>
      </c>
      <c r="W5165" s="2" t="s">
        <v>119</v>
      </c>
      <c r="X5165" s="2">
        <v>33.984999999999999</v>
      </c>
    </row>
    <row r="5166" spans="1:24" x14ac:dyDescent="0.3">
      <c r="A5166">
        <v>22998</v>
      </c>
      <c r="B5166" t="s">
        <v>11187</v>
      </c>
      <c r="C5166" s="3">
        <v>41588</v>
      </c>
      <c r="D5166" t="s">
        <v>62</v>
      </c>
      <c r="E5166">
        <v>37</v>
      </c>
      <c r="F5166" s="3">
        <f ca="1">41589+(RANDBETWEEN(1,10))</f>
        <v>41597</v>
      </c>
      <c r="G5166" t="s">
        <v>26</v>
      </c>
      <c r="H5166" t="s">
        <v>51</v>
      </c>
      <c r="I5166" t="s">
        <v>52</v>
      </c>
      <c r="J5166">
        <v>628.74</v>
      </c>
      <c r="K5166">
        <v>0.03</v>
      </c>
      <c r="L5166">
        <v>0.47</v>
      </c>
      <c r="M5166">
        <v>20.02</v>
      </c>
      <c r="N5166">
        <v>100.968</v>
      </c>
      <c r="O5166" s="1" t="s">
        <v>29</v>
      </c>
      <c r="P5166" s="1" t="s">
        <v>4419</v>
      </c>
      <c r="Q5166" s="1" t="s">
        <v>4420</v>
      </c>
      <c r="R5166" s="1" t="s">
        <v>32</v>
      </c>
      <c r="S5166" s="1" t="s">
        <v>4421</v>
      </c>
      <c r="T5166" s="1" t="s">
        <v>4422</v>
      </c>
      <c r="U5166" s="2" t="s">
        <v>5176</v>
      </c>
      <c r="V5166" s="2" t="s">
        <v>83</v>
      </c>
      <c r="W5166" s="2" t="s">
        <v>178</v>
      </c>
      <c r="X5166" s="2">
        <v>16.87</v>
      </c>
    </row>
    <row r="5167" spans="1:24" x14ac:dyDescent="0.3">
      <c r="A5167">
        <v>22999</v>
      </c>
      <c r="B5167" t="s">
        <v>11188</v>
      </c>
      <c r="C5167" s="3">
        <v>41073</v>
      </c>
      <c r="D5167" t="s">
        <v>25</v>
      </c>
      <c r="E5167">
        <v>12</v>
      </c>
      <c r="F5167" s="3">
        <f ca="1">41075+(RANDBETWEEN(1,10))</f>
        <v>41076</v>
      </c>
      <c r="G5167" t="s">
        <v>76</v>
      </c>
      <c r="H5167" t="s">
        <v>258</v>
      </c>
      <c r="I5167" t="s">
        <v>28</v>
      </c>
      <c r="J5167">
        <v>2267.7199999999998</v>
      </c>
      <c r="K5167">
        <v>0.1</v>
      </c>
      <c r="L5167">
        <v>0.61</v>
      </c>
      <c r="M5167">
        <v>128.13499999999999</v>
      </c>
      <c r="N5167">
        <v>-1945.72</v>
      </c>
      <c r="O5167" s="1" t="s">
        <v>40</v>
      </c>
      <c r="P5167" s="1" t="s">
        <v>9214</v>
      </c>
      <c r="Q5167" s="1" t="s">
        <v>9215</v>
      </c>
      <c r="R5167" s="1" t="s">
        <v>43</v>
      </c>
      <c r="S5167" s="1" t="s">
        <v>6731</v>
      </c>
      <c r="T5167" s="1" t="s">
        <v>6732</v>
      </c>
      <c r="U5167" s="2" t="s">
        <v>4050</v>
      </c>
      <c r="V5167" s="2" t="s">
        <v>83</v>
      </c>
      <c r="W5167" s="2" t="s">
        <v>298</v>
      </c>
      <c r="X5167" s="2">
        <v>203.49</v>
      </c>
    </row>
    <row r="5168" spans="1:24" x14ac:dyDescent="0.3">
      <c r="A5168">
        <v>23000</v>
      </c>
      <c r="B5168" t="s">
        <v>11189</v>
      </c>
      <c r="C5168" s="3">
        <v>41975</v>
      </c>
      <c r="D5168" t="s">
        <v>62</v>
      </c>
      <c r="E5168">
        <v>2</v>
      </c>
      <c r="F5168" s="3">
        <f ca="1">41976+(RANDBETWEEN(1,10))</f>
        <v>41978</v>
      </c>
      <c r="G5168" t="s">
        <v>26</v>
      </c>
      <c r="H5168" t="s">
        <v>27</v>
      </c>
      <c r="I5168" t="s">
        <v>86</v>
      </c>
      <c r="J5168">
        <v>741.93</v>
      </c>
      <c r="K5168">
        <v>0</v>
      </c>
      <c r="L5168">
        <v>0.52</v>
      </c>
      <c r="M5168">
        <v>69.965000000000003</v>
      </c>
      <c r="N5168">
        <v>3874.4160000000002</v>
      </c>
      <c r="O5168" s="1" t="s">
        <v>29</v>
      </c>
      <c r="P5168" s="1" t="s">
        <v>11190</v>
      </c>
      <c r="Q5168" s="1" t="s">
        <v>11191</v>
      </c>
      <c r="R5168" s="1" t="s">
        <v>32</v>
      </c>
      <c r="S5168" s="1" t="s">
        <v>2468</v>
      </c>
      <c r="T5168" s="1" t="s">
        <v>2469</v>
      </c>
      <c r="U5168" s="2" t="s">
        <v>1438</v>
      </c>
      <c r="V5168" s="2" t="s">
        <v>36</v>
      </c>
      <c r="W5168" s="2" t="s">
        <v>60</v>
      </c>
      <c r="X5168" s="2">
        <v>349.96499999999997</v>
      </c>
    </row>
    <row r="5169" spans="1:24" x14ac:dyDescent="0.3">
      <c r="A5169">
        <v>23001</v>
      </c>
      <c r="B5169" t="s">
        <v>11192</v>
      </c>
      <c r="C5169" s="3">
        <v>41556</v>
      </c>
      <c r="D5169" t="s">
        <v>148</v>
      </c>
      <c r="E5169">
        <v>4</v>
      </c>
      <c r="F5169" s="3">
        <f ca="1">41558+(RANDBETWEEN(1,10))</f>
        <v>41564</v>
      </c>
      <c r="G5169" t="s">
        <v>26</v>
      </c>
      <c r="H5169" t="s">
        <v>27</v>
      </c>
      <c r="I5169" t="s">
        <v>52</v>
      </c>
      <c r="J5169">
        <v>67.305000000000007</v>
      </c>
      <c r="K5169">
        <v>0.1</v>
      </c>
      <c r="L5169">
        <v>0.36</v>
      </c>
      <c r="M5169">
        <v>5.2149999999999999</v>
      </c>
      <c r="N5169">
        <v>12.56283</v>
      </c>
      <c r="O5169" s="1" t="s">
        <v>87</v>
      </c>
      <c r="P5169" s="1" t="s">
        <v>11193</v>
      </c>
      <c r="Q5169" s="1" t="s">
        <v>11194</v>
      </c>
      <c r="R5169" s="1" t="s">
        <v>90</v>
      </c>
      <c r="S5169" s="1" t="s">
        <v>11195</v>
      </c>
      <c r="T5169" s="1" t="s">
        <v>11196</v>
      </c>
      <c r="U5169" s="2" t="s">
        <v>6365</v>
      </c>
      <c r="V5169" s="2" t="s">
        <v>47</v>
      </c>
      <c r="W5169" s="2" t="s">
        <v>111</v>
      </c>
      <c r="X5169" s="2">
        <v>16.87</v>
      </c>
    </row>
    <row r="5170" spans="1:24" x14ac:dyDescent="0.3">
      <c r="A5170">
        <v>23002</v>
      </c>
      <c r="B5170" t="s">
        <v>11192</v>
      </c>
      <c r="C5170" s="3">
        <v>41556</v>
      </c>
      <c r="D5170" t="s">
        <v>148</v>
      </c>
      <c r="E5170">
        <v>12</v>
      </c>
      <c r="F5170" s="3">
        <f ca="1">41558+(RANDBETWEEN(1,10))</f>
        <v>41564</v>
      </c>
      <c r="G5170" t="s">
        <v>26</v>
      </c>
      <c r="H5170" t="s">
        <v>27</v>
      </c>
      <c r="I5170" t="s">
        <v>52</v>
      </c>
      <c r="J5170">
        <v>292.35500000000002</v>
      </c>
      <c r="K5170">
        <v>0.02</v>
      </c>
      <c r="L5170">
        <v>0.37</v>
      </c>
      <c r="M5170">
        <v>20.09</v>
      </c>
      <c r="N5170">
        <v>-160.15860000000001</v>
      </c>
      <c r="O5170" s="1" t="s">
        <v>87</v>
      </c>
      <c r="P5170" s="1" t="s">
        <v>11193</v>
      </c>
      <c r="Q5170" s="1" t="s">
        <v>11194</v>
      </c>
      <c r="R5170" s="1" t="s">
        <v>90</v>
      </c>
      <c r="S5170" s="1" t="s">
        <v>11195</v>
      </c>
      <c r="T5170" s="1" t="s">
        <v>11196</v>
      </c>
      <c r="U5170" s="2" t="s">
        <v>5165</v>
      </c>
      <c r="V5170" s="2" t="s">
        <v>47</v>
      </c>
      <c r="W5170" s="2" t="s">
        <v>74</v>
      </c>
      <c r="X5170" s="2">
        <v>22.68</v>
      </c>
    </row>
    <row r="5171" spans="1:24" x14ac:dyDescent="0.3">
      <c r="A5171">
        <v>23003</v>
      </c>
      <c r="B5171" t="s">
        <v>11197</v>
      </c>
      <c r="C5171" s="3">
        <v>41173</v>
      </c>
      <c r="D5171" t="s">
        <v>25</v>
      </c>
      <c r="E5171">
        <v>10</v>
      </c>
      <c r="F5171" s="3">
        <f ca="1">41175+(RANDBETWEEN(1,10))</f>
        <v>41181</v>
      </c>
      <c r="G5171" t="s">
        <v>76</v>
      </c>
      <c r="H5171" t="s">
        <v>258</v>
      </c>
      <c r="I5171" t="s">
        <v>28</v>
      </c>
      <c r="J5171">
        <v>3752.5949999999998</v>
      </c>
      <c r="K5171">
        <v>0.01</v>
      </c>
      <c r="L5171">
        <v>0.6</v>
      </c>
      <c r="M5171">
        <v>91.77</v>
      </c>
      <c r="N5171">
        <v>793.20500000000004</v>
      </c>
      <c r="O5171" s="1" t="s">
        <v>87</v>
      </c>
      <c r="P5171" s="1" t="s">
        <v>9774</v>
      </c>
      <c r="Q5171" s="1" t="s">
        <v>9775</v>
      </c>
      <c r="R5171" s="1" t="s">
        <v>497</v>
      </c>
      <c r="S5171" s="1" t="s">
        <v>9776</v>
      </c>
      <c r="T5171" s="1" t="s">
        <v>9777</v>
      </c>
      <c r="U5171" s="2" t="s">
        <v>1151</v>
      </c>
      <c r="V5171" s="2" t="s">
        <v>83</v>
      </c>
      <c r="W5171" s="2" t="s">
        <v>298</v>
      </c>
      <c r="X5171" s="2">
        <v>353.43</v>
      </c>
    </row>
    <row r="5172" spans="1:24" x14ac:dyDescent="0.3">
      <c r="A5172">
        <v>23004</v>
      </c>
      <c r="B5172" t="s">
        <v>11198</v>
      </c>
      <c r="C5172" s="3">
        <v>41489</v>
      </c>
      <c r="D5172" t="s">
        <v>25</v>
      </c>
      <c r="E5172">
        <v>5</v>
      </c>
      <c r="F5172" s="3">
        <f ca="1">41494+(RANDBETWEEN(1,10))</f>
        <v>41503</v>
      </c>
      <c r="G5172" t="s">
        <v>26</v>
      </c>
      <c r="H5172" t="s">
        <v>281</v>
      </c>
      <c r="I5172" t="s">
        <v>28</v>
      </c>
      <c r="J5172">
        <v>1594.2149999999999</v>
      </c>
      <c r="K5172">
        <v>7.0000000000000007E-2</v>
      </c>
      <c r="L5172">
        <v>0.38</v>
      </c>
      <c r="M5172">
        <v>48.965000000000003</v>
      </c>
      <c r="N5172">
        <v>97.2286</v>
      </c>
      <c r="O5172" s="1" t="s">
        <v>53</v>
      </c>
      <c r="P5172" s="1" t="s">
        <v>6423</v>
      </c>
      <c r="Q5172" s="1" t="s">
        <v>6424</v>
      </c>
      <c r="R5172" s="1" t="s">
        <v>100</v>
      </c>
      <c r="S5172" s="1" t="s">
        <v>6425</v>
      </c>
      <c r="T5172" s="1" t="s">
        <v>6426</v>
      </c>
      <c r="U5172" s="2" t="s">
        <v>8415</v>
      </c>
      <c r="V5172" s="2" t="s">
        <v>36</v>
      </c>
      <c r="W5172" s="2" t="s">
        <v>142</v>
      </c>
      <c r="X5172" s="2">
        <v>337.57499999999999</v>
      </c>
    </row>
    <row r="5173" spans="1:24" x14ac:dyDescent="0.3">
      <c r="A5173">
        <v>23005</v>
      </c>
      <c r="B5173" t="s">
        <v>11199</v>
      </c>
      <c r="C5173" s="3">
        <v>41184</v>
      </c>
      <c r="D5173" t="s">
        <v>39</v>
      </c>
      <c r="E5173">
        <v>22</v>
      </c>
      <c r="F5173" s="3">
        <f ca="1">41186+(RANDBETWEEN(1,10))</f>
        <v>41187</v>
      </c>
      <c r="G5173" t="s">
        <v>26</v>
      </c>
      <c r="H5173" t="s">
        <v>27</v>
      </c>
      <c r="I5173" t="s">
        <v>97</v>
      </c>
      <c r="J5173">
        <v>502.95</v>
      </c>
      <c r="K5173">
        <v>0.05</v>
      </c>
      <c r="L5173">
        <v>0.37</v>
      </c>
      <c r="M5173">
        <v>32.094999999999999</v>
      </c>
      <c r="N5173">
        <v>-962.69039999999995</v>
      </c>
      <c r="O5173" s="1" t="s">
        <v>64</v>
      </c>
      <c r="P5173" s="1" t="s">
        <v>11200</v>
      </c>
      <c r="Q5173" s="1" t="s">
        <v>11201</v>
      </c>
      <c r="R5173" s="1" t="s">
        <v>128</v>
      </c>
      <c r="S5173" s="1" t="s">
        <v>11202</v>
      </c>
      <c r="T5173" s="1" t="s">
        <v>11203</v>
      </c>
      <c r="U5173" s="2" t="s">
        <v>4991</v>
      </c>
      <c r="V5173" s="2" t="s">
        <v>47</v>
      </c>
      <c r="W5173" s="2" t="s">
        <v>74</v>
      </c>
      <c r="X5173" s="2">
        <v>22.68</v>
      </c>
    </row>
    <row r="5174" spans="1:24" x14ac:dyDescent="0.3">
      <c r="A5174">
        <v>23006</v>
      </c>
      <c r="B5174" t="s">
        <v>11204</v>
      </c>
      <c r="C5174" s="3">
        <v>41596</v>
      </c>
      <c r="D5174" t="s">
        <v>50</v>
      </c>
      <c r="E5174">
        <v>41</v>
      </c>
      <c r="F5174" s="3">
        <f ca="1">41597+(RANDBETWEEN(1,10))</f>
        <v>41602</v>
      </c>
      <c r="G5174" t="s">
        <v>156</v>
      </c>
      <c r="H5174" t="s">
        <v>51</v>
      </c>
      <c r="I5174" t="s">
        <v>97</v>
      </c>
      <c r="J5174">
        <v>1854.23</v>
      </c>
      <c r="K5174">
        <v>0.06</v>
      </c>
      <c r="L5174">
        <v>0.48</v>
      </c>
      <c r="M5174">
        <v>17.43</v>
      </c>
      <c r="N5174">
        <v>-24.005099999999999</v>
      </c>
      <c r="O5174" s="1" t="s">
        <v>29</v>
      </c>
      <c r="P5174" s="1" t="s">
        <v>11205</v>
      </c>
      <c r="Q5174" s="1" t="s">
        <v>11206</v>
      </c>
      <c r="R5174" s="1" t="s">
        <v>32</v>
      </c>
      <c r="S5174" s="1" t="s">
        <v>2354</v>
      </c>
      <c r="T5174" s="1" t="s">
        <v>2355</v>
      </c>
      <c r="U5174" s="2" t="s">
        <v>430</v>
      </c>
      <c r="V5174" s="2" t="s">
        <v>83</v>
      </c>
      <c r="W5174" s="2" t="s">
        <v>178</v>
      </c>
      <c r="X5174" s="2">
        <v>44.24</v>
      </c>
    </row>
    <row r="5175" spans="1:24" x14ac:dyDescent="0.3">
      <c r="A5175">
        <v>23007</v>
      </c>
      <c r="B5175" t="s">
        <v>11207</v>
      </c>
      <c r="C5175" s="3">
        <v>41935</v>
      </c>
      <c r="D5175" t="s">
        <v>39</v>
      </c>
      <c r="E5175">
        <v>22</v>
      </c>
      <c r="F5175" s="3">
        <f ca="1">41936+(RANDBETWEEN(1,10))</f>
        <v>41937</v>
      </c>
      <c r="G5175" t="s">
        <v>26</v>
      </c>
      <c r="H5175" t="s">
        <v>27</v>
      </c>
      <c r="I5175" t="s">
        <v>52</v>
      </c>
      <c r="J5175">
        <v>7207.13</v>
      </c>
      <c r="K5175">
        <v>0.1</v>
      </c>
      <c r="L5175">
        <v>0.46</v>
      </c>
      <c r="M5175">
        <v>25.13</v>
      </c>
      <c r="N5175">
        <v>4109.07</v>
      </c>
      <c r="O5175" s="1" t="s">
        <v>87</v>
      </c>
      <c r="P5175" s="1" t="s">
        <v>8263</v>
      </c>
      <c r="Q5175" s="1" t="s">
        <v>8264</v>
      </c>
      <c r="R5175" s="1" t="s">
        <v>646</v>
      </c>
      <c r="S5175" s="1" t="s">
        <v>8265</v>
      </c>
      <c r="T5175" s="1" t="s">
        <v>1527</v>
      </c>
      <c r="U5175" s="2" t="s">
        <v>8699</v>
      </c>
      <c r="V5175" s="2" t="s">
        <v>36</v>
      </c>
      <c r="W5175" s="2" t="s">
        <v>60</v>
      </c>
      <c r="X5175" s="2">
        <v>353.39499999999998</v>
      </c>
    </row>
    <row r="5176" spans="1:24" x14ac:dyDescent="0.3">
      <c r="A5176">
        <v>23008</v>
      </c>
      <c r="B5176" t="s">
        <v>11207</v>
      </c>
      <c r="C5176" s="3">
        <v>41935</v>
      </c>
      <c r="D5176" t="s">
        <v>39</v>
      </c>
      <c r="E5176">
        <v>13</v>
      </c>
      <c r="F5176" s="3">
        <f ca="1">41935+(RANDBETWEEN(1,10))</f>
        <v>41940</v>
      </c>
      <c r="G5176" t="s">
        <v>26</v>
      </c>
      <c r="H5176" t="s">
        <v>27</v>
      </c>
      <c r="I5176" t="s">
        <v>52</v>
      </c>
      <c r="J5176">
        <v>255.71</v>
      </c>
      <c r="K5176">
        <v>0</v>
      </c>
      <c r="L5176">
        <v>0.4</v>
      </c>
      <c r="M5176">
        <v>28.56</v>
      </c>
      <c r="N5176">
        <v>-427.73500000000001</v>
      </c>
      <c r="O5176" s="1" t="s">
        <v>87</v>
      </c>
      <c r="P5176" s="1" t="s">
        <v>8263</v>
      </c>
      <c r="Q5176" s="1" t="s">
        <v>8264</v>
      </c>
      <c r="R5176" s="1" t="s">
        <v>646</v>
      </c>
      <c r="S5176" s="1" t="s">
        <v>8265</v>
      </c>
      <c r="T5176" s="1" t="s">
        <v>1527</v>
      </c>
      <c r="U5176" s="2" t="s">
        <v>7827</v>
      </c>
      <c r="V5176" s="2" t="s">
        <v>47</v>
      </c>
      <c r="W5176" s="2" t="s">
        <v>74</v>
      </c>
      <c r="X5176" s="2">
        <v>18.48</v>
      </c>
    </row>
    <row r="5177" spans="1:24" x14ac:dyDescent="0.3">
      <c r="A5177">
        <v>23009</v>
      </c>
      <c r="B5177" t="s">
        <v>11208</v>
      </c>
      <c r="C5177" s="3">
        <v>41929</v>
      </c>
      <c r="D5177" t="s">
        <v>148</v>
      </c>
      <c r="E5177">
        <v>26</v>
      </c>
      <c r="F5177" s="3">
        <f ca="1">41929+(RANDBETWEEN(1,10))</f>
        <v>41937</v>
      </c>
      <c r="G5177" t="s">
        <v>26</v>
      </c>
      <c r="H5177" t="s">
        <v>27</v>
      </c>
      <c r="I5177" t="s">
        <v>28</v>
      </c>
      <c r="J5177">
        <v>2517.3049999999998</v>
      </c>
      <c r="K5177">
        <v>0.04</v>
      </c>
      <c r="L5177">
        <v>0.38</v>
      </c>
      <c r="M5177">
        <v>5.2149999999999999</v>
      </c>
      <c r="N5177">
        <v>1736.9404500000001</v>
      </c>
      <c r="O5177" s="1" t="s">
        <v>40</v>
      </c>
      <c r="P5177" s="1" t="s">
        <v>3760</v>
      </c>
      <c r="Q5177" s="1" t="s">
        <v>3761</v>
      </c>
      <c r="R5177" s="1" t="s">
        <v>220</v>
      </c>
      <c r="S5177" s="1" t="s">
        <v>3762</v>
      </c>
      <c r="T5177" s="1" t="s">
        <v>3763</v>
      </c>
      <c r="U5177" s="2" t="s">
        <v>301</v>
      </c>
      <c r="V5177" s="2" t="s">
        <v>47</v>
      </c>
      <c r="W5177" s="2" t="s">
        <v>111</v>
      </c>
      <c r="X5177" s="2">
        <v>99.855000000000004</v>
      </c>
    </row>
    <row r="5178" spans="1:24" x14ac:dyDescent="0.3">
      <c r="A5178">
        <v>23010</v>
      </c>
      <c r="B5178" t="s">
        <v>11209</v>
      </c>
      <c r="C5178" s="3">
        <v>40623</v>
      </c>
      <c r="D5178" t="s">
        <v>50</v>
      </c>
      <c r="E5178">
        <v>11</v>
      </c>
      <c r="F5178" s="3">
        <f ca="1">40625+(RANDBETWEEN(1,10))</f>
        <v>40631</v>
      </c>
      <c r="G5178" t="s">
        <v>26</v>
      </c>
      <c r="H5178" t="s">
        <v>27</v>
      </c>
      <c r="I5178" t="s">
        <v>52</v>
      </c>
      <c r="J5178">
        <v>2264.08</v>
      </c>
      <c r="K5178">
        <v>0.02</v>
      </c>
      <c r="L5178">
        <v>0.68</v>
      </c>
      <c r="M5178">
        <v>22.925000000000001</v>
      </c>
      <c r="N5178">
        <v>1406.4749999999999</v>
      </c>
      <c r="O5178" s="1" t="s">
        <v>64</v>
      </c>
      <c r="P5178" s="1" t="s">
        <v>10410</v>
      </c>
      <c r="Q5178" s="1" t="s">
        <v>10411</v>
      </c>
      <c r="R5178" s="1" t="s">
        <v>67</v>
      </c>
      <c r="S5178" s="1" t="s">
        <v>10412</v>
      </c>
      <c r="T5178" s="1" t="s">
        <v>10413</v>
      </c>
      <c r="U5178" s="2" t="s">
        <v>2020</v>
      </c>
      <c r="V5178" s="2" t="s">
        <v>36</v>
      </c>
      <c r="W5178" s="2" t="s">
        <v>60</v>
      </c>
      <c r="X5178" s="2">
        <v>195.79</v>
      </c>
    </row>
    <row r="5179" spans="1:24" x14ac:dyDescent="0.3">
      <c r="A5179">
        <v>23011</v>
      </c>
      <c r="B5179" t="s">
        <v>11210</v>
      </c>
      <c r="C5179" s="3">
        <v>40578</v>
      </c>
      <c r="D5179" t="s">
        <v>148</v>
      </c>
      <c r="E5179">
        <v>2</v>
      </c>
      <c r="F5179" s="3">
        <f ca="1">40580+(RANDBETWEEN(1,10))</f>
        <v>40588</v>
      </c>
      <c r="G5179" t="s">
        <v>26</v>
      </c>
      <c r="H5179" t="s">
        <v>27</v>
      </c>
      <c r="I5179" t="s">
        <v>52</v>
      </c>
      <c r="J5179">
        <v>92.295000000000002</v>
      </c>
      <c r="K5179">
        <v>0.05</v>
      </c>
      <c r="L5179">
        <v>0.35</v>
      </c>
      <c r="M5179">
        <v>5.2149999999999999</v>
      </c>
      <c r="N5179">
        <v>19.131</v>
      </c>
      <c r="O5179" s="1" t="s">
        <v>40</v>
      </c>
      <c r="P5179" s="1" t="s">
        <v>10428</v>
      </c>
      <c r="Q5179" s="1" t="s">
        <v>10429</v>
      </c>
      <c r="R5179" s="1" t="s">
        <v>43</v>
      </c>
      <c r="S5179" s="1" t="s">
        <v>10430</v>
      </c>
      <c r="T5179" s="1" t="s">
        <v>10431</v>
      </c>
      <c r="U5179" s="2" t="s">
        <v>2551</v>
      </c>
      <c r="V5179" s="2" t="s">
        <v>47</v>
      </c>
      <c r="W5179" s="2" t="s">
        <v>111</v>
      </c>
      <c r="X5179" s="2">
        <v>45.395000000000003</v>
      </c>
    </row>
    <row r="5180" spans="1:24" x14ac:dyDescent="0.3">
      <c r="A5180">
        <v>23012</v>
      </c>
      <c r="B5180" t="s">
        <v>11210</v>
      </c>
      <c r="C5180" s="3">
        <v>40578</v>
      </c>
      <c r="D5180" t="s">
        <v>148</v>
      </c>
      <c r="E5180">
        <v>9</v>
      </c>
      <c r="F5180" s="3">
        <f ca="1">40580+(RANDBETWEEN(1,10))</f>
        <v>40584</v>
      </c>
      <c r="G5180" t="s">
        <v>26</v>
      </c>
      <c r="H5180" t="s">
        <v>96</v>
      </c>
      <c r="I5180" t="s">
        <v>52</v>
      </c>
      <c r="J5180">
        <v>187.04</v>
      </c>
      <c r="K5180">
        <v>0.06</v>
      </c>
      <c r="L5180">
        <v>0.54</v>
      </c>
      <c r="M5180">
        <v>11.795</v>
      </c>
      <c r="N5180">
        <v>-521.91369999999995</v>
      </c>
      <c r="O5180" s="1" t="s">
        <v>40</v>
      </c>
      <c r="P5180" s="1" t="s">
        <v>10428</v>
      </c>
      <c r="Q5180" s="1" t="s">
        <v>10429</v>
      </c>
      <c r="R5180" s="1" t="s">
        <v>43</v>
      </c>
      <c r="S5180" s="1" t="s">
        <v>10430</v>
      </c>
      <c r="T5180" s="1" t="s">
        <v>10431</v>
      </c>
      <c r="U5180" s="2" t="s">
        <v>665</v>
      </c>
      <c r="V5180" s="2" t="s">
        <v>47</v>
      </c>
      <c r="W5180" s="2" t="s">
        <v>176</v>
      </c>
      <c r="X5180" s="2">
        <v>20.335000000000001</v>
      </c>
    </row>
    <row r="5181" spans="1:24" x14ac:dyDescent="0.3">
      <c r="A5181">
        <v>23013</v>
      </c>
      <c r="B5181" t="s">
        <v>11211</v>
      </c>
      <c r="C5181" s="3">
        <v>41160</v>
      </c>
      <c r="D5181" t="s">
        <v>62</v>
      </c>
      <c r="E5181">
        <v>16</v>
      </c>
      <c r="F5181" s="3">
        <f ca="1">41162+(RANDBETWEEN(1,10))</f>
        <v>41167</v>
      </c>
      <c r="G5181" t="s">
        <v>26</v>
      </c>
      <c r="H5181" t="s">
        <v>96</v>
      </c>
      <c r="I5181" t="s">
        <v>97</v>
      </c>
      <c r="J5181">
        <v>218.75</v>
      </c>
      <c r="K5181">
        <v>0.09</v>
      </c>
      <c r="L5181">
        <v>0.55000000000000004</v>
      </c>
      <c r="M5181">
        <v>4.3049999999999997</v>
      </c>
      <c r="N5181">
        <v>20.684999999999999</v>
      </c>
      <c r="O5181" s="1" t="s">
        <v>64</v>
      </c>
      <c r="P5181" s="1" t="s">
        <v>11212</v>
      </c>
      <c r="Q5181" s="1" t="s">
        <v>11213</v>
      </c>
      <c r="R5181" s="1" t="s">
        <v>67</v>
      </c>
      <c r="S5181" s="1" t="s">
        <v>11214</v>
      </c>
      <c r="T5181" s="1" t="s">
        <v>11215</v>
      </c>
      <c r="U5181" s="2" t="s">
        <v>10766</v>
      </c>
      <c r="V5181" s="2" t="s">
        <v>47</v>
      </c>
      <c r="W5181" s="2" t="s">
        <v>104</v>
      </c>
      <c r="X5181" s="2">
        <v>14.455</v>
      </c>
    </row>
    <row r="5182" spans="1:24" x14ac:dyDescent="0.3">
      <c r="A5182">
        <v>23014</v>
      </c>
      <c r="B5182" t="s">
        <v>11216</v>
      </c>
      <c r="C5182" s="3">
        <v>41291</v>
      </c>
      <c r="D5182" t="s">
        <v>148</v>
      </c>
      <c r="E5182">
        <v>2</v>
      </c>
      <c r="F5182" s="3">
        <f ca="1">41293+(RANDBETWEEN(1,10))</f>
        <v>41295</v>
      </c>
      <c r="G5182" t="s">
        <v>26</v>
      </c>
      <c r="H5182" t="s">
        <v>96</v>
      </c>
      <c r="I5182" t="s">
        <v>52</v>
      </c>
      <c r="J5182">
        <v>33.32</v>
      </c>
      <c r="K5182">
        <v>0.01</v>
      </c>
      <c r="L5182">
        <v>0.57999999999999996</v>
      </c>
      <c r="M5182">
        <v>5.6</v>
      </c>
      <c r="N5182">
        <v>-19.53</v>
      </c>
      <c r="O5182" s="1" t="s">
        <v>40</v>
      </c>
      <c r="P5182" s="1" t="s">
        <v>9058</v>
      </c>
      <c r="Q5182" s="1" t="s">
        <v>9059</v>
      </c>
      <c r="R5182" s="1" t="s">
        <v>220</v>
      </c>
      <c r="S5182" s="1" t="s">
        <v>6977</v>
      </c>
      <c r="T5182" s="1" t="s">
        <v>6978</v>
      </c>
      <c r="U5182" s="2" t="s">
        <v>145</v>
      </c>
      <c r="V5182" s="2" t="s">
        <v>47</v>
      </c>
      <c r="W5182" s="2" t="s">
        <v>104</v>
      </c>
      <c r="X5182" s="2">
        <v>14.98</v>
      </c>
    </row>
    <row r="5183" spans="1:24" x14ac:dyDescent="0.3">
      <c r="A5183">
        <v>23015</v>
      </c>
      <c r="B5183" t="s">
        <v>11217</v>
      </c>
      <c r="C5183" s="3">
        <v>41491</v>
      </c>
      <c r="D5183" t="s">
        <v>25</v>
      </c>
      <c r="E5183">
        <v>21</v>
      </c>
      <c r="F5183" s="3">
        <f ca="1">41498+(RANDBETWEEN(1,10))</f>
        <v>41504</v>
      </c>
      <c r="G5183" t="s">
        <v>26</v>
      </c>
      <c r="H5183" t="s">
        <v>27</v>
      </c>
      <c r="I5183" t="s">
        <v>28</v>
      </c>
      <c r="J5183">
        <v>11247.565000000001</v>
      </c>
      <c r="K5183">
        <v>0.09</v>
      </c>
      <c r="L5183">
        <v>0.4</v>
      </c>
      <c r="M5183">
        <v>69.965000000000003</v>
      </c>
      <c r="N5183">
        <v>-772.38699999999994</v>
      </c>
      <c r="O5183" s="1" t="s">
        <v>87</v>
      </c>
      <c r="P5183" s="1" t="s">
        <v>11169</v>
      </c>
      <c r="Q5183" s="1" t="s">
        <v>11170</v>
      </c>
      <c r="R5183" s="1" t="s">
        <v>497</v>
      </c>
      <c r="S5183" s="1" t="s">
        <v>11171</v>
      </c>
      <c r="T5183" s="1" t="s">
        <v>11172</v>
      </c>
      <c r="U5183" s="2" t="s">
        <v>2782</v>
      </c>
      <c r="V5183" s="2" t="s">
        <v>47</v>
      </c>
      <c r="W5183" s="2" t="s">
        <v>111</v>
      </c>
      <c r="X5183" s="2">
        <v>580.92999999999995</v>
      </c>
    </row>
    <row r="5184" spans="1:24" x14ac:dyDescent="0.3">
      <c r="A5184">
        <v>23016</v>
      </c>
      <c r="B5184" t="s">
        <v>11217</v>
      </c>
      <c r="C5184" s="3">
        <v>41491</v>
      </c>
      <c r="D5184" t="s">
        <v>25</v>
      </c>
      <c r="E5184">
        <v>6</v>
      </c>
      <c r="F5184" s="3">
        <f ca="1">41496+(RANDBETWEEN(1,10))</f>
        <v>41504</v>
      </c>
      <c r="G5184" t="s">
        <v>76</v>
      </c>
      <c r="H5184" t="s">
        <v>258</v>
      </c>
      <c r="I5184" t="s">
        <v>28</v>
      </c>
      <c r="J5184">
        <v>2149.63</v>
      </c>
      <c r="K5184">
        <v>0.06</v>
      </c>
      <c r="L5184">
        <v>0.75</v>
      </c>
      <c r="M5184">
        <v>145.74</v>
      </c>
      <c r="N5184">
        <v>-13800.055710000001</v>
      </c>
      <c r="O5184" s="1" t="s">
        <v>87</v>
      </c>
      <c r="P5184" s="1" t="s">
        <v>11169</v>
      </c>
      <c r="Q5184" s="1" t="s">
        <v>11170</v>
      </c>
      <c r="R5184" s="1" t="s">
        <v>497</v>
      </c>
      <c r="S5184" s="1" t="s">
        <v>11171</v>
      </c>
      <c r="T5184" s="1" t="s">
        <v>11172</v>
      </c>
      <c r="U5184" s="2" t="s">
        <v>1314</v>
      </c>
      <c r="V5184" s="2" t="s">
        <v>83</v>
      </c>
      <c r="W5184" s="2" t="s">
        <v>263</v>
      </c>
      <c r="X5184" s="2">
        <v>369.21499999999997</v>
      </c>
    </row>
    <row r="5185" spans="1:24" x14ac:dyDescent="0.3">
      <c r="A5185">
        <v>23017</v>
      </c>
      <c r="B5185" t="s">
        <v>11218</v>
      </c>
      <c r="C5185" s="3">
        <v>41642</v>
      </c>
      <c r="D5185" t="s">
        <v>62</v>
      </c>
      <c r="E5185">
        <v>13</v>
      </c>
      <c r="F5185" s="3">
        <f ca="1">41643+(RANDBETWEEN(1,10))</f>
        <v>41648</v>
      </c>
      <c r="G5185" t="s">
        <v>26</v>
      </c>
      <c r="H5185" t="s">
        <v>27</v>
      </c>
      <c r="I5185" t="s">
        <v>28</v>
      </c>
      <c r="J5185">
        <v>688.59</v>
      </c>
      <c r="K5185">
        <v>0.1</v>
      </c>
      <c r="L5185">
        <v>0.38</v>
      </c>
      <c r="M5185">
        <v>4.8650000000000002</v>
      </c>
      <c r="N5185">
        <v>475.12709999999998</v>
      </c>
      <c r="O5185" s="1" t="s">
        <v>40</v>
      </c>
      <c r="P5185" s="1" t="s">
        <v>7626</v>
      </c>
      <c r="Q5185" s="1" t="s">
        <v>7627</v>
      </c>
      <c r="R5185" s="1" t="s">
        <v>43</v>
      </c>
      <c r="S5185" s="1" t="s">
        <v>7628</v>
      </c>
      <c r="T5185" s="1" t="s">
        <v>7629</v>
      </c>
      <c r="U5185" s="2" t="s">
        <v>2327</v>
      </c>
      <c r="V5185" s="2" t="s">
        <v>47</v>
      </c>
      <c r="W5185" s="2" t="s">
        <v>48</v>
      </c>
      <c r="X5185" s="2">
        <v>54.494999999999997</v>
      </c>
    </row>
    <row r="5186" spans="1:24" x14ac:dyDescent="0.3">
      <c r="A5186">
        <v>23018</v>
      </c>
      <c r="B5186" t="s">
        <v>11218</v>
      </c>
      <c r="C5186" s="3">
        <v>41642</v>
      </c>
      <c r="D5186" t="s">
        <v>62</v>
      </c>
      <c r="E5186">
        <v>2</v>
      </c>
      <c r="F5186" s="3">
        <f ca="1">41644+(RANDBETWEEN(1,10))</f>
        <v>41651</v>
      </c>
      <c r="G5186" t="s">
        <v>26</v>
      </c>
      <c r="H5186" t="s">
        <v>96</v>
      </c>
      <c r="I5186" t="s">
        <v>28</v>
      </c>
      <c r="J5186">
        <v>12.11</v>
      </c>
      <c r="K5186">
        <v>0.1</v>
      </c>
      <c r="L5186">
        <v>0.56000000000000005</v>
      </c>
      <c r="M5186">
        <v>2.4500000000000002</v>
      </c>
      <c r="N5186">
        <v>-14.0616</v>
      </c>
      <c r="O5186" s="1" t="s">
        <v>40</v>
      </c>
      <c r="P5186" s="1" t="s">
        <v>7626</v>
      </c>
      <c r="Q5186" s="1" t="s">
        <v>7627</v>
      </c>
      <c r="R5186" s="1" t="s">
        <v>43</v>
      </c>
      <c r="S5186" s="1" t="s">
        <v>7628</v>
      </c>
      <c r="T5186" s="1" t="s">
        <v>7629</v>
      </c>
      <c r="U5186" s="2" t="s">
        <v>384</v>
      </c>
      <c r="V5186" s="2" t="s">
        <v>47</v>
      </c>
      <c r="W5186" s="2" t="s">
        <v>104</v>
      </c>
      <c r="X5186" s="2">
        <v>6.16</v>
      </c>
    </row>
    <row r="5187" spans="1:24" x14ac:dyDescent="0.3">
      <c r="A5187">
        <v>23019</v>
      </c>
      <c r="B5187" t="s">
        <v>11219</v>
      </c>
      <c r="C5187" s="3">
        <v>40930</v>
      </c>
      <c r="D5187" t="s">
        <v>62</v>
      </c>
      <c r="E5187">
        <v>6</v>
      </c>
      <c r="F5187" s="3">
        <f ca="1">40932+(RANDBETWEEN(1,10))</f>
        <v>40934</v>
      </c>
      <c r="G5187" t="s">
        <v>76</v>
      </c>
      <c r="H5187" t="s">
        <v>77</v>
      </c>
      <c r="I5187" t="s">
        <v>86</v>
      </c>
      <c r="J5187">
        <v>2382.4850000000001</v>
      </c>
      <c r="K5187">
        <v>0.08</v>
      </c>
      <c r="L5187">
        <v>0.69</v>
      </c>
      <c r="M5187">
        <v>105</v>
      </c>
      <c r="N5187">
        <v>-488.77080000000001</v>
      </c>
      <c r="O5187" s="1" t="s">
        <v>64</v>
      </c>
      <c r="P5187" s="1" t="s">
        <v>10946</v>
      </c>
      <c r="Q5187" s="1" t="s">
        <v>10947</v>
      </c>
      <c r="R5187" s="1" t="s">
        <v>67</v>
      </c>
      <c r="S5187" s="1" t="s">
        <v>10948</v>
      </c>
      <c r="T5187" s="1" t="s">
        <v>10949</v>
      </c>
      <c r="U5187" s="2" t="s">
        <v>1513</v>
      </c>
      <c r="V5187" s="2" t="s">
        <v>83</v>
      </c>
      <c r="W5187" s="2" t="s">
        <v>84</v>
      </c>
      <c r="X5187" s="2">
        <v>398.93</v>
      </c>
    </row>
    <row r="5188" spans="1:24" x14ac:dyDescent="0.3">
      <c r="A5188">
        <v>23020</v>
      </c>
      <c r="B5188" t="s">
        <v>11220</v>
      </c>
      <c r="C5188" s="3">
        <v>41661</v>
      </c>
      <c r="D5188" t="s">
        <v>62</v>
      </c>
      <c r="E5188">
        <v>1</v>
      </c>
      <c r="F5188" s="3">
        <f ca="1">41663+(RANDBETWEEN(1,10))</f>
        <v>41671</v>
      </c>
      <c r="G5188" t="s">
        <v>26</v>
      </c>
      <c r="H5188" t="s">
        <v>27</v>
      </c>
      <c r="I5188" t="s">
        <v>86</v>
      </c>
      <c r="J5188">
        <v>104.895</v>
      </c>
      <c r="K5188">
        <v>0.09</v>
      </c>
      <c r="L5188">
        <v>0.75</v>
      </c>
      <c r="M5188">
        <v>14</v>
      </c>
      <c r="N5188">
        <v>-641.49540000000002</v>
      </c>
      <c r="O5188" s="1" t="s">
        <v>64</v>
      </c>
      <c r="P5188" s="1" t="s">
        <v>10946</v>
      </c>
      <c r="Q5188" s="1" t="s">
        <v>10947</v>
      </c>
      <c r="R5188" s="1" t="s">
        <v>67</v>
      </c>
      <c r="S5188" s="1" t="s">
        <v>10948</v>
      </c>
      <c r="T5188" s="1" t="s">
        <v>10949</v>
      </c>
      <c r="U5188" s="2" t="s">
        <v>216</v>
      </c>
      <c r="V5188" s="2" t="s">
        <v>36</v>
      </c>
      <c r="W5188" s="2" t="s">
        <v>60</v>
      </c>
      <c r="X5188" s="2">
        <v>107.55500000000001</v>
      </c>
    </row>
    <row r="5189" spans="1:24" x14ac:dyDescent="0.3">
      <c r="A5189">
        <v>23021</v>
      </c>
      <c r="B5189" t="s">
        <v>11219</v>
      </c>
      <c r="C5189" s="3">
        <v>40930</v>
      </c>
      <c r="D5189" t="s">
        <v>62</v>
      </c>
      <c r="E5189">
        <v>5</v>
      </c>
      <c r="F5189" s="3">
        <f ca="1">40932+(RANDBETWEEN(1,10))</f>
        <v>40940</v>
      </c>
      <c r="G5189" t="s">
        <v>26</v>
      </c>
      <c r="H5189" t="s">
        <v>27</v>
      </c>
      <c r="I5189" t="s">
        <v>86</v>
      </c>
      <c r="J5189">
        <v>784.28</v>
      </c>
      <c r="K5189">
        <v>0.08</v>
      </c>
      <c r="L5189">
        <v>0.37</v>
      </c>
      <c r="M5189">
        <v>20.51</v>
      </c>
      <c r="N5189">
        <v>541.15319999999997</v>
      </c>
      <c r="O5189" s="1" t="s">
        <v>64</v>
      </c>
      <c r="P5189" s="1" t="s">
        <v>10946</v>
      </c>
      <c r="Q5189" s="1" t="s">
        <v>10947</v>
      </c>
      <c r="R5189" s="1" t="s">
        <v>67</v>
      </c>
      <c r="S5189" s="1" t="s">
        <v>10948</v>
      </c>
      <c r="T5189" s="1" t="s">
        <v>10949</v>
      </c>
      <c r="U5189" s="2" t="s">
        <v>2008</v>
      </c>
      <c r="V5189" s="2" t="s">
        <v>47</v>
      </c>
      <c r="W5189" s="2" t="s">
        <v>74</v>
      </c>
      <c r="X5189" s="2">
        <v>167.65</v>
      </c>
    </row>
    <row r="5190" spans="1:24" x14ac:dyDescent="0.3">
      <c r="A5190">
        <v>23022</v>
      </c>
      <c r="B5190" t="s">
        <v>11221</v>
      </c>
      <c r="C5190" s="3">
        <v>40654</v>
      </c>
      <c r="D5190" t="s">
        <v>62</v>
      </c>
      <c r="E5190">
        <v>5</v>
      </c>
      <c r="F5190" s="3">
        <f ca="1">40654+(RANDBETWEEN(1,10))</f>
        <v>40657</v>
      </c>
      <c r="G5190" t="s">
        <v>156</v>
      </c>
      <c r="H5190" t="s">
        <v>27</v>
      </c>
      <c r="I5190" t="s">
        <v>28</v>
      </c>
      <c r="J5190">
        <v>6534.64</v>
      </c>
      <c r="K5190">
        <v>0.05</v>
      </c>
      <c r="L5190">
        <v>0.56999999999999995</v>
      </c>
      <c r="M5190">
        <v>69.965000000000003</v>
      </c>
      <c r="N5190">
        <v>-944.14425000000006</v>
      </c>
      <c r="O5190" s="1" t="s">
        <v>53</v>
      </c>
      <c r="P5190" s="1" t="s">
        <v>9446</v>
      </c>
      <c r="Q5190" s="1" t="s">
        <v>9447</v>
      </c>
      <c r="R5190" s="1" t="s">
        <v>440</v>
      </c>
      <c r="S5190" s="1" t="s">
        <v>9448</v>
      </c>
      <c r="T5190" s="1" t="s">
        <v>9449</v>
      </c>
      <c r="U5190" s="2" t="s">
        <v>572</v>
      </c>
      <c r="V5190" s="2" t="s">
        <v>47</v>
      </c>
      <c r="W5190" s="2" t="s">
        <v>71</v>
      </c>
      <c r="X5190" s="2">
        <v>1271.375</v>
      </c>
    </row>
    <row r="5191" spans="1:24" x14ac:dyDescent="0.3">
      <c r="A5191">
        <v>23023</v>
      </c>
      <c r="B5191" t="s">
        <v>11222</v>
      </c>
      <c r="C5191" s="3">
        <v>41750</v>
      </c>
      <c r="D5191" t="s">
        <v>62</v>
      </c>
      <c r="E5191">
        <v>5</v>
      </c>
      <c r="F5191" s="3">
        <f ca="1">41750+(RANDBETWEEN(1,10))</f>
        <v>41751</v>
      </c>
      <c r="G5191" t="s">
        <v>156</v>
      </c>
      <c r="H5191" t="s">
        <v>96</v>
      </c>
      <c r="I5191" t="s">
        <v>28</v>
      </c>
      <c r="J5191">
        <v>130.27000000000001</v>
      </c>
      <c r="K5191">
        <v>0.06</v>
      </c>
      <c r="L5191">
        <v>0.42</v>
      </c>
      <c r="M5191">
        <v>14</v>
      </c>
      <c r="N5191">
        <v>-18.032</v>
      </c>
      <c r="O5191" s="1" t="s">
        <v>53</v>
      </c>
      <c r="P5191" s="1" t="s">
        <v>9446</v>
      </c>
      <c r="Q5191" s="1" t="s">
        <v>9447</v>
      </c>
      <c r="R5191" s="1" t="s">
        <v>440</v>
      </c>
      <c r="S5191" s="1" t="s">
        <v>9448</v>
      </c>
      <c r="T5191" s="1" t="s">
        <v>9449</v>
      </c>
      <c r="U5191" s="2" t="s">
        <v>2801</v>
      </c>
      <c r="V5191" s="2" t="s">
        <v>83</v>
      </c>
      <c r="W5191" s="2" t="s">
        <v>178</v>
      </c>
      <c r="X5191" s="2">
        <v>26.565000000000001</v>
      </c>
    </row>
    <row r="5192" spans="1:24" x14ac:dyDescent="0.3">
      <c r="A5192">
        <v>23024</v>
      </c>
      <c r="B5192" t="s">
        <v>11223</v>
      </c>
      <c r="C5192" s="3">
        <v>41725</v>
      </c>
      <c r="D5192" t="s">
        <v>39</v>
      </c>
      <c r="E5192">
        <v>3</v>
      </c>
      <c r="F5192" s="3">
        <f ca="1">41726+(RANDBETWEEN(1,10))</f>
        <v>41729</v>
      </c>
      <c r="G5192" t="s">
        <v>26</v>
      </c>
      <c r="H5192" t="s">
        <v>27</v>
      </c>
      <c r="I5192" t="s">
        <v>97</v>
      </c>
      <c r="J5192">
        <v>309.78500000000003</v>
      </c>
      <c r="K5192">
        <v>0.08</v>
      </c>
      <c r="L5192">
        <v>0.42</v>
      </c>
      <c r="M5192">
        <v>29.925000000000001</v>
      </c>
      <c r="N5192">
        <v>213.75165000000001</v>
      </c>
      <c r="O5192" s="1" t="s">
        <v>40</v>
      </c>
      <c r="P5192" s="1" t="s">
        <v>3919</v>
      </c>
      <c r="Q5192" s="1" t="s">
        <v>3920</v>
      </c>
      <c r="R5192" s="1" t="s">
        <v>43</v>
      </c>
      <c r="S5192" s="1" t="s">
        <v>80</v>
      </c>
      <c r="T5192" s="1" t="s">
        <v>3921</v>
      </c>
      <c r="U5192" s="2" t="s">
        <v>2535</v>
      </c>
      <c r="V5192" s="2" t="s">
        <v>83</v>
      </c>
      <c r="W5192" s="2" t="s">
        <v>178</v>
      </c>
      <c r="X5192" s="2">
        <v>102.13</v>
      </c>
    </row>
    <row r="5193" spans="1:24" x14ac:dyDescent="0.3">
      <c r="A5193">
        <v>23025</v>
      </c>
      <c r="B5193" t="s">
        <v>11224</v>
      </c>
      <c r="C5193" s="3">
        <v>41058</v>
      </c>
      <c r="D5193" t="s">
        <v>39</v>
      </c>
      <c r="E5193">
        <v>13</v>
      </c>
      <c r="F5193" s="3">
        <f ca="1">41059+(RANDBETWEEN(1,10))</f>
        <v>41063</v>
      </c>
      <c r="G5193" t="s">
        <v>26</v>
      </c>
      <c r="H5193" t="s">
        <v>27</v>
      </c>
      <c r="I5193" t="s">
        <v>97</v>
      </c>
      <c r="J5193">
        <v>218.75</v>
      </c>
      <c r="K5193">
        <v>0.04</v>
      </c>
      <c r="L5193">
        <v>0.36</v>
      </c>
      <c r="M5193">
        <v>1.75</v>
      </c>
      <c r="N5193">
        <v>150.9375</v>
      </c>
      <c r="O5193" s="1" t="s">
        <v>40</v>
      </c>
      <c r="P5193" s="1" t="s">
        <v>10399</v>
      </c>
      <c r="Q5193" s="1" t="s">
        <v>10400</v>
      </c>
      <c r="R5193" s="1" t="s">
        <v>43</v>
      </c>
      <c r="S5193" s="1" t="s">
        <v>10401</v>
      </c>
      <c r="T5193" s="1" t="s">
        <v>10402</v>
      </c>
      <c r="U5193" s="2" t="s">
        <v>2281</v>
      </c>
      <c r="V5193" s="2" t="s">
        <v>47</v>
      </c>
      <c r="W5193" s="2" t="s">
        <v>203</v>
      </c>
      <c r="X5193" s="2">
        <v>17.184999999999999</v>
      </c>
    </row>
    <row r="5194" spans="1:24" x14ac:dyDescent="0.3">
      <c r="A5194">
        <v>23026</v>
      </c>
      <c r="B5194" t="s">
        <v>11224</v>
      </c>
      <c r="C5194" s="3">
        <v>41058</v>
      </c>
      <c r="D5194" t="s">
        <v>39</v>
      </c>
      <c r="E5194">
        <v>18</v>
      </c>
      <c r="F5194" s="3">
        <f ca="1">41060+(RANDBETWEEN(1,10))</f>
        <v>41070</v>
      </c>
      <c r="G5194" t="s">
        <v>26</v>
      </c>
      <c r="H5194" t="s">
        <v>96</v>
      </c>
      <c r="I5194" t="s">
        <v>97</v>
      </c>
      <c r="J5194">
        <v>4490.57</v>
      </c>
      <c r="K5194">
        <v>0.08</v>
      </c>
      <c r="L5194">
        <v>0.55000000000000004</v>
      </c>
      <c r="M5194">
        <v>3.4649999999999999</v>
      </c>
      <c r="N5194">
        <v>3098.4933000000001</v>
      </c>
      <c r="O5194" s="1" t="s">
        <v>40</v>
      </c>
      <c r="P5194" s="1" t="s">
        <v>10399</v>
      </c>
      <c r="Q5194" s="1" t="s">
        <v>10400</v>
      </c>
      <c r="R5194" s="1" t="s">
        <v>43</v>
      </c>
      <c r="S5194" s="1" t="s">
        <v>10401</v>
      </c>
      <c r="T5194" s="1" t="s">
        <v>10402</v>
      </c>
      <c r="U5194" s="2" t="s">
        <v>5311</v>
      </c>
      <c r="V5194" s="2" t="s">
        <v>36</v>
      </c>
      <c r="W5194" s="2" t="s">
        <v>37</v>
      </c>
      <c r="X5194" s="2">
        <v>300.96499999999997</v>
      </c>
    </row>
    <row r="5195" spans="1:24" x14ac:dyDescent="0.3">
      <c r="A5195">
        <v>23027</v>
      </c>
      <c r="B5195" t="s">
        <v>11225</v>
      </c>
      <c r="C5195" s="3">
        <v>41402</v>
      </c>
      <c r="D5195" t="s">
        <v>148</v>
      </c>
      <c r="E5195">
        <v>9</v>
      </c>
      <c r="F5195" s="3">
        <f ca="1">41403+(RANDBETWEEN(1,10))</f>
        <v>41410</v>
      </c>
      <c r="G5195" t="s">
        <v>26</v>
      </c>
      <c r="H5195" t="s">
        <v>27</v>
      </c>
      <c r="I5195" t="s">
        <v>86</v>
      </c>
      <c r="J5195">
        <v>315.56</v>
      </c>
      <c r="K5195">
        <v>0.06</v>
      </c>
      <c r="L5195">
        <v>0.37</v>
      </c>
      <c r="M5195">
        <v>4.8650000000000002</v>
      </c>
      <c r="N5195">
        <v>217.7364</v>
      </c>
      <c r="O5195" s="1" t="s">
        <v>87</v>
      </c>
      <c r="P5195" s="1" t="s">
        <v>4151</v>
      </c>
      <c r="Q5195" s="1" t="s">
        <v>4152</v>
      </c>
      <c r="R5195" s="1" t="s">
        <v>90</v>
      </c>
      <c r="S5195" s="1" t="s">
        <v>4153</v>
      </c>
      <c r="T5195" s="1" t="s">
        <v>4154</v>
      </c>
      <c r="U5195" s="2" t="s">
        <v>611</v>
      </c>
      <c r="V5195" s="2" t="s">
        <v>47</v>
      </c>
      <c r="W5195" s="2" t="s">
        <v>48</v>
      </c>
      <c r="X5195" s="2">
        <v>34.65</v>
      </c>
    </row>
    <row r="5196" spans="1:24" x14ac:dyDescent="0.3">
      <c r="A5196">
        <v>23028</v>
      </c>
      <c r="B5196" t="s">
        <v>11225</v>
      </c>
      <c r="C5196" s="3">
        <v>41402</v>
      </c>
      <c r="D5196" t="s">
        <v>148</v>
      </c>
      <c r="E5196">
        <v>19</v>
      </c>
      <c r="F5196" s="3">
        <f ca="1">41403+(RANDBETWEEN(1,10))</f>
        <v>41405</v>
      </c>
      <c r="G5196" t="s">
        <v>26</v>
      </c>
      <c r="H5196" t="s">
        <v>27</v>
      </c>
      <c r="I5196" t="s">
        <v>86</v>
      </c>
      <c r="J5196">
        <v>7152.915</v>
      </c>
      <c r="K5196">
        <v>7.0000000000000007E-2</v>
      </c>
      <c r="L5196">
        <v>0.56999999999999995</v>
      </c>
      <c r="M5196">
        <v>28.28</v>
      </c>
      <c r="N5196">
        <v>4935.5113499999998</v>
      </c>
      <c r="O5196" s="1" t="s">
        <v>40</v>
      </c>
      <c r="P5196" s="1" t="s">
        <v>11226</v>
      </c>
      <c r="Q5196" s="1" t="s">
        <v>11227</v>
      </c>
      <c r="R5196" s="1" t="s">
        <v>43</v>
      </c>
      <c r="S5196" s="1" t="s">
        <v>44</v>
      </c>
      <c r="T5196" s="1" t="s">
        <v>11228</v>
      </c>
      <c r="U5196" s="2" t="s">
        <v>1547</v>
      </c>
      <c r="V5196" s="2" t="s">
        <v>36</v>
      </c>
      <c r="W5196" s="2" t="s">
        <v>37</v>
      </c>
      <c r="X5196" s="2">
        <v>440.96499999999997</v>
      </c>
    </row>
    <row r="5197" spans="1:24" x14ac:dyDescent="0.3">
      <c r="A5197">
        <v>23029</v>
      </c>
      <c r="B5197" t="s">
        <v>11229</v>
      </c>
      <c r="C5197" s="3">
        <v>41783</v>
      </c>
      <c r="D5197" t="s">
        <v>39</v>
      </c>
      <c r="E5197">
        <v>6</v>
      </c>
      <c r="F5197" s="3">
        <f ca="1">41785+(RANDBETWEEN(1,10))</f>
        <v>41787</v>
      </c>
      <c r="G5197" t="s">
        <v>26</v>
      </c>
      <c r="H5197" t="s">
        <v>27</v>
      </c>
      <c r="I5197" t="s">
        <v>97</v>
      </c>
      <c r="J5197">
        <v>62.755000000000003</v>
      </c>
      <c r="K5197">
        <v>0.03</v>
      </c>
      <c r="L5197">
        <v>0.36</v>
      </c>
      <c r="M5197">
        <v>3.4649999999999999</v>
      </c>
      <c r="N5197">
        <v>158.55000000000001</v>
      </c>
      <c r="O5197" s="1" t="s">
        <v>64</v>
      </c>
      <c r="P5197" s="1" t="s">
        <v>4974</v>
      </c>
      <c r="Q5197" s="1" t="s">
        <v>4975</v>
      </c>
      <c r="R5197" s="1" t="s">
        <v>67</v>
      </c>
      <c r="S5197" s="1" t="s">
        <v>4976</v>
      </c>
      <c r="T5197" s="1" t="s">
        <v>4977</v>
      </c>
      <c r="U5197" s="2" t="s">
        <v>3527</v>
      </c>
      <c r="V5197" s="2" t="s">
        <v>47</v>
      </c>
      <c r="W5197" s="2" t="s">
        <v>203</v>
      </c>
      <c r="X5197" s="2">
        <v>10.08</v>
      </c>
    </row>
    <row r="5198" spans="1:24" x14ac:dyDescent="0.3">
      <c r="A5198">
        <v>23030</v>
      </c>
      <c r="B5198" t="s">
        <v>11230</v>
      </c>
      <c r="C5198" s="3">
        <v>41280</v>
      </c>
      <c r="D5198" t="s">
        <v>39</v>
      </c>
      <c r="E5198">
        <v>4</v>
      </c>
      <c r="F5198" s="3">
        <f ca="1">41282+(RANDBETWEEN(1,10))</f>
        <v>41284</v>
      </c>
      <c r="G5198" t="s">
        <v>76</v>
      </c>
      <c r="H5198" t="s">
        <v>258</v>
      </c>
      <c r="I5198" t="s">
        <v>28</v>
      </c>
      <c r="J5198">
        <v>5332.5649999999996</v>
      </c>
      <c r="K5198">
        <v>0.05</v>
      </c>
      <c r="L5198">
        <v>0.74</v>
      </c>
      <c r="M5198">
        <v>299.70499999999998</v>
      </c>
      <c r="N5198">
        <v>-3092.3632739999998</v>
      </c>
      <c r="O5198" s="1" t="s">
        <v>87</v>
      </c>
      <c r="P5198" s="1" t="s">
        <v>11231</v>
      </c>
      <c r="Q5198" s="1" t="s">
        <v>11232</v>
      </c>
      <c r="R5198" s="1" t="s">
        <v>646</v>
      </c>
      <c r="S5198" s="1" t="s">
        <v>9842</v>
      </c>
      <c r="T5198" s="1" t="s">
        <v>1427</v>
      </c>
      <c r="U5198" s="2" t="s">
        <v>3542</v>
      </c>
      <c r="V5198" s="2" t="s">
        <v>83</v>
      </c>
      <c r="W5198" s="2" t="s">
        <v>263</v>
      </c>
      <c r="X5198" s="2">
        <v>1316.4549999999999</v>
      </c>
    </row>
    <row r="5199" spans="1:24" x14ac:dyDescent="0.3">
      <c r="A5199">
        <v>23031</v>
      </c>
      <c r="B5199" t="s">
        <v>11233</v>
      </c>
      <c r="C5199" s="3">
        <v>41669</v>
      </c>
      <c r="D5199" t="s">
        <v>62</v>
      </c>
      <c r="E5199">
        <v>6</v>
      </c>
      <c r="F5199" s="3">
        <f ca="1">41669+(RANDBETWEEN(1,10))</f>
        <v>41673</v>
      </c>
      <c r="G5199" t="s">
        <v>156</v>
      </c>
      <c r="H5199" t="s">
        <v>51</v>
      </c>
      <c r="I5199" t="s">
        <v>28</v>
      </c>
      <c r="J5199">
        <v>330.19</v>
      </c>
      <c r="K5199">
        <v>0.08</v>
      </c>
      <c r="L5199">
        <v>0.64</v>
      </c>
      <c r="M5199">
        <v>31.465</v>
      </c>
      <c r="N5199">
        <v>-626.1318</v>
      </c>
      <c r="O5199" s="1" t="s">
        <v>225</v>
      </c>
      <c r="P5199" s="1" t="s">
        <v>9021</v>
      </c>
      <c r="Q5199" s="1" t="s">
        <v>9022</v>
      </c>
      <c r="R5199" s="1" t="s">
        <v>228</v>
      </c>
      <c r="S5199" s="1" t="s">
        <v>3239</v>
      </c>
      <c r="T5199" s="1" t="s">
        <v>3240</v>
      </c>
      <c r="U5199" s="2" t="s">
        <v>3697</v>
      </c>
      <c r="V5199" s="2" t="s">
        <v>36</v>
      </c>
      <c r="W5199" s="2" t="s">
        <v>60</v>
      </c>
      <c r="X5199" s="2">
        <v>55.93</v>
      </c>
    </row>
    <row r="5200" spans="1:24" x14ac:dyDescent="0.3">
      <c r="A5200">
        <v>23032</v>
      </c>
      <c r="B5200" t="s">
        <v>11234</v>
      </c>
      <c r="C5200" s="3">
        <v>41439</v>
      </c>
      <c r="D5200" t="s">
        <v>39</v>
      </c>
      <c r="E5200">
        <v>13</v>
      </c>
      <c r="F5200" s="3">
        <f ca="1">41439+(RANDBETWEEN(1,10))</f>
        <v>41446</v>
      </c>
      <c r="G5200" t="s">
        <v>26</v>
      </c>
      <c r="H5200" t="s">
        <v>51</v>
      </c>
      <c r="I5200" t="s">
        <v>28</v>
      </c>
      <c r="J5200">
        <v>512.12</v>
      </c>
      <c r="K5200">
        <v>0.06</v>
      </c>
      <c r="L5200">
        <v>0.56999999999999995</v>
      </c>
      <c r="M5200">
        <v>11.795</v>
      </c>
      <c r="N5200">
        <v>119.574</v>
      </c>
      <c r="O5200" s="1" t="s">
        <v>40</v>
      </c>
      <c r="P5200" s="1" t="s">
        <v>5150</v>
      </c>
      <c r="Q5200" s="1" t="s">
        <v>5151</v>
      </c>
      <c r="R5200" s="1" t="s">
        <v>43</v>
      </c>
      <c r="S5200" s="1" t="s">
        <v>5152</v>
      </c>
      <c r="T5200" s="1" t="s">
        <v>5153</v>
      </c>
      <c r="U5200" s="2" t="s">
        <v>5857</v>
      </c>
      <c r="V5200" s="2" t="s">
        <v>47</v>
      </c>
      <c r="W5200" s="2" t="s">
        <v>94</v>
      </c>
      <c r="X5200" s="2">
        <v>38.43</v>
      </c>
    </row>
    <row r="5201" spans="1:24" x14ac:dyDescent="0.3">
      <c r="A5201">
        <v>23033</v>
      </c>
      <c r="B5201" t="s">
        <v>11235</v>
      </c>
      <c r="C5201" s="3">
        <v>41054</v>
      </c>
      <c r="D5201" t="s">
        <v>39</v>
      </c>
      <c r="E5201">
        <v>11</v>
      </c>
      <c r="F5201" s="3">
        <f ca="1">41057+(RANDBETWEEN(1,10))</f>
        <v>41066</v>
      </c>
      <c r="G5201" t="s">
        <v>26</v>
      </c>
      <c r="H5201" t="s">
        <v>27</v>
      </c>
      <c r="I5201" t="s">
        <v>28</v>
      </c>
      <c r="J5201">
        <v>166.46</v>
      </c>
      <c r="K5201">
        <v>0.08</v>
      </c>
      <c r="L5201">
        <v>0.4</v>
      </c>
      <c r="M5201">
        <v>19.88</v>
      </c>
      <c r="N5201">
        <v>-352.13499999999999</v>
      </c>
      <c r="O5201" s="1" t="s">
        <v>29</v>
      </c>
      <c r="P5201" s="1" t="s">
        <v>10213</v>
      </c>
      <c r="Q5201" s="1" t="s">
        <v>10214</v>
      </c>
      <c r="R5201" s="1" t="s">
        <v>460</v>
      </c>
      <c r="S5201" s="1" t="s">
        <v>4673</v>
      </c>
      <c r="T5201" s="1" t="s">
        <v>4674</v>
      </c>
      <c r="U5201" s="2" t="s">
        <v>5040</v>
      </c>
      <c r="V5201" s="2" t="s">
        <v>47</v>
      </c>
      <c r="W5201" s="2" t="s">
        <v>74</v>
      </c>
      <c r="X5201" s="2">
        <v>14.98</v>
      </c>
    </row>
    <row r="5202" spans="1:24" x14ac:dyDescent="0.3">
      <c r="A5202">
        <v>23034</v>
      </c>
      <c r="B5202" t="s">
        <v>11236</v>
      </c>
      <c r="C5202" s="3">
        <v>41134</v>
      </c>
      <c r="D5202" t="s">
        <v>148</v>
      </c>
      <c r="E5202">
        <v>5</v>
      </c>
      <c r="F5202" s="3">
        <f ca="1">41135+(RANDBETWEEN(1,10))</f>
        <v>41144</v>
      </c>
      <c r="G5202" t="s">
        <v>26</v>
      </c>
      <c r="H5202" t="s">
        <v>27</v>
      </c>
      <c r="I5202" t="s">
        <v>28</v>
      </c>
      <c r="J5202">
        <v>772.31</v>
      </c>
      <c r="K5202">
        <v>0.03</v>
      </c>
      <c r="L5202">
        <v>0.36</v>
      </c>
      <c r="M5202">
        <v>61.18</v>
      </c>
      <c r="N5202">
        <v>253.19839999999999</v>
      </c>
      <c r="O5202" s="1" t="s">
        <v>29</v>
      </c>
      <c r="P5202" s="1" t="s">
        <v>6692</v>
      </c>
      <c r="Q5202" s="1" t="s">
        <v>6693</v>
      </c>
      <c r="R5202" s="1" t="s">
        <v>32</v>
      </c>
      <c r="S5202" s="1" t="s">
        <v>6694</v>
      </c>
      <c r="T5202" s="1" t="s">
        <v>6695</v>
      </c>
      <c r="U5202" s="2" t="s">
        <v>1688</v>
      </c>
      <c r="V5202" s="2" t="s">
        <v>47</v>
      </c>
      <c r="W5202" s="2" t="s">
        <v>74</v>
      </c>
      <c r="X5202" s="2">
        <v>143.465</v>
      </c>
    </row>
    <row r="5203" spans="1:24" x14ac:dyDescent="0.3">
      <c r="A5203">
        <v>23035</v>
      </c>
      <c r="B5203" t="s">
        <v>11236</v>
      </c>
      <c r="C5203" s="3">
        <v>41134</v>
      </c>
      <c r="D5203" t="s">
        <v>148</v>
      </c>
      <c r="E5203">
        <v>20</v>
      </c>
      <c r="F5203" s="3">
        <f ca="1">41136+(RANDBETWEEN(1,10))</f>
        <v>41145</v>
      </c>
      <c r="G5203" t="s">
        <v>26</v>
      </c>
      <c r="H5203" t="s">
        <v>96</v>
      </c>
      <c r="I5203" t="s">
        <v>28</v>
      </c>
      <c r="J5203">
        <v>251.47499999999999</v>
      </c>
      <c r="K5203">
        <v>0.08</v>
      </c>
      <c r="L5203">
        <v>0.39</v>
      </c>
      <c r="M5203">
        <v>7.7</v>
      </c>
      <c r="N5203">
        <v>-14.0322</v>
      </c>
      <c r="O5203" s="1" t="s">
        <v>29</v>
      </c>
      <c r="P5203" s="1" t="s">
        <v>11237</v>
      </c>
      <c r="Q5203" s="1" t="s">
        <v>11238</v>
      </c>
      <c r="R5203" s="1" t="s">
        <v>32</v>
      </c>
      <c r="S5203" s="1" t="s">
        <v>11239</v>
      </c>
      <c r="T5203" s="1" t="s">
        <v>11240</v>
      </c>
      <c r="U5203" s="2" t="s">
        <v>7440</v>
      </c>
      <c r="V5203" s="2" t="s">
        <v>47</v>
      </c>
      <c r="W5203" s="2" t="s">
        <v>74</v>
      </c>
      <c r="X5203" s="2">
        <v>12.6</v>
      </c>
    </row>
    <row r="5204" spans="1:24" x14ac:dyDescent="0.3">
      <c r="A5204">
        <v>23036</v>
      </c>
      <c r="B5204" t="s">
        <v>11241</v>
      </c>
      <c r="C5204" s="3">
        <v>41689</v>
      </c>
      <c r="D5204" t="s">
        <v>25</v>
      </c>
      <c r="E5204">
        <v>5</v>
      </c>
      <c r="F5204" s="3">
        <f ca="1">41694+(RANDBETWEEN(1,10))</f>
        <v>41701</v>
      </c>
      <c r="G5204" t="s">
        <v>156</v>
      </c>
      <c r="H5204" t="s">
        <v>96</v>
      </c>
      <c r="I5204" t="s">
        <v>28</v>
      </c>
      <c r="J5204">
        <v>32.725000000000001</v>
      </c>
      <c r="K5204">
        <v>0.09</v>
      </c>
      <c r="L5204">
        <v>0.59</v>
      </c>
      <c r="M5204">
        <v>5.4950000000000001</v>
      </c>
      <c r="N5204">
        <v>-60.13</v>
      </c>
      <c r="O5204" s="1" t="s">
        <v>87</v>
      </c>
      <c r="P5204" s="1" t="s">
        <v>11231</v>
      </c>
      <c r="Q5204" s="1" t="s">
        <v>11232</v>
      </c>
      <c r="R5204" s="1" t="s">
        <v>646</v>
      </c>
      <c r="S5204" s="1" t="s">
        <v>9842</v>
      </c>
      <c r="T5204" s="1" t="s">
        <v>1427</v>
      </c>
      <c r="U5204" s="2" t="s">
        <v>2439</v>
      </c>
      <c r="V5204" s="2" t="s">
        <v>47</v>
      </c>
      <c r="W5204" s="2" t="s">
        <v>104</v>
      </c>
      <c r="X5204" s="2">
        <v>5.88</v>
      </c>
    </row>
    <row r="5205" spans="1:24" x14ac:dyDescent="0.3">
      <c r="A5205">
        <v>23037</v>
      </c>
      <c r="B5205" t="s">
        <v>11242</v>
      </c>
      <c r="C5205" s="3">
        <v>41255</v>
      </c>
      <c r="D5205" t="s">
        <v>50</v>
      </c>
      <c r="E5205">
        <v>19</v>
      </c>
      <c r="F5205" s="3">
        <f ca="1">41257+(RANDBETWEEN(1,10))</f>
        <v>41263</v>
      </c>
      <c r="G5205" t="s">
        <v>26</v>
      </c>
      <c r="H5205" t="s">
        <v>27</v>
      </c>
      <c r="I5205" t="s">
        <v>86</v>
      </c>
      <c r="J5205">
        <v>399.315</v>
      </c>
      <c r="K5205">
        <v>0.06</v>
      </c>
      <c r="L5205">
        <v>0.36</v>
      </c>
      <c r="M5205">
        <v>26.74</v>
      </c>
      <c r="N5205">
        <v>-280.36750000000001</v>
      </c>
      <c r="O5205" s="1" t="s">
        <v>225</v>
      </c>
      <c r="P5205" s="1" t="s">
        <v>11243</v>
      </c>
      <c r="Q5205" s="1" t="s">
        <v>11244</v>
      </c>
      <c r="R5205" s="1" t="s">
        <v>228</v>
      </c>
      <c r="S5205" s="1" t="s">
        <v>11245</v>
      </c>
      <c r="T5205" s="1" t="s">
        <v>5837</v>
      </c>
      <c r="U5205" s="2" t="s">
        <v>3201</v>
      </c>
      <c r="V5205" s="2" t="s">
        <v>47</v>
      </c>
      <c r="W5205" s="2" t="s">
        <v>74</v>
      </c>
      <c r="X5205" s="2">
        <v>20.23</v>
      </c>
    </row>
    <row r="5206" spans="1:24" x14ac:dyDescent="0.3">
      <c r="A5206">
        <v>23038</v>
      </c>
      <c r="B5206" t="s">
        <v>11246</v>
      </c>
      <c r="C5206" s="3">
        <v>41985</v>
      </c>
      <c r="D5206" t="s">
        <v>50</v>
      </c>
      <c r="E5206">
        <v>23</v>
      </c>
      <c r="F5206" s="3">
        <f ca="1">41986+(RANDBETWEEN(1,10))</f>
        <v>41991</v>
      </c>
      <c r="G5206" t="s">
        <v>156</v>
      </c>
      <c r="H5206" t="s">
        <v>27</v>
      </c>
      <c r="I5206" t="s">
        <v>86</v>
      </c>
      <c r="J5206">
        <v>946.82</v>
      </c>
      <c r="K5206">
        <v>0.1</v>
      </c>
      <c r="L5206">
        <v>0.57999999999999996</v>
      </c>
      <c r="M5206">
        <v>16.835000000000001</v>
      </c>
      <c r="N5206">
        <v>-35.597520000000003</v>
      </c>
      <c r="O5206" s="1" t="s">
        <v>225</v>
      </c>
      <c r="P5206" s="1" t="s">
        <v>11243</v>
      </c>
      <c r="Q5206" s="1" t="s">
        <v>11244</v>
      </c>
      <c r="R5206" s="1" t="s">
        <v>228</v>
      </c>
      <c r="S5206" s="1" t="s">
        <v>11245</v>
      </c>
      <c r="T5206" s="1" t="s">
        <v>5837</v>
      </c>
      <c r="U5206" s="2" t="s">
        <v>5691</v>
      </c>
      <c r="V5206" s="2" t="s">
        <v>47</v>
      </c>
      <c r="W5206" s="2" t="s">
        <v>119</v>
      </c>
      <c r="X5206" s="2">
        <v>42.734999999999999</v>
      </c>
    </row>
    <row r="5207" spans="1:24" x14ac:dyDescent="0.3">
      <c r="A5207">
        <v>23039</v>
      </c>
      <c r="B5207" t="s">
        <v>11247</v>
      </c>
      <c r="C5207" s="3">
        <v>41237</v>
      </c>
      <c r="D5207" t="s">
        <v>39</v>
      </c>
      <c r="E5207">
        <v>24</v>
      </c>
      <c r="F5207" s="3">
        <f ca="1">41238+(RANDBETWEEN(1,10))</f>
        <v>41243</v>
      </c>
      <c r="G5207" t="s">
        <v>156</v>
      </c>
      <c r="H5207" t="s">
        <v>51</v>
      </c>
      <c r="I5207" t="s">
        <v>28</v>
      </c>
      <c r="J5207">
        <v>2644.4949999999999</v>
      </c>
      <c r="K5207">
        <v>0.02</v>
      </c>
      <c r="L5207">
        <v>0.39</v>
      </c>
      <c r="M5207">
        <v>11.55</v>
      </c>
      <c r="N5207">
        <v>-933.00900000000001</v>
      </c>
      <c r="O5207" s="1" t="s">
        <v>225</v>
      </c>
      <c r="P5207" s="1" t="s">
        <v>11248</v>
      </c>
      <c r="Q5207" s="1" t="s">
        <v>11249</v>
      </c>
      <c r="R5207" s="1" t="s">
        <v>228</v>
      </c>
      <c r="S5207" s="1" t="s">
        <v>11250</v>
      </c>
      <c r="T5207" s="1" t="s">
        <v>11251</v>
      </c>
      <c r="U5207" s="2" t="s">
        <v>5976</v>
      </c>
      <c r="V5207" s="2" t="s">
        <v>36</v>
      </c>
      <c r="W5207" s="2" t="s">
        <v>37</v>
      </c>
      <c r="X5207" s="2">
        <v>125.965</v>
      </c>
    </row>
    <row r="5208" spans="1:24" x14ac:dyDescent="0.3">
      <c r="A5208">
        <v>23040</v>
      </c>
      <c r="B5208" t="s">
        <v>11247</v>
      </c>
      <c r="C5208" s="3">
        <v>41237</v>
      </c>
      <c r="D5208" t="s">
        <v>39</v>
      </c>
      <c r="E5208">
        <v>21</v>
      </c>
      <c r="F5208" s="3">
        <f ca="1">41239+(RANDBETWEEN(1,10))</f>
        <v>41246</v>
      </c>
      <c r="G5208" t="s">
        <v>26</v>
      </c>
      <c r="H5208" t="s">
        <v>27</v>
      </c>
      <c r="I5208" t="s">
        <v>28</v>
      </c>
      <c r="J5208">
        <v>475.44</v>
      </c>
      <c r="K5208">
        <v>0.09</v>
      </c>
      <c r="L5208">
        <v>0.37</v>
      </c>
      <c r="M5208">
        <v>29.4</v>
      </c>
      <c r="N5208">
        <v>2552.0880000000002</v>
      </c>
      <c r="O5208" s="1" t="s">
        <v>87</v>
      </c>
      <c r="P5208" s="1" t="s">
        <v>11252</v>
      </c>
      <c r="Q5208" s="1" t="s">
        <v>11253</v>
      </c>
      <c r="R5208" s="1" t="s">
        <v>646</v>
      </c>
      <c r="S5208" s="1" t="s">
        <v>11254</v>
      </c>
      <c r="T5208" s="1" t="s">
        <v>11255</v>
      </c>
      <c r="U5208" s="2" t="s">
        <v>2097</v>
      </c>
      <c r="V5208" s="2" t="s">
        <v>47</v>
      </c>
      <c r="W5208" s="2" t="s">
        <v>74</v>
      </c>
      <c r="X5208" s="2">
        <v>22.68</v>
      </c>
    </row>
    <row r="5209" spans="1:24" x14ac:dyDescent="0.3">
      <c r="A5209">
        <v>23041</v>
      </c>
      <c r="B5209" t="s">
        <v>11247</v>
      </c>
      <c r="C5209" s="3">
        <v>41237</v>
      </c>
      <c r="D5209" t="s">
        <v>39</v>
      </c>
      <c r="E5209">
        <v>31</v>
      </c>
      <c r="F5209" s="3">
        <f ca="1">41239+(RANDBETWEEN(1,10))</f>
        <v>41241</v>
      </c>
      <c r="G5209" t="s">
        <v>26</v>
      </c>
      <c r="H5209" t="s">
        <v>51</v>
      </c>
      <c r="I5209" t="s">
        <v>28</v>
      </c>
      <c r="J5209">
        <v>1989.33</v>
      </c>
      <c r="K5209">
        <v>0.05</v>
      </c>
      <c r="L5209">
        <v>0.83</v>
      </c>
      <c r="M5209">
        <v>4.375</v>
      </c>
      <c r="N5209">
        <v>169.53299999999999</v>
      </c>
      <c r="O5209" s="1" t="s">
        <v>87</v>
      </c>
      <c r="P5209" s="1" t="s">
        <v>11252</v>
      </c>
      <c r="Q5209" s="1" t="s">
        <v>11253</v>
      </c>
      <c r="R5209" s="1" t="s">
        <v>646</v>
      </c>
      <c r="S5209" s="1" t="s">
        <v>11254</v>
      </c>
      <c r="T5209" s="1" t="s">
        <v>11255</v>
      </c>
      <c r="U5209" s="2" t="s">
        <v>3952</v>
      </c>
      <c r="V5209" s="2" t="s">
        <v>36</v>
      </c>
      <c r="W5209" s="2" t="s">
        <v>37</v>
      </c>
      <c r="X5209" s="2">
        <v>73.465000000000003</v>
      </c>
    </row>
    <row r="5210" spans="1:24" x14ac:dyDescent="0.3">
      <c r="A5210">
        <v>23042</v>
      </c>
      <c r="B5210" t="s">
        <v>11256</v>
      </c>
      <c r="C5210" s="3">
        <v>40564</v>
      </c>
      <c r="D5210" t="s">
        <v>148</v>
      </c>
      <c r="E5210">
        <v>10</v>
      </c>
      <c r="F5210" s="3">
        <f ca="1">40565+(RANDBETWEEN(1,10))</f>
        <v>40574</v>
      </c>
      <c r="G5210" t="s">
        <v>26</v>
      </c>
      <c r="H5210" t="s">
        <v>27</v>
      </c>
      <c r="I5210" t="s">
        <v>28</v>
      </c>
      <c r="J5210">
        <v>266.56</v>
      </c>
      <c r="K5210">
        <v>0.08</v>
      </c>
      <c r="L5210">
        <v>0.35</v>
      </c>
      <c r="M5210">
        <v>16.484999999999999</v>
      </c>
      <c r="N5210">
        <v>-45.068730000000002</v>
      </c>
      <c r="O5210" s="1" t="s">
        <v>40</v>
      </c>
      <c r="P5210" s="1" t="s">
        <v>10193</v>
      </c>
      <c r="Q5210" s="1" t="s">
        <v>10194</v>
      </c>
      <c r="R5210" s="1" t="s">
        <v>43</v>
      </c>
      <c r="S5210" s="1" t="s">
        <v>10195</v>
      </c>
      <c r="T5210" s="1" t="s">
        <v>10196</v>
      </c>
      <c r="U5210" s="2" t="s">
        <v>2245</v>
      </c>
      <c r="V5210" s="2" t="s">
        <v>47</v>
      </c>
      <c r="W5210" s="2" t="s">
        <v>111</v>
      </c>
      <c r="X5210" s="2">
        <v>27.44</v>
      </c>
    </row>
    <row r="5211" spans="1:24" x14ac:dyDescent="0.3">
      <c r="A5211">
        <v>23043</v>
      </c>
      <c r="B5211" t="s">
        <v>11256</v>
      </c>
      <c r="C5211" s="3">
        <v>40564</v>
      </c>
      <c r="D5211" t="s">
        <v>148</v>
      </c>
      <c r="E5211">
        <v>10</v>
      </c>
      <c r="F5211" s="3">
        <f ca="1">40565+(RANDBETWEEN(1,10))</f>
        <v>40569</v>
      </c>
      <c r="G5211" t="s">
        <v>26</v>
      </c>
      <c r="H5211" t="s">
        <v>63</v>
      </c>
      <c r="I5211" t="s">
        <v>28</v>
      </c>
      <c r="J5211">
        <v>3633.49</v>
      </c>
      <c r="K5211">
        <v>0.03</v>
      </c>
      <c r="L5211">
        <v>0.61</v>
      </c>
      <c r="M5211">
        <v>85.715000000000003</v>
      </c>
      <c r="N5211">
        <v>2163.4578000000001</v>
      </c>
      <c r="O5211" s="1" t="s">
        <v>40</v>
      </c>
      <c r="P5211" s="1" t="s">
        <v>10193</v>
      </c>
      <c r="Q5211" s="1" t="s">
        <v>10194</v>
      </c>
      <c r="R5211" s="1" t="s">
        <v>43</v>
      </c>
      <c r="S5211" s="1" t="s">
        <v>10195</v>
      </c>
      <c r="T5211" s="1" t="s">
        <v>10196</v>
      </c>
      <c r="U5211" s="2" t="s">
        <v>4335</v>
      </c>
      <c r="V5211" s="2" t="s">
        <v>83</v>
      </c>
      <c r="W5211" s="2" t="s">
        <v>178</v>
      </c>
      <c r="X5211" s="2">
        <v>368.69</v>
      </c>
    </row>
    <row r="5212" spans="1:24" x14ac:dyDescent="0.3">
      <c r="A5212">
        <v>23044</v>
      </c>
      <c r="B5212" t="s">
        <v>11257</v>
      </c>
      <c r="C5212" s="3">
        <v>41960</v>
      </c>
      <c r="D5212" t="s">
        <v>50</v>
      </c>
      <c r="E5212">
        <v>5</v>
      </c>
      <c r="F5212" s="3">
        <f ca="1">41962+(RANDBETWEEN(1,10))</f>
        <v>41969</v>
      </c>
      <c r="G5212" t="s">
        <v>76</v>
      </c>
      <c r="H5212" t="s">
        <v>77</v>
      </c>
      <c r="I5212" t="s">
        <v>28</v>
      </c>
      <c r="J5212">
        <v>5164.53</v>
      </c>
      <c r="K5212">
        <v>0.05</v>
      </c>
      <c r="L5212">
        <v>0.78</v>
      </c>
      <c r="M5212">
        <v>199.5</v>
      </c>
      <c r="N5212">
        <v>727.95799999999997</v>
      </c>
      <c r="O5212" s="1" t="s">
        <v>40</v>
      </c>
      <c r="P5212" s="1" t="s">
        <v>538</v>
      </c>
      <c r="Q5212" s="1" t="s">
        <v>539</v>
      </c>
      <c r="R5212" s="1" t="s">
        <v>43</v>
      </c>
      <c r="S5212" s="1" t="s">
        <v>540</v>
      </c>
      <c r="T5212" s="1" t="s">
        <v>541</v>
      </c>
      <c r="U5212" s="2" t="s">
        <v>3811</v>
      </c>
      <c r="V5212" s="2" t="s">
        <v>83</v>
      </c>
      <c r="W5212" s="2" t="s">
        <v>84</v>
      </c>
      <c r="X5212" s="2">
        <v>983.43</v>
      </c>
    </row>
    <row r="5213" spans="1:24" x14ac:dyDescent="0.3">
      <c r="A5213">
        <v>23045</v>
      </c>
      <c r="B5213" t="s">
        <v>11257</v>
      </c>
      <c r="C5213" s="3">
        <v>41960</v>
      </c>
      <c r="D5213" t="s">
        <v>50</v>
      </c>
      <c r="E5213">
        <v>43</v>
      </c>
      <c r="F5213" s="3">
        <f ca="1">41961+(RANDBETWEEN(1,10))</f>
        <v>41963</v>
      </c>
      <c r="G5213" t="s">
        <v>26</v>
      </c>
      <c r="H5213" t="s">
        <v>27</v>
      </c>
      <c r="I5213" t="s">
        <v>28</v>
      </c>
      <c r="J5213">
        <v>1970.08</v>
      </c>
      <c r="K5213">
        <v>0.09</v>
      </c>
      <c r="L5213">
        <v>0.56000000000000005</v>
      </c>
      <c r="M5213">
        <v>32.795000000000002</v>
      </c>
      <c r="N5213">
        <v>368.03088000000002</v>
      </c>
      <c r="O5213" s="1" t="s">
        <v>40</v>
      </c>
      <c r="P5213" s="1" t="s">
        <v>538</v>
      </c>
      <c r="Q5213" s="1" t="s">
        <v>539</v>
      </c>
      <c r="R5213" s="1" t="s">
        <v>43</v>
      </c>
      <c r="S5213" s="1" t="s">
        <v>540</v>
      </c>
      <c r="T5213" s="1" t="s">
        <v>541</v>
      </c>
      <c r="U5213" s="2" t="s">
        <v>2863</v>
      </c>
      <c r="V5213" s="2" t="s">
        <v>47</v>
      </c>
      <c r="W5213" s="2" t="s">
        <v>119</v>
      </c>
      <c r="X5213" s="2">
        <v>49.104999999999997</v>
      </c>
    </row>
    <row r="5214" spans="1:24" x14ac:dyDescent="0.3">
      <c r="A5214">
        <v>23046</v>
      </c>
      <c r="B5214" t="s">
        <v>11258</v>
      </c>
      <c r="C5214" s="3">
        <v>41056</v>
      </c>
      <c r="D5214" t="s">
        <v>62</v>
      </c>
      <c r="E5214">
        <v>17</v>
      </c>
      <c r="F5214" s="3">
        <f ca="1">41059+(RANDBETWEEN(1,10))</f>
        <v>41061</v>
      </c>
      <c r="G5214" t="s">
        <v>26</v>
      </c>
      <c r="H5214" t="s">
        <v>27</v>
      </c>
      <c r="I5214" t="s">
        <v>52</v>
      </c>
      <c r="J5214">
        <v>172.97</v>
      </c>
      <c r="K5214">
        <v>0.03</v>
      </c>
      <c r="L5214">
        <v>0.36</v>
      </c>
      <c r="M5214">
        <v>18.655000000000001</v>
      </c>
      <c r="N5214">
        <v>-352.72062</v>
      </c>
      <c r="O5214" s="1" t="s">
        <v>87</v>
      </c>
      <c r="P5214" s="1" t="s">
        <v>9026</v>
      </c>
      <c r="Q5214" s="1" t="s">
        <v>9027</v>
      </c>
      <c r="R5214" s="1" t="s">
        <v>398</v>
      </c>
      <c r="S5214" s="1" t="s">
        <v>9028</v>
      </c>
      <c r="T5214" s="1" t="s">
        <v>9029</v>
      </c>
      <c r="U5214" s="2" t="s">
        <v>9423</v>
      </c>
      <c r="V5214" s="2" t="s">
        <v>47</v>
      </c>
      <c r="W5214" s="2" t="s">
        <v>203</v>
      </c>
      <c r="X5214" s="2">
        <v>10.08</v>
      </c>
    </row>
    <row r="5215" spans="1:24" x14ac:dyDescent="0.3">
      <c r="A5215">
        <v>23047</v>
      </c>
      <c r="B5215" t="s">
        <v>11259</v>
      </c>
      <c r="C5215" s="3">
        <v>41701</v>
      </c>
      <c r="D5215" t="s">
        <v>50</v>
      </c>
      <c r="E5215">
        <v>5</v>
      </c>
      <c r="F5215" s="3">
        <f ca="1">41703+(RANDBETWEEN(1,10))</f>
        <v>41706</v>
      </c>
      <c r="G5215" t="s">
        <v>26</v>
      </c>
      <c r="H5215" t="s">
        <v>27</v>
      </c>
      <c r="I5215" t="s">
        <v>28</v>
      </c>
      <c r="J5215">
        <v>117.67</v>
      </c>
      <c r="K5215">
        <v>0.05</v>
      </c>
      <c r="L5215">
        <v>0.36</v>
      </c>
      <c r="M5215">
        <v>24.395</v>
      </c>
      <c r="N5215">
        <v>-260.53825000000001</v>
      </c>
      <c r="O5215" s="1" t="s">
        <v>225</v>
      </c>
      <c r="P5215" s="1" t="s">
        <v>8308</v>
      </c>
      <c r="Q5215" s="1" t="s">
        <v>8309</v>
      </c>
      <c r="R5215" s="1" t="s">
        <v>228</v>
      </c>
      <c r="S5215" s="1" t="s">
        <v>8310</v>
      </c>
      <c r="T5215" s="1" t="s">
        <v>8311</v>
      </c>
      <c r="U5215" s="2" t="s">
        <v>9581</v>
      </c>
      <c r="V5215" s="2" t="s">
        <v>47</v>
      </c>
      <c r="W5215" s="2" t="s">
        <v>111</v>
      </c>
      <c r="X5215" s="2">
        <v>21.805</v>
      </c>
    </row>
    <row r="5216" spans="1:24" x14ac:dyDescent="0.3">
      <c r="A5216">
        <v>23048</v>
      </c>
      <c r="B5216" t="s">
        <v>11260</v>
      </c>
      <c r="C5216" s="3">
        <v>41361</v>
      </c>
      <c r="D5216" t="s">
        <v>25</v>
      </c>
      <c r="E5216">
        <v>13</v>
      </c>
      <c r="F5216" s="3">
        <f ca="1">41363+(RANDBETWEEN(1,10))</f>
        <v>41369</v>
      </c>
      <c r="G5216" t="s">
        <v>26</v>
      </c>
      <c r="H5216" t="s">
        <v>27</v>
      </c>
      <c r="I5216" t="s">
        <v>97</v>
      </c>
      <c r="J5216">
        <v>1050.3499999999999</v>
      </c>
      <c r="K5216">
        <v>0.05</v>
      </c>
      <c r="L5216">
        <v>0.38</v>
      </c>
      <c r="M5216">
        <v>52.85</v>
      </c>
      <c r="N5216">
        <v>-274.26350000000002</v>
      </c>
      <c r="O5216" s="1" t="s">
        <v>40</v>
      </c>
      <c r="P5216" s="1" t="s">
        <v>5465</v>
      </c>
      <c r="Q5216" s="1" t="s">
        <v>5466</v>
      </c>
      <c r="R5216" s="1" t="s">
        <v>43</v>
      </c>
      <c r="S5216" s="1" t="s">
        <v>5467</v>
      </c>
      <c r="T5216" s="1" t="s">
        <v>5468</v>
      </c>
      <c r="U5216" s="2" t="s">
        <v>2602</v>
      </c>
      <c r="V5216" s="2" t="s">
        <v>47</v>
      </c>
      <c r="W5216" s="2" t="s">
        <v>111</v>
      </c>
      <c r="X5216" s="2">
        <v>78.33</v>
      </c>
    </row>
    <row r="5217" spans="1:24" x14ac:dyDescent="0.3">
      <c r="A5217">
        <v>23049</v>
      </c>
      <c r="B5217" t="s">
        <v>11260</v>
      </c>
      <c r="C5217" s="3">
        <v>41361</v>
      </c>
      <c r="D5217" t="s">
        <v>25</v>
      </c>
      <c r="E5217">
        <v>13</v>
      </c>
      <c r="F5217" s="3">
        <f ca="1">41365+(RANDBETWEEN(1,10))</f>
        <v>41370</v>
      </c>
      <c r="G5217" t="s">
        <v>26</v>
      </c>
      <c r="H5217" t="s">
        <v>27</v>
      </c>
      <c r="I5217" t="s">
        <v>97</v>
      </c>
      <c r="J5217">
        <v>546.38499999999999</v>
      </c>
      <c r="K5217">
        <v>0.09</v>
      </c>
      <c r="L5217">
        <v>0.4</v>
      </c>
      <c r="M5217">
        <v>17.43</v>
      </c>
      <c r="N5217">
        <v>181.38575</v>
      </c>
      <c r="O5217" s="1" t="s">
        <v>87</v>
      </c>
      <c r="P5217" s="1" t="s">
        <v>11261</v>
      </c>
      <c r="Q5217" s="1" t="s">
        <v>11262</v>
      </c>
      <c r="R5217" s="1" t="s">
        <v>90</v>
      </c>
      <c r="S5217" s="1" t="s">
        <v>8998</v>
      </c>
      <c r="T5217" s="1" t="s">
        <v>8999</v>
      </c>
      <c r="U5217" s="2" t="s">
        <v>856</v>
      </c>
      <c r="V5217" s="2" t="s">
        <v>47</v>
      </c>
      <c r="W5217" s="2" t="s">
        <v>111</v>
      </c>
      <c r="X5217" s="2">
        <v>45.325000000000003</v>
      </c>
    </row>
    <row r="5218" spans="1:24" x14ac:dyDescent="0.3">
      <c r="A5218">
        <v>23050</v>
      </c>
      <c r="B5218" t="s">
        <v>11263</v>
      </c>
      <c r="C5218" s="3">
        <v>41213</v>
      </c>
      <c r="D5218" t="s">
        <v>148</v>
      </c>
      <c r="E5218">
        <v>18</v>
      </c>
      <c r="F5218" s="3">
        <f ca="1">41215+(RANDBETWEEN(1,10))</f>
        <v>41222</v>
      </c>
      <c r="G5218" t="s">
        <v>26</v>
      </c>
      <c r="H5218" t="s">
        <v>27</v>
      </c>
      <c r="I5218" t="s">
        <v>52</v>
      </c>
      <c r="J5218">
        <v>326.69</v>
      </c>
      <c r="K5218">
        <v>0.04</v>
      </c>
      <c r="L5218">
        <v>0.36</v>
      </c>
      <c r="M5218">
        <v>19.88</v>
      </c>
      <c r="N5218">
        <v>10956.260700000001</v>
      </c>
      <c r="O5218" s="1" t="s">
        <v>64</v>
      </c>
      <c r="P5218" s="1" t="s">
        <v>10187</v>
      </c>
      <c r="Q5218" s="1" t="s">
        <v>10188</v>
      </c>
      <c r="R5218" s="1" t="s">
        <v>128</v>
      </c>
      <c r="S5218" s="1" t="s">
        <v>10189</v>
      </c>
      <c r="T5218" s="1" t="s">
        <v>10190</v>
      </c>
      <c r="U5218" s="2" t="s">
        <v>4013</v>
      </c>
      <c r="V5218" s="2" t="s">
        <v>47</v>
      </c>
      <c r="W5218" s="2" t="s">
        <v>111</v>
      </c>
      <c r="X5218" s="2">
        <v>17.184999999999999</v>
      </c>
    </row>
    <row r="5219" spans="1:24" x14ac:dyDescent="0.3">
      <c r="A5219">
        <v>23051</v>
      </c>
      <c r="B5219" t="s">
        <v>11263</v>
      </c>
      <c r="C5219" s="3">
        <v>41213</v>
      </c>
      <c r="D5219" t="s">
        <v>148</v>
      </c>
      <c r="E5219">
        <v>22</v>
      </c>
      <c r="F5219" s="3">
        <f ca="1">41215+(RANDBETWEEN(1,10))</f>
        <v>41220</v>
      </c>
      <c r="G5219" t="s">
        <v>26</v>
      </c>
      <c r="H5219" t="s">
        <v>27</v>
      </c>
      <c r="I5219" t="s">
        <v>52</v>
      </c>
      <c r="J5219">
        <v>1654.17</v>
      </c>
      <c r="K5219">
        <v>0.01</v>
      </c>
      <c r="L5219">
        <v>0.38</v>
      </c>
      <c r="M5219">
        <v>20.195</v>
      </c>
      <c r="N5219">
        <v>-927.71699999999998</v>
      </c>
      <c r="O5219" s="1" t="s">
        <v>64</v>
      </c>
      <c r="P5219" s="1" t="s">
        <v>10187</v>
      </c>
      <c r="Q5219" s="1" t="s">
        <v>10188</v>
      </c>
      <c r="R5219" s="1" t="s">
        <v>128</v>
      </c>
      <c r="S5219" s="1" t="s">
        <v>10189</v>
      </c>
      <c r="T5219" s="1" t="s">
        <v>10190</v>
      </c>
      <c r="U5219" s="2" t="s">
        <v>5065</v>
      </c>
      <c r="V5219" s="2" t="s">
        <v>47</v>
      </c>
      <c r="W5219" s="2" t="s">
        <v>74</v>
      </c>
      <c r="X5219" s="2">
        <v>69.930000000000007</v>
      </c>
    </row>
    <row r="5220" spans="1:24" x14ac:dyDescent="0.3">
      <c r="A5220">
        <v>23052</v>
      </c>
      <c r="B5220" t="s">
        <v>11264</v>
      </c>
      <c r="C5220" s="3">
        <v>41169</v>
      </c>
      <c r="D5220" t="s">
        <v>25</v>
      </c>
      <c r="E5220">
        <v>1</v>
      </c>
      <c r="F5220" s="3">
        <f ca="1">41173+(RANDBETWEEN(1,10))</f>
        <v>41180</v>
      </c>
      <c r="G5220" t="s">
        <v>156</v>
      </c>
      <c r="H5220" t="s">
        <v>27</v>
      </c>
      <c r="I5220" t="s">
        <v>86</v>
      </c>
      <c r="J5220">
        <v>103.77500000000001</v>
      </c>
      <c r="K5220">
        <v>0.05</v>
      </c>
      <c r="L5220">
        <v>0.56999999999999995</v>
      </c>
      <c r="M5220">
        <v>26.914999999999999</v>
      </c>
      <c r="N5220">
        <v>-57.89</v>
      </c>
      <c r="O5220" s="1" t="s">
        <v>40</v>
      </c>
      <c r="P5220" s="1" t="s">
        <v>11265</v>
      </c>
      <c r="Q5220" s="1" t="s">
        <v>11266</v>
      </c>
      <c r="R5220" s="1" t="s">
        <v>43</v>
      </c>
      <c r="S5220" s="1" t="s">
        <v>2884</v>
      </c>
      <c r="T5220" s="1" t="s">
        <v>2885</v>
      </c>
      <c r="U5220" s="2" t="s">
        <v>3304</v>
      </c>
      <c r="V5220" s="2" t="s">
        <v>47</v>
      </c>
      <c r="W5220" s="2" t="s">
        <v>119</v>
      </c>
      <c r="X5220" s="2">
        <v>52.43</v>
      </c>
    </row>
    <row r="5221" spans="1:24" x14ac:dyDescent="0.3">
      <c r="A5221">
        <v>23053</v>
      </c>
      <c r="B5221" t="s">
        <v>11267</v>
      </c>
      <c r="C5221" s="3">
        <v>40896</v>
      </c>
      <c r="D5221" t="s">
        <v>50</v>
      </c>
      <c r="E5221">
        <v>7</v>
      </c>
      <c r="F5221" s="3">
        <f ca="1">40896+(RANDBETWEEN(1,10))</f>
        <v>40902</v>
      </c>
      <c r="G5221" t="s">
        <v>156</v>
      </c>
      <c r="H5221" t="s">
        <v>51</v>
      </c>
      <c r="I5221" t="s">
        <v>86</v>
      </c>
      <c r="J5221">
        <v>135.59</v>
      </c>
      <c r="K5221">
        <v>0.06</v>
      </c>
      <c r="L5221">
        <v>0.64</v>
      </c>
      <c r="M5221">
        <v>16.170000000000002</v>
      </c>
      <c r="N5221">
        <v>-94.517499999999998</v>
      </c>
      <c r="O5221" s="1" t="s">
        <v>29</v>
      </c>
      <c r="P5221" s="1" t="s">
        <v>11268</v>
      </c>
      <c r="Q5221" s="1" t="s">
        <v>11269</v>
      </c>
      <c r="R5221" s="1" t="s">
        <v>32</v>
      </c>
      <c r="S5221" s="1" t="s">
        <v>8845</v>
      </c>
      <c r="T5221" s="1" t="s">
        <v>8846</v>
      </c>
      <c r="U5221" s="2" t="s">
        <v>505</v>
      </c>
      <c r="V5221" s="2" t="s">
        <v>36</v>
      </c>
      <c r="W5221" s="2" t="s">
        <v>60</v>
      </c>
      <c r="X5221" s="2">
        <v>17.43</v>
      </c>
    </row>
    <row r="5222" spans="1:24" x14ac:dyDescent="0.3">
      <c r="A5222">
        <v>23054</v>
      </c>
      <c r="B5222" t="s">
        <v>11270</v>
      </c>
      <c r="C5222" s="3">
        <v>41928</v>
      </c>
      <c r="D5222" t="s">
        <v>39</v>
      </c>
      <c r="E5222">
        <v>5</v>
      </c>
      <c r="F5222" s="3">
        <f ca="1">41930+(RANDBETWEEN(1,10))</f>
        <v>41936</v>
      </c>
      <c r="G5222" t="s">
        <v>26</v>
      </c>
      <c r="H5222" t="s">
        <v>96</v>
      </c>
      <c r="I5222" t="s">
        <v>52</v>
      </c>
      <c r="J5222">
        <v>33.880000000000003</v>
      </c>
      <c r="K5222">
        <v>0</v>
      </c>
      <c r="L5222">
        <v>0.56000000000000005</v>
      </c>
      <c r="M5222">
        <v>2.4500000000000002</v>
      </c>
      <c r="N5222">
        <v>-3.57</v>
      </c>
      <c r="O5222" s="1" t="s">
        <v>87</v>
      </c>
      <c r="P5222" s="1" t="s">
        <v>6878</v>
      </c>
      <c r="Q5222" s="1" t="s">
        <v>6879</v>
      </c>
      <c r="R5222" s="1" t="s">
        <v>90</v>
      </c>
      <c r="S5222" s="1" t="s">
        <v>6880</v>
      </c>
      <c r="T5222" s="1" t="s">
        <v>6231</v>
      </c>
      <c r="U5222" s="2" t="s">
        <v>873</v>
      </c>
      <c r="V5222" s="2" t="s">
        <v>47</v>
      </c>
      <c r="W5222" s="2" t="s">
        <v>104</v>
      </c>
      <c r="X5222" s="2">
        <v>6.16</v>
      </c>
    </row>
    <row r="5223" spans="1:24" x14ac:dyDescent="0.3">
      <c r="A5223">
        <v>23055</v>
      </c>
      <c r="B5223" t="s">
        <v>11271</v>
      </c>
      <c r="C5223" s="3">
        <v>41867</v>
      </c>
      <c r="D5223" t="s">
        <v>39</v>
      </c>
      <c r="E5223">
        <v>13</v>
      </c>
      <c r="F5223" s="3">
        <f ca="1">41869+(RANDBETWEEN(1,10))</f>
        <v>41871</v>
      </c>
      <c r="G5223" t="s">
        <v>26</v>
      </c>
      <c r="H5223" t="s">
        <v>96</v>
      </c>
      <c r="I5223" t="s">
        <v>97</v>
      </c>
      <c r="J5223">
        <v>166.70500000000001</v>
      </c>
      <c r="K5223">
        <v>0.02</v>
      </c>
      <c r="L5223">
        <v>0.56000000000000005</v>
      </c>
      <c r="M5223">
        <v>17.5</v>
      </c>
      <c r="N5223">
        <v>-132.16504</v>
      </c>
      <c r="O5223" s="1" t="s">
        <v>64</v>
      </c>
      <c r="P5223" s="1" t="s">
        <v>7524</v>
      </c>
      <c r="Q5223" s="1" t="s">
        <v>7525</v>
      </c>
      <c r="R5223" s="1" t="s">
        <v>128</v>
      </c>
      <c r="S5223" s="1" t="s">
        <v>7526</v>
      </c>
      <c r="T5223" s="1" t="s">
        <v>7527</v>
      </c>
      <c r="U5223" s="2" t="s">
        <v>2523</v>
      </c>
      <c r="V5223" s="2" t="s">
        <v>47</v>
      </c>
      <c r="W5223" s="2" t="s">
        <v>104</v>
      </c>
      <c r="X5223" s="2">
        <v>11.48</v>
      </c>
    </row>
    <row r="5224" spans="1:24" x14ac:dyDescent="0.3">
      <c r="A5224">
        <v>23056</v>
      </c>
      <c r="B5224" t="s">
        <v>11272</v>
      </c>
      <c r="C5224" s="3">
        <v>41687</v>
      </c>
      <c r="D5224" t="s">
        <v>39</v>
      </c>
      <c r="E5224">
        <v>8</v>
      </c>
      <c r="F5224" s="3">
        <f ca="1">41687+(RANDBETWEEN(1,10))</f>
        <v>41688</v>
      </c>
      <c r="G5224" t="s">
        <v>26</v>
      </c>
      <c r="H5224" t="s">
        <v>27</v>
      </c>
      <c r="I5224" t="s">
        <v>86</v>
      </c>
      <c r="J5224">
        <v>486.22</v>
      </c>
      <c r="K5224">
        <v>0.03</v>
      </c>
      <c r="L5224">
        <v>0.35</v>
      </c>
      <c r="M5224">
        <v>43.365000000000002</v>
      </c>
      <c r="N5224">
        <v>-223.93</v>
      </c>
      <c r="O5224" s="1" t="s">
        <v>87</v>
      </c>
      <c r="P5224" s="1" t="s">
        <v>9265</v>
      </c>
      <c r="Q5224" s="1" t="s">
        <v>9266</v>
      </c>
      <c r="R5224" s="1" t="s">
        <v>90</v>
      </c>
      <c r="S5224" s="1" t="s">
        <v>5918</v>
      </c>
      <c r="T5224" s="1" t="s">
        <v>5919</v>
      </c>
      <c r="U5224" s="2" t="s">
        <v>46</v>
      </c>
      <c r="V5224" s="2" t="s">
        <v>47</v>
      </c>
      <c r="W5224" s="2" t="s">
        <v>48</v>
      </c>
      <c r="X5224" s="2">
        <v>59.43</v>
      </c>
    </row>
    <row r="5225" spans="1:24" x14ac:dyDescent="0.3">
      <c r="A5225">
        <v>23057</v>
      </c>
      <c r="B5225" t="s">
        <v>11273</v>
      </c>
      <c r="C5225" s="3">
        <v>41824</v>
      </c>
      <c r="D5225" t="s">
        <v>39</v>
      </c>
      <c r="E5225">
        <v>13</v>
      </c>
      <c r="F5225" s="3">
        <f ca="1">41826+(RANDBETWEEN(1,10))</f>
        <v>41829</v>
      </c>
      <c r="G5225" t="s">
        <v>156</v>
      </c>
      <c r="H5225" t="s">
        <v>27</v>
      </c>
      <c r="I5225" t="s">
        <v>86</v>
      </c>
      <c r="J5225">
        <v>7595.1750000000002</v>
      </c>
      <c r="K5225">
        <v>0.04</v>
      </c>
      <c r="L5225">
        <v>0.59</v>
      </c>
      <c r="M5225">
        <v>69.965000000000003</v>
      </c>
      <c r="N5225">
        <v>5240.6707500000002</v>
      </c>
      <c r="O5225" s="1" t="s">
        <v>40</v>
      </c>
      <c r="P5225" s="1" t="s">
        <v>11274</v>
      </c>
      <c r="Q5225" s="1" t="s">
        <v>11275</v>
      </c>
      <c r="R5225" s="1" t="s">
        <v>43</v>
      </c>
      <c r="S5225" s="1" t="s">
        <v>5596</v>
      </c>
      <c r="T5225" s="1" t="s">
        <v>5597</v>
      </c>
      <c r="U5225" s="2" t="s">
        <v>2230</v>
      </c>
      <c r="V5225" s="2" t="s">
        <v>47</v>
      </c>
      <c r="W5225" s="2" t="s">
        <v>119</v>
      </c>
      <c r="X5225" s="2">
        <v>578.20000000000005</v>
      </c>
    </row>
    <row r="5226" spans="1:24" x14ac:dyDescent="0.3">
      <c r="A5226">
        <v>23058</v>
      </c>
      <c r="B5226" t="s">
        <v>11276</v>
      </c>
      <c r="C5226" s="3">
        <v>40579</v>
      </c>
      <c r="D5226" t="s">
        <v>62</v>
      </c>
      <c r="E5226">
        <v>6</v>
      </c>
      <c r="F5226" s="3">
        <f ca="1">40580+(RANDBETWEEN(1,10))</f>
        <v>40581</v>
      </c>
      <c r="G5226" t="s">
        <v>76</v>
      </c>
      <c r="H5226" t="s">
        <v>77</v>
      </c>
      <c r="I5226" t="s">
        <v>86</v>
      </c>
      <c r="J5226">
        <v>5599.86</v>
      </c>
      <c r="K5226">
        <v>0.06</v>
      </c>
      <c r="L5226">
        <v>0.59</v>
      </c>
      <c r="M5226">
        <v>81.165000000000006</v>
      </c>
      <c r="N5226">
        <v>3863.9034000000001</v>
      </c>
      <c r="O5226" s="1" t="s">
        <v>225</v>
      </c>
      <c r="P5226" s="1" t="s">
        <v>9703</v>
      </c>
      <c r="Q5226" s="1" t="s">
        <v>9704</v>
      </c>
      <c r="R5226" s="1" t="s">
        <v>228</v>
      </c>
      <c r="S5226" s="1" t="s">
        <v>4175</v>
      </c>
      <c r="T5226" s="1" t="s">
        <v>2326</v>
      </c>
      <c r="U5226" s="2" t="s">
        <v>1970</v>
      </c>
      <c r="V5226" s="2" t="s">
        <v>47</v>
      </c>
      <c r="W5226" s="2" t="s">
        <v>71</v>
      </c>
      <c r="X5226" s="2">
        <v>979.33500000000004</v>
      </c>
    </row>
    <row r="5227" spans="1:24" x14ac:dyDescent="0.3">
      <c r="A5227">
        <v>23059</v>
      </c>
      <c r="B5227" t="s">
        <v>11277</v>
      </c>
      <c r="C5227" s="3">
        <v>40882</v>
      </c>
      <c r="D5227" t="s">
        <v>25</v>
      </c>
      <c r="E5227">
        <v>6</v>
      </c>
      <c r="F5227" s="3">
        <f ca="1">40887+(RANDBETWEEN(1,10))</f>
        <v>40892</v>
      </c>
      <c r="G5227" t="s">
        <v>26</v>
      </c>
      <c r="H5227" t="s">
        <v>27</v>
      </c>
      <c r="I5227" t="s">
        <v>97</v>
      </c>
      <c r="J5227">
        <v>731.92</v>
      </c>
      <c r="K5227">
        <v>0.09</v>
      </c>
      <c r="L5227">
        <v>0.4</v>
      </c>
      <c r="M5227">
        <v>23.31</v>
      </c>
      <c r="N5227">
        <v>505.02480000000003</v>
      </c>
      <c r="O5227" s="1" t="s">
        <v>40</v>
      </c>
      <c r="P5227" s="1" t="s">
        <v>10399</v>
      </c>
      <c r="Q5227" s="1" t="s">
        <v>10400</v>
      </c>
      <c r="R5227" s="1" t="s">
        <v>43</v>
      </c>
      <c r="S5227" s="1" t="s">
        <v>10401</v>
      </c>
      <c r="T5227" s="1" t="s">
        <v>10402</v>
      </c>
      <c r="U5227" s="2" t="s">
        <v>6760</v>
      </c>
      <c r="V5227" s="2" t="s">
        <v>47</v>
      </c>
      <c r="W5227" s="2" t="s">
        <v>48</v>
      </c>
      <c r="X5227" s="2">
        <v>125.79</v>
      </c>
    </row>
    <row r="5228" spans="1:24" x14ac:dyDescent="0.3">
      <c r="A5228">
        <v>23060</v>
      </c>
      <c r="B5228" t="s">
        <v>11277</v>
      </c>
      <c r="C5228" s="3">
        <v>40882</v>
      </c>
      <c r="D5228" t="s">
        <v>25</v>
      </c>
      <c r="E5228">
        <v>7</v>
      </c>
      <c r="F5228" s="3">
        <f ca="1">40889+(RANDBETWEEN(1,10))</f>
        <v>40894</v>
      </c>
      <c r="G5228" t="s">
        <v>26</v>
      </c>
      <c r="H5228" t="s">
        <v>281</v>
      </c>
      <c r="I5228" t="s">
        <v>97</v>
      </c>
      <c r="J5228">
        <v>4505.0950000000003</v>
      </c>
      <c r="K5228">
        <v>0</v>
      </c>
      <c r="L5228">
        <v>0.75</v>
      </c>
      <c r="M5228">
        <v>48.965000000000003</v>
      </c>
      <c r="N5228">
        <v>3108.5155500000001</v>
      </c>
      <c r="O5228" s="1" t="s">
        <v>40</v>
      </c>
      <c r="P5228" s="1" t="s">
        <v>10399</v>
      </c>
      <c r="Q5228" s="1" t="s">
        <v>10400</v>
      </c>
      <c r="R5228" s="1" t="s">
        <v>43</v>
      </c>
      <c r="S5228" s="1" t="s">
        <v>10401</v>
      </c>
      <c r="T5228" s="1" t="s">
        <v>10402</v>
      </c>
      <c r="U5228" s="2" t="s">
        <v>9141</v>
      </c>
      <c r="V5228" s="2" t="s">
        <v>83</v>
      </c>
      <c r="W5228" s="2" t="s">
        <v>178</v>
      </c>
      <c r="X5228" s="2">
        <v>598.42999999999995</v>
      </c>
    </row>
    <row r="5229" spans="1:24" x14ac:dyDescent="0.3">
      <c r="A5229">
        <v>23061</v>
      </c>
      <c r="B5229" t="s">
        <v>11277</v>
      </c>
      <c r="C5229" s="3">
        <v>40882</v>
      </c>
      <c r="D5229" t="s">
        <v>25</v>
      </c>
      <c r="E5229">
        <v>9</v>
      </c>
      <c r="F5229" s="3">
        <f ca="1">40884+(RANDBETWEEN(1,10))</f>
        <v>40887</v>
      </c>
      <c r="G5229" t="s">
        <v>26</v>
      </c>
      <c r="H5229" t="s">
        <v>27</v>
      </c>
      <c r="I5229" t="s">
        <v>97</v>
      </c>
      <c r="J5229">
        <v>161.595</v>
      </c>
      <c r="K5229">
        <v>0.09</v>
      </c>
      <c r="L5229">
        <v>0.36</v>
      </c>
      <c r="M5229">
        <v>26.04</v>
      </c>
      <c r="N5229">
        <v>-161.01750000000001</v>
      </c>
      <c r="O5229" s="1" t="s">
        <v>40</v>
      </c>
      <c r="P5229" s="1" t="s">
        <v>10399</v>
      </c>
      <c r="Q5229" s="1" t="s">
        <v>10400</v>
      </c>
      <c r="R5229" s="1" t="s">
        <v>43</v>
      </c>
      <c r="S5229" s="1" t="s">
        <v>10401</v>
      </c>
      <c r="T5229" s="1" t="s">
        <v>10402</v>
      </c>
      <c r="U5229" s="2" t="s">
        <v>131</v>
      </c>
      <c r="V5229" s="2" t="s">
        <v>47</v>
      </c>
      <c r="W5229" s="2" t="s">
        <v>74</v>
      </c>
      <c r="X5229" s="2">
        <v>17.43</v>
      </c>
    </row>
    <row r="5230" spans="1:24" x14ac:dyDescent="0.3">
      <c r="A5230">
        <v>23062</v>
      </c>
      <c r="B5230" t="s">
        <v>11278</v>
      </c>
      <c r="C5230" s="3">
        <v>41169</v>
      </c>
      <c r="D5230" t="s">
        <v>25</v>
      </c>
      <c r="E5230">
        <v>15</v>
      </c>
      <c r="F5230" s="3">
        <f ca="1">41174+(RANDBETWEEN(1,10))</f>
        <v>41182</v>
      </c>
      <c r="G5230" t="s">
        <v>26</v>
      </c>
      <c r="H5230" t="s">
        <v>96</v>
      </c>
      <c r="I5230" t="s">
        <v>97</v>
      </c>
      <c r="J5230">
        <v>140.245</v>
      </c>
      <c r="K5230">
        <v>0.08</v>
      </c>
      <c r="L5230">
        <v>0.56000000000000005</v>
      </c>
      <c r="M5230">
        <v>2.4500000000000002</v>
      </c>
      <c r="N5230">
        <v>20.02</v>
      </c>
      <c r="O5230" s="1" t="s">
        <v>225</v>
      </c>
      <c r="P5230" s="1" t="s">
        <v>10164</v>
      </c>
      <c r="Q5230" s="1" t="s">
        <v>10165</v>
      </c>
      <c r="R5230" s="1" t="s">
        <v>391</v>
      </c>
      <c r="S5230" s="1" t="s">
        <v>10166</v>
      </c>
      <c r="T5230" s="1" t="s">
        <v>10167</v>
      </c>
      <c r="U5230" s="2" t="s">
        <v>443</v>
      </c>
      <c r="V5230" s="2" t="s">
        <v>47</v>
      </c>
      <c r="W5230" s="2" t="s">
        <v>104</v>
      </c>
      <c r="X5230" s="2">
        <v>10.08</v>
      </c>
    </row>
    <row r="5231" spans="1:24" x14ac:dyDescent="0.3">
      <c r="A5231">
        <v>23063</v>
      </c>
      <c r="B5231" t="s">
        <v>11278</v>
      </c>
      <c r="C5231" s="3">
        <v>41169</v>
      </c>
      <c r="D5231" t="s">
        <v>25</v>
      </c>
      <c r="E5231">
        <v>7</v>
      </c>
      <c r="F5231" s="3">
        <f ca="1">41174+(RANDBETWEEN(1,10))</f>
        <v>41177</v>
      </c>
      <c r="G5231" t="s">
        <v>26</v>
      </c>
      <c r="H5231" t="s">
        <v>63</v>
      </c>
      <c r="I5231" t="s">
        <v>97</v>
      </c>
      <c r="J5231">
        <v>1512.9449999999999</v>
      </c>
      <c r="K5231">
        <v>0.09</v>
      </c>
      <c r="L5231">
        <v>0.8</v>
      </c>
      <c r="M5231">
        <v>122.5</v>
      </c>
      <c r="N5231">
        <v>-1763.3</v>
      </c>
      <c r="O5231" s="1" t="s">
        <v>225</v>
      </c>
      <c r="P5231" s="1" t="s">
        <v>10164</v>
      </c>
      <c r="Q5231" s="1" t="s">
        <v>10165</v>
      </c>
      <c r="R5231" s="1" t="s">
        <v>391</v>
      </c>
      <c r="S5231" s="1" t="s">
        <v>10166</v>
      </c>
      <c r="T5231" s="1" t="s">
        <v>10167</v>
      </c>
      <c r="U5231" s="2" t="s">
        <v>3893</v>
      </c>
      <c r="V5231" s="2" t="s">
        <v>47</v>
      </c>
      <c r="W5231" s="2" t="s">
        <v>119</v>
      </c>
      <c r="X5231" s="2">
        <v>226.27500000000001</v>
      </c>
    </row>
    <row r="5232" spans="1:24" x14ac:dyDescent="0.3">
      <c r="A5232">
        <v>23064</v>
      </c>
      <c r="B5232" t="s">
        <v>11279</v>
      </c>
      <c r="C5232" s="3">
        <v>41871</v>
      </c>
      <c r="D5232" t="s">
        <v>39</v>
      </c>
      <c r="E5232">
        <v>2</v>
      </c>
      <c r="F5232" s="3">
        <f ca="1">41872+(RANDBETWEEN(1,10))</f>
        <v>41882</v>
      </c>
      <c r="G5232" t="s">
        <v>76</v>
      </c>
      <c r="H5232" t="s">
        <v>258</v>
      </c>
      <c r="I5232" t="s">
        <v>28</v>
      </c>
      <c r="J5232">
        <v>1040.7950000000001</v>
      </c>
      <c r="K5232">
        <v>0.09</v>
      </c>
      <c r="L5232">
        <v>0.65</v>
      </c>
      <c r="M5232">
        <v>187.18</v>
      </c>
      <c r="N5232">
        <v>-402.54984000000002</v>
      </c>
      <c r="O5232" s="1" t="s">
        <v>87</v>
      </c>
      <c r="P5232" s="1" t="s">
        <v>7336</v>
      </c>
      <c r="Q5232" s="1" t="s">
        <v>7337</v>
      </c>
      <c r="R5232" s="1" t="s">
        <v>90</v>
      </c>
      <c r="S5232" s="1" t="s">
        <v>7338</v>
      </c>
      <c r="T5232" s="1" t="s">
        <v>7339</v>
      </c>
      <c r="U5232" s="2" t="s">
        <v>3123</v>
      </c>
      <c r="V5232" s="2" t="s">
        <v>83</v>
      </c>
      <c r="W5232" s="2" t="s">
        <v>298</v>
      </c>
      <c r="X5232" s="2">
        <v>493.43</v>
      </c>
    </row>
    <row r="5233" spans="1:24" x14ac:dyDescent="0.3">
      <c r="A5233">
        <v>23065</v>
      </c>
      <c r="B5233" t="s">
        <v>11280</v>
      </c>
      <c r="C5233" s="3">
        <v>41049</v>
      </c>
      <c r="D5233" t="s">
        <v>50</v>
      </c>
      <c r="E5233">
        <v>13</v>
      </c>
      <c r="F5233" s="3">
        <f ca="1">41050+(RANDBETWEEN(1,10))</f>
        <v>41056</v>
      </c>
      <c r="G5233" t="s">
        <v>26</v>
      </c>
      <c r="H5233" t="s">
        <v>96</v>
      </c>
      <c r="I5233" t="s">
        <v>52</v>
      </c>
      <c r="J5233">
        <v>583.16999999999996</v>
      </c>
      <c r="K5233">
        <v>0.03</v>
      </c>
      <c r="L5233">
        <v>0.52</v>
      </c>
      <c r="M5233">
        <v>21.7</v>
      </c>
      <c r="N5233">
        <v>-251.125</v>
      </c>
      <c r="O5233" s="1" t="s">
        <v>40</v>
      </c>
      <c r="P5233" s="1" t="s">
        <v>10428</v>
      </c>
      <c r="Q5233" s="1" t="s">
        <v>10429</v>
      </c>
      <c r="R5233" s="1" t="s">
        <v>43</v>
      </c>
      <c r="S5233" s="1" t="s">
        <v>10430</v>
      </c>
      <c r="T5233" s="1" t="s">
        <v>10431</v>
      </c>
      <c r="U5233" s="2" t="s">
        <v>2413</v>
      </c>
      <c r="V5233" s="2" t="s">
        <v>83</v>
      </c>
      <c r="W5233" s="2" t="s">
        <v>178</v>
      </c>
      <c r="X5233" s="2">
        <v>42.244999999999997</v>
      </c>
    </row>
    <row r="5234" spans="1:24" x14ac:dyDescent="0.3">
      <c r="A5234">
        <v>23066</v>
      </c>
      <c r="B5234" t="s">
        <v>11281</v>
      </c>
      <c r="C5234" s="3">
        <v>41758</v>
      </c>
      <c r="D5234" t="s">
        <v>62</v>
      </c>
      <c r="E5234">
        <v>3</v>
      </c>
      <c r="F5234" s="3">
        <f ca="1">41760+(RANDBETWEEN(1,10))</f>
        <v>41769</v>
      </c>
      <c r="G5234" t="s">
        <v>26</v>
      </c>
      <c r="H5234" t="s">
        <v>51</v>
      </c>
      <c r="I5234" t="s">
        <v>97</v>
      </c>
      <c r="J5234">
        <v>58.625</v>
      </c>
      <c r="K5234">
        <v>0.01</v>
      </c>
      <c r="L5234">
        <v>0.47</v>
      </c>
      <c r="M5234">
        <v>20.02</v>
      </c>
      <c r="N5234">
        <v>444.63299999999998</v>
      </c>
      <c r="O5234" s="1" t="s">
        <v>64</v>
      </c>
      <c r="P5234" s="1" t="s">
        <v>10984</v>
      </c>
      <c r="Q5234" s="1" t="s">
        <v>10985</v>
      </c>
      <c r="R5234" s="1" t="s">
        <v>128</v>
      </c>
      <c r="S5234" s="1" t="s">
        <v>10986</v>
      </c>
      <c r="T5234" s="1" t="s">
        <v>10987</v>
      </c>
      <c r="U5234" s="2" t="s">
        <v>5176</v>
      </c>
      <c r="V5234" s="2" t="s">
        <v>83</v>
      </c>
      <c r="W5234" s="2" t="s">
        <v>178</v>
      </c>
      <c r="X5234" s="2">
        <v>16.87</v>
      </c>
    </row>
    <row r="5235" spans="1:24" x14ac:dyDescent="0.3">
      <c r="A5235">
        <v>23067</v>
      </c>
      <c r="B5235" t="s">
        <v>11281</v>
      </c>
      <c r="C5235" s="3">
        <v>41758</v>
      </c>
      <c r="D5235" t="s">
        <v>62</v>
      </c>
      <c r="E5235">
        <v>11</v>
      </c>
      <c r="F5235" s="3">
        <f ca="1">41760+(RANDBETWEEN(1,10))</f>
        <v>41768</v>
      </c>
      <c r="G5235" t="s">
        <v>26</v>
      </c>
      <c r="H5235" t="s">
        <v>51</v>
      </c>
      <c r="I5235" t="s">
        <v>97</v>
      </c>
      <c r="J5235">
        <v>1142.4349999999999</v>
      </c>
      <c r="K5235">
        <v>0.03</v>
      </c>
      <c r="L5235">
        <v>0.35</v>
      </c>
      <c r="M5235">
        <v>3.4649999999999999</v>
      </c>
      <c r="N5235">
        <v>-316.05</v>
      </c>
      <c r="O5235" s="1" t="s">
        <v>64</v>
      </c>
      <c r="P5235" s="1" t="s">
        <v>10984</v>
      </c>
      <c r="Q5235" s="1" t="s">
        <v>10985</v>
      </c>
      <c r="R5235" s="1" t="s">
        <v>128</v>
      </c>
      <c r="S5235" s="1" t="s">
        <v>10986</v>
      </c>
      <c r="T5235" s="1" t="s">
        <v>10987</v>
      </c>
      <c r="U5235" s="2" t="s">
        <v>1868</v>
      </c>
      <c r="V5235" s="2" t="s">
        <v>36</v>
      </c>
      <c r="W5235" s="2" t="s">
        <v>37</v>
      </c>
      <c r="X5235" s="2">
        <v>125.965</v>
      </c>
    </row>
    <row r="5236" spans="1:24" x14ac:dyDescent="0.3">
      <c r="A5236">
        <v>23068</v>
      </c>
      <c r="B5236" t="s">
        <v>11282</v>
      </c>
      <c r="C5236" s="3">
        <v>41895</v>
      </c>
      <c r="D5236" t="s">
        <v>62</v>
      </c>
      <c r="E5236">
        <v>12</v>
      </c>
      <c r="F5236" s="3">
        <f ca="1">41896+(RANDBETWEEN(1,10))</f>
        <v>41897</v>
      </c>
      <c r="G5236" t="s">
        <v>26</v>
      </c>
      <c r="H5236" t="s">
        <v>27</v>
      </c>
      <c r="I5236" t="s">
        <v>97</v>
      </c>
      <c r="J5236">
        <v>720.93</v>
      </c>
      <c r="K5236">
        <v>0.1</v>
      </c>
      <c r="L5236">
        <v>0.79</v>
      </c>
      <c r="M5236">
        <v>14</v>
      </c>
      <c r="N5236">
        <v>-366.43599999999998</v>
      </c>
      <c r="O5236" s="1" t="s">
        <v>87</v>
      </c>
      <c r="P5236" s="1" t="s">
        <v>11283</v>
      </c>
      <c r="Q5236" s="1" t="s">
        <v>11284</v>
      </c>
      <c r="R5236" s="1" t="s">
        <v>90</v>
      </c>
      <c r="S5236" s="1" t="s">
        <v>5257</v>
      </c>
      <c r="T5236" s="1" t="s">
        <v>5258</v>
      </c>
      <c r="U5236" s="2" t="s">
        <v>4938</v>
      </c>
      <c r="V5236" s="2" t="s">
        <v>36</v>
      </c>
      <c r="W5236" s="2" t="s">
        <v>60</v>
      </c>
      <c r="X5236" s="2">
        <v>62.93</v>
      </c>
    </row>
    <row r="5237" spans="1:24" x14ac:dyDescent="0.3">
      <c r="A5237">
        <v>23069</v>
      </c>
      <c r="B5237" t="s">
        <v>11285</v>
      </c>
      <c r="C5237" s="3">
        <v>40680</v>
      </c>
      <c r="D5237" t="s">
        <v>39</v>
      </c>
      <c r="E5237">
        <v>16</v>
      </c>
      <c r="F5237" s="3">
        <f ca="1">40682+(RANDBETWEEN(1,10))</f>
        <v>40692</v>
      </c>
      <c r="G5237" t="s">
        <v>26</v>
      </c>
      <c r="H5237" t="s">
        <v>96</v>
      </c>
      <c r="I5237" t="s">
        <v>97</v>
      </c>
      <c r="J5237">
        <v>462.28</v>
      </c>
      <c r="K5237">
        <v>7.0000000000000007E-2</v>
      </c>
      <c r="L5237">
        <v>0.35</v>
      </c>
      <c r="M5237">
        <v>5.0049999999999999</v>
      </c>
      <c r="N5237">
        <v>-667.38</v>
      </c>
      <c r="O5237" s="1" t="s">
        <v>64</v>
      </c>
      <c r="P5237" s="1" t="s">
        <v>11286</v>
      </c>
      <c r="Q5237" s="1" t="s">
        <v>11287</v>
      </c>
      <c r="R5237" s="1" t="s">
        <v>128</v>
      </c>
      <c r="S5237" s="1" t="s">
        <v>11288</v>
      </c>
      <c r="T5237" s="1" t="s">
        <v>11289</v>
      </c>
      <c r="U5237" s="2" t="s">
        <v>2263</v>
      </c>
      <c r="V5237" s="2" t="s">
        <v>47</v>
      </c>
      <c r="W5237" s="2" t="s">
        <v>74</v>
      </c>
      <c r="X5237" s="2">
        <v>29.19</v>
      </c>
    </row>
    <row r="5238" spans="1:24" x14ac:dyDescent="0.3">
      <c r="A5238">
        <v>23070</v>
      </c>
      <c r="B5238" t="s">
        <v>11285</v>
      </c>
      <c r="C5238" s="3">
        <v>40680</v>
      </c>
      <c r="D5238" t="s">
        <v>39</v>
      </c>
      <c r="E5238">
        <v>9</v>
      </c>
      <c r="F5238" s="3">
        <f ca="1">40681+(RANDBETWEEN(1,10))</f>
        <v>40686</v>
      </c>
      <c r="G5238" t="s">
        <v>26</v>
      </c>
      <c r="H5238" t="s">
        <v>27</v>
      </c>
      <c r="I5238" t="s">
        <v>97</v>
      </c>
      <c r="J5238">
        <v>158.69</v>
      </c>
      <c r="K5238">
        <v>0.09</v>
      </c>
      <c r="L5238">
        <v>0.36</v>
      </c>
      <c r="M5238">
        <v>21.245000000000001</v>
      </c>
      <c r="N5238">
        <v>1138.893</v>
      </c>
      <c r="O5238" s="1" t="s">
        <v>64</v>
      </c>
      <c r="P5238" s="1" t="s">
        <v>11286</v>
      </c>
      <c r="Q5238" s="1" t="s">
        <v>11287</v>
      </c>
      <c r="R5238" s="1" t="s">
        <v>128</v>
      </c>
      <c r="S5238" s="1" t="s">
        <v>11288</v>
      </c>
      <c r="T5238" s="1" t="s">
        <v>11289</v>
      </c>
      <c r="U5238" s="2" t="s">
        <v>250</v>
      </c>
      <c r="V5238" s="2" t="s">
        <v>47</v>
      </c>
      <c r="W5238" s="2" t="s">
        <v>74</v>
      </c>
      <c r="X5238" s="2">
        <v>17.43</v>
      </c>
    </row>
    <row r="5239" spans="1:24" x14ac:dyDescent="0.3">
      <c r="A5239">
        <v>23071</v>
      </c>
      <c r="B5239" t="s">
        <v>11285</v>
      </c>
      <c r="C5239" s="3">
        <v>40680</v>
      </c>
      <c r="D5239" t="s">
        <v>39</v>
      </c>
      <c r="E5239">
        <v>9</v>
      </c>
      <c r="F5239" s="3">
        <f ca="1">40681+(RANDBETWEEN(1,10))</f>
        <v>40688</v>
      </c>
      <c r="G5239" t="s">
        <v>26</v>
      </c>
      <c r="H5239" t="s">
        <v>96</v>
      </c>
      <c r="I5239" t="s">
        <v>97</v>
      </c>
      <c r="J5239">
        <v>597.79999999999995</v>
      </c>
      <c r="K5239">
        <v>7.0000000000000007E-2</v>
      </c>
      <c r="L5239">
        <v>0.44</v>
      </c>
      <c r="M5239">
        <v>14.35</v>
      </c>
      <c r="N5239">
        <v>412.48200000000003</v>
      </c>
      <c r="O5239" s="1" t="s">
        <v>29</v>
      </c>
      <c r="P5239" s="1" t="s">
        <v>1434</v>
      </c>
      <c r="Q5239" s="1" t="s">
        <v>1435</v>
      </c>
      <c r="R5239" s="1" t="s">
        <v>460</v>
      </c>
      <c r="S5239" s="1" t="s">
        <v>1436</v>
      </c>
      <c r="T5239" s="1" t="s">
        <v>1437</v>
      </c>
      <c r="U5239" s="2" t="s">
        <v>550</v>
      </c>
      <c r="V5239" s="2" t="s">
        <v>47</v>
      </c>
      <c r="W5239" s="2" t="s">
        <v>104</v>
      </c>
      <c r="X5239" s="2">
        <v>69.44</v>
      </c>
    </row>
    <row r="5240" spans="1:24" x14ac:dyDescent="0.3">
      <c r="A5240">
        <v>23072</v>
      </c>
      <c r="B5240" t="s">
        <v>11290</v>
      </c>
      <c r="C5240" s="3">
        <v>41738</v>
      </c>
      <c r="D5240" t="s">
        <v>25</v>
      </c>
      <c r="E5240">
        <v>1</v>
      </c>
      <c r="F5240" s="3">
        <f ca="1">41743+(RANDBETWEEN(1,10))</f>
        <v>41751</v>
      </c>
      <c r="G5240" t="s">
        <v>76</v>
      </c>
      <c r="H5240" t="s">
        <v>258</v>
      </c>
      <c r="I5240" t="s">
        <v>97</v>
      </c>
      <c r="J5240">
        <v>705.35500000000002</v>
      </c>
      <c r="K5240">
        <v>0.03</v>
      </c>
      <c r="L5240">
        <v>0.61</v>
      </c>
      <c r="M5240">
        <v>207.34</v>
      </c>
      <c r="N5240">
        <v>-2004.3988965000001</v>
      </c>
      <c r="O5240" s="1" t="s">
        <v>40</v>
      </c>
      <c r="P5240" s="1" t="s">
        <v>11291</v>
      </c>
      <c r="Q5240" s="1" t="s">
        <v>11292</v>
      </c>
      <c r="R5240" s="1" t="s">
        <v>220</v>
      </c>
      <c r="S5240" s="1" t="s">
        <v>11293</v>
      </c>
      <c r="T5240" s="1" t="s">
        <v>11294</v>
      </c>
      <c r="U5240" s="2" t="s">
        <v>8709</v>
      </c>
      <c r="V5240" s="2" t="s">
        <v>83</v>
      </c>
      <c r="W5240" s="2" t="s">
        <v>263</v>
      </c>
      <c r="X5240" s="2">
        <v>829.39499999999998</v>
      </c>
    </row>
    <row r="5241" spans="1:24" x14ac:dyDescent="0.3">
      <c r="A5241">
        <v>23073</v>
      </c>
      <c r="B5241" t="s">
        <v>11295</v>
      </c>
      <c r="C5241" s="3">
        <v>41506</v>
      </c>
      <c r="D5241" t="s">
        <v>148</v>
      </c>
      <c r="E5241">
        <v>3</v>
      </c>
      <c r="F5241" s="3">
        <f ca="1">41507+(RANDBETWEEN(1,10))</f>
        <v>41509</v>
      </c>
      <c r="G5241" t="s">
        <v>26</v>
      </c>
      <c r="H5241" t="s">
        <v>27</v>
      </c>
      <c r="I5241" t="s">
        <v>52</v>
      </c>
      <c r="J5241">
        <v>224.98</v>
      </c>
      <c r="K5241">
        <v>0</v>
      </c>
      <c r="L5241">
        <v>0.37</v>
      </c>
      <c r="M5241">
        <v>30.38</v>
      </c>
      <c r="N5241">
        <v>-14.268800000000001</v>
      </c>
      <c r="O5241" s="1" t="s">
        <v>29</v>
      </c>
      <c r="P5241" s="1" t="s">
        <v>11296</v>
      </c>
      <c r="Q5241" s="1" t="s">
        <v>11297</v>
      </c>
      <c r="R5241" s="1" t="s">
        <v>32</v>
      </c>
      <c r="S5241" s="1" t="s">
        <v>3409</v>
      </c>
      <c r="T5241" s="1" t="s">
        <v>11298</v>
      </c>
      <c r="U5241" s="2" t="s">
        <v>3983</v>
      </c>
      <c r="V5241" s="2" t="s">
        <v>47</v>
      </c>
      <c r="W5241" s="2" t="s">
        <v>74</v>
      </c>
      <c r="X5241" s="2">
        <v>69.930000000000007</v>
      </c>
    </row>
    <row r="5242" spans="1:24" x14ac:dyDescent="0.3">
      <c r="A5242">
        <v>23074</v>
      </c>
      <c r="B5242" t="s">
        <v>11299</v>
      </c>
      <c r="C5242" s="3">
        <v>41235</v>
      </c>
      <c r="D5242" t="s">
        <v>25</v>
      </c>
      <c r="E5242">
        <v>5</v>
      </c>
      <c r="F5242" s="3">
        <f ca="1">41235+(RANDBETWEEN(1,10))</f>
        <v>41240</v>
      </c>
      <c r="G5242" t="s">
        <v>26</v>
      </c>
      <c r="H5242" t="s">
        <v>27</v>
      </c>
      <c r="I5242" t="s">
        <v>28</v>
      </c>
      <c r="J5242">
        <v>2411.9899999999998</v>
      </c>
      <c r="K5242">
        <v>0.01</v>
      </c>
      <c r="L5242">
        <v>0.55000000000000004</v>
      </c>
      <c r="M5242">
        <v>31.465</v>
      </c>
      <c r="N5242">
        <v>289.32749999999999</v>
      </c>
      <c r="O5242" s="1" t="s">
        <v>87</v>
      </c>
      <c r="P5242" s="1" t="s">
        <v>9942</v>
      </c>
      <c r="Q5242" s="1" t="s">
        <v>9943</v>
      </c>
      <c r="R5242" s="1" t="s">
        <v>497</v>
      </c>
      <c r="S5242" s="1" t="s">
        <v>9944</v>
      </c>
      <c r="T5242" s="1" t="s">
        <v>9945</v>
      </c>
      <c r="U5242" s="2" t="s">
        <v>9184</v>
      </c>
      <c r="V5242" s="2" t="s">
        <v>36</v>
      </c>
      <c r="W5242" s="2" t="s">
        <v>37</v>
      </c>
      <c r="X5242" s="2">
        <v>545.96500000000003</v>
      </c>
    </row>
    <row r="5243" spans="1:24" x14ac:dyDescent="0.3">
      <c r="A5243">
        <v>23075</v>
      </c>
      <c r="B5243" t="s">
        <v>11300</v>
      </c>
      <c r="C5243" s="3">
        <v>41424</v>
      </c>
      <c r="D5243" t="s">
        <v>50</v>
      </c>
      <c r="E5243">
        <v>13</v>
      </c>
      <c r="F5243" s="3">
        <f ca="1">41425+(RANDBETWEEN(1,10))</f>
        <v>41433</v>
      </c>
      <c r="G5243" t="s">
        <v>26</v>
      </c>
      <c r="H5243" t="s">
        <v>51</v>
      </c>
      <c r="I5243" t="s">
        <v>52</v>
      </c>
      <c r="J5243">
        <v>1377.7049999999999</v>
      </c>
      <c r="K5243">
        <v>0.02</v>
      </c>
      <c r="L5243">
        <v>0.39</v>
      </c>
      <c r="M5243">
        <v>11.55</v>
      </c>
      <c r="N5243">
        <v>950.61644999999999</v>
      </c>
      <c r="O5243" s="1" t="s">
        <v>29</v>
      </c>
      <c r="P5243" s="1" t="s">
        <v>4452</v>
      </c>
      <c r="Q5243" s="1" t="s">
        <v>4453</v>
      </c>
      <c r="R5243" s="1" t="s">
        <v>32</v>
      </c>
      <c r="S5243" s="1" t="s">
        <v>4454</v>
      </c>
      <c r="T5243" s="1" t="s">
        <v>4455</v>
      </c>
      <c r="U5243" s="2" t="s">
        <v>5976</v>
      </c>
      <c r="V5243" s="2" t="s">
        <v>36</v>
      </c>
      <c r="W5243" s="2" t="s">
        <v>37</v>
      </c>
      <c r="X5243" s="2">
        <v>125.965</v>
      </c>
    </row>
    <row r="5244" spans="1:24" x14ac:dyDescent="0.3">
      <c r="A5244">
        <v>23076</v>
      </c>
      <c r="B5244" t="s">
        <v>11301</v>
      </c>
      <c r="C5244" s="3">
        <v>41965</v>
      </c>
      <c r="D5244" t="s">
        <v>25</v>
      </c>
      <c r="E5244">
        <v>11</v>
      </c>
      <c r="F5244" s="3">
        <f ca="1">41972+(RANDBETWEEN(1,10))</f>
        <v>41975</v>
      </c>
      <c r="G5244" t="s">
        <v>156</v>
      </c>
      <c r="H5244" t="s">
        <v>27</v>
      </c>
      <c r="I5244" t="s">
        <v>97</v>
      </c>
      <c r="J5244">
        <v>7118.93</v>
      </c>
      <c r="K5244">
        <v>0</v>
      </c>
      <c r="L5244">
        <v>0.56000000000000005</v>
      </c>
      <c r="M5244">
        <v>31.465</v>
      </c>
      <c r="N5244">
        <v>685.97020799999996</v>
      </c>
      <c r="O5244" s="1" t="s">
        <v>87</v>
      </c>
      <c r="P5244" s="1" t="s">
        <v>11302</v>
      </c>
      <c r="Q5244" s="1" t="s">
        <v>11303</v>
      </c>
      <c r="R5244" s="1" t="s">
        <v>646</v>
      </c>
      <c r="S5244" s="1" t="s">
        <v>11304</v>
      </c>
      <c r="T5244" s="1" t="s">
        <v>1762</v>
      </c>
      <c r="U5244" s="2" t="s">
        <v>4735</v>
      </c>
      <c r="V5244" s="2" t="s">
        <v>36</v>
      </c>
      <c r="W5244" s="2" t="s">
        <v>37</v>
      </c>
      <c r="X5244" s="2">
        <v>720.96500000000003</v>
      </c>
    </row>
    <row r="5245" spans="1:24" x14ac:dyDescent="0.3">
      <c r="A5245">
        <v>23077</v>
      </c>
      <c r="B5245" t="s">
        <v>11305</v>
      </c>
      <c r="C5245" s="3">
        <v>41655</v>
      </c>
      <c r="D5245" t="s">
        <v>62</v>
      </c>
      <c r="E5245">
        <v>2</v>
      </c>
      <c r="F5245" s="3">
        <f ca="1">41656+(RANDBETWEEN(1,10))</f>
        <v>41657</v>
      </c>
      <c r="G5245" t="s">
        <v>26</v>
      </c>
      <c r="H5245" t="s">
        <v>27</v>
      </c>
      <c r="I5245" t="s">
        <v>86</v>
      </c>
      <c r="J5245">
        <v>34.055</v>
      </c>
      <c r="K5245">
        <v>0.03</v>
      </c>
      <c r="L5245">
        <v>0.39</v>
      </c>
      <c r="M5245">
        <v>5.2149999999999999</v>
      </c>
      <c r="N5245">
        <v>1.7183600000000001</v>
      </c>
      <c r="O5245" s="1" t="s">
        <v>64</v>
      </c>
      <c r="P5245" s="1" t="s">
        <v>11306</v>
      </c>
      <c r="Q5245" s="1" t="s">
        <v>11307</v>
      </c>
      <c r="R5245" s="1" t="s">
        <v>67</v>
      </c>
      <c r="S5245" s="1" t="s">
        <v>11308</v>
      </c>
      <c r="T5245" s="1" t="s">
        <v>11309</v>
      </c>
      <c r="U5245" s="2" t="s">
        <v>11173</v>
      </c>
      <c r="V5245" s="2" t="s">
        <v>47</v>
      </c>
      <c r="W5245" s="2" t="s">
        <v>111</v>
      </c>
      <c r="X5245" s="2">
        <v>15.715</v>
      </c>
    </row>
    <row r="5246" spans="1:24" x14ac:dyDescent="0.3">
      <c r="A5246">
        <v>23078</v>
      </c>
      <c r="B5246" t="s">
        <v>11310</v>
      </c>
      <c r="C5246" s="3">
        <v>41948</v>
      </c>
      <c r="D5246" t="s">
        <v>25</v>
      </c>
      <c r="E5246">
        <v>29</v>
      </c>
      <c r="F5246" s="3">
        <f ca="1">41948+(RANDBETWEEN(1,10))</f>
        <v>41956</v>
      </c>
      <c r="G5246" t="s">
        <v>26</v>
      </c>
      <c r="H5246" t="s">
        <v>27</v>
      </c>
      <c r="I5246" t="s">
        <v>86</v>
      </c>
      <c r="J5246">
        <v>1468.5650000000001</v>
      </c>
      <c r="K5246">
        <v>7.0000000000000007E-2</v>
      </c>
      <c r="L5246">
        <v>0.38</v>
      </c>
      <c r="M5246">
        <v>25.094999999999999</v>
      </c>
      <c r="N5246">
        <v>212.21508</v>
      </c>
      <c r="O5246" s="1" t="s">
        <v>64</v>
      </c>
      <c r="P5246" s="1" t="s">
        <v>4313</v>
      </c>
      <c r="Q5246" s="1" t="s">
        <v>4314</v>
      </c>
      <c r="R5246" s="1" t="s">
        <v>67</v>
      </c>
      <c r="S5246" s="1" t="s">
        <v>4315</v>
      </c>
      <c r="T5246" s="1" t="s">
        <v>4316</v>
      </c>
      <c r="U5246" s="2" t="s">
        <v>3914</v>
      </c>
      <c r="V5246" s="2" t="s">
        <v>47</v>
      </c>
      <c r="W5246" s="2" t="s">
        <v>111</v>
      </c>
      <c r="X5246" s="2">
        <v>50.575000000000003</v>
      </c>
    </row>
    <row r="5247" spans="1:24" x14ac:dyDescent="0.3">
      <c r="A5247">
        <v>23079</v>
      </c>
      <c r="B5247" t="s">
        <v>11311</v>
      </c>
      <c r="C5247" s="3">
        <v>41492</v>
      </c>
      <c r="D5247" t="s">
        <v>50</v>
      </c>
      <c r="E5247">
        <v>3</v>
      </c>
      <c r="F5247" s="3">
        <f ca="1">41494+(RANDBETWEEN(1,10))</f>
        <v>41495</v>
      </c>
      <c r="G5247" t="s">
        <v>26</v>
      </c>
      <c r="H5247" t="s">
        <v>51</v>
      </c>
      <c r="I5247" t="s">
        <v>52</v>
      </c>
      <c r="J5247">
        <v>58.52</v>
      </c>
      <c r="K5247">
        <v>7.0000000000000007E-2</v>
      </c>
      <c r="L5247">
        <v>0.64</v>
      </c>
      <c r="M5247">
        <v>15.12</v>
      </c>
      <c r="N5247">
        <v>-69.960800000000006</v>
      </c>
      <c r="O5247" s="1" t="s">
        <v>40</v>
      </c>
      <c r="P5247" s="1" t="s">
        <v>11312</v>
      </c>
      <c r="Q5247" s="1" t="s">
        <v>11313</v>
      </c>
      <c r="R5247" s="1" t="s">
        <v>43</v>
      </c>
      <c r="S5247" s="1" t="s">
        <v>11314</v>
      </c>
      <c r="T5247" s="1" t="s">
        <v>11315</v>
      </c>
      <c r="U5247" s="2" t="s">
        <v>6443</v>
      </c>
      <c r="V5247" s="2" t="s">
        <v>36</v>
      </c>
      <c r="W5247" s="2" t="s">
        <v>60</v>
      </c>
      <c r="X5247" s="2">
        <v>17.43</v>
      </c>
    </row>
    <row r="5248" spans="1:24" x14ac:dyDescent="0.3">
      <c r="A5248">
        <v>23080</v>
      </c>
      <c r="B5248" t="s">
        <v>11311</v>
      </c>
      <c r="C5248" s="3">
        <v>41492</v>
      </c>
      <c r="D5248" t="s">
        <v>50</v>
      </c>
      <c r="E5248">
        <v>3</v>
      </c>
      <c r="F5248" s="3">
        <f ca="1">41493+(RANDBETWEEN(1,10))</f>
        <v>41502</v>
      </c>
      <c r="G5248" t="s">
        <v>26</v>
      </c>
      <c r="H5248" t="s">
        <v>281</v>
      </c>
      <c r="I5248" t="s">
        <v>52</v>
      </c>
      <c r="J5248">
        <v>108.57</v>
      </c>
      <c r="K5248">
        <v>0.09</v>
      </c>
      <c r="L5248">
        <v>0.48</v>
      </c>
      <c r="M5248">
        <v>21.07</v>
      </c>
      <c r="N5248">
        <v>74.913300000000007</v>
      </c>
      <c r="O5248" s="1" t="s">
        <v>87</v>
      </c>
      <c r="P5248" s="1" t="s">
        <v>11316</v>
      </c>
      <c r="Q5248" s="1" t="s">
        <v>11317</v>
      </c>
      <c r="R5248" s="1" t="s">
        <v>90</v>
      </c>
      <c r="S5248" s="1" t="s">
        <v>4639</v>
      </c>
      <c r="T5248" s="1" t="s">
        <v>4640</v>
      </c>
      <c r="U5248" s="2" t="s">
        <v>3578</v>
      </c>
      <c r="V5248" s="2" t="s">
        <v>83</v>
      </c>
      <c r="W5248" s="2" t="s">
        <v>178</v>
      </c>
      <c r="X5248" s="2">
        <v>34.195</v>
      </c>
    </row>
    <row r="5249" spans="1:24" x14ac:dyDescent="0.3">
      <c r="A5249">
        <v>23081</v>
      </c>
      <c r="B5249" t="s">
        <v>11318</v>
      </c>
      <c r="C5249" s="3">
        <v>41762</v>
      </c>
      <c r="D5249" t="s">
        <v>148</v>
      </c>
      <c r="E5249">
        <v>5</v>
      </c>
      <c r="F5249" s="3">
        <f ca="1">41764+(RANDBETWEEN(1,10))</f>
        <v>41770</v>
      </c>
      <c r="G5249" t="s">
        <v>156</v>
      </c>
      <c r="H5249" t="s">
        <v>27</v>
      </c>
      <c r="I5249" t="s">
        <v>28</v>
      </c>
      <c r="J5249">
        <v>2059.6799999999998</v>
      </c>
      <c r="K5249">
        <v>0.09</v>
      </c>
      <c r="L5249">
        <v>0.6</v>
      </c>
      <c r="M5249">
        <v>13.965</v>
      </c>
      <c r="N5249">
        <v>43.427999999999997</v>
      </c>
      <c r="O5249" s="1" t="s">
        <v>40</v>
      </c>
      <c r="P5249" s="1" t="s">
        <v>11319</v>
      </c>
      <c r="Q5249" s="1" t="s">
        <v>11320</v>
      </c>
      <c r="R5249" s="1" t="s">
        <v>220</v>
      </c>
      <c r="S5249" s="1" t="s">
        <v>478</v>
      </c>
      <c r="T5249" s="1" t="s">
        <v>479</v>
      </c>
      <c r="U5249" s="2" t="s">
        <v>3411</v>
      </c>
      <c r="V5249" s="2" t="s">
        <v>47</v>
      </c>
      <c r="W5249" s="2" t="s">
        <v>71</v>
      </c>
      <c r="X5249" s="2">
        <v>423.43</v>
      </c>
    </row>
    <row r="5250" spans="1:24" x14ac:dyDescent="0.3">
      <c r="A5250">
        <v>23082</v>
      </c>
      <c r="B5250" t="s">
        <v>11321</v>
      </c>
      <c r="C5250" s="3">
        <v>41903</v>
      </c>
      <c r="D5250" t="s">
        <v>50</v>
      </c>
      <c r="E5250">
        <v>6</v>
      </c>
      <c r="F5250" s="3">
        <f ca="1">41906+(RANDBETWEEN(1,10))</f>
        <v>41914</v>
      </c>
      <c r="G5250" t="s">
        <v>26</v>
      </c>
      <c r="H5250" t="s">
        <v>281</v>
      </c>
      <c r="I5250" t="s">
        <v>97</v>
      </c>
      <c r="J5250">
        <v>2564.2750000000001</v>
      </c>
      <c r="K5250">
        <v>0.02</v>
      </c>
      <c r="L5250">
        <v>0.36</v>
      </c>
      <c r="M5250">
        <v>24.885000000000002</v>
      </c>
      <c r="N5250">
        <v>1411.83</v>
      </c>
      <c r="O5250" s="1" t="s">
        <v>225</v>
      </c>
      <c r="P5250" s="1" t="s">
        <v>11322</v>
      </c>
      <c r="Q5250" s="1" t="s">
        <v>11323</v>
      </c>
      <c r="R5250" s="1" t="s">
        <v>228</v>
      </c>
      <c r="S5250" s="1" t="s">
        <v>11324</v>
      </c>
      <c r="T5250" s="1" t="s">
        <v>1880</v>
      </c>
      <c r="U5250" s="2" t="s">
        <v>2811</v>
      </c>
      <c r="V5250" s="2" t="s">
        <v>36</v>
      </c>
      <c r="W5250" s="2" t="s">
        <v>142</v>
      </c>
      <c r="X5250" s="2">
        <v>423.39499999999998</v>
      </c>
    </row>
    <row r="5251" spans="1:24" x14ac:dyDescent="0.3">
      <c r="A5251">
        <v>23083</v>
      </c>
      <c r="B5251" t="s">
        <v>11321</v>
      </c>
      <c r="C5251" s="3">
        <v>41903</v>
      </c>
      <c r="D5251" t="s">
        <v>50</v>
      </c>
      <c r="E5251">
        <v>13</v>
      </c>
      <c r="F5251" s="3">
        <f ca="1">41905+(RANDBETWEEN(1,10))</f>
        <v>41915</v>
      </c>
      <c r="G5251" t="s">
        <v>76</v>
      </c>
      <c r="H5251" t="s">
        <v>258</v>
      </c>
      <c r="I5251" t="s">
        <v>97</v>
      </c>
      <c r="J5251">
        <v>6806.66</v>
      </c>
      <c r="K5251">
        <v>0.01</v>
      </c>
      <c r="L5251">
        <v>0.65</v>
      </c>
      <c r="M5251">
        <v>153.125</v>
      </c>
      <c r="N5251">
        <v>-102.1545</v>
      </c>
      <c r="O5251" s="1" t="s">
        <v>225</v>
      </c>
      <c r="P5251" s="1" t="s">
        <v>11322</v>
      </c>
      <c r="Q5251" s="1" t="s">
        <v>11323</v>
      </c>
      <c r="R5251" s="1" t="s">
        <v>228</v>
      </c>
      <c r="S5251" s="1" t="s">
        <v>11324</v>
      </c>
      <c r="T5251" s="1" t="s">
        <v>1880</v>
      </c>
      <c r="U5251" s="2" t="s">
        <v>262</v>
      </c>
      <c r="V5251" s="2" t="s">
        <v>83</v>
      </c>
      <c r="W5251" s="2" t="s">
        <v>263</v>
      </c>
      <c r="X5251" s="2">
        <v>512.19000000000005</v>
      </c>
    </row>
    <row r="5252" spans="1:24" x14ac:dyDescent="0.3">
      <c r="A5252">
        <v>23084</v>
      </c>
      <c r="B5252" t="s">
        <v>11325</v>
      </c>
      <c r="C5252" s="3">
        <v>40704</v>
      </c>
      <c r="D5252" t="s">
        <v>39</v>
      </c>
      <c r="E5252">
        <v>3</v>
      </c>
      <c r="F5252" s="3">
        <f ca="1">40704+(RANDBETWEEN(1,10))</f>
        <v>40710</v>
      </c>
      <c r="G5252" t="s">
        <v>26</v>
      </c>
      <c r="H5252" t="s">
        <v>51</v>
      </c>
      <c r="I5252" t="s">
        <v>86</v>
      </c>
      <c r="J5252">
        <v>85.54</v>
      </c>
      <c r="K5252">
        <v>0</v>
      </c>
      <c r="L5252">
        <v>0.68</v>
      </c>
      <c r="M5252">
        <v>12.32</v>
      </c>
      <c r="N5252">
        <v>-87.864000000000004</v>
      </c>
      <c r="O5252" s="1" t="s">
        <v>225</v>
      </c>
      <c r="P5252" s="1" t="s">
        <v>11326</v>
      </c>
      <c r="Q5252" s="1" t="s">
        <v>11327</v>
      </c>
      <c r="R5252" s="1" t="s">
        <v>228</v>
      </c>
      <c r="S5252" s="1" t="s">
        <v>6525</v>
      </c>
      <c r="T5252" s="1" t="s">
        <v>6526</v>
      </c>
      <c r="U5252" s="2" t="s">
        <v>2862</v>
      </c>
      <c r="V5252" s="2" t="s">
        <v>36</v>
      </c>
      <c r="W5252" s="2" t="s">
        <v>60</v>
      </c>
      <c r="X5252" s="2">
        <v>25.48</v>
      </c>
    </row>
    <row r="5253" spans="1:24" x14ac:dyDescent="0.3">
      <c r="A5253">
        <v>23085</v>
      </c>
      <c r="B5253" t="s">
        <v>11328</v>
      </c>
      <c r="C5253" s="3">
        <v>41697</v>
      </c>
      <c r="D5253" t="s">
        <v>39</v>
      </c>
      <c r="E5253">
        <v>11</v>
      </c>
      <c r="F5253" s="3">
        <f ca="1">41699+(RANDBETWEEN(1,10))</f>
        <v>41705</v>
      </c>
      <c r="G5253" t="s">
        <v>26</v>
      </c>
      <c r="H5253" t="s">
        <v>51</v>
      </c>
      <c r="I5253" t="s">
        <v>86</v>
      </c>
      <c r="J5253">
        <v>800.90499999999997</v>
      </c>
      <c r="K5253">
        <v>0.08</v>
      </c>
      <c r="L5253">
        <v>0.48</v>
      </c>
      <c r="M5253">
        <v>6.9649999999999999</v>
      </c>
      <c r="N5253">
        <v>552.62445000000002</v>
      </c>
      <c r="O5253" s="1" t="s">
        <v>87</v>
      </c>
      <c r="P5253" s="1" t="s">
        <v>11163</v>
      </c>
      <c r="Q5253" s="1" t="s">
        <v>11164</v>
      </c>
      <c r="R5253" s="1" t="s">
        <v>398</v>
      </c>
      <c r="S5253" s="1" t="s">
        <v>2267</v>
      </c>
      <c r="T5253" s="1" t="s">
        <v>2268</v>
      </c>
      <c r="U5253" s="2" t="s">
        <v>5583</v>
      </c>
      <c r="V5253" s="2" t="s">
        <v>36</v>
      </c>
      <c r="W5253" s="2" t="s">
        <v>60</v>
      </c>
      <c r="X5253" s="2">
        <v>73.114999999999995</v>
      </c>
    </row>
    <row r="5254" spans="1:24" x14ac:dyDescent="0.3">
      <c r="A5254">
        <v>23086</v>
      </c>
      <c r="B5254" t="s">
        <v>11329</v>
      </c>
      <c r="C5254" s="3">
        <v>41117</v>
      </c>
      <c r="D5254" t="s">
        <v>50</v>
      </c>
      <c r="E5254">
        <v>7</v>
      </c>
      <c r="F5254" s="3">
        <f ca="1">41118+(RANDBETWEEN(1,10))</f>
        <v>41125</v>
      </c>
      <c r="G5254" t="s">
        <v>156</v>
      </c>
      <c r="H5254" t="s">
        <v>27</v>
      </c>
      <c r="I5254" t="s">
        <v>28</v>
      </c>
      <c r="J5254">
        <v>174.72</v>
      </c>
      <c r="K5254">
        <v>0.03</v>
      </c>
      <c r="L5254">
        <v>0.37</v>
      </c>
      <c r="M5254">
        <v>21.524999999999999</v>
      </c>
      <c r="N5254">
        <v>-166.74</v>
      </c>
      <c r="O5254" s="1" t="s">
        <v>29</v>
      </c>
      <c r="P5254" s="1" t="s">
        <v>7760</v>
      </c>
      <c r="Q5254" s="1" t="s">
        <v>7761</v>
      </c>
      <c r="R5254" s="1" t="s">
        <v>32</v>
      </c>
      <c r="S5254" s="1" t="s">
        <v>2911</v>
      </c>
      <c r="T5254" s="1" t="s">
        <v>2912</v>
      </c>
      <c r="U5254" s="2" t="s">
        <v>11330</v>
      </c>
      <c r="V5254" s="2" t="s">
        <v>47</v>
      </c>
      <c r="W5254" s="2" t="s">
        <v>74</v>
      </c>
      <c r="X5254" s="2">
        <v>23.38</v>
      </c>
    </row>
    <row r="5255" spans="1:24" x14ac:dyDescent="0.3">
      <c r="A5255">
        <v>23087</v>
      </c>
      <c r="B5255" t="s">
        <v>11329</v>
      </c>
      <c r="C5255" s="3">
        <v>41117</v>
      </c>
      <c r="D5255" t="s">
        <v>50</v>
      </c>
      <c r="E5255">
        <v>7</v>
      </c>
      <c r="F5255" s="3">
        <f ca="1">41118+(RANDBETWEEN(1,10))</f>
        <v>41127</v>
      </c>
      <c r="G5255" t="s">
        <v>26</v>
      </c>
      <c r="H5255" t="s">
        <v>51</v>
      </c>
      <c r="I5255" t="s">
        <v>28</v>
      </c>
      <c r="J5255">
        <v>145.74</v>
      </c>
      <c r="K5255">
        <v>0.01</v>
      </c>
      <c r="L5255">
        <v>0.56000000000000005</v>
      </c>
      <c r="M5255">
        <v>12.6</v>
      </c>
      <c r="N5255">
        <v>-106.785</v>
      </c>
      <c r="O5255" s="1" t="s">
        <v>29</v>
      </c>
      <c r="P5255" s="1" t="s">
        <v>7760</v>
      </c>
      <c r="Q5255" s="1" t="s">
        <v>7761</v>
      </c>
      <c r="R5255" s="1" t="s">
        <v>32</v>
      </c>
      <c r="S5255" s="1" t="s">
        <v>2911</v>
      </c>
      <c r="T5255" s="1" t="s">
        <v>2912</v>
      </c>
      <c r="U5255" s="2" t="s">
        <v>4710</v>
      </c>
      <c r="V5255" s="2" t="s">
        <v>47</v>
      </c>
      <c r="W5255" s="2" t="s">
        <v>94</v>
      </c>
      <c r="X5255" s="2">
        <v>19.88</v>
      </c>
    </row>
    <row r="5256" spans="1:24" x14ac:dyDescent="0.3">
      <c r="A5256">
        <v>23088</v>
      </c>
      <c r="B5256" t="s">
        <v>11329</v>
      </c>
      <c r="C5256" s="3">
        <v>41117</v>
      </c>
      <c r="D5256" t="s">
        <v>50</v>
      </c>
      <c r="E5256">
        <v>8</v>
      </c>
      <c r="F5256" s="3">
        <f ca="1">41117+(RANDBETWEEN(1,10))</f>
        <v>41119</v>
      </c>
      <c r="G5256" t="s">
        <v>156</v>
      </c>
      <c r="H5256" t="s">
        <v>27</v>
      </c>
      <c r="I5256" t="s">
        <v>28</v>
      </c>
      <c r="J5256">
        <v>5063.3450000000003</v>
      </c>
      <c r="K5256">
        <v>0</v>
      </c>
      <c r="L5256">
        <v>0.59</v>
      </c>
      <c r="M5256">
        <v>8.75</v>
      </c>
      <c r="N5256">
        <v>3493.7080500000002</v>
      </c>
      <c r="O5256" s="1" t="s">
        <v>29</v>
      </c>
      <c r="P5256" s="1" t="s">
        <v>7760</v>
      </c>
      <c r="Q5256" s="1" t="s">
        <v>7761</v>
      </c>
      <c r="R5256" s="1" t="s">
        <v>32</v>
      </c>
      <c r="S5256" s="1" t="s">
        <v>2911</v>
      </c>
      <c r="T5256" s="1" t="s">
        <v>2912</v>
      </c>
      <c r="U5256" s="2" t="s">
        <v>5038</v>
      </c>
      <c r="V5256" s="2" t="s">
        <v>36</v>
      </c>
      <c r="W5256" s="2" t="s">
        <v>37</v>
      </c>
      <c r="X5256" s="2">
        <v>720.96500000000003</v>
      </c>
    </row>
    <row r="5257" spans="1:24" x14ac:dyDescent="0.3">
      <c r="A5257">
        <v>23089</v>
      </c>
      <c r="B5257" t="s">
        <v>11331</v>
      </c>
      <c r="C5257" s="3">
        <v>40946</v>
      </c>
      <c r="D5257" t="s">
        <v>62</v>
      </c>
      <c r="E5257">
        <v>5</v>
      </c>
      <c r="F5257" s="3">
        <f ca="1">40947+(RANDBETWEEN(1,10))</f>
        <v>40954</v>
      </c>
      <c r="G5257" t="s">
        <v>26</v>
      </c>
      <c r="H5257" t="s">
        <v>27</v>
      </c>
      <c r="I5257" t="s">
        <v>28</v>
      </c>
      <c r="J5257">
        <v>91.56</v>
      </c>
      <c r="K5257">
        <v>0.05</v>
      </c>
      <c r="L5257">
        <v>0.38</v>
      </c>
      <c r="M5257">
        <v>26.39</v>
      </c>
      <c r="N5257">
        <v>-343.59500000000003</v>
      </c>
      <c r="O5257" s="1" t="s">
        <v>40</v>
      </c>
      <c r="P5257" s="1" t="s">
        <v>9034</v>
      </c>
      <c r="Q5257" s="1" t="s">
        <v>9035</v>
      </c>
      <c r="R5257" s="1" t="s">
        <v>220</v>
      </c>
      <c r="S5257" s="1" t="s">
        <v>9036</v>
      </c>
      <c r="T5257" s="1" t="s">
        <v>9037</v>
      </c>
      <c r="U5257" s="2" t="s">
        <v>9298</v>
      </c>
      <c r="V5257" s="2" t="s">
        <v>47</v>
      </c>
      <c r="W5257" s="2" t="s">
        <v>74</v>
      </c>
      <c r="X5257" s="2">
        <v>17.43</v>
      </c>
    </row>
    <row r="5258" spans="1:24" x14ac:dyDescent="0.3">
      <c r="A5258">
        <v>23090</v>
      </c>
      <c r="B5258" t="s">
        <v>11331</v>
      </c>
      <c r="C5258" s="3">
        <v>40946</v>
      </c>
      <c r="D5258" t="s">
        <v>62</v>
      </c>
      <c r="E5258">
        <v>9</v>
      </c>
      <c r="F5258" s="3">
        <f ca="1">40946+(RANDBETWEEN(1,10))</f>
        <v>40953</v>
      </c>
      <c r="G5258" t="s">
        <v>26</v>
      </c>
      <c r="H5258" t="s">
        <v>27</v>
      </c>
      <c r="I5258" t="s">
        <v>28</v>
      </c>
      <c r="J5258">
        <v>695.24</v>
      </c>
      <c r="K5258">
        <v>0.09</v>
      </c>
      <c r="L5258">
        <v>0.39</v>
      </c>
      <c r="M5258">
        <v>59.045000000000002</v>
      </c>
      <c r="N5258">
        <v>-639.79999999999995</v>
      </c>
      <c r="O5258" s="1" t="s">
        <v>40</v>
      </c>
      <c r="P5258" s="1" t="s">
        <v>9034</v>
      </c>
      <c r="Q5258" s="1" t="s">
        <v>9035</v>
      </c>
      <c r="R5258" s="1" t="s">
        <v>220</v>
      </c>
      <c r="S5258" s="1" t="s">
        <v>9036</v>
      </c>
      <c r="T5258" s="1" t="s">
        <v>9037</v>
      </c>
      <c r="U5258" s="2" t="s">
        <v>6800</v>
      </c>
      <c r="V5258" s="2" t="s">
        <v>47</v>
      </c>
      <c r="W5258" s="2" t="s">
        <v>74</v>
      </c>
      <c r="X5258" s="2">
        <v>79.94</v>
      </c>
    </row>
    <row r="5259" spans="1:24" x14ac:dyDescent="0.3">
      <c r="A5259">
        <v>23091</v>
      </c>
      <c r="B5259" t="s">
        <v>11332</v>
      </c>
      <c r="C5259" s="3">
        <v>41273</v>
      </c>
      <c r="D5259" t="s">
        <v>148</v>
      </c>
      <c r="E5259">
        <v>6</v>
      </c>
      <c r="F5259" s="3">
        <f ca="1">41284+(RANDBETWEEN(1,10))</f>
        <v>41287</v>
      </c>
      <c r="G5259" t="s">
        <v>26</v>
      </c>
      <c r="H5259" t="s">
        <v>27</v>
      </c>
      <c r="I5259" t="s">
        <v>86</v>
      </c>
      <c r="J5259">
        <v>2056.11</v>
      </c>
      <c r="K5259">
        <v>0.04</v>
      </c>
      <c r="L5259">
        <v>0.4</v>
      </c>
      <c r="M5259">
        <v>25.13</v>
      </c>
      <c r="N5259">
        <v>1314.9675</v>
      </c>
      <c r="O5259" s="1" t="s">
        <v>53</v>
      </c>
      <c r="P5259" s="1" t="s">
        <v>11333</v>
      </c>
      <c r="Q5259" s="1" t="s">
        <v>11334</v>
      </c>
      <c r="R5259" s="1" t="s">
        <v>56</v>
      </c>
      <c r="S5259" s="1" t="s">
        <v>11335</v>
      </c>
      <c r="T5259" s="1" t="s">
        <v>11336</v>
      </c>
      <c r="U5259" s="2" t="s">
        <v>5772</v>
      </c>
      <c r="V5259" s="2" t="s">
        <v>36</v>
      </c>
      <c r="W5259" s="2" t="s">
        <v>60</v>
      </c>
      <c r="X5259" s="2">
        <v>353.43</v>
      </c>
    </row>
    <row r="5260" spans="1:24" x14ac:dyDescent="0.3">
      <c r="A5260">
        <v>23092</v>
      </c>
      <c r="B5260" t="s">
        <v>11332</v>
      </c>
      <c r="C5260" s="3">
        <v>41273</v>
      </c>
      <c r="D5260" t="s">
        <v>148</v>
      </c>
      <c r="E5260">
        <v>12</v>
      </c>
      <c r="F5260" s="3">
        <f ca="1">41288+(RANDBETWEEN(1,10))</f>
        <v>41296</v>
      </c>
      <c r="G5260" t="s">
        <v>156</v>
      </c>
      <c r="H5260" t="s">
        <v>27</v>
      </c>
      <c r="I5260" t="s">
        <v>86</v>
      </c>
      <c r="J5260">
        <v>277.79500000000002</v>
      </c>
      <c r="K5260">
        <v>0.09</v>
      </c>
      <c r="L5260">
        <v>0.37</v>
      </c>
      <c r="M5260">
        <v>26.215</v>
      </c>
      <c r="N5260">
        <v>-165.88249999999999</v>
      </c>
      <c r="O5260" s="1" t="s">
        <v>53</v>
      </c>
      <c r="P5260" s="1" t="s">
        <v>11333</v>
      </c>
      <c r="Q5260" s="1" t="s">
        <v>11334</v>
      </c>
      <c r="R5260" s="1" t="s">
        <v>56</v>
      </c>
      <c r="S5260" s="1" t="s">
        <v>11335</v>
      </c>
      <c r="T5260" s="1" t="s">
        <v>11336</v>
      </c>
      <c r="U5260" s="2" t="s">
        <v>2916</v>
      </c>
      <c r="V5260" s="2" t="s">
        <v>47</v>
      </c>
      <c r="W5260" s="2" t="s">
        <v>74</v>
      </c>
      <c r="X5260" s="2">
        <v>22.68</v>
      </c>
    </row>
    <row r="5261" spans="1:24" x14ac:dyDescent="0.3">
      <c r="A5261">
        <v>23093</v>
      </c>
      <c r="B5261" t="s">
        <v>11337</v>
      </c>
      <c r="C5261" s="3">
        <v>41871</v>
      </c>
      <c r="D5261" t="s">
        <v>148</v>
      </c>
      <c r="E5261">
        <v>23</v>
      </c>
      <c r="F5261" s="3">
        <f ca="1">41873+(RANDBETWEEN(1,10))</f>
        <v>41877</v>
      </c>
      <c r="G5261" t="s">
        <v>26</v>
      </c>
      <c r="H5261" t="s">
        <v>27</v>
      </c>
      <c r="I5261" t="s">
        <v>28</v>
      </c>
      <c r="J5261">
        <v>1069.53</v>
      </c>
      <c r="K5261">
        <v>0.04</v>
      </c>
      <c r="L5261">
        <v>0.4</v>
      </c>
      <c r="M5261">
        <v>17.43</v>
      </c>
      <c r="N5261">
        <v>552.78593999999998</v>
      </c>
      <c r="O5261" s="1" t="s">
        <v>29</v>
      </c>
      <c r="P5261" s="1" t="s">
        <v>11338</v>
      </c>
      <c r="Q5261" s="1" t="s">
        <v>11339</v>
      </c>
      <c r="R5261" s="1" t="s">
        <v>32</v>
      </c>
      <c r="S5261" s="1" t="s">
        <v>11340</v>
      </c>
      <c r="T5261" s="1" t="s">
        <v>3321</v>
      </c>
      <c r="U5261" s="2" t="s">
        <v>856</v>
      </c>
      <c r="V5261" s="2" t="s">
        <v>47</v>
      </c>
      <c r="W5261" s="2" t="s">
        <v>111</v>
      </c>
      <c r="X5261" s="2">
        <v>45.325000000000003</v>
      </c>
    </row>
    <row r="5262" spans="1:24" x14ac:dyDescent="0.3">
      <c r="A5262">
        <v>23094</v>
      </c>
      <c r="B5262" t="s">
        <v>11341</v>
      </c>
      <c r="C5262" s="3">
        <v>41156</v>
      </c>
      <c r="D5262" t="s">
        <v>148</v>
      </c>
      <c r="E5262">
        <v>5</v>
      </c>
      <c r="F5262" s="3">
        <f ca="1">41158+(RANDBETWEEN(1,10))</f>
        <v>41160</v>
      </c>
      <c r="G5262" t="s">
        <v>26</v>
      </c>
      <c r="H5262" t="s">
        <v>27</v>
      </c>
      <c r="I5262" t="s">
        <v>28</v>
      </c>
      <c r="J5262">
        <v>486.67500000000001</v>
      </c>
      <c r="K5262">
        <v>0.09</v>
      </c>
      <c r="L5262">
        <v>0.35</v>
      </c>
      <c r="M5262">
        <v>10.465</v>
      </c>
      <c r="N5262">
        <v>-660.08389999999997</v>
      </c>
      <c r="O5262" s="1" t="s">
        <v>225</v>
      </c>
      <c r="P5262" s="1" t="s">
        <v>10943</v>
      </c>
      <c r="Q5262" s="1" t="s">
        <v>10944</v>
      </c>
      <c r="R5262" s="1" t="s">
        <v>228</v>
      </c>
      <c r="S5262" s="1" t="s">
        <v>1949</v>
      </c>
      <c r="T5262" s="1" t="s">
        <v>1950</v>
      </c>
      <c r="U5262" s="2" t="s">
        <v>4393</v>
      </c>
      <c r="V5262" s="2" t="s">
        <v>47</v>
      </c>
      <c r="W5262" s="2" t="s">
        <v>111</v>
      </c>
      <c r="X5262" s="2">
        <v>106.96</v>
      </c>
    </row>
    <row r="5263" spans="1:24" x14ac:dyDescent="0.3">
      <c r="A5263">
        <v>23095</v>
      </c>
      <c r="B5263" t="s">
        <v>11342</v>
      </c>
      <c r="C5263" s="3">
        <v>41200</v>
      </c>
      <c r="D5263" t="s">
        <v>39</v>
      </c>
      <c r="E5263">
        <v>2</v>
      </c>
      <c r="F5263" s="3">
        <f ca="1">41202+(RANDBETWEEN(1,10))</f>
        <v>41207</v>
      </c>
      <c r="G5263" t="s">
        <v>26</v>
      </c>
      <c r="H5263" t="s">
        <v>27</v>
      </c>
      <c r="I5263" t="s">
        <v>28</v>
      </c>
      <c r="J5263">
        <v>120.26</v>
      </c>
      <c r="K5263">
        <v>0.08</v>
      </c>
      <c r="L5263">
        <v>0.48</v>
      </c>
      <c r="M5263">
        <v>22.75</v>
      </c>
      <c r="N5263">
        <v>50.756999999999998</v>
      </c>
      <c r="O5263" s="1" t="s">
        <v>87</v>
      </c>
      <c r="P5263" s="1" t="s">
        <v>7985</v>
      </c>
      <c r="Q5263" s="1" t="s">
        <v>7986</v>
      </c>
      <c r="R5263" s="1" t="s">
        <v>90</v>
      </c>
      <c r="S5263" s="1" t="s">
        <v>4029</v>
      </c>
      <c r="T5263" s="1" t="s">
        <v>4030</v>
      </c>
      <c r="U5263" s="2" t="s">
        <v>1006</v>
      </c>
      <c r="V5263" s="2" t="s">
        <v>36</v>
      </c>
      <c r="W5263" s="2" t="s">
        <v>60</v>
      </c>
      <c r="X5263" s="2">
        <v>55.93</v>
      </c>
    </row>
    <row r="5264" spans="1:24" x14ac:dyDescent="0.3">
      <c r="A5264">
        <v>23096</v>
      </c>
      <c r="B5264" t="s">
        <v>11343</v>
      </c>
      <c r="C5264" s="3">
        <v>41795</v>
      </c>
      <c r="D5264" t="s">
        <v>148</v>
      </c>
      <c r="E5264">
        <v>5</v>
      </c>
      <c r="F5264" s="3">
        <f ca="1">41797+(RANDBETWEEN(1,10))</f>
        <v>41804</v>
      </c>
      <c r="G5264" t="s">
        <v>26</v>
      </c>
      <c r="H5264" t="s">
        <v>27</v>
      </c>
      <c r="I5264" t="s">
        <v>97</v>
      </c>
      <c r="J5264">
        <v>6148.38</v>
      </c>
      <c r="K5264">
        <v>7.0000000000000007E-2</v>
      </c>
      <c r="L5264">
        <v>0.56999999999999995</v>
      </c>
      <c r="M5264">
        <v>69.965000000000003</v>
      </c>
      <c r="N5264">
        <v>879.06</v>
      </c>
      <c r="O5264" s="1" t="s">
        <v>225</v>
      </c>
      <c r="P5264" s="1" t="s">
        <v>11344</v>
      </c>
      <c r="Q5264" s="1" t="s">
        <v>11345</v>
      </c>
      <c r="R5264" s="1" t="s">
        <v>391</v>
      </c>
      <c r="S5264" s="1" t="s">
        <v>3508</v>
      </c>
      <c r="T5264" s="1" t="s">
        <v>11346</v>
      </c>
      <c r="U5264" s="2" t="s">
        <v>572</v>
      </c>
      <c r="V5264" s="2" t="s">
        <v>47</v>
      </c>
      <c r="W5264" s="2" t="s">
        <v>71</v>
      </c>
      <c r="X5264" s="2">
        <v>1271.375</v>
      </c>
    </row>
    <row r="5265" spans="1:24" x14ac:dyDescent="0.3">
      <c r="A5265">
        <v>23097</v>
      </c>
      <c r="B5265" t="s">
        <v>11347</v>
      </c>
      <c r="C5265" s="3">
        <v>40879</v>
      </c>
      <c r="D5265" t="s">
        <v>148</v>
      </c>
      <c r="E5265">
        <v>4</v>
      </c>
      <c r="F5265" s="3">
        <f ca="1">40879+(RANDBETWEEN(1,10))</f>
        <v>40889</v>
      </c>
      <c r="G5265" t="s">
        <v>156</v>
      </c>
      <c r="H5265" t="s">
        <v>27</v>
      </c>
      <c r="I5265" t="s">
        <v>97</v>
      </c>
      <c r="J5265">
        <v>95.55</v>
      </c>
      <c r="K5265">
        <v>0.09</v>
      </c>
      <c r="L5265">
        <v>0.37</v>
      </c>
      <c r="M5265">
        <v>27.23</v>
      </c>
      <c r="N5265">
        <v>-75.207125000000005</v>
      </c>
      <c r="O5265" s="1" t="s">
        <v>64</v>
      </c>
      <c r="P5265" s="1" t="s">
        <v>501</v>
      </c>
      <c r="Q5265" s="1" t="s">
        <v>502</v>
      </c>
      <c r="R5265" s="1" t="s">
        <v>128</v>
      </c>
      <c r="S5265" s="1" t="s">
        <v>503</v>
      </c>
      <c r="T5265" s="1" t="s">
        <v>504</v>
      </c>
      <c r="U5265" s="2" t="s">
        <v>599</v>
      </c>
      <c r="V5265" s="2" t="s">
        <v>47</v>
      </c>
      <c r="W5265" s="2" t="s">
        <v>111</v>
      </c>
      <c r="X5265" s="2">
        <v>18.899999999999999</v>
      </c>
    </row>
    <row r="5266" spans="1:24" x14ac:dyDescent="0.3">
      <c r="A5266">
        <v>23098</v>
      </c>
      <c r="B5266" t="s">
        <v>11347</v>
      </c>
      <c r="C5266" s="3">
        <v>40879</v>
      </c>
      <c r="D5266" t="s">
        <v>148</v>
      </c>
      <c r="E5266">
        <v>3</v>
      </c>
      <c r="F5266" s="3">
        <f ca="1">40879+(RANDBETWEEN(1,10))</f>
        <v>40887</v>
      </c>
      <c r="G5266" t="s">
        <v>26</v>
      </c>
      <c r="H5266" t="s">
        <v>27</v>
      </c>
      <c r="I5266" t="s">
        <v>97</v>
      </c>
      <c r="J5266">
        <v>226.625</v>
      </c>
      <c r="K5266">
        <v>0.02</v>
      </c>
      <c r="L5266">
        <v>0.53</v>
      </c>
      <c r="M5266">
        <v>23.38</v>
      </c>
      <c r="N5266">
        <v>156.37125</v>
      </c>
      <c r="O5266" s="1" t="s">
        <v>64</v>
      </c>
      <c r="P5266" s="1" t="s">
        <v>501</v>
      </c>
      <c r="Q5266" s="1" t="s">
        <v>502</v>
      </c>
      <c r="R5266" s="1" t="s">
        <v>128</v>
      </c>
      <c r="S5266" s="1" t="s">
        <v>503</v>
      </c>
      <c r="T5266" s="1" t="s">
        <v>504</v>
      </c>
      <c r="U5266" s="2" t="s">
        <v>223</v>
      </c>
      <c r="V5266" s="2" t="s">
        <v>83</v>
      </c>
      <c r="W5266" s="2" t="s">
        <v>178</v>
      </c>
      <c r="X5266" s="2">
        <v>70.98</v>
      </c>
    </row>
    <row r="5267" spans="1:24" x14ac:dyDescent="0.3">
      <c r="A5267">
        <v>23099</v>
      </c>
      <c r="B5267" t="s">
        <v>11347</v>
      </c>
      <c r="C5267" s="3">
        <v>40879</v>
      </c>
      <c r="D5267" t="s">
        <v>148</v>
      </c>
      <c r="E5267">
        <v>5</v>
      </c>
      <c r="F5267" s="3">
        <f ca="1">40880+(RANDBETWEEN(1,10))</f>
        <v>40884</v>
      </c>
      <c r="G5267" t="s">
        <v>26</v>
      </c>
      <c r="H5267" t="s">
        <v>96</v>
      </c>
      <c r="I5267" t="s">
        <v>97</v>
      </c>
      <c r="J5267">
        <v>220.43</v>
      </c>
      <c r="K5267">
        <v>0</v>
      </c>
      <c r="L5267">
        <v>0.55000000000000004</v>
      </c>
      <c r="M5267">
        <v>8.26</v>
      </c>
      <c r="N5267">
        <v>82.582499999999996</v>
      </c>
      <c r="O5267" s="1" t="s">
        <v>64</v>
      </c>
      <c r="P5267" s="1" t="s">
        <v>501</v>
      </c>
      <c r="Q5267" s="1" t="s">
        <v>502</v>
      </c>
      <c r="R5267" s="1" t="s">
        <v>128</v>
      </c>
      <c r="S5267" s="1" t="s">
        <v>503</v>
      </c>
      <c r="T5267" s="1" t="s">
        <v>504</v>
      </c>
      <c r="U5267" s="2" t="s">
        <v>2967</v>
      </c>
      <c r="V5267" s="2" t="s">
        <v>47</v>
      </c>
      <c r="W5267" s="2" t="s">
        <v>104</v>
      </c>
      <c r="X5267" s="2">
        <v>40.424999999999997</v>
      </c>
    </row>
    <row r="5268" spans="1:24" x14ac:dyDescent="0.3">
      <c r="A5268">
        <v>23100</v>
      </c>
      <c r="B5268" t="s">
        <v>11347</v>
      </c>
      <c r="C5268" s="3">
        <v>40879</v>
      </c>
      <c r="D5268" t="s">
        <v>148</v>
      </c>
      <c r="E5268">
        <v>20</v>
      </c>
      <c r="F5268" s="3">
        <f ca="1">40880+(RANDBETWEEN(1,10))</f>
        <v>40882</v>
      </c>
      <c r="G5268" t="s">
        <v>26</v>
      </c>
      <c r="H5268" t="s">
        <v>51</v>
      </c>
      <c r="I5268" t="s">
        <v>97</v>
      </c>
      <c r="J5268">
        <v>148.01499999999999</v>
      </c>
      <c r="K5268">
        <v>0.05</v>
      </c>
      <c r="L5268">
        <v>0.55000000000000004</v>
      </c>
      <c r="M5268">
        <v>8.9600000000000009</v>
      </c>
      <c r="N5268">
        <v>-126.875</v>
      </c>
      <c r="O5268" s="1" t="s">
        <v>87</v>
      </c>
      <c r="P5268" s="1" t="s">
        <v>11348</v>
      </c>
      <c r="Q5268" s="1" t="s">
        <v>11349</v>
      </c>
      <c r="R5268" s="1" t="s">
        <v>398</v>
      </c>
      <c r="S5268" s="1" t="s">
        <v>11350</v>
      </c>
      <c r="T5268" s="1" t="s">
        <v>11351</v>
      </c>
      <c r="U5268" s="2" t="s">
        <v>401</v>
      </c>
      <c r="V5268" s="2" t="s">
        <v>47</v>
      </c>
      <c r="W5268" s="2" t="s">
        <v>94</v>
      </c>
      <c r="X5268" s="2">
        <v>7.28</v>
      </c>
    </row>
    <row r="5269" spans="1:24" x14ac:dyDescent="0.3">
      <c r="A5269">
        <v>23101</v>
      </c>
      <c r="B5269" t="s">
        <v>11352</v>
      </c>
      <c r="C5269" s="3">
        <v>41633</v>
      </c>
      <c r="D5269" t="s">
        <v>148</v>
      </c>
      <c r="E5269">
        <v>23</v>
      </c>
      <c r="F5269" s="3">
        <f ca="1">41635+(RANDBETWEEN(1,10))</f>
        <v>41638</v>
      </c>
      <c r="G5269" t="s">
        <v>76</v>
      </c>
      <c r="H5269" t="s">
        <v>77</v>
      </c>
      <c r="I5269" t="s">
        <v>52</v>
      </c>
      <c r="J5269">
        <v>8530.48</v>
      </c>
      <c r="K5269">
        <v>0.01</v>
      </c>
      <c r="L5269">
        <v>0.69</v>
      </c>
      <c r="M5269">
        <v>157.5</v>
      </c>
      <c r="N5269">
        <v>-1039.1500000000001</v>
      </c>
      <c r="O5269" s="1" t="s">
        <v>40</v>
      </c>
      <c r="P5269" s="1" t="s">
        <v>11312</v>
      </c>
      <c r="Q5269" s="1" t="s">
        <v>11313</v>
      </c>
      <c r="R5269" s="1" t="s">
        <v>43</v>
      </c>
      <c r="S5269" s="1" t="s">
        <v>11314</v>
      </c>
      <c r="T5269" s="1" t="s">
        <v>11315</v>
      </c>
      <c r="U5269" s="2" t="s">
        <v>11353</v>
      </c>
      <c r="V5269" s="2" t="s">
        <v>83</v>
      </c>
      <c r="W5269" s="2" t="s">
        <v>84</v>
      </c>
      <c r="X5269" s="2">
        <v>353.43</v>
      </c>
    </row>
    <row r="5270" spans="1:24" x14ac:dyDescent="0.3">
      <c r="A5270">
        <v>23102</v>
      </c>
      <c r="B5270" t="s">
        <v>11352</v>
      </c>
      <c r="C5270" s="3">
        <v>41633</v>
      </c>
      <c r="D5270" t="s">
        <v>148</v>
      </c>
      <c r="E5270">
        <v>17</v>
      </c>
      <c r="F5270" s="3">
        <f ca="1">41635+(RANDBETWEEN(1,10))</f>
        <v>41637</v>
      </c>
      <c r="G5270" t="s">
        <v>26</v>
      </c>
      <c r="H5270" t="s">
        <v>27</v>
      </c>
      <c r="I5270" t="s">
        <v>52</v>
      </c>
      <c r="J5270">
        <v>212.345</v>
      </c>
      <c r="K5270">
        <v>0.08</v>
      </c>
      <c r="L5270">
        <v>0.37</v>
      </c>
      <c r="M5270">
        <v>1.75</v>
      </c>
      <c r="N5270">
        <v>146.51804999999999</v>
      </c>
      <c r="O5270" s="1" t="s">
        <v>40</v>
      </c>
      <c r="P5270" s="1" t="s">
        <v>11312</v>
      </c>
      <c r="Q5270" s="1" t="s">
        <v>11313</v>
      </c>
      <c r="R5270" s="1" t="s">
        <v>43</v>
      </c>
      <c r="S5270" s="1" t="s">
        <v>11314</v>
      </c>
      <c r="T5270" s="1" t="s">
        <v>11315</v>
      </c>
      <c r="U5270" s="2" t="s">
        <v>2907</v>
      </c>
      <c r="V5270" s="2" t="s">
        <v>47</v>
      </c>
      <c r="W5270" s="2" t="s">
        <v>203</v>
      </c>
      <c r="X5270" s="2">
        <v>13.125</v>
      </c>
    </row>
    <row r="5271" spans="1:24" x14ac:dyDescent="0.3">
      <c r="A5271">
        <v>23103</v>
      </c>
      <c r="B5271" t="s">
        <v>11354</v>
      </c>
      <c r="C5271" s="3">
        <v>41653</v>
      </c>
      <c r="D5271" t="s">
        <v>50</v>
      </c>
      <c r="E5271">
        <v>10</v>
      </c>
      <c r="F5271" s="3">
        <f ca="1">41654+(RANDBETWEEN(1,10))</f>
        <v>41662</v>
      </c>
      <c r="G5271" t="s">
        <v>76</v>
      </c>
      <c r="H5271" t="s">
        <v>77</v>
      </c>
      <c r="I5271" t="s">
        <v>86</v>
      </c>
      <c r="J5271">
        <v>16215.85</v>
      </c>
      <c r="K5271">
        <v>0.01</v>
      </c>
      <c r="L5271">
        <v>0.38</v>
      </c>
      <c r="M5271">
        <v>171.5</v>
      </c>
      <c r="N5271">
        <v>-1605.9736</v>
      </c>
      <c r="O5271" s="1" t="s">
        <v>64</v>
      </c>
      <c r="P5271" s="1" t="s">
        <v>1765</v>
      </c>
      <c r="Q5271" s="1" t="s">
        <v>1766</v>
      </c>
      <c r="R5271" s="1" t="s">
        <v>128</v>
      </c>
      <c r="S5271" s="1" t="s">
        <v>1767</v>
      </c>
      <c r="T5271" s="1" t="s">
        <v>1768</v>
      </c>
      <c r="U5271" s="2" t="s">
        <v>1480</v>
      </c>
      <c r="V5271" s="2" t="s">
        <v>36</v>
      </c>
      <c r="W5271" s="2" t="s">
        <v>1327</v>
      </c>
      <c r="X5271" s="2">
        <v>1574.9649999999999</v>
      </c>
    </row>
    <row r="5272" spans="1:24" x14ac:dyDescent="0.3">
      <c r="A5272">
        <v>23104</v>
      </c>
      <c r="B5272" t="s">
        <v>11355</v>
      </c>
      <c r="C5272" s="3">
        <v>40676</v>
      </c>
      <c r="D5272" t="s">
        <v>50</v>
      </c>
      <c r="E5272">
        <v>10</v>
      </c>
      <c r="F5272" s="3">
        <f ca="1">40678+(RANDBETWEEN(1,10))</f>
        <v>40684</v>
      </c>
      <c r="G5272" t="s">
        <v>26</v>
      </c>
      <c r="H5272" t="s">
        <v>27</v>
      </c>
      <c r="I5272" t="s">
        <v>28</v>
      </c>
      <c r="J5272">
        <v>1081.675</v>
      </c>
      <c r="K5272">
        <v>0.06</v>
      </c>
      <c r="L5272">
        <v>0.74</v>
      </c>
      <c r="M5272">
        <v>30.274999999999999</v>
      </c>
      <c r="N5272">
        <v>-557.375</v>
      </c>
      <c r="O5272" s="1" t="s">
        <v>87</v>
      </c>
      <c r="P5272" s="1" t="s">
        <v>601</v>
      </c>
      <c r="Q5272" s="1" t="s">
        <v>602</v>
      </c>
      <c r="R5272" s="1" t="s">
        <v>497</v>
      </c>
      <c r="S5272" s="1" t="s">
        <v>603</v>
      </c>
      <c r="T5272" s="1" t="s">
        <v>604</v>
      </c>
      <c r="U5272" s="2" t="s">
        <v>344</v>
      </c>
      <c r="V5272" s="2" t="s">
        <v>36</v>
      </c>
      <c r="W5272" s="2" t="s">
        <v>60</v>
      </c>
      <c r="X5272" s="2">
        <v>106.47</v>
      </c>
    </row>
    <row r="5273" spans="1:24" x14ac:dyDescent="0.3">
      <c r="A5273">
        <v>23105</v>
      </c>
      <c r="B5273" t="s">
        <v>11355</v>
      </c>
      <c r="C5273" s="3">
        <v>40676</v>
      </c>
      <c r="D5273" t="s">
        <v>50</v>
      </c>
      <c r="E5273">
        <v>8</v>
      </c>
      <c r="F5273" s="3">
        <f ca="1">40677+(RANDBETWEEN(1,10))</f>
        <v>40687</v>
      </c>
      <c r="G5273" t="s">
        <v>26</v>
      </c>
      <c r="H5273" t="s">
        <v>96</v>
      </c>
      <c r="I5273" t="s">
        <v>28</v>
      </c>
      <c r="J5273">
        <v>1047.55</v>
      </c>
      <c r="K5273">
        <v>0.02</v>
      </c>
      <c r="L5273">
        <v>0.38</v>
      </c>
      <c r="M5273">
        <v>17.78</v>
      </c>
      <c r="N5273">
        <v>722.80949999999996</v>
      </c>
      <c r="O5273" s="1" t="s">
        <v>87</v>
      </c>
      <c r="P5273" s="1" t="s">
        <v>601</v>
      </c>
      <c r="Q5273" s="1" t="s">
        <v>602</v>
      </c>
      <c r="R5273" s="1" t="s">
        <v>497</v>
      </c>
      <c r="S5273" s="1" t="s">
        <v>603</v>
      </c>
      <c r="T5273" s="1" t="s">
        <v>604</v>
      </c>
      <c r="U5273" s="2" t="s">
        <v>2638</v>
      </c>
      <c r="V5273" s="2" t="s">
        <v>47</v>
      </c>
      <c r="W5273" s="2" t="s">
        <v>74</v>
      </c>
      <c r="X5273" s="2">
        <v>132.79</v>
      </c>
    </row>
    <row r="5274" spans="1:24" x14ac:dyDescent="0.3">
      <c r="A5274">
        <v>23106</v>
      </c>
      <c r="B5274" t="s">
        <v>11356</v>
      </c>
      <c r="C5274" s="3">
        <v>41601</v>
      </c>
      <c r="D5274" t="s">
        <v>39</v>
      </c>
      <c r="E5274">
        <v>2</v>
      </c>
      <c r="F5274" s="3">
        <f ca="1">41602+(RANDBETWEEN(1,10))</f>
        <v>41604</v>
      </c>
      <c r="G5274" t="s">
        <v>26</v>
      </c>
      <c r="H5274" t="s">
        <v>27</v>
      </c>
      <c r="I5274" t="s">
        <v>28</v>
      </c>
      <c r="J5274">
        <v>240.31</v>
      </c>
      <c r="K5274">
        <v>0.06</v>
      </c>
      <c r="L5274">
        <v>0.4</v>
      </c>
      <c r="M5274">
        <v>20.16</v>
      </c>
      <c r="N5274">
        <v>20.72</v>
      </c>
      <c r="O5274" s="1" t="s">
        <v>53</v>
      </c>
      <c r="P5274" s="1" t="s">
        <v>5540</v>
      </c>
      <c r="Q5274" s="1" t="s">
        <v>5541</v>
      </c>
      <c r="R5274" s="1" t="s">
        <v>440</v>
      </c>
      <c r="S5274" s="1" t="s">
        <v>4083</v>
      </c>
      <c r="T5274" s="1" t="s">
        <v>3397</v>
      </c>
      <c r="U5274" s="2" t="s">
        <v>2045</v>
      </c>
      <c r="V5274" s="2" t="s">
        <v>47</v>
      </c>
      <c r="W5274" s="2" t="s">
        <v>74</v>
      </c>
      <c r="X5274" s="2">
        <v>108.43</v>
      </c>
    </row>
    <row r="5275" spans="1:24" x14ac:dyDescent="0.3">
      <c r="A5275">
        <v>23107</v>
      </c>
      <c r="B5275" t="s">
        <v>11357</v>
      </c>
      <c r="C5275" s="3">
        <v>41585</v>
      </c>
      <c r="D5275" t="s">
        <v>39</v>
      </c>
      <c r="E5275">
        <v>27</v>
      </c>
      <c r="F5275" s="3">
        <f ca="1">41588+(RANDBETWEEN(1,10))</f>
        <v>41594</v>
      </c>
      <c r="G5275" t="s">
        <v>26</v>
      </c>
      <c r="H5275" t="s">
        <v>51</v>
      </c>
      <c r="I5275" t="s">
        <v>28</v>
      </c>
      <c r="J5275">
        <v>1820.28</v>
      </c>
      <c r="K5275">
        <v>0.09</v>
      </c>
      <c r="L5275">
        <v>0.48</v>
      </c>
      <c r="M5275">
        <v>6.9649999999999999</v>
      </c>
      <c r="N5275">
        <v>1141.7560000000001</v>
      </c>
      <c r="O5275" s="1" t="s">
        <v>29</v>
      </c>
      <c r="P5275" s="1" t="s">
        <v>10073</v>
      </c>
      <c r="Q5275" s="1" t="s">
        <v>10074</v>
      </c>
      <c r="R5275" s="1" t="s">
        <v>675</v>
      </c>
      <c r="S5275" s="1" t="s">
        <v>10075</v>
      </c>
      <c r="T5275" s="1" t="s">
        <v>10076</v>
      </c>
      <c r="U5275" s="2" t="s">
        <v>5583</v>
      </c>
      <c r="V5275" s="2" t="s">
        <v>36</v>
      </c>
      <c r="W5275" s="2" t="s">
        <v>60</v>
      </c>
      <c r="X5275" s="2">
        <v>73.114999999999995</v>
      </c>
    </row>
    <row r="5276" spans="1:24" x14ac:dyDescent="0.3">
      <c r="A5276">
        <v>23108</v>
      </c>
      <c r="B5276" t="s">
        <v>11358</v>
      </c>
      <c r="C5276" s="3">
        <v>41924</v>
      </c>
      <c r="D5276" t="s">
        <v>39</v>
      </c>
      <c r="E5276">
        <v>2</v>
      </c>
      <c r="F5276" s="3">
        <f ca="1">41926+(RANDBETWEEN(1,10))</f>
        <v>41932</v>
      </c>
      <c r="G5276" t="s">
        <v>26</v>
      </c>
      <c r="H5276" t="s">
        <v>27</v>
      </c>
      <c r="I5276" t="s">
        <v>28</v>
      </c>
      <c r="J5276">
        <v>769.125</v>
      </c>
      <c r="K5276">
        <v>0.05</v>
      </c>
      <c r="L5276">
        <v>0.59</v>
      </c>
      <c r="M5276">
        <v>31.465</v>
      </c>
      <c r="N5276">
        <v>-1894.662</v>
      </c>
      <c r="O5276" s="1" t="s">
        <v>40</v>
      </c>
      <c r="P5276" s="1" t="s">
        <v>11359</v>
      </c>
      <c r="Q5276" s="1" t="s">
        <v>11360</v>
      </c>
      <c r="R5276" s="1" t="s">
        <v>43</v>
      </c>
      <c r="S5276" s="1" t="s">
        <v>2453</v>
      </c>
      <c r="T5276" s="1" t="s">
        <v>2454</v>
      </c>
      <c r="U5276" s="2" t="s">
        <v>295</v>
      </c>
      <c r="V5276" s="2" t="s">
        <v>36</v>
      </c>
      <c r="W5276" s="2" t="s">
        <v>37</v>
      </c>
      <c r="X5276" s="2">
        <v>440.96499999999997</v>
      </c>
    </row>
    <row r="5277" spans="1:24" x14ac:dyDescent="0.3">
      <c r="A5277">
        <v>23109</v>
      </c>
      <c r="B5277" t="s">
        <v>11361</v>
      </c>
      <c r="C5277" s="3">
        <v>41973</v>
      </c>
      <c r="D5277" t="s">
        <v>25</v>
      </c>
      <c r="E5277">
        <v>40</v>
      </c>
      <c r="F5277" s="3">
        <f ca="1">41977+(RANDBETWEEN(1,10))</f>
        <v>41982</v>
      </c>
      <c r="G5277" t="s">
        <v>26</v>
      </c>
      <c r="H5277" t="s">
        <v>27</v>
      </c>
      <c r="I5277" t="s">
        <v>28</v>
      </c>
      <c r="J5277">
        <v>878.18499999999995</v>
      </c>
      <c r="K5277">
        <v>0.08</v>
      </c>
      <c r="L5277">
        <v>0.37</v>
      </c>
      <c r="M5277">
        <v>20.37</v>
      </c>
      <c r="N5277">
        <v>160.01272</v>
      </c>
      <c r="O5277" s="1" t="s">
        <v>53</v>
      </c>
      <c r="P5277" s="1" t="s">
        <v>6508</v>
      </c>
      <c r="Q5277" s="1" t="s">
        <v>6509</v>
      </c>
      <c r="R5277" s="1" t="s">
        <v>440</v>
      </c>
      <c r="S5277" s="1" t="s">
        <v>6510</v>
      </c>
      <c r="T5277" s="1" t="s">
        <v>6511</v>
      </c>
      <c r="U5277" s="2" t="s">
        <v>11362</v>
      </c>
      <c r="V5277" s="2" t="s">
        <v>47</v>
      </c>
      <c r="W5277" s="2" t="s">
        <v>74</v>
      </c>
      <c r="X5277" s="2">
        <v>22.68</v>
      </c>
    </row>
    <row r="5278" spans="1:24" x14ac:dyDescent="0.3">
      <c r="A5278">
        <v>23110</v>
      </c>
      <c r="B5278" t="s">
        <v>11363</v>
      </c>
      <c r="C5278" s="3">
        <v>40877</v>
      </c>
      <c r="D5278" t="s">
        <v>25</v>
      </c>
      <c r="E5278">
        <v>39</v>
      </c>
      <c r="F5278" s="3">
        <f ca="1">40881+(RANDBETWEEN(1,10))</f>
        <v>40889</v>
      </c>
      <c r="G5278" t="s">
        <v>26</v>
      </c>
      <c r="H5278" t="s">
        <v>96</v>
      </c>
      <c r="I5278" t="s">
        <v>28</v>
      </c>
      <c r="J5278">
        <v>391.72</v>
      </c>
      <c r="K5278">
        <v>0.04</v>
      </c>
      <c r="L5278">
        <v>0.55000000000000004</v>
      </c>
      <c r="M5278">
        <v>3.5350000000000001</v>
      </c>
      <c r="N5278">
        <v>53.360999999999997</v>
      </c>
      <c r="O5278" s="1" t="s">
        <v>53</v>
      </c>
      <c r="P5278" s="1" t="s">
        <v>6508</v>
      </c>
      <c r="Q5278" s="1" t="s">
        <v>6509</v>
      </c>
      <c r="R5278" s="1" t="s">
        <v>440</v>
      </c>
      <c r="S5278" s="1" t="s">
        <v>6510</v>
      </c>
      <c r="T5278" s="1" t="s">
        <v>6511</v>
      </c>
      <c r="U5278" s="2" t="s">
        <v>4714</v>
      </c>
      <c r="V5278" s="2" t="s">
        <v>47</v>
      </c>
      <c r="W5278" s="2" t="s">
        <v>104</v>
      </c>
      <c r="X5278" s="2">
        <v>10.08</v>
      </c>
    </row>
    <row r="5279" spans="1:24" x14ac:dyDescent="0.3">
      <c r="A5279">
        <v>23111</v>
      </c>
      <c r="B5279" t="s">
        <v>11364</v>
      </c>
      <c r="C5279" s="3">
        <v>41666</v>
      </c>
      <c r="D5279" t="s">
        <v>50</v>
      </c>
      <c r="E5279">
        <v>9</v>
      </c>
      <c r="F5279" s="3">
        <f ca="1">41667+(RANDBETWEEN(1,10))</f>
        <v>41677</v>
      </c>
      <c r="G5279" t="s">
        <v>156</v>
      </c>
      <c r="H5279" t="s">
        <v>27</v>
      </c>
      <c r="I5279" t="s">
        <v>28</v>
      </c>
      <c r="J5279">
        <v>198.48500000000001</v>
      </c>
      <c r="K5279">
        <v>0.08</v>
      </c>
      <c r="L5279">
        <v>0.36</v>
      </c>
      <c r="M5279">
        <v>24.395</v>
      </c>
      <c r="N5279">
        <v>-541.82295999999997</v>
      </c>
      <c r="O5279" s="1" t="s">
        <v>225</v>
      </c>
      <c r="P5279" s="1" t="s">
        <v>11365</v>
      </c>
      <c r="Q5279" s="1" t="s">
        <v>11366</v>
      </c>
      <c r="R5279" s="1" t="s">
        <v>228</v>
      </c>
      <c r="S5279" s="1" t="s">
        <v>11367</v>
      </c>
      <c r="T5279" s="1" t="s">
        <v>11368</v>
      </c>
      <c r="U5279" s="2" t="s">
        <v>9581</v>
      </c>
      <c r="V5279" s="2" t="s">
        <v>47</v>
      </c>
      <c r="W5279" s="2" t="s">
        <v>111</v>
      </c>
      <c r="X5279" s="2">
        <v>21.805</v>
      </c>
    </row>
    <row r="5280" spans="1:24" x14ac:dyDescent="0.3">
      <c r="A5280">
        <v>23112</v>
      </c>
      <c r="B5280" t="s">
        <v>11369</v>
      </c>
      <c r="C5280" s="3">
        <v>41162</v>
      </c>
      <c r="D5280" t="s">
        <v>148</v>
      </c>
      <c r="E5280">
        <v>3</v>
      </c>
      <c r="F5280" s="3">
        <f ca="1">41162+(RANDBETWEEN(1,10))</f>
        <v>41170</v>
      </c>
      <c r="G5280" t="s">
        <v>26</v>
      </c>
      <c r="H5280" t="s">
        <v>96</v>
      </c>
      <c r="I5280" t="s">
        <v>52</v>
      </c>
      <c r="J5280">
        <v>64.155000000000001</v>
      </c>
      <c r="K5280">
        <v>0.03</v>
      </c>
      <c r="L5280">
        <v>0.51</v>
      </c>
      <c r="M5280">
        <v>3.1850000000000001</v>
      </c>
      <c r="N5280">
        <v>1.5049999999999999</v>
      </c>
      <c r="O5280" s="1" t="s">
        <v>53</v>
      </c>
      <c r="P5280" s="1" t="s">
        <v>8255</v>
      </c>
      <c r="Q5280" s="1" t="s">
        <v>8256</v>
      </c>
      <c r="R5280" s="1" t="s">
        <v>100</v>
      </c>
      <c r="S5280" s="1" t="s">
        <v>8257</v>
      </c>
      <c r="T5280" s="1" t="s">
        <v>8258</v>
      </c>
      <c r="U5280" s="2" t="s">
        <v>4793</v>
      </c>
      <c r="V5280" s="2" t="s">
        <v>47</v>
      </c>
      <c r="W5280" s="2" t="s">
        <v>104</v>
      </c>
      <c r="X5280" s="2">
        <v>21.28</v>
      </c>
    </row>
    <row r="5281" spans="1:24" x14ac:dyDescent="0.3">
      <c r="A5281">
        <v>23113</v>
      </c>
      <c r="B5281" t="s">
        <v>11370</v>
      </c>
      <c r="C5281" s="3">
        <v>41892</v>
      </c>
      <c r="D5281" t="s">
        <v>148</v>
      </c>
      <c r="E5281">
        <v>23</v>
      </c>
      <c r="F5281" s="3">
        <f ca="1">41893+(RANDBETWEEN(1,10))</f>
        <v>41895</v>
      </c>
      <c r="G5281" t="s">
        <v>26</v>
      </c>
      <c r="H5281" t="s">
        <v>51</v>
      </c>
      <c r="I5281" t="s">
        <v>52</v>
      </c>
      <c r="J5281">
        <v>1763.86</v>
      </c>
      <c r="K5281">
        <v>0.02</v>
      </c>
      <c r="L5281">
        <v>0.59</v>
      </c>
      <c r="M5281">
        <v>19.355</v>
      </c>
      <c r="N5281">
        <v>398.29860000000002</v>
      </c>
      <c r="O5281" s="1" t="s">
        <v>29</v>
      </c>
      <c r="P5281" s="1" t="s">
        <v>11371</v>
      </c>
      <c r="Q5281" s="1" t="s">
        <v>11372</v>
      </c>
      <c r="R5281" s="1" t="s">
        <v>460</v>
      </c>
      <c r="S5281" s="1" t="s">
        <v>5791</v>
      </c>
      <c r="T5281" s="1" t="s">
        <v>11373</v>
      </c>
      <c r="U5281" s="2" t="s">
        <v>2037</v>
      </c>
      <c r="V5281" s="2" t="s">
        <v>47</v>
      </c>
      <c r="W5281" s="2" t="s">
        <v>104</v>
      </c>
      <c r="X5281" s="2">
        <v>77.034999999999997</v>
      </c>
    </row>
    <row r="5282" spans="1:24" x14ac:dyDescent="0.3">
      <c r="A5282">
        <v>23114</v>
      </c>
      <c r="B5282" t="s">
        <v>11374</v>
      </c>
      <c r="C5282" s="3">
        <v>41157</v>
      </c>
      <c r="D5282" t="s">
        <v>50</v>
      </c>
      <c r="E5282">
        <v>3</v>
      </c>
      <c r="F5282" s="3">
        <f ca="1">41157+(RANDBETWEEN(1,10))</f>
        <v>41161</v>
      </c>
      <c r="G5282" t="s">
        <v>26</v>
      </c>
      <c r="H5282" t="s">
        <v>63</v>
      </c>
      <c r="I5282" t="s">
        <v>28</v>
      </c>
      <c r="J5282">
        <v>158.83000000000001</v>
      </c>
      <c r="K5282">
        <v>0.02</v>
      </c>
      <c r="L5282">
        <v>0.73</v>
      </c>
      <c r="M5282">
        <v>50.295000000000002</v>
      </c>
      <c r="N5282">
        <v>-92.364999999999995</v>
      </c>
      <c r="O5282" s="1" t="s">
        <v>87</v>
      </c>
      <c r="P5282" s="1" t="s">
        <v>8695</v>
      </c>
      <c r="Q5282" s="1" t="s">
        <v>8696</v>
      </c>
      <c r="R5282" s="1" t="s">
        <v>497</v>
      </c>
      <c r="S5282" s="1" t="s">
        <v>8697</v>
      </c>
      <c r="T5282" s="1" t="s">
        <v>8698</v>
      </c>
      <c r="U5282" s="2" t="s">
        <v>5853</v>
      </c>
      <c r="V5282" s="2" t="s">
        <v>83</v>
      </c>
      <c r="W5282" s="2" t="s">
        <v>178</v>
      </c>
      <c r="X5282" s="2">
        <v>45.465000000000003</v>
      </c>
    </row>
    <row r="5283" spans="1:24" x14ac:dyDescent="0.3">
      <c r="A5283">
        <v>23115</v>
      </c>
      <c r="B5283" t="s">
        <v>11374</v>
      </c>
      <c r="C5283" s="3">
        <v>41157</v>
      </c>
      <c r="D5283" t="s">
        <v>50</v>
      </c>
      <c r="E5283">
        <v>20</v>
      </c>
      <c r="F5283" s="3">
        <f ca="1">41159+(RANDBETWEEN(1,10))</f>
        <v>41165</v>
      </c>
      <c r="G5283" t="s">
        <v>26</v>
      </c>
      <c r="H5283" t="s">
        <v>51</v>
      </c>
      <c r="I5283" t="s">
        <v>28</v>
      </c>
      <c r="J5283">
        <v>1510.39</v>
      </c>
      <c r="K5283">
        <v>0.02</v>
      </c>
      <c r="L5283">
        <v>0.49</v>
      </c>
      <c r="M5283">
        <v>23.344999999999999</v>
      </c>
      <c r="N5283">
        <v>-409.39499999999998</v>
      </c>
      <c r="O5283" s="1" t="s">
        <v>53</v>
      </c>
      <c r="P5283" s="1" t="s">
        <v>11375</v>
      </c>
      <c r="Q5283" s="1" t="s">
        <v>11376</v>
      </c>
      <c r="R5283" s="1" t="s">
        <v>56</v>
      </c>
      <c r="S5283" s="1" t="s">
        <v>2623</v>
      </c>
      <c r="T5283" s="1" t="s">
        <v>2624</v>
      </c>
      <c r="U5283" s="2" t="s">
        <v>2831</v>
      </c>
      <c r="V5283" s="2" t="s">
        <v>83</v>
      </c>
      <c r="W5283" s="2" t="s">
        <v>178</v>
      </c>
      <c r="X5283" s="2">
        <v>70.84</v>
      </c>
    </row>
    <row r="5284" spans="1:24" x14ac:dyDescent="0.3">
      <c r="A5284">
        <v>23116</v>
      </c>
      <c r="B5284" t="s">
        <v>11374</v>
      </c>
      <c r="C5284" s="3">
        <v>41157</v>
      </c>
      <c r="D5284" t="s">
        <v>50</v>
      </c>
      <c r="E5284">
        <v>12</v>
      </c>
      <c r="F5284" s="3">
        <f ca="1">41160+(RANDBETWEEN(1,10))</f>
        <v>41166</v>
      </c>
      <c r="G5284" t="s">
        <v>26</v>
      </c>
      <c r="H5284" t="s">
        <v>96</v>
      </c>
      <c r="I5284" t="s">
        <v>28</v>
      </c>
      <c r="J5284">
        <v>191.905</v>
      </c>
      <c r="K5284">
        <v>0.09</v>
      </c>
      <c r="L5284">
        <v>0.8</v>
      </c>
      <c r="M5284">
        <v>2.4500000000000002</v>
      </c>
      <c r="N5284">
        <v>-440.90199999999999</v>
      </c>
      <c r="O5284" s="1" t="s">
        <v>53</v>
      </c>
      <c r="P5284" s="1" t="s">
        <v>11375</v>
      </c>
      <c r="Q5284" s="1" t="s">
        <v>11376</v>
      </c>
      <c r="R5284" s="1" t="s">
        <v>56</v>
      </c>
      <c r="S5284" s="1" t="s">
        <v>2623</v>
      </c>
      <c r="T5284" s="1" t="s">
        <v>2624</v>
      </c>
      <c r="U5284" s="2" t="s">
        <v>1308</v>
      </c>
      <c r="V5284" s="2" t="s">
        <v>47</v>
      </c>
      <c r="W5284" s="2" t="s">
        <v>176</v>
      </c>
      <c r="X5284" s="2">
        <v>16.484999999999999</v>
      </c>
    </row>
    <row r="5285" spans="1:24" x14ac:dyDescent="0.3">
      <c r="A5285">
        <v>23117</v>
      </c>
      <c r="B5285" t="s">
        <v>11377</v>
      </c>
      <c r="C5285" s="3">
        <v>40638</v>
      </c>
      <c r="D5285" t="s">
        <v>39</v>
      </c>
      <c r="E5285">
        <v>7</v>
      </c>
      <c r="F5285" s="3">
        <f ca="1">40639+(RANDBETWEEN(1,10))</f>
        <v>40643</v>
      </c>
      <c r="G5285" t="s">
        <v>26</v>
      </c>
      <c r="H5285" t="s">
        <v>27</v>
      </c>
      <c r="I5285" t="s">
        <v>97</v>
      </c>
      <c r="J5285">
        <v>532.38499999999999</v>
      </c>
      <c r="K5285">
        <v>0.1</v>
      </c>
      <c r="L5285">
        <v>0.38</v>
      </c>
      <c r="M5285">
        <v>52.85</v>
      </c>
      <c r="N5285">
        <v>-376.29725000000002</v>
      </c>
      <c r="O5285" s="1" t="s">
        <v>53</v>
      </c>
      <c r="P5285" s="1" t="s">
        <v>11378</v>
      </c>
      <c r="Q5285" s="1" t="s">
        <v>11379</v>
      </c>
      <c r="R5285" s="1" t="s">
        <v>100</v>
      </c>
      <c r="S5285" s="1" t="s">
        <v>11380</v>
      </c>
      <c r="T5285" s="1" t="s">
        <v>11381</v>
      </c>
      <c r="U5285" s="2" t="s">
        <v>2602</v>
      </c>
      <c r="V5285" s="2" t="s">
        <v>47</v>
      </c>
      <c r="W5285" s="2" t="s">
        <v>111</v>
      </c>
      <c r="X5285" s="2">
        <v>78.33</v>
      </c>
    </row>
    <row r="5286" spans="1:24" x14ac:dyDescent="0.3">
      <c r="A5286">
        <v>23118</v>
      </c>
      <c r="B5286" t="s">
        <v>11377</v>
      </c>
      <c r="C5286" s="3">
        <v>40638</v>
      </c>
      <c r="D5286" t="s">
        <v>39</v>
      </c>
      <c r="E5286">
        <v>5</v>
      </c>
      <c r="F5286" s="3">
        <f ca="1">40640+(RANDBETWEEN(1,10))</f>
        <v>40647</v>
      </c>
      <c r="G5286" t="s">
        <v>26</v>
      </c>
      <c r="H5286" t="s">
        <v>51</v>
      </c>
      <c r="I5286" t="s">
        <v>97</v>
      </c>
      <c r="J5286">
        <v>125.895</v>
      </c>
      <c r="K5286">
        <v>0.04</v>
      </c>
      <c r="L5286">
        <v>0.37</v>
      </c>
      <c r="M5286">
        <v>9.9049999999999994</v>
      </c>
      <c r="N5286">
        <v>86.867549999999994</v>
      </c>
      <c r="O5286" s="1" t="s">
        <v>53</v>
      </c>
      <c r="P5286" s="1" t="s">
        <v>11378</v>
      </c>
      <c r="Q5286" s="1" t="s">
        <v>11379</v>
      </c>
      <c r="R5286" s="1" t="s">
        <v>100</v>
      </c>
      <c r="S5286" s="1" t="s">
        <v>11380</v>
      </c>
      <c r="T5286" s="1" t="s">
        <v>11381</v>
      </c>
      <c r="U5286" s="2" t="s">
        <v>7020</v>
      </c>
      <c r="V5286" s="2" t="s">
        <v>83</v>
      </c>
      <c r="W5286" s="2" t="s">
        <v>178</v>
      </c>
      <c r="X5286" s="2">
        <v>24.43</v>
      </c>
    </row>
    <row r="5287" spans="1:24" x14ac:dyDescent="0.3">
      <c r="A5287">
        <v>23119</v>
      </c>
      <c r="B5287" t="s">
        <v>11382</v>
      </c>
      <c r="C5287" s="3">
        <v>41323</v>
      </c>
      <c r="D5287" t="s">
        <v>62</v>
      </c>
      <c r="E5287">
        <v>2</v>
      </c>
      <c r="F5287" s="3">
        <f ca="1">41326+(RANDBETWEEN(1,10))</f>
        <v>41336</v>
      </c>
      <c r="G5287" t="s">
        <v>26</v>
      </c>
      <c r="H5287" t="s">
        <v>281</v>
      </c>
      <c r="I5287" t="s">
        <v>86</v>
      </c>
      <c r="J5287">
        <v>60.865000000000002</v>
      </c>
      <c r="K5287">
        <v>0.05</v>
      </c>
      <c r="L5287">
        <v>0.59</v>
      </c>
      <c r="M5287">
        <v>22.75</v>
      </c>
      <c r="N5287">
        <v>-126.21</v>
      </c>
      <c r="O5287" s="1" t="s">
        <v>87</v>
      </c>
      <c r="P5287" s="1" t="s">
        <v>11383</v>
      </c>
      <c r="Q5287" s="1" t="s">
        <v>11384</v>
      </c>
      <c r="R5287" s="1" t="s">
        <v>90</v>
      </c>
      <c r="S5287" s="1" t="s">
        <v>11385</v>
      </c>
      <c r="T5287" s="1" t="s">
        <v>11386</v>
      </c>
      <c r="U5287" s="2" t="s">
        <v>2913</v>
      </c>
      <c r="V5287" s="2" t="s">
        <v>47</v>
      </c>
      <c r="W5287" s="2" t="s">
        <v>119</v>
      </c>
      <c r="X5287" s="2">
        <v>27.93</v>
      </c>
    </row>
    <row r="5288" spans="1:24" x14ac:dyDescent="0.3">
      <c r="A5288">
        <v>23120</v>
      </c>
      <c r="B5288" t="s">
        <v>11387</v>
      </c>
      <c r="C5288" s="3">
        <v>40593</v>
      </c>
      <c r="D5288" t="s">
        <v>39</v>
      </c>
      <c r="E5288">
        <v>12</v>
      </c>
      <c r="F5288" s="3">
        <f ca="1">40595+(RANDBETWEEN(1,10))</f>
        <v>40599</v>
      </c>
      <c r="G5288" t="s">
        <v>26</v>
      </c>
      <c r="H5288" t="s">
        <v>51</v>
      </c>
      <c r="I5288" t="s">
        <v>52</v>
      </c>
      <c r="J5288">
        <v>1608.425</v>
      </c>
      <c r="K5288">
        <v>0.03</v>
      </c>
      <c r="L5288">
        <v>0.54</v>
      </c>
      <c r="M5288">
        <v>6.9649999999999999</v>
      </c>
      <c r="N5288">
        <v>1109.8132499999999</v>
      </c>
      <c r="O5288" s="1" t="s">
        <v>40</v>
      </c>
      <c r="P5288" s="1" t="s">
        <v>1294</v>
      </c>
      <c r="Q5288" s="1" t="s">
        <v>1295</v>
      </c>
      <c r="R5288" s="1" t="s">
        <v>43</v>
      </c>
      <c r="S5288" s="1" t="s">
        <v>1296</v>
      </c>
      <c r="T5288" s="1" t="s">
        <v>1297</v>
      </c>
      <c r="U5288" s="2" t="s">
        <v>685</v>
      </c>
      <c r="V5288" s="2" t="s">
        <v>36</v>
      </c>
      <c r="W5288" s="2" t="s">
        <v>60</v>
      </c>
      <c r="X5288" s="2">
        <v>138.18</v>
      </c>
    </row>
    <row r="5289" spans="1:24" x14ac:dyDescent="0.3">
      <c r="A5289">
        <v>23121</v>
      </c>
      <c r="B5289" t="s">
        <v>11388</v>
      </c>
      <c r="C5289" s="3">
        <v>41143</v>
      </c>
      <c r="D5289" t="s">
        <v>148</v>
      </c>
      <c r="E5289">
        <v>20</v>
      </c>
      <c r="F5289" s="3">
        <f ca="1">41144+(RANDBETWEEN(1,10))</f>
        <v>41147</v>
      </c>
      <c r="G5289" t="s">
        <v>26</v>
      </c>
      <c r="H5289" t="s">
        <v>27</v>
      </c>
      <c r="I5289" t="s">
        <v>28</v>
      </c>
      <c r="J5289">
        <v>1894.4449999999999</v>
      </c>
      <c r="K5289">
        <v>7.0000000000000007E-2</v>
      </c>
      <c r="L5289">
        <v>0.38</v>
      </c>
      <c r="M5289">
        <v>5.2149999999999999</v>
      </c>
      <c r="N5289">
        <v>1307.16705</v>
      </c>
      <c r="O5289" s="1" t="s">
        <v>64</v>
      </c>
      <c r="P5289" s="1" t="s">
        <v>6946</v>
      </c>
      <c r="Q5289" s="1" t="s">
        <v>6947</v>
      </c>
      <c r="R5289" s="1" t="s">
        <v>128</v>
      </c>
      <c r="S5289" s="1" t="s">
        <v>2527</v>
      </c>
      <c r="T5289" s="1" t="s">
        <v>2528</v>
      </c>
      <c r="U5289" s="2" t="s">
        <v>301</v>
      </c>
      <c r="V5289" s="2" t="s">
        <v>47</v>
      </c>
      <c r="W5289" s="2" t="s">
        <v>111</v>
      </c>
      <c r="X5289" s="2">
        <v>99.855000000000004</v>
      </c>
    </row>
    <row r="5290" spans="1:24" x14ac:dyDescent="0.3">
      <c r="A5290">
        <v>23122</v>
      </c>
      <c r="B5290" t="s">
        <v>11389</v>
      </c>
      <c r="C5290" s="3">
        <v>41460</v>
      </c>
      <c r="D5290" t="s">
        <v>148</v>
      </c>
      <c r="E5290">
        <v>2</v>
      </c>
      <c r="F5290" s="3">
        <f ca="1">41461+(RANDBETWEEN(1,10))</f>
        <v>41465</v>
      </c>
      <c r="G5290" t="s">
        <v>156</v>
      </c>
      <c r="H5290" t="s">
        <v>27</v>
      </c>
      <c r="I5290" t="s">
        <v>86</v>
      </c>
      <c r="J5290">
        <v>55.685000000000002</v>
      </c>
      <c r="K5290">
        <v>0.1</v>
      </c>
      <c r="L5290">
        <v>0.36</v>
      </c>
      <c r="M5290">
        <v>18.024999999999999</v>
      </c>
      <c r="N5290">
        <v>-25.9</v>
      </c>
      <c r="O5290" s="1" t="s">
        <v>53</v>
      </c>
      <c r="P5290" s="1" t="s">
        <v>5334</v>
      </c>
      <c r="Q5290" s="1" t="s">
        <v>5335</v>
      </c>
      <c r="R5290" s="1" t="s">
        <v>56</v>
      </c>
      <c r="S5290" s="1" t="s">
        <v>5336</v>
      </c>
      <c r="T5290" s="1" t="s">
        <v>5337</v>
      </c>
      <c r="U5290" s="2" t="s">
        <v>542</v>
      </c>
      <c r="V5290" s="2" t="s">
        <v>47</v>
      </c>
      <c r="W5290" s="2" t="s">
        <v>74</v>
      </c>
      <c r="X5290" s="2">
        <v>20.93</v>
      </c>
    </row>
    <row r="5291" spans="1:24" x14ac:dyDescent="0.3">
      <c r="A5291">
        <v>23123</v>
      </c>
      <c r="B5291" t="s">
        <v>11389</v>
      </c>
      <c r="C5291" s="3">
        <v>41460</v>
      </c>
      <c r="D5291" t="s">
        <v>148</v>
      </c>
      <c r="E5291">
        <v>16</v>
      </c>
      <c r="F5291" s="3">
        <f ca="1">41461+(RANDBETWEEN(1,10))</f>
        <v>41466</v>
      </c>
      <c r="G5291" t="s">
        <v>76</v>
      </c>
      <c r="H5291" t="s">
        <v>77</v>
      </c>
      <c r="I5291" t="s">
        <v>86</v>
      </c>
      <c r="J5291">
        <v>17381.77</v>
      </c>
      <c r="K5291">
        <v>0.06</v>
      </c>
      <c r="L5291">
        <v>0.56999999999999995</v>
      </c>
      <c r="M5291">
        <v>318.67500000000001</v>
      </c>
      <c r="N5291">
        <v>3016.23</v>
      </c>
      <c r="O5291" s="1" t="s">
        <v>87</v>
      </c>
      <c r="P5291" s="1" t="s">
        <v>11390</v>
      </c>
      <c r="Q5291" s="1" t="s">
        <v>11391</v>
      </c>
      <c r="R5291" s="1" t="s">
        <v>90</v>
      </c>
      <c r="S5291" s="1" t="s">
        <v>11392</v>
      </c>
      <c r="T5291" s="1" t="s">
        <v>11393</v>
      </c>
      <c r="U5291" s="2" t="s">
        <v>1589</v>
      </c>
      <c r="V5291" s="2" t="s">
        <v>47</v>
      </c>
      <c r="W5291" s="2" t="s">
        <v>71</v>
      </c>
      <c r="X5291" s="2">
        <v>1148.49</v>
      </c>
    </row>
    <row r="5292" spans="1:24" x14ac:dyDescent="0.3">
      <c r="A5292">
        <v>23124</v>
      </c>
      <c r="B5292" t="s">
        <v>11389</v>
      </c>
      <c r="C5292" s="3">
        <v>41460</v>
      </c>
      <c r="D5292" t="s">
        <v>148</v>
      </c>
      <c r="E5292">
        <v>9</v>
      </c>
      <c r="F5292" s="3">
        <f ca="1">41462+(RANDBETWEEN(1,10))</f>
        <v>41472</v>
      </c>
      <c r="G5292" t="s">
        <v>156</v>
      </c>
      <c r="H5292" t="s">
        <v>63</v>
      </c>
      <c r="I5292" t="s">
        <v>86</v>
      </c>
      <c r="J5292">
        <v>3120.915</v>
      </c>
      <c r="K5292">
        <v>7.0000000000000007E-2</v>
      </c>
      <c r="L5292">
        <v>0.61</v>
      </c>
      <c r="M5292">
        <v>85.715000000000003</v>
      </c>
      <c r="N5292">
        <v>1713.53</v>
      </c>
      <c r="O5292" s="1" t="s">
        <v>87</v>
      </c>
      <c r="P5292" s="1" t="s">
        <v>11390</v>
      </c>
      <c r="Q5292" s="1" t="s">
        <v>11391</v>
      </c>
      <c r="R5292" s="1" t="s">
        <v>90</v>
      </c>
      <c r="S5292" s="1" t="s">
        <v>11392</v>
      </c>
      <c r="T5292" s="1" t="s">
        <v>11393</v>
      </c>
      <c r="U5292" s="2" t="s">
        <v>4335</v>
      </c>
      <c r="V5292" s="2" t="s">
        <v>83</v>
      </c>
      <c r="W5292" s="2" t="s">
        <v>178</v>
      </c>
      <c r="X5292" s="2">
        <v>368.69</v>
      </c>
    </row>
    <row r="5293" spans="1:24" x14ac:dyDescent="0.3">
      <c r="A5293">
        <v>23125</v>
      </c>
      <c r="B5293" t="s">
        <v>11394</v>
      </c>
      <c r="C5293" s="3">
        <v>41667</v>
      </c>
      <c r="D5293" t="s">
        <v>62</v>
      </c>
      <c r="E5293">
        <v>11</v>
      </c>
      <c r="F5293" s="3">
        <f ca="1">41668+(RANDBETWEEN(1,10))</f>
        <v>41673</v>
      </c>
      <c r="G5293" t="s">
        <v>156</v>
      </c>
      <c r="H5293" t="s">
        <v>27</v>
      </c>
      <c r="I5293" t="s">
        <v>28</v>
      </c>
      <c r="J5293">
        <v>2235.415</v>
      </c>
      <c r="K5293">
        <v>0.01</v>
      </c>
      <c r="L5293">
        <v>0.55000000000000004</v>
      </c>
      <c r="M5293">
        <v>13.65</v>
      </c>
      <c r="N5293">
        <v>1542.4363499999999</v>
      </c>
      <c r="O5293" s="1" t="s">
        <v>29</v>
      </c>
      <c r="P5293" s="1" t="s">
        <v>11237</v>
      </c>
      <c r="Q5293" s="1" t="s">
        <v>11238</v>
      </c>
      <c r="R5293" s="1" t="s">
        <v>32</v>
      </c>
      <c r="S5293" s="1" t="s">
        <v>11239</v>
      </c>
      <c r="T5293" s="1" t="s">
        <v>11240</v>
      </c>
      <c r="U5293" s="2" t="s">
        <v>3221</v>
      </c>
      <c r="V5293" s="2" t="s">
        <v>36</v>
      </c>
      <c r="W5293" s="2" t="s">
        <v>37</v>
      </c>
      <c r="X5293" s="2">
        <v>230.965</v>
      </c>
    </row>
    <row r="5294" spans="1:24" x14ac:dyDescent="0.3">
      <c r="A5294">
        <v>23126</v>
      </c>
      <c r="B5294" t="s">
        <v>11395</v>
      </c>
      <c r="C5294" s="3">
        <v>41726</v>
      </c>
      <c r="D5294" t="s">
        <v>50</v>
      </c>
      <c r="E5294">
        <v>8</v>
      </c>
      <c r="F5294" s="3">
        <f ca="1">41727+(RANDBETWEEN(1,10))</f>
        <v>41730</v>
      </c>
      <c r="G5294" t="s">
        <v>76</v>
      </c>
      <c r="H5294" t="s">
        <v>77</v>
      </c>
      <c r="I5294" t="s">
        <v>86</v>
      </c>
      <c r="J5294">
        <v>9719.43</v>
      </c>
      <c r="K5294">
        <v>0.04</v>
      </c>
      <c r="L5294">
        <v>0.64</v>
      </c>
      <c r="M5294">
        <v>206.22</v>
      </c>
      <c r="N5294">
        <v>-5536.8040000000001</v>
      </c>
      <c r="O5294" s="1" t="s">
        <v>40</v>
      </c>
      <c r="P5294" s="1" t="s">
        <v>11396</v>
      </c>
      <c r="Q5294" s="1" t="s">
        <v>11397</v>
      </c>
      <c r="R5294" s="1" t="s">
        <v>220</v>
      </c>
      <c r="S5294" s="1" t="s">
        <v>11398</v>
      </c>
      <c r="T5294" s="1" t="s">
        <v>11399</v>
      </c>
      <c r="U5294" s="2" t="s">
        <v>207</v>
      </c>
      <c r="V5294" s="2" t="s">
        <v>83</v>
      </c>
      <c r="W5294" s="2" t="s">
        <v>84</v>
      </c>
      <c r="X5294" s="2">
        <v>1245.93</v>
      </c>
    </row>
    <row r="5295" spans="1:24" x14ac:dyDescent="0.3">
      <c r="A5295">
        <v>23127</v>
      </c>
      <c r="B5295" t="s">
        <v>11395</v>
      </c>
      <c r="C5295" s="3">
        <v>41726</v>
      </c>
      <c r="D5295" t="s">
        <v>50</v>
      </c>
      <c r="E5295">
        <v>1</v>
      </c>
      <c r="F5295" s="3">
        <f ca="1">41729+(RANDBETWEEN(1,10))</f>
        <v>41739</v>
      </c>
      <c r="G5295" t="s">
        <v>26</v>
      </c>
      <c r="H5295" t="s">
        <v>63</v>
      </c>
      <c r="I5295" t="s">
        <v>86</v>
      </c>
      <c r="J5295">
        <v>83.405000000000001</v>
      </c>
      <c r="K5295">
        <v>0.06</v>
      </c>
      <c r="L5295">
        <v>0.6</v>
      </c>
      <c r="M5295">
        <v>39.094999999999999</v>
      </c>
      <c r="N5295">
        <v>-3937.248</v>
      </c>
      <c r="O5295" s="1" t="s">
        <v>40</v>
      </c>
      <c r="P5295" s="1" t="s">
        <v>11396</v>
      </c>
      <c r="Q5295" s="1" t="s">
        <v>11397</v>
      </c>
      <c r="R5295" s="1" t="s">
        <v>220</v>
      </c>
      <c r="S5295" s="1" t="s">
        <v>11398</v>
      </c>
      <c r="T5295" s="1" t="s">
        <v>11399</v>
      </c>
      <c r="U5295" s="2" t="s">
        <v>7243</v>
      </c>
      <c r="V5295" s="2" t="s">
        <v>83</v>
      </c>
      <c r="W5295" s="2" t="s">
        <v>178</v>
      </c>
      <c r="X5295" s="2">
        <v>69.965000000000003</v>
      </c>
    </row>
    <row r="5296" spans="1:24" x14ac:dyDescent="0.3">
      <c r="A5296">
        <v>23128</v>
      </c>
      <c r="B5296" t="s">
        <v>11400</v>
      </c>
      <c r="C5296" s="3">
        <v>41480</v>
      </c>
      <c r="D5296" t="s">
        <v>148</v>
      </c>
      <c r="E5296">
        <v>3</v>
      </c>
      <c r="F5296" s="3">
        <f ca="1">41483+(RANDBETWEEN(1,10))</f>
        <v>41490</v>
      </c>
      <c r="G5296" t="s">
        <v>26</v>
      </c>
      <c r="H5296" t="s">
        <v>27</v>
      </c>
      <c r="I5296" t="s">
        <v>97</v>
      </c>
      <c r="J5296">
        <v>1030.6099999999999</v>
      </c>
      <c r="K5296">
        <v>0.1</v>
      </c>
      <c r="L5296">
        <v>0.4</v>
      </c>
      <c r="M5296">
        <v>25.13</v>
      </c>
      <c r="N5296">
        <v>179.55</v>
      </c>
      <c r="O5296" s="1" t="s">
        <v>40</v>
      </c>
      <c r="P5296" s="1" t="s">
        <v>2393</v>
      </c>
      <c r="Q5296" s="1" t="s">
        <v>2394</v>
      </c>
      <c r="R5296" s="1" t="s">
        <v>43</v>
      </c>
      <c r="S5296" s="1" t="s">
        <v>2395</v>
      </c>
      <c r="T5296" s="1" t="s">
        <v>2396</v>
      </c>
      <c r="U5296" s="2" t="s">
        <v>5772</v>
      </c>
      <c r="V5296" s="2" t="s">
        <v>36</v>
      </c>
      <c r="W5296" s="2" t="s">
        <v>60</v>
      </c>
      <c r="X5296" s="2">
        <v>353.43</v>
      </c>
    </row>
    <row r="5297" spans="1:24" x14ac:dyDescent="0.3">
      <c r="A5297">
        <v>23129</v>
      </c>
      <c r="B5297" t="s">
        <v>11401</v>
      </c>
      <c r="C5297" s="3">
        <v>40969</v>
      </c>
      <c r="D5297" t="s">
        <v>50</v>
      </c>
      <c r="E5297">
        <v>5</v>
      </c>
      <c r="F5297" s="3">
        <f ca="1">40970+(RANDBETWEEN(1,10))</f>
        <v>40978</v>
      </c>
      <c r="G5297" t="s">
        <v>26</v>
      </c>
      <c r="H5297" t="s">
        <v>27</v>
      </c>
      <c r="I5297" t="s">
        <v>28</v>
      </c>
      <c r="J5297">
        <v>853.26499999999999</v>
      </c>
      <c r="K5297">
        <v>0.03</v>
      </c>
      <c r="L5297">
        <v>0.56000000000000005</v>
      </c>
      <c r="M5297">
        <v>13.965</v>
      </c>
      <c r="N5297">
        <v>588.75284999999997</v>
      </c>
      <c r="O5297" s="1" t="s">
        <v>87</v>
      </c>
      <c r="P5297" s="1" t="s">
        <v>7465</v>
      </c>
      <c r="Q5297" s="1" t="s">
        <v>7466</v>
      </c>
      <c r="R5297" s="1" t="s">
        <v>497</v>
      </c>
      <c r="S5297" s="1" t="s">
        <v>7467</v>
      </c>
      <c r="T5297" s="1" t="s">
        <v>7468</v>
      </c>
      <c r="U5297" s="2" t="s">
        <v>1399</v>
      </c>
      <c r="V5297" s="2" t="s">
        <v>47</v>
      </c>
      <c r="W5297" s="2" t="s">
        <v>71</v>
      </c>
      <c r="X5297" s="2">
        <v>170.03</v>
      </c>
    </row>
    <row r="5298" spans="1:24" x14ac:dyDescent="0.3">
      <c r="A5298">
        <v>23130</v>
      </c>
      <c r="B5298" t="s">
        <v>11401</v>
      </c>
      <c r="C5298" s="3">
        <v>40969</v>
      </c>
      <c r="D5298" t="s">
        <v>50</v>
      </c>
      <c r="E5298">
        <v>2</v>
      </c>
      <c r="F5298" s="3">
        <f ca="1">40971+(RANDBETWEEN(1,10))</f>
        <v>40979</v>
      </c>
      <c r="G5298" t="s">
        <v>26</v>
      </c>
      <c r="H5298" t="s">
        <v>27</v>
      </c>
      <c r="I5298" t="s">
        <v>28</v>
      </c>
      <c r="J5298">
        <v>147.84</v>
      </c>
      <c r="K5298">
        <v>0.06</v>
      </c>
      <c r="L5298">
        <v>0.6</v>
      </c>
      <c r="M5298">
        <v>14</v>
      </c>
      <c r="N5298">
        <v>-223.23</v>
      </c>
      <c r="O5298" s="1" t="s">
        <v>87</v>
      </c>
      <c r="P5298" s="1" t="s">
        <v>7465</v>
      </c>
      <c r="Q5298" s="1" t="s">
        <v>7466</v>
      </c>
      <c r="R5298" s="1" t="s">
        <v>497</v>
      </c>
      <c r="S5298" s="1" t="s">
        <v>7467</v>
      </c>
      <c r="T5298" s="1" t="s">
        <v>7468</v>
      </c>
      <c r="U5298" s="2" t="s">
        <v>3946</v>
      </c>
      <c r="V5298" s="2" t="s">
        <v>36</v>
      </c>
      <c r="W5298" s="2" t="s">
        <v>60</v>
      </c>
      <c r="X5298" s="2">
        <v>73.325000000000003</v>
      </c>
    </row>
    <row r="5299" spans="1:24" x14ac:dyDescent="0.3">
      <c r="A5299">
        <v>23131</v>
      </c>
      <c r="B5299" t="s">
        <v>11402</v>
      </c>
      <c r="C5299" s="3">
        <v>41212</v>
      </c>
      <c r="D5299" t="s">
        <v>25</v>
      </c>
      <c r="E5299">
        <v>4</v>
      </c>
      <c r="F5299" s="3">
        <f ca="1">41214+(RANDBETWEEN(1,10))</f>
        <v>41216</v>
      </c>
      <c r="G5299" t="s">
        <v>26</v>
      </c>
      <c r="H5299" t="s">
        <v>27</v>
      </c>
      <c r="I5299" t="s">
        <v>28</v>
      </c>
      <c r="J5299">
        <v>78.75</v>
      </c>
      <c r="K5299">
        <v>0.06</v>
      </c>
      <c r="L5299">
        <v>0.38</v>
      </c>
      <c r="M5299">
        <v>26.39</v>
      </c>
      <c r="N5299">
        <v>-152.8254</v>
      </c>
      <c r="O5299" s="1" t="s">
        <v>29</v>
      </c>
      <c r="P5299" s="1" t="s">
        <v>11403</v>
      </c>
      <c r="Q5299" s="1" t="s">
        <v>11404</v>
      </c>
      <c r="R5299" s="1" t="s">
        <v>32</v>
      </c>
      <c r="S5299" s="1" t="s">
        <v>3689</v>
      </c>
      <c r="T5299" s="1" t="s">
        <v>3690</v>
      </c>
      <c r="U5299" s="2" t="s">
        <v>9298</v>
      </c>
      <c r="V5299" s="2" t="s">
        <v>47</v>
      </c>
      <c r="W5299" s="2" t="s">
        <v>74</v>
      </c>
      <c r="X5299" s="2">
        <v>17.43</v>
      </c>
    </row>
    <row r="5300" spans="1:24" x14ac:dyDescent="0.3">
      <c r="A5300">
        <v>23132</v>
      </c>
      <c r="B5300" t="s">
        <v>11405</v>
      </c>
      <c r="C5300" s="3">
        <v>41545</v>
      </c>
      <c r="D5300" t="s">
        <v>25</v>
      </c>
      <c r="E5300">
        <v>20</v>
      </c>
      <c r="F5300" s="3">
        <f ca="1">41549+(RANDBETWEEN(1,10))</f>
        <v>41551</v>
      </c>
      <c r="G5300" t="s">
        <v>26</v>
      </c>
      <c r="H5300" t="s">
        <v>51</v>
      </c>
      <c r="I5300" t="s">
        <v>86</v>
      </c>
      <c r="J5300">
        <v>1445.15</v>
      </c>
      <c r="K5300">
        <v>0.1</v>
      </c>
      <c r="L5300">
        <v>0.55000000000000004</v>
      </c>
      <c r="M5300">
        <v>10.045</v>
      </c>
      <c r="N5300">
        <v>642.17999999999995</v>
      </c>
      <c r="O5300" s="1" t="s">
        <v>225</v>
      </c>
      <c r="P5300" s="1" t="s">
        <v>8320</v>
      </c>
      <c r="Q5300" s="1" t="s">
        <v>8321</v>
      </c>
      <c r="R5300" s="1" t="s">
        <v>391</v>
      </c>
      <c r="S5300" s="1" t="s">
        <v>8322</v>
      </c>
      <c r="T5300" s="1" t="s">
        <v>8323</v>
      </c>
      <c r="U5300" s="2" t="s">
        <v>2051</v>
      </c>
      <c r="V5300" s="2" t="s">
        <v>47</v>
      </c>
      <c r="W5300" s="2" t="s">
        <v>104</v>
      </c>
      <c r="X5300" s="2">
        <v>76.930000000000007</v>
      </c>
    </row>
    <row r="5301" spans="1:24" x14ac:dyDescent="0.3">
      <c r="A5301">
        <v>23133</v>
      </c>
      <c r="B5301" t="s">
        <v>11405</v>
      </c>
      <c r="C5301" s="3">
        <v>41545</v>
      </c>
      <c r="D5301" t="s">
        <v>25</v>
      </c>
      <c r="E5301">
        <v>24</v>
      </c>
      <c r="F5301" s="3">
        <f ca="1">41552+(RANDBETWEEN(1,10))</f>
        <v>41559</v>
      </c>
      <c r="G5301" t="s">
        <v>26</v>
      </c>
      <c r="H5301" t="s">
        <v>27</v>
      </c>
      <c r="I5301" t="s">
        <v>86</v>
      </c>
      <c r="J5301">
        <v>7326.76</v>
      </c>
      <c r="K5301">
        <v>0.05</v>
      </c>
      <c r="L5301">
        <v>0.4</v>
      </c>
      <c r="M5301">
        <v>69.965000000000003</v>
      </c>
      <c r="N5301">
        <v>4690.2449999999999</v>
      </c>
      <c r="O5301" s="1" t="s">
        <v>53</v>
      </c>
      <c r="P5301" s="1" t="s">
        <v>11406</v>
      </c>
      <c r="Q5301" s="1" t="s">
        <v>11407</v>
      </c>
      <c r="R5301" s="1" t="s">
        <v>100</v>
      </c>
      <c r="S5301" s="1" t="s">
        <v>11408</v>
      </c>
      <c r="T5301" s="1" t="s">
        <v>11409</v>
      </c>
      <c r="U5301" s="2" t="s">
        <v>2845</v>
      </c>
      <c r="V5301" s="2" t="s">
        <v>47</v>
      </c>
      <c r="W5301" s="2" t="s">
        <v>48</v>
      </c>
      <c r="X5301" s="2">
        <v>316.68</v>
      </c>
    </row>
    <row r="5302" spans="1:24" x14ac:dyDescent="0.3">
      <c r="A5302">
        <v>23134</v>
      </c>
      <c r="B5302" t="s">
        <v>11410</v>
      </c>
      <c r="C5302" s="3">
        <v>41773</v>
      </c>
      <c r="D5302" t="s">
        <v>50</v>
      </c>
      <c r="E5302">
        <v>3</v>
      </c>
      <c r="F5302" s="3">
        <f ca="1">41775+(RANDBETWEEN(1,10))</f>
        <v>41779</v>
      </c>
      <c r="G5302" t="s">
        <v>26</v>
      </c>
      <c r="H5302" t="s">
        <v>27</v>
      </c>
      <c r="I5302" t="s">
        <v>97</v>
      </c>
      <c r="J5302">
        <v>60.024999999999999</v>
      </c>
      <c r="K5302">
        <v>0</v>
      </c>
      <c r="L5302">
        <v>0.38</v>
      </c>
      <c r="M5302">
        <v>19.215</v>
      </c>
      <c r="N5302">
        <v>-81.515000000000001</v>
      </c>
      <c r="O5302" s="1" t="s">
        <v>64</v>
      </c>
      <c r="P5302" s="1" t="s">
        <v>11411</v>
      </c>
      <c r="Q5302" s="1" t="s">
        <v>11412</v>
      </c>
      <c r="R5302" s="1" t="s">
        <v>128</v>
      </c>
      <c r="S5302" s="1" t="s">
        <v>928</v>
      </c>
      <c r="T5302" s="1" t="s">
        <v>929</v>
      </c>
      <c r="U5302" s="2" t="s">
        <v>236</v>
      </c>
      <c r="V5302" s="2" t="s">
        <v>47</v>
      </c>
      <c r="W5302" s="2" t="s">
        <v>74</v>
      </c>
      <c r="X5302" s="2">
        <v>17.43</v>
      </c>
    </row>
    <row r="5303" spans="1:24" x14ac:dyDescent="0.3">
      <c r="A5303">
        <v>23135</v>
      </c>
      <c r="B5303" t="s">
        <v>11413</v>
      </c>
      <c r="C5303" s="3">
        <v>41596</v>
      </c>
      <c r="D5303" t="s">
        <v>50</v>
      </c>
      <c r="E5303">
        <v>15</v>
      </c>
      <c r="F5303" s="3">
        <f ca="1">41598+(RANDBETWEEN(1,10))</f>
        <v>41603</v>
      </c>
      <c r="G5303" t="s">
        <v>156</v>
      </c>
      <c r="H5303" t="s">
        <v>51</v>
      </c>
      <c r="I5303" t="s">
        <v>28</v>
      </c>
      <c r="J5303">
        <v>1214.4649999999999</v>
      </c>
      <c r="K5303">
        <v>0.06</v>
      </c>
      <c r="L5303">
        <v>0.43</v>
      </c>
      <c r="M5303">
        <v>6.9649999999999999</v>
      </c>
      <c r="N5303">
        <v>837.98085000000003</v>
      </c>
      <c r="O5303" s="1" t="s">
        <v>29</v>
      </c>
      <c r="P5303" s="1" t="s">
        <v>7560</v>
      </c>
      <c r="Q5303" s="1" t="s">
        <v>7561</v>
      </c>
      <c r="R5303" s="1" t="s">
        <v>32</v>
      </c>
      <c r="S5303" s="1" t="s">
        <v>7562</v>
      </c>
      <c r="T5303" s="1" t="s">
        <v>7563</v>
      </c>
      <c r="U5303" s="2" t="s">
        <v>4462</v>
      </c>
      <c r="V5303" s="2" t="s">
        <v>36</v>
      </c>
      <c r="W5303" s="2" t="s">
        <v>60</v>
      </c>
      <c r="X5303" s="2">
        <v>77.84</v>
      </c>
    </row>
    <row r="5304" spans="1:24" x14ac:dyDescent="0.3">
      <c r="A5304">
        <v>23136</v>
      </c>
      <c r="B5304" t="s">
        <v>11414</v>
      </c>
      <c r="C5304" s="3">
        <v>40597</v>
      </c>
      <c r="D5304" t="s">
        <v>62</v>
      </c>
      <c r="E5304">
        <v>4</v>
      </c>
      <c r="F5304" s="3">
        <f ca="1">40599+(RANDBETWEEN(1,10))</f>
        <v>40604</v>
      </c>
      <c r="G5304" t="s">
        <v>26</v>
      </c>
      <c r="H5304" t="s">
        <v>27</v>
      </c>
      <c r="I5304" t="s">
        <v>28</v>
      </c>
      <c r="J5304">
        <v>198.38</v>
      </c>
      <c r="K5304">
        <v>0.01</v>
      </c>
      <c r="L5304">
        <v>0.43</v>
      </c>
      <c r="M5304">
        <v>30.73</v>
      </c>
      <c r="N5304">
        <v>-128.69499999999999</v>
      </c>
      <c r="O5304" s="1" t="s">
        <v>40</v>
      </c>
      <c r="P5304" s="1" t="s">
        <v>6603</v>
      </c>
      <c r="Q5304" s="1" t="s">
        <v>6604</v>
      </c>
      <c r="R5304" s="1" t="s">
        <v>43</v>
      </c>
      <c r="S5304" s="1" t="s">
        <v>6605</v>
      </c>
      <c r="T5304" s="1" t="s">
        <v>6606</v>
      </c>
      <c r="U5304" s="2" t="s">
        <v>4722</v>
      </c>
      <c r="V5304" s="2" t="s">
        <v>83</v>
      </c>
      <c r="W5304" s="2" t="s">
        <v>178</v>
      </c>
      <c r="X5304" s="2">
        <v>48.265000000000001</v>
      </c>
    </row>
    <row r="5305" spans="1:24" x14ac:dyDescent="0.3">
      <c r="A5305">
        <v>23137</v>
      </c>
      <c r="B5305" t="s">
        <v>11414</v>
      </c>
      <c r="C5305" s="3">
        <v>40597</v>
      </c>
      <c r="D5305" t="s">
        <v>62</v>
      </c>
      <c r="E5305">
        <v>8</v>
      </c>
      <c r="F5305" s="3">
        <f ca="1">40598+(RANDBETWEEN(1,10))</f>
        <v>40604</v>
      </c>
      <c r="G5305" t="s">
        <v>26</v>
      </c>
      <c r="H5305" t="s">
        <v>27</v>
      </c>
      <c r="I5305" t="s">
        <v>28</v>
      </c>
      <c r="J5305">
        <v>956.69</v>
      </c>
      <c r="K5305">
        <v>0.04</v>
      </c>
      <c r="L5305">
        <v>0.61</v>
      </c>
      <c r="M5305">
        <v>30.59</v>
      </c>
      <c r="N5305">
        <v>304.60500000000002</v>
      </c>
      <c r="O5305" s="1" t="s">
        <v>40</v>
      </c>
      <c r="P5305" s="1" t="s">
        <v>6603</v>
      </c>
      <c r="Q5305" s="1" t="s">
        <v>6604</v>
      </c>
      <c r="R5305" s="1" t="s">
        <v>43</v>
      </c>
      <c r="S5305" s="1" t="s">
        <v>6605</v>
      </c>
      <c r="T5305" s="1" t="s">
        <v>6606</v>
      </c>
      <c r="U5305" s="2" t="s">
        <v>7096</v>
      </c>
      <c r="V5305" s="2" t="s">
        <v>47</v>
      </c>
      <c r="W5305" s="2" t="s">
        <v>119</v>
      </c>
      <c r="X5305" s="2">
        <v>116.515</v>
      </c>
    </row>
    <row r="5306" spans="1:24" x14ac:dyDescent="0.3">
      <c r="A5306">
        <v>23138</v>
      </c>
      <c r="B5306" t="s">
        <v>11415</v>
      </c>
      <c r="C5306" s="3">
        <v>41772</v>
      </c>
      <c r="D5306" t="s">
        <v>39</v>
      </c>
      <c r="E5306">
        <v>8</v>
      </c>
      <c r="F5306" s="3">
        <f ca="1">41773+(RANDBETWEEN(1,10))</f>
        <v>41783</v>
      </c>
      <c r="G5306" t="s">
        <v>26</v>
      </c>
      <c r="H5306" t="s">
        <v>27</v>
      </c>
      <c r="I5306" t="s">
        <v>28</v>
      </c>
      <c r="J5306">
        <v>2681.3850000000002</v>
      </c>
      <c r="K5306">
        <v>0.06</v>
      </c>
      <c r="L5306">
        <v>0.5</v>
      </c>
      <c r="M5306">
        <v>69.965000000000003</v>
      </c>
      <c r="N5306">
        <v>765.52</v>
      </c>
      <c r="O5306" s="1" t="s">
        <v>29</v>
      </c>
      <c r="P5306" s="1" t="s">
        <v>3779</v>
      </c>
      <c r="Q5306" s="1" t="s">
        <v>3780</v>
      </c>
      <c r="R5306" s="1" t="s">
        <v>460</v>
      </c>
      <c r="S5306" s="1" t="s">
        <v>3781</v>
      </c>
      <c r="T5306" s="1" t="s">
        <v>3782</v>
      </c>
      <c r="U5306" s="2" t="s">
        <v>6456</v>
      </c>
      <c r="V5306" s="2" t="s">
        <v>36</v>
      </c>
      <c r="W5306" s="2" t="s">
        <v>60</v>
      </c>
      <c r="X5306" s="2">
        <v>349.96499999999997</v>
      </c>
    </row>
    <row r="5307" spans="1:24" x14ac:dyDescent="0.3">
      <c r="A5307">
        <v>23139</v>
      </c>
      <c r="B5307" t="s">
        <v>11416</v>
      </c>
      <c r="C5307" s="3">
        <v>41798</v>
      </c>
      <c r="D5307" t="s">
        <v>148</v>
      </c>
      <c r="E5307">
        <v>9</v>
      </c>
      <c r="F5307" s="3">
        <f ca="1">41799+(RANDBETWEEN(1,10))</f>
        <v>41808</v>
      </c>
      <c r="G5307" t="s">
        <v>156</v>
      </c>
      <c r="H5307" t="s">
        <v>63</v>
      </c>
      <c r="I5307" t="s">
        <v>86</v>
      </c>
      <c r="J5307">
        <v>1533.21</v>
      </c>
      <c r="K5307">
        <v>0.04</v>
      </c>
      <c r="L5307">
        <v>0.83</v>
      </c>
      <c r="M5307">
        <v>122.5</v>
      </c>
      <c r="N5307">
        <v>-2083.0880000000002</v>
      </c>
      <c r="O5307" s="1" t="s">
        <v>225</v>
      </c>
      <c r="P5307" s="1" t="s">
        <v>389</v>
      </c>
      <c r="Q5307" s="1" t="s">
        <v>390</v>
      </c>
      <c r="R5307" s="1" t="s">
        <v>391</v>
      </c>
      <c r="S5307" s="1" t="s">
        <v>392</v>
      </c>
      <c r="T5307" s="1" t="s">
        <v>393</v>
      </c>
      <c r="U5307" s="2" t="s">
        <v>279</v>
      </c>
      <c r="V5307" s="2" t="s">
        <v>47</v>
      </c>
      <c r="W5307" s="2" t="s">
        <v>119</v>
      </c>
      <c r="X5307" s="2">
        <v>171.185</v>
      </c>
    </row>
    <row r="5308" spans="1:24" x14ac:dyDescent="0.3">
      <c r="A5308">
        <v>2314</v>
      </c>
      <c r="B5308" t="s">
        <v>11417</v>
      </c>
      <c r="C5308" s="3">
        <v>40621</v>
      </c>
      <c r="D5308" t="s">
        <v>39</v>
      </c>
      <c r="E5308">
        <v>39</v>
      </c>
      <c r="F5308" s="3">
        <f ca="1">40621+(RANDBETWEEN(1,10))</f>
        <v>40631</v>
      </c>
      <c r="G5308" t="s">
        <v>26</v>
      </c>
      <c r="H5308" t="s">
        <v>281</v>
      </c>
      <c r="I5308" t="s">
        <v>52</v>
      </c>
      <c r="J5308">
        <v>3278.8</v>
      </c>
      <c r="K5308">
        <v>7.0000000000000007E-2</v>
      </c>
      <c r="L5308">
        <v>0.56000000000000005</v>
      </c>
      <c r="M5308">
        <v>30.065000000000001</v>
      </c>
      <c r="N5308">
        <v>-56.223089999999999</v>
      </c>
      <c r="O5308" s="1" t="s">
        <v>53</v>
      </c>
      <c r="P5308" s="1" t="s">
        <v>54</v>
      </c>
      <c r="Q5308" s="1" t="s">
        <v>55</v>
      </c>
      <c r="R5308" s="1" t="s">
        <v>56</v>
      </c>
      <c r="S5308" s="1" t="s">
        <v>57</v>
      </c>
      <c r="T5308" s="1" t="s">
        <v>58</v>
      </c>
      <c r="U5308" s="2" t="s">
        <v>5362</v>
      </c>
      <c r="V5308" s="2" t="s">
        <v>36</v>
      </c>
      <c r="W5308" s="2" t="s">
        <v>37</v>
      </c>
      <c r="X5308" s="2">
        <v>101.465</v>
      </c>
    </row>
    <row r="5309" spans="1:24" x14ac:dyDescent="0.3">
      <c r="A5309">
        <v>23140</v>
      </c>
      <c r="B5309" t="s">
        <v>11418</v>
      </c>
      <c r="C5309" s="3">
        <v>40724</v>
      </c>
      <c r="D5309" t="s">
        <v>39</v>
      </c>
      <c r="E5309">
        <v>8</v>
      </c>
      <c r="F5309" s="3">
        <f ca="1">40725+(RANDBETWEEN(1,10))</f>
        <v>40726</v>
      </c>
      <c r="G5309" t="s">
        <v>26</v>
      </c>
      <c r="H5309" t="s">
        <v>96</v>
      </c>
      <c r="I5309" t="s">
        <v>52</v>
      </c>
      <c r="J5309">
        <v>239.96</v>
      </c>
      <c r="K5309">
        <v>0.01</v>
      </c>
      <c r="L5309">
        <v>0.4</v>
      </c>
      <c r="M5309">
        <v>9.8699999999999992</v>
      </c>
      <c r="N5309">
        <v>162.54</v>
      </c>
      <c r="O5309" s="1" t="s">
        <v>40</v>
      </c>
      <c r="P5309" s="1" t="s">
        <v>11312</v>
      </c>
      <c r="Q5309" s="1" t="s">
        <v>11313</v>
      </c>
      <c r="R5309" s="1" t="s">
        <v>43</v>
      </c>
      <c r="S5309" s="1" t="s">
        <v>11314</v>
      </c>
      <c r="T5309" s="1" t="s">
        <v>11315</v>
      </c>
      <c r="U5309" s="2" t="s">
        <v>8331</v>
      </c>
      <c r="V5309" s="2" t="s">
        <v>47</v>
      </c>
      <c r="W5309" s="2" t="s">
        <v>176</v>
      </c>
      <c r="X5309" s="2">
        <v>27.614999999999998</v>
      </c>
    </row>
    <row r="5310" spans="1:24" x14ac:dyDescent="0.3">
      <c r="A5310">
        <v>23141</v>
      </c>
      <c r="B5310" t="s">
        <v>11418</v>
      </c>
      <c r="C5310" s="3">
        <v>40724</v>
      </c>
      <c r="D5310" t="s">
        <v>39</v>
      </c>
      <c r="E5310">
        <v>6</v>
      </c>
      <c r="F5310" s="3">
        <f ca="1">40725+(RANDBETWEEN(1,10))</f>
        <v>40728</v>
      </c>
      <c r="G5310" t="s">
        <v>26</v>
      </c>
      <c r="H5310" t="s">
        <v>96</v>
      </c>
      <c r="I5310" t="s">
        <v>52</v>
      </c>
      <c r="J5310">
        <v>72.765000000000001</v>
      </c>
      <c r="K5310">
        <v>0.09</v>
      </c>
      <c r="L5310">
        <v>0.83</v>
      </c>
      <c r="M5310">
        <v>4.62</v>
      </c>
      <c r="N5310">
        <v>-61.347999999999999</v>
      </c>
      <c r="O5310" s="1" t="s">
        <v>40</v>
      </c>
      <c r="P5310" s="1" t="s">
        <v>11312</v>
      </c>
      <c r="Q5310" s="1" t="s">
        <v>11313</v>
      </c>
      <c r="R5310" s="1" t="s">
        <v>43</v>
      </c>
      <c r="S5310" s="1" t="s">
        <v>11314</v>
      </c>
      <c r="T5310" s="1" t="s">
        <v>11315</v>
      </c>
      <c r="U5310" s="2" t="s">
        <v>3023</v>
      </c>
      <c r="V5310" s="2" t="s">
        <v>47</v>
      </c>
      <c r="W5310" s="2" t="s">
        <v>94</v>
      </c>
      <c r="X5310" s="2">
        <v>12.88</v>
      </c>
    </row>
    <row r="5311" spans="1:24" x14ac:dyDescent="0.3">
      <c r="A5311">
        <v>23142</v>
      </c>
      <c r="B5311" t="s">
        <v>11418</v>
      </c>
      <c r="C5311" s="3">
        <v>40724</v>
      </c>
      <c r="D5311" t="s">
        <v>39</v>
      </c>
      <c r="E5311">
        <v>7</v>
      </c>
      <c r="F5311" s="3">
        <f ca="1">40727+(RANDBETWEEN(1,10))</f>
        <v>40736</v>
      </c>
      <c r="G5311" t="s">
        <v>26</v>
      </c>
      <c r="H5311" t="s">
        <v>27</v>
      </c>
      <c r="I5311" t="s">
        <v>52</v>
      </c>
      <c r="J5311">
        <v>237.685</v>
      </c>
      <c r="K5311">
        <v>0.1</v>
      </c>
      <c r="L5311">
        <v>0.6</v>
      </c>
      <c r="M5311">
        <v>33.075000000000003</v>
      </c>
      <c r="N5311">
        <v>-335.35599999999999</v>
      </c>
      <c r="O5311" s="1" t="s">
        <v>40</v>
      </c>
      <c r="P5311" s="1" t="s">
        <v>11312</v>
      </c>
      <c r="Q5311" s="1" t="s">
        <v>11313</v>
      </c>
      <c r="R5311" s="1" t="s">
        <v>43</v>
      </c>
      <c r="S5311" s="1" t="s">
        <v>11314</v>
      </c>
      <c r="T5311" s="1" t="s">
        <v>11315</v>
      </c>
      <c r="U5311" s="2" t="s">
        <v>483</v>
      </c>
      <c r="V5311" s="2" t="s">
        <v>47</v>
      </c>
      <c r="W5311" s="2" t="s">
        <v>119</v>
      </c>
      <c r="X5311" s="2">
        <v>33.984999999999999</v>
      </c>
    </row>
    <row r="5312" spans="1:24" x14ac:dyDescent="0.3">
      <c r="A5312">
        <v>23143</v>
      </c>
      <c r="B5312" t="s">
        <v>11419</v>
      </c>
      <c r="C5312" s="3">
        <v>41165</v>
      </c>
      <c r="D5312" t="s">
        <v>25</v>
      </c>
      <c r="E5312">
        <v>9</v>
      </c>
      <c r="F5312" s="3">
        <f ca="1">41172+(RANDBETWEEN(1,10))</f>
        <v>41176</v>
      </c>
      <c r="G5312" t="s">
        <v>26</v>
      </c>
      <c r="H5312" t="s">
        <v>51</v>
      </c>
      <c r="I5312" t="s">
        <v>97</v>
      </c>
      <c r="J5312">
        <v>1550.78</v>
      </c>
      <c r="K5312">
        <v>0</v>
      </c>
      <c r="L5312">
        <v>0.8</v>
      </c>
      <c r="M5312">
        <v>17.5</v>
      </c>
      <c r="N5312">
        <v>-451.99</v>
      </c>
      <c r="O5312" s="1" t="s">
        <v>29</v>
      </c>
      <c r="P5312" s="1" t="s">
        <v>8784</v>
      </c>
      <c r="Q5312" s="1" t="s">
        <v>8785</v>
      </c>
      <c r="R5312" s="1" t="s">
        <v>32</v>
      </c>
      <c r="S5312" s="1" t="s">
        <v>8786</v>
      </c>
      <c r="T5312" s="1" t="s">
        <v>8787</v>
      </c>
      <c r="U5312" s="2" t="s">
        <v>2876</v>
      </c>
      <c r="V5312" s="2" t="s">
        <v>36</v>
      </c>
      <c r="W5312" s="2" t="s">
        <v>37</v>
      </c>
      <c r="X5312" s="2">
        <v>195.965</v>
      </c>
    </row>
    <row r="5313" spans="1:24" x14ac:dyDescent="0.3">
      <c r="A5313">
        <v>23144</v>
      </c>
      <c r="B5313" t="s">
        <v>11420</v>
      </c>
      <c r="C5313" s="3">
        <v>41458</v>
      </c>
      <c r="D5313" t="s">
        <v>39</v>
      </c>
      <c r="E5313">
        <v>13</v>
      </c>
      <c r="F5313" s="3">
        <f ca="1">41461+(RANDBETWEEN(1,10))</f>
        <v>41467</v>
      </c>
      <c r="G5313" t="s">
        <v>26</v>
      </c>
      <c r="H5313" t="s">
        <v>96</v>
      </c>
      <c r="I5313" t="s">
        <v>86</v>
      </c>
      <c r="J5313">
        <v>131.94999999999999</v>
      </c>
      <c r="K5313">
        <v>0.04</v>
      </c>
      <c r="L5313">
        <v>0.4</v>
      </c>
      <c r="M5313">
        <v>2.835</v>
      </c>
      <c r="N5313">
        <v>91.045500000000004</v>
      </c>
      <c r="O5313" s="1" t="s">
        <v>40</v>
      </c>
      <c r="P5313" s="1" t="s">
        <v>11421</v>
      </c>
      <c r="Q5313" s="1" t="s">
        <v>11422</v>
      </c>
      <c r="R5313" s="1" t="s">
        <v>220</v>
      </c>
      <c r="S5313" s="1" t="s">
        <v>3354</v>
      </c>
      <c r="T5313" s="1" t="s">
        <v>7424</v>
      </c>
      <c r="U5313" s="2" t="s">
        <v>5264</v>
      </c>
      <c r="V5313" s="2" t="s">
        <v>47</v>
      </c>
      <c r="W5313" s="2" t="s">
        <v>104</v>
      </c>
      <c r="X5313" s="2">
        <v>10.29</v>
      </c>
    </row>
    <row r="5314" spans="1:24" x14ac:dyDescent="0.3">
      <c r="A5314">
        <v>23145</v>
      </c>
      <c r="B5314" t="s">
        <v>11423</v>
      </c>
      <c r="C5314" s="3">
        <v>41511</v>
      </c>
      <c r="D5314" t="s">
        <v>50</v>
      </c>
      <c r="E5314">
        <v>16</v>
      </c>
      <c r="F5314" s="3">
        <f ca="1">41513+(RANDBETWEEN(1,10))</f>
        <v>41516</v>
      </c>
      <c r="G5314" t="s">
        <v>76</v>
      </c>
      <c r="H5314" t="s">
        <v>77</v>
      </c>
      <c r="I5314" t="s">
        <v>28</v>
      </c>
      <c r="J5314">
        <v>5330.5349999999999</v>
      </c>
      <c r="K5314">
        <v>0.08</v>
      </c>
      <c r="L5314">
        <v>0.37</v>
      </c>
      <c r="M5314">
        <v>49</v>
      </c>
      <c r="N5314">
        <v>-293.85300000000001</v>
      </c>
      <c r="O5314" s="1" t="s">
        <v>29</v>
      </c>
      <c r="P5314" s="1" t="s">
        <v>10936</v>
      </c>
      <c r="Q5314" s="1" t="s">
        <v>10937</v>
      </c>
      <c r="R5314" s="1" t="s">
        <v>32</v>
      </c>
      <c r="S5314" s="1" t="s">
        <v>10938</v>
      </c>
      <c r="T5314" s="1" t="s">
        <v>10939</v>
      </c>
      <c r="U5314" s="2" t="s">
        <v>5419</v>
      </c>
      <c r="V5314" s="2" t="s">
        <v>36</v>
      </c>
      <c r="W5314" s="2" t="s">
        <v>142</v>
      </c>
      <c r="X5314" s="2">
        <v>353.39499999999998</v>
      </c>
    </row>
    <row r="5315" spans="1:24" x14ac:dyDescent="0.3">
      <c r="A5315">
        <v>23146</v>
      </c>
      <c r="B5315" t="s">
        <v>11423</v>
      </c>
      <c r="C5315" s="3">
        <v>41511</v>
      </c>
      <c r="D5315" t="s">
        <v>50</v>
      </c>
      <c r="E5315">
        <v>7</v>
      </c>
      <c r="F5315" s="3">
        <f ca="1">41512+(RANDBETWEEN(1,10))</f>
        <v>41517</v>
      </c>
      <c r="G5315" t="s">
        <v>26</v>
      </c>
      <c r="H5315" t="s">
        <v>27</v>
      </c>
      <c r="I5315" t="s">
        <v>28</v>
      </c>
      <c r="J5315">
        <v>577.42999999999995</v>
      </c>
      <c r="K5315">
        <v>0.04</v>
      </c>
      <c r="L5315">
        <v>0.39</v>
      </c>
      <c r="M5315">
        <v>28.63</v>
      </c>
      <c r="N5315">
        <v>2041.5969</v>
      </c>
      <c r="O5315" s="1" t="s">
        <v>29</v>
      </c>
      <c r="P5315" s="1" t="s">
        <v>10936</v>
      </c>
      <c r="Q5315" s="1" t="s">
        <v>10937</v>
      </c>
      <c r="R5315" s="1" t="s">
        <v>32</v>
      </c>
      <c r="S5315" s="1" t="s">
        <v>10938</v>
      </c>
      <c r="T5315" s="1" t="s">
        <v>10939</v>
      </c>
      <c r="U5315" s="2" t="s">
        <v>4870</v>
      </c>
      <c r="V5315" s="2" t="s">
        <v>47</v>
      </c>
      <c r="W5315" s="2" t="s">
        <v>74</v>
      </c>
      <c r="X5315" s="2">
        <v>79.94</v>
      </c>
    </row>
    <row r="5316" spans="1:24" x14ac:dyDescent="0.3">
      <c r="A5316">
        <v>23147</v>
      </c>
      <c r="B5316" t="s">
        <v>11424</v>
      </c>
      <c r="C5316" s="3">
        <v>40900</v>
      </c>
      <c r="D5316" t="s">
        <v>25</v>
      </c>
      <c r="E5316">
        <v>18</v>
      </c>
      <c r="F5316" s="3">
        <f ca="1">40902+(RANDBETWEEN(1,10))</f>
        <v>40906</v>
      </c>
      <c r="G5316" t="s">
        <v>26</v>
      </c>
      <c r="H5316" t="s">
        <v>63</v>
      </c>
      <c r="I5316" t="s">
        <v>28</v>
      </c>
      <c r="J5316">
        <v>38555.370000000003</v>
      </c>
      <c r="K5316">
        <v>0</v>
      </c>
      <c r="L5316">
        <v>0.44</v>
      </c>
      <c r="M5316">
        <v>85.715000000000003</v>
      </c>
      <c r="N5316">
        <v>-1285.0775000000001</v>
      </c>
      <c r="O5316" s="1" t="s">
        <v>40</v>
      </c>
      <c r="P5316" s="1" t="s">
        <v>11425</v>
      </c>
      <c r="Q5316" s="1" t="s">
        <v>11426</v>
      </c>
      <c r="R5316" s="1" t="s">
        <v>43</v>
      </c>
      <c r="S5316" s="1" t="s">
        <v>1827</v>
      </c>
      <c r="T5316" s="1" t="s">
        <v>10905</v>
      </c>
      <c r="U5316" s="2" t="s">
        <v>6295</v>
      </c>
      <c r="V5316" s="2" t="s">
        <v>36</v>
      </c>
      <c r="W5316" s="2" t="s">
        <v>1327</v>
      </c>
      <c r="X5316" s="2">
        <v>2099.9650000000001</v>
      </c>
    </row>
    <row r="5317" spans="1:24" x14ac:dyDescent="0.3">
      <c r="A5317">
        <v>23148</v>
      </c>
      <c r="B5317" t="s">
        <v>11427</v>
      </c>
      <c r="C5317" s="3">
        <v>41516</v>
      </c>
      <c r="D5317" t="s">
        <v>62</v>
      </c>
      <c r="E5317">
        <v>14</v>
      </c>
      <c r="F5317" s="3">
        <f ca="1">41519+(RANDBETWEEN(1,10))</f>
        <v>41526</v>
      </c>
      <c r="G5317" t="s">
        <v>26</v>
      </c>
      <c r="H5317" t="s">
        <v>27</v>
      </c>
      <c r="I5317" t="s">
        <v>28</v>
      </c>
      <c r="J5317">
        <v>2610.6849999999999</v>
      </c>
      <c r="K5317">
        <v>0.1</v>
      </c>
      <c r="L5317">
        <v>0.56000000000000005</v>
      </c>
      <c r="M5317">
        <v>31.465</v>
      </c>
      <c r="N5317">
        <v>646.61940000000004</v>
      </c>
      <c r="O5317" s="1" t="s">
        <v>29</v>
      </c>
      <c r="P5317" s="1" t="s">
        <v>11428</v>
      </c>
      <c r="Q5317" s="1" t="s">
        <v>11429</v>
      </c>
      <c r="R5317" s="1" t="s">
        <v>460</v>
      </c>
      <c r="S5317" s="1" t="s">
        <v>1115</v>
      </c>
      <c r="T5317" s="1" t="s">
        <v>1116</v>
      </c>
      <c r="U5317" s="2" t="s">
        <v>164</v>
      </c>
      <c r="V5317" s="2" t="s">
        <v>36</v>
      </c>
      <c r="W5317" s="2" t="s">
        <v>37</v>
      </c>
      <c r="X5317" s="2">
        <v>230.965</v>
      </c>
    </row>
    <row r="5318" spans="1:24" x14ac:dyDescent="0.3">
      <c r="A5318">
        <v>23149</v>
      </c>
      <c r="B5318" t="s">
        <v>11430</v>
      </c>
      <c r="C5318" s="3">
        <v>41441</v>
      </c>
      <c r="D5318" t="s">
        <v>39</v>
      </c>
      <c r="E5318">
        <v>18</v>
      </c>
      <c r="F5318" s="3">
        <f ca="1">41442+(RANDBETWEEN(1,10))</f>
        <v>41443</v>
      </c>
      <c r="G5318" t="s">
        <v>156</v>
      </c>
      <c r="H5318" t="s">
        <v>96</v>
      </c>
      <c r="I5318" t="s">
        <v>97</v>
      </c>
      <c r="J5318">
        <v>196.80500000000001</v>
      </c>
      <c r="K5318">
        <v>7.0000000000000007E-2</v>
      </c>
      <c r="L5318">
        <v>0.4</v>
      </c>
      <c r="M5318">
        <v>3.99</v>
      </c>
      <c r="N5318">
        <v>105.084</v>
      </c>
      <c r="O5318" s="1" t="s">
        <v>29</v>
      </c>
      <c r="P5318" s="1" t="s">
        <v>8784</v>
      </c>
      <c r="Q5318" s="1" t="s">
        <v>8785</v>
      </c>
      <c r="R5318" s="1" t="s">
        <v>32</v>
      </c>
      <c r="S5318" s="1" t="s">
        <v>8786</v>
      </c>
      <c r="T5318" s="1" t="s">
        <v>8787</v>
      </c>
      <c r="U5318" s="2" t="s">
        <v>8690</v>
      </c>
      <c r="V5318" s="2" t="s">
        <v>47</v>
      </c>
      <c r="W5318" s="2" t="s">
        <v>74</v>
      </c>
      <c r="X5318" s="2">
        <v>10.99</v>
      </c>
    </row>
    <row r="5319" spans="1:24" x14ac:dyDescent="0.3">
      <c r="A5319">
        <v>23150</v>
      </c>
      <c r="B5319" t="s">
        <v>11430</v>
      </c>
      <c r="C5319" s="3">
        <v>41441</v>
      </c>
      <c r="D5319" t="s">
        <v>39</v>
      </c>
      <c r="E5319">
        <v>8</v>
      </c>
      <c r="F5319" s="3">
        <f ca="1">41443+(RANDBETWEEN(1,10))</f>
        <v>41452</v>
      </c>
      <c r="G5319" t="s">
        <v>26</v>
      </c>
      <c r="H5319" t="s">
        <v>51</v>
      </c>
      <c r="I5319" t="s">
        <v>97</v>
      </c>
      <c r="J5319">
        <v>103.63500000000001</v>
      </c>
      <c r="K5319">
        <v>0.08</v>
      </c>
      <c r="L5319">
        <v>0.59</v>
      </c>
      <c r="M5319">
        <v>14.595000000000001</v>
      </c>
      <c r="N5319">
        <v>-156.99600000000001</v>
      </c>
      <c r="O5319" s="1" t="s">
        <v>29</v>
      </c>
      <c r="P5319" s="1" t="s">
        <v>8784</v>
      </c>
      <c r="Q5319" s="1" t="s">
        <v>8785</v>
      </c>
      <c r="R5319" s="1" t="s">
        <v>32</v>
      </c>
      <c r="S5319" s="1" t="s">
        <v>8786</v>
      </c>
      <c r="T5319" s="1" t="s">
        <v>8787</v>
      </c>
      <c r="U5319" s="2" t="s">
        <v>1747</v>
      </c>
      <c r="V5319" s="2" t="s">
        <v>47</v>
      </c>
      <c r="W5319" s="2" t="s">
        <v>104</v>
      </c>
      <c r="X5319" s="2">
        <v>12.494999999999999</v>
      </c>
    </row>
    <row r="5320" spans="1:24" x14ac:dyDescent="0.3">
      <c r="A5320">
        <v>23151</v>
      </c>
      <c r="B5320" t="s">
        <v>11431</v>
      </c>
      <c r="C5320" s="3">
        <v>40719</v>
      </c>
      <c r="D5320" t="s">
        <v>50</v>
      </c>
      <c r="E5320">
        <v>6</v>
      </c>
      <c r="F5320" s="3">
        <f ca="1">40719+(RANDBETWEEN(1,10))</f>
        <v>40724</v>
      </c>
      <c r="G5320" t="s">
        <v>76</v>
      </c>
      <c r="H5320" t="s">
        <v>258</v>
      </c>
      <c r="I5320" t="s">
        <v>86</v>
      </c>
      <c r="J5320">
        <v>1274.9100000000001</v>
      </c>
      <c r="K5320">
        <v>0.06</v>
      </c>
      <c r="L5320">
        <v>0.72</v>
      </c>
      <c r="M5320">
        <v>312.55</v>
      </c>
      <c r="N5320">
        <v>227.76956999999999</v>
      </c>
      <c r="O5320" s="1" t="s">
        <v>29</v>
      </c>
      <c r="P5320" s="1" t="s">
        <v>1606</v>
      </c>
      <c r="Q5320" s="1" t="s">
        <v>1607</v>
      </c>
      <c r="R5320" s="1" t="s">
        <v>675</v>
      </c>
      <c r="S5320" s="1" t="s">
        <v>1608</v>
      </c>
      <c r="T5320" s="1" t="s">
        <v>1609</v>
      </c>
      <c r="U5320" s="2" t="s">
        <v>407</v>
      </c>
      <c r="V5320" s="2" t="s">
        <v>83</v>
      </c>
      <c r="W5320" s="2" t="s">
        <v>263</v>
      </c>
      <c r="X5320" s="2">
        <v>248.11500000000001</v>
      </c>
    </row>
    <row r="5321" spans="1:24" x14ac:dyDescent="0.3">
      <c r="A5321">
        <v>23152</v>
      </c>
      <c r="B5321" t="s">
        <v>11432</v>
      </c>
      <c r="C5321" s="3">
        <v>41740</v>
      </c>
      <c r="D5321" t="s">
        <v>50</v>
      </c>
      <c r="E5321">
        <v>12</v>
      </c>
      <c r="F5321" s="3">
        <f ca="1">41742+(RANDBETWEEN(1,10))</f>
        <v>41745</v>
      </c>
      <c r="G5321" t="s">
        <v>26</v>
      </c>
      <c r="H5321" t="s">
        <v>27</v>
      </c>
      <c r="I5321" t="s">
        <v>86</v>
      </c>
      <c r="J5321">
        <v>793.03</v>
      </c>
      <c r="K5321">
        <v>0.1</v>
      </c>
      <c r="L5321">
        <v>0.35</v>
      </c>
      <c r="M5321">
        <v>5.2149999999999999</v>
      </c>
      <c r="N5321">
        <v>547.19069999999999</v>
      </c>
      <c r="O5321" s="1" t="s">
        <v>225</v>
      </c>
      <c r="P5321" s="1" t="s">
        <v>11243</v>
      </c>
      <c r="Q5321" s="1" t="s">
        <v>11244</v>
      </c>
      <c r="R5321" s="1" t="s">
        <v>228</v>
      </c>
      <c r="S5321" s="1" t="s">
        <v>11245</v>
      </c>
      <c r="T5321" s="1" t="s">
        <v>5837</v>
      </c>
      <c r="U5321" s="2" t="s">
        <v>3361</v>
      </c>
      <c r="V5321" s="2" t="s">
        <v>47</v>
      </c>
      <c r="W5321" s="2" t="s">
        <v>111</v>
      </c>
      <c r="X5321" s="2">
        <v>73.430000000000007</v>
      </c>
    </row>
    <row r="5322" spans="1:24" x14ac:dyDescent="0.3">
      <c r="A5322">
        <v>23153</v>
      </c>
      <c r="B5322" t="s">
        <v>11433</v>
      </c>
      <c r="C5322" s="3">
        <v>40644</v>
      </c>
      <c r="D5322" t="s">
        <v>50</v>
      </c>
      <c r="E5322">
        <v>2</v>
      </c>
      <c r="F5322" s="3">
        <f ca="1">40646+(RANDBETWEEN(1,10))</f>
        <v>40655</v>
      </c>
      <c r="G5322" t="s">
        <v>26</v>
      </c>
      <c r="H5322" t="s">
        <v>27</v>
      </c>
      <c r="I5322" t="s">
        <v>86</v>
      </c>
      <c r="J5322">
        <v>355.98500000000001</v>
      </c>
      <c r="K5322">
        <v>0.03</v>
      </c>
      <c r="L5322">
        <v>0.37</v>
      </c>
      <c r="M5322">
        <v>69.965000000000003</v>
      </c>
      <c r="N5322">
        <v>-15.61</v>
      </c>
      <c r="O5322" s="1" t="s">
        <v>225</v>
      </c>
      <c r="P5322" s="1" t="s">
        <v>11243</v>
      </c>
      <c r="Q5322" s="1" t="s">
        <v>11244</v>
      </c>
      <c r="R5322" s="1" t="s">
        <v>228</v>
      </c>
      <c r="S5322" s="1" t="s">
        <v>11245</v>
      </c>
      <c r="T5322" s="1" t="s">
        <v>5837</v>
      </c>
      <c r="U5322" s="2" t="s">
        <v>11434</v>
      </c>
      <c r="V5322" s="2" t="s">
        <v>47</v>
      </c>
      <c r="W5322" s="2" t="s">
        <v>74</v>
      </c>
      <c r="X5322" s="2">
        <v>168.14</v>
      </c>
    </row>
    <row r="5323" spans="1:24" x14ac:dyDescent="0.3">
      <c r="A5323">
        <v>23154</v>
      </c>
      <c r="B5323" t="s">
        <v>11435</v>
      </c>
      <c r="C5323" s="3">
        <v>40876</v>
      </c>
      <c r="D5323" t="s">
        <v>148</v>
      </c>
      <c r="E5323">
        <v>40</v>
      </c>
      <c r="F5323" s="3">
        <f ca="1">40877+(RANDBETWEEN(1,10))</f>
        <v>40880</v>
      </c>
      <c r="G5323" t="s">
        <v>26</v>
      </c>
      <c r="H5323" t="s">
        <v>96</v>
      </c>
      <c r="I5323" t="s">
        <v>97</v>
      </c>
      <c r="J5323">
        <v>541.48500000000001</v>
      </c>
      <c r="K5323">
        <v>0.02</v>
      </c>
      <c r="L5323">
        <v>0.39</v>
      </c>
      <c r="M5323">
        <v>2.4849999999999999</v>
      </c>
      <c r="N5323">
        <v>373.62464999999997</v>
      </c>
      <c r="O5323" s="1" t="s">
        <v>29</v>
      </c>
      <c r="P5323" s="1" t="s">
        <v>11082</v>
      </c>
      <c r="Q5323" s="1" t="s">
        <v>11083</v>
      </c>
      <c r="R5323" s="1" t="s">
        <v>32</v>
      </c>
      <c r="S5323" s="1" t="s">
        <v>4789</v>
      </c>
      <c r="T5323" s="1" t="s">
        <v>4790</v>
      </c>
      <c r="U5323" s="2" t="s">
        <v>2000</v>
      </c>
      <c r="V5323" s="2" t="s">
        <v>47</v>
      </c>
      <c r="W5323" s="2" t="s">
        <v>176</v>
      </c>
      <c r="X5323" s="2">
        <v>13.23</v>
      </c>
    </row>
    <row r="5324" spans="1:24" x14ac:dyDescent="0.3">
      <c r="A5324">
        <v>23155</v>
      </c>
      <c r="B5324" t="s">
        <v>11436</v>
      </c>
      <c r="C5324" s="3">
        <v>41536</v>
      </c>
      <c r="D5324" t="s">
        <v>50</v>
      </c>
      <c r="E5324">
        <v>22</v>
      </c>
      <c r="F5324" s="3">
        <f ca="1">41538+(RANDBETWEEN(1,10))</f>
        <v>41547</v>
      </c>
      <c r="G5324" t="s">
        <v>26</v>
      </c>
      <c r="H5324" t="s">
        <v>281</v>
      </c>
      <c r="I5324" t="s">
        <v>28</v>
      </c>
      <c r="J5324">
        <v>1065.4349999999999</v>
      </c>
      <c r="K5324">
        <v>0.01</v>
      </c>
      <c r="L5324">
        <v>0.39</v>
      </c>
      <c r="M5324">
        <v>33.04</v>
      </c>
      <c r="N5324">
        <v>1461.9570000000001</v>
      </c>
      <c r="O5324" s="1" t="s">
        <v>87</v>
      </c>
      <c r="P5324" s="1" t="s">
        <v>11437</v>
      </c>
      <c r="Q5324" s="1" t="s">
        <v>11438</v>
      </c>
      <c r="R5324" s="1" t="s">
        <v>90</v>
      </c>
      <c r="S5324" s="1" t="s">
        <v>11439</v>
      </c>
      <c r="T5324" s="1" t="s">
        <v>4591</v>
      </c>
      <c r="U5324" s="2" t="s">
        <v>11440</v>
      </c>
      <c r="V5324" s="2" t="s">
        <v>36</v>
      </c>
      <c r="W5324" s="2" t="s">
        <v>142</v>
      </c>
      <c r="X5324" s="2">
        <v>45.465000000000003</v>
      </c>
    </row>
    <row r="5325" spans="1:24" x14ac:dyDescent="0.3">
      <c r="A5325">
        <v>23156</v>
      </c>
      <c r="B5325" t="s">
        <v>11436</v>
      </c>
      <c r="C5325" s="3">
        <v>41536</v>
      </c>
      <c r="D5325" t="s">
        <v>50</v>
      </c>
      <c r="E5325">
        <v>12</v>
      </c>
      <c r="F5325" s="3">
        <f ca="1">41538+(RANDBETWEEN(1,10))</f>
        <v>41544</v>
      </c>
      <c r="G5325" t="s">
        <v>26</v>
      </c>
      <c r="H5325" t="s">
        <v>27</v>
      </c>
      <c r="I5325" t="s">
        <v>28</v>
      </c>
      <c r="J5325">
        <v>4392.1499999999996</v>
      </c>
      <c r="K5325">
        <v>7.0000000000000007E-2</v>
      </c>
      <c r="L5325">
        <v>0.57999999999999996</v>
      </c>
      <c r="M5325">
        <v>26.914999999999999</v>
      </c>
      <c r="N5325">
        <v>8.1931499999999993</v>
      </c>
      <c r="O5325" s="1" t="s">
        <v>87</v>
      </c>
      <c r="P5325" s="1" t="s">
        <v>11437</v>
      </c>
      <c r="Q5325" s="1" t="s">
        <v>11438</v>
      </c>
      <c r="R5325" s="1" t="s">
        <v>90</v>
      </c>
      <c r="S5325" s="1" t="s">
        <v>11439</v>
      </c>
      <c r="T5325" s="1" t="s">
        <v>4591</v>
      </c>
      <c r="U5325" s="2" t="s">
        <v>2511</v>
      </c>
      <c r="V5325" s="2" t="s">
        <v>36</v>
      </c>
      <c r="W5325" s="2" t="s">
        <v>37</v>
      </c>
      <c r="X5325" s="2">
        <v>440.96499999999997</v>
      </c>
    </row>
    <row r="5326" spans="1:24" x14ac:dyDescent="0.3">
      <c r="A5326">
        <v>23157</v>
      </c>
      <c r="B5326" t="s">
        <v>11441</v>
      </c>
      <c r="C5326" s="3">
        <v>41874</v>
      </c>
      <c r="D5326" t="s">
        <v>62</v>
      </c>
      <c r="E5326">
        <v>21</v>
      </c>
      <c r="F5326" s="3">
        <f ca="1">41876+(RANDBETWEEN(1,10))</f>
        <v>41881</v>
      </c>
      <c r="G5326" t="s">
        <v>26</v>
      </c>
      <c r="H5326" t="s">
        <v>27</v>
      </c>
      <c r="I5326" t="s">
        <v>28</v>
      </c>
      <c r="J5326">
        <v>3929.9749999999999</v>
      </c>
      <c r="K5326">
        <v>0.05</v>
      </c>
      <c r="L5326">
        <v>0.55000000000000004</v>
      </c>
      <c r="M5326">
        <v>31.465</v>
      </c>
      <c r="N5326">
        <v>-207.613</v>
      </c>
      <c r="O5326" s="1" t="s">
        <v>87</v>
      </c>
      <c r="P5326" s="1" t="s">
        <v>11442</v>
      </c>
      <c r="Q5326" s="1" t="s">
        <v>11443</v>
      </c>
      <c r="R5326" s="1" t="s">
        <v>398</v>
      </c>
      <c r="S5326" s="1" t="s">
        <v>11444</v>
      </c>
      <c r="T5326" s="1" t="s">
        <v>11445</v>
      </c>
      <c r="U5326" s="2" t="s">
        <v>511</v>
      </c>
      <c r="V5326" s="2" t="s">
        <v>36</v>
      </c>
      <c r="W5326" s="2" t="s">
        <v>37</v>
      </c>
      <c r="X5326" s="2">
        <v>230.965</v>
      </c>
    </row>
    <row r="5327" spans="1:24" x14ac:dyDescent="0.3">
      <c r="A5327">
        <v>23158</v>
      </c>
      <c r="B5327" t="s">
        <v>11446</v>
      </c>
      <c r="C5327" s="3">
        <v>40983</v>
      </c>
      <c r="D5327" t="s">
        <v>50</v>
      </c>
      <c r="E5327">
        <v>7</v>
      </c>
      <c r="F5327" s="3">
        <f ca="1">40984+(RANDBETWEEN(1,10))</f>
        <v>40991</v>
      </c>
      <c r="G5327" t="s">
        <v>26</v>
      </c>
      <c r="H5327" t="s">
        <v>27</v>
      </c>
      <c r="I5327" t="s">
        <v>52</v>
      </c>
      <c r="J5327">
        <v>1377.81</v>
      </c>
      <c r="K5327">
        <v>0.03</v>
      </c>
      <c r="L5327">
        <v>0.57999999999999996</v>
      </c>
      <c r="M5327">
        <v>20.965</v>
      </c>
      <c r="N5327">
        <v>754.01549999999997</v>
      </c>
      <c r="O5327" s="1" t="s">
        <v>40</v>
      </c>
      <c r="P5327" s="1" t="s">
        <v>11447</v>
      </c>
      <c r="Q5327" s="1" t="s">
        <v>8292</v>
      </c>
      <c r="R5327" s="1" t="s">
        <v>43</v>
      </c>
      <c r="S5327" s="1" t="s">
        <v>2884</v>
      </c>
      <c r="T5327" s="1" t="s">
        <v>2885</v>
      </c>
      <c r="U5327" s="2" t="s">
        <v>326</v>
      </c>
      <c r="V5327" s="2" t="s">
        <v>36</v>
      </c>
      <c r="W5327" s="2" t="s">
        <v>37</v>
      </c>
      <c r="X5327" s="2">
        <v>230.965</v>
      </c>
    </row>
    <row r="5328" spans="1:24" x14ac:dyDescent="0.3">
      <c r="A5328">
        <v>23159</v>
      </c>
      <c r="B5328" t="s">
        <v>11446</v>
      </c>
      <c r="C5328" s="3">
        <v>40983</v>
      </c>
      <c r="D5328" t="s">
        <v>50</v>
      </c>
      <c r="E5328">
        <v>3</v>
      </c>
      <c r="F5328" s="3">
        <f ca="1">40984+(RANDBETWEEN(1,10))</f>
        <v>40992</v>
      </c>
      <c r="G5328" t="s">
        <v>26</v>
      </c>
      <c r="H5328" t="s">
        <v>27</v>
      </c>
      <c r="I5328" t="s">
        <v>52</v>
      </c>
      <c r="J5328">
        <v>1049.895</v>
      </c>
      <c r="K5328">
        <v>0.02</v>
      </c>
      <c r="L5328">
        <v>0.52</v>
      </c>
      <c r="M5328">
        <v>69.965000000000003</v>
      </c>
      <c r="N5328">
        <v>-419.72</v>
      </c>
      <c r="O5328" s="1" t="s">
        <v>64</v>
      </c>
      <c r="P5328" s="1" t="s">
        <v>11448</v>
      </c>
      <c r="Q5328" s="1" t="s">
        <v>11449</v>
      </c>
      <c r="R5328" s="1" t="s">
        <v>67</v>
      </c>
      <c r="S5328" s="1" t="s">
        <v>11450</v>
      </c>
      <c r="T5328" s="1" t="s">
        <v>11451</v>
      </c>
      <c r="U5328" s="2" t="s">
        <v>1438</v>
      </c>
      <c r="V5328" s="2" t="s">
        <v>36</v>
      </c>
      <c r="W5328" s="2" t="s">
        <v>60</v>
      </c>
      <c r="X5328" s="2">
        <v>349.96499999999997</v>
      </c>
    </row>
    <row r="5329" spans="1:24" x14ac:dyDescent="0.3">
      <c r="A5329">
        <v>23160</v>
      </c>
      <c r="B5329" t="s">
        <v>11446</v>
      </c>
      <c r="C5329" s="3">
        <v>40983</v>
      </c>
      <c r="D5329" t="s">
        <v>50</v>
      </c>
      <c r="E5329">
        <v>3</v>
      </c>
      <c r="F5329" s="3">
        <f ca="1">40984+(RANDBETWEEN(1,10))</f>
        <v>40990</v>
      </c>
      <c r="G5329" t="s">
        <v>26</v>
      </c>
      <c r="H5329" t="s">
        <v>96</v>
      </c>
      <c r="I5329" t="s">
        <v>52</v>
      </c>
      <c r="J5329">
        <v>37.484999999999999</v>
      </c>
      <c r="K5329">
        <v>0.04</v>
      </c>
      <c r="L5329">
        <v>0.56000000000000005</v>
      </c>
      <c r="M5329">
        <v>14.7</v>
      </c>
      <c r="N5329">
        <v>-109.34</v>
      </c>
      <c r="O5329" s="1" t="s">
        <v>64</v>
      </c>
      <c r="P5329" s="1" t="s">
        <v>11448</v>
      </c>
      <c r="Q5329" s="1" t="s">
        <v>11449</v>
      </c>
      <c r="R5329" s="1" t="s">
        <v>67</v>
      </c>
      <c r="S5329" s="1" t="s">
        <v>11450</v>
      </c>
      <c r="T5329" s="1" t="s">
        <v>11451</v>
      </c>
      <c r="U5329" s="2" t="s">
        <v>11452</v>
      </c>
      <c r="V5329" s="2" t="s">
        <v>47</v>
      </c>
      <c r="W5329" s="2" t="s">
        <v>104</v>
      </c>
      <c r="X5329" s="2">
        <v>11.48</v>
      </c>
    </row>
    <row r="5330" spans="1:24" x14ac:dyDescent="0.3">
      <c r="A5330">
        <v>23161</v>
      </c>
      <c r="B5330" t="s">
        <v>11453</v>
      </c>
      <c r="C5330" s="3">
        <v>40824</v>
      </c>
      <c r="D5330" t="s">
        <v>50</v>
      </c>
      <c r="E5330">
        <v>7</v>
      </c>
      <c r="F5330" s="3">
        <f ca="1">40826+(RANDBETWEEN(1,10))</f>
        <v>40831</v>
      </c>
      <c r="G5330" t="s">
        <v>26</v>
      </c>
      <c r="H5330" t="s">
        <v>27</v>
      </c>
      <c r="I5330" t="s">
        <v>52</v>
      </c>
      <c r="J5330">
        <v>104.19499999999999</v>
      </c>
      <c r="K5330">
        <v>7.0000000000000007E-2</v>
      </c>
      <c r="L5330">
        <v>0.38</v>
      </c>
      <c r="M5330">
        <v>18.41</v>
      </c>
      <c r="N5330">
        <v>-209.87316000000001</v>
      </c>
      <c r="O5330" s="1" t="s">
        <v>29</v>
      </c>
      <c r="P5330" s="1" t="s">
        <v>2145</v>
      </c>
      <c r="Q5330" s="1" t="s">
        <v>2146</v>
      </c>
      <c r="R5330" s="1" t="s">
        <v>460</v>
      </c>
      <c r="S5330" s="1" t="s">
        <v>2147</v>
      </c>
      <c r="T5330" s="1" t="s">
        <v>2148</v>
      </c>
      <c r="U5330" s="2" t="s">
        <v>1287</v>
      </c>
      <c r="V5330" s="2" t="s">
        <v>47</v>
      </c>
      <c r="W5330" s="2" t="s">
        <v>111</v>
      </c>
      <c r="X5330" s="2">
        <v>13.93</v>
      </c>
    </row>
    <row r="5331" spans="1:24" x14ac:dyDescent="0.3">
      <c r="A5331">
        <v>23162</v>
      </c>
      <c r="B5331" t="s">
        <v>11453</v>
      </c>
      <c r="C5331" s="3">
        <v>40824</v>
      </c>
      <c r="D5331" t="s">
        <v>50</v>
      </c>
      <c r="E5331">
        <v>12</v>
      </c>
      <c r="F5331" s="3">
        <f ca="1">40824+(RANDBETWEEN(1,10))</f>
        <v>40830</v>
      </c>
      <c r="G5331" t="s">
        <v>26</v>
      </c>
      <c r="H5331" t="s">
        <v>51</v>
      </c>
      <c r="I5331" t="s">
        <v>52</v>
      </c>
      <c r="J5331">
        <v>515.16499999999996</v>
      </c>
      <c r="K5331">
        <v>7.0000000000000007E-2</v>
      </c>
      <c r="L5331">
        <v>0.55000000000000004</v>
      </c>
      <c r="M5331">
        <v>9.9749999999999996</v>
      </c>
      <c r="N5331">
        <v>312.95179999999999</v>
      </c>
      <c r="O5331" s="1" t="s">
        <v>29</v>
      </c>
      <c r="P5331" s="1" t="s">
        <v>2145</v>
      </c>
      <c r="Q5331" s="1" t="s">
        <v>2146</v>
      </c>
      <c r="R5331" s="1" t="s">
        <v>460</v>
      </c>
      <c r="S5331" s="1" t="s">
        <v>2147</v>
      </c>
      <c r="T5331" s="1" t="s">
        <v>2148</v>
      </c>
      <c r="U5331" s="2" t="s">
        <v>3256</v>
      </c>
      <c r="V5331" s="2" t="s">
        <v>83</v>
      </c>
      <c r="W5331" s="2" t="s">
        <v>178</v>
      </c>
      <c r="X5331" s="2">
        <v>42.77</v>
      </c>
    </row>
    <row r="5332" spans="1:24" x14ac:dyDescent="0.3">
      <c r="A5332">
        <v>23163</v>
      </c>
      <c r="B5332" t="s">
        <v>11454</v>
      </c>
      <c r="C5332" s="3">
        <v>41262</v>
      </c>
      <c r="D5332" t="s">
        <v>62</v>
      </c>
      <c r="E5332">
        <v>12</v>
      </c>
      <c r="F5332" s="3">
        <f ca="1">41265+(RANDBETWEEN(1,10))</f>
        <v>41269</v>
      </c>
      <c r="G5332" t="s">
        <v>26</v>
      </c>
      <c r="H5332" t="s">
        <v>96</v>
      </c>
      <c r="I5332" t="s">
        <v>97</v>
      </c>
      <c r="J5332">
        <v>228.41</v>
      </c>
      <c r="K5332">
        <v>0.08</v>
      </c>
      <c r="L5332">
        <v>0.39</v>
      </c>
      <c r="M5332">
        <v>5.1100000000000003</v>
      </c>
      <c r="N5332">
        <v>157.60290000000001</v>
      </c>
      <c r="O5332" s="1" t="s">
        <v>40</v>
      </c>
      <c r="P5332" s="1" t="s">
        <v>11455</v>
      </c>
      <c r="Q5332" s="1" t="s">
        <v>11456</v>
      </c>
      <c r="R5332" s="1" t="s">
        <v>43</v>
      </c>
      <c r="S5332" s="1" t="s">
        <v>11457</v>
      </c>
      <c r="T5332" s="1" t="s">
        <v>6784</v>
      </c>
      <c r="U5332" s="2" t="s">
        <v>8262</v>
      </c>
      <c r="V5332" s="2" t="s">
        <v>47</v>
      </c>
      <c r="W5332" s="2" t="s">
        <v>74</v>
      </c>
      <c r="X5332" s="2">
        <v>19.88</v>
      </c>
    </row>
    <row r="5333" spans="1:24" x14ac:dyDescent="0.3">
      <c r="A5333">
        <v>23164</v>
      </c>
      <c r="B5333" t="s">
        <v>11454</v>
      </c>
      <c r="C5333" s="3">
        <v>41262</v>
      </c>
      <c r="D5333" t="s">
        <v>62</v>
      </c>
      <c r="E5333">
        <v>3</v>
      </c>
      <c r="F5333" s="3">
        <f ca="1">41264+(RANDBETWEEN(1,10))</f>
        <v>41266</v>
      </c>
      <c r="G5333" t="s">
        <v>26</v>
      </c>
      <c r="H5333" t="s">
        <v>51</v>
      </c>
      <c r="I5333" t="s">
        <v>97</v>
      </c>
      <c r="J5333">
        <v>531.82500000000005</v>
      </c>
      <c r="K5333">
        <v>0.01</v>
      </c>
      <c r="L5333">
        <v>0.83</v>
      </c>
      <c r="M5333">
        <v>17.5</v>
      </c>
      <c r="N5333">
        <v>-445.137</v>
      </c>
      <c r="O5333" s="1" t="s">
        <v>40</v>
      </c>
      <c r="P5333" s="1" t="s">
        <v>11455</v>
      </c>
      <c r="Q5333" s="1" t="s">
        <v>11456</v>
      </c>
      <c r="R5333" s="1" t="s">
        <v>43</v>
      </c>
      <c r="S5333" s="1" t="s">
        <v>11457</v>
      </c>
      <c r="T5333" s="1" t="s">
        <v>6784</v>
      </c>
      <c r="U5333" s="2" t="s">
        <v>4376</v>
      </c>
      <c r="V5333" s="2" t="s">
        <v>36</v>
      </c>
      <c r="W5333" s="2" t="s">
        <v>37</v>
      </c>
      <c r="X5333" s="2">
        <v>195.965</v>
      </c>
    </row>
    <row r="5334" spans="1:24" x14ac:dyDescent="0.3">
      <c r="A5334">
        <v>23165</v>
      </c>
      <c r="B5334" t="s">
        <v>11458</v>
      </c>
      <c r="C5334" s="3">
        <v>41890</v>
      </c>
      <c r="D5334" t="s">
        <v>62</v>
      </c>
      <c r="E5334">
        <v>2</v>
      </c>
      <c r="F5334" s="3">
        <f ca="1">41891+(RANDBETWEEN(1,10))</f>
        <v>41894</v>
      </c>
      <c r="G5334" t="s">
        <v>26</v>
      </c>
      <c r="H5334" t="s">
        <v>96</v>
      </c>
      <c r="I5334" t="s">
        <v>97</v>
      </c>
      <c r="J5334">
        <v>60.97</v>
      </c>
      <c r="K5334">
        <v>0.1</v>
      </c>
      <c r="L5334">
        <v>0.42</v>
      </c>
      <c r="M5334">
        <v>14</v>
      </c>
      <c r="N5334">
        <v>-34.164200000000001</v>
      </c>
      <c r="O5334" s="1" t="s">
        <v>40</v>
      </c>
      <c r="P5334" s="1" t="s">
        <v>6909</v>
      </c>
      <c r="Q5334" s="1" t="s">
        <v>6910</v>
      </c>
      <c r="R5334" s="1" t="s">
        <v>220</v>
      </c>
      <c r="S5334" s="1" t="s">
        <v>6911</v>
      </c>
      <c r="T5334" s="1" t="s">
        <v>6912</v>
      </c>
      <c r="U5334" s="2" t="s">
        <v>2801</v>
      </c>
      <c r="V5334" s="2" t="s">
        <v>83</v>
      </c>
      <c r="W5334" s="2" t="s">
        <v>178</v>
      </c>
      <c r="X5334" s="2">
        <v>26.565000000000001</v>
      </c>
    </row>
    <row r="5335" spans="1:24" x14ac:dyDescent="0.3">
      <c r="A5335">
        <v>23166</v>
      </c>
      <c r="B5335" t="s">
        <v>11459</v>
      </c>
      <c r="C5335" s="3">
        <v>41044</v>
      </c>
      <c r="D5335" t="s">
        <v>148</v>
      </c>
      <c r="E5335">
        <v>3</v>
      </c>
      <c r="F5335" s="3">
        <f ca="1">41044+(RANDBETWEEN(1,10))</f>
        <v>41051</v>
      </c>
      <c r="G5335" t="s">
        <v>26</v>
      </c>
      <c r="H5335" t="s">
        <v>27</v>
      </c>
      <c r="I5335" t="s">
        <v>97</v>
      </c>
      <c r="J5335">
        <v>29.995000000000001</v>
      </c>
      <c r="K5335">
        <v>7.0000000000000007E-2</v>
      </c>
      <c r="L5335">
        <v>0.36</v>
      </c>
      <c r="M5335">
        <v>3.4649999999999999</v>
      </c>
      <c r="N5335">
        <v>3.08</v>
      </c>
      <c r="O5335" s="1" t="s">
        <v>225</v>
      </c>
      <c r="P5335" s="1" t="s">
        <v>11460</v>
      </c>
      <c r="Q5335" s="1" t="s">
        <v>11461</v>
      </c>
      <c r="R5335" s="1" t="s">
        <v>228</v>
      </c>
      <c r="S5335" s="1" t="s">
        <v>11462</v>
      </c>
      <c r="T5335" s="1" t="s">
        <v>11463</v>
      </c>
      <c r="U5335" s="2" t="s">
        <v>3527</v>
      </c>
      <c r="V5335" s="2" t="s">
        <v>47</v>
      </c>
      <c r="W5335" s="2" t="s">
        <v>203</v>
      </c>
      <c r="X5335" s="2">
        <v>10.08</v>
      </c>
    </row>
    <row r="5336" spans="1:24" x14ac:dyDescent="0.3">
      <c r="A5336">
        <v>23167</v>
      </c>
      <c r="B5336" t="s">
        <v>11459</v>
      </c>
      <c r="C5336" s="3">
        <v>41044</v>
      </c>
      <c r="D5336" t="s">
        <v>148</v>
      </c>
      <c r="E5336">
        <v>6</v>
      </c>
      <c r="F5336" s="3">
        <f ca="1">41046+(RANDBETWEEN(1,10))</f>
        <v>41054</v>
      </c>
      <c r="G5336" t="s">
        <v>76</v>
      </c>
      <c r="H5336" t="s">
        <v>77</v>
      </c>
      <c r="I5336" t="s">
        <v>97</v>
      </c>
      <c r="J5336">
        <v>15759.24</v>
      </c>
      <c r="K5336">
        <v>0.09</v>
      </c>
      <c r="L5336">
        <v>0.4</v>
      </c>
      <c r="M5336">
        <v>193.55</v>
      </c>
      <c r="N5336">
        <v>9498.8250000000007</v>
      </c>
      <c r="O5336" s="1" t="s">
        <v>225</v>
      </c>
      <c r="P5336" s="1" t="s">
        <v>11460</v>
      </c>
      <c r="Q5336" s="1" t="s">
        <v>11461</v>
      </c>
      <c r="R5336" s="1" t="s">
        <v>228</v>
      </c>
      <c r="S5336" s="1" t="s">
        <v>11462</v>
      </c>
      <c r="T5336" s="1" t="s">
        <v>11463</v>
      </c>
      <c r="U5336" s="2" t="s">
        <v>8440</v>
      </c>
      <c r="V5336" s="2" t="s">
        <v>36</v>
      </c>
      <c r="W5336" s="2" t="s">
        <v>142</v>
      </c>
      <c r="X5336" s="2">
        <v>2829.7150000000001</v>
      </c>
    </row>
    <row r="5337" spans="1:24" x14ac:dyDescent="0.3">
      <c r="A5337">
        <v>23168</v>
      </c>
      <c r="B5337" t="s">
        <v>11459</v>
      </c>
      <c r="C5337" s="3">
        <v>41044</v>
      </c>
      <c r="D5337" t="s">
        <v>148</v>
      </c>
      <c r="E5337">
        <v>17</v>
      </c>
      <c r="F5337" s="3">
        <f ca="1">41044+(RANDBETWEEN(1,10))</f>
        <v>41051</v>
      </c>
      <c r="G5337" t="s">
        <v>26</v>
      </c>
      <c r="H5337" t="s">
        <v>27</v>
      </c>
      <c r="I5337" t="s">
        <v>97</v>
      </c>
      <c r="J5337">
        <v>355.04</v>
      </c>
      <c r="K5337">
        <v>0.1</v>
      </c>
      <c r="L5337">
        <v>0.37</v>
      </c>
      <c r="M5337">
        <v>22.225000000000001</v>
      </c>
      <c r="N5337">
        <v>-502.77499999999998</v>
      </c>
      <c r="O5337" s="1" t="s">
        <v>87</v>
      </c>
      <c r="P5337" s="1" t="s">
        <v>7430</v>
      </c>
      <c r="Q5337" s="1" t="s">
        <v>7431</v>
      </c>
      <c r="R5337" s="1" t="s">
        <v>497</v>
      </c>
      <c r="S5337" s="1" t="s">
        <v>7432</v>
      </c>
      <c r="T5337" s="1" t="s">
        <v>7433</v>
      </c>
      <c r="U5337" s="2" t="s">
        <v>3424</v>
      </c>
      <c r="V5337" s="2" t="s">
        <v>47</v>
      </c>
      <c r="W5337" s="2" t="s">
        <v>74</v>
      </c>
      <c r="X5337" s="2">
        <v>22.68</v>
      </c>
    </row>
    <row r="5338" spans="1:24" x14ac:dyDescent="0.3">
      <c r="A5338">
        <v>23169</v>
      </c>
      <c r="B5338" t="s">
        <v>11464</v>
      </c>
      <c r="C5338" s="3">
        <v>41175</v>
      </c>
      <c r="D5338" t="s">
        <v>50</v>
      </c>
      <c r="E5338">
        <v>11</v>
      </c>
      <c r="F5338" s="3">
        <f ca="1">41177+(RANDBETWEEN(1,10))</f>
        <v>41184</v>
      </c>
      <c r="G5338" t="s">
        <v>26</v>
      </c>
      <c r="H5338" t="s">
        <v>27</v>
      </c>
      <c r="I5338" t="s">
        <v>86</v>
      </c>
      <c r="J5338">
        <v>3286.57</v>
      </c>
      <c r="K5338">
        <v>0.05</v>
      </c>
      <c r="L5338">
        <v>0.38</v>
      </c>
      <c r="M5338">
        <v>17.535</v>
      </c>
      <c r="N5338">
        <v>2267.7332999999999</v>
      </c>
      <c r="O5338" s="1" t="s">
        <v>87</v>
      </c>
      <c r="P5338" s="1" t="s">
        <v>9460</v>
      </c>
      <c r="Q5338" s="1" t="s">
        <v>9461</v>
      </c>
      <c r="R5338" s="1" t="s">
        <v>90</v>
      </c>
      <c r="S5338" s="1" t="s">
        <v>9462</v>
      </c>
      <c r="T5338" s="1" t="s">
        <v>9463</v>
      </c>
      <c r="U5338" s="2" t="s">
        <v>9050</v>
      </c>
      <c r="V5338" s="2" t="s">
        <v>47</v>
      </c>
      <c r="W5338" s="2" t="s">
        <v>48</v>
      </c>
      <c r="X5338" s="2">
        <v>293.93</v>
      </c>
    </row>
    <row r="5339" spans="1:24" x14ac:dyDescent="0.3">
      <c r="A5339">
        <v>23170</v>
      </c>
      <c r="B5339" t="s">
        <v>11465</v>
      </c>
      <c r="C5339" s="3">
        <v>41162</v>
      </c>
      <c r="D5339" t="s">
        <v>39</v>
      </c>
      <c r="E5339">
        <v>2</v>
      </c>
      <c r="F5339" s="3">
        <f ca="1">41163+(RANDBETWEEN(1,10))</f>
        <v>41168</v>
      </c>
      <c r="G5339" t="s">
        <v>156</v>
      </c>
      <c r="H5339" t="s">
        <v>27</v>
      </c>
      <c r="I5339" t="s">
        <v>28</v>
      </c>
      <c r="J5339">
        <v>102.27</v>
      </c>
      <c r="K5339">
        <v>0.05</v>
      </c>
      <c r="L5339">
        <v>0.59</v>
      </c>
      <c r="M5339">
        <v>15.75</v>
      </c>
      <c r="N5339">
        <v>-24.64</v>
      </c>
      <c r="O5339" s="1" t="s">
        <v>40</v>
      </c>
      <c r="P5339" s="1" t="s">
        <v>11466</v>
      </c>
      <c r="Q5339" s="1" t="s">
        <v>11467</v>
      </c>
      <c r="R5339" s="1" t="s">
        <v>43</v>
      </c>
      <c r="S5339" s="1" t="s">
        <v>11468</v>
      </c>
      <c r="T5339" s="1" t="s">
        <v>5597</v>
      </c>
      <c r="U5339" s="2" t="s">
        <v>767</v>
      </c>
      <c r="V5339" s="2" t="s">
        <v>47</v>
      </c>
      <c r="W5339" s="2" t="s">
        <v>71</v>
      </c>
      <c r="X5339" s="2">
        <v>38.115000000000002</v>
      </c>
    </row>
    <row r="5340" spans="1:24" x14ac:dyDescent="0.3">
      <c r="A5340">
        <v>23171</v>
      </c>
      <c r="B5340" t="s">
        <v>11469</v>
      </c>
      <c r="C5340" s="3">
        <v>41855</v>
      </c>
      <c r="D5340" t="s">
        <v>50</v>
      </c>
      <c r="E5340">
        <v>21</v>
      </c>
      <c r="F5340" s="3">
        <f ca="1">41857+(RANDBETWEEN(1,10))</f>
        <v>41859</v>
      </c>
      <c r="G5340" t="s">
        <v>26</v>
      </c>
      <c r="H5340" t="s">
        <v>27</v>
      </c>
      <c r="I5340" t="s">
        <v>28</v>
      </c>
      <c r="J5340">
        <v>212.905</v>
      </c>
      <c r="K5340">
        <v>0.05</v>
      </c>
      <c r="L5340">
        <v>0.36</v>
      </c>
      <c r="M5340">
        <v>3.4649999999999999</v>
      </c>
      <c r="N5340">
        <v>146.90445</v>
      </c>
      <c r="O5340" s="1" t="s">
        <v>225</v>
      </c>
      <c r="P5340" s="1" t="s">
        <v>9172</v>
      </c>
      <c r="Q5340" s="1" t="s">
        <v>9173</v>
      </c>
      <c r="R5340" s="1" t="s">
        <v>228</v>
      </c>
      <c r="S5340" s="1" t="s">
        <v>9174</v>
      </c>
      <c r="T5340" s="1" t="s">
        <v>9175</v>
      </c>
      <c r="U5340" s="2" t="s">
        <v>2482</v>
      </c>
      <c r="V5340" s="2" t="s">
        <v>47</v>
      </c>
      <c r="W5340" s="2" t="s">
        <v>203</v>
      </c>
      <c r="X5340" s="2">
        <v>10.08</v>
      </c>
    </row>
    <row r="5341" spans="1:24" x14ac:dyDescent="0.3">
      <c r="A5341">
        <v>23172</v>
      </c>
      <c r="B5341" t="s">
        <v>11469</v>
      </c>
      <c r="C5341" s="3">
        <v>41855</v>
      </c>
      <c r="D5341" t="s">
        <v>50</v>
      </c>
      <c r="E5341">
        <v>1</v>
      </c>
      <c r="F5341" s="3">
        <f ca="1">41857+(RANDBETWEEN(1,10))</f>
        <v>41858</v>
      </c>
      <c r="G5341" t="s">
        <v>156</v>
      </c>
      <c r="H5341" t="s">
        <v>27</v>
      </c>
      <c r="I5341" t="s">
        <v>28</v>
      </c>
      <c r="J5341">
        <v>33.284999999999997</v>
      </c>
      <c r="K5341">
        <v>0.05</v>
      </c>
      <c r="L5341">
        <v>0.43</v>
      </c>
      <c r="M5341">
        <v>18.655000000000001</v>
      </c>
      <c r="N5341">
        <v>22.966650000000001</v>
      </c>
      <c r="O5341" s="1" t="s">
        <v>225</v>
      </c>
      <c r="P5341" s="1" t="s">
        <v>9172</v>
      </c>
      <c r="Q5341" s="1" t="s">
        <v>9173</v>
      </c>
      <c r="R5341" s="1" t="s">
        <v>228</v>
      </c>
      <c r="S5341" s="1" t="s">
        <v>9174</v>
      </c>
      <c r="T5341" s="1" t="s">
        <v>9175</v>
      </c>
      <c r="U5341" s="2" t="s">
        <v>2500</v>
      </c>
      <c r="V5341" s="2" t="s">
        <v>83</v>
      </c>
      <c r="W5341" s="2" t="s">
        <v>178</v>
      </c>
      <c r="X5341" s="2">
        <v>7.28</v>
      </c>
    </row>
    <row r="5342" spans="1:24" x14ac:dyDescent="0.3">
      <c r="A5342">
        <v>23173</v>
      </c>
      <c r="B5342" t="s">
        <v>11469</v>
      </c>
      <c r="C5342" s="3">
        <v>41855</v>
      </c>
      <c r="D5342" t="s">
        <v>50</v>
      </c>
      <c r="E5342">
        <v>1</v>
      </c>
      <c r="F5342" s="3">
        <f ca="1">41857+(RANDBETWEEN(1,10))</f>
        <v>41859</v>
      </c>
      <c r="G5342" t="s">
        <v>26</v>
      </c>
      <c r="H5342" t="s">
        <v>27</v>
      </c>
      <c r="I5342" t="s">
        <v>28</v>
      </c>
      <c r="J5342">
        <v>180.42500000000001</v>
      </c>
      <c r="K5342">
        <v>0.09</v>
      </c>
      <c r="L5342">
        <v>0.56000000000000005</v>
      </c>
      <c r="M5342">
        <v>8.75</v>
      </c>
      <c r="N5342">
        <v>-469.41294399999998</v>
      </c>
      <c r="O5342" s="1" t="s">
        <v>225</v>
      </c>
      <c r="P5342" s="1" t="s">
        <v>9172</v>
      </c>
      <c r="Q5342" s="1" t="s">
        <v>9173</v>
      </c>
      <c r="R5342" s="1" t="s">
        <v>228</v>
      </c>
      <c r="S5342" s="1" t="s">
        <v>9174</v>
      </c>
      <c r="T5342" s="1" t="s">
        <v>9175</v>
      </c>
      <c r="U5342" s="2" t="s">
        <v>7353</v>
      </c>
      <c r="V5342" s="2" t="s">
        <v>36</v>
      </c>
      <c r="W5342" s="2" t="s">
        <v>37</v>
      </c>
      <c r="X5342" s="2">
        <v>230.965</v>
      </c>
    </row>
    <row r="5343" spans="1:24" x14ac:dyDescent="0.3">
      <c r="A5343">
        <v>23174</v>
      </c>
      <c r="B5343" t="s">
        <v>11470</v>
      </c>
      <c r="C5343" s="3">
        <v>41257</v>
      </c>
      <c r="D5343" t="s">
        <v>148</v>
      </c>
      <c r="E5343">
        <v>3</v>
      </c>
      <c r="F5343" s="3">
        <f ca="1">41259+(RANDBETWEEN(1,10))</f>
        <v>41265</v>
      </c>
      <c r="G5343" t="s">
        <v>26</v>
      </c>
      <c r="H5343" t="s">
        <v>27</v>
      </c>
      <c r="I5343" t="s">
        <v>28</v>
      </c>
      <c r="J5343">
        <v>395.71</v>
      </c>
      <c r="K5343">
        <v>0</v>
      </c>
      <c r="L5343">
        <v>0.55000000000000004</v>
      </c>
      <c r="M5343">
        <v>17.57</v>
      </c>
      <c r="N5343">
        <v>273.03989999999999</v>
      </c>
      <c r="O5343" s="1" t="s">
        <v>40</v>
      </c>
      <c r="P5343" s="1" t="s">
        <v>10396</v>
      </c>
      <c r="Q5343" s="1" t="s">
        <v>10397</v>
      </c>
      <c r="R5343" s="1" t="s">
        <v>220</v>
      </c>
      <c r="S5343" s="1" t="s">
        <v>1511</v>
      </c>
      <c r="T5343" s="1" t="s">
        <v>1512</v>
      </c>
      <c r="U5343" s="2" t="s">
        <v>4829</v>
      </c>
      <c r="V5343" s="2" t="s">
        <v>83</v>
      </c>
      <c r="W5343" s="2" t="s">
        <v>178</v>
      </c>
      <c r="X5343" s="2">
        <v>119.80500000000001</v>
      </c>
    </row>
    <row r="5344" spans="1:24" x14ac:dyDescent="0.3">
      <c r="A5344">
        <v>23175</v>
      </c>
      <c r="B5344" t="s">
        <v>11470</v>
      </c>
      <c r="C5344" s="3">
        <v>41257</v>
      </c>
      <c r="D5344" t="s">
        <v>148</v>
      </c>
      <c r="E5344">
        <v>13</v>
      </c>
      <c r="F5344" s="3">
        <f ca="1">41259+(RANDBETWEEN(1,10))</f>
        <v>41263</v>
      </c>
      <c r="G5344" t="s">
        <v>156</v>
      </c>
      <c r="H5344" t="s">
        <v>27</v>
      </c>
      <c r="I5344" t="s">
        <v>28</v>
      </c>
      <c r="J5344">
        <v>2512.895</v>
      </c>
      <c r="K5344">
        <v>7.0000000000000007E-2</v>
      </c>
      <c r="L5344">
        <v>0.59</v>
      </c>
      <c r="M5344">
        <v>18.41</v>
      </c>
      <c r="N5344">
        <v>1190.27475</v>
      </c>
      <c r="O5344" s="1" t="s">
        <v>40</v>
      </c>
      <c r="P5344" s="1" t="s">
        <v>10396</v>
      </c>
      <c r="Q5344" s="1" t="s">
        <v>10397</v>
      </c>
      <c r="R5344" s="1" t="s">
        <v>220</v>
      </c>
      <c r="S5344" s="1" t="s">
        <v>1511</v>
      </c>
      <c r="T5344" s="1" t="s">
        <v>1512</v>
      </c>
      <c r="U5344" s="2" t="s">
        <v>239</v>
      </c>
      <c r="V5344" s="2" t="s">
        <v>36</v>
      </c>
      <c r="W5344" s="2" t="s">
        <v>37</v>
      </c>
      <c r="X5344" s="2">
        <v>230.965</v>
      </c>
    </row>
    <row r="5345" spans="1:24" x14ac:dyDescent="0.3">
      <c r="A5345">
        <v>23176</v>
      </c>
      <c r="B5345" t="s">
        <v>11471</v>
      </c>
      <c r="C5345" s="3">
        <v>41714</v>
      </c>
      <c r="D5345" t="s">
        <v>148</v>
      </c>
      <c r="E5345">
        <v>4</v>
      </c>
      <c r="F5345" s="3">
        <f ca="1">41715+(RANDBETWEEN(1,10))</f>
        <v>41725</v>
      </c>
      <c r="G5345" t="s">
        <v>26</v>
      </c>
      <c r="H5345" t="s">
        <v>27</v>
      </c>
      <c r="I5345" t="s">
        <v>28</v>
      </c>
      <c r="J5345">
        <v>211.89</v>
      </c>
      <c r="K5345">
        <v>0.1</v>
      </c>
      <c r="L5345">
        <v>0.38</v>
      </c>
      <c r="M5345">
        <v>4.8650000000000002</v>
      </c>
      <c r="N5345">
        <v>146.20410000000001</v>
      </c>
      <c r="O5345" s="1" t="s">
        <v>225</v>
      </c>
      <c r="P5345" s="1" t="s">
        <v>9405</v>
      </c>
      <c r="Q5345" s="1" t="s">
        <v>9406</v>
      </c>
      <c r="R5345" s="1" t="s">
        <v>228</v>
      </c>
      <c r="S5345" s="1" t="s">
        <v>9407</v>
      </c>
      <c r="T5345" s="1" t="s">
        <v>1880</v>
      </c>
      <c r="U5345" s="2" t="s">
        <v>2327</v>
      </c>
      <c r="V5345" s="2" t="s">
        <v>47</v>
      </c>
      <c r="W5345" s="2" t="s">
        <v>48</v>
      </c>
      <c r="X5345" s="2">
        <v>54.494999999999997</v>
      </c>
    </row>
    <row r="5346" spans="1:24" x14ac:dyDescent="0.3">
      <c r="A5346">
        <v>23177</v>
      </c>
      <c r="B5346" t="s">
        <v>11472</v>
      </c>
      <c r="C5346" s="3">
        <v>41791</v>
      </c>
      <c r="D5346" t="s">
        <v>25</v>
      </c>
      <c r="E5346">
        <v>16</v>
      </c>
      <c r="F5346" s="3">
        <f ca="1">41798+(RANDBETWEEN(1,10))</f>
        <v>41800</v>
      </c>
      <c r="G5346" t="s">
        <v>26</v>
      </c>
      <c r="H5346" t="s">
        <v>27</v>
      </c>
      <c r="I5346" t="s">
        <v>86</v>
      </c>
      <c r="J5346">
        <v>693.98</v>
      </c>
      <c r="K5346">
        <v>0.09</v>
      </c>
      <c r="L5346">
        <v>0.35</v>
      </c>
      <c r="M5346">
        <v>5.2149999999999999</v>
      </c>
      <c r="N5346">
        <v>478.84620000000001</v>
      </c>
      <c r="O5346" s="1" t="s">
        <v>53</v>
      </c>
      <c r="P5346" s="1" t="s">
        <v>11473</v>
      </c>
      <c r="Q5346" s="1" t="s">
        <v>11474</v>
      </c>
      <c r="R5346" s="1" t="s">
        <v>56</v>
      </c>
      <c r="S5346" s="1" t="s">
        <v>11475</v>
      </c>
      <c r="T5346" s="1" t="s">
        <v>11476</v>
      </c>
      <c r="U5346" s="2" t="s">
        <v>2551</v>
      </c>
      <c r="V5346" s="2" t="s">
        <v>47</v>
      </c>
      <c r="W5346" s="2" t="s">
        <v>111</v>
      </c>
      <c r="X5346" s="2">
        <v>45.395000000000003</v>
      </c>
    </row>
    <row r="5347" spans="1:24" x14ac:dyDescent="0.3">
      <c r="A5347">
        <v>23178</v>
      </c>
      <c r="B5347" t="s">
        <v>11472</v>
      </c>
      <c r="C5347" s="3">
        <v>41791</v>
      </c>
      <c r="D5347" t="s">
        <v>25</v>
      </c>
      <c r="E5347">
        <v>9</v>
      </c>
      <c r="F5347" s="3">
        <f ca="1">41796+(RANDBETWEEN(1,10))</f>
        <v>41804</v>
      </c>
      <c r="G5347" t="s">
        <v>156</v>
      </c>
      <c r="H5347" t="s">
        <v>51</v>
      </c>
      <c r="I5347" t="s">
        <v>86</v>
      </c>
      <c r="J5347">
        <v>79.66</v>
      </c>
      <c r="K5347">
        <v>0.06</v>
      </c>
      <c r="L5347">
        <v>0.55000000000000004</v>
      </c>
      <c r="M5347">
        <v>6.9649999999999999</v>
      </c>
      <c r="N5347">
        <v>-71.819999999999993</v>
      </c>
      <c r="O5347" s="1" t="s">
        <v>53</v>
      </c>
      <c r="P5347" s="1" t="s">
        <v>11473</v>
      </c>
      <c r="Q5347" s="1" t="s">
        <v>11474</v>
      </c>
      <c r="R5347" s="1" t="s">
        <v>56</v>
      </c>
      <c r="S5347" s="1" t="s">
        <v>11475</v>
      </c>
      <c r="T5347" s="1" t="s">
        <v>11476</v>
      </c>
      <c r="U5347" s="2" t="s">
        <v>1910</v>
      </c>
      <c r="V5347" s="2" t="s">
        <v>36</v>
      </c>
      <c r="W5347" s="2" t="s">
        <v>60</v>
      </c>
      <c r="X5347" s="2">
        <v>7.42</v>
      </c>
    </row>
    <row r="5348" spans="1:24" x14ac:dyDescent="0.3">
      <c r="A5348">
        <v>23179</v>
      </c>
      <c r="B5348" t="s">
        <v>11477</v>
      </c>
      <c r="C5348" s="3">
        <v>41831</v>
      </c>
      <c r="D5348" t="s">
        <v>25</v>
      </c>
      <c r="E5348">
        <v>9</v>
      </c>
      <c r="F5348" s="3">
        <f ca="1">41838+(RANDBETWEEN(1,10))</f>
        <v>41839</v>
      </c>
      <c r="G5348" t="s">
        <v>26</v>
      </c>
      <c r="H5348" t="s">
        <v>27</v>
      </c>
      <c r="I5348" t="s">
        <v>97</v>
      </c>
      <c r="J5348">
        <v>232.26</v>
      </c>
      <c r="K5348">
        <v>0</v>
      </c>
      <c r="L5348">
        <v>0.37</v>
      </c>
      <c r="M5348">
        <v>25.55</v>
      </c>
      <c r="N5348">
        <v>-234.06935999999999</v>
      </c>
      <c r="O5348" s="1" t="s">
        <v>87</v>
      </c>
      <c r="P5348" s="1" t="s">
        <v>10148</v>
      </c>
      <c r="Q5348" s="1" t="s">
        <v>10149</v>
      </c>
      <c r="R5348" s="1" t="s">
        <v>90</v>
      </c>
      <c r="S5348" s="1" t="s">
        <v>10150</v>
      </c>
      <c r="T5348" s="1" t="s">
        <v>4300</v>
      </c>
      <c r="U5348" s="2" t="s">
        <v>6901</v>
      </c>
      <c r="V5348" s="2" t="s">
        <v>47</v>
      </c>
      <c r="W5348" s="2" t="s">
        <v>74</v>
      </c>
      <c r="X5348" s="2">
        <v>23.38</v>
      </c>
    </row>
    <row r="5349" spans="1:24" x14ac:dyDescent="0.3">
      <c r="A5349">
        <v>23180</v>
      </c>
      <c r="B5349" t="s">
        <v>11478</v>
      </c>
      <c r="C5349" s="3">
        <v>41997</v>
      </c>
      <c r="D5349" t="s">
        <v>25</v>
      </c>
      <c r="E5349">
        <v>6</v>
      </c>
      <c r="F5349" s="3">
        <f ca="1">41999+(RANDBETWEEN(1,10))</f>
        <v>42002</v>
      </c>
      <c r="G5349" t="s">
        <v>76</v>
      </c>
      <c r="H5349" t="s">
        <v>258</v>
      </c>
      <c r="I5349" t="s">
        <v>28</v>
      </c>
      <c r="J5349">
        <v>3694.2849999999999</v>
      </c>
      <c r="K5349">
        <v>0.01</v>
      </c>
      <c r="L5349">
        <v>0.66</v>
      </c>
      <c r="M5349">
        <v>125.61499999999999</v>
      </c>
      <c r="N5349">
        <v>-50.520960000000002</v>
      </c>
      <c r="O5349" s="1" t="s">
        <v>87</v>
      </c>
      <c r="P5349" s="1" t="s">
        <v>9771</v>
      </c>
      <c r="Q5349" s="1" t="s">
        <v>9772</v>
      </c>
      <c r="R5349" s="1" t="s">
        <v>646</v>
      </c>
      <c r="S5349" s="1" t="s">
        <v>5251</v>
      </c>
      <c r="T5349" s="1" t="s">
        <v>5252</v>
      </c>
      <c r="U5349" s="2" t="s">
        <v>6081</v>
      </c>
      <c r="V5349" s="2" t="s">
        <v>83</v>
      </c>
      <c r="W5349" s="2" t="s">
        <v>298</v>
      </c>
      <c r="X5349" s="2">
        <v>598.42999999999995</v>
      </c>
    </row>
    <row r="5350" spans="1:24" x14ac:dyDescent="0.3">
      <c r="A5350">
        <v>23181</v>
      </c>
      <c r="B5350" t="s">
        <v>11479</v>
      </c>
      <c r="C5350" s="3">
        <v>40836</v>
      </c>
      <c r="D5350" t="s">
        <v>62</v>
      </c>
      <c r="E5350">
        <v>18</v>
      </c>
      <c r="F5350" s="3">
        <f ca="1">40838+(RANDBETWEEN(1,10))</f>
        <v>40844</v>
      </c>
      <c r="G5350" t="s">
        <v>26</v>
      </c>
      <c r="H5350" t="s">
        <v>27</v>
      </c>
      <c r="I5350" t="s">
        <v>97</v>
      </c>
      <c r="J5350">
        <v>19502.63</v>
      </c>
      <c r="K5350">
        <v>0.03</v>
      </c>
      <c r="L5350">
        <v>0.38</v>
      </c>
      <c r="M5350">
        <v>69.965000000000003</v>
      </c>
      <c r="N5350">
        <v>-15.68</v>
      </c>
      <c r="O5350" s="1" t="s">
        <v>87</v>
      </c>
      <c r="P5350" s="1" t="s">
        <v>11437</v>
      </c>
      <c r="Q5350" s="1" t="s">
        <v>11438</v>
      </c>
      <c r="R5350" s="1" t="s">
        <v>90</v>
      </c>
      <c r="S5350" s="1" t="s">
        <v>11439</v>
      </c>
      <c r="T5350" s="1" t="s">
        <v>4591</v>
      </c>
      <c r="U5350" s="2" t="s">
        <v>1457</v>
      </c>
      <c r="V5350" s="2" t="s">
        <v>47</v>
      </c>
      <c r="W5350" s="2" t="s">
        <v>111</v>
      </c>
      <c r="X5350" s="2">
        <v>1105.93</v>
      </c>
    </row>
    <row r="5351" spans="1:24" x14ac:dyDescent="0.3">
      <c r="A5351">
        <v>23182</v>
      </c>
      <c r="B5351" t="s">
        <v>11479</v>
      </c>
      <c r="C5351" s="3">
        <v>40836</v>
      </c>
      <c r="D5351" t="s">
        <v>62</v>
      </c>
      <c r="E5351">
        <v>11</v>
      </c>
      <c r="F5351" s="3">
        <f ca="1">40837+(RANDBETWEEN(1,10))</f>
        <v>40847</v>
      </c>
      <c r="G5351" t="s">
        <v>26</v>
      </c>
      <c r="H5351" t="s">
        <v>63</v>
      </c>
      <c r="I5351" t="s">
        <v>97</v>
      </c>
      <c r="J5351">
        <v>10294.969999999999</v>
      </c>
      <c r="K5351">
        <v>0.09</v>
      </c>
      <c r="L5351" t="s">
        <v>182</v>
      </c>
      <c r="M5351">
        <v>85.715000000000003</v>
      </c>
      <c r="N5351">
        <v>11176.494000000001</v>
      </c>
      <c r="O5351" s="1" t="s">
        <v>87</v>
      </c>
      <c r="P5351" s="1" t="s">
        <v>11437</v>
      </c>
      <c r="Q5351" s="1" t="s">
        <v>11438</v>
      </c>
      <c r="R5351" s="1" t="s">
        <v>90</v>
      </c>
      <c r="S5351" s="1" t="s">
        <v>11439</v>
      </c>
      <c r="T5351" s="1" t="s">
        <v>4591</v>
      </c>
      <c r="U5351" s="2" t="s">
        <v>1520</v>
      </c>
      <c r="V5351" s="2" t="s">
        <v>83</v>
      </c>
      <c r="W5351" s="2" t="s">
        <v>84</v>
      </c>
      <c r="X5351" s="2">
        <v>966.7</v>
      </c>
    </row>
    <row r="5352" spans="1:24" x14ac:dyDescent="0.3">
      <c r="A5352">
        <v>23183</v>
      </c>
      <c r="B5352" t="s">
        <v>11479</v>
      </c>
      <c r="C5352" s="3">
        <v>40836</v>
      </c>
      <c r="D5352" t="s">
        <v>62</v>
      </c>
      <c r="E5352">
        <v>8</v>
      </c>
      <c r="F5352" s="3">
        <f ca="1">40837+(RANDBETWEEN(1,10))</f>
        <v>40844</v>
      </c>
      <c r="G5352" t="s">
        <v>26</v>
      </c>
      <c r="H5352" t="s">
        <v>27</v>
      </c>
      <c r="I5352" t="s">
        <v>97</v>
      </c>
      <c r="J5352">
        <v>1828.61</v>
      </c>
      <c r="K5352">
        <v>0.03</v>
      </c>
      <c r="L5352">
        <v>0.46</v>
      </c>
      <c r="M5352">
        <v>50.68</v>
      </c>
      <c r="N5352">
        <v>152.92095</v>
      </c>
      <c r="O5352" s="1" t="s">
        <v>87</v>
      </c>
      <c r="P5352" s="1" t="s">
        <v>11437</v>
      </c>
      <c r="Q5352" s="1" t="s">
        <v>11438</v>
      </c>
      <c r="R5352" s="1" t="s">
        <v>90</v>
      </c>
      <c r="S5352" s="1" t="s">
        <v>11439</v>
      </c>
      <c r="T5352" s="1" t="s">
        <v>4591</v>
      </c>
      <c r="U5352" s="2" t="s">
        <v>6357</v>
      </c>
      <c r="V5352" s="2" t="s">
        <v>83</v>
      </c>
      <c r="W5352" s="2" t="s">
        <v>178</v>
      </c>
      <c r="X5352" s="2">
        <v>223.79</v>
      </c>
    </row>
    <row r="5353" spans="1:24" x14ac:dyDescent="0.3">
      <c r="A5353">
        <v>23184</v>
      </c>
      <c r="B5353" t="s">
        <v>11480</v>
      </c>
      <c r="C5353" s="3">
        <v>41696</v>
      </c>
      <c r="D5353" t="s">
        <v>148</v>
      </c>
      <c r="E5353">
        <v>11</v>
      </c>
      <c r="F5353" s="3">
        <f ca="1">41699+(RANDBETWEEN(1,10))</f>
        <v>41703</v>
      </c>
      <c r="G5353" t="s">
        <v>26</v>
      </c>
      <c r="H5353" t="s">
        <v>27</v>
      </c>
      <c r="I5353" t="s">
        <v>28</v>
      </c>
      <c r="J5353">
        <v>14429.73</v>
      </c>
      <c r="K5353">
        <v>0.08</v>
      </c>
      <c r="L5353">
        <v>0.38</v>
      </c>
      <c r="M5353">
        <v>69.965000000000003</v>
      </c>
      <c r="N5353">
        <v>9956.5136999999995</v>
      </c>
      <c r="O5353" s="1" t="s">
        <v>40</v>
      </c>
      <c r="P5353" s="1" t="s">
        <v>3919</v>
      </c>
      <c r="Q5353" s="1" t="s">
        <v>3920</v>
      </c>
      <c r="R5353" s="1" t="s">
        <v>43</v>
      </c>
      <c r="S5353" s="1" t="s">
        <v>80</v>
      </c>
      <c r="T5353" s="1" t="s">
        <v>3921</v>
      </c>
      <c r="U5353" s="2" t="s">
        <v>5575</v>
      </c>
      <c r="V5353" s="2" t="s">
        <v>47</v>
      </c>
      <c r="W5353" s="2" t="s">
        <v>111</v>
      </c>
      <c r="X5353" s="2">
        <v>1357.9649999999999</v>
      </c>
    </row>
    <row r="5354" spans="1:24" x14ac:dyDescent="0.3">
      <c r="A5354">
        <v>23185</v>
      </c>
      <c r="B5354" t="s">
        <v>11481</v>
      </c>
      <c r="C5354" s="3">
        <v>41737</v>
      </c>
      <c r="D5354" t="s">
        <v>25</v>
      </c>
      <c r="E5354">
        <v>1</v>
      </c>
      <c r="F5354" s="3">
        <f ca="1">41746+(RANDBETWEEN(1,10))</f>
        <v>41754</v>
      </c>
      <c r="G5354" t="s">
        <v>156</v>
      </c>
      <c r="H5354" t="s">
        <v>27</v>
      </c>
      <c r="I5354" t="s">
        <v>28</v>
      </c>
      <c r="J5354">
        <v>38.22</v>
      </c>
      <c r="K5354">
        <v>0.06</v>
      </c>
      <c r="L5354">
        <v>0.39</v>
      </c>
      <c r="M5354">
        <v>1.75</v>
      </c>
      <c r="N5354">
        <v>4428.4799999999996</v>
      </c>
      <c r="O5354" s="1" t="s">
        <v>40</v>
      </c>
      <c r="P5354" s="1" t="s">
        <v>10892</v>
      </c>
      <c r="Q5354" s="1" t="s">
        <v>10893</v>
      </c>
      <c r="R5354" s="1" t="s">
        <v>43</v>
      </c>
      <c r="S5354" s="1" t="s">
        <v>10894</v>
      </c>
      <c r="T5354" s="1" t="s">
        <v>10895</v>
      </c>
      <c r="U5354" s="2" t="s">
        <v>2675</v>
      </c>
      <c r="V5354" s="2" t="s">
        <v>47</v>
      </c>
      <c r="W5354" s="2" t="s">
        <v>203</v>
      </c>
      <c r="X5354" s="2">
        <v>22.05</v>
      </c>
    </row>
    <row r="5355" spans="1:24" x14ac:dyDescent="0.3">
      <c r="A5355">
        <v>23186</v>
      </c>
      <c r="B5355" t="s">
        <v>11482</v>
      </c>
      <c r="C5355" s="3">
        <v>41849</v>
      </c>
      <c r="D5355" t="s">
        <v>25</v>
      </c>
      <c r="E5355">
        <v>3</v>
      </c>
      <c r="F5355" s="3">
        <f ca="1">41851+(RANDBETWEEN(1,10))</f>
        <v>41861</v>
      </c>
      <c r="G5355" t="s">
        <v>26</v>
      </c>
      <c r="H5355" t="s">
        <v>96</v>
      </c>
      <c r="I5355" t="s">
        <v>97</v>
      </c>
      <c r="J5355">
        <v>64.75</v>
      </c>
      <c r="K5355">
        <v>0.05</v>
      </c>
      <c r="L5355">
        <v>0.51</v>
      </c>
      <c r="M5355">
        <v>3.1850000000000001</v>
      </c>
      <c r="N5355">
        <v>27.531839999999999</v>
      </c>
      <c r="O5355" s="1" t="s">
        <v>29</v>
      </c>
      <c r="P5355" s="1" t="s">
        <v>11483</v>
      </c>
      <c r="Q5355" s="1" t="s">
        <v>11484</v>
      </c>
      <c r="R5355" s="1" t="s">
        <v>32</v>
      </c>
      <c r="S5355" s="1" t="s">
        <v>8276</v>
      </c>
      <c r="T5355" s="1" t="s">
        <v>8277</v>
      </c>
      <c r="U5355" s="2" t="s">
        <v>4793</v>
      </c>
      <c r="V5355" s="2" t="s">
        <v>47</v>
      </c>
      <c r="W5355" s="2" t="s">
        <v>104</v>
      </c>
      <c r="X5355" s="2">
        <v>21.28</v>
      </c>
    </row>
    <row r="5356" spans="1:24" x14ac:dyDescent="0.3">
      <c r="A5356">
        <v>23187</v>
      </c>
      <c r="B5356" t="s">
        <v>11485</v>
      </c>
      <c r="C5356" s="3">
        <v>40992</v>
      </c>
      <c r="D5356" t="s">
        <v>25</v>
      </c>
      <c r="E5356">
        <v>8</v>
      </c>
      <c r="F5356" s="3">
        <f ca="1">40994+(RANDBETWEEN(1,10))</f>
        <v>40996</v>
      </c>
      <c r="G5356" t="s">
        <v>26</v>
      </c>
      <c r="H5356" t="s">
        <v>27</v>
      </c>
      <c r="I5356" t="s">
        <v>52</v>
      </c>
      <c r="J5356">
        <v>5465.04</v>
      </c>
      <c r="K5356">
        <v>0.1</v>
      </c>
      <c r="L5356">
        <v>0.6</v>
      </c>
      <c r="M5356">
        <v>34.965000000000003</v>
      </c>
      <c r="N5356">
        <v>3770.8775999999998</v>
      </c>
      <c r="O5356" s="1" t="s">
        <v>87</v>
      </c>
      <c r="P5356" s="1" t="s">
        <v>8875</v>
      </c>
      <c r="Q5356" s="1" t="s">
        <v>8876</v>
      </c>
      <c r="R5356" s="1" t="s">
        <v>646</v>
      </c>
      <c r="S5356" s="1" t="s">
        <v>8877</v>
      </c>
      <c r="T5356" s="1" t="s">
        <v>8378</v>
      </c>
      <c r="U5356" s="2" t="s">
        <v>11486</v>
      </c>
      <c r="V5356" s="2" t="s">
        <v>47</v>
      </c>
      <c r="W5356" s="2" t="s">
        <v>119</v>
      </c>
      <c r="X5356" s="2">
        <v>736.92499999999995</v>
      </c>
    </row>
    <row r="5357" spans="1:24" x14ac:dyDescent="0.3">
      <c r="A5357">
        <v>23188</v>
      </c>
      <c r="B5357" t="s">
        <v>11487</v>
      </c>
      <c r="C5357" s="3">
        <v>40791</v>
      </c>
      <c r="D5357" t="s">
        <v>39</v>
      </c>
      <c r="E5357">
        <v>10</v>
      </c>
      <c r="F5357" s="3">
        <f ca="1">40793+(RANDBETWEEN(1,10))</f>
        <v>40795</v>
      </c>
      <c r="G5357" t="s">
        <v>156</v>
      </c>
      <c r="H5357" t="s">
        <v>63</v>
      </c>
      <c r="I5357" t="s">
        <v>28</v>
      </c>
      <c r="J5357">
        <v>9136.9599999999991</v>
      </c>
      <c r="K5357">
        <v>0.06</v>
      </c>
      <c r="L5357" t="s">
        <v>182</v>
      </c>
      <c r="M5357">
        <v>85.715000000000003</v>
      </c>
      <c r="N5357">
        <v>4085.83</v>
      </c>
      <c r="O5357" s="1" t="s">
        <v>87</v>
      </c>
      <c r="P5357" s="1" t="s">
        <v>9442</v>
      </c>
      <c r="Q5357" s="1" t="s">
        <v>9443</v>
      </c>
      <c r="R5357" s="1" t="s">
        <v>646</v>
      </c>
      <c r="S5357" s="1" t="s">
        <v>6191</v>
      </c>
      <c r="T5357" s="1" t="s">
        <v>6192</v>
      </c>
      <c r="U5357" s="2" t="s">
        <v>1520</v>
      </c>
      <c r="V5357" s="2" t="s">
        <v>83</v>
      </c>
      <c r="W5357" s="2" t="s">
        <v>84</v>
      </c>
      <c r="X5357" s="2">
        <v>966.7</v>
      </c>
    </row>
    <row r="5358" spans="1:24" x14ac:dyDescent="0.3">
      <c r="A5358">
        <v>23189</v>
      </c>
      <c r="B5358" t="s">
        <v>11488</v>
      </c>
      <c r="C5358" s="3">
        <v>41887</v>
      </c>
      <c r="D5358" t="s">
        <v>39</v>
      </c>
      <c r="E5358">
        <v>8</v>
      </c>
      <c r="F5358" s="3">
        <f ca="1">41889+(RANDBETWEEN(1,10))</f>
        <v>41892</v>
      </c>
      <c r="G5358" t="s">
        <v>26</v>
      </c>
      <c r="H5358" t="s">
        <v>96</v>
      </c>
      <c r="I5358" t="s">
        <v>28</v>
      </c>
      <c r="J5358">
        <v>79.765000000000001</v>
      </c>
      <c r="K5358">
        <v>0.09</v>
      </c>
      <c r="L5358">
        <v>0.56000000000000005</v>
      </c>
      <c r="M5358">
        <v>2.4500000000000002</v>
      </c>
      <c r="N5358">
        <v>10.6218</v>
      </c>
      <c r="O5358" s="1" t="s">
        <v>87</v>
      </c>
      <c r="P5358" s="1" t="s">
        <v>9442</v>
      </c>
      <c r="Q5358" s="1" t="s">
        <v>9443</v>
      </c>
      <c r="R5358" s="1" t="s">
        <v>646</v>
      </c>
      <c r="S5358" s="1" t="s">
        <v>6191</v>
      </c>
      <c r="T5358" s="1" t="s">
        <v>6192</v>
      </c>
      <c r="U5358" s="2" t="s">
        <v>3059</v>
      </c>
      <c r="V5358" s="2" t="s">
        <v>47</v>
      </c>
      <c r="W5358" s="2" t="s">
        <v>104</v>
      </c>
      <c r="X5358" s="2">
        <v>10.08</v>
      </c>
    </row>
    <row r="5359" spans="1:24" x14ac:dyDescent="0.3">
      <c r="A5359">
        <v>23190</v>
      </c>
      <c r="B5359" t="s">
        <v>11489</v>
      </c>
      <c r="C5359" s="3">
        <v>40850</v>
      </c>
      <c r="D5359" t="s">
        <v>62</v>
      </c>
      <c r="E5359">
        <v>10</v>
      </c>
      <c r="F5359" s="3">
        <f ca="1">40852+(RANDBETWEEN(1,10))</f>
        <v>40862</v>
      </c>
      <c r="G5359" t="s">
        <v>26</v>
      </c>
      <c r="H5359" t="s">
        <v>27</v>
      </c>
      <c r="I5359" t="s">
        <v>28</v>
      </c>
      <c r="J5359">
        <v>99.19</v>
      </c>
      <c r="K5359">
        <v>0</v>
      </c>
      <c r="L5359">
        <v>0.39</v>
      </c>
      <c r="M5359">
        <v>1.75</v>
      </c>
      <c r="N5359">
        <v>68.441100000000006</v>
      </c>
      <c r="O5359" s="1" t="s">
        <v>64</v>
      </c>
      <c r="P5359" s="1" t="s">
        <v>10555</v>
      </c>
      <c r="Q5359" s="1" t="s">
        <v>10556</v>
      </c>
      <c r="R5359" s="1" t="s">
        <v>128</v>
      </c>
      <c r="S5359" s="1" t="s">
        <v>10557</v>
      </c>
      <c r="T5359" s="1" t="s">
        <v>10558</v>
      </c>
      <c r="U5359" s="2" t="s">
        <v>1726</v>
      </c>
      <c r="V5359" s="2" t="s">
        <v>47</v>
      </c>
      <c r="W5359" s="2" t="s">
        <v>203</v>
      </c>
      <c r="X5359" s="2">
        <v>9.1349999999999998</v>
      </c>
    </row>
    <row r="5360" spans="1:24" x14ac:dyDescent="0.3">
      <c r="A5360">
        <v>23191</v>
      </c>
      <c r="B5360" t="s">
        <v>11489</v>
      </c>
      <c r="C5360" s="3">
        <v>40850</v>
      </c>
      <c r="D5360" t="s">
        <v>62</v>
      </c>
      <c r="E5360">
        <v>35</v>
      </c>
      <c r="F5360" s="3">
        <f ca="1">40853+(RANDBETWEEN(1,10))</f>
        <v>40856</v>
      </c>
      <c r="G5360" t="s">
        <v>156</v>
      </c>
      <c r="H5360" t="s">
        <v>51</v>
      </c>
      <c r="I5360" t="s">
        <v>28</v>
      </c>
      <c r="J5360">
        <v>3014.55</v>
      </c>
      <c r="K5360">
        <v>0.04</v>
      </c>
      <c r="L5360">
        <v>0.5</v>
      </c>
      <c r="M5360">
        <v>31.465</v>
      </c>
      <c r="N5360">
        <v>533.68700000000001</v>
      </c>
      <c r="O5360" s="1" t="s">
        <v>64</v>
      </c>
      <c r="P5360" s="1" t="s">
        <v>10555</v>
      </c>
      <c r="Q5360" s="1" t="s">
        <v>10556</v>
      </c>
      <c r="R5360" s="1" t="s">
        <v>128</v>
      </c>
      <c r="S5360" s="1" t="s">
        <v>10557</v>
      </c>
      <c r="T5360" s="1" t="s">
        <v>10558</v>
      </c>
      <c r="U5360" s="2" t="s">
        <v>2788</v>
      </c>
      <c r="V5360" s="2" t="s">
        <v>83</v>
      </c>
      <c r="W5360" s="2" t="s">
        <v>178</v>
      </c>
      <c r="X5360" s="2">
        <v>88.83</v>
      </c>
    </row>
    <row r="5361" spans="1:24" x14ac:dyDescent="0.3">
      <c r="A5361">
        <v>23192</v>
      </c>
      <c r="B5361" t="s">
        <v>11490</v>
      </c>
      <c r="C5361" s="3">
        <v>41946</v>
      </c>
      <c r="D5361" t="s">
        <v>62</v>
      </c>
      <c r="E5361">
        <v>19</v>
      </c>
      <c r="F5361" s="3">
        <f ca="1">41946+(RANDBETWEEN(1,10))</f>
        <v>41950</v>
      </c>
      <c r="G5361" t="s">
        <v>26</v>
      </c>
      <c r="H5361" t="s">
        <v>63</v>
      </c>
      <c r="I5361" t="s">
        <v>28</v>
      </c>
      <c r="J5361">
        <v>11109.7</v>
      </c>
      <c r="K5361">
        <v>0.04</v>
      </c>
      <c r="L5361">
        <v>0.85</v>
      </c>
      <c r="M5361">
        <v>122.5</v>
      </c>
      <c r="N5361">
        <v>888.29552000000001</v>
      </c>
      <c r="O5361" s="1" t="s">
        <v>64</v>
      </c>
      <c r="P5361" s="1" t="s">
        <v>10555</v>
      </c>
      <c r="Q5361" s="1" t="s">
        <v>10556</v>
      </c>
      <c r="R5361" s="1" t="s">
        <v>128</v>
      </c>
      <c r="S5361" s="1" t="s">
        <v>10557</v>
      </c>
      <c r="T5361" s="1" t="s">
        <v>10558</v>
      </c>
      <c r="U5361" s="2" t="s">
        <v>4771</v>
      </c>
      <c r="V5361" s="2" t="s">
        <v>47</v>
      </c>
      <c r="W5361" s="2" t="s">
        <v>119</v>
      </c>
      <c r="X5361" s="2">
        <v>585.44500000000005</v>
      </c>
    </row>
    <row r="5362" spans="1:24" x14ac:dyDescent="0.3">
      <c r="A5362">
        <v>23193</v>
      </c>
      <c r="B5362" t="s">
        <v>11491</v>
      </c>
      <c r="C5362" s="3">
        <v>41895</v>
      </c>
      <c r="D5362" t="s">
        <v>62</v>
      </c>
      <c r="E5362">
        <v>16</v>
      </c>
      <c r="F5362" s="3">
        <f ca="1">41896+(RANDBETWEEN(1,10))</f>
        <v>41904</v>
      </c>
      <c r="G5362" t="s">
        <v>26</v>
      </c>
      <c r="H5362" t="s">
        <v>27</v>
      </c>
      <c r="I5362" t="s">
        <v>28</v>
      </c>
      <c r="J5362">
        <v>375.375</v>
      </c>
      <c r="K5362">
        <v>0.08</v>
      </c>
      <c r="L5362">
        <v>0.37</v>
      </c>
      <c r="M5362">
        <v>19.809999999999999</v>
      </c>
      <c r="N5362">
        <v>-181.0284</v>
      </c>
      <c r="O5362" s="1" t="s">
        <v>53</v>
      </c>
      <c r="P5362" s="1" t="s">
        <v>7739</v>
      </c>
      <c r="Q5362" s="1" t="s">
        <v>7740</v>
      </c>
      <c r="R5362" s="1" t="s">
        <v>440</v>
      </c>
      <c r="S5362" s="1" t="s">
        <v>2835</v>
      </c>
      <c r="T5362" s="1" t="s">
        <v>2836</v>
      </c>
      <c r="U5362" s="2" t="s">
        <v>1796</v>
      </c>
      <c r="V5362" s="2" t="s">
        <v>47</v>
      </c>
      <c r="W5362" s="2" t="s">
        <v>74</v>
      </c>
      <c r="X5362" s="2">
        <v>23.38</v>
      </c>
    </row>
    <row r="5363" spans="1:24" x14ac:dyDescent="0.3">
      <c r="A5363">
        <v>23194</v>
      </c>
      <c r="B5363" t="s">
        <v>11492</v>
      </c>
      <c r="C5363" s="3">
        <v>41784</v>
      </c>
      <c r="D5363" t="s">
        <v>25</v>
      </c>
      <c r="E5363">
        <v>15</v>
      </c>
      <c r="F5363" s="3">
        <f ca="1">41784+(RANDBETWEEN(1,10))</f>
        <v>41787</v>
      </c>
      <c r="G5363" t="s">
        <v>26</v>
      </c>
      <c r="H5363" t="s">
        <v>27</v>
      </c>
      <c r="I5363" t="s">
        <v>86</v>
      </c>
      <c r="J5363">
        <v>4244.66</v>
      </c>
      <c r="K5363">
        <v>0.04</v>
      </c>
      <c r="L5363">
        <v>0.59</v>
      </c>
      <c r="M5363">
        <v>15.75</v>
      </c>
      <c r="N5363">
        <v>2928.8154</v>
      </c>
      <c r="O5363" s="1" t="s">
        <v>87</v>
      </c>
      <c r="P5363" s="1" t="s">
        <v>11046</v>
      </c>
      <c r="Q5363" s="1" t="s">
        <v>11047</v>
      </c>
      <c r="R5363" s="1" t="s">
        <v>497</v>
      </c>
      <c r="S5363" s="1" t="s">
        <v>11048</v>
      </c>
      <c r="T5363" s="1" t="s">
        <v>11049</v>
      </c>
      <c r="U5363" s="2" t="s">
        <v>136</v>
      </c>
      <c r="V5363" s="2" t="s">
        <v>47</v>
      </c>
      <c r="W5363" s="2" t="s">
        <v>71</v>
      </c>
      <c r="X5363" s="2">
        <v>283.43</v>
      </c>
    </row>
    <row r="5364" spans="1:24" x14ac:dyDescent="0.3">
      <c r="A5364">
        <v>23195</v>
      </c>
      <c r="B5364" t="s">
        <v>11492</v>
      </c>
      <c r="C5364" s="3">
        <v>41784</v>
      </c>
      <c r="D5364" t="s">
        <v>25</v>
      </c>
      <c r="E5364">
        <v>12</v>
      </c>
      <c r="F5364" s="3">
        <f ca="1">41788+(RANDBETWEEN(1,10))</f>
        <v>41792</v>
      </c>
      <c r="G5364" t="s">
        <v>26</v>
      </c>
      <c r="H5364" t="s">
        <v>27</v>
      </c>
      <c r="I5364" t="s">
        <v>86</v>
      </c>
      <c r="J5364">
        <v>1505.98</v>
      </c>
      <c r="K5364">
        <v>0</v>
      </c>
      <c r="L5364">
        <v>0.61</v>
      </c>
      <c r="M5364">
        <v>30.59</v>
      </c>
      <c r="N5364">
        <v>648.79499999999996</v>
      </c>
      <c r="O5364" s="1" t="s">
        <v>87</v>
      </c>
      <c r="P5364" s="1" t="s">
        <v>11046</v>
      </c>
      <c r="Q5364" s="1" t="s">
        <v>11047</v>
      </c>
      <c r="R5364" s="1" t="s">
        <v>497</v>
      </c>
      <c r="S5364" s="1" t="s">
        <v>11048</v>
      </c>
      <c r="T5364" s="1" t="s">
        <v>11049</v>
      </c>
      <c r="U5364" s="2" t="s">
        <v>7096</v>
      </c>
      <c r="V5364" s="2" t="s">
        <v>47</v>
      </c>
      <c r="W5364" s="2" t="s">
        <v>119</v>
      </c>
      <c r="X5364" s="2">
        <v>116.515</v>
      </c>
    </row>
    <row r="5365" spans="1:24" x14ac:dyDescent="0.3">
      <c r="A5365">
        <v>23196</v>
      </c>
      <c r="B5365" t="s">
        <v>11493</v>
      </c>
      <c r="C5365" s="3">
        <v>41545</v>
      </c>
      <c r="D5365" t="s">
        <v>148</v>
      </c>
      <c r="E5365">
        <v>17</v>
      </c>
      <c r="F5365" s="3">
        <f ca="1">41547+(RANDBETWEEN(1,10))</f>
        <v>41551</v>
      </c>
      <c r="G5365" t="s">
        <v>26</v>
      </c>
      <c r="H5365" t="s">
        <v>51</v>
      </c>
      <c r="I5365" t="s">
        <v>97</v>
      </c>
      <c r="J5365">
        <v>4606.84</v>
      </c>
      <c r="K5365">
        <v>0.01</v>
      </c>
      <c r="L5365">
        <v>0.37</v>
      </c>
      <c r="M5365">
        <v>11.55</v>
      </c>
      <c r="N5365">
        <v>3178.7195999999999</v>
      </c>
      <c r="O5365" s="1" t="s">
        <v>29</v>
      </c>
      <c r="P5365" s="1" t="s">
        <v>7017</v>
      </c>
      <c r="Q5365" s="1" t="s">
        <v>7018</v>
      </c>
      <c r="R5365" s="1" t="s">
        <v>460</v>
      </c>
      <c r="S5365" s="1" t="s">
        <v>4527</v>
      </c>
      <c r="T5365" s="1" t="s">
        <v>4528</v>
      </c>
      <c r="U5365" s="2" t="s">
        <v>1240</v>
      </c>
      <c r="V5365" s="2" t="s">
        <v>36</v>
      </c>
      <c r="W5365" s="2" t="s">
        <v>37</v>
      </c>
      <c r="X5365" s="2">
        <v>300.96499999999997</v>
      </c>
    </row>
    <row r="5366" spans="1:24" x14ac:dyDescent="0.3">
      <c r="A5366">
        <v>23197</v>
      </c>
      <c r="B5366" t="s">
        <v>11494</v>
      </c>
      <c r="C5366" s="3">
        <v>41293</v>
      </c>
      <c r="D5366" t="s">
        <v>50</v>
      </c>
      <c r="E5366">
        <v>13</v>
      </c>
      <c r="F5366" s="3">
        <f ca="1">41293+(RANDBETWEEN(1,10))</f>
        <v>41302</v>
      </c>
      <c r="G5366" t="s">
        <v>26</v>
      </c>
      <c r="H5366" t="s">
        <v>96</v>
      </c>
      <c r="I5366" t="s">
        <v>97</v>
      </c>
      <c r="J5366">
        <v>178.60499999999999</v>
      </c>
      <c r="K5366">
        <v>0.1</v>
      </c>
      <c r="L5366">
        <v>0.57999999999999996</v>
      </c>
      <c r="M5366">
        <v>5.6</v>
      </c>
      <c r="N5366">
        <v>-68.528599999999997</v>
      </c>
      <c r="O5366" s="1" t="s">
        <v>87</v>
      </c>
      <c r="P5366" s="1" t="s">
        <v>11495</v>
      </c>
      <c r="Q5366" s="1" t="s">
        <v>11496</v>
      </c>
      <c r="R5366" s="1" t="s">
        <v>90</v>
      </c>
      <c r="S5366" s="1" t="s">
        <v>4145</v>
      </c>
      <c r="T5366" s="1" t="s">
        <v>4146</v>
      </c>
      <c r="U5366" s="2" t="s">
        <v>145</v>
      </c>
      <c r="V5366" s="2" t="s">
        <v>47</v>
      </c>
      <c r="W5366" s="2" t="s">
        <v>104</v>
      </c>
      <c r="X5366" s="2">
        <v>14.98</v>
      </c>
    </row>
    <row r="5367" spans="1:24" x14ac:dyDescent="0.3">
      <c r="A5367">
        <v>23198</v>
      </c>
      <c r="B5367" t="s">
        <v>11497</v>
      </c>
      <c r="C5367" s="3">
        <v>40731</v>
      </c>
      <c r="D5367" t="s">
        <v>25</v>
      </c>
      <c r="E5367">
        <v>6</v>
      </c>
      <c r="F5367" s="3">
        <f ca="1">40736+(RANDBETWEEN(1,10))</f>
        <v>40737</v>
      </c>
      <c r="G5367" t="s">
        <v>26</v>
      </c>
      <c r="H5367" t="s">
        <v>27</v>
      </c>
      <c r="I5367" t="s">
        <v>97</v>
      </c>
      <c r="J5367">
        <v>702.24</v>
      </c>
      <c r="K5367">
        <v>0.04</v>
      </c>
      <c r="L5367">
        <v>0.6</v>
      </c>
      <c r="M5367">
        <v>17.850000000000001</v>
      </c>
      <c r="N5367">
        <v>240.36600000000001</v>
      </c>
      <c r="O5367" s="1" t="s">
        <v>29</v>
      </c>
      <c r="P5367" s="1" t="s">
        <v>8924</v>
      </c>
      <c r="Q5367" s="1" t="s">
        <v>8925</v>
      </c>
      <c r="R5367" s="1" t="s">
        <v>32</v>
      </c>
      <c r="S5367" s="1" t="s">
        <v>8926</v>
      </c>
      <c r="T5367" s="1" t="s">
        <v>8927</v>
      </c>
      <c r="U5367" s="2" t="s">
        <v>7451</v>
      </c>
      <c r="V5367" s="2" t="s">
        <v>47</v>
      </c>
      <c r="W5367" s="2" t="s">
        <v>119</v>
      </c>
      <c r="X5367" s="2">
        <v>118.61499999999999</v>
      </c>
    </row>
    <row r="5368" spans="1:24" x14ac:dyDescent="0.3">
      <c r="A5368">
        <v>23199</v>
      </c>
      <c r="B5368" t="s">
        <v>11498</v>
      </c>
      <c r="C5368" s="3">
        <v>41467</v>
      </c>
      <c r="D5368" t="s">
        <v>39</v>
      </c>
      <c r="E5368">
        <v>11</v>
      </c>
      <c r="F5368" s="3">
        <f ca="1">41468+(RANDBETWEEN(1,10))</f>
        <v>41473</v>
      </c>
      <c r="G5368" t="s">
        <v>26</v>
      </c>
      <c r="H5368" t="s">
        <v>27</v>
      </c>
      <c r="I5368" t="s">
        <v>86</v>
      </c>
      <c r="J5368">
        <v>139.33500000000001</v>
      </c>
      <c r="K5368">
        <v>7.0000000000000007E-2</v>
      </c>
      <c r="L5368">
        <v>0.38</v>
      </c>
      <c r="M5368">
        <v>1.75</v>
      </c>
      <c r="N5368">
        <v>96.141149999999996</v>
      </c>
      <c r="O5368" s="1" t="s">
        <v>29</v>
      </c>
      <c r="P5368" s="1" t="s">
        <v>4692</v>
      </c>
      <c r="Q5368" s="1" t="s">
        <v>4693</v>
      </c>
      <c r="R5368" s="1" t="s">
        <v>460</v>
      </c>
      <c r="S5368" s="1" t="s">
        <v>4694</v>
      </c>
      <c r="T5368" s="1" t="s">
        <v>4695</v>
      </c>
      <c r="U5368" s="2" t="s">
        <v>702</v>
      </c>
      <c r="V5368" s="2" t="s">
        <v>47</v>
      </c>
      <c r="W5368" s="2" t="s">
        <v>203</v>
      </c>
      <c r="X5368" s="2">
        <v>12.914999999999999</v>
      </c>
    </row>
    <row r="5369" spans="1:24" x14ac:dyDescent="0.3">
      <c r="A5369">
        <v>2320</v>
      </c>
      <c r="B5369" t="s">
        <v>11499</v>
      </c>
      <c r="C5369" s="3">
        <v>41388</v>
      </c>
      <c r="D5369" t="s">
        <v>39</v>
      </c>
      <c r="E5369">
        <v>53</v>
      </c>
      <c r="F5369" s="3">
        <f ca="1">41390+(RANDBETWEEN(1,10))</f>
        <v>41394</v>
      </c>
      <c r="G5369" t="s">
        <v>76</v>
      </c>
      <c r="H5369" t="s">
        <v>77</v>
      </c>
      <c r="I5369" t="s">
        <v>52</v>
      </c>
      <c r="J5369">
        <v>21903.945</v>
      </c>
      <c r="K5369">
        <v>0.09</v>
      </c>
      <c r="L5369">
        <v>0.56000000000000005</v>
      </c>
      <c r="M5369">
        <v>62.475000000000001</v>
      </c>
      <c r="N5369">
        <v>4552.8</v>
      </c>
      <c r="O5369" s="1" t="s">
        <v>64</v>
      </c>
      <c r="P5369" s="1" t="s">
        <v>333</v>
      </c>
      <c r="Q5369" s="1" t="s">
        <v>334</v>
      </c>
      <c r="R5369" s="1" t="s">
        <v>67</v>
      </c>
      <c r="S5369" s="1" t="s">
        <v>68</v>
      </c>
      <c r="T5369" s="1" t="s">
        <v>335</v>
      </c>
      <c r="U5369" s="2" t="s">
        <v>881</v>
      </c>
      <c r="V5369" s="2" t="s">
        <v>36</v>
      </c>
      <c r="W5369" s="2" t="s">
        <v>142</v>
      </c>
      <c r="X5369" s="2">
        <v>509.07499999999999</v>
      </c>
    </row>
    <row r="5370" spans="1:24" x14ac:dyDescent="0.3">
      <c r="A5370">
        <v>23200</v>
      </c>
      <c r="B5370" t="s">
        <v>11500</v>
      </c>
      <c r="C5370" s="3">
        <v>40899</v>
      </c>
      <c r="D5370" t="s">
        <v>148</v>
      </c>
      <c r="E5370">
        <v>3</v>
      </c>
      <c r="F5370" s="3">
        <f ca="1">40901+(RANDBETWEEN(1,10))</f>
        <v>40908</v>
      </c>
      <c r="G5370" t="s">
        <v>156</v>
      </c>
      <c r="H5370" t="s">
        <v>281</v>
      </c>
      <c r="I5370" t="s">
        <v>86</v>
      </c>
      <c r="J5370">
        <v>1681.2950000000001</v>
      </c>
      <c r="K5370">
        <v>0.02</v>
      </c>
      <c r="L5370">
        <v>0.38</v>
      </c>
      <c r="M5370">
        <v>48.965000000000003</v>
      </c>
      <c r="N5370">
        <v>91.35</v>
      </c>
      <c r="O5370" s="1" t="s">
        <v>40</v>
      </c>
      <c r="P5370" s="1" t="s">
        <v>10451</v>
      </c>
      <c r="Q5370" s="1" t="s">
        <v>10452</v>
      </c>
      <c r="R5370" s="1" t="s">
        <v>43</v>
      </c>
      <c r="S5370" s="1" t="s">
        <v>10453</v>
      </c>
      <c r="T5370" s="1" t="s">
        <v>10454</v>
      </c>
      <c r="U5370" s="2" t="s">
        <v>480</v>
      </c>
      <c r="V5370" s="2" t="s">
        <v>36</v>
      </c>
      <c r="W5370" s="2" t="s">
        <v>142</v>
      </c>
      <c r="X5370" s="2">
        <v>528.42999999999995</v>
      </c>
    </row>
    <row r="5371" spans="1:24" x14ac:dyDescent="0.3">
      <c r="A5371">
        <v>23201</v>
      </c>
      <c r="B5371" t="s">
        <v>11500</v>
      </c>
      <c r="C5371" s="3">
        <v>40899</v>
      </c>
      <c r="D5371" t="s">
        <v>148</v>
      </c>
      <c r="E5371">
        <v>1</v>
      </c>
      <c r="F5371" s="3">
        <f ca="1">40901+(RANDBETWEEN(1,10))</f>
        <v>40906</v>
      </c>
      <c r="G5371" t="s">
        <v>26</v>
      </c>
      <c r="H5371" t="s">
        <v>96</v>
      </c>
      <c r="I5371" t="s">
        <v>86</v>
      </c>
      <c r="J5371">
        <v>20.16</v>
      </c>
      <c r="K5371">
        <v>0.1</v>
      </c>
      <c r="L5371">
        <v>0.36</v>
      </c>
      <c r="M5371">
        <v>3.3250000000000002</v>
      </c>
      <c r="N5371">
        <v>-9.0299999999999994</v>
      </c>
      <c r="O5371" s="1" t="s">
        <v>40</v>
      </c>
      <c r="P5371" s="1" t="s">
        <v>10451</v>
      </c>
      <c r="Q5371" s="1" t="s">
        <v>10452</v>
      </c>
      <c r="R5371" s="1" t="s">
        <v>43</v>
      </c>
      <c r="S5371" s="1" t="s">
        <v>10453</v>
      </c>
      <c r="T5371" s="1" t="s">
        <v>10454</v>
      </c>
      <c r="U5371" s="2" t="s">
        <v>3882</v>
      </c>
      <c r="V5371" s="2" t="s">
        <v>47</v>
      </c>
      <c r="W5371" s="2" t="s">
        <v>74</v>
      </c>
      <c r="X5371" s="2">
        <v>19.004999999999999</v>
      </c>
    </row>
    <row r="5372" spans="1:24" x14ac:dyDescent="0.3">
      <c r="A5372">
        <v>23202</v>
      </c>
      <c r="B5372" t="s">
        <v>11500</v>
      </c>
      <c r="C5372" s="3">
        <v>40899</v>
      </c>
      <c r="D5372" t="s">
        <v>148</v>
      </c>
      <c r="E5372">
        <v>21</v>
      </c>
      <c r="F5372" s="3">
        <f ca="1">40900+(RANDBETWEEN(1,10))</f>
        <v>40910</v>
      </c>
      <c r="G5372" t="s">
        <v>76</v>
      </c>
      <c r="H5372" t="s">
        <v>258</v>
      </c>
      <c r="I5372" t="s">
        <v>86</v>
      </c>
      <c r="J5372">
        <v>10892.455</v>
      </c>
      <c r="K5372">
        <v>0.01</v>
      </c>
      <c r="L5372">
        <v>0.74</v>
      </c>
      <c r="M5372">
        <v>102.235</v>
      </c>
      <c r="N5372">
        <v>4577.8424999999997</v>
      </c>
      <c r="O5372" s="1" t="s">
        <v>40</v>
      </c>
      <c r="P5372" s="1" t="s">
        <v>10451</v>
      </c>
      <c r="Q5372" s="1" t="s">
        <v>10452</v>
      </c>
      <c r="R5372" s="1" t="s">
        <v>43</v>
      </c>
      <c r="S5372" s="1" t="s">
        <v>10453</v>
      </c>
      <c r="T5372" s="1" t="s">
        <v>10454</v>
      </c>
      <c r="U5372" s="2" t="s">
        <v>1724</v>
      </c>
      <c r="V5372" s="2" t="s">
        <v>83</v>
      </c>
      <c r="W5372" s="2" t="s">
        <v>263</v>
      </c>
      <c r="X5372" s="2">
        <v>627.51499999999999</v>
      </c>
    </row>
    <row r="5373" spans="1:24" x14ac:dyDescent="0.3">
      <c r="A5373">
        <v>23203</v>
      </c>
      <c r="B5373" t="s">
        <v>11501</v>
      </c>
      <c r="C5373" s="3">
        <v>40884</v>
      </c>
      <c r="D5373" t="s">
        <v>148</v>
      </c>
      <c r="E5373">
        <v>16</v>
      </c>
      <c r="F5373" s="3">
        <f ca="1">40886+(RANDBETWEEN(1,10))</f>
        <v>40895</v>
      </c>
      <c r="G5373" t="s">
        <v>156</v>
      </c>
      <c r="H5373" t="s">
        <v>51</v>
      </c>
      <c r="I5373" t="s">
        <v>28</v>
      </c>
      <c r="J5373">
        <v>756.14</v>
      </c>
      <c r="K5373">
        <v>0.04</v>
      </c>
      <c r="L5373">
        <v>0.6</v>
      </c>
      <c r="M5373">
        <v>10.99</v>
      </c>
      <c r="N5373">
        <v>79.863</v>
      </c>
      <c r="O5373" s="1" t="s">
        <v>64</v>
      </c>
      <c r="P5373" s="1" t="s">
        <v>11286</v>
      </c>
      <c r="Q5373" s="1" t="s">
        <v>11287</v>
      </c>
      <c r="R5373" s="1" t="s">
        <v>128</v>
      </c>
      <c r="S5373" s="1" t="s">
        <v>11288</v>
      </c>
      <c r="T5373" s="1" t="s">
        <v>11289</v>
      </c>
      <c r="U5373" s="2" t="s">
        <v>536</v>
      </c>
      <c r="V5373" s="2" t="s">
        <v>47</v>
      </c>
      <c r="W5373" s="2" t="s">
        <v>94</v>
      </c>
      <c r="X5373" s="2">
        <v>45.43</v>
      </c>
    </row>
    <row r="5374" spans="1:24" x14ac:dyDescent="0.3">
      <c r="A5374">
        <v>23204</v>
      </c>
      <c r="B5374" t="s">
        <v>11502</v>
      </c>
      <c r="C5374" s="3">
        <v>41442</v>
      </c>
      <c r="D5374" t="s">
        <v>62</v>
      </c>
      <c r="E5374">
        <v>17</v>
      </c>
      <c r="F5374" s="3">
        <f ca="1">41442+(RANDBETWEEN(1,10))</f>
        <v>41448</v>
      </c>
      <c r="G5374" t="s">
        <v>76</v>
      </c>
      <c r="H5374" t="s">
        <v>77</v>
      </c>
      <c r="I5374" t="s">
        <v>28</v>
      </c>
      <c r="J5374">
        <v>7830.9</v>
      </c>
      <c r="K5374">
        <v>0.03</v>
      </c>
      <c r="L5374">
        <v>0.78</v>
      </c>
      <c r="M5374">
        <v>105</v>
      </c>
      <c r="N5374">
        <v>-795.36800000000005</v>
      </c>
      <c r="O5374" s="1" t="s">
        <v>53</v>
      </c>
      <c r="P5374" s="1" t="s">
        <v>11406</v>
      </c>
      <c r="Q5374" s="1" t="s">
        <v>11407</v>
      </c>
      <c r="R5374" s="1" t="s">
        <v>100</v>
      </c>
      <c r="S5374" s="1" t="s">
        <v>11408</v>
      </c>
      <c r="T5374" s="1" t="s">
        <v>11409</v>
      </c>
      <c r="U5374" s="2" t="s">
        <v>2894</v>
      </c>
      <c r="V5374" s="2" t="s">
        <v>83</v>
      </c>
      <c r="W5374" s="2" t="s">
        <v>84</v>
      </c>
      <c r="X5374" s="2">
        <v>458.43</v>
      </c>
    </row>
    <row r="5375" spans="1:24" x14ac:dyDescent="0.3">
      <c r="A5375">
        <v>23205</v>
      </c>
      <c r="B5375" t="s">
        <v>11503</v>
      </c>
      <c r="C5375" s="3">
        <v>41248</v>
      </c>
      <c r="D5375" t="s">
        <v>50</v>
      </c>
      <c r="E5375">
        <v>18</v>
      </c>
      <c r="F5375" s="3">
        <f ca="1">41249+(RANDBETWEEN(1,10))</f>
        <v>41257</v>
      </c>
      <c r="G5375" t="s">
        <v>26</v>
      </c>
      <c r="H5375" t="s">
        <v>27</v>
      </c>
      <c r="I5375" t="s">
        <v>52</v>
      </c>
      <c r="J5375">
        <v>168.52500000000001</v>
      </c>
      <c r="K5375">
        <v>0</v>
      </c>
      <c r="L5375">
        <v>0.39</v>
      </c>
      <c r="M5375">
        <v>1.75</v>
      </c>
      <c r="N5375">
        <v>116.28225</v>
      </c>
      <c r="O5375" s="1" t="s">
        <v>40</v>
      </c>
      <c r="P5375" s="1" t="s">
        <v>2107</v>
      </c>
      <c r="Q5375" s="1" t="s">
        <v>2108</v>
      </c>
      <c r="R5375" s="1" t="s">
        <v>43</v>
      </c>
      <c r="S5375" s="1" t="s">
        <v>2109</v>
      </c>
      <c r="T5375" s="1" t="s">
        <v>2110</v>
      </c>
      <c r="U5375" s="2" t="s">
        <v>1726</v>
      </c>
      <c r="V5375" s="2" t="s">
        <v>47</v>
      </c>
      <c r="W5375" s="2" t="s">
        <v>203</v>
      </c>
      <c r="X5375" s="2">
        <v>9.1349999999999998</v>
      </c>
    </row>
    <row r="5376" spans="1:24" x14ac:dyDescent="0.3">
      <c r="A5376">
        <v>23206</v>
      </c>
      <c r="B5376" t="s">
        <v>11504</v>
      </c>
      <c r="C5376" s="3">
        <v>41911</v>
      </c>
      <c r="D5376" t="s">
        <v>25</v>
      </c>
      <c r="E5376">
        <v>26</v>
      </c>
      <c r="F5376" s="3">
        <f ca="1">41916+(RANDBETWEEN(1,10))</f>
        <v>41921</v>
      </c>
      <c r="G5376" t="s">
        <v>26</v>
      </c>
      <c r="H5376" t="s">
        <v>27</v>
      </c>
      <c r="I5376" t="s">
        <v>28</v>
      </c>
      <c r="J5376">
        <v>875.84</v>
      </c>
      <c r="K5376">
        <v>7.0000000000000007E-2</v>
      </c>
      <c r="L5376">
        <v>0.56999999999999995</v>
      </c>
      <c r="M5376">
        <v>43.82</v>
      </c>
      <c r="N5376">
        <v>-1317.7528</v>
      </c>
      <c r="O5376" s="1" t="s">
        <v>40</v>
      </c>
      <c r="P5376" s="1" t="s">
        <v>9034</v>
      </c>
      <c r="Q5376" s="1" t="s">
        <v>9035</v>
      </c>
      <c r="R5376" s="1" t="s">
        <v>220</v>
      </c>
      <c r="S5376" s="1" t="s">
        <v>9036</v>
      </c>
      <c r="T5376" s="1" t="s">
        <v>9037</v>
      </c>
      <c r="U5376" s="2" t="s">
        <v>8087</v>
      </c>
      <c r="V5376" s="2" t="s">
        <v>83</v>
      </c>
      <c r="W5376" s="2" t="s">
        <v>178</v>
      </c>
      <c r="X5376" s="2">
        <v>34.93</v>
      </c>
    </row>
    <row r="5377" spans="1:24" x14ac:dyDescent="0.3">
      <c r="A5377">
        <v>23207</v>
      </c>
      <c r="B5377" t="s">
        <v>11504</v>
      </c>
      <c r="C5377" s="3">
        <v>41911</v>
      </c>
      <c r="D5377" t="s">
        <v>25</v>
      </c>
      <c r="E5377">
        <v>22</v>
      </c>
      <c r="F5377" s="3">
        <f ca="1">41918+(RANDBETWEEN(1,10))</f>
        <v>41919</v>
      </c>
      <c r="G5377" t="s">
        <v>26</v>
      </c>
      <c r="H5377" t="s">
        <v>27</v>
      </c>
      <c r="I5377" t="s">
        <v>28</v>
      </c>
      <c r="J5377">
        <v>498.4</v>
      </c>
      <c r="K5377">
        <v>0.1</v>
      </c>
      <c r="L5377">
        <v>0.37</v>
      </c>
      <c r="M5377">
        <v>33.39</v>
      </c>
      <c r="N5377">
        <v>-763.17219999999998</v>
      </c>
      <c r="O5377" s="1" t="s">
        <v>40</v>
      </c>
      <c r="P5377" s="1" t="s">
        <v>9034</v>
      </c>
      <c r="Q5377" s="1" t="s">
        <v>9035</v>
      </c>
      <c r="R5377" s="1" t="s">
        <v>220</v>
      </c>
      <c r="S5377" s="1" t="s">
        <v>9036</v>
      </c>
      <c r="T5377" s="1" t="s">
        <v>9037</v>
      </c>
      <c r="U5377" s="2" t="s">
        <v>272</v>
      </c>
      <c r="V5377" s="2" t="s">
        <v>47</v>
      </c>
      <c r="W5377" s="2" t="s">
        <v>74</v>
      </c>
      <c r="X5377" s="2">
        <v>22.68</v>
      </c>
    </row>
    <row r="5378" spans="1:24" x14ac:dyDescent="0.3">
      <c r="A5378">
        <v>23208</v>
      </c>
      <c r="B5378" t="s">
        <v>11504</v>
      </c>
      <c r="C5378" s="3">
        <v>41911</v>
      </c>
      <c r="D5378" t="s">
        <v>25</v>
      </c>
      <c r="E5378">
        <v>4</v>
      </c>
      <c r="F5378" s="3">
        <f ca="1">41913+(RANDBETWEEN(1,10))</f>
        <v>41918</v>
      </c>
      <c r="G5378" t="s">
        <v>26</v>
      </c>
      <c r="H5378" t="s">
        <v>27</v>
      </c>
      <c r="I5378" t="s">
        <v>28</v>
      </c>
      <c r="J5378">
        <v>98.875</v>
      </c>
      <c r="K5378">
        <v>0.02</v>
      </c>
      <c r="L5378">
        <v>0.37</v>
      </c>
      <c r="M5378">
        <v>18.164999999999999</v>
      </c>
      <c r="N5378">
        <v>-55.255200000000002</v>
      </c>
      <c r="O5378" s="1" t="s">
        <v>40</v>
      </c>
      <c r="P5378" s="1" t="s">
        <v>9034</v>
      </c>
      <c r="Q5378" s="1" t="s">
        <v>9035</v>
      </c>
      <c r="R5378" s="1" t="s">
        <v>220</v>
      </c>
      <c r="S5378" s="1" t="s">
        <v>9036</v>
      </c>
      <c r="T5378" s="1" t="s">
        <v>9037</v>
      </c>
      <c r="U5378" s="2" t="s">
        <v>8796</v>
      </c>
      <c r="V5378" s="2" t="s">
        <v>47</v>
      </c>
      <c r="W5378" s="2" t="s">
        <v>74</v>
      </c>
      <c r="X5378" s="2">
        <v>22.68</v>
      </c>
    </row>
    <row r="5379" spans="1:24" x14ac:dyDescent="0.3">
      <c r="A5379">
        <v>23209</v>
      </c>
      <c r="B5379" t="s">
        <v>11505</v>
      </c>
      <c r="C5379" s="3">
        <v>40889</v>
      </c>
      <c r="D5379" t="s">
        <v>148</v>
      </c>
      <c r="E5379">
        <v>13</v>
      </c>
      <c r="F5379" s="3">
        <f ca="1">40890+(RANDBETWEEN(1,10))</f>
        <v>40897</v>
      </c>
      <c r="G5379" t="s">
        <v>76</v>
      </c>
      <c r="H5379" t="s">
        <v>77</v>
      </c>
      <c r="I5379" t="s">
        <v>28</v>
      </c>
      <c r="J5379">
        <v>23523.08</v>
      </c>
      <c r="K5379">
        <v>0.06</v>
      </c>
      <c r="L5379">
        <v>0.35</v>
      </c>
      <c r="M5379">
        <v>171.5</v>
      </c>
      <c r="N5379">
        <v>16230.9252</v>
      </c>
      <c r="O5379" s="1" t="s">
        <v>29</v>
      </c>
      <c r="P5379" s="1" t="s">
        <v>11237</v>
      </c>
      <c r="Q5379" s="1" t="s">
        <v>11238</v>
      </c>
      <c r="R5379" s="1" t="s">
        <v>32</v>
      </c>
      <c r="S5379" s="1" t="s">
        <v>11239</v>
      </c>
      <c r="T5379" s="1" t="s">
        <v>11240</v>
      </c>
      <c r="U5379" s="2" t="s">
        <v>2036</v>
      </c>
      <c r="V5379" s="2" t="s">
        <v>36</v>
      </c>
      <c r="W5379" s="2" t="s">
        <v>1327</v>
      </c>
      <c r="X5379" s="2">
        <v>1924.9649999999999</v>
      </c>
    </row>
    <row r="5380" spans="1:24" x14ac:dyDescent="0.3">
      <c r="A5380">
        <v>23210</v>
      </c>
      <c r="B5380" t="s">
        <v>11505</v>
      </c>
      <c r="C5380" s="3">
        <v>40889</v>
      </c>
      <c r="D5380" t="s">
        <v>148</v>
      </c>
      <c r="E5380">
        <v>1</v>
      </c>
      <c r="F5380" s="3">
        <f ca="1">40890+(RANDBETWEEN(1,10))</f>
        <v>40895</v>
      </c>
      <c r="G5380" t="s">
        <v>156</v>
      </c>
      <c r="H5380" t="s">
        <v>27</v>
      </c>
      <c r="I5380" t="s">
        <v>28</v>
      </c>
      <c r="J5380">
        <v>357.73500000000001</v>
      </c>
      <c r="K5380">
        <v>0.08</v>
      </c>
      <c r="L5380">
        <v>0.56999999999999995</v>
      </c>
      <c r="M5380">
        <v>20.965</v>
      </c>
      <c r="N5380">
        <v>-838.39525000000003</v>
      </c>
      <c r="O5380" s="1" t="s">
        <v>29</v>
      </c>
      <c r="P5380" s="1" t="s">
        <v>11237</v>
      </c>
      <c r="Q5380" s="1" t="s">
        <v>11238</v>
      </c>
      <c r="R5380" s="1" t="s">
        <v>32</v>
      </c>
      <c r="S5380" s="1" t="s">
        <v>11239</v>
      </c>
      <c r="T5380" s="1" t="s">
        <v>11240</v>
      </c>
      <c r="U5380" s="2">
        <v>2160</v>
      </c>
      <c r="V5380" s="2" t="s">
        <v>36</v>
      </c>
      <c r="W5380" s="2" t="s">
        <v>37</v>
      </c>
      <c r="X5380" s="2">
        <v>405.96499999999997</v>
      </c>
    </row>
    <row r="5381" spans="1:24" x14ac:dyDescent="0.3">
      <c r="A5381">
        <v>23211</v>
      </c>
      <c r="B5381" t="s">
        <v>11506</v>
      </c>
      <c r="C5381" s="3">
        <v>40857</v>
      </c>
      <c r="D5381" t="s">
        <v>39</v>
      </c>
      <c r="E5381">
        <v>31</v>
      </c>
      <c r="F5381" s="3">
        <f ca="1">40858+(RANDBETWEEN(1,10))</f>
        <v>40861</v>
      </c>
      <c r="G5381" t="s">
        <v>26</v>
      </c>
      <c r="H5381" t="s">
        <v>51</v>
      </c>
      <c r="I5381" t="s">
        <v>28</v>
      </c>
      <c r="J5381">
        <v>1882.3</v>
      </c>
      <c r="K5381">
        <v>0.03</v>
      </c>
      <c r="L5381">
        <v>0.45</v>
      </c>
      <c r="M5381">
        <v>6.9649999999999999</v>
      </c>
      <c r="N5381">
        <v>2487.8258999999998</v>
      </c>
      <c r="O5381" s="1" t="s">
        <v>53</v>
      </c>
      <c r="P5381" s="1" t="s">
        <v>9446</v>
      </c>
      <c r="Q5381" s="1" t="s">
        <v>9447</v>
      </c>
      <c r="R5381" s="1" t="s">
        <v>440</v>
      </c>
      <c r="S5381" s="1" t="s">
        <v>9448</v>
      </c>
      <c r="T5381" s="1" t="s">
        <v>9449</v>
      </c>
      <c r="U5381" s="2" t="s">
        <v>59</v>
      </c>
      <c r="V5381" s="2" t="s">
        <v>36</v>
      </c>
      <c r="W5381" s="2" t="s">
        <v>60</v>
      </c>
      <c r="X5381" s="2">
        <v>61.18</v>
      </c>
    </row>
    <row r="5382" spans="1:24" x14ac:dyDescent="0.3">
      <c r="A5382">
        <v>23212</v>
      </c>
      <c r="B5382" t="s">
        <v>11507</v>
      </c>
      <c r="C5382" s="3">
        <v>41982</v>
      </c>
      <c r="D5382" t="s">
        <v>50</v>
      </c>
      <c r="E5382">
        <v>25</v>
      </c>
      <c r="F5382" s="3">
        <f ca="1">41983+(RANDBETWEEN(1,10))</f>
        <v>41991</v>
      </c>
      <c r="G5382" t="s">
        <v>26</v>
      </c>
      <c r="H5382" t="s">
        <v>51</v>
      </c>
      <c r="I5382" t="s">
        <v>97</v>
      </c>
      <c r="J5382">
        <v>1608.25</v>
      </c>
      <c r="K5382">
        <v>0</v>
      </c>
      <c r="L5382">
        <v>0.47</v>
      </c>
      <c r="M5382">
        <v>31.465</v>
      </c>
      <c r="N5382">
        <v>521.83040000000005</v>
      </c>
      <c r="O5382" s="1" t="s">
        <v>29</v>
      </c>
      <c r="P5382" s="1" t="s">
        <v>11508</v>
      </c>
      <c r="Q5382" s="1" t="s">
        <v>11509</v>
      </c>
      <c r="R5382" s="1" t="s">
        <v>32</v>
      </c>
      <c r="S5382" s="1" t="s">
        <v>11510</v>
      </c>
      <c r="T5382" s="1" t="s">
        <v>11511</v>
      </c>
      <c r="U5382" s="2" t="s">
        <v>1320</v>
      </c>
      <c r="V5382" s="2" t="s">
        <v>83</v>
      </c>
      <c r="W5382" s="2" t="s">
        <v>178</v>
      </c>
      <c r="X5382" s="2">
        <v>61.844999999999999</v>
      </c>
    </row>
    <row r="5383" spans="1:24" x14ac:dyDescent="0.3">
      <c r="A5383">
        <v>23213</v>
      </c>
      <c r="B5383" t="s">
        <v>11512</v>
      </c>
      <c r="C5383" s="3">
        <v>40612</v>
      </c>
      <c r="D5383" t="s">
        <v>25</v>
      </c>
      <c r="E5383">
        <v>1</v>
      </c>
      <c r="F5383" s="3">
        <f ca="1">40616+(RANDBETWEEN(1,10))</f>
        <v>40617</v>
      </c>
      <c r="G5383" t="s">
        <v>26</v>
      </c>
      <c r="H5383" t="s">
        <v>63</v>
      </c>
      <c r="I5383" t="s">
        <v>52</v>
      </c>
      <c r="J5383">
        <v>22036</v>
      </c>
      <c r="K5383">
        <v>0.09</v>
      </c>
      <c r="L5383">
        <v>0.39</v>
      </c>
      <c r="M5383">
        <v>85.715000000000003</v>
      </c>
      <c r="N5383">
        <v>-49492.455600000001</v>
      </c>
      <c r="O5383" s="1" t="s">
        <v>40</v>
      </c>
      <c r="P5383" s="1" t="s">
        <v>10193</v>
      </c>
      <c r="Q5383" s="1" t="s">
        <v>10194</v>
      </c>
      <c r="R5383" s="1" t="s">
        <v>43</v>
      </c>
      <c r="S5383" s="1" t="s">
        <v>10195</v>
      </c>
      <c r="T5383" s="1" t="s">
        <v>10196</v>
      </c>
      <c r="U5383" s="2" t="s">
        <v>2167</v>
      </c>
      <c r="V5383" s="2" t="s">
        <v>36</v>
      </c>
      <c r="W5383" s="2" t="s">
        <v>142</v>
      </c>
      <c r="X5383" s="2">
        <v>23740.57</v>
      </c>
    </row>
    <row r="5384" spans="1:24" x14ac:dyDescent="0.3">
      <c r="A5384">
        <v>23214</v>
      </c>
      <c r="B5384" t="s">
        <v>11513</v>
      </c>
      <c r="C5384" s="3">
        <v>41348</v>
      </c>
      <c r="D5384" t="s">
        <v>50</v>
      </c>
      <c r="E5384">
        <v>12</v>
      </c>
      <c r="F5384" s="3">
        <f ca="1">41349+(RANDBETWEEN(1,10))</f>
        <v>41350</v>
      </c>
      <c r="G5384" t="s">
        <v>76</v>
      </c>
      <c r="H5384" t="s">
        <v>77</v>
      </c>
      <c r="I5384" t="s">
        <v>28</v>
      </c>
      <c r="J5384">
        <v>9067.52</v>
      </c>
      <c r="K5384">
        <v>0.01</v>
      </c>
      <c r="L5384">
        <v>0.59</v>
      </c>
      <c r="M5384">
        <v>224.7</v>
      </c>
      <c r="N5384">
        <v>2164.2600000000002</v>
      </c>
      <c r="O5384" s="1" t="s">
        <v>40</v>
      </c>
      <c r="P5384" s="1" t="s">
        <v>9618</v>
      </c>
      <c r="Q5384" s="1" t="s">
        <v>9619</v>
      </c>
      <c r="R5384" s="1" t="s">
        <v>43</v>
      </c>
      <c r="S5384" s="1" t="s">
        <v>9620</v>
      </c>
      <c r="T5384" s="1" t="s">
        <v>9621</v>
      </c>
      <c r="U5384" s="2" t="s">
        <v>2488</v>
      </c>
      <c r="V5384" s="2" t="s">
        <v>83</v>
      </c>
      <c r="W5384" s="2" t="s">
        <v>84</v>
      </c>
      <c r="X5384" s="2">
        <v>758.1</v>
      </c>
    </row>
    <row r="5385" spans="1:24" x14ac:dyDescent="0.3">
      <c r="A5385">
        <v>23215</v>
      </c>
      <c r="B5385" t="s">
        <v>11514</v>
      </c>
      <c r="C5385" s="3">
        <v>41688</v>
      </c>
      <c r="D5385" t="s">
        <v>39</v>
      </c>
      <c r="E5385">
        <v>13</v>
      </c>
      <c r="F5385" s="3">
        <f ca="1">41689+(RANDBETWEEN(1,10))</f>
        <v>41697</v>
      </c>
      <c r="G5385" t="s">
        <v>76</v>
      </c>
      <c r="H5385" t="s">
        <v>258</v>
      </c>
      <c r="I5385" t="s">
        <v>86</v>
      </c>
      <c r="J5385">
        <v>723.06500000000005</v>
      </c>
      <c r="K5385">
        <v>0.05</v>
      </c>
      <c r="L5385">
        <v>0.76</v>
      </c>
      <c r="M5385">
        <v>97.125</v>
      </c>
      <c r="N5385">
        <v>40.778325000000002</v>
      </c>
      <c r="O5385" s="1" t="s">
        <v>29</v>
      </c>
      <c r="P5385" s="1" t="s">
        <v>10490</v>
      </c>
      <c r="Q5385" s="1" t="s">
        <v>10491</v>
      </c>
      <c r="R5385" s="1" t="s">
        <v>32</v>
      </c>
      <c r="S5385" s="1" t="s">
        <v>10492</v>
      </c>
      <c r="T5385" s="1" t="s">
        <v>10493</v>
      </c>
      <c r="U5385" s="2" t="s">
        <v>365</v>
      </c>
      <c r="V5385" s="2" t="s">
        <v>83</v>
      </c>
      <c r="W5385" s="2" t="s">
        <v>263</v>
      </c>
      <c r="X5385" s="2">
        <v>53.305</v>
      </c>
    </row>
    <row r="5386" spans="1:24" x14ac:dyDescent="0.3">
      <c r="A5386">
        <v>23216</v>
      </c>
      <c r="B5386" t="s">
        <v>11515</v>
      </c>
      <c r="C5386" s="3">
        <v>41728</v>
      </c>
      <c r="D5386" t="s">
        <v>25</v>
      </c>
      <c r="E5386">
        <v>8</v>
      </c>
      <c r="F5386" s="3">
        <f ca="1">41730+(RANDBETWEEN(1,10))</f>
        <v>41732</v>
      </c>
      <c r="G5386" t="s">
        <v>26</v>
      </c>
      <c r="H5386" t="s">
        <v>63</v>
      </c>
      <c r="I5386" t="s">
        <v>28</v>
      </c>
      <c r="J5386">
        <v>17992.555</v>
      </c>
      <c r="K5386">
        <v>0.1</v>
      </c>
      <c r="L5386">
        <v>0.41</v>
      </c>
      <c r="M5386">
        <v>85.715000000000003</v>
      </c>
      <c r="N5386">
        <v>-280.084</v>
      </c>
      <c r="O5386" s="1" t="s">
        <v>87</v>
      </c>
      <c r="P5386" s="1" t="s">
        <v>11169</v>
      </c>
      <c r="Q5386" s="1" t="s">
        <v>11170</v>
      </c>
      <c r="R5386" s="1" t="s">
        <v>497</v>
      </c>
      <c r="S5386" s="1" t="s">
        <v>11171</v>
      </c>
      <c r="T5386" s="1" t="s">
        <v>11172</v>
      </c>
      <c r="U5386" s="2" t="s">
        <v>1326</v>
      </c>
      <c r="V5386" s="2" t="s">
        <v>36</v>
      </c>
      <c r="W5386" s="2" t="s">
        <v>1327</v>
      </c>
      <c r="X5386" s="2">
        <v>2449.9650000000001</v>
      </c>
    </row>
    <row r="5387" spans="1:24" x14ac:dyDescent="0.3">
      <c r="A5387">
        <v>23217</v>
      </c>
      <c r="B5387" t="s">
        <v>11516</v>
      </c>
      <c r="C5387" s="3">
        <v>40922</v>
      </c>
      <c r="D5387" t="s">
        <v>39</v>
      </c>
      <c r="E5387">
        <v>12</v>
      </c>
      <c r="F5387" s="3">
        <f ca="1">40923+(RANDBETWEEN(1,10))</f>
        <v>40932</v>
      </c>
      <c r="G5387" t="s">
        <v>26</v>
      </c>
      <c r="H5387" t="s">
        <v>96</v>
      </c>
      <c r="I5387" t="s">
        <v>52</v>
      </c>
      <c r="J5387">
        <v>65.905000000000001</v>
      </c>
      <c r="K5387">
        <v>0</v>
      </c>
      <c r="L5387">
        <v>0.37</v>
      </c>
      <c r="M5387">
        <v>2.4500000000000002</v>
      </c>
      <c r="N5387">
        <v>31.4678</v>
      </c>
      <c r="O5387" s="1" t="s">
        <v>53</v>
      </c>
      <c r="P5387" s="1" t="s">
        <v>11517</v>
      </c>
      <c r="Q5387" s="1" t="s">
        <v>11518</v>
      </c>
      <c r="R5387" s="1" t="s">
        <v>56</v>
      </c>
      <c r="S5387" s="1" t="s">
        <v>2786</v>
      </c>
      <c r="T5387" s="1" t="s">
        <v>2787</v>
      </c>
      <c r="U5387" s="2" t="s">
        <v>3561</v>
      </c>
      <c r="V5387" s="2" t="s">
        <v>47</v>
      </c>
      <c r="W5387" s="2" t="s">
        <v>176</v>
      </c>
      <c r="X5387" s="2">
        <v>5.18</v>
      </c>
    </row>
    <row r="5388" spans="1:24" x14ac:dyDescent="0.3">
      <c r="A5388">
        <v>23218</v>
      </c>
      <c r="B5388" t="s">
        <v>11519</v>
      </c>
      <c r="C5388" s="3">
        <v>41184</v>
      </c>
      <c r="D5388" t="s">
        <v>39</v>
      </c>
      <c r="E5388">
        <v>9</v>
      </c>
      <c r="F5388" s="3">
        <f ca="1">41185+(RANDBETWEEN(1,10))</f>
        <v>41186</v>
      </c>
      <c r="G5388" t="s">
        <v>26</v>
      </c>
      <c r="H5388" t="s">
        <v>96</v>
      </c>
      <c r="I5388" t="s">
        <v>28</v>
      </c>
      <c r="J5388">
        <v>295.82</v>
      </c>
      <c r="K5388">
        <v>0.03</v>
      </c>
      <c r="L5388">
        <v>0.4</v>
      </c>
      <c r="M5388">
        <v>7.5250000000000004</v>
      </c>
      <c r="N5388">
        <v>-551.64200000000005</v>
      </c>
      <c r="O5388" s="1" t="s">
        <v>40</v>
      </c>
      <c r="P5388" s="1" t="s">
        <v>8882</v>
      </c>
      <c r="Q5388" s="1" t="s">
        <v>8883</v>
      </c>
      <c r="R5388" s="1" t="s">
        <v>43</v>
      </c>
      <c r="S5388" s="1" t="s">
        <v>8884</v>
      </c>
      <c r="T5388" s="1" t="s">
        <v>8885</v>
      </c>
      <c r="U5388" s="2" t="s">
        <v>4359</v>
      </c>
      <c r="V5388" s="2" t="s">
        <v>47</v>
      </c>
      <c r="W5388" s="2" t="s">
        <v>74</v>
      </c>
      <c r="X5388" s="2">
        <v>31.885000000000002</v>
      </c>
    </row>
    <row r="5389" spans="1:24" x14ac:dyDescent="0.3">
      <c r="A5389">
        <v>23219</v>
      </c>
      <c r="B5389" t="s">
        <v>11520</v>
      </c>
      <c r="C5389" s="3">
        <v>41416</v>
      </c>
      <c r="D5389" t="s">
        <v>148</v>
      </c>
      <c r="E5389">
        <v>15</v>
      </c>
      <c r="F5389" s="3">
        <f ca="1">41418+(RANDBETWEEN(1,10))</f>
        <v>41419</v>
      </c>
      <c r="G5389" t="s">
        <v>76</v>
      </c>
      <c r="H5389" t="s">
        <v>77</v>
      </c>
      <c r="I5389" t="s">
        <v>28</v>
      </c>
      <c r="J5389">
        <v>6256.4949999999999</v>
      </c>
      <c r="K5389">
        <v>0.02</v>
      </c>
      <c r="L5389">
        <v>0.69</v>
      </c>
      <c r="M5389">
        <v>105</v>
      </c>
      <c r="N5389">
        <v>638.85500000000002</v>
      </c>
      <c r="O5389" s="1" t="s">
        <v>29</v>
      </c>
      <c r="P5389" s="1" t="s">
        <v>11067</v>
      </c>
      <c r="Q5389" s="1" t="s">
        <v>11068</v>
      </c>
      <c r="R5389" s="1" t="s">
        <v>32</v>
      </c>
      <c r="S5389" s="1" t="s">
        <v>1668</v>
      </c>
      <c r="T5389" s="1" t="s">
        <v>1669</v>
      </c>
      <c r="U5389" s="2" t="s">
        <v>1513</v>
      </c>
      <c r="V5389" s="2" t="s">
        <v>83</v>
      </c>
      <c r="W5389" s="2" t="s">
        <v>84</v>
      </c>
      <c r="X5389" s="2">
        <v>398.93</v>
      </c>
    </row>
    <row r="5390" spans="1:24" x14ac:dyDescent="0.3">
      <c r="A5390">
        <v>23220</v>
      </c>
      <c r="B5390" t="s">
        <v>11520</v>
      </c>
      <c r="C5390" s="3">
        <v>41416</v>
      </c>
      <c r="D5390" t="s">
        <v>148</v>
      </c>
      <c r="E5390">
        <v>18</v>
      </c>
      <c r="F5390" s="3">
        <f ca="1">41418+(RANDBETWEEN(1,10))</f>
        <v>41420</v>
      </c>
      <c r="G5390" t="s">
        <v>26</v>
      </c>
      <c r="H5390" t="s">
        <v>27</v>
      </c>
      <c r="I5390" t="s">
        <v>28</v>
      </c>
      <c r="J5390">
        <v>3504.6550000000002</v>
      </c>
      <c r="K5390">
        <v>0.04</v>
      </c>
      <c r="L5390">
        <v>0.57999999999999996</v>
      </c>
      <c r="M5390">
        <v>30.8</v>
      </c>
      <c r="N5390">
        <v>1564.92</v>
      </c>
      <c r="O5390" s="1" t="s">
        <v>29</v>
      </c>
      <c r="P5390" s="1" t="s">
        <v>11067</v>
      </c>
      <c r="Q5390" s="1" t="s">
        <v>11068</v>
      </c>
      <c r="R5390" s="1" t="s">
        <v>32</v>
      </c>
      <c r="S5390" s="1" t="s">
        <v>1668</v>
      </c>
      <c r="T5390" s="1" t="s">
        <v>1669</v>
      </c>
      <c r="U5390" s="2">
        <v>6120</v>
      </c>
      <c r="V5390" s="2" t="s">
        <v>36</v>
      </c>
      <c r="W5390" s="2" t="s">
        <v>37</v>
      </c>
      <c r="X5390" s="2">
        <v>230.965</v>
      </c>
    </row>
    <row r="5391" spans="1:24" x14ac:dyDescent="0.3">
      <c r="A5391">
        <v>23221</v>
      </c>
      <c r="B5391" t="s">
        <v>11521</v>
      </c>
      <c r="C5391" s="3">
        <v>40959</v>
      </c>
      <c r="D5391" t="s">
        <v>39</v>
      </c>
      <c r="E5391">
        <v>10</v>
      </c>
      <c r="F5391" s="3">
        <f ca="1">40961+(RANDBETWEEN(1,10))</f>
        <v>40967</v>
      </c>
      <c r="G5391" t="s">
        <v>26</v>
      </c>
      <c r="H5391" t="s">
        <v>27</v>
      </c>
      <c r="I5391" t="s">
        <v>97</v>
      </c>
      <c r="J5391">
        <v>191.17</v>
      </c>
      <c r="K5391">
        <v>0.01</v>
      </c>
      <c r="L5391">
        <v>0.37</v>
      </c>
      <c r="M5391">
        <v>17.71</v>
      </c>
      <c r="N5391">
        <v>-1903.7318299999999</v>
      </c>
      <c r="O5391" s="1" t="s">
        <v>64</v>
      </c>
      <c r="P5391" s="1" t="s">
        <v>10984</v>
      </c>
      <c r="Q5391" s="1" t="s">
        <v>10985</v>
      </c>
      <c r="R5391" s="1" t="s">
        <v>128</v>
      </c>
      <c r="S5391" s="1" t="s">
        <v>10986</v>
      </c>
      <c r="T5391" s="1" t="s">
        <v>10987</v>
      </c>
      <c r="U5391" s="2" t="s">
        <v>6427</v>
      </c>
      <c r="V5391" s="2" t="s">
        <v>47</v>
      </c>
      <c r="W5391" s="2" t="s">
        <v>74</v>
      </c>
      <c r="X5391" s="2">
        <v>18.48</v>
      </c>
    </row>
    <row r="5392" spans="1:24" x14ac:dyDescent="0.3">
      <c r="A5392">
        <v>23222</v>
      </c>
      <c r="B5392" t="s">
        <v>11522</v>
      </c>
      <c r="C5392" s="3">
        <v>41904</v>
      </c>
      <c r="D5392" t="s">
        <v>25</v>
      </c>
      <c r="E5392">
        <v>13</v>
      </c>
      <c r="F5392" s="3">
        <f ca="1">41909+(RANDBETWEEN(1,10))</f>
        <v>41919</v>
      </c>
      <c r="G5392" t="s">
        <v>26</v>
      </c>
      <c r="H5392" t="s">
        <v>27</v>
      </c>
      <c r="I5392" t="s">
        <v>52</v>
      </c>
      <c r="J5392">
        <v>313.11</v>
      </c>
      <c r="K5392">
        <v>0.05</v>
      </c>
      <c r="L5392">
        <v>0.37</v>
      </c>
      <c r="M5392">
        <v>25.795000000000002</v>
      </c>
      <c r="N5392">
        <v>-274.05419999999998</v>
      </c>
      <c r="O5392" s="1" t="s">
        <v>53</v>
      </c>
      <c r="P5392" s="1" t="s">
        <v>2923</v>
      </c>
      <c r="Q5392" s="1" t="s">
        <v>2924</v>
      </c>
      <c r="R5392" s="1" t="s">
        <v>56</v>
      </c>
      <c r="S5392" s="1" t="s">
        <v>2786</v>
      </c>
      <c r="T5392" s="1" t="s">
        <v>2787</v>
      </c>
      <c r="U5392" s="2" t="s">
        <v>2975</v>
      </c>
      <c r="V5392" s="2" t="s">
        <v>47</v>
      </c>
      <c r="W5392" s="2" t="s">
        <v>74</v>
      </c>
      <c r="X5392" s="2">
        <v>22.68</v>
      </c>
    </row>
    <row r="5393" spans="1:24" x14ac:dyDescent="0.3">
      <c r="A5393">
        <v>23223</v>
      </c>
      <c r="B5393" t="s">
        <v>11523</v>
      </c>
      <c r="C5393" s="3">
        <v>41943</v>
      </c>
      <c r="D5393" t="s">
        <v>39</v>
      </c>
      <c r="E5393">
        <v>4</v>
      </c>
      <c r="F5393" s="3">
        <f ca="1">41944+(RANDBETWEEN(1,10))</f>
        <v>41947</v>
      </c>
      <c r="G5393" t="s">
        <v>26</v>
      </c>
      <c r="H5393" t="s">
        <v>96</v>
      </c>
      <c r="I5393" t="s">
        <v>28</v>
      </c>
      <c r="J5393">
        <v>40.6</v>
      </c>
      <c r="K5393">
        <v>0.02</v>
      </c>
      <c r="L5393">
        <v>0.57999999999999996</v>
      </c>
      <c r="M5393">
        <v>8.4</v>
      </c>
      <c r="N5393">
        <v>-46.445</v>
      </c>
      <c r="O5393" s="1" t="s">
        <v>29</v>
      </c>
      <c r="P5393" s="1" t="s">
        <v>5749</v>
      </c>
      <c r="Q5393" s="1" t="s">
        <v>5750</v>
      </c>
      <c r="R5393" s="1" t="s">
        <v>460</v>
      </c>
      <c r="S5393" s="1" t="s">
        <v>5688</v>
      </c>
      <c r="T5393" s="1" t="s">
        <v>5689</v>
      </c>
      <c r="U5393" s="2" t="s">
        <v>6328</v>
      </c>
      <c r="V5393" s="2" t="s">
        <v>47</v>
      </c>
      <c r="W5393" s="2" t="s">
        <v>104</v>
      </c>
      <c r="X5393" s="2">
        <v>9.1</v>
      </c>
    </row>
    <row r="5394" spans="1:24" x14ac:dyDescent="0.3">
      <c r="A5394">
        <v>23224</v>
      </c>
      <c r="B5394" t="s">
        <v>11524</v>
      </c>
      <c r="C5394" s="3">
        <v>41702</v>
      </c>
      <c r="D5394" t="s">
        <v>62</v>
      </c>
      <c r="E5394">
        <v>6</v>
      </c>
      <c r="F5394" s="3">
        <f ca="1">41703+(RANDBETWEEN(1,10))</f>
        <v>41704</v>
      </c>
      <c r="G5394" t="s">
        <v>156</v>
      </c>
      <c r="H5394" t="s">
        <v>27</v>
      </c>
      <c r="I5394" t="s">
        <v>97</v>
      </c>
      <c r="J5394">
        <v>115.535</v>
      </c>
      <c r="K5394">
        <v>0.04</v>
      </c>
      <c r="L5394">
        <v>0.38</v>
      </c>
      <c r="M5394">
        <v>29.155000000000001</v>
      </c>
      <c r="N5394">
        <v>-431.48</v>
      </c>
      <c r="O5394" s="1" t="s">
        <v>225</v>
      </c>
      <c r="P5394" s="1" t="s">
        <v>11038</v>
      </c>
      <c r="Q5394" s="1" t="s">
        <v>11039</v>
      </c>
      <c r="R5394" s="1" t="s">
        <v>228</v>
      </c>
      <c r="S5394" s="1" t="s">
        <v>11040</v>
      </c>
      <c r="T5394" s="1" t="s">
        <v>11041</v>
      </c>
      <c r="U5394" s="2" t="s">
        <v>867</v>
      </c>
      <c r="V5394" s="2" t="s">
        <v>47</v>
      </c>
      <c r="W5394" s="2" t="s">
        <v>74</v>
      </c>
      <c r="X5394" s="2">
        <v>17.43</v>
      </c>
    </row>
    <row r="5395" spans="1:24" x14ac:dyDescent="0.3">
      <c r="A5395">
        <v>23225</v>
      </c>
      <c r="B5395" t="s">
        <v>11525</v>
      </c>
      <c r="C5395" s="3">
        <v>41243</v>
      </c>
      <c r="D5395" t="s">
        <v>39</v>
      </c>
      <c r="E5395">
        <v>20</v>
      </c>
      <c r="F5395" s="3">
        <f ca="1">41244+(RANDBETWEEN(1,10))</f>
        <v>41254</v>
      </c>
      <c r="G5395" t="s">
        <v>26</v>
      </c>
      <c r="H5395" t="s">
        <v>27</v>
      </c>
      <c r="I5395" t="s">
        <v>97</v>
      </c>
      <c r="J5395">
        <v>1537.83</v>
      </c>
      <c r="K5395">
        <v>0.01</v>
      </c>
      <c r="L5395">
        <v>0.37</v>
      </c>
      <c r="M5395">
        <v>30.905000000000001</v>
      </c>
      <c r="N5395">
        <v>569.87315000000001</v>
      </c>
      <c r="O5395" s="1" t="s">
        <v>53</v>
      </c>
      <c r="P5395" s="1" t="s">
        <v>11378</v>
      </c>
      <c r="Q5395" s="1" t="s">
        <v>11379</v>
      </c>
      <c r="R5395" s="1" t="s">
        <v>100</v>
      </c>
      <c r="S5395" s="1" t="s">
        <v>11380</v>
      </c>
      <c r="T5395" s="1" t="s">
        <v>11381</v>
      </c>
      <c r="U5395" s="2" t="s">
        <v>7151</v>
      </c>
      <c r="V5395" s="2" t="s">
        <v>47</v>
      </c>
      <c r="W5395" s="2" t="s">
        <v>111</v>
      </c>
      <c r="X5395" s="2">
        <v>73.430000000000007</v>
      </c>
    </row>
    <row r="5396" spans="1:24" x14ac:dyDescent="0.3">
      <c r="A5396">
        <v>23226</v>
      </c>
      <c r="B5396" t="s">
        <v>11526</v>
      </c>
      <c r="C5396" s="3">
        <v>41262</v>
      </c>
      <c r="D5396" t="s">
        <v>39</v>
      </c>
      <c r="E5396">
        <v>13</v>
      </c>
      <c r="F5396" s="3">
        <f ca="1">41264+(RANDBETWEEN(1,10))</f>
        <v>41270</v>
      </c>
      <c r="G5396" t="s">
        <v>26</v>
      </c>
      <c r="H5396" t="s">
        <v>27</v>
      </c>
      <c r="I5396" t="s">
        <v>28</v>
      </c>
      <c r="J5396">
        <v>2774.1350000000002</v>
      </c>
      <c r="K5396">
        <v>0</v>
      </c>
      <c r="L5396">
        <v>0.56000000000000005</v>
      </c>
      <c r="M5396">
        <v>15.75</v>
      </c>
      <c r="N5396">
        <v>1914.1531500000001</v>
      </c>
      <c r="O5396" s="1" t="s">
        <v>40</v>
      </c>
      <c r="P5396" s="1" t="s">
        <v>11527</v>
      </c>
      <c r="Q5396" s="1" t="s">
        <v>11528</v>
      </c>
      <c r="R5396" s="1" t="s">
        <v>43</v>
      </c>
      <c r="S5396" s="1" t="s">
        <v>11529</v>
      </c>
      <c r="T5396" s="1" t="s">
        <v>11530</v>
      </c>
      <c r="U5396" s="2" t="s">
        <v>1654</v>
      </c>
      <c r="V5396" s="2" t="s">
        <v>47</v>
      </c>
      <c r="W5396" s="2" t="s">
        <v>71</v>
      </c>
      <c r="X5396" s="2">
        <v>213.39500000000001</v>
      </c>
    </row>
    <row r="5397" spans="1:24" x14ac:dyDescent="0.3">
      <c r="A5397">
        <v>23227</v>
      </c>
      <c r="B5397" t="s">
        <v>11526</v>
      </c>
      <c r="C5397" s="3">
        <v>41262</v>
      </c>
      <c r="D5397" t="s">
        <v>39</v>
      </c>
      <c r="E5397">
        <v>11</v>
      </c>
      <c r="F5397" s="3">
        <f ca="1">41263+(RANDBETWEEN(1,10))</f>
        <v>41265</v>
      </c>
      <c r="G5397" t="s">
        <v>26</v>
      </c>
      <c r="H5397" t="s">
        <v>27</v>
      </c>
      <c r="I5397" t="s">
        <v>28</v>
      </c>
      <c r="J5397">
        <v>246.155</v>
      </c>
      <c r="K5397">
        <v>0.08</v>
      </c>
      <c r="L5397">
        <v>0.37</v>
      </c>
      <c r="M5397">
        <v>20.37</v>
      </c>
      <c r="N5397">
        <v>-96.092500000000001</v>
      </c>
      <c r="O5397" s="1" t="s">
        <v>40</v>
      </c>
      <c r="P5397" s="1" t="s">
        <v>11527</v>
      </c>
      <c r="Q5397" s="1" t="s">
        <v>11528</v>
      </c>
      <c r="R5397" s="1" t="s">
        <v>43</v>
      </c>
      <c r="S5397" s="1" t="s">
        <v>11529</v>
      </c>
      <c r="T5397" s="1" t="s">
        <v>11530</v>
      </c>
      <c r="U5397" s="2" t="s">
        <v>11362</v>
      </c>
      <c r="V5397" s="2" t="s">
        <v>47</v>
      </c>
      <c r="W5397" s="2" t="s">
        <v>74</v>
      </c>
      <c r="X5397" s="2">
        <v>22.68</v>
      </c>
    </row>
    <row r="5398" spans="1:24" x14ac:dyDescent="0.3">
      <c r="A5398">
        <v>23228</v>
      </c>
      <c r="B5398" t="s">
        <v>11531</v>
      </c>
      <c r="C5398" s="3">
        <v>41588</v>
      </c>
      <c r="D5398" t="s">
        <v>25</v>
      </c>
      <c r="E5398">
        <v>18</v>
      </c>
      <c r="F5398" s="3">
        <f ca="1">41592+(RANDBETWEEN(1,10))</f>
        <v>41598</v>
      </c>
      <c r="G5398" t="s">
        <v>156</v>
      </c>
      <c r="H5398" t="s">
        <v>27</v>
      </c>
      <c r="I5398" t="s">
        <v>97</v>
      </c>
      <c r="J5398">
        <v>8195.18</v>
      </c>
      <c r="K5398">
        <v>7.0000000000000007E-2</v>
      </c>
      <c r="L5398">
        <v>0.57999999999999996</v>
      </c>
      <c r="M5398">
        <v>31.465</v>
      </c>
      <c r="N5398">
        <v>2391.5430000000001</v>
      </c>
      <c r="O5398" s="1" t="s">
        <v>225</v>
      </c>
      <c r="P5398" s="1" t="s">
        <v>10105</v>
      </c>
      <c r="Q5398" s="1" t="s">
        <v>10106</v>
      </c>
      <c r="R5398" s="1" t="s">
        <v>228</v>
      </c>
      <c r="S5398" s="1" t="s">
        <v>10107</v>
      </c>
      <c r="T5398" s="1" t="s">
        <v>10108</v>
      </c>
      <c r="U5398" s="2" t="s">
        <v>1265</v>
      </c>
      <c r="V5398" s="2" t="s">
        <v>36</v>
      </c>
      <c r="W5398" s="2" t="s">
        <v>37</v>
      </c>
      <c r="X5398" s="2">
        <v>545.96500000000003</v>
      </c>
    </row>
    <row r="5399" spans="1:24" x14ac:dyDescent="0.3">
      <c r="A5399">
        <v>23229</v>
      </c>
      <c r="B5399" t="s">
        <v>11531</v>
      </c>
      <c r="C5399" s="3">
        <v>41588</v>
      </c>
      <c r="D5399" t="s">
        <v>25</v>
      </c>
      <c r="E5399">
        <v>34</v>
      </c>
      <c r="F5399" s="3">
        <f ca="1">41595+(RANDBETWEEN(1,10))</f>
        <v>41599</v>
      </c>
      <c r="G5399" t="s">
        <v>26</v>
      </c>
      <c r="H5399" t="s">
        <v>27</v>
      </c>
      <c r="I5399" t="s">
        <v>97</v>
      </c>
      <c r="J5399">
        <v>2021.5650000000001</v>
      </c>
      <c r="K5399">
        <v>0.09</v>
      </c>
      <c r="L5399">
        <v>0.59</v>
      </c>
      <c r="M5399">
        <v>33.145000000000003</v>
      </c>
      <c r="N5399">
        <v>106.68</v>
      </c>
      <c r="O5399" s="1" t="s">
        <v>64</v>
      </c>
      <c r="P5399" s="1" t="s">
        <v>11532</v>
      </c>
      <c r="Q5399" s="1" t="s">
        <v>11533</v>
      </c>
      <c r="R5399" s="1" t="s">
        <v>67</v>
      </c>
      <c r="S5399" s="1" t="s">
        <v>11534</v>
      </c>
      <c r="T5399" s="1" t="s">
        <v>11535</v>
      </c>
      <c r="U5399" s="2" t="s">
        <v>811</v>
      </c>
      <c r="V5399" s="2" t="s">
        <v>47</v>
      </c>
      <c r="W5399" s="2" t="s">
        <v>119</v>
      </c>
      <c r="X5399" s="2">
        <v>61.95</v>
      </c>
    </row>
    <row r="5400" spans="1:24" x14ac:dyDescent="0.3">
      <c r="A5400">
        <v>2323</v>
      </c>
      <c r="B5400" t="s">
        <v>11536</v>
      </c>
      <c r="C5400" s="3">
        <v>41182</v>
      </c>
      <c r="D5400" t="s">
        <v>148</v>
      </c>
      <c r="E5400">
        <v>11</v>
      </c>
      <c r="F5400" s="3">
        <f ca="1">41183+(RANDBETWEEN(1,10))</f>
        <v>41192</v>
      </c>
      <c r="G5400" t="s">
        <v>26</v>
      </c>
      <c r="H5400" t="s">
        <v>27</v>
      </c>
      <c r="I5400" t="s">
        <v>86</v>
      </c>
      <c r="J5400">
        <v>1013.635</v>
      </c>
      <c r="K5400">
        <v>0.01</v>
      </c>
      <c r="L5400">
        <v>0.39</v>
      </c>
      <c r="M5400">
        <v>59.045000000000002</v>
      </c>
      <c r="N5400">
        <v>-148.33000000000001</v>
      </c>
      <c r="O5400" s="1" t="s">
        <v>53</v>
      </c>
      <c r="P5400" s="1" t="s">
        <v>157</v>
      </c>
      <c r="Q5400" s="1" t="s">
        <v>158</v>
      </c>
      <c r="R5400" s="1" t="s">
        <v>56</v>
      </c>
      <c r="S5400" s="1" t="s">
        <v>159</v>
      </c>
      <c r="T5400" s="1" t="s">
        <v>160</v>
      </c>
      <c r="U5400" s="2" t="s">
        <v>6800</v>
      </c>
      <c r="V5400" s="2" t="s">
        <v>47</v>
      </c>
      <c r="W5400" s="2" t="s">
        <v>74</v>
      </c>
      <c r="X5400" s="2">
        <v>79.94</v>
      </c>
    </row>
    <row r="5401" spans="1:24" x14ac:dyDescent="0.3">
      <c r="A5401">
        <v>23230</v>
      </c>
      <c r="B5401" t="s">
        <v>11531</v>
      </c>
      <c r="C5401" s="3">
        <v>41588</v>
      </c>
      <c r="D5401" t="s">
        <v>25</v>
      </c>
      <c r="E5401">
        <v>32</v>
      </c>
      <c r="F5401" s="3">
        <f ca="1">41593+(RANDBETWEEN(1,10))</f>
        <v>41600</v>
      </c>
      <c r="G5401" t="s">
        <v>26</v>
      </c>
      <c r="H5401" t="s">
        <v>63</v>
      </c>
      <c r="I5401" t="s">
        <v>97</v>
      </c>
      <c r="J5401">
        <v>15256.36</v>
      </c>
      <c r="K5401">
        <v>0.01</v>
      </c>
      <c r="L5401">
        <v>0.84</v>
      </c>
      <c r="M5401">
        <v>122.5</v>
      </c>
      <c r="N5401">
        <v>520.41499999999996</v>
      </c>
      <c r="O5401" s="1" t="s">
        <v>64</v>
      </c>
      <c r="P5401" s="1" t="s">
        <v>11532</v>
      </c>
      <c r="Q5401" s="1" t="s">
        <v>11533</v>
      </c>
      <c r="R5401" s="1" t="s">
        <v>67</v>
      </c>
      <c r="S5401" s="1" t="s">
        <v>11534</v>
      </c>
      <c r="T5401" s="1" t="s">
        <v>11535</v>
      </c>
      <c r="U5401" s="2" t="s">
        <v>10567</v>
      </c>
      <c r="V5401" s="2" t="s">
        <v>47</v>
      </c>
      <c r="W5401" s="2" t="s">
        <v>119</v>
      </c>
      <c r="X5401" s="2">
        <v>473.58499999999998</v>
      </c>
    </row>
    <row r="5402" spans="1:24" x14ac:dyDescent="0.3">
      <c r="A5402">
        <v>23231</v>
      </c>
      <c r="B5402" t="s">
        <v>11537</v>
      </c>
      <c r="C5402" s="3">
        <v>40922</v>
      </c>
      <c r="D5402" t="s">
        <v>39</v>
      </c>
      <c r="E5402">
        <v>3</v>
      </c>
      <c r="F5402" s="3">
        <f ca="1">40923+(RANDBETWEEN(1,10))</f>
        <v>40926</v>
      </c>
      <c r="G5402" t="s">
        <v>26</v>
      </c>
      <c r="H5402" t="s">
        <v>27</v>
      </c>
      <c r="I5402" t="s">
        <v>28</v>
      </c>
      <c r="J5402">
        <v>382.41</v>
      </c>
      <c r="K5402">
        <v>0.03</v>
      </c>
      <c r="L5402">
        <v>0.4</v>
      </c>
      <c r="M5402">
        <v>23.31</v>
      </c>
      <c r="N5402">
        <v>263.86290000000002</v>
      </c>
      <c r="O5402" s="1" t="s">
        <v>29</v>
      </c>
      <c r="P5402" s="1" t="s">
        <v>7188</v>
      </c>
      <c r="Q5402" s="1" t="s">
        <v>7189</v>
      </c>
      <c r="R5402" s="1" t="s">
        <v>32</v>
      </c>
      <c r="S5402" s="1" t="s">
        <v>7190</v>
      </c>
      <c r="T5402" s="1" t="s">
        <v>7191</v>
      </c>
      <c r="U5402" s="2" t="s">
        <v>6760</v>
      </c>
      <c r="V5402" s="2" t="s">
        <v>47</v>
      </c>
      <c r="W5402" s="2" t="s">
        <v>48</v>
      </c>
      <c r="X5402" s="2">
        <v>125.79</v>
      </c>
    </row>
    <row r="5403" spans="1:24" x14ac:dyDescent="0.3">
      <c r="A5403">
        <v>23232</v>
      </c>
      <c r="B5403" t="s">
        <v>11538</v>
      </c>
      <c r="C5403" s="3">
        <v>41597</v>
      </c>
      <c r="D5403" t="s">
        <v>25</v>
      </c>
      <c r="E5403">
        <v>18</v>
      </c>
      <c r="F5403" s="3">
        <f ca="1">41599+(RANDBETWEEN(1,10))</f>
        <v>41603</v>
      </c>
      <c r="G5403" t="s">
        <v>26</v>
      </c>
      <c r="H5403" t="s">
        <v>27</v>
      </c>
      <c r="I5403" t="s">
        <v>28</v>
      </c>
      <c r="J5403">
        <v>4510.4849999999997</v>
      </c>
      <c r="K5403">
        <v>0.03</v>
      </c>
      <c r="L5403">
        <v>0.59</v>
      </c>
      <c r="M5403">
        <v>12.25</v>
      </c>
      <c r="N5403">
        <v>1386.126</v>
      </c>
      <c r="O5403" s="1" t="s">
        <v>29</v>
      </c>
      <c r="P5403" s="1" t="s">
        <v>8740</v>
      </c>
      <c r="Q5403" s="1" t="s">
        <v>8741</v>
      </c>
      <c r="R5403" s="1" t="s">
        <v>460</v>
      </c>
      <c r="S5403" s="1" t="s">
        <v>8742</v>
      </c>
      <c r="T5403" s="1" t="s">
        <v>8743</v>
      </c>
      <c r="U5403" s="2" t="s">
        <v>989</v>
      </c>
      <c r="V5403" s="2" t="s">
        <v>47</v>
      </c>
      <c r="W5403" s="2" t="s">
        <v>71</v>
      </c>
      <c r="X5403" s="2">
        <v>248.39500000000001</v>
      </c>
    </row>
    <row r="5404" spans="1:24" x14ac:dyDescent="0.3">
      <c r="A5404">
        <v>23233</v>
      </c>
      <c r="B5404" t="s">
        <v>11538</v>
      </c>
      <c r="C5404" s="3">
        <v>41597</v>
      </c>
      <c r="D5404" t="s">
        <v>25</v>
      </c>
      <c r="E5404">
        <v>1</v>
      </c>
      <c r="F5404" s="3">
        <f ca="1">41601+(RANDBETWEEN(1,10))</f>
        <v>41611</v>
      </c>
      <c r="G5404" t="s">
        <v>26</v>
      </c>
      <c r="H5404" t="s">
        <v>51</v>
      </c>
      <c r="I5404" t="s">
        <v>28</v>
      </c>
      <c r="J5404">
        <v>37.17</v>
      </c>
      <c r="K5404">
        <v>0.02</v>
      </c>
      <c r="L5404">
        <v>0.74</v>
      </c>
      <c r="M5404">
        <v>8.33</v>
      </c>
      <c r="N5404">
        <v>3128.9139</v>
      </c>
      <c r="O5404" s="1" t="s">
        <v>29</v>
      </c>
      <c r="P5404" s="1" t="s">
        <v>8740</v>
      </c>
      <c r="Q5404" s="1" t="s">
        <v>8741</v>
      </c>
      <c r="R5404" s="1" t="s">
        <v>460</v>
      </c>
      <c r="S5404" s="1" t="s">
        <v>8742</v>
      </c>
      <c r="T5404" s="1" t="s">
        <v>8743</v>
      </c>
      <c r="U5404" s="2" t="s">
        <v>152</v>
      </c>
      <c r="V5404" s="2" t="s">
        <v>36</v>
      </c>
      <c r="W5404" s="2" t="s">
        <v>60</v>
      </c>
      <c r="X5404" s="2">
        <v>29.12</v>
      </c>
    </row>
    <row r="5405" spans="1:24" x14ac:dyDescent="0.3">
      <c r="A5405">
        <v>23234</v>
      </c>
      <c r="B5405" t="s">
        <v>11538</v>
      </c>
      <c r="C5405" s="3">
        <v>41597</v>
      </c>
      <c r="D5405" t="s">
        <v>25</v>
      </c>
      <c r="E5405">
        <v>43</v>
      </c>
      <c r="F5405" s="3">
        <f ca="1">41599+(RANDBETWEEN(1,10))</f>
        <v>41608</v>
      </c>
      <c r="G5405" t="s">
        <v>26</v>
      </c>
      <c r="H5405" t="s">
        <v>27</v>
      </c>
      <c r="I5405" t="s">
        <v>28</v>
      </c>
      <c r="J5405">
        <v>7034.4750000000004</v>
      </c>
      <c r="K5405">
        <v>0.1</v>
      </c>
      <c r="L5405">
        <v>0.45</v>
      </c>
      <c r="M5405">
        <v>69.965000000000003</v>
      </c>
      <c r="N5405">
        <v>90.069000000000003</v>
      </c>
      <c r="O5405" s="1" t="s">
        <v>29</v>
      </c>
      <c r="P5405" s="1" t="s">
        <v>8740</v>
      </c>
      <c r="Q5405" s="1" t="s">
        <v>8741</v>
      </c>
      <c r="R5405" s="1" t="s">
        <v>460</v>
      </c>
      <c r="S5405" s="1" t="s">
        <v>8742</v>
      </c>
      <c r="T5405" s="1" t="s">
        <v>8743</v>
      </c>
      <c r="U5405" s="2" t="s">
        <v>72</v>
      </c>
      <c r="V5405" s="2" t="s">
        <v>36</v>
      </c>
      <c r="W5405" s="2" t="s">
        <v>60</v>
      </c>
      <c r="X5405" s="2">
        <v>174.965</v>
      </c>
    </row>
    <row r="5406" spans="1:24" x14ac:dyDescent="0.3">
      <c r="A5406">
        <v>23235</v>
      </c>
      <c r="B5406" t="s">
        <v>11538</v>
      </c>
      <c r="C5406" s="3">
        <v>41597</v>
      </c>
      <c r="D5406" t="s">
        <v>25</v>
      </c>
      <c r="E5406">
        <v>29</v>
      </c>
      <c r="F5406" s="3">
        <f ca="1">41602+(RANDBETWEEN(1,10))</f>
        <v>41603</v>
      </c>
      <c r="G5406" t="s">
        <v>76</v>
      </c>
      <c r="H5406" t="s">
        <v>258</v>
      </c>
      <c r="I5406" t="s">
        <v>28</v>
      </c>
      <c r="J5406">
        <v>87604.264999999999</v>
      </c>
      <c r="K5406">
        <v>0.03</v>
      </c>
      <c r="L5406">
        <v>0.62</v>
      </c>
      <c r="M5406">
        <v>155.92500000000001</v>
      </c>
      <c r="N5406">
        <v>27.783000000000001</v>
      </c>
      <c r="O5406" s="1" t="s">
        <v>225</v>
      </c>
      <c r="P5406" s="1" t="s">
        <v>11539</v>
      </c>
      <c r="Q5406" s="1" t="s">
        <v>11540</v>
      </c>
      <c r="R5406" s="1" t="s">
        <v>228</v>
      </c>
      <c r="S5406" s="1" t="s">
        <v>807</v>
      </c>
      <c r="T5406" s="1" t="s">
        <v>808</v>
      </c>
      <c r="U5406" s="2" t="s">
        <v>1930</v>
      </c>
      <c r="V5406" s="2" t="s">
        <v>83</v>
      </c>
      <c r="W5406" s="2" t="s">
        <v>298</v>
      </c>
      <c r="X5406" s="2">
        <v>3083.43</v>
      </c>
    </row>
    <row r="5407" spans="1:24" x14ac:dyDescent="0.3">
      <c r="A5407">
        <v>23236</v>
      </c>
      <c r="B5407" t="s">
        <v>11541</v>
      </c>
      <c r="C5407" s="3">
        <v>41883</v>
      </c>
      <c r="D5407" t="s">
        <v>39</v>
      </c>
      <c r="E5407">
        <v>24</v>
      </c>
      <c r="F5407" s="3">
        <f ca="1">41883+(RANDBETWEEN(1,10))</f>
        <v>41886</v>
      </c>
      <c r="G5407" t="s">
        <v>26</v>
      </c>
      <c r="H5407" t="s">
        <v>27</v>
      </c>
      <c r="I5407" t="s">
        <v>86</v>
      </c>
      <c r="J5407">
        <v>2162.6849999999999</v>
      </c>
      <c r="K5407">
        <v>0.09</v>
      </c>
      <c r="L5407">
        <v>0.75</v>
      </c>
      <c r="M5407">
        <v>20.614999999999998</v>
      </c>
      <c r="N5407">
        <v>-320.55099999999999</v>
      </c>
      <c r="O5407" s="1" t="s">
        <v>225</v>
      </c>
      <c r="P5407" s="1" t="s">
        <v>11542</v>
      </c>
      <c r="Q5407" s="1" t="s">
        <v>11543</v>
      </c>
      <c r="R5407" s="1" t="s">
        <v>228</v>
      </c>
      <c r="S5407" s="1" t="s">
        <v>11544</v>
      </c>
      <c r="T5407" s="1" t="s">
        <v>11545</v>
      </c>
      <c r="U5407" s="2" t="s">
        <v>4016</v>
      </c>
      <c r="V5407" s="2" t="s">
        <v>36</v>
      </c>
      <c r="W5407" s="2" t="s">
        <v>60</v>
      </c>
      <c r="X5407" s="2">
        <v>92.084999999999994</v>
      </c>
    </row>
    <row r="5408" spans="1:24" x14ac:dyDescent="0.3">
      <c r="A5408">
        <v>23237</v>
      </c>
      <c r="B5408" t="s">
        <v>11546</v>
      </c>
      <c r="C5408" s="3">
        <v>40804</v>
      </c>
      <c r="D5408" t="s">
        <v>39</v>
      </c>
      <c r="E5408">
        <v>13</v>
      </c>
      <c r="F5408" s="3">
        <f ca="1">40805+(RANDBETWEEN(1,10))</f>
        <v>40813</v>
      </c>
      <c r="G5408" t="s">
        <v>26</v>
      </c>
      <c r="H5408" t="s">
        <v>27</v>
      </c>
      <c r="I5408" t="s">
        <v>52</v>
      </c>
      <c r="J5408">
        <v>1202.3900000000001</v>
      </c>
      <c r="K5408">
        <v>0.01</v>
      </c>
      <c r="L5408">
        <v>0.38</v>
      </c>
      <c r="M5408">
        <v>4.8650000000000002</v>
      </c>
      <c r="N5408">
        <v>829.64909999999998</v>
      </c>
      <c r="O5408" s="1" t="s">
        <v>53</v>
      </c>
      <c r="P5408" s="1" t="s">
        <v>11547</v>
      </c>
      <c r="Q5408" s="1" t="s">
        <v>11548</v>
      </c>
      <c r="R5408" s="1" t="s">
        <v>440</v>
      </c>
      <c r="S5408" s="1" t="s">
        <v>1408</v>
      </c>
      <c r="T5408" s="1" t="s">
        <v>1409</v>
      </c>
      <c r="U5408" s="2" t="s">
        <v>11549</v>
      </c>
      <c r="V5408" s="2" t="s">
        <v>47</v>
      </c>
      <c r="W5408" s="2" t="s">
        <v>48</v>
      </c>
      <c r="X5408" s="2">
        <v>91.594999999999999</v>
      </c>
    </row>
    <row r="5409" spans="1:24" x14ac:dyDescent="0.3">
      <c r="A5409">
        <v>23238</v>
      </c>
      <c r="B5409" t="s">
        <v>11550</v>
      </c>
      <c r="C5409" s="3">
        <v>40783</v>
      </c>
      <c r="D5409" t="s">
        <v>148</v>
      </c>
      <c r="E5409">
        <v>11</v>
      </c>
      <c r="F5409" s="3">
        <f ca="1">40784+(RANDBETWEEN(1,10))</f>
        <v>40794</v>
      </c>
      <c r="G5409" t="s">
        <v>26</v>
      </c>
      <c r="H5409" t="s">
        <v>281</v>
      </c>
      <c r="I5409" t="s">
        <v>28</v>
      </c>
      <c r="J5409">
        <v>698.005</v>
      </c>
      <c r="K5409">
        <v>0.05</v>
      </c>
      <c r="L5409">
        <v>0.57999999999999996</v>
      </c>
      <c r="M5409">
        <v>16.835000000000001</v>
      </c>
      <c r="N5409">
        <v>17.15616</v>
      </c>
      <c r="O5409" s="1" t="s">
        <v>40</v>
      </c>
      <c r="P5409" s="1" t="s">
        <v>11551</v>
      </c>
      <c r="Q5409" s="1" t="s">
        <v>11552</v>
      </c>
      <c r="R5409" s="1" t="s">
        <v>43</v>
      </c>
      <c r="S5409" s="1" t="s">
        <v>9511</v>
      </c>
      <c r="T5409" s="1" t="s">
        <v>9512</v>
      </c>
      <c r="U5409" s="2" t="s">
        <v>1890</v>
      </c>
      <c r="V5409" s="2" t="s">
        <v>36</v>
      </c>
      <c r="W5409" s="2" t="s">
        <v>37</v>
      </c>
      <c r="X5409" s="2">
        <v>73.465000000000003</v>
      </c>
    </row>
    <row r="5410" spans="1:24" x14ac:dyDescent="0.3">
      <c r="A5410">
        <v>23239</v>
      </c>
      <c r="B5410" t="s">
        <v>11553</v>
      </c>
      <c r="C5410" s="3">
        <v>41944</v>
      </c>
      <c r="D5410" t="s">
        <v>25</v>
      </c>
      <c r="E5410">
        <v>16</v>
      </c>
      <c r="F5410" s="3">
        <f ca="1">41948+(RANDBETWEEN(1,10))</f>
        <v>41956</v>
      </c>
      <c r="G5410" t="s">
        <v>26</v>
      </c>
      <c r="H5410" t="s">
        <v>51</v>
      </c>
      <c r="I5410" t="s">
        <v>28</v>
      </c>
      <c r="J5410">
        <v>380.83499999999998</v>
      </c>
      <c r="K5410">
        <v>0.09</v>
      </c>
      <c r="L5410">
        <v>0.37</v>
      </c>
      <c r="M5410">
        <v>17.324999999999999</v>
      </c>
      <c r="N5410">
        <v>20.438880000000001</v>
      </c>
      <c r="O5410" s="1" t="s">
        <v>40</v>
      </c>
      <c r="P5410" s="1" t="s">
        <v>11554</v>
      </c>
      <c r="Q5410" s="1" t="s">
        <v>11555</v>
      </c>
      <c r="R5410" s="1" t="s">
        <v>43</v>
      </c>
      <c r="S5410" s="1" t="s">
        <v>11556</v>
      </c>
      <c r="T5410" s="1" t="s">
        <v>11557</v>
      </c>
      <c r="U5410" s="2" t="s">
        <v>790</v>
      </c>
      <c r="V5410" s="2" t="s">
        <v>83</v>
      </c>
      <c r="W5410" s="2" t="s">
        <v>178</v>
      </c>
      <c r="X5410" s="2">
        <v>23.24</v>
      </c>
    </row>
    <row r="5411" spans="1:24" x14ac:dyDescent="0.3">
      <c r="A5411">
        <v>23240</v>
      </c>
      <c r="B5411" t="s">
        <v>11553</v>
      </c>
      <c r="C5411" s="3">
        <v>41944</v>
      </c>
      <c r="D5411" t="s">
        <v>25</v>
      </c>
      <c r="E5411">
        <v>20</v>
      </c>
      <c r="F5411" s="3">
        <f ca="1">41948+(RANDBETWEEN(1,10))</f>
        <v>41952</v>
      </c>
      <c r="G5411" t="s">
        <v>26</v>
      </c>
      <c r="H5411" t="s">
        <v>27</v>
      </c>
      <c r="I5411" t="s">
        <v>28</v>
      </c>
      <c r="J5411">
        <v>6529.95</v>
      </c>
      <c r="K5411">
        <v>0.04</v>
      </c>
      <c r="L5411">
        <v>0.56999999999999995</v>
      </c>
      <c r="M5411">
        <v>8.75</v>
      </c>
      <c r="N5411">
        <v>3202.979472</v>
      </c>
      <c r="O5411" s="1" t="s">
        <v>40</v>
      </c>
      <c r="P5411" s="1" t="s">
        <v>11558</v>
      </c>
      <c r="Q5411" s="1" t="s">
        <v>11559</v>
      </c>
      <c r="R5411" s="1" t="s">
        <v>220</v>
      </c>
      <c r="S5411" s="1" t="s">
        <v>9391</v>
      </c>
      <c r="T5411" s="1" t="s">
        <v>9392</v>
      </c>
      <c r="U5411" s="2" t="s">
        <v>3011</v>
      </c>
      <c r="V5411" s="2" t="s">
        <v>36</v>
      </c>
      <c r="W5411" s="2" t="s">
        <v>37</v>
      </c>
      <c r="X5411" s="2">
        <v>388.46499999999997</v>
      </c>
    </row>
    <row r="5412" spans="1:24" x14ac:dyDescent="0.3">
      <c r="A5412">
        <v>23241</v>
      </c>
      <c r="B5412" t="s">
        <v>11553</v>
      </c>
      <c r="C5412" s="3">
        <v>41944</v>
      </c>
      <c r="D5412" t="s">
        <v>25</v>
      </c>
      <c r="E5412">
        <v>41</v>
      </c>
      <c r="F5412" s="3">
        <f ca="1">41949+(RANDBETWEEN(1,10))</f>
        <v>41956</v>
      </c>
      <c r="G5412" t="s">
        <v>26</v>
      </c>
      <c r="H5412" t="s">
        <v>96</v>
      </c>
      <c r="I5412" t="s">
        <v>28</v>
      </c>
      <c r="J5412">
        <v>415.34500000000003</v>
      </c>
      <c r="K5412">
        <v>0.05</v>
      </c>
      <c r="L5412">
        <v>0.39</v>
      </c>
      <c r="M5412">
        <v>5.53</v>
      </c>
      <c r="N5412">
        <v>7.6753600000000004</v>
      </c>
      <c r="O5412" s="1" t="s">
        <v>225</v>
      </c>
      <c r="P5412" s="1" t="s">
        <v>11560</v>
      </c>
      <c r="Q5412" s="1" t="s">
        <v>11561</v>
      </c>
      <c r="R5412" s="1" t="s">
        <v>228</v>
      </c>
      <c r="S5412" s="1" t="s">
        <v>1285</v>
      </c>
      <c r="T5412" s="1" t="s">
        <v>1286</v>
      </c>
      <c r="U5412" s="2" t="s">
        <v>6571</v>
      </c>
      <c r="V5412" s="2" t="s">
        <v>47</v>
      </c>
      <c r="W5412" s="2" t="s">
        <v>176</v>
      </c>
      <c r="X5412" s="2">
        <v>10.43</v>
      </c>
    </row>
    <row r="5413" spans="1:24" x14ac:dyDescent="0.3">
      <c r="A5413">
        <v>23242</v>
      </c>
      <c r="B5413" t="s">
        <v>11562</v>
      </c>
      <c r="C5413" s="3">
        <v>41822</v>
      </c>
      <c r="D5413" t="s">
        <v>50</v>
      </c>
      <c r="E5413">
        <v>15</v>
      </c>
      <c r="F5413" s="3">
        <f ca="1">41823+(RANDBETWEEN(1,10))</f>
        <v>41828</v>
      </c>
      <c r="G5413" t="s">
        <v>26</v>
      </c>
      <c r="H5413" t="s">
        <v>96</v>
      </c>
      <c r="I5413" t="s">
        <v>28</v>
      </c>
      <c r="J5413">
        <v>3942.7150000000001</v>
      </c>
      <c r="K5413">
        <v>0</v>
      </c>
      <c r="L5413">
        <v>0.78</v>
      </c>
      <c r="M5413">
        <v>131.53</v>
      </c>
      <c r="N5413">
        <v>459.97665000000001</v>
      </c>
      <c r="O5413" s="1" t="s">
        <v>64</v>
      </c>
      <c r="P5413" s="1" t="s">
        <v>7746</v>
      </c>
      <c r="Q5413" s="1" t="s">
        <v>7747</v>
      </c>
      <c r="R5413" s="1" t="s">
        <v>67</v>
      </c>
      <c r="S5413" s="1" t="s">
        <v>7748</v>
      </c>
      <c r="T5413" s="1" t="s">
        <v>7749</v>
      </c>
      <c r="U5413" s="2" t="s">
        <v>3541</v>
      </c>
      <c r="V5413" s="2" t="s">
        <v>83</v>
      </c>
      <c r="W5413" s="2" t="s">
        <v>178</v>
      </c>
      <c r="X5413" s="2">
        <v>247.48500000000001</v>
      </c>
    </row>
    <row r="5414" spans="1:24" x14ac:dyDescent="0.3">
      <c r="A5414">
        <v>23243</v>
      </c>
      <c r="B5414" t="s">
        <v>11562</v>
      </c>
      <c r="C5414" s="3">
        <v>41822</v>
      </c>
      <c r="D5414" t="s">
        <v>50</v>
      </c>
      <c r="E5414">
        <v>6</v>
      </c>
      <c r="F5414" s="3">
        <f ca="1">41824+(RANDBETWEEN(1,10))</f>
        <v>41831</v>
      </c>
      <c r="G5414" t="s">
        <v>156</v>
      </c>
      <c r="H5414" t="s">
        <v>27</v>
      </c>
      <c r="I5414" t="s">
        <v>28</v>
      </c>
      <c r="J5414">
        <v>1122.17</v>
      </c>
      <c r="K5414">
        <v>7.0000000000000007E-2</v>
      </c>
      <c r="L5414">
        <v>0.57999999999999996</v>
      </c>
      <c r="M5414">
        <v>31.465</v>
      </c>
      <c r="N5414">
        <v>430.77300000000002</v>
      </c>
      <c r="O5414" s="1" t="s">
        <v>64</v>
      </c>
      <c r="P5414" s="1" t="s">
        <v>7746</v>
      </c>
      <c r="Q5414" s="1" t="s">
        <v>7747</v>
      </c>
      <c r="R5414" s="1" t="s">
        <v>67</v>
      </c>
      <c r="S5414" s="1" t="s">
        <v>7748</v>
      </c>
      <c r="T5414" s="1" t="s">
        <v>7749</v>
      </c>
      <c r="U5414" s="2" t="s">
        <v>4501</v>
      </c>
      <c r="V5414" s="2" t="s">
        <v>36</v>
      </c>
      <c r="W5414" s="2" t="s">
        <v>37</v>
      </c>
      <c r="X5414" s="2">
        <v>230.965</v>
      </c>
    </row>
    <row r="5415" spans="1:24" x14ac:dyDescent="0.3">
      <c r="A5415">
        <v>23244</v>
      </c>
      <c r="B5415" t="s">
        <v>11563</v>
      </c>
      <c r="C5415" s="3">
        <v>41398</v>
      </c>
      <c r="D5415" t="s">
        <v>148</v>
      </c>
      <c r="E5415">
        <v>8</v>
      </c>
      <c r="F5415" s="3">
        <f ca="1">41399+(RANDBETWEEN(1,10))</f>
        <v>41401</v>
      </c>
      <c r="G5415" t="s">
        <v>26</v>
      </c>
      <c r="H5415" t="s">
        <v>281</v>
      </c>
      <c r="I5415" t="s">
        <v>97</v>
      </c>
      <c r="J5415">
        <v>281.15499999999997</v>
      </c>
      <c r="K5415">
        <v>0.04</v>
      </c>
      <c r="L5415">
        <v>0.48</v>
      </c>
      <c r="M5415">
        <v>21.07</v>
      </c>
      <c r="N5415">
        <v>19.25</v>
      </c>
      <c r="O5415" s="1" t="s">
        <v>53</v>
      </c>
      <c r="P5415" s="1" t="s">
        <v>10457</v>
      </c>
      <c r="Q5415" s="1" t="s">
        <v>10458</v>
      </c>
      <c r="R5415" s="1" t="s">
        <v>56</v>
      </c>
      <c r="S5415" s="1" t="s">
        <v>10459</v>
      </c>
      <c r="T5415" s="1" t="s">
        <v>10460</v>
      </c>
      <c r="U5415" s="2" t="s">
        <v>3578</v>
      </c>
      <c r="V5415" s="2" t="s">
        <v>83</v>
      </c>
      <c r="W5415" s="2" t="s">
        <v>178</v>
      </c>
      <c r="X5415" s="2">
        <v>34.195</v>
      </c>
    </row>
    <row r="5416" spans="1:24" x14ac:dyDescent="0.3">
      <c r="A5416">
        <v>23245</v>
      </c>
      <c r="B5416" t="s">
        <v>11564</v>
      </c>
      <c r="C5416" s="3">
        <v>41795</v>
      </c>
      <c r="D5416" t="s">
        <v>25</v>
      </c>
      <c r="E5416">
        <v>16</v>
      </c>
      <c r="F5416" s="3">
        <f ca="1">41802+(RANDBETWEEN(1,10))</f>
        <v>41803</v>
      </c>
      <c r="G5416" t="s">
        <v>26</v>
      </c>
      <c r="H5416" t="s">
        <v>27</v>
      </c>
      <c r="I5416" t="s">
        <v>28</v>
      </c>
      <c r="J5416">
        <v>222.46</v>
      </c>
      <c r="K5416">
        <v>0.1</v>
      </c>
      <c r="L5416">
        <v>0.4</v>
      </c>
      <c r="M5416">
        <v>18.094999999999999</v>
      </c>
      <c r="N5416">
        <v>-374.30399999999997</v>
      </c>
      <c r="O5416" s="1" t="s">
        <v>87</v>
      </c>
      <c r="P5416" s="1" t="s">
        <v>11062</v>
      </c>
      <c r="Q5416" s="1" t="s">
        <v>11063</v>
      </c>
      <c r="R5416" s="1" t="s">
        <v>497</v>
      </c>
      <c r="S5416" s="1" t="s">
        <v>11064</v>
      </c>
      <c r="T5416" s="1" t="s">
        <v>11065</v>
      </c>
      <c r="U5416" s="2" t="s">
        <v>7083</v>
      </c>
      <c r="V5416" s="2" t="s">
        <v>47</v>
      </c>
      <c r="W5416" s="2" t="s">
        <v>74</v>
      </c>
      <c r="X5416" s="2">
        <v>14.98</v>
      </c>
    </row>
    <row r="5417" spans="1:24" x14ac:dyDescent="0.3">
      <c r="A5417">
        <v>23246</v>
      </c>
      <c r="B5417" t="s">
        <v>11564</v>
      </c>
      <c r="C5417" s="3">
        <v>41795</v>
      </c>
      <c r="D5417" t="s">
        <v>25</v>
      </c>
      <c r="E5417">
        <v>12</v>
      </c>
      <c r="F5417" s="3">
        <f ca="1">41802+(RANDBETWEEN(1,10))</f>
        <v>41811</v>
      </c>
      <c r="G5417" t="s">
        <v>156</v>
      </c>
      <c r="H5417" t="s">
        <v>27</v>
      </c>
      <c r="I5417" t="s">
        <v>28</v>
      </c>
      <c r="J5417">
        <v>6403.7749999999996</v>
      </c>
      <c r="K5417">
        <v>0.05</v>
      </c>
      <c r="L5417">
        <v>0.59</v>
      </c>
      <c r="M5417">
        <v>17.465</v>
      </c>
      <c r="N5417">
        <v>4418.6047500000004</v>
      </c>
      <c r="O5417" s="1" t="s">
        <v>87</v>
      </c>
      <c r="P5417" s="1" t="s">
        <v>11062</v>
      </c>
      <c r="Q5417" s="1" t="s">
        <v>11063</v>
      </c>
      <c r="R5417" s="1" t="s">
        <v>497</v>
      </c>
      <c r="S5417" s="1" t="s">
        <v>11064</v>
      </c>
      <c r="T5417" s="1" t="s">
        <v>11065</v>
      </c>
      <c r="U5417" s="2">
        <v>5165</v>
      </c>
      <c r="V5417" s="2" t="s">
        <v>36</v>
      </c>
      <c r="W5417" s="2" t="s">
        <v>37</v>
      </c>
      <c r="X5417" s="2">
        <v>615.96500000000003</v>
      </c>
    </row>
    <row r="5418" spans="1:24" x14ac:dyDescent="0.3">
      <c r="A5418">
        <v>23247</v>
      </c>
      <c r="B5418" t="s">
        <v>11565</v>
      </c>
      <c r="C5418" s="3">
        <v>41014</v>
      </c>
      <c r="D5418" t="s">
        <v>148</v>
      </c>
      <c r="E5418">
        <v>8</v>
      </c>
      <c r="F5418" s="3">
        <f ca="1">41016+(RANDBETWEEN(1,10))</f>
        <v>41026</v>
      </c>
      <c r="G5418" t="s">
        <v>26</v>
      </c>
      <c r="H5418" t="s">
        <v>27</v>
      </c>
      <c r="I5418" t="s">
        <v>52</v>
      </c>
      <c r="J5418">
        <v>902.33500000000004</v>
      </c>
      <c r="K5418">
        <v>7.0000000000000007E-2</v>
      </c>
      <c r="L5418">
        <v>0.55000000000000004</v>
      </c>
      <c r="M5418">
        <v>69.965000000000003</v>
      </c>
      <c r="N5418">
        <v>-484.89</v>
      </c>
      <c r="O5418" s="1" t="s">
        <v>225</v>
      </c>
      <c r="P5418" s="1" t="s">
        <v>8818</v>
      </c>
      <c r="Q5418" s="1" t="s">
        <v>8819</v>
      </c>
      <c r="R5418" s="1" t="s">
        <v>228</v>
      </c>
      <c r="S5418" s="1" t="s">
        <v>472</v>
      </c>
      <c r="T5418" s="1" t="s">
        <v>473</v>
      </c>
      <c r="U5418" s="2" t="s">
        <v>3861</v>
      </c>
      <c r="V5418" s="2" t="s">
        <v>83</v>
      </c>
      <c r="W5418" s="2" t="s">
        <v>178</v>
      </c>
      <c r="X5418" s="2">
        <v>118.93</v>
      </c>
    </row>
    <row r="5419" spans="1:24" x14ac:dyDescent="0.3">
      <c r="A5419">
        <v>23248</v>
      </c>
      <c r="B5419" t="s">
        <v>11566</v>
      </c>
      <c r="C5419" s="3">
        <v>40759</v>
      </c>
      <c r="D5419" t="s">
        <v>62</v>
      </c>
      <c r="E5419">
        <v>17</v>
      </c>
      <c r="F5419" s="3">
        <f ca="1">40761+(RANDBETWEEN(1,10))</f>
        <v>40767</v>
      </c>
      <c r="G5419" t="s">
        <v>26</v>
      </c>
      <c r="H5419" t="s">
        <v>27</v>
      </c>
      <c r="I5419" t="s">
        <v>86</v>
      </c>
      <c r="J5419">
        <v>625.38</v>
      </c>
      <c r="K5419">
        <v>0.1</v>
      </c>
      <c r="L5419">
        <v>0.59</v>
      </c>
      <c r="M5419">
        <v>15.75</v>
      </c>
      <c r="N5419">
        <v>-67.540199999999999</v>
      </c>
      <c r="O5419" s="1" t="s">
        <v>64</v>
      </c>
      <c r="P5419" s="1" t="s">
        <v>11567</v>
      </c>
      <c r="Q5419" s="1" t="s">
        <v>11568</v>
      </c>
      <c r="R5419" s="1" t="s">
        <v>128</v>
      </c>
      <c r="S5419" s="1" t="s">
        <v>11569</v>
      </c>
      <c r="T5419" s="1" t="s">
        <v>11570</v>
      </c>
      <c r="U5419" s="2" t="s">
        <v>767</v>
      </c>
      <c r="V5419" s="2" t="s">
        <v>47</v>
      </c>
      <c r="W5419" s="2" t="s">
        <v>71</v>
      </c>
      <c r="X5419" s="2">
        <v>38.115000000000002</v>
      </c>
    </row>
    <row r="5420" spans="1:24" x14ac:dyDescent="0.3">
      <c r="A5420">
        <v>23249</v>
      </c>
      <c r="B5420" t="s">
        <v>11571</v>
      </c>
      <c r="C5420" s="3">
        <v>40707</v>
      </c>
      <c r="D5420" t="s">
        <v>39</v>
      </c>
      <c r="E5420">
        <v>12</v>
      </c>
      <c r="F5420" s="3">
        <f ca="1">40710+(RANDBETWEEN(1,10))</f>
        <v>40720</v>
      </c>
      <c r="G5420" t="s">
        <v>26</v>
      </c>
      <c r="H5420" t="s">
        <v>27</v>
      </c>
      <c r="I5420" t="s">
        <v>97</v>
      </c>
      <c r="J5420">
        <v>702.13499999999999</v>
      </c>
      <c r="K5420">
        <v>0.08</v>
      </c>
      <c r="L5420">
        <v>0.57999999999999996</v>
      </c>
      <c r="M5420">
        <v>17.36</v>
      </c>
      <c r="N5420">
        <v>117.81</v>
      </c>
      <c r="O5420" s="1" t="s">
        <v>53</v>
      </c>
      <c r="P5420" s="1" t="s">
        <v>4769</v>
      </c>
      <c r="Q5420" s="1" t="s">
        <v>4770</v>
      </c>
      <c r="R5420" s="1" t="s">
        <v>440</v>
      </c>
      <c r="S5420" s="1" t="s">
        <v>1363</v>
      </c>
      <c r="T5420" s="1" t="s">
        <v>1364</v>
      </c>
      <c r="U5420" s="2" t="s">
        <v>1341</v>
      </c>
      <c r="V5420" s="2" t="s">
        <v>47</v>
      </c>
      <c r="W5420" s="2" t="s">
        <v>119</v>
      </c>
      <c r="X5420" s="2">
        <v>60.024999999999999</v>
      </c>
    </row>
    <row r="5421" spans="1:24" x14ac:dyDescent="0.3">
      <c r="A5421">
        <v>23250</v>
      </c>
      <c r="B5421" t="s">
        <v>11572</v>
      </c>
      <c r="C5421" s="3">
        <v>40954</v>
      </c>
      <c r="D5421" t="s">
        <v>62</v>
      </c>
      <c r="E5421">
        <v>2</v>
      </c>
      <c r="F5421" s="3">
        <f ca="1">40956+(RANDBETWEEN(1,10))</f>
        <v>40962</v>
      </c>
      <c r="G5421" t="s">
        <v>156</v>
      </c>
      <c r="H5421" t="s">
        <v>27</v>
      </c>
      <c r="I5421" t="s">
        <v>28</v>
      </c>
      <c r="J5421">
        <v>552.755</v>
      </c>
      <c r="K5421">
        <v>0.03</v>
      </c>
      <c r="L5421">
        <v>0.43</v>
      </c>
      <c r="M5421">
        <v>69.965000000000003</v>
      </c>
      <c r="N5421">
        <v>381.40095000000002</v>
      </c>
      <c r="O5421" s="1" t="s">
        <v>87</v>
      </c>
      <c r="P5421" s="1" t="s">
        <v>11573</v>
      </c>
      <c r="Q5421" s="1" t="s">
        <v>11574</v>
      </c>
      <c r="R5421" s="1" t="s">
        <v>398</v>
      </c>
      <c r="S5421" s="1" t="s">
        <v>734</v>
      </c>
      <c r="T5421" s="1" t="s">
        <v>735</v>
      </c>
      <c r="U5421" s="2" t="s">
        <v>7425</v>
      </c>
      <c r="V5421" s="2" t="s">
        <v>83</v>
      </c>
      <c r="W5421" s="2" t="s">
        <v>178</v>
      </c>
      <c r="X5421" s="2">
        <v>275.41500000000002</v>
      </c>
    </row>
    <row r="5422" spans="1:24" x14ac:dyDescent="0.3">
      <c r="A5422">
        <v>23251</v>
      </c>
      <c r="B5422" t="s">
        <v>11575</v>
      </c>
      <c r="C5422" s="3">
        <v>41779</v>
      </c>
      <c r="D5422" t="s">
        <v>62</v>
      </c>
      <c r="E5422">
        <v>2</v>
      </c>
      <c r="F5422" s="3">
        <f ca="1">41780+(RANDBETWEEN(1,10))</f>
        <v>41783</v>
      </c>
      <c r="G5422" t="s">
        <v>26</v>
      </c>
      <c r="H5422" t="s">
        <v>51</v>
      </c>
      <c r="I5422" t="s">
        <v>97</v>
      </c>
      <c r="J5422">
        <v>163.13499999999999</v>
      </c>
      <c r="K5422">
        <v>7.0000000000000007E-2</v>
      </c>
      <c r="L5422">
        <v>0.56999999999999995</v>
      </c>
      <c r="M5422">
        <v>31.465</v>
      </c>
      <c r="N5422">
        <v>463.911</v>
      </c>
      <c r="O5422" s="1" t="s">
        <v>53</v>
      </c>
      <c r="P5422" s="1" t="s">
        <v>10714</v>
      </c>
      <c r="Q5422" s="1" t="s">
        <v>10715</v>
      </c>
      <c r="R5422" s="1" t="s">
        <v>100</v>
      </c>
      <c r="S5422" s="1" t="s">
        <v>8116</v>
      </c>
      <c r="T5422" s="1" t="s">
        <v>6127</v>
      </c>
      <c r="U5422" s="2" t="s">
        <v>246</v>
      </c>
      <c r="V5422" s="2" t="s">
        <v>47</v>
      </c>
      <c r="W5422" s="2" t="s">
        <v>104</v>
      </c>
      <c r="X5422" s="2">
        <v>80.465000000000003</v>
      </c>
    </row>
    <row r="5423" spans="1:24" x14ac:dyDescent="0.3">
      <c r="A5423">
        <v>23252</v>
      </c>
      <c r="B5423" t="s">
        <v>11576</v>
      </c>
      <c r="C5423" s="3">
        <v>41365</v>
      </c>
      <c r="D5423" t="s">
        <v>62</v>
      </c>
      <c r="E5423">
        <v>8</v>
      </c>
      <c r="F5423" s="3">
        <f ca="1">41366+(RANDBETWEEN(1,10))</f>
        <v>41375</v>
      </c>
      <c r="G5423" t="s">
        <v>26</v>
      </c>
      <c r="H5423" t="s">
        <v>281</v>
      </c>
      <c r="I5423" t="s">
        <v>97</v>
      </c>
      <c r="J5423">
        <v>711.97</v>
      </c>
      <c r="K5423">
        <v>0.08</v>
      </c>
      <c r="L5423" t="s">
        <v>182</v>
      </c>
      <c r="M5423">
        <v>18.55</v>
      </c>
      <c r="N5423">
        <v>315.14</v>
      </c>
      <c r="O5423" s="1" t="s">
        <v>64</v>
      </c>
      <c r="P5423" s="1" t="s">
        <v>10578</v>
      </c>
      <c r="Q5423" s="1" t="s">
        <v>10579</v>
      </c>
      <c r="R5423" s="1" t="s">
        <v>67</v>
      </c>
      <c r="S5423" s="1" t="s">
        <v>10580</v>
      </c>
      <c r="T5423" s="1" t="s">
        <v>10581</v>
      </c>
      <c r="U5423" s="2" t="s">
        <v>9528</v>
      </c>
      <c r="V5423" s="2" t="s">
        <v>83</v>
      </c>
      <c r="W5423" s="2" t="s">
        <v>84</v>
      </c>
      <c r="X5423" s="2">
        <v>93.24</v>
      </c>
    </row>
    <row r="5424" spans="1:24" x14ac:dyDescent="0.3">
      <c r="A5424">
        <v>23253</v>
      </c>
      <c r="B5424" t="s">
        <v>11576</v>
      </c>
      <c r="C5424" s="3">
        <v>41365</v>
      </c>
      <c r="D5424" t="s">
        <v>62</v>
      </c>
      <c r="E5424">
        <v>13</v>
      </c>
      <c r="F5424" s="3">
        <f ca="1">41366+(RANDBETWEEN(1,10))</f>
        <v>41371</v>
      </c>
      <c r="G5424" t="s">
        <v>26</v>
      </c>
      <c r="H5424" t="s">
        <v>27</v>
      </c>
      <c r="I5424" t="s">
        <v>97</v>
      </c>
      <c r="J5424">
        <v>490.98</v>
      </c>
      <c r="K5424">
        <v>0</v>
      </c>
      <c r="L5424">
        <v>0.4</v>
      </c>
      <c r="M5424">
        <v>16.73</v>
      </c>
      <c r="N5424">
        <v>261.55500000000001</v>
      </c>
      <c r="O5424" s="1" t="s">
        <v>64</v>
      </c>
      <c r="P5424" s="1" t="s">
        <v>10578</v>
      </c>
      <c r="Q5424" s="1" t="s">
        <v>10579</v>
      </c>
      <c r="R5424" s="1" t="s">
        <v>67</v>
      </c>
      <c r="S5424" s="1" t="s">
        <v>10580</v>
      </c>
      <c r="T5424" s="1" t="s">
        <v>10581</v>
      </c>
      <c r="U5424" s="2" t="s">
        <v>9387</v>
      </c>
      <c r="V5424" s="2" t="s">
        <v>47</v>
      </c>
      <c r="W5424" s="2" t="s">
        <v>74</v>
      </c>
      <c r="X5424" s="2">
        <v>34.965000000000003</v>
      </c>
    </row>
    <row r="5425" spans="1:24" x14ac:dyDescent="0.3">
      <c r="A5425">
        <v>23254</v>
      </c>
      <c r="B5425" t="s">
        <v>11576</v>
      </c>
      <c r="C5425" s="3">
        <v>41365</v>
      </c>
      <c r="D5425" t="s">
        <v>62</v>
      </c>
      <c r="E5425">
        <v>12</v>
      </c>
      <c r="F5425" s="3">
        <f ca="1">41366+(RANDBETWEEN(1,10))</f>
        <v>41376</v>
      </c>
      <c r="G5425" t="s">
        <v>26</v>
      </c>
      <c r="H5425" t="s">
        <v>96</v>
      </c>
      <c r="I5425" t="s">
        <v>97</v>
      </c>
      <c r="J5425">
        <v>151.19999999999999</v>
      </c>
      <c r="K5425">
        <v>7.0000000000000007E-2</v>
      </c>
      <c r="L5425">
        <v>0.38</v>
      </c>
      <c r="M5425">
        <v>5.0049999999999999</v>
      </c>
      <c r="N5425">
        <v>95.795000000000002</v>
      </c>
      <c r="O5425" s="1" t="s">
        <v>64</v>
      </c>
      <c r="P5425" s="1" t="s">
        <v>10578</v>
      </c>
      <c r="Q5425" s="1" t="s">
        <v>10579</v>
      </c>
      <c r="R5425" s="1" t="s">
        <v>67</v>
      </c>
      <c r="S5425" s="1" t="s">
        <v>10580</v>
      </c>
      <c r="T5425" s="1" t="s">
        <v>10581</v>
      </c>
      <c r="U5425" s="2" t="s">
        <v>11577</v>
      </c>
      <c r="V5425" s="2" t="s">
        <v>47</v>
      </c>
      <c r="W5425" s="2" t="s">
        <v>176</v>
      </c>
      <c r="X5425" s="2">
        <v>12.425000000000001</v>
      </c>
    </row>
    <row r="5426" spans="1:24" x14ac:dyDescent="0.3">
      <c r="A5426">
        <v>23255</v>
      </c>
      <c r="B5426" t="s">
        <v>11578</v>
      </c>
      <c r="C5426" s="3">
        <v>41194</v>
      </c>
      <c r="D5426" t="s">
        <v>148</v>
      </c>
      <c r="E5426">
        <v>20</v>
      </c>
      <c r="F5426" s="3">
        <f ca="1">41196+(RANDBETWEEN(1,10))</f>
        <v>41204</v>
      </c>
      <c r="G5426" t="s">
        <v>76</v>
      </c>
      <c r="H5426" t="s">
        <v>258</v>
      </c>
      <c r="I5426" t="s">
        <v>28</v>
      </c>
      <c r="J5426">
        <v>29206.73</v>
      </c>
      <c r="K5426">
        <v>0.03</v>
      </c>
      <c r="L5426">
        <v>0.36</v>
      </c>
      <c r="M5426">
        <v>168.91</v>
      </c>
      <c r="N5426">
        <v>20152.643700000001</v>
      </c>
      <c r="O5426" s="1" t="s">
        <v>40</v>
      </c>
      <c r="P5426" s="1" t="s">
        <v>11579</v>
      </c>
      <c r="Q5426" s="1" t="s">
        <v>11580</v>
      </c>
      <c r="R5426" s="1" t="s">
        <v>43</v>
      </c>
      <c r="S5426" s="1" t="s">
        <v>5728</v>
      </c>
      <c r="T5426" s="1" t="s">
        <v>5729</v>
      </c>
      <c r="U5426" s="2" t="s">
        <v>7536</v>
      </c>
      <c r="V5426" s="2" t="s">
        <v>36</v>
      </c>
      <c r="W5426" s="2" t="s">
        <v>142</v>
      </c>
      <c r="X5426" s="2">
        <v>1403.395</v>
      </c>
    </row>
    <row r="5427" spans="1:24" x14ac:dyDescent="0.3">
      <c r="A5427">
        <v>23256</v>
      </c>
      <c r="B5427" t="s">
        <v>11581</v>
      </c>
      <c r="C5427" s="3">
        <v>41854</v>
      </c>
      <c r="D5427" t="s">
        <v>39</v>
      </c>
      <c r="E5427">
        <v>9</v>
      </c>
      <c r="F5427" s="3">
        <f ca="1">41856+(RANDBETWEEN(1,10))</f>
        <v>41866</v>
      </c>
      <c r="G5427" t="s">
        <v>26</v>
      </c>
      <c r="H5427" t="s">
        <v>51</v>
      </c>
      <c r="I5427" t="s">
        <v>52</v>
      </c>
      <c r="J5427">
        <v>355.14499999999998</v>
      </c>
      <c r="K5427">
        <v>0.03</v>
      </c>
      <c r="L5427">
        <v>0.56999999999999995</v>
      </c>
      <c r="M5427">
        <v>11.795</v>
      </c>
      <c r="N5427">
        <v>33.206319999999998</v>
      </c>
      <c r="O5427" s="1" t="s">
        <v>53</v>
      </c>
      <c r="P5427" s="1" t="s">
        <v>8095</v>
      </c>
      <c r="Q5427" s="1" t="s">
        <v>8096</v>
      </c>
      <c r="R5427" s="1" t="s">
        <v>440</v>
      </c>
      <c r="S5427" s="1" t="s">
        <v>8097</v>
      </c>
      <c r="T5427" s="1" t="s">
        <v>8098</v>
      </c>
      <c r="U5427" s="2" t="s">
        <v>5857</v>
      </c>
      <c r="V5427" s="2" t="s">
        <v>47</v>
      </c>
      <c r="W5427" s="2" t="s">
        <v>94</v>
      </c>
      <c r="X5427" s="2">
        <v>38.43</v>
      </c>
    </row>
    <row r="5428" spans="1:24" x14ac:dyDescent="0.3">
      <c r="A5428">
        <v>23257</v>
      </c>
      <c r="B5428" t="s">
        <v>11582</v>
      </c>
      <c r="C5428" s="3">
        <v>41526</v>
      </c>
      <c r="D5428" t="s">
        <v>25</v>
      </c>
      <c r="E5428">
        <v>19</v>
      </c>
      <c r="F5428" s="3">
        <f ca="1">41528+(RANDBETWEEN(1,10))</f>
        <v>41533</v>
      </c>
      <c r="G5428" t="s">
        <v>76</v>
      </c>
      <c r="H5428" t="s">
        <v>258</v>
      </c>
      <c r="I5428" t="s">
        <v>97</v>
      </c>
      <c r="J5428">
        <v>35119.805</v>
      </c>
      <c r="K5428">
        <v>0.09</v>
      </c>
      <c r="L5428">
        <v>0.66</v>
      </c>
      <c r="M5428">
        <v>226.065</v>
      </c>
      <c r="N5428">
        <v>-4660.4367810000003</v>
      </c>
      <c r="O5428" s="1" t="s">
        <v>40</v>
      </c>
      <c r="P5428" s="1" t="s">
        <v>5303</v>
      </c>
      <c r="Q5428" s="1" t="s">
        <v>5304</v>
      </c>
      <c r="R5428" s="1" t="s">
        <v>43</v>
      </c>
      <c r="S5428" s="1" t="s">
        <v>5305</v>
      </c>
      <c r="T5428" s="1" t="s">
        <v>4392</v>
      </c>
      <c r="U5428" s="2" t="s">
        <v>5148</v>
      </c>
      <c r="V5428" s="2" t="s">
        <v>83</v>
      </c>
      <c r="W5428" s="2" t="s">
        <v>263</v>
      </c>
      <c r="X5428" s="2">
        <v>1928.43</v>
      </c>
    </row>
    <row r="5429" spans="1:24" x14ac:dyDescent="0.3">
      <c r="A5429">
        <v>23258</v>
      </c>
      <c r="B5429" t="s">
        <v>11583</v>
      </c>
      <c r="C5429" s="3">
        <v>41083</v>
      </c>
      <c r="D5429" t="s">
        <v>50</v>
      </c>
      <c r="E5429">
        <v>12</v>
      </c>
      <c r="F5429" s="3">
        <f ca="1">41085+(RANDBETWEEN(1,10))</f>
        <v>41095</v>
      </c>
      <c r="G5429" t="s">
        <v>26</v>
      </c>
      <c r="H5429" t="s">
        <v>27</v>
      </c>
      <c r="I5429" t="s">
        <v>28</v>
      </c>
      <c r="J5429">
        <v>400.29500000000002</v>
      </c>
      <c r="K5429">
        <v>0.03</v>
      </c>
      <c r="L5429">
        <v>0.56999999999999995</v>
      </c>
      <c r="M5429">
        <v>17.254999999999999</v>
      </c>
      <c r="N5429">
        <v>-12.208</v>
      </c>
      <c r="O5429" s="1" t="s">
        <v>87</v>
      </c>
      <c r="P5429" s="1" t="s">
        <v>11584</v>
      </c>
      <c r="Q5429" s="1" t="s">
        <v>11585</v>
      </c>
      <c r="R5429" s="1" t="s">
        <v>646</v>
      </c>
      <c r="S5429" s="1" t="s">
        <v>1637</v>
      </c>
      <c r="T5429" s="1" t="s">
        <v>1638</v>
      </c>
      <c r="U5429" s="2" t="s">
        <v>1718</v>
      </c>
      <c r="V5429" s="2" t="s">
        <v>83</v>
      </c>
      <c r="W5429" s="2" t="s">
        <v>178</v>
      </c>
      <c r="X5429" s="2">
        <v>32.83</v>
      </c>
    </row>
    <row r="5430" spans="1:24" x14ac:dyDescent="0.3">
      <c r="A5430">
        <v>23259</v>
      </c>
      <c r="B5430" t="s">
        <v>11583</v>
      </c>
      <c r="C5430" s="3">
        <v>41083</v>
      </c>
      <c r="D5430" t="s">
        <v>50</v>
      </c>
      <c r="E5430">
        <v>15</v>
      </c>
      <c r="F5430" s="3">
        <f ca="1">41084+(RANDBETWEEN(1,10))</f>
        <v>41089</v>
      </c>
      <c r="G5430" t="s">
        <v>76</v>
      </c>
      <c r="H5430" t="s">
        <v>77</v>
      </c>
      <c r="I5430" t="s">
        <v>28</v>
      </c>
      <c r="J5430">
        <v>11317.215</v>
      </c>
      <c r="K5430">
        <v>0.04</v>
      </c>
      <c r="L5430">
        <v>0.57999999999999996</v>
      </c>
      <c r="M5430">
        <v>238.07</v>
      </c>
      <c r="N5430">
        <v>2643.48</v>
      </c>
      <c r="O5430" s="1" t="s">
        <v>87</v>
      </c>
      <c r="P5430" s="1" t="s">
        <v>9774</v>
      </c>
      <c r="Q5430" s="1" t="s">
        <v>9775</v>
      </c>
      <c r="R5430" s="1" t="s">
        <v>497</v>
      </c>
      <c r="S5430" s="1" t="s">
        <v>9776</v>
      </c>
      <c r="T5430" s="1" t="s">
        <v>9777</v>
      </c>
      <c r="U5430" s="2" t="s">
        <v>617</v>
      </c>
      <c r="V5430" s="2" t="s">
        <v>47</v>
      </c>
      <c r="W5430" s="2" t="s">
        <v>71</v>
      </c>
      <c r="X5430" s="2">
        <v>728.56</v>
      </c>
    </row>
    <row r="5431" spans="1:24" x14ac:dyDescent="0.3">
      <c r="A5431">
        <v>23260</v>
      </c>
      <c r="B5431" t="s">
        <v>11586</v>
      </c>
      <c r="C5431" s="3">
        <v>40598</v>
      </c>
      <c r="D5431" t="s">
        <v>62</v>
      </c>
      <c r="E5431">
        <v>12</v>
      </c>
      <c r="F5431" s="3">
        <f ca="1">40599+(RANDBETWEEN(1,10))</f>
        <v>40601</v>
      </c>
      <c r="G5431" t="s">
        <v>76</v>
      </c>
      <c r="H5431" t="s">
        <v>77</v>
      </c>
      <c r="I5431" t="s">
        <v>97</v>
      </c>
      <c r="J5431">
        <v>13458.725</v>
      </c>
      <c r="K5431">
        <v>0</v>
      </c>
      <c r="L5431">
        <v>0.56000000000000005</v>
      </c>
      <c r="M5431">
        <v>576.55499999999995</v>
      </c>
      <c r="N5431">
        <v>9286.5202499999996</v>
      </c>
      <c r="O5431" s="1" t="s">
        <v>53</v>
      </c>
      <c r="P5431" s="1" t="s">
        <v>11547</v>
      </c>
      <c r="Q5431" s="1" t="s">
        <v>11548</v>
      </c>
      <c r="R5431" s="1" t="s">
        <v>440</v>
      </c>
      <c r="S5431" s="1" t="s">
        <v>1408</v>
      </c>
      <c r="T5431" s="1" t="s">
        <v>1409</v>
      </c>
      <c r="U5431" s="2" t="s">
        <v>3031</v>
      </c>
      <c r="V5431" s="2" t="s">
        <v>83</v>
      </c>
      <c r="W5431" s="2" t="s">
        <v>84</v>
      </c>
      <c r="X5431" s="2">
        <v>1053.43</v>
      </c>
    </row>
    <row r="5432" spans="1:24" x14ac:dyDescent="0.3">
      <c r="A5432">
        <v>23261</v>
      </c>
      <c r="B5432" t="s">
        <v>11586</v>
      </c>
      <c r="C5432" s="3">
        <v>40598</v>
      </c>
      <c r="D5432" t="s">
        <v>62</v>
      </c>
      <c r="E5432">
        <v>1</v>
      </c>
      <c r="F5432" s="3">
        <f ca="1">40600+(RANDBETWEEN(1,10))</f>
        <v>40603</v>
      </c>
      <c r="G5432" t="s">
        <v>26</v>
      </c>
      <c r="H5432" t="s">
        <v>96</v>
      </c>
      <c r="I5432" t="s">
        <v>97</v>
      </c>
      <c r="J5432">
        <v>13.195</v>
      </c>
      <c r="K5432">
        <v>0.09</v>
      </c>
      <c r="L5432">
        <v>0.57999999999999996</v>
      </c>
      <c r="M5432">
        <v>3.36</v>
      </c>
      <c r="N5432">
        <v>-6.44</v>
      </c>
      <c r="O5432" s="1" t="s">
        <v>53</v>
      </c>
      <c r="P5432" s="1" t="s">
        <v>11547</v>
      </c>
      <c r="Q5432" s="1" t="s">
        <v>11548</v>
      </c>
      <c r="R5432" s="1" t="s">
        <v>440</v>
      </c>
      <c r="S5432" s="1" t="s">
        <v>1408</v>
      </c>
      <c r="T5432" s="1" t="s">
        <v>1409</v>
      </c>
      <c r="U5432" s="2" t="s">
        <v>154</v>
      </c>
      <c r="V5432" s="2" t="s">
        <v>47</v>
      </c>
      <c r="W5432" s="2" t="s">
        <v>104</v>
      </c>
      <c r="X5432" s="2">
        <v>10.29</v>
      </c>
    </row>
    <row r="5433" spans="1:24" x14ac:dyDescent="0.3">
      <c r="A5433">
        <v>23262</v>
      </c>
      <c r="B5433" t="s">
        <v>11587</v>
      </c>
      <c r="C5433" s="3">
        <v>41014</v>
      </c>
      <c r="D5433" t="s">
        <v>50</v>
      </c>
      <c r="E5433">
        <v>13</v>
      </c>
      <c r="F5433" s="3">
        <f ca="1">41014+(RANDBETWEEN(1,10))</f>
        <v>41020</v>
      </c>
      <c r="G5433" t="s">
        <v>26</v>
      </c>
      <c r="H5433" t="s">
        <v>27</v>
      </c>
      <c r="I5433" t="s">
        <v>86</v>
      </c>
      <c r="J5433">
        <v>2611.1750000000002</v>
      </c>
      <c r="K5433">
        <v>0.08</v>
      </c>
      <c r="L5433">
        <v>0.56999999999999995</v>
      </c>
      <c r="M5433">
        <v>13.965</v>
      </c>
      <c r="N5433">
        <v>1801.71075</v>
      </c>
      <c r="O5433" s="1" t="s">
        <v>64</v>
      </c>
      <c r="P5433" s="1" t="s">
        <v>11588</v>
      </c>
      <c r="Q5433" s="1" t="s">
        <v>11589</v>
      </c>
      <c r="R5433" s="1" t="s">
        <v>128</v>
      </c>
      <c r="S5433" s="1" t="s">
        <v>11590</v>
      </c>
      <c r="T5433" s="1" t="s">
        <v>11591</v>
      </c>
      <c r="U5433" s="2" t="s">
        <v>1024</v>
      </c>
      <c r="V5433" s="2" t="s">
        <v>47</v>
      </c>
      <c r="W5433" s="2" t="s">
        <v>71</v>
      </c>
      <c r="X5433" s="2">
        <v>209.93</v>
      </c>
    </row>
    <row r="5434" spans="1:24" x14ac:dyDescent="0.3">
      <c r="A5434">
        <v>23263</v>
      </c>
      <c r="B5434" t="s">
        <v>11587</v>
      </c>
      <c r="C5434" s="3">
        <v>41014</v>
      </c>
      <c r="D5434" t="s">
        <v>50</v>
      </c>
      <c r="E5434">
        <v>5</v>
      </c>
      <c r="F5434" s="3">
        <f ca="1">41016+(RANDBETWEEN(1,10))</f>
        <v>41022</v>
      </c>
      <c r="G5434" t="s">
        <v>26</v>
      </c>
      <c r="H5434" t="s">
        <v>27</v>
      </c>
      <c r="I5434" t="s">
        <v>86</v>
      </c>
      <c r="J5434">
        <v>1810.585</v>
      </c>
      <c r="K5434">
        <v>0.01</v>
      </c>
      <c r="L5434">
        <v>0.56999999999999995</v>
      </c>
      <c r="M5434">
        <v>8.75</v>
      </c>
      <c r="N5434">
        <v>1249.3036500000001</v>
      </c>
      <c r="O5434" s="1" t="s">
        <v>29</v>
      </c>
      <c r="P5434" s="1" t="s">
        <v>11592</v>
      </c>
      <c r="Q5434" s="1" t="s">
        <v>11593</v>
      </c>
      <c r="R5434" s="1" t="s">
        <v>32</v>
      </c>
      <c r="S5434" s="1" t="s">
        <v>11594</v>
      </c>
      <c r="T5434" s="1" t="s">
        <v>11595</v>
      </c>
      <c r="U5434" s="2">
        <v>6160</v>
      </c>
      <c r="V5434" s="2" t="s">
        <v>36</v>
      </c>
      <c r="W5434" s="2" t="s">
        <v>37</v>
      </c>
      <c r="X5434" s="2">
        <v>405.96499999999997</v>
      </c>
    </row>
    <row r="5435" spans="1:24" x14ac:dyDescent="0.3">
      <c r="A5435">
        <v>23264</v>
      </c>
      <c r="B5435" t="s">
        <v>11596</v>
      </c>
      <c r="C5435" s="3">
        <v>41688</v>
      </c>
      <c r="D5435" t="s">
        <v>39</v>
      </c>
      <c r="E5435">
        <v>9</v>
      </c>
      <c r="F5435" s="3">
        <f ca="1">41689+(RANDBETWEEN(1,10))</f>
        <v>41696</v>
      </c>
      <c r="G5435" t="s">
        <v>26</v>
      </c>
      <c r="H5435" t="s">
        <v>27</v>
      </c>
      <c r="I5435" t="s">
        <v>28</v>
      </c>
      <c r="J5435">
        <v>1856.155</v>
      </c>
      <c r="K5435">
        <v>0.05</v>
      </c>
      <c r="L5435">
        <v>0.56999999999999995</v>
      </c>
      <c r="M5435">
        <v>12.25</v>
      </c>
      <c r="N5435">
        <v>1280.74695</v>
      </c>
      <c r="O5435" s="1" t="s">
        <v>53</v>
      </c>
      <c r="P5435" s="1" t="s">
        <v>2923</v>
      </c>
      <c r="Q5435" s="1" t="s">
        <v>2924</v>
      </c>
      <c r="R5435" s="1" t="s">
        <v>56</v>
      </c>
      <c r="S5435" s="1" t="s">
        <v>2786</v>
      </c>
      <c r="T5435" s="1" t="s">
        <v>2787</v>
      </c>
      <c r="U5435" s="2" t="s">
        <v>6491</v>
      </c>
      <c r="V5435" s="2" t="s">
        <v>47</v>
      </c>
      <c r="W5435" s="2" t="s">
        <v>71</v>
      </c>
      <c r="X5435" s="2">
        <v>210.77</v>
      </c>
    </row>
    <row r="5436" spans="1:24" x14ac:dyDescent="0.3">
      <c r="A5436">
        <v>23265</v>
      </c>
      <c r="B5436" t="s">
        <v>11597</v>
      </c>
      <c r="C5436" s="3">
        <v>40732</v>
      </c>
      <c r="D5436" t="s">
        <v>25</v>
      </c>
      <c r="E5436">
        <v>7</v>
      </c>
      <c r="F5436" s="3">
        <f ca="1">40736+(RANDBETWEEN(1,10))</f>
        <v>40742</v>
      </c>
      <c r="G5436" t="s">
        <v>26</v>
      </c>
      <c r="H5436" t="s">
        <v>27</v>
      </c>
      <c r="I5436" t="s">
        <v>97</v>
      </c>
      <c r="J5436">
        <v>148.54</v>
      </c>
      <c r="K5436">
        <v>0.02</v>
      </c>
      <c r="L5436">
        <v>0.39</v>
      </c>
      <c r="M5436">
        <v>29.715</v>
      </c>
      <c r="N5436">
        <v>-481.22899999999998</v>
      </c>
      <c r="O5436" s="1" t="s">
        <v>87</v>
      </c>
      <c r="P5436" s="1" t="s">
        <v>11598</v>
      </c>
      <c r="Q5436" s="1" t="s">
        <v>11599</v>
      </c>
      <c r="R5436" s="1" t="s">
        <v>90</v>
      </c>
      <c r="S5436" s="1" t="s">
        <v>653</v>
      </c>
      <c r="T5436" s="1" t="s">
        <v>654</v>
      </c>
      <c r="U5436" s="2" t="s">
        <v>3658</v>
      </c>
      <c r="V5436" s="2" t="s">
        <v>47</v>
      </c>
      <c r="W5436" s="2" t="s">
        <v>111</v>
      </c>
      <c r="X5436" s="2">
        <v>20.335000000000001</v>
      </c>
    </row>
    <row r="5437" spans="1:24" x14ac:dyDescent="0.3">
      <c r="A5437">
        <v>23266</v>
      </c>
      <c r="B5437" t="s">
        <v>11600</v>
      </c>
      <c r="C5437" s="3">
        <v>41913</v>
      </c>
      <c r="D5437" t="s">
        <v>25</v>
      </c>
      <c r="E5437">
        <v>22</v>
      </c>
      <c r="F5437" s="3">
        <f ca="1">41917+(RANDBETWEEN(1,10))</f>
        <v>41927</v>
      </c>
      <c r="G5437" t="s">
        <v>26</v>
      </c>
      <c r="H5437" t="s">
        <v>96</v>
      </c>
      <c r="I5437" t="s">
        <v>86</v>
      </c>
      <c r="J5437">
        <v>161.77000000000001</v>
      </c>
      <c r="K5437">
        <v>0.1</v>
      </c>
      <c r="L5437">
        <v>0.81</v>
      </c>
      <c r="M5437">
        <v>17.5</v>
      </c>
      <c r="N5437">
        <v>-685.755</v>
      </c>
      <c r="O5437" s="1" t="s">
        <v>40</v>
      </c>
      <c r="P5437" s="1" t="s">
        <v>11601</v>
      </c>
      <c r="Q5437" s="1" t="s">
        <v>11602</v>
      </c>
      <c r="R5437" s="1" t="s">
        <v>43</v>
      </c>
      <c r="S5437" s="1" t="s">
        <v>11603</v>
      </c>
      <c r="T5437" s="1" t="s">
        <v>11604</v>
      </c>
      <c r="U5437" s="2" t="s">
        <v>1945</v>
      </c>
      <c r="V5437" s="2" t="s">
        <v>47</v>
      </c>
      <c r="W5437" s="2" t="s">
        <v>94</v>
      </c>
      <c r="X5437" s="2">
        <v>7.63</v>
      </c>
    </row>
    <row r="5438" spans="1:24" x14ac:dyDescent="0.3">
      <c r="A5438">
        <v>23267</v>
      </c>
      <c r="B5438" t="s">
        <v>11605</v>
      </c>
      <c r="C5438" s="3">
        <v>40817</v>
      </c>
      <c r="D5438" t="s">
        <v>25</v>
      </c>
      <c r="E5438">
        <v>4</v>
      </c>
      <c r="F5438" s="3">
        <f ca="1">40817+(RANDBETWEEN(1,10))</f>
        <v>40826</v>
      </c>
      <c r="G5438" t="s">
        <v>26</v>
      </c>
      <c r="H5438" t="s">
        <v>96</v>
      </c>
      <c r="I5438" t="s">
        <v>86</v>
      </c>
      <c r="J5438">
        <v>76.510000000000005</v>
      </c>
      <c r="K5438">
        <v>0.06</v>
      </c>
      <c r="L5438">
        <v>0.36</v>
      </c>
      <c r="M5438">
        <v>7.14</v>
      </c>
      <c r="N5438">
        <v>6.8263999999999996</v>
      </c>
      <c r="O5438" s="1" t="s">
        <v>40</v>
      </c>
      <c r="P5438" s="1" t="s">
        <v>11606</v>
      </c>
      <c r="Q5438" s="1" t="s">
        <v>11607</v>
      </c>
      <c r="R5438" s="1" t="s">
        <v>220</v>
      </c>
      <c r="S5438" s="1" t="s">
        <v>586</v>
      </c>
      <c r="T5438" s="1" t="s">
        <v>587</v>
      </c>
      <c r="U5438" s="2" t="s">
        <v>204</v>
      </c>
      <c r="V5438" s="2" t="s">
        <v>47</v>
      </c>
      <c r="W5438" s="2" t="s">
        <v>74</v>
      </c>
      <c r="X5438" s="2">
        <v>18.13</v>
      </c>
    </row>
    <row r="5439" spans="1:24" x14ac:dyDescent="0.3">
      <c r="A5439">
        <v>23268</v>
      </c>
      <c r="B5439" t="s">
        <v>11608</v>
      </c>
      <c r="C5439" s="3">
        <v>41428</v>
      </c>
      <c r="D5439" t="s">
        <v>25</v>
      </c>
      <c r="E5439">
        <v>1</v>
      </c>
      <c r="F5439" s="3">
        <f ca="1">41430+(RANDBETWEEN(1,10))</f>
        <v>41439</v>
      </c>
      <c r="G5439" t="s">
        <v>26</v>
      </c>
      <c r="H5439" t="s">
        <v>27</v>
      </c>
      <c r="I5439" t="s">
        <v>97</v>
      </c>
      <c r="J5439">
        <v>102.16500000000001</v>
      </c>
      <c r="K5439">
        <v>0.03</v>
      </c>
      <c r="L5439">
        <v>0.35</v>
      </c>
      <c r="M5439">
        <v>43.365000000000002</v>
      </c>
      <c r="N5439">
        <v>-64.680000000000007</v>
      </c>
      <c r="O5439" s="1" t="s">
        <v>87</v>
      </c>
      <c r="P5439" s="1" t="s">
        <v>11302</v>
      </c>
      <c r="Q5439" s="1" t="s">
        <v>11303</v>
      </c>
      <c r="R5439" s="1" t="s">
        <v>646</v>
      </c>
      <c r="S5439" s="1" t="s">
        <v>11304</v>
      </c>
      <c r="T5439" s="1" t="s">
        <v>1762</v>
      </c>
      <c r="U5439" s="2" t="s">
        <v>46</v>
      </c>
      <c r="V5439" s="2" t="s">
        <v>47</v>
      </c>
      <c r="W5439" s="2" t="s">
        <v>48</v>
      </c>
      <c r="X5439" s="2">
        <v>59.43</v>
      </c>
    </row>
    <row r="5440" spans="1:24" x14ac:dyDescent="0.3">
      <c r="A5440">
        <v>23269</v>
      </c>
      <c r="B5440" t="s">
        <v>11608</v>
      </c>
      <c r="C5440" s="3">
        <v>41428</v>
      </c>
      <c r="D5440" t="s">
        <v>25</v>
      </c>
      <c r="E5440">
        <v>4</v>
      </c>
      <c r="F5440" s="3">
        <f ca="1">41430+(RANDBETWEEN(1,10))</f>
        <v>41435</v>
      </c>
      <c r="G5440" t="s">
        <v>156</v>
      </c>
      <c r="H5440" t="s">
        <v>281</v>
      </c>
      <c r="I5440" t="s">
        <v>97</v>
      </c>
      <c r="J5440">
        <v>3122.3850000000002</v>
      </c>
      <c r="K5440">
        <v>0.03</v>
      </c>
      <c r="L5440">
        <v>0.42</v>
      </c>
      <c r="M5440">
        <v>41.265000000000001</v>
      </c>
      <c r="N5440">
        <v>2154.4456500000001</v>
      </c>
      <c r="O5440" s="1" t="s">
        <v>29</v>
      </c>
      <c r="P5440" s="1" t="s">
        <v>11609</v>
      </c>
      <c r="Q5440" s="1" t="s">
        <v>11610</v>
      </c>
      <c r="R5440" s="1" t="s">
        <v>32</v>
      </c>
      <c r="S5440" s="1" t="s">
        <v>2137</v>
      </c>
      <c r="T5440" s="1" t="s">
        <v>2138</v>
      </c>
      <c r="U5440" s="2" t="s">
        <v>8918</v>
      </c>
      <c r="V5440" s="2" t="s">
        <v>47</v>
      </c>
      <c r="W5440" s="2" t="s">
        <v>71</v>
      </c>
      <c r="X5440" s="2">
        <v>787.64</v>
      </c>
    </row>
    <row r="5441" spans="1:24" x14ac:dyDescent="0.3">
      <c r="A5441">
        <v>2327</v>
      </c>
      <c r="B5441" t="s">
        <v>11611</v>
      </c>
      <c r="C5441" s="3">
        <v>41999</v>
      </c>
      <c r="D5441" t="s">
        <v>39</v>
      </c>
      <c r="E5441">
        <v>76</v>
      </c>
      <c r="F5441" s="3">
        <f ca="1">42001+(RANDBETWEEN(1,10))</f>
        <v>42005</v>
      </c>
      <c r="G5441" t="s">
        <v>26</v>
      </c>
      <c r="H5441" t="s">
        <v>27</v>
      </c>
      <c r="I5441" t="s">
        <v>97</v>
      </c>
      <c r="J5441">
        <v>669.97</v>
      </c>
      <c r="K5441">
        <v>0.04</v>
      </c>
      <c r="L5441">
        <v>0.39</v>
      </c>
      <c r="M5441">
        <v>1.75</v>
      </c>
      <c r="N5441">
        <v>114.83499999999999</v>
      </c>
      <c r="O5441" s="1" t="s">
        <v>53</v>
      </c>
      <c r="P5441" s="1" t="s">
        <v>98</v>
      </c>
      <c r="Q5441" s="1" t="s">
        <v>99</v>
      </c>
      <c r="R5441" s="1" t="s">
        <v>100</v>
      </c>
      <c r="S5441" s="1" t="s">
        <v>101</v>
      </c>
      <c r="T5441" s="1" t="s">
        <v>102</v>
      </c>
      <c r="U5441" s="2" t="s">
        <v>1706</v>
      </c>
      <c r="V5441" s="2" t="s">
        <v>47</v>
      </c>
      <c r="W5441" s="2" t="s">
        <v>203</v>
      </c>
      <c r="X5441" s="2">
        <v>9.1349999999999998</v>
      </c>
    </row>
    <row r="5442" spans="1:24" x14ac:dyDescent="0.3">
      <c r="A5442">
        <v>23270</v>
      </c>
      <c r="B5442" t="s">
        <v>11608</v>
      </c>
      <c r="C5442" s="3">
        <v>41428</v>
      </c>
      <c r="D5442" t="s">
        <v>25</v>
      </c>
      <c r="E5442">
        <v>17</v>
      </c>
      <c r="F5442" s="3">
        <f ca="1">41433+(RANDBETWEEN(1,10))</f>
        <v>41442</v>
      </c>
      <c r="G5442" t="s">
        <v>26</v>
      </c>
      <c r="H5442" t="s">
        <v>281</v>
      </c>
      <c r="I5442" t="s">
        <v>97</v>
      </c>
      <c r="J5442">
        <v>544.56500000000005</v>
      </c>
      <c r="K5442">
        <v>0.05</v>
      </c>
      <c r="L5442">
        <v>0.39</v>
      </c>
      <c r="M5442">
        <v>20.16</v>
      </c>
      <c r="N5442">
        <v>-124.04112000000001</v>
      </c>
      <c r="O5442" s="1" t="s">
        <v>29</v>
      </c>
      <c r="P5442" s="1" t="s">
        <v>11609</v>
      </c>
      <c r="Q5442" s="1" t="s">
        <v>11610</v>
      </c>
      <c r="R5442" s="1" t="s">
        <v>32</v>
      </c>
      <c r="S5442" s="1" t="s">
        <v>2137</v>
      </c>
      <c r="T5442" s="1" t="s">
        <v>2138</v>
      </c>
      <c r="U5442" s="2" t="s">
        <v>7988</v>
      </c>
      <c r="V5442" s="2" t="s">
        <v>36</v>
      </c>
      <c r="W5442" s="2" t="s">
        <v>142</v>
      </c>
      <c r="X5442" s="2">
        <v>33.215000000000003</v>
      </c>
    </row>
    <row r="5443" spans="1:24" x14ac:dyDescent="0.3">
      <c r="A5443">
        <v>23271</v>
      </c>
      <c r="B5443" t="s">
        <v>11612</v>
      </c>
      <c r="C5443" s="3">
        <v>40610</v>
      </c>
      <c r="D5443" t="s">
        <v>62</v>
      </c>
      <c r="E5443">
        <v>4</v>
      </c>
      <c r="F5443" s="3">
        <f ca="1">40610+(RANDBETWEEN(1,10))</f>
        <v>40612</v>
      </c>
      <c r="G5443" t="s">
        <v>26</v>
      </c>
      <c r="H5443" t="s">
        <v>27</v>
      </c>
      <c r="I5443" t="s">
        <v>86</v>
      </c>
      <c r="J5443">
        <v>2301.6350000000002</v>
      </c>
      <c r="K5443">
        <v>0.02</v>
      </c>
      <c r="L5443">
        <v>0.66</v>
      </c>
      <c r="M5443">
        <v>69.965000000000003</v>
      </c>
      <c r="N5443">
        <v>2325.8130000000001</v>
      </c>
      <c r="O5443" s="1" t="s">
        <v>29</v>
      </c>
      <c r="P5443" s="1" t="s">
        <v>9879</v>
      </c>
      <c r="Q5443" s="1" t="s">
        <v>9880</v>
      </c>
      <c r="R5443" s="1" t="s">
        <v>460</v>
      </c>
      <c r="S5443" s="1" t="s">
        <v>9881</v>
      </c>
      <c r="T5443" s="1" t="s">
        <v>9882</v>
      </c>
      <c r="U5443" s="2" t="s">
        <v>6421</v>
      </c>
      <c r="V5443" s="2" t="s">
        <v>47</v>
      </c>
      <c r="W5443" s="2" t="s">
        <v>119</v>
      </c>
      <c r="X5443" s="2">
        <v>565.42499999999995</v>
      </c>
    </row>
    <row r="5444" spans="1:24" x14ac:dyDescent="0.3">
      <c r="A5444">
        <v>23272</v>
      </c>
      <c r="B5444" t="s">
        <v>11613</v>
      </c>
      <c r="C5444" s="3">
        <v>41641</v>
      </c>
      <c r="D5444" t="s">
        <v>25</v>
      </c>
      <c r="E5444">
        <v>1</v>
      </c>
      <c r="F5444" s="3">
        <f ca="1">41641+(RANDBETWEEN(1,10))</f>
        <v>41642</v>
      </c>
      <c r="G5444" t="s">
        <v>76</v>
      </c>
      <c r="H5444" t="s">
        <v>77</v>
      </c>
      <c r="I5444" t="s">
        <v>28</v>
      </c>
      <c r="J5444">
        <v>1084.1949999999999</v>
      </c>
      <c r="K5444">
        <v>0</v>
      </c>
      <c r="L5444">
        <v>0.56000000000000005</v>
      </c>
      <c r="M5444">
        <v>170.8</v>
      </c>
      <c r="N5444">
        <v>-837.96720000000005</v>
      </c>
      <c r="O5444" s="1" t="s">
        <v>40</v>
      </c>
      <c r="P5444" s="1" t="s">
        <v>11614</v>
      </c>
      <c r="Q5444" s="1" t="s">
        <v>11615</v>
      </c>
      <c r="R5444" s="1" t="s">
        <v>43</v>
      </c>
      <c r="S5444" s="1" t="s">
        <v>11616</v>
      </c>
      <c r="T5444" s="1" t="s">
        <v>9512</v>
      </c>
      <c r="U5444" s="2" t="s">
        <v>2173</v>
      </c>
      <c r="V5444" s="2" t="s">
        <v>83</v>
      </c>
      <c r="W5444" s="2" t="s">
        <v>84</v>
      </c>
      <c r="X5444" s="2">
        <v>1021.0549999999999</v>
      </c>
    </row>
    <row r="5445" spans="1:24" x14ac:dyDescent="0.3">
      <c r="A5445">
        <v>23273</v>
      </c>
      <c r="B5445" t="s">
        <v>11613</v>
      </c>
      <c r="C5445" s="3">
        <v>41641</v>
      </c>
      <c r="D5445" t="s">
        <v>25</v>
      </c>
      <c r="E5445">
        <v>12</v>
      </c>
      <c r="F5445" s="3">
        <f ca="1">41643+(RANDBETWEEN(1,10))</f>
        <v>41652</v>
      </c>
      <c r="G5445" t="s">
        <v>76</v>
      </c>
      <c r="H5445" t="s">
        <v>77</v>
      </c>
      <c r="I5445" t="s">
        <v>28</v>
      </c>
      <c r="J5445">
        <v>3988.2150000000001</v>
      </c>
      <c r="K5445">
        <v>7.0000000000000007E-2</v>
      </c>
      <c r="L5445">
        <v>0.69</v>
      </c>
      <c r="M5445">
        <v>157.5</v>
      </c>
      <c r="N5445">
        <v>-4556.3490000000002</v>
      </c>
      <c r="O5445" s="1" t="s">
        <v>40</v>
      </c>
      <c r="P5445" s="1" t="s">
        <v>11614</v>
      </c>
      <c r="Q5445" s="1" t="s">
        <v>11615</v>
      </c>
      <c r="R5445" s="1" t="s">
        <v>43</v>
      </c>
      <c r="S5445" s="1" t="s">
        <v>11616</v>
      </c>
      <c r="T5445" s="1" t="s">
        <v>9512</v>
      </c>
      <c r="U5445" s="2" t="s">
        <v>11353</v>
      </c>
      <c r="V5445" s="2" t="s">
        <v>83</v>
      </c>
      <c r="W5445" s="2" t="s">
        <v>84</v>
      </c>
      <c r="X5445" s="2">
        <v>353.43</v>
      </c>
    </row>
    <row r="5446" spans="1:24" x14ac:dyDescent="0.3">
      <c r="A5446">
        <v>23274</v>
      </c>
      <c r="B5446" t="s">
        <v>11617</v>
      </c>
      <c r="C5446" s="3">
        <v>40545</v>
      </c>
      <c r="D5446" t="s">
        <v>25</v>
      </c>
      <c r="E5446">
        <v>8</v>
      </c>
      <c r="F5446" s="3">
        <f ca="1">40552+(RANDBETWEEN(1,10))</f>
        <v>40557</v>
      </c>
      <c r="G5446" t="s">
        <v>26</v>
      </c>
      <c r="H5446" t="s">
        <v>27</v>
      </c>
      <c r="I5446" t="s">
        <v>28</v>
      </c>
      <c r="J5446">
        <v>4289.6000000000004</v>
      </c>
      <c r="K5446">
        <v>0.05</v>
      </c>
      <c r="L5446">
        <v>0.59</v>
      </c>
      <c r="M5446">
        <v>24.745000000000001</v>
      </c>
      <c r="N5446">
        <v>2959.8240000000001</v>
      </c>
      <c r="O5446" s="1" t="s">
        <v>40</v>
      </c>
      <c r="P5446" s="1" t="s">
        <v>11614</v>
      </c>
      <c r="Q5446" s="1" t="s">
        <v>11615</v>
      </c>
      <c r="R5446" s="1" t="s">
        <v>43</v>
      </c>
      <c r="S5446" s="1" t="s">
        <v>11616</v>
      </c>
      <c r="T5446" s="1" t="s">
        <v>9512</v>
      </c>
      <c r="U5446" s="2" t="s">
        <v>3378</v>
      </c>
      <c r="V5446" s="2" t="s">
        <v>47</v>
      </c>
      <c r="W5446" s="2" t="s">
        <v>119</v>
      </c>
      <c r="X5446" s="2">
        <v>542.71</v>
      </c>
    </row>
    <row r="5447" spans="1:24" x14ac:dyDescent="0.3">
      <c r="A5447">
        <v>23275</v>
      </c>
      <c r="B5447" t="s">
        <v>11618</v>
      </c>
      <c r="C5447" s="3">
        <v>40965</v>
      </c>
      <c r="D5447" t="s">
        <v>148</v>
      </c>
      <c r="E5447">
        <v>1</v>
      </c>
      <c r="F5447" s="3">
        <f ca="1">40967+(RANDBETWEEN(1,10))</f>
        <v>40976</v>
      </c>
      <c r="G5447" t="s">
        <v>26</v>
      </c>
      <c r="H5447" t="s">
        <v>27</v>
      </c>
      <c r="I5447" t="s">
        <v>86</v>
      </c>
      <c r="J5447">
        <v>83.93</v>
      </c>
      <c r="K5447">
        <v>0.01</v>
      </c>
      <c r="L5447">
        <v>0.65</v>
      </c>
      <c r="M5447">
        <v>20.965</v>
      </c>
      <c r="N5447">
        <v>-247.38</v>
      </c>
      <c r="O5447" s="1" t="s">
        <v>40</v>
      </c>
      <c r="P5447" s="1" t="s">
        <v>1037</v>
      </c>
      <c r="Q5447" s="1" t="s">
        <v>1038</v>
      </c>
      <c r="R5447" s="1" t="s">
        <v>220</v>
      </c>
      <c r="S5447" s="1" t="s">
        <v>1039</v>
      </c>
      <c r="T5447" s="1" t="s">
        <v>1040</v>
      </c>
      <c r="U5447" s="2" t="s">
        <v>3946</v>
      </c>
      <c r="V5447" s="2" t="s">
        <v>36</v>
      </c>
      <c r="W5447" s="2" t="s">
        <v>60</v>
      </c>
      <c r="X5447" s="2">
        <v>73.325000000000003</v>
      </c>
    </row>
    <row r="5448" spans="1:24" x14ac:dyDescent="0.3">
      <c r="A5448">
        <v>23276</v>
      </c>
      <c r="B5448" t="s">
        <v>11618</v>
      </c>
      <c r="C5448" s="3">
        <v>40965</v>
      </c>
      <c r="D5448" t="s">
        <v>148</v>
      </c>
      <c r="E5448">
        <v>3</v>
      </c>
      <c r="F5448" s="3">
        <f ca="1">40966+(RANDBETWEEN(1,10))</f>
        <v>40975</v>
      </c>
      <c r="G5448" t="s">
        <v>156</v>
      </c>
      <c r="H5448" t="s">
        <v>27</v>
      </c>
      <c r="I5448" t="s">
        <v>86</v>
      </c>
      <c r="J5448">
        <v>578.13</v>
      </c>
      <c r="K5448">
        <v>0.08</v>
      </c>
      <c r="L5448">
        <v>0.36</v>
      </c>
      <c r="M5448">
        <v>48.58</v>
      </c>
      <c r="N5448">
        <v>344.12</v>
      </c>
      <c r="O5448" s="1" t="s">
        <v>40</v>
      </c>
      <c r="P5448" s="1" t="s">
        <v>1037</v>
      </c>
      <c r="Q5448" s="1" t="s">
        <v>1038</v>
      </c>
      <c r="R5448" s="1" t="s">
        <v>220</v>
      </c>
      <c r="S5448" s="1" t="s">
        <v>1039</v>
      </c>
      <c r="T5448" s="1" t="s">
        <v>1040</v>
      </c>
      <c r="U5448" s="2" t="s">
        <v>3437</v>
      </c>
      <c r="V5448" s="2" t="s">
        <v>47</v>
      </c>
      <c r="W5448" s="2" t="s">
        <v>74</v>
      </c>
      <c r="X5448" s="2">
        <v>195.93</v>
      </c>
    </row>
    <row r="5449" spans="1:24" x14ac:dyDescent="0.3">
      <c r="A5449">
        <v>23277</v>
      </c>
      <c r="B5449" t="s">
        <v>11618</v>
      </c>
      <c r="C5449" s="3">
        <v>40965</v>
      </c>
      <c r="D5449" t="s">
        <v>148</v>
      </c>
      <c r="E5449">
        <v>5</v>
      </c>
      <c r="F5449" s="3">
        <f ca="1">40967+(RANDBETWEEN(1,10))</f>
        <v>40974</v>
      </c>
      <c r="G5449" t="s">
        <v>26</v>
      </c>
      <c r="H5449" t="s">
        <v>63</v>
      </c>
      <c r="I5449" t="s">
        <v>86</v>
      </c>
      <c r="J5449">
        <v>1334.97</v>
      </c>
      <c r="K5449">
        <v>0.1</v>
      </c>
      <c r="L5449">
        <v>0.81</v>
      </c>
      <c r="M5449">
        <v>122.5</v>
      </c>
      <c r="N5449">
        <v>-2098.39</v>
      </c>
      <c r="O5449" s="1" t="s">
        <v>40</v>
      </c>
      <c r="P5449" s="1" t="s">
        <v>1037</v>
      </c>
      <c r="Q5449" s="1" t="s">
        <v>1038</v>
      </c>
      <c r="R5449" s="1" t="s">
        <v>220</v>
      </c>
      <c r="S5449" s="1" t="s">
        <v>1039</v>
      </c>
      <c r="T5449" s="1" t="s">
        <v>1040</v>
      </c>
      <c r="U5449" s="2" t="s">
        <v>166</v>
      </c>
      <c r="V5449" s="2" t="s">
        <v>47</v>
      </c>
      <c r="W5449" s="2" t="s">
        <v>119</v>
      </c>
      <c r="X5449" s="2">
        <v>283.43</v>
      </c>
    </row>
    <row r="5450" spans="1:24" x14ac:dyDescent="0.3">
      <c r="A5450">
        <v>23278</v>
      </c>
      <c r="B5450" t="s">
        <v>11619</v>
      </c>
      <c r="C5450" s="3">
        <v>40744</v>
      </c>
      <c r="D5450" t="s">
        <v>148</v>
      </c>
      <c r="E5450">
        <v>8</v>
      </c>
      <c r="F5450" s="3">
        <f ca="1">40746+(RANDBETWEEN(1,10))</f>
        <v>40753</v>
      </c>
      <c r="G5450" t="s">
        <v>156</v>
      </c>
      <c r="H5450" t="s">
        <v>27</v>
      </c>
      <c r="I5450" t="s">
        <v>28</v>
      </c>
      <c r="J5450">
        <v>2742.4250000000002</v>
      </c>
      <c r="K5450">
        <v>0.09</v>
      </c>
      <c r="L5450">
        <v>0.59</v>
      </c>
      <c r="M5450">
        <v>26.914999999999999</v>
      </c>
      <c r="N5450">
        <v>734.98950000000002</v>
      </c>
      <c r="O5450" s="1" t="s">
        <v>29</v>
      </c>
      <c r="P5450" s="1" t="s">
        <v>4731</v>
      </c>
      <c r="Q5450" s="1" t="s">
        <v>4732</v>
      </c>
      <c r="R5450" s="1" t="s">
        <v>32</v>
      </c>
      <c r="S5450" s="1" t="s">
        <v>4733</v>
      </c>
      <c r="T5450" s="1" t="s">
        <v>4734</v>
      </c>
      <c r="U5450" s="2" t="s">
        <v>2809</v>
      </c>
      <c r="V5450" s="2" t="s">
        <v>36</v>
      </c>
      <c r="W5450" s="2" t="s">
        <v>37</v>
      </c>
      <c r="X5450" s="2">
        <v>440.96499999999997</v>
      </c>
    </row>
    <row r="5451" spans="1:24" x14ac:dyDescent="0.3">
      <c r="A5451">
        <v>23279</v>
      </c>
      <c r="B5451" t="s">
        <v>11620</v>
      </c>
      <c r="C5451" s="3">
        <v>41639</v>
      </c>
      <c r="D5451" t="s">
        <v>148</v>
      </c>
      <c r="E5451">
        <v>3</v>
      </c>
      <c r="F5451" s="3">
        <f ca="1">41640+(RANDBETWEEN(1,10))</f>
        <v>41643</v>
      </c>
      <c r="G5451" t="s">
        <v>26</v>
      </c>
      <c r="H5451" t="s">
        <v>96</v>
      </c>
      <c r="I5451" t="s">
        <v>97</v>
      </c>
      <c r="J5451">
        <v>423.255</v>
      </c>
      <c r="K5451">
        <v>0.01</v>
      </c>
      <c r="L5451">
        <v>0.41</v>
      </c>
      <c r="M5451">
        <v>48.615000000000002</v>
      </c>
      <c r="N5451">
        <v>-7.875</v>
      </c>
      <c r="O5451" s="1" t="s">
        <v>225</v>
      </c>
      <c r="P5451" s="1" t="s">
        <v>8969</v>
      </c>
      <c r="Q5451" s="1" t="s">
        <v>8970</v>
      </c>
      <c r="R5451" s="1" t="s">
        <v>228</v>
      </c>
      <c r="S5451" s="1" t="s">
        <v>8971</v>
      </c>
      <c r="T5451" s="1" t="s">
        <v>8972</v>
      </c>
      <c r="U5451" s="2" t="s">
        <v>530</v>
      </c>
      <c r="V5451" s="2" t="s">
        <v>47</v>
      </c>
      <c r="W5451" s="2" t="s">
        <v>104</v>
      </c>
      <c r="X5451" s="2">
        <v>127.925</v>
      </c>
    </row>
    <row r="5452" spans="1:24" x14ac:dyDescent="0.3">
      <c r="A5452">
        <v>23280</v>
      </c>
      <c r="B5452" t="s">
        <v>11621</v>
      </c>
      <c r="C5452" s="3">
        <v>41124</v>
      </c>
      <c r="D5452" t="s">
        <v>39</v>
      </c>
      <c r="E5452">
        <v>10</v>
      </c>
      <c r="F5452" s="3">
        <f ca="1">41126+(RANDBETWEEN(1,10))</f>
        <v>41129</v>
      </c>
      <c r="G5452" t="s">
        <v>26</v>
      </c>
      <c r="H5452" t="s">
        <v>27</v>
      </c>
      <c r="I5452" t="s">
        <v>28</v>
      </c>
      <c r="J5452">
        <v>197.19</v>
      </c>
      <c r="K5452">
        <v>0.01</v>
      </c>
      <c r="L5452">
        <v>0.38</v>
      </c>
      <c r="M5452">
        <v>10.465</v>
      </c>
      <c r="N5452">
        <v>12.548550000000001</v>
      </c>
      <c r="O5452" s="1" t="s">
        <v>225</v>
      </c>
      <c r="P5452" s="1" t="s">
        <v>9848</v>
      </c>
      <c r="Q5452" s="1" t="s">
        <v>9849</v>
      </c>
      <c r="R5452" s="1" t="s">
        <v>391</v>
      </c>
      <c r="S5452" s="1" t="s">
        <v>9850</v>
      </c>
      <c r="T5452" s="1" t="s">
        <v>1131</v>
      </c>
      <c r="U5452" s="2" t="s">
        <v>1125</v>
      </c>
      <c r="V5452" s="2" t="s">
        <v>47</v>
      </c>
      <c r="W5452" s="2" t="s">
        <v>111</v>
      </c>
      <c r="X5452" s="2">
        <v>18.690000000000001</v>
      </c>
    </row>
    <row r="5453" spans="1:24" x14ac:dyDescent="0.3">
      <c r="A5453">
        <v>23281</v>
      </c>
      <c r="B5453" t="s">
        <v>11622</v>
      </c>
      <c r="C5453" s="3">
        <v>41237</v>
      </c>
      <c r="D5453" t="s">
        <v>148</v>
      </c>
      <c r="E5453">
        <v>43</v>
      </c>
      <c r="F5453" s="3">
        <f ca="1">41239+(RANDBETWEEN(1,10))</f>
        <v>41249</v>
      </c>
      <c r="G5453" t="s">
        <v>26</v>
      </c>
      <c r="H5453" t="s">
        <v>51</v>
      </c>
      <c r="I5453" t="s">
        <v>52</v>
      </c>
      <c r="J5453">
        <v>7345.17</v>
      </c>
      <c r="K5453">
        <v>0</v>
      </c>
      <c r="L5453">
        <v>0.55000000000000004</v>
      </c>
      <c r="M5453">
        <v>6.9649999999999999</v>
      </c>
      <c r="N5453">
        <v>93.575999999999993</v>
      </c>
      <c r="O5453" s="1" t="s">
        <v>87</v>
      </c>
      <c r="P5453" s="1" t="s">
        <v>9465</v>
      </c>
      <c r="Q5453" s="1" t="s">
        <v>9466</v>
      </c>
      <c r="R5453" s="1" t="s">
        <v>646</v>
      </c>
      <c r="S5453" s="1" t="s">
        <v>9467</v>
      </c>
      <c r="T5453" s="1" t="s">
        <v>9468</v>
      </c>
      <c r="U5453" s="2" t="s">
        <v>2560</v>
      </c>
      <c r="V5453" s="2" t="s">
        <v>36</v>
      </c>
      <c r="W5453" s="2" t="s">
        <v>60</v>
      </c>
      <c r="X5453" s="2">
        <v>158.16499999999999</v>
      </c>
    </row>
    <row r="5454" spans="1:24" x14ac:dyDescent="0.3">
      <c r="A5454">
        <v>23282</v>
      </c>
      <c r="B5454" t="s">
        <v>11623</v>
      </c>
      <c r="C5454" s="3">
        <v>41967</v>
      </c>
      <c r="D5454" t="s">
        <v>148</v>
      </c>
      <c r="E5454">
        <v>21</v>
      </c>
      <c r="F5454" s="3">
        <f ca="1">41969+(RANDBETWEEN(1,10))</f>
        <v>41970</v>
      </c>
      <c r="G5454" t="s">
        <v>26</v>
      </c>
      <c r="H5454" t="s">
        <v>51</v>
      </c>
      <c r="I5454" t="s">
        <v>52</v>
      </c>
      <c r="J5454">
        <v>3221.82</v>
      </c>
      <c r="K5454">
        <v>0.03</v>
      </c>
      <c r="L5454">
        <v>0.55000000000000004</v>
      </c>
      <c r="M5454">
        <v>6.9649999999999999</v>
      </c>
      <c r="N5454">
        <v>-317.92669999999998</v>
      </c>
      <c r="O5454" s="1" t="s">
        <v>87</v>
      </c>
      <c r="P5454" s="1" t="s">
        <v>9465</v>
      </c>
      <c r="Q5454" s="1" t="s">
        <v>9466</v>
      </c>
      <c r="R5454" s="1" t="s">
        <v>646</v>
      </c>
      <c r="S5454" s="1" t="s">
        <v>9467</v>
      </c>
      <c r="T5454" s="1" t="s">
        <v>9468</v>
      </c>
      <c r="U5454" s="2" t="s">
        <v>2560</v>
      </c>
      <c r="V5454" s="2" t="s">
        <v>36</v>
      </c>
      <c r="W5454" s="2" t="s">
        <v>60</v>
      </c>
      <c r="X5454" s="2">
        <v>158.16499999999999</v>
      </c>
    </row>
    <row r="5455" spans="1:24" x14ac:dyDescent="0.3">
      <c r="A5455">
        <v>23283</v>
      </c>
      <c r="B5455" t="s">
        <v>11624</v>
      </c>
      <c r="C5455" s="3">
        <v>40961</v>
      </c>
      <c r="D5455" t="s">
        <v>62</v>
      </c>
      <c r="E5455">
        <v>1</v>
      </c>
      <c r="F5455" s="3">
        <f ca="1">40962+(RANDBETWEEN(1,10))</f>
        <v>40966</v>
      </c>
      <c r="G5455" t="s">
        <v>156</v>
      </c>
      <c r="H5455" t="s">
        <v>27</v>
      </c>
      <c r="I5455" t="s">
        <v>52</v>
      </c>
      <c r="J5455">
        <v>69.86</v>
      </c>
      <c r="K5455">
        <v>0.05</v>
      </c>
      <c r="L5455">
        <v>0.38</v>
      </c>
      <c r="M5455">
        <v>17.010000000000002</v>
      </c>
      <c r="N5455">
        <v>11.375</v>
      </c>
      <c r="O5455" s="1" t="s">
        <v>87</v>
      </c>
      <c r="P5455" s="1" t="s">
        <v>9691</v>
      </c>
      <c r="Q5455" s="1" t="s">
        <v>9692</v>
      </c>
      <c r="R5455" s="1" t="s">
        <v>398</v>
      </c>
      <c r="S5455" s="1" t="s">
        <v>9693</v>
      </c>
      <c r="T5455" s="1" t="s">
        <v>9694</v>
      </c>
      <c r="U5455" s="2" t="s">
        <v>727</v>
      </c>
      <c r="V5455" s="2" t="s">
        <v>47</v>
      </c>
      <c r="W5455" s="2" t="s">
        <v>74</v>
      </c>
      <c r="X5455" s="2">
        <v>17.43</v>
      </c>
    </row>
    <row r="5456" spans="1:24" x14ac:dyDescent="0.3">
      <c r="A5456">
        <v>23284</v>
      </c>
      <c r="B5456" t="s">
        <v>11624</v>
      </c>
      <c r="C5456" s="3">
        <v>40961</v>
      </c>
      <c r="D5456" t="s">
        <v>62</v>
      </c>
      <c r="E5456">
        <v>10</v>
      </c>
      <c r="F5456" s="3">
        <f ca="1">40963+(RANDBETWEEN(1,10))</f>
        <v>40966</v>
      </c>
      <c r="G5456" t="s">
        <v>26</v>
      </c>
      <c r="H5456" t="s">
        <v>51</v>
      </c>
      <c r="I5456" t="s">
        <v>52</v>
      </c>
      <c r="J5456">
        <v>127.19</v>
      </c>
      <c r="K5456">
        <v>0.03</v>
      </c>
      <c r="L5456">
        <v>0.59</v>
      </c>
      <c r="M5456">
        <v>14.595000000000001</v>
      </c>
      <c r="N5456">
        <v>-404.18</v>
      </c>
      <c r="O5456" s="1" t="s">
        <v>87</v>
      </c>
      <c r="P5456" s="1" t="s">
        <v>9691</v>
      </c>
      <c r="Q5456" s="1" t="s">
        <v>9692</v>
      </c>
      <c r="R5456" s="1" t="s">
        <v>398</v>
      </c>
      <c r="S5456" s="1" t="s">
        <v>9693</v>
      </c>
      <c r="T5456" s="1" t="s">
        <v>9694</v>
      </c>
      <c r="U5456" s="2" t="s">
        <v>1747</v>
      </c>
      <c r="V5456" s="2" t="s">
        <v>47</v>
      </c>
      <c r="W5456" s="2" t="s">
        <v>104</v>
      </c>
      <c r="X5456" s="2">
        <v>12.494999999999999</v>
      </c>
    </row>
    <row r="5457" spans="1:24" x14ac:dyDescent="0.3">
      <c r="A5457">
        <v>23285</v>
      </c>
      <c r="B5457" t="s">
        <v>11624</v>
      </c>
      <c r="C5457" s="3">
        <v>40961</v>
      </c>
      <c r="D5457" t="s">
        <v>62</v>
      </c>
      <c r="E5457">
        <v>5</v>
      </c>
      <c r="F5457" s="3">
        <f ca="1">40963+(RANDBETWEEN(1,10))</f>
        <v>40971</v>
      </c>
      <c r="G5457" t="s">
        <v>26</v>
      </c>
      <c r="H5457" t="s">
        <v>96</v>
      </c>
      <c r="I5457" t="s">
        <v>52</v>
      </c>
      <c r="J5457">
        <v>58.87</v>
      </c>
      <c r="K5457">
        <v>0.06</v>
      </c>
      <c r="L5457">
        <v>0.56000000000000005</v>
      </c>
      <c r="M5457">
        <v>13.895</v>
      </c>
      <c r="N5457">
        <v>-202.44</v>
      </c>
      <c r="O5457" s="1" t="s">
        <v>87</v>
      </c>
      <c r="P5457" s="1" t="s">
        <v>9691</v>
      </c>
      <c r="Q5457" s="1" t="s">
        <v>9692</v>
      </c>
      <c r="R5457" s="1" t="s">
        <v>398</v>
      </c>
      <c r="S5457" s="1" t="s">
        <v>9693</v>
      </c>
      <c r="T5457" s="1" t="s">
        <v>9694</v>
      </c>
      <c r="U5457" s="2" t="s">
        <v>5622</v>
      </c>
      <c r="V5457" s="2" t="s">
        <v>47</v>
      </c>
      <c r="W5457" s="2" t="s">
        <v>104</v>
      </c>
      <c r="X5457" s="2">
        <v>11.48</v>
      </c>
    </row>
    <row r="5458" spans="1:24" x14ac:dyDescent="0.3">
      <c r="A5458">
        <v>23286</v>
      </c>
      <c r="B5458" t="s">
        <v>11625</v>
      </c>
      <c r="C5458" s="3">
        <v>41780</v>
      </c>
      <c r="D5458" t="s">
        <v>148</v>
      </c>
      <c r="E5458">
        <v>10</v>
      </c>
      <c r="F5458" s="3">
        <f ca="1">41781+(RANDBETWEEN(1,10))</f>
        <v>41786</v>
      </c>
      <c r="G5458" t="s">
        <v>26</v>
      </c>
      <c r="H5458" t="s">
        <v>27</v>
      </c>
      <c r="I5458" t="s">
        <v>28</v>
      </c>
      <c r="J5458">
        <v>402.71</v>
      </c>
      <c r="K5458">
        <v>7.0000000000000007E-2</v>
      </c>
      <c r="L5458">
        <v>0.57999999999999996</v>
      </c>
      <c r="M5458">
        <v>16.835000000000001</v>
      </c>
      <c r="N5458">
        <v>-128.72999999999999</v>
      </c>
      <c r="O5458" s="1" t="s">
        <v>40</v>
      </c>
      <c r="P5458" s="1" t="s">
        <v>7313</v>
      </c>
      <c r="Q5458" s="1" t="s">
        <v>7314</v>
      </c>
      <c r="R5458" s="1" t="s">
        <v>220</v>
      </c>
      <c r="S5458" s="1" t="s">
        <v>7315</v>
      </c>
      <c r="T5458" s="1" t="s">
        <v>7316</v>
      </c>
      <c r="U5458" s="2" t="s">
        <v>5691</v>
      </c>
      <c r="V5458" s="2" t="s">
        <v>47</v>
      </c>
      <c r="W5458" s="2" t="s">
        <v>119</v>
      </c>
      <c r="X5458" s="2">
        <v>42.734999999999999</v>
      </c>
    </row>
    <row r="5459" spans="1:24" x14ac:dyDescent="0.3">
      <c r="A5459">
        <v>23287</v>
      </c>
      <c r="B5459" t="s">
        <v>11626</v>
      </c>
      <c r="C5459" s="3">
        <v>41660</v>
      </c>
      <c r="D5459" t="s">
        <v>25</v>
      </c>
      <c r="E5459">
        <v>9</v>
      </c>
      <c r="F5459" s="3">
        <f ca="1">41662+(RANDBETWEEN(1,10))</f>
        <v>41667</v>
      </c>
      <c r="G5459" t="s">
        <v>26</v>
      </c>
      <c r="H5459" t="s">
        <v>27</v>
      </c>
      <c r="I5459" t="s">
        <v>86</v>
      </c>
      <c r="J5459">
        <v>133.63</v>
      </c>
      <c r="K5459">
        <v>7.0000000000000007E-2</v>
      </c>
      <c r="L5459">
        <v>0.39</v>
      </c>
      <c r="M5459">
        <v>24.114999999999998</v>
      </c>
      <c r="N5459">
        <v>-609.94359999999995</v>
      </c>
      <c r="O5459" s="1" t="s">
        <v>225</v>
      </c>
      <c r="P5459" s="1" t="s">
        <v>1175</v>
      </c>
      <c r="Q5459" s="1" t="s">
        <v>1176</v>
      </c>
      <c r="R5459" s="1" t="s">
        <v>228</v>
      </c>
      <c r="S5459" s="1" t="s">
        <v>1177</v>
      </c>
      <c r="T5459" s="1" t="s">
        <v>1178</v>
      </c>
      <c r="U5459" s="2" t="s">
        <v>3963</v>
      </c>
      <c r="V5459" s="2" t="s">
        <v>47</v>
      </c>
      <c r="W5459" s="2" t="s">
        <v>203</v>
      </c>
      <c r="X5459" s="2">
        <v>14.455</v>
      </c>
    </row>
    <row r="5460" spans="1:24" x14ac:dyDescent="0.3">
      <c r="A5460">
        <v>23288</v>
      </c>
      <c r="B5460" t="s">
        <v>11627</v>
      </c>
      <c r="C5460" s="3">
        <v>41610</v>
      </c>
      <c r="D5460" t="s">
        <v>39</v>
      </c>
      <c r="E5460">
        <v>16</v>
      </c>
      <c r="F5460" s="3">
        <f ca="1">41611+(RANDBETWEEN(1,10))</f>
        <v>41615</v>
      </c>
      <c r="G5460" t="s">
        <v>26</v>
      </c>
      <c r="H5460" t="s">
        <v>27</v>
      </c>
      <c r="I5460" t="s">
        <v>52</v>
      </c>
      <c r="J5460">
        <v>853.26499999999999</v>
      </c>
      <c r="K5460">
        <v>0.03</v>
      </c>
      <c r="L5460">
        <v>0.38</v>
      </c>
      <c r="M5460">
        <v>22.61</v>
      </c>
      <c r="N5460">
        <v>-592.57659999999998</v>
      </c>
      <c r="O5460" s="1" t="s">
        <v>40</v>
      </c>
      <c r="P5460" s="1" t="s">
        <v>11628</v>
      </c>
      <c r="Q5460" s="1" t="s">
        <v>11629</v>
      </c>
      <c r="R5460" s="1" t="s">
        <v>43</v>
      </c>
      <c r="S5460" s="1" t="s">
        <v>11630</v>
      </c>
      <c r="T5460" s="1" t="s">
        <v>11631</v>
      </c>
      <c r="U5460" s="2" t="s">
        <v>1867</v>
      </c>
      <c r="V5460" s="2" t="s">
        <v>47</v>
      </c>
      <c r="W5460" s="2" t="s">
        <v>111</v>
      </c>
      <c r="X5460" s="2">
        <v>50.68</v>
      </c>
    </row>
    <row r="5461" spans="1:24" x14ac:dyDescent="0.3">
      <c r="A5461">
        <v>23289</v>
      </c>
      <c r="B5461" t="s">
        <v>11632</v>
      </c>
      <c r="C5461" s="3">
        <v>40916</v>
      </c>
      <c r="D5461" t="s">
        <v>25</v>
      </c>
      <c r="E5461">
        <v>8</v>
      </c>
      <c r="F5461" s="3">
        <f ca="1">40916+(RANDBETWEEN(1,10))</f>
        <v>40924</v>
      </c>
      <c r="G5461" t="s">
        <v>26</v>
      </c>
      <c r="H5461" t="s">
        <v>281</v>
      </c>
      <c r="I5461" t="s">
        <v>28</v>
      </c>
      <c r="J5461">
        <v>405.79</v>
      </c>
      <c r="K5461">
        <v>0.01</v>
      </c>
      <c r="L5461">
        <v>0.39</v>
      </c>
      <c r="M5461">
        <v>26.285</v>
      </c>
      <c r="N5461">
        <v>-21.031206000000001</v>
      </c>
      <c r="O5461" s="1" t="s">
        <v>64</v>
      </c>
      <c r="P5461" s="1" t="s">
        <v>11057</v>
      </c>
      <c r="Q5461" s="1" t="s">
        <v>11058</v>
      </c>
      <c r="R5461" s="1" t="s">
        <v>128</v>
      </c>
      <c r="S5461" s="1" t="s">
        <v>11059</v>
      </c>
      <c r="T5461" s="1" t="s">
        <v>11060</v>
      </c>
      <c r="U5461" s="2" t="s">
        <v>1079</v>
      </c>
      <c r="V5461" s="2" t="s">
        <v>36</v>
      </c>
      <c r="W5461" s="2" t="s">
        <v>142</v>
      </c>
      <c r="X5461" s="2">
        <v>48.965000000000003</v>
      </c>
    </row>
    <row r="5462" spans="1:24" x14ac:dyDescent="0.3">
      <c r="A5462">
        <v>23290</v>
      </c>
      <c r="B5462" t="s">
        <v>11633</v>
      </c>
      <c r="C5462" s="3">
        <v>41211</v>
      </c>
      <c r="D5462" t="s">
        <v>50</v>
      </c>
      <c r="E5462">
        <v>18</v>
      </c>
      <c r="F5462" s="3">
        <f ca="1">41213+(RANDBETWEEN(1,10))</f>
        <v>41220</v>
      </c>
      <c r="G5462" t="s">
        <v>156</v>
      </c>
      <c r="H5462" t="s">
        <v>27</v>
      </c>
      <c r="I5462" t="s">
        <v>28</v>
      </c>
      <c r="J5462">
        <v>14670.88</v>
      </c>
      <c r="K5462">
        <v>0.02</v>
      </c>
      <c r="L5462">
        <v>0.59</v>
      </c>
      <c r="M5462">
        <v>69.965000000000003</v>
      </c>
      <c r="N5462">
        <v>8003.4387999999999</v>
      </c>
      <c r="O5462" s="1" t="s">
        <v>40</v>
      </c>
      <c r="P5462" s="1" t="s">
        <v>11634</v>
      </c>
      <c r="Q5462" s="1" t="s">
        <v>11635</v>
      </c>
      <c r="R5462" s="1" t="s">
        <v>220</v>
      </c>
      <c r="S5462" s="1" t="s">
        <v>11636</v>
      </c>
      <c r="T5462" s="1" t="s">
        <v>11637</v>
      </c>
      <c r="U5462" s="2" t="s">
        <v>11638</v>
      </c>
      <c r="V5462" s="2" t="s">
        <v>47</v>
      </c>
      <c r="W5462" s="2" t="s">
        <v>71</v>
      </c>
      <c r="X5462" s="2">
        <v>814.03</v>
      </c>
    </row>
    <row r="5463" spans="1:24" x14ac:dyDescent="0.3">
      <c r="A5463">
        <v>23291</v>
      </c>
      <c r="B5463" t="s">
        <v>11633</v>
      </c>
      <c r="C5463" s="3">
        <v>41211</v>
      </c>
      <c r="D5463" t="s">
        <v>50</v>
      </c>
      <c r="E5463">
        <v>14</v>
      </c>
      <c r="F5463" s="3">
        <f ca="1">41213+(RANDBETWEEN(1,10))</f>
        <v>41216</v>
      </c>
      <c r="G5463" t="s">
        <v>26</v>
      </c>
      <c r="H5463" t="s">
        <v>27</v>
      </c>
      <c r="I5463" t="s">
        <v>28</v>
      </c>
      <c r="J5463">
        <v>1274.1400000000001</v>
      </c>
      <c r="K5463">
        <v>0.08</v>
      </c>
      <c r="L5463">
        <v>0.38</v>
      </c>
      <c r="M5463">
        <v>4.8650000000000002</v>
      </c>
      <c r="N5463">
        <v>879.15660000000003</v>
      </c>
      <c r="O5463" s="1" t="s">
        <v>40</v>
      </c>
      <c r="P5463" s="1" t="s">
        <v>11634</v>
      </c>
      <c r="Q5463" s="1" t="s">
        <v>11635</v>
      </c>
      <c r="R5463" s="1" t="s">
        <v>220</v>
      </c>
      <c r="S5463" s="1" t="s">
        <v>11636</v>
      </c>
      <c r="T5463" s="1" t="s">
        <v>11637</v>
      </c>
      <c r="U5463" s="2" t="s">
        <v>11549</v>
      </c>
      <c r="V5463" s="2" t="s">
        <v>47</v>
      </c>
      <c r="W5463" s="2" t="s">
        <v>48</v>
      </c>
      <c r="X5463" s="2">
        <v>91.594999999999999</v>
      </c>
    </row>
    <row r="5464" spans="1:24" x14ac:dyDescent="0.3">
      <c r="A5464">
        <v>23292</v>
      </c>
      <c r="B5464" t="s">
        <v>11633</v>
      </c>
      <c r="C5464" s="3">
        <v>41211</v>
      </c>
      <c r="D5464" t="s">
        <v>50</v>
      </c>
      <c r="E5464">
        <v>2</v>
      </c>
      <c r="F5464" s="3">
        <f ca="1">41214+(RANDBETWEEN(1,10))</f>
        <v>41217</v>
      </c>
      <c r="G5464" t="s">
        <v>26</v>
      </c>
      <c r="H5464" t="s">
        <v>27</v>
      </c>
      <c r="I5464" t="s">
        <v>28</v>
      </c>
      <c r="J5464">
        <v>122.535</v>
      </c>
      <c r="K5464">
        <v>0</v>
      </c>
      <c r="L5464">
        <v>0.56999999999999995</v>
      </c>
      <c r="M5464">
        <v>30.73</v>
      </c>
      <c r="N5464">
        <v>-115.7814</v>
      </c>
      <c r="O5464" s="1" t="s">
        <v>40</v>
      </c>
      <c r="P5464" s="1" t="s">
        <v>11634</v>
      </c>
      <c r="Q5464" s="1" t="s">
        <v>11635</v>
      </c>
      <c r="R5464" s="1" t="s">
        <v>220</v>
      </c>
      <c r="S5464" s="1" t="s">
        <v>11636</v>
      </c>
      <c r="T5464" s="1" t="s">
        <v>11637</v>
      </c>
      <c r="U5464" s="2" t="s">
        <v>3278</v>
      </c>
      <c r="V5464" s="2" t="s">
        <v>47</v>
      </c>
      <c r="W5464" s="2" t="s">
        <v>119</v>
      </c>
      <c r="X5464" s="2">
        <v>53.585000000000001</v>
      </c>
    </row>
    <row r="5465" spans="1:24" x14ac:dyDescent="0.3">
      <c r="A5465">
        <v>23293</v>
      </c>
      <c r="B5465" t="s">
        <v>11639</v>
      </c>
      <c r="C5465" s="3">
        <v>41829</v>
      </c>
      <c r="D5465" t="s">
        <v>50</v>
      </c>
      <c r="E5465">
        <v>2</v>
      </c>
      <c r="F5465" s="3">
        <f ca="1">41831+(RANDBETWEEN(1,10))</f>
        <v>41832</v>
      </c>
      <c r="G5465" t="s">
        <v>26</v>
      </c>
      <c r="H5465" t="s">
        <v>27</v>
      </c>
      <c r="I5465" t="s">
        <v>28</v>
      </c>
      <c r="J5465">
        <v>33.74</v>
      </c>
      <c r="K5465">
        <v>0.04</v>
      </c>
      <c r="L5465">
        <v>0.36</v>
      </c>
      <c r="M5465">
        <v>19.04</v>
      </c>
      <c r="N5465">
        <v>-1193.6564639999999</v>
      </c>
      <c r="O5465" s="1" t="s">
        <v>87</v>
      </c>
      <c r="P5465" s="1" t="s">
        <v>6229</v>
      </c>
      <c r="Q5465" s="1" t="s">
        <v>6230</v>
      </c>
      <c r="R5465" s="1" t="s">
        <v>90</v>
      </c>
      <c r="S5465" s="1" t="s">
        <v>1397</v>
      </c>
      <c r="T5465" s="1" t="s">
        <v>6231</v>
      </c>
      <c r="U5465" s="2" t="s">
        <v>2432</v>
      </c>
      <c r="V5465" s="2" t="s">
        <v>47</v>
      </c>
      <c r="W5465" s="2" t="s">
        <v>111</v>
      </c>
      <c r="X5465" s="2">
        <v>13.335000000000001</v>
      </c>
    </row>
    <row r="5466" spans="1:24" x14ac:dyDescent="0.3">
      <c r="A5466">
        <v>23294</v>
      </c>
      <c r="B5466" t="s">
        <v>11640</v>
      </c>
      <c r="C5466" s="3">
        <v>40733</v>
      </c>
      <c r="D5466" t="s">
        <v>50</v>
      </c>
      <c r="E5466">
        <v>12</v>
      </c>
      <c r="F5466" s="3">
        <f ca="1">40733+(RANDBETWEEN(1,10))</f>
        <v>40739</v>
      </c>
      <c r="G5466" t="s">
        <v>26</v>
      </c>
      <c r="H5466" t="s">
        <v>96</v>
      </c>
      <c r="I5466" t="s">
        <v>28</v>
      </c>
      <c r="J5466">
        <v>177.48500000000001</v>
      </c>
      <c r="K5466">
        <v>0.02</v>
      </c>
      <c r="L5466">
        <v>0.37</v>
      </c>
      <c r="M5466">
        <v>4.55</v>
      </c>
      <c r="N5466">
        <v>-81.536000000000001</v>
      </c>
      <c r="O5466" s="1" t="s">
        <v>87</v>
      </c>
      <c r="P5466" s="1" t="s">
        <v>6229</v>
      </c>
      <c r="Q5466" s="1" t="s">
        <v>6230</v>
      </c>
      <c r="R5466" s="1" t="s">
        <v>90</v>
      </c>
      <c r="S5466" s="1" t="s">
        <v>1397</v>
      </c>
      <c r="T5466" s="1" t="s">
        <v>6231</v>
      </c>
      <c r="U5466" s="2" t="s">
        <v>2823</v>
      </c>
      <c r="V5466" s="2" t="s">
        <v>47</v>
      </c>
      <c r="W5466" s="2" t="s">
        <v>74</v>
      </c>
      <c r="X5466" s="2">
        <v>14</v>
      </c>
    </row>
    <row r="5467" spans="1:24" x14ac:dyDescent="0.3">
      <c r="A5467">
        <v>23295</v>
      </c>
      <c r="B5467" t="s">
        <v>11641</v>
      </c>
      <c r="C5467" s="3">
        <v>40885</v>
      </c>
      <c r="D5467" t="s">
        <v>62</v>
      </c>
      <c r="E5467">
        <v>12</v>
      </c>
      <c r="F5467" s="3">
        <f ca="1">40888+(RANDBETWEEN(1,10))</f>
        <v>40891</v>
      </c>
      <c r="G5467" t="s">
        <v>156</v>
      </c>
      <c r="H5467" t="s">
        <v>27</v>
      </c>
      <c r="I5467" t="s">
        <v>28</v>
      </c>
      <c r="J5467">
        <v>5274.1149999999998</v>
      </c>
      <c r="K5467">
        <v>0.05</v>
      </c>
      <c r="L5467">
        <v>0.37</v>
      </c>
      <c r="M5467">
        <v>69.965000000000003</v>
      </c>
      <c r="N5467">
        <v>3639.1393499999999</v>
      </c>
      <c r="O5467" s="1" t="s">
        <v>40</v>
      </c>
      <c r="P5467" s="1" t="s">
        <v>9499</v>
      </c>
      <c r="Q5467" s="1" t="s">
        <v>9500</v>
      </c>
      <c r="R5467" s="1" t="s">
        <v>220</v>
      </c>
      <c r="S5467" s="1" t="s">
        <v>9501</v>
      </c>
      <c r="T5467" s="1" t="s">
        <v>9502</v>
      </c>
      <c r="U5467" s="2" t="s">
        <v>274</v>
      </c>
      <c r="V5467" s="2" t="s">
        <v>47</v>
      </c>
      <c r="W5467" s="2" t="s">
        <v>111</v>
      </c>
      <c r="X5467" s="2">
        <v>430.46499999999997</v>
      </c>
    </row>
    <row r="5468" spans="1:24" x14ac:dyDescent="0.3">
      <c r="A5468">
        <v>23296</v>
      </c>
      <c r="B5468" t="s">
        <v>11642</v>
      </c>
      <c r="C5468" s="3">
        <v>41435</v>
      </c>
      <c r="D5468" t="s">
        <v>50</v>
      </c>
      <c r="E5468">
        <v>18</v>
      </c>
      <c r="F5468" s="3">
        <f ca="1">41437+(RANDBETWEEN(1,10))</f>
        <v>41447</v>
      </c>
      <c r="G5468" t="s">
        <v>26</v>
      </c>
      <c r="H5468" t="s">
        <v>27</v>
      </c>
      <c r="I5468" t="s">
        <v>52</v>
      </c>
      <c r="J5468">
        <v>861.63</v>
      </c>
      <c r="K5468">
        <v>0.05</v>
      </c>
      <c r="L5468">
        <v>0.59</v>
      </c>
      <c r="M5468">
        <v>15.785</v>
      </c>
      <c r="N5468">
        <v>6470.1419999999998</v>
      </c>
      <c r="O5468" s="1" t="s">
        <v>64</v>
      </c>
      <c r="P5468" s="1" t="s">
        <v>10187</v>
      </c>
      <c r="Q5468" s="1" t="s">
        <v>10188</v>
      </c>
      <c r="R5468" s="1" t="s">
        <v>128</v>
      </c>
      <c r="S5468" s="1" t="s">
        <v>10189</v>
      </c>
      <c r="T5468" s="1" t="s">
        <v>10190</v>
      </c>
      <c r="U5468" s="2" t="s">
        <v>1495</v>
      </c>
      <c r="V5468" s="2" t="s">
        <v>47</v>
      </c>
      <c r="W5468" s="2" t="s">
        <v>119</v>
      </c>
      <c r="X5468" s="2">
        <v>47.18</v>
      </c>
    </row>
    <row r="5469" spans="1:24" x14ac:dyDescent="0.3">
      <c r="A5469">
        <v>23297</v>
      </c>
      <c r="B5469" t="s">
        <v>11643</v>
      </c>
      <c r="C5469" s="3">
        <v>40558</v>
      </c>
      <c r="D5469" t="s">
        <v>50</v>
      </c>
      <c r="E5469">
        <v>12</v>
      </c>
      <c r="F5469" s="3">
        <f ca="1">40558+(RANDBETWEEN(1,10))</f>
        <v>40565</v>
      </c>
      <c r="G5469" t="s">
        <v>26</v>
      </c>
      <c r="H5469" t="s">
        <v>27</v>
      </c>
      <c r="I5469" t="s">
        <v>28</v>
      </c>
      <c r="J5469">
        <v>391.89499999999998</v>
      </c>
      <c r="K5469">
        <v>0</v>
      </c>
      <c r="L5469">
        <v>0.38</v>
      </c>
      <c r="M5469">
        <v>21.664999999999999</v>
      </c>
      <c r="N5469">
        <v>-116.24039</v>
      </c>
      <c r="O5469" s="1" t="s">
        <v>29</v>
      </c>
      <c r="P5469" s="1" t="s">
        <v>11644</v>
      </c>
      <c r="Q5469" s="1" t="s">
        <v>11645</v>
      </c>
      <c r="R5469" s="1" t="s">
        <v>32</v>
      </c>
      <c r="S5469" s="1" t="s">
        <v>11646</v>
      </c>
      <c r="T5469" s="1" t="s">
        <v>11647</v>
      </c>
      <c r="U5469" s="2" t="s">
        <v>1202</v>
      </c>
      <c r="V5469" s="2" t="s">
        <v>47</v>
      </c>
      <c r="W5469" s="2" t="s">
        <v>111</v>
      </c>
      <c r="X5469" s="2">
        <v>30.1</v>
      </c>
    </row>
    <row r="5470" spans="1:24" x14ac:dyDescent="0.3">
      <c r="A5470">
        <v>23298</v>
      </c>
      <c r="B5470" t="s">
        <v>11648</v>
      </c>
      <c r="C5470" s="3">
        <v>40851</v>
      </c>
      <c r="D5470" t="s">
        <v>62</v>
      </c>
      <c r="E5470">
        <v>20</v>
      </c>
      <c r="F5470" s="3">
        <f ca="1">40851+(RANDBETWEEN(1,10))</f>
        <v>40855</v>
      </c>
      <c r="G5470" t="s">
        <v>26</v>
      </c>
      <c r="H5470" t="s">
        <v>27</v>
      </c>
      <c r="I5470" t="s">
        <v>97</v>
      </c>
      <c r="J5470">
        <v>2195.165</v>
      </c>
      <c r="K5470">
        <v>0.01</v>
      </c>
      <c r="L5470">
        <v>0.4</v>
      </c>
      <c r="M5470">
        <v>32.130000000000003</v>
      </c>
      <c r="N5470">
        <v>1331.6379999999999</v>
      </c>
      <c r="O5470" s="1" t="s">
        <v>40</v>
      </c>
      <c r="P5470" s="1" t="s">
        <v>11649</v>
      </c>
      <c r="Q5470" s="1" t="s">
        <v>11650</v>
      </c>
      <c r="R5470" s="1" t="s">
        <v>220</v>
      </c>
      <c r="S5470" s="1" t="s">
        <v>3859</v>
      </c>
      <c r="T5470" s="1" t="s">
        <v>3860</v>
      </c>
      <c r="U5470" s="2" t="s">
        <v>7249</v>
      </c>
      <c r="V5470" s="2" t="s">
        <v>47</v>
      </c>
      <c r="W5470" s="2" t="s">
        <v>74</v>
      </c>
      <c r="X5470" s="2">
        <v>108.43</v>
      </c>
    </row>
    <row r="5471" spans="1:24" x14ac:dyDescent="0.3">
      <c r="A5471">
        <v>23299</v>
      </c>
      <c r="B5471" t="s">
        <v>11648</v>
      </c>
      <c r="C5471" s="3">
        <v>40851</v>
      </c>
      <c r="D5471" t="s">
        <v>62</v>
      </c>
      <c r="E5471">
        <v>21</v>
      </c>
      <c r="F5471" s="3">
        <f ca="1">40853+(RANDBETWEEN(1,10))</f>
        <v>40859</v>
      </c>
      <c r="G5471" t="s">
        <v>26</v>
      </c>
      <c r="H5471" t="s">
        <v>27</v>
      </c>
      <c r="I5471" t="s">
        <v>97</v>
      </c>
      <c r="J5471">
        <v>259.80500000000001</v>
      </c>
      <c r="K5471">
        <v>0.09</v>
      </c>
      <c r="L5471">
        <v>0.37</v>
      </c>
      <c r="M5471">
        <v>1.75</v>
      </c>
      <c r="N5471">
        <v>179.26544999999999</v>
      </c>
      <c r="O5471" s="1" t="s">
        <v>53</v>
      </c>
      <c r="P5471" s="1" t="s">
        <v>11651</v>
      </c>
      <c r="Q5471" s="1" t="s">
        <v>11652</v>
      </c>
      <c r="R5471" s="1" t="s">
        <v>440</v>
      </c>
      <c r="S5471" s="1" t="s">
        <v>11653</v>
      </c>
      <c r="T5471" s="1" t="s">
        <v>4988</v>
      </c>
      <c r="U5471" s="2" t="s">
        <v>5635</v>
      </c>
      <c r="V5471" s="2" t="s">
        <v>47</v>
      </c>
      <c r="W5471" s="2" t="s">
        <v>203</v>
      </c>
      <c r="X5471" s="2">
        <v>13.125</v>
      </c>
    </row>
    <row r="5472" spans="1:24" x14ac:dyDescent="0.3">
      <c r="A5472">
        <v>23300</v>
      </c>
      <c r="B5472" t="s">
        <v>11654</v>
      </c>
      <c r="C5472" s="3">
        <v>40903</v>
      </c>
      <c r="D5472" t="s">
        <v>62</v>
      </c>
      <c r="E5472">
        <v>7</v>
      </c>
      <c r="F5472" s="3">
        <f ca="1">40904+(RANDBETWEEN(1,10))</f>
        <v>40905</v>
      </c>
      <c r="G5472" t="s">
        <v>26</v>
      </c>
      <c r="H5472" t="s">
        <v>27</v>
      </c>
      <c r="I5472" t="s">
        <v>86</v>
      </c>
      <c r="J5472">
        <v>2275.875</v>
      </c>
      <c r="K5472">
        <v>0.08</v>
      </c>
      <c r="L5472">
        <v>0.46</v>
      </c>
      <c r="M5472">
        <v>25.13</v>
      </c>
      <c r="N5472">
        <v>441.78750000000002</v>
      </c>
      <c r="O5472" s="1" t="s">
        <v>40</v>
      </c>
      <c r="P5472" s="1" t="s">
        <v>11226</v>
      </c>
      <c r="Q5472" s="1" t="s">
        <v>11227</v>
      </c>
      <c r="R5472" s="1" t="s">
        <v>43</v>
      </c>
      <c r="S5472" s="1" t="s">
        <v>44</v>
      </c>
      <c r="T5472" s="1" t="s">
        <v>11228</v>
      </c>
      <c r="U5472" s="2" t="s">
        <v>8699</v>
      </c>
      <c r="V5472" s="2" t="s">
        <v>36</v>
      </c>
      <c r="W5472" s="2" t="s">
        <v>60</v>
      </c>
      <c r="X5472" s="2">
        <v>353.39499999999998</v>
      </c>
    </row>
    <row r="5473" spans="1:24" x14ac:dyDescent="0.3">
      <c r="A5473">
        <v>23301</v>
      </c>
      <c r="B5473" t="s">
        <v>11654</v>
      </c>
      <c r="C5473" s="3">
        <v>40903</v>
      </c>
      <c r="D5473" t="s">
        <v>62</v>
      </c>
      <c r="E5473">
        <v>19</v>
      </c>
      <c r="F5473" s="3">
        <f ca="1">40904+(RANDBETWEEN(1,10))</f>
        <v>40912</v>
      </c>
      <c r="G5473" t="s">
        <v>26</v>
      </c>
      <c r="H5473" t="s">
        <v>51</v>
      </c>
      <c r="I5473" t="s">
        <v>86</v>
      </c>
      <c r="J5473">
        <v>952.42</v>
      </c>
      <c r="K5473">
        <v>0</v>
      </c>
      <c r="L5473">
        <v>0.37</v>
      </c>
      <c r="M5473">
        <v>17.324999999999999</v>
      </c>
      <c r="N5473">
        <v>657.16980000000001</v>
      </c>
      <c r="O5473" s="1" t="s">
        <v>40</v>
      </c>
      <c r="P5473" s="1" t="s">
        <v>11226</v>
      </c>
      <c r="Q5473" s="1" t="s">
        <v>11227</v>
      </c>
      <c r="R5473" s="1" t="s">
        <v>43</v>
      </c>
      <c r="S5473" s="1" t="s">
        <v>44</v>
      </c>
      <c r="T5473" s="1" t="s">
        <v>11228</v>
      </c>
      <c r="U5473" s="2" t="s">
        <v>7119</v>
      </c>
      <c r="V5473" s="2" t="s">
        <v>83</v>
      </c>
      <c r="W5473" s="2" t="s">
        <v>178</v>
      </c>
      <c r="X5473" s="2">
        <v>46.9</v>
      </c>
    </row>
    <row r="5474" spans="1:24" x14ac:dyDescent="0.3">
      <c r="A5474">
        <v>23302</v>
      </c>
      <c r="B5474" t="s">
        <v>11655</v>
      </c>
      <c r="C5474" s="3">
        <v>40769</v>
      </c>
      <c r="D5474" t="s">
        <v>39</v>
      </c>
      <c r="E5474">
        <v>8</v>
      </c>
      <c r="F5474" s="3">
        <f ca="1">40770+(RANDBETWEEN(1,10))</f>
        <v>40773</v>
      </c>
      <c r="G5474" t="s">
        <v>26</v>
      </c>
      <c r="H5474" t="s">
        <v>51</v>
      </c>
      <c r="I5474" t="s">
        <v>86</v>
      </c>
      <c r="J5474">
        <v>245.56</v>
      </c>
      <c r="K5474">
        <v>0.01</v>
      </c>
      <c r="L5474">
        <v>0.52</v>
      </c>
      <c r="M5474">
        <v>6.9649999999999999</v>
      </c>
      <c r="N5474">
        <v>55.633200000000002</v>
      </c>
      <c r="O5474" s="1" t="s">
        <v>40</v>
      </c>
      <c r="P5474" s="1" t="s">
        <v>10523</v>
      </c>
      <c r="Q5474" s="1" t="s">
        <v>10524</v>
      </c>
      <c r="R5474" s="1" t="s">
        <v>43</v>
      </c>
      <c r="S5474" s="1" t="s">
        <v>10525</v>
      </c>
      <c r="T5474" s="1" t="s">
        <v>10526</v>
      </c>
      <c r="U5474" s="2" t="s">
        <v>2853</v>
      </c>
      <c r="V5474" s="2" t="s">
        <v>36</v>
      </c>
      <c r="W5474" s="2" t="s">
        <v>60</v>
      </c>
      <c r="X5474" s="2">
        <v>29.155000000000001</v>
      </c>
    </row>
    <row r="5475" spans="1:24" x14ac:dyDescent="0.3">
      <c r="A5475">
        <v>23303</v>
      </c>
      <c r="B5475" t="s">
        <v>11655</v>
      </c>
      <c r="C5475" s="3">
        <v>40769</v>
      </c>
      <c r="D5475" t="s">
        <v>39</v>
      </c>
      <c r="E5475">
        <v>17</v>
      </c>
      <c r="F5475" s="3">
        <f ca="1">40771+(RANDBETWEEN(1,10))</f>
        <v>40781</v>
      </c>
      <c r="G5475" t="s">
        <v>26</v>
      </c>
      <c r="H5475" t="s">
        <v>96</v>
      </c>
      <c r="I5475" t="s">
        <v>86</v>
      </c>
      <c r="J5475">
        <v>4341.9949999999999</v>
      </c>
      <c r="K5475">
        <v>0.04</v>
      </c>
      <c r="L5475">
        <v>0.55000000000000004</v>
      </c>
      <c r="M5475">
        <v>3.4649999999999999</v>
      </c>
      <c r="N5475">
        <v>2995.9765499999999</v>
      </c>
      <c r="O5475" s="1" t="s">
        <v>40</v>
      </c>
      <c r="P5475" s="1" t="s">
        <v>10523</v>
      </c>
      <c r="Q5475" s="1" t="s">
        <v>10524</v>
      </c>
      <c r="R5475" s="1" t="s">
        <v>43</v>
      </c>
      <c r="S5475" s="1" t="s">
        <v>10525</v>
      </c>
      <c r="T5475" s="1" t="s">
        <v>10526</v>
      </c>
      <c r="U5475" s="2" t="s">
        <v>5311</v>
      </c>
      <c r="V5475" s="2" t="s">
        <v>36</v>
      </c>
      <c r="W5475" s="2" t="s">
        <v>37</v>
      </c>
      <c r="X5475" s="2">
        <v>300.96499999999997</v>
      </c>
    </row>
    <row r="5476" spans="1:24" x14ac:dyDescent="0.3">
      <c r="A5476">
        <v>23304</v>
      </c>
      <c r="B5476" t="s">
        <v>11656</v>
      </c>
      <c r="C5476" s="3">
        <v>41796</v>
      </c>
      <c r="D5476" t="s">
        <v>148</v>
      </c>
      <c r="E5476">
        <v>8</v>
      </c>
      <c r="F5476" s="3">
        <f ca="1">41797+(RANDBETWEEN(1,10))</f>
        <v>41802</v>
      </c>
      <c r="G5476" t="s">
        <v>26</v>
      </c>
      <c r="H5476" t="s">
        <v>27</v>
      </c>
      <c r="I5476" t="s">
        <v>86</v>
      </c>
      <c r="J5476">
        <v>189.035</v>
      </c>
      <c r="K5476">
        <v>0.02</v>
      </c>
      <c r="L5476">
        <v>0.37</v>
      </c>
      <c r="M5476">
        <v>23.59</v>
      </c>
      <c r="N5476">
        <v>92.652000000000001</v>
      </c>
      <c r="O5476" s="1" t="s">
        <v>87</v>
      </c>
      <c r="P5476" s="1" t="s">
        <v>6487</v>
      </c>
      <c r="Q5476" s="1" t="s">
        <v>6488</v>
      </c>
      <c r="R5476" s="1" t="s">
        <v>497</v>
      </c>
      <c r="S5476" s="1" t="s">
        <v>6489</v>
      </c>
      <c r="T5476" s="1" t="s">
        <v>6490</v>
      </c>
      <c r="U5476" s="2" t="s">
        <v>2671</v>
      </c>
      <c r="V5476" s="2" t="s">
        <v>47</v>
      </c>
      <c r="W5476" s="2" t="s">
        <v>74</v>
      </c>
      <c r="X5476" s="2">
        <v>22.68</v>
      </c>
    </row>
    <row r="5477" spans="1:24" x14ac:dyDescent="0.3">
      <c r="A5477">
        <v>23305</v>
      </c>
      <c r="B5477" t="s">
        <v>11657</v>
      </c>
      <c r="C5477" s="3">
        <v>41678</v>
      </c>
      <c r="D5477" t="s">
        <v>50</v>
      </c>
      <c r="E5477">
        <v>7</v>
      </c>
      <c r="F5477" s="3">
        <f ca="1">41679+(RANDBETWEEN(1,10))</f>
        <v>41689</v>
      </c>
      <c r="G5477" t="s">
        <v>26</v>
      </c>
      <c r="H5477" t="s">
        <v>27</v>
      </c>
      <c r="I5477" t="s">
        <v>52</v>
      </c>
      <c r="J5477">
        <v>143.29</v>
      </c>
      <c r="K5477">
        <v>0.1</v>
      </c>
      <c r="L5477">
        <v>0.38</v>
      </c>
      <c r="M5477">
        <v>34.72</v>
      </c>
      <c r="N5477">
        <v>-738.70825000000002</v>
      </c>
      <c r="O5477" s="1" t="s">
        <v>40</v>
      </c>
      <c r="P5477" s="1" t="s">
        <v>6061</v>
      </c>
      <c r="Q5477" s="1" t="s">
        <v>6062</v>
      </c>
      <c r="R5477" s="1" t="s">
        <v>43</v>
      </c>
      <c r="S5477" s="1" t="s">
        <v>6063</v>
      </c>
      <c r="T5477" s="1" t="s">
        <v>6064</v>
      </c>
      <c r="U5477" s="2" t="s">
        <v>7238</v>
      </c>
      <c r="V5477" s="2" t="s">
        <v>47</v>
      </c>
      <c r="W5477" s="2" t="s">
        <v>111</v>
      </c>
      <c r="X5477" s="2">
        <v>20.79</v>
      </c>
    </row>
    <row r="5478" spans="1:24" x14ac:dyDescent="0.3">
      <c r="A5478">
        <v>23306</v>
      </c>
      <c r="B5478" t="s">
        <v>11657</v>
      </c>
      <c r="C5478" s="3">
        <v>41678</v>
      </c>
      <c r="D5478" t="s">
        <v>50</v>
      </c>
      <c r="E5478">
        <v>6</v>
      </c>
      <c r="F5478" s="3">
        <f ca="1">41679+(RANDBETWEEN(1,10))</f>
        <v>41684</v>
      </c>
      <c r="G5478" t="s">
        <v>26</v>
      </c>
      <c r="H5478" t="s">
        <v>27</v>
      </c>
      <c r="I5478" t="s">
        <v>52</v>
      </c>
      <c r="J5478">
        <v>1091.93</v>
      </c>
      <c r="K5478">
        <v>0.1</v>
      </c>
      <c r="L5478">
        <v>0.55000000000000004</v>
      </c>
      <c r="M5478">
        <v>8.75</v>
      </c>
      <c r="N5478">
        <v>652.45950000000005</v>
      </c>
      <c r="O5478" s="1" t="s">
        <v>40</v>
      </c>
      <c r="P5478" s="1" t="s">
        <v>6061</v>
      </c>
      <c r="Q5478" s="1" t="s">
        <v>6062</v>
      </c>
      <c r="R5478" s="1" t="s">
        <v>43</v>
      </c>
      <c r="S5478" s="1" t="s">
        <v>6063</v>
      </c>
      <c r="T5478" s="1" t="s">
        <v>6064</v>
      </c>
      <c r="U5478" s="2">
        <v>6190</v>
      </c>
      <c r="V5478" s="2" t="s">
        <v>36</v>
      </c>
      <c r="W5478" s="2" t="s">
        <v>37</v>
      </c>
      <c r="X5478" s="2">
        <v>230.965</v>
      </c>
    </row>
    <row r="5479" spans="1:24" x14ac:dyDescent="0.3">
      <c r="A5479">
        <v>23307</v>
      </c>
      <c r="B5479" t="s">
        <v>11658</v>
      </c>
      <c r="C5479" s="3">
        <v>41967</v>
      </c>
      <c r="D5479" t="s">
        <v>25</v>
      </c>
      <c r="E5479">
        <v>6</v>
      </c>
      <c r="F5479" s="3">
        <f ca="1">41972+(RANDBETWEEN(1,10))</f>
        <v>41982</v>
      </c>
      <c r="G5479" t="s">
        <v>156</v>
      </c>
      <c r="H5479" t="s">
        <v>27</v>
      </c>
      <c r="I5479" t="s">
        <v>52</v>
      </c>
      <c r="J5479">
        <v>127.995</v>
      </c>
      <c r="K5479">
        <v>0.09</v>
      </c>
      <c r="L5479">
        <v>0.6</v>
      </c>
      <c r="M5479">
        <v>24.114999999999998</v>
      </c>
      <c r="N5479">
        <v>2043.09</v>
      </c>
      <c r="O5479" s="1" t="s">
        <v>53</v>
      </c>
      <c r="P5479" s="1" t="s">
        <v>8114</v>
      </c>
      <c r="Q5479" s="1" t="s">
        <v>8115</v>
      </c>
      <c r="R5479" s="1" t="s">
        <v>100</v>
      </c>
      <c r="S5479" s="1" t="s">
        <v>8116</v>
      </c>
      <c r="T5479" s="1" t="s">
        <v>6127</v>
      </c>
      <c r="U5479" s="2" t="s">
        <v>3815</v>
      </c>
      <c r="V5479" s="2" t="s">
        <v>47</v>
      </c>
      <c r="W5479" s="2" t="s">
        <v>71</v>
      </c>
      <c r="X5479" s="2">
        <v>14.21</v>
      </c>
    </row>
    <row r="5480" spans="1:24" x14ac:dyDescent="0.3">
      <c r="A5480">
        <v>23308</v>
      </c>
      <c r="B5480" t="s">
        <v>11658</v>
      </c>
      <c r="C5480" s="3">
        <v>41967</v>
      </c>
      <c r="D5480" t="s">
        <v>25</v>
      </c>
      <c r="E5480">
        <v>16</v>
      </c>
      <c r="F5480" s="3">
        <f ca="1">41971+(RANDBETWEEN(1,10))</f>
        <v>41980</v>
      </c>
      <c r="G5480" t="s">
        <v>26</v>
      </c>
      <c r="H5480" t="s">
        <v>27</v>
      </c>
      <c r="I5480" t="s">
        <v>52</v>
      </c>
      <c r="J5480">
        <v>2039.59</v>
      </c>
      <c r="K5480">
        <v>0.01</v>
      </c>
      <c r="L5480">
        <v>0.38</v>
      </c>
      <c r="M5480">
        <v>17.815000000000001</v>
      </c>
      <c r="N5480">
        <v>-130.928</v>
      </c>
      <c r="O5480" s="1" t="s">
        <v>53</v>
      </c>
      <c r="P5480" s="1" t="s">
        <v>8114</v>
      </c>
      <c r="Q5480" s="1" t="s">
        <v>8115</v>
      </c>
      <c r="R5480" s="1" t="s">
        <v>100</v>
      </c>
      <c r="S5480" s="1" t="s">
        <v>8116</v>
      </c>
      <c r="T5480" s="1" t="s">
        <v>6127</v>
      </c>
      <c r="U5480" s="2" t="s">
        <v>4048</v>
      </c>
      <c r="V5480" s="2" t="s">
        <v>47</v>
      </c>
      <c r="W5480" s="2" t="s">
        <v>74</v>
      </c>
      <c r="X5480" s="2">
        <v>124.04</v>
      </c>
    </row>
    <row r="5481" spans="1:24" x14ac:dyDescent="0.3">
      <c r="A5481">
        <v>23309</v>
      </c>
      <c r="B5481" t="s">
        <v>11658</v>
      </c>
      <c r="C5481" s="3">
        <v>41967</v>
      </c>
      <c r="D5481" t="s">
        <v>25</v>
      </c>
      <c r="E5481">
        <v>11</v>
      </c>
      <c r="F5481" s="3">
        <f ca="1">41972+(RANDBETWEEN(1,10))</f>
        <v>41982</v>
      </c>
      <c r="G5481" t="s">
        <v>76</v>
      </c>
      <c r="H5481" t="s">
        <v>77</v>
      </c>
      <c r="I5481" t="s">
        <v>52</v>
      </c>
      <c r="J5481">
        <v>4701.2700000000004</v>
      </c>
      <c r="K5481">
        <v>0.01</v>
      </c>
      <c r="L5481">
        <v>0.69</v>
      </c>
      <c r="M5481">
        <v>105</v>
      </c>
      <c r="N5481">
        <v>-60.661999999999999</v>
      </c>
      <c r="O5481" s="1" t="s">
        <v>40</v>
      </c>
      <c r="P5481" s="1" t="s">
        <v>11659</v>
      </c>
      <c r="Q5481" s="1" t="s">
        <v>11660</v>
      </c>
      <c r="R5481" s="1" t="s">
        <v>43</v>
      </c>
      <c r="S5481" s="1" t="s">
        <v>2055</v>
      </c>
      <c r="T5481" s="1" t="s">
        <v>2056</v>
      </c>
      <c r="U5481" s="2" t="s">
        <v>1513</v>
      </c>
      <c r="V5481" s="2" t="s">
        <v>83</v>
      </c>
      <c r="W5481" s="2" t="s">
        <v>84</v>
      </c>
      <c r="X5481" s="2">
        <v>398.93</v>
      </c>
    </row>
    <row r="5482" spans="1:24" x14ac:dyDescent="0.3">
      <c r="A5482">
        <v>23310</v>
      </c>
      <c r="B5482" t="s">
        <v>11661</v>
      </c>
      <c r="C5482" s="3">
        <v>41637</v>
      </c>
      <c r="D5482" t="s">
        <v>39</v>
      </c>
      <c r="E5482">
        <v>7</v>
      </c>
      <c r="F5482" s="3">
        <f ca="1">41638+(RANDBETWEEN(1,10))</f>
        <v>41643</v>
      </c>
      <c r="G5482" t="s">
        <v>26</v>
      </c>
      <c r="H5482" t="s">
        <v>96</v>
      </c>
      <c r="I5482" t="s">
        <v>28</v>
      </c>
      <c r="J5482">
        <v>64.295000000000002</v>
      </c>
      <c r="K5482">
        <v>0.09</v>
      </c>
      <c r="L5482">
        <v>0.59</v>
      </c>
      <c r="M5482">
        <v>3.395</v>
      </c>
      <c r="N5482">
        <v>-9.3800000000000008</v>
      </c>
      <c r="O5482" s="1" t="s">
        <v>87</v>
      </c>
      <c r="P5482" s="1" t="s">
        <v>11662</v>
      </c>
      <c r="Q5482" s="1" t="s">
        <v>11663</v>
      </c>
      <c r="R5482" s="1" t="s">
        <v>90</v>
      </c>
      <c r="S5482" s="1" t="s">
        <v>10921</v>
      </c>
      <c r="T5482" s="1" t="s">
        <v>10922</v>
      </c>
      <c r="U5482" s="2" t="s">
        <v>4579</v>
      </c>
      <c r="V5482" s="2" t="s">
        <v>47</v>
      </c>
      <c r="W5482" s="2" t="s">
        <v>104</v>
      </c>
      <c r="X5482" s="2">
        <v>9.73</v>
      </c>
    </row>
    <row r="5483" spans="1:24" x14ac:dyDescent="0.3">
      <c r="A5483">
        <v>23311</v>
      </c>
      <c r="B5483" t="s">
        <v>11661</v>
      </c>
      <c r="C5483" s="3">
        <v>41637</v>
      </c>
      <c r="D5483" t="s">
        <v>39</v>
      </c>
      <c r="E5483">
        <v>25</v>
      </c>
      <c r="F5483" s="3">
        <f ca="1">41639+(RANDBETWEEN(1,10))</f>
        <v>41641</v>
      </c>
      <c r="G5483" t="s">
        <v>26</v>
      </c>
      <c r="H5483" t="s">
        <v>27</v>
      </c>
      <c r="I5483" t="s">
        <v>28</v>
      </c>
      <c r="J5483">
        <v>326.935</v>
      </c>
      <c r="K5483">
        <v>0.01</v>
      </c>
      <c r="L5483">
        <v>0.38</v>
      </c>
      <c r="M5483">
        <v>1.75</v>
      </c>
      <c r="N5483">
        <v>225.58515</v>
      </c>
      <c r="O5483" s="1" t="s">
        <v>40</v>
      </c>
      <c r="P5483" s="1" t="s">
        <v>11664</v>
      </c>
      <c r="Q5483" s="1" t="s">
        <v>11665</v>
      </c>
      <c r="R5483" s="1" t="s">
        <v>220</v>
      </c>
      <c r="S5483" s="1" t="s">
        <v>11666</v>
      </c>
      <c r="T5483" s="1" t="s">
        <v>11667</v>
      </c>
      <c r="U5483" s="2" t="s">
        <v>702</v>
      </c>
      <c r="V5483" s="2" t="s">
        <v>47</v>
      </c>
      <c r="W5483" s="2" t="s">
        <v>203</v>
      </c>
      <c r="X5483" s="2">
        <v>12.914999999999999</v>
      </c>
    </row>
    <row r="5484" spans="1:24" x14ac:dyDescent="0.3">
      <c r="A5484">
        <v>23312</v>
      </c>
      <c r="B5484" t="s">
        <v>11668</v>
      </c>
      <c r="C5484" s="3">
        <v>40855</v>
      </c>
      <c r="D5484" t="s">
        <v>50</v>
      </c>
      <c r="E5484">
        <v>14</v>
      </c>
      <c r="F5484" s="3">
        <f ca="1">40856+(RANDBETWEEN(1,10))</f>
        <v>40862</v>
      </c>
      <c r="G5484" t="s">
        <v>26</v>
      </c>
      <c r="H5484" t="s">
        <v>51</v>
      </c>
      <c r="I5484" t="s">
        <v>28</v>
      </c>
      <c r="J5484">
        <v>687.43499999999995</v>
      </c>
      <c r="K5484">
        <v>0.08</v>
      </c>
      <c r="L5484">
        <v>0.56000000000000005</v>
      </c>
      <c r="M5484">
        <v>26.565000000000001</v>
      </c>
      <c r="N5484">
        <v>34.517000000000003</v>
      </c>
      <c r="O5484" s="1" t="s">
        <v>29</v>
      </c>
      <c r="P5484" s="1" t="s">
        <v>3779</v>
      </c>
      <c r="Q5484" s="1" t="s">
        <v>3780</v>
      </c>
      <c r="R5484" s="1" t="s">
        <v>460</v>
      </c>
      <c r="S5484" s="1" t="s">
        <v>3781</v>
      </c>
      <c r="T5484" s="1" t="s">
        <v>3782</v>
      </c>
      <c r="U5484" s="2" t="s">
        <v>2877</v>
      </c>
      <c r="V5484" s="2" t="s">
        <v>47</v>
      </c>
      <c r="W5484" s="2" t="s">
        <v>94</v>
      </c>
      <c r="X5484" s="2">
        <v>48.65</v>
      </c>
    </row>
    <row r="5485" spans="1:24" x14ac:dyDescent="0.3">
      <c r="A5485">
        <v>23313</v>
      </c>
      <c r="B5485" t="s">
        <v>11669</v>
      </c>
      <c r="C5485" s="3">
        <v>40626</v>
      </c>
      <c r="D5485" t="s">
        <v>25</v>
      </c>
      <c r="E5485">
        <v>2</v>
      </c>
      <c r="F5485" s="3">
        <f ca="1">40628+(RANDBETWEEN(1,10))</f>
        <v>40631</v>
      </c>
      <c r="G5485" t="s">
        <v>26</v>
      </c>
      <c r="H5485" t="s">
        <v>51</v>
      </c>
      <c r="I5485" t="s">
        <v>86</v>
      </c>
      <c r="J5485">
        <v>70.77</v>
      </c>
      <c r="K5485">
        <v>0.08</v>
      </c>
      <c r="L5485">
        <v>0.45</v>
      </c>
      <c r="M5485">
        <v>25.515000000000001</v>
      </c>
      <c r="N5485">
        <v>-176.4</v>
      </c>
      <c r="O5485" s="1" t="s">
        <v>64</v>
      </c>
      <c r="P5485" s="1" t="s">
        <v>9042</v>
      </c>
      <c r="Q5485" s="1" t="s">
        <v>9043</v>
      </c>
      <c r="R5485" s="1" t="s">
        <v>128</v>
      </c>
      <c r="S5485" s="1" t="s">
        <v>9044</v>
      </c>
      <c r="T5485" s="1" t="s">
        <v>9045</v>
      </c>
      <c r="U5485" s="2" t="s">
        <v>2315</v>
      </c>
      <c r="V5485" s="2" t="s">
        <v>83</v>
      </c>
      <c r="W5485" s="2" t="s">
        <v>178</v>
      </c>
      <c r="X5485" s="2">
        <v>33.18</v>
      </c>
    </row>
    <row r="5486" spans="1:24" x14ac:dyDescent="0.3">
      <c r="A5486">
        <v>23314</v>
      </c>
      <c r="B5486" t="s">
        <v>11669</v>
      </c>
      <c r="C5486" s="3">
        <v>40626</v>
      </c>
      <c r="D5486" t="s">
        <v>25</v>
      </c>
      <c r="E5486">
        <v>8</v>
      </c>
      <c r="F5486" s="3">
        <f ca="1">40630+(RANDBETWEEN(1,10))</f>
        <v>40636</v>
      </c>
      <c r="G5486" t="s">
        <v>26</v>
      </c>
      <c r="H5486" t="s">
        <v>27</v>
      </c>
      <c r="I5486" t="s">
        <v>86</v>
      </c>
      <c r="J5486">
        <v>5421.3950000000004</v>
      </c>
      <c r="K5486">
        <v>0.03</v>
      </c>
      <c r="L5486">
        <v>0.71</v>
      </c>
      <c r="M5486">
        <v>69.965000000000003</v>
      </c>
      <c r="N5486">
        <v>-1220.6389999999999</v>
      </c>
      <c r="O5486" s="1" t="s">
        <v>64</v>
      </c>
      <c r="P5486" s="1" t="s">
        <v>9042</v>
      </c>
      <c r="Q5486" s="1" t="s">
        <v>9043</v>
      </c>
      <c r="R5486" s="1" t="s">
        <v>128</v>
      </c>
      <c r="S5486" s="1" t="s">
        <v>9044</v>
      </c>
      <c r="T5486" s="1" t="s">
        <v>9045</v>
      </c>
      <c r="U5486" s="2" t="s">
        <v>624</v>
      </c>
      <c r="V5486" s="2" t="s">
        <v>47</v>
      </c>
      <c r="W5486" s="2" t="s">
        <v>119</v>
      </c>
      <c r="X5486" s="2">
        <v>676.09500000000003</v>
      </c>
    </row>
    <row r="5487" spans="1:24" x14ac:dyDescent="0.3">
      <c r="A5487">
        <v>23315</v>
      </c>
      <c r="B5487" t="s">
        <v>11670</v>
      </c>
      <c r="C5487" s="3">
        <v>41947</v>
      </c>
      <c r="D5487" t="s">
        <v>39</v>
      </c>
      <c r="E5487">
        <v>21</v>
      </c>
      <c r="F5487" s="3">
        <f ca="1">41947+(RANDBETWEEN(1,10))</f>
        <v>41956</v>
      </c>
      <c r="G5487" t="s">
        <v>76</v>
      </c>
      <c r="H5487" t="s">
        <v>77</v>
      </c>
      <c r="I5487" t="s">
        <v>52</v>
      </c>
      <c r="J5487">
        <v>20058.57</v>
      </c>
      <c r="K5487">
        <v>0.09</v>
      </c>
      <c r="L5487">
        <v>0.56000000000000005</v>
      </c>
      <c r="M5487">
        <v>170.8</v>
      </c>
      <c r="N5487">
        <v>7015.5377600000002</v>
      </c>
      <c r="O5487" s="1" t="s">
        <v>53</v>
      </c>
      <c r="P5487" s="1" t="s">
        <v>6297</v>
      </c>
      <c r="Q5487" s="1" t="s">
        <v>6298</v>
      </c>
      <c r="R5487" s="1" t="s">
        <v>100</v>
      </c>
      <c r="S5487" s="1" t="s">
        <v>3199</v>
      </c>
      <c r="T5487" s="1" t="s">
        <v>3200</v>
      </c>
      <c r="U5487" s="2" t="s">
        <v>2173</v>
      </c>
      <c r="V5487" s="2" t="s">
        <v>83</v>
      </c>
      <c r="W5487" s="2" t="s">
        <v>84</v>
      </c>
      <c r="X5487" s="2">
        <v>1021.0549999999999</v>
      </c>
    </row>
    <row r="5488" spans="1:24" x14ac:dyDescent="0.3">
      <c r="A5488">
        <v>23316</v>
      </c>
      <c r="B5488" t="s">
        <v>11671</v>
      </c>
      <c r="C5488" s="3">
        <v>41842</v>
      </c>
      <c r="D5488" t="s">
        <v>25</v>
      </c>
      <c r="E5488">
        <v>15</v>
      </c>
      <c r="F5488" s="3">
        <f ca="1">41844+(RANDBETWEEN(1,10))</f>
        <v>41845</v>
      </c>
      <c r="G5488" t="s">
        <v>26</v>
      </c>
      <c r="H5488" t="s">
        <v>27</v>
      </c>
      <c r="I5488" t="s">
        <v>97</v>
      </c>
      <c r="J5488">
        <v>602.55999999999995</v>
      </c>
      <c r="K5488">
        <v>0.06</v>
      </c>
      <c r="L5488">
        <v>0.57999999999999996</v>
      </c>
      <c r="M5488">
        <v>17.43</v>
      </c>
      <c r="N5488">
        <v>29.631</v>
      </c>
      <c r="O5488" s="1" t="s">
        <v>40</v>
      </c>
      <c r="P5488" s="1" t="s">
        <v>9302</v>
      </c>
      <c r="Q5488" s="1" t="s">
        <v>9303</v>
      </c>
      <c r="R5488" s="1" t="s">
        <v>43</v>
      </c>
      <c r="S5488" s="1" t="s">
        <v>9304</v>
      </c>
      <c r="T5488" s="1" t="s">
        <v>9305</v>
      </c>
      <c r="U5488" s="2" t="s">
        <v>5213</v>
      </c>
      <c r="V5488" s="2" t="s">
        <v>47</v>
      </c>
      <c r="W5488" s="2" t="s">
        <v>71</v>
      </c>
      <c r="X5488" s="2">
        <v>41.895000000000003</v>
      </c>
    </row>
    <row r="5489" spans="1:24" x14ac:dyDescent="0.3">
      <c r="A5489">
        <v>23317</v>
      </c>
      <c r="B5489" t="s">
        <v>11672</v>
      </c>
      <c r="C5489" s="3">
        <v>40746</v>
      </c>
      <c r="D5489" t="s">
        <v>25</v>
      </c>
      <c r="E5489">
        <v>12</v>
      </c>
      <c r="F5489" s="3">
        <f ca="1">40753+(RANDBETWEEN(1,10))</f>
        <v>40763</v>
      </c>
      <c r="G5489" t="s">
        <v>26</v>
      </c>
      <c r="H5489" t="s">
        <v>96</v>
      </c>
      <c r="I5489" t="s">
        <v>97</v>
      </c>
      <c r="J5489">
        <v>293.755</v>
      </c>
      <c r="K5489">
        <v>0.06</v>
      </c>
      <c r="L5489">
        <v>0.38</v>
      </c>
      <c r="M5489">
        <v>5.6</v>
      </c>
      <c r="N5489">
        <v>-343.19600000000003</v>
      </c>
      <c r="O5489" s="1" t="s">
        <v>40</v>
      </c>
      <c r="P5489" s="1" t="s">
        <v>9302</v>
      </c>
      <c r="Q5489" s="1" t="s">
        <v>9303</v>
      </c>
      <c r="R5489" s="1" t="s">
        <v>43</v>
      </c>
      <c r="S5489" s="1" t="s">
        <v>9304</v>
      </c>
      <c r="T5489" s="1" t="s">
        <v>9305</v>
      </c>
      <c r="U5489" s="2" t="s">
        <v>4250</v>
      </c>
      <c r="V5489" s="2" t="s">
        <v>47</v>
      </c>
      <c r="W5489" s="2" t="s">
        <v>74</v>
      </c>
      <c r="X5489" s="2">
        <v>24.43</v>
      </c>
    </row>
    <row r="5490" spans="1:24" x14ac:dyDescent="0.3">
      <c r="A5490">
        <v>23318</v>
      </c>
      <c r="B5490" t="s">
        <v>11673</v>
      </c>
      <c r="C5490" s="3">
        <v>41387</v>
      </c>
      <c r="D5490" t="s">
        <v>148</v>
      </c>
      <c r="E5490">
        <v>13</v>
      </c>
      <c r="F5490" s="3">
        <f ca="1">41389+(RANDBETWEEN(1,10))</f>
        <v>41390</v>
      </c>
      <c r="G5490" t="s">
        <v>26</v>
      </c>
      <c r="H5490" t="s">
        <v>27</v>
      </c>
      <c r="I5490" t="s">
        <v>52</v>
      </c>
      <c r="J5490">
        <v>329.42</v>
      </c>
      <c r="K5490">
        <v>0.03</v>
      </c>
      <c r="L5490">
        <v>0.39</v>
      </c>
      <c r="M5490">
        <v>21.63</v>
      </c>
      <c r="N5490">
        <v>139.35599999999999</v>
      </c>
      <c r="O5490" s="1" t="s">
        <v>53</v>
      </c>
      <c r="P5490" s="1" t="s">
        <v>11674</v>
      </c>
      <c r="Q5490" s="1" t="s">
        <v>11675</v>
      </c>
      <c r="R5490" s="1" t="s">
        <v>56</v>
      </c>
      <c r="S5490" s="1" t="s">
        <v>11676</v>
      </c>
      <c r="T5490" s="1" t="s">
        <v>11677</v>
      </c>
      <c r="U5490" s="2" t="s">
        <v>1445</v>
      </c>
      <c r="V5490" s="2" t="s">
        <v>47</v>
      </c>
      <c r="W5490" s="2" t="s">
        <v>74</v>
      </c>
      <c r="X5490" s="2">
        <v>23.73</v>
      </c>
    </row>
    <row r="5491" spans="1:24" x14ac:dyDescent="0.3">
      <c r="A5491">
        <v>23319</v>
      </c>
      <c r="B5491" t="s">
        <v>11678</v>
      </c>
      <c r="C5491" s="3">
        <v>41384</v>
      </c>
      <c r="D5491" t="s">
        <v>25</v>
      </c>
      <c r="E5491">
        <v>6</v>
      </c>
      <c r="F5491" s="3">
        <f ca="1">41389+(RANDBETWEEN(1,10))</f>
        <v>41399</v>
      </c>
      <c r="G5491" t="s">
        <v>26</v>
      </c>
      <c r="H5491" t="s">
        <v>27</v>
      </c>
      <c r="I5491" t="s">
        <v>28</v>
      </c>
      <c r="J5491">
        <v>447.54500000000002</v>
      </c>
      <c r="K5491">
        <v>0.04</v>
      </c>
      <c r="L5491">
        <v>0.77</v>
      </c>
      <c r="M5491">
        <v>14</v>
      </c>
      <c r="N5491">
        <v>-199.815</v>
      </c>
      <c r="O5491" s="1" t="s">
        <v>29</v>
      </c>
      <c r="P5491" s="1" t="s">
        <v>11679</v>
      </c>
      <c r="Q5491" s="1" t="s">
        <v>11680</v>
      </c>
      <c r="R5491" s="1" t="s">
        <v>32</v>
      </c>
      <c r="S5491" s="1" t="s">
        <v>3320</v>
      </c>
      <c r="T5491" s="1" t="s">
        <v>3321</v>
      </c>
      <c r="U5491" s="2" t="s">
        <v>1138</v>
      </c>
      <c r="V5491" s="2" t="s">
        <v>36</v>
      </c>
      <c r="W5491" s="2" t="s">
        <v>60</v>
      </c>
      <c r="X5491" s="2">
        <v>73.394999999999996</v>
      </c>
    </row>
    <row r="5492" spans="1:24" x14ac:dyDescent="0.3">
      <c r="A5492">
        <v>23320</v>
      </c>
      <c r="B5492" t="s">
        <v>11678</v>
      </c>
      <c r="C5492" s="3">
        <v>41384</v>
      </c>
      <c r="D5492" t="s">
        <v>25</v>
      </c>
      <c r="E5492">
        <v>12</v>
      </c>
      <c r="F5492" s="3">
        <f ca="1">41386+(RANDBETWEEN(1,10))</f>
        <v>41389</v>
      </c>
      <c r="G5492" t="s">
        <v>26</v>
      </c>
      <c r="H5492" t="s">
        <v>27</v>
      </c>
      <c r="I5492" t="s">
        <v>28</v>
      </c>
      <c r="J5492">
        <v>206.185</v>
      </c>
      <c r="K5492">
        <v>0.01</v>
      </c>
      <c r="L5492">
        <v>0.36</v>
      </c>
      <c r="M5492">
        <v>1.75</v>
      </c>
      <c r="N5492">
        <v>142.26765</v>
      </c>
      <c r="O5492" s="1" t="s">
        <v>29</v>
      </c>
      <c r="P5492" s="1" t="s">
        <v>11679</v>
      </c>
      <c r="Q5492" s="1" t="s">
        <v>11680</v>
      </c>
      <c r="R5492" s="1" t="s">
        <v>32</v>
      </c>
      <c r="S5492" s="1" t="s">
        <v>3320</v>
      </c>
      <c r="T5492" s="1" t="s">
        <v>3321</v>
      </c>
      <c r="U5492" s="2" t="s">
        <v>2281</v>
      </c>
      <c r="V5492" s="2" t="s">
        <v>47</v>
      </c>
      <c r="W5492" s="2" t="s">
        <v>203</v>
      </c>
      <c r="X5492" s="2">
        <v>17.184999999999999</v>
      </c>
    </row>
    <row r="5493" spans="1:24" x14ac:dyDescent="0.3">
      <c r="A5493">
        <v>23321</v>
      </c>
      <c r="B5493" t="s">
        <v>11681</v>
      </c>
      <c r="C5493" s="3">
        <v>41911</v>
      </c>
      <c r="D5493" t="s">
        <v>50</v>
      </c>
      <c r="E5493">
        <v>15</v>
      </c>
      <c r="F5493" s="3">
        <f ca="1">41913+(RANDBETWEEN(1,10))</f>
        <v>41916</v>
      </c>
      <c r="G5493" t="s">
        <v>26</v>
      </c>
      <c r="H5493" t="s">
        <v>27</v>
      </c>
      <c r="I5493" t="s">
        <v>28</v>
      </c>
      <c r="J5493">
        <v>483.56</v>
      </c>
      <c r="K5493">
        <v>0</v>
      </c>
      <c r="L5493">
        <v>0.38</v>
      </c>
      <c r="M5493">
        <v>29.015000000000001</v>
      </c>
      <c r="N5493">
        <v>-272.70179999999999</v>
      </c>
      <c r="O5493" s="1" t="s">
        <v>87</v>
      </c>
      <c r="P5493" s="1" t="s">
        <v>11682</v>
      </c>
      <c r="Q5493" s="1" t="s">
        <v>11683</v>
      </c>
      <c r="R5493" s="1" t="s">
        <v>90</v>
      </c>
      <c r="S5493" s="1" t="s">
        <v>11684</v>
      </c>
      <c r="T5493" s="1" t="s">
        <v>8144</v>
      </c>
      <c r="U5493" s="2" t="s">
        <v>1682</v>
      </c>
      <c r="V5493" s="2" t="s">
        <v>47</v>
      </c>
      <c r="W5493" s="2" t="s">
        <v>48</v>
      </c>
      <c r="X5493" s="2">
        <v>30.59</v>
      </c>
    </row>
    <row r="5494" spans="1:24" x14ac:dyDescent="0.3">
      <c r="A5494">
        <v>23322</v>
      </c>
      <c r="B5494" t="s">
        <v>11685</v>
      </c>
      <c r="C5494" s="3">
        <v>40771</v>
      </c>
      <c r="D5494" t="s">
        <v>50</v>
      </c>
      <c r="E5494">
        <v>18</v>
      </c>
      <c r="F5494" s="3">
        <f ca="1">40773+(RANDBETWEEN(1,10))</f>
        <v>40779</v>
      </c>
      <c r="G5494" t="s">
        <v>156</v>
      </c>
      <c r="H5494" t="s">
        <v>27</v>
      </c>
      <c r="I5494" t="s">
        <v>28</v>
      </c>
      <c r="J5494">
        <v>1579.7249999999999</v>
      </c>
      <c r="K5494">
        <v>0.05</v>
      </c>
      <c r="L5494">
        <v>0.56000000000000005</v>
      </c>
      <c r="M5494">
        <v>18.795000000000002</v>
      </c>
      <c r="N5494">
        <v>771.25019999999995</v>
      </c>
      <c r="O5494" s="1" t="s">
        <v>87</v>
      </c>
      <c r="P5494" s="1" t="s">
        <v>2731</v>
      </c>
      <c r="Q5494" s="1" t="s">
        <v>2732</v>
      </c>
      <c r="R5494" s="1" t="s">
        <v>398</v>
      </c>
      <c r="S5494" s="1" t="s">
        <v>2733</v>
      </c>
      <c r="T5494" s="1" t="s">
        <v>735</v>
      </c>
      <c r="U5494" s="2" t="s">
        <v>6853</v>
      </c>
      <c r="V5494" s="2" t="s">
        <v>47</v>
      </c>
      <c r="W5494" s="2" t="s">
        <v>104</v>
      </c>
      <c r="X5494" s="2">
        <v>90.965000000000003</v>
      </c>
    </row>
    <row r="5495" spans="1:24" x14ac:dyDescent="0.3">
      <c r="A5495">
        <v>23323</v>
      </c>
      <c r="B5495" t="s">
        <v>11686</v>
      </c>
      <c r="C5495" s="3">
        <v>41846</v>
      </c>
      <c r="D5495" t="s">
        <v>50</v>
      </c>
      <c r="E5495">
        <v>11</v>
      </c>
      <c r="F5495" s="3">
        <f ca="1">41848+(RANDBETWEEN(1,10))</f>
        <v>41849</v>
      </c>
      <c r="G5495" t="s">
        <v>26</v>
      </c>
      <c r="H5495" t="s">
        <v>27</v>
      </c>
      <c r="I5495" t="s">
        <v>28</v>
      </c>
      <c r="J5495">
        <v>582.47</v>
      </c>
      <c r="K5495">
        <v>0.08</v>
      </c>
      <c r="L5495">
        <v>0.37</v>
      </c>
      <c r="M5495">
        <v>14</v>
      </c>
      <c r="N5495">
        <v>291.65472</v>
      </c>
      <c r="O5495" s="1" t="s">
        <v>29</v>
      </c>
      <c r="P5495" s="1" t="s">
        <v>11687</v>
      </c>
      <c r="Q5495" s="1" t="s">
        <v>11688</v>
      </c>
      <c r="R5495" s="1" t="s">
        <v>32</v>
      </c>
      <c r="S5495" s="1" t="s">
        <v>3029</v>
      </c>
      <c r="T5495" s="1" t="s">
        <v>3030</v>
      </c>
      <c r="U5495" s="2" t="s">
        <v>1006</v>
      </c>
      <c r="V5495" s="2" t="s">
        <v>36</v>
      </c>
      <c r="W5495" s="2" t="s">
        <v>60</v>
      </c>
      <c r="X5495" s="2">
        <v>55.93</v>
      </c>
    </row>
    <row r="5496" spans="1:24" x14ac:dyDescent="0.3">
      <c r="A5496">
        <v>23324</v>
      </c>
      <c r="B5496" t="s">
        <v>11689</v>
      </c>
      <c r="C5496" s="3">
        <v>40632</v>
      </c>
      <c r="D5496" t="s">
        <v>62</v>
      </c>
      <c r="E5496">
        <v>1</v>
      </c>
      <c r="F5496" s="3">
        <f ca="1">40634+(RANDBETWEEN(1,10))</f>
        <v>40643</v>
      </c>
      <c r="G5496" t="s">
        <v>26</v>
      </c>
      <c r="H5496" t="s">
        <v>27</v>
      </c>
      <c r="I5496" t="s">
        <v>86</v>
      </c>
      <c r="J5496">
        <v>50.82</v>
      </c>
      <c r="K5496">
        <v>0.01</v>
      </c>
      <c r="L5496">
        <v>0.36</v>
      </c>
      <c r="M5496">
        <v>17.535</v>
      </c>
      <c r="N5496">
        <v>-41.405000000000001</v>
      </c>
      <c r="O5496" s="1" t="s">
        <v>53</v>
      </c>
      <c r="P5496" s="1" t="s">
        <v>7538</v>
      </c>
      <c r="Q5496" s="1" t="s">
        <v>7539</v>
      </c>
      <c r="R5496" s="1" t="s">
        <v>440</v>
      </c>
      <c r="S5496" s="1" t="s">
        <v>7540</v>
      </c>
      <c r="T5496" s="1" t="s">
        <v>7541</v>
      </c>
      <c r="U5496" s="2" t="s">
        <v>4556</v>
      </c>
      <c r="V5496" s="2" t="s">
        <v>47</v>
      </c>
      <c r="W5496" s="2" t="s">
        <v>74</v>
      </c>
      <c r="X5496" s="2">
        <v>39.69</v>
      </c>
    </row>
    <row r="5497" spans="1:24" x14ac:dyDescent="0.3">
      <c r="A5497">
        <v>23325</v>
      </c>
      <c r="B5497" t="s">
        <v>11690</v>
      </c>
      <c r="C5497" s="3">
        <v>41148</v>
      </c>
      <c r="D5497" t="s">
        <v>148</v>
      </c>
      <c r="E5497">
        <v>1</v>
      </c>
      <c r="F5497" s="3">
        <f ca="1">41150+(RANDBETWEEN(1,10))</f>
        <v>41159</v>
      </c>
      <c r="G5497" t="s">
        <v>26</v>
      </c>
      <c r="H5497" t="s">
        <v>281</v>
      </c>
      <c r="I5497" t="s">
        <v>28</v>
      </c>
      <c r="J5497">
        <v>366.97500000000002</v>
      </c>
      <c r="K5497">
        <v>7.0000000000000007E-2</v>
      </c>
      <c r="L5497">
        <v>0.72</v>
      </c>
      <c r="M5497">
        <v>182.7</v>
      </c>
      <c r="N5497">
        <v>-178.92420000000001</v>
      </c>
      <c r="O5497" s="1" t="s">
        <v>29</v>
      </c>
      <c r="P5497" s="1" t="s">
        <v>11691</v>
      </c>
      <c r="Q5497" s="1" t="s">
        <v>11692</v>
      </c>
      <c r="R5497" s="1" t="s">
        <v>32</v>
      </c>
      <c r="S5497" s="1" t="s">
        <v>842</v>
      </c>
      <c r="T5497" s="1" t="s">
        <v>11693</v>
      </c>
      <c r="U5497" s="2" t="s">
        <v>7095</v>
      </c>
      <c r="V5497" s="2" t="s">
        <v>83</v>
      </c>
      <c r="W5497" s="2" t="s">
        <v>178</v>
      </c>
      <c r="X5497" s="2">
        <v>194.25</v>
      </c>
    </row>
    <row r="5498" spans="1:24" x14ac:dyDescent="0.3">
      <c r="A5498">
        <v>23326</v>
      </c>
      <c r="B5498" t="s">
        <v>11694</v>
      </c>
      <c r="C5498" s="3">
        <v>41636</v>
      </c>
      <c r="D5498" t="s">
        <v>50</v>
      </c>
      <c r="E5498">
        <v>16</v>
      </c>
      <c r="F5498" s="3">
        <f ca="1">41638+(RANDBETWEEN(1,10))</f>
        <v>41641</v>
      </c>
      <c r="G5498" t="s">
        <v>26</v>
      </c>
      <c r="H5498" t="s">
        <v>27</v>
      </c>
      <c r="I5498" t="s">
        <v>28</v>
      </c>
      <c r="J5498">
        <v>1715.14</v>
      </c>
      <c r="K5498">
        <v>0.09</v>
      </c>
      <c r="L5498">
        <v>0.4</v>
      </c>
      <c r="M5498">
        <v>20.16</v>
      </c>
      <c r="N5498">
        <v>113.88478499999999</v>
      </c>
      <c r="O5498" s="1" t="s">
        <v>64</v>
      </c>
      <c r="P5498" s="1" t="s">
        <v>4339</v>
      </c>
      <c r="Q5498" s="1" t="s">
        <v>4340</v>
      </c>
      <c r="R5498" s="1" t="s">
        <v>128</v>
      </c>
      <c r="S5498" s="1" t="s">
        <v>4341</v>
      </c>
      <c r="T5498" s="1" t="s">
        <v>4342</v>
      </c>
      <c r="U5498" s="2" t="s">
        <v>2045</v>
      </c>
      <c r="V5498" s="2" t="s">
        <v>47</v>
      </c>
      <c r="W5498" s="2" t="s">
        <v>74</v>
      </c>
      <c r="X5498" s="2">
        <v>108.43</v>
      </c>
    </row>
    <row r="5499" spans="1:24" x14ac:dyDescent="0.3">
      <c r="A5499">
        <v>23327</v>
      </c>
      <c r="B5499" t="s">
        <v>11695</v>
      </c>
      <c r="C5499" s="3">
        <v>41651</v>
      </c>
      <c r="D5499" t="s">
        <v>50</v>
      </c>
      <c r="E5499">
        <v>7</v>
      </c>
      <c r="F5499" s="3">
        <f ca="1">41654+(RANDBETWEEN(1,10))</f>
        <v>41661</v>
      </c>
      <c r="G5499" t="s">
        <v>26</v>
      </c>
      <c r="H5499" t="s">
        <v>27</v>
      </c>
      <c r="I5499" t="s">
        <v>28</v>
      </c>
      <c r="J5499">
        <v>1454.81</v>
      </c>
      <c r="K5499">
        <v>0.01</v>
      </c>
      <c r="L5499">
        <v>0.56999999999999995</v>
      </c>
      <c r="M5499">
        <v>13.965</v>
      </c>
      <c r="N5499">
        <v>1003.8189</v>
      </c>
      <c r="O5499" s="1" t="s">
        <v>64</v>
      </c>
      <c r="P5499" s="1" t="s">
        <v>9559</v>
      </c>
      <c r="Q5499" s="1" t="s">
        <v>9560</v>
      </c>
      <c r="R5499" s="1" t="s">
        <v>67</v>
      </c>
      <c r="S5499" s="1" t="s">
        <v>9561</v>
      </c>
      <c r="T5499" s="1" t="s">
        <v>9562</v>
      </c>
      <c r="U5499" s="2" t="s">
        <v>1024</v>
      </c>
      <c r="V5499" s="2" t="s">
        <v>47</v>
      </c>
      <c r="W5499" s="2" t="s">
        <v>71</v>
      </c>
      <c r="X5499" s="2">
        <v>209.93</v>
      </c>
    </row>
    <row r="5500" spans="1:24" x14ac:dyDescent="0.3">
      <c r="A5500">
        <v>23328</v>
      </c>
      <c r="B5500" t="s">
        <v>11696</v>
      </c>
      <c r="C5500" s="3">
        <v>41329</v>
      </c>
      <c r="D5500" t="s">
        <v>39</v>
      </c>
      <c r="E5500">
        <v>8</v>
      </c>
      <c r="F5500" s="3">
        <f ca="1">41331+(RANDBETWEEN(1,10))</f>
        <v>41339</v>
      </c>
      <c r="G5500" t="s">
        <v>26</v>
      </c>
      <c r="H5500" t="s">
        <v>51</v>
      </c>
      <c r="I5500" t="s">
        <v>97</v>
      </c>
      <c r="J5500">
        <v>316.36500000000001</v>
      </c>
      <c r="K5500">
        <v>0.04</v>
      </c>
      <c r="L5500">
        <v>0.56999999999999995</v>
      </c>
      <c r="M5500">
        <v>11.795</v>
      </c>
      <c r="N5500">
        <v>80.92</v>
      </c>
      <c r="O5500" s="1" t="s">
        <v>40</v>
      </c>
      <c r="P5500" s="1" t="s">
        <v>11697</v>
      </c>
      <c r="Q5500" s="1" t="s">
        <v>11698</v>
      </c>
      <c r="R5500" s="1" t="s">
        <v>43</v>
      </c>
      <c r="S5500" s="1" t="s">
        <v>1587</v>
      </c>
      <c r="T5500" s="1" t="s">
        <v>1588</v>
      </c>
      <c r="U5500" s="2" t="s">
        <v>5857</v>
      </c>
      <c r="V5500" s="2" t="s">
        <v>47</v>
      </c>
      <c r="W5500" s="2" t="s">
        <v>94</v>
      </c>
      <c r="X5500" s="2">
        <v>38.43</v>
      </c>
    </row>
    <row r="5501" spans="1:24" x14ac:dyDescent="0.3">
      <c r="A5501">
        <v>23329</v>
      </c>
      <c r="B5501" t="s">
        <v>11699</v>
      </c>
      <c r="C5501" s="3">
        <v>40899</v>
      </c>
      <c r="D5501" t="s">
        <v>62</v>
      </c>
      <c r="E5501">
        <v>14</v>
      </c>
      <c r="F5501" s="3">
        <f ca="1">40901+(RANDBETWEEN(1,10))</f>
        <v>40905</v>
      </c>
      <c r="G5501" t="s">
        <v>26</v>
      </c>
      <c r="H5501" t="s">
        <v>27</v>
      </c>
      <c r="I5501" t="s">
        <v>28</v>
      </c>
      <c r="J5501">
        <v>1010.345</v>
      </c>
      <c r="K5501">
        <v>0.09</v>
      </c>
      <c r="L5501">
        <v>0.35</v>
      </c>
      <c r="M5501">
        <v>5.2149999999999999</v>
      </c>
      <c r="N5501">
        <v>697.13805000000002</v>
      </c>
      <c r="O5501" s="1" t="s">
        <v>29</v>
      </c>
      <c r="P5501" s="1" t="s">
        <v>11700</v>
      </c>
      <c r="Q5501" s="1" t="s">
        <v>11701</v>
      </c>
      <c r="R5501" s="1" t="s">
        <v>675</v>
      </c>
      <c r="S5501" s="1" t="s">
        <v>11702</v>
      </c>
      <c r="T5501" s="1" t="s">
        <v>11703</v>
      </c>
      <c r="U5501" s="2" t="s">
        <v>3361</v>
      </c>
      <c r="V5501" s="2" t="s">
        <v>47</v>
      </c>
      <c r="W5501" s="2" t="s">
        <v>111</v>
      </c>
      <c r="X5501" s="2">
        <v>73.430000000000007</v>
      </c>
    </row>
    <row r="5502" spans="1:24" x14ac:dyDescent="0.3">
      <c r="A5502">
        <v>23330</v>
      </c>
      <c r="B5502" t="s">
        <v>11704</v>
      </c>
      <c r="C5502" s="3">
        <v>41567</v>
      </c>
      <c r="D5502" t="s">
        <v>39</v>
      </c>
      <c r="E5502">
        <v>12</v>
      </c>
      <c r="F5502" s="3">
        <f ca="1">41569+(RANDBETWEEN(1,10))</f>
        <v>41578</v>
      </c>
      <c r="G5502" t="s">
        <v>26</v>
      </c>
      <c r="H5502" t="s">
        <v>27</v>
      </c>
      <c r="I5502" t="s">
        <v>86</v>
      </c>
      <c r="J5502">
        <v>285.88</v>
      </c>
      <c r="K5502">
        <v>0.04</v>
      </c>
      <c r="L5502">
        <v>0.37</v>
      </c>
      <c r="M5502">
        <v>23.1</v>
      </c>
      <c r="N5502">
        <v>-247.74119999999999</v>
      </c>
      <c r="O5502" s="1" t="s">
        <v>225</v>
      </c>
      <c r="P5502" s="1" t="s">
        <v>7751</v>
      </c>
      <c r="Q5502" s="1" t="s">
        <v>7752</v>
      </c>
      <c r="R5502" s="1" t="s">
        <v>228</v>
      </c>
      <c r="S5502" s="1" t="s">
        <v>7753</v>
      </c>
      <c r="T5502" s="1" t="s">
        <v>7754</v>
      </c>
      <c r="U5502" s="2" t="s">
        <v>241</v>
      </c>
      <c r="V5502" s="2" t="s">
        <v>47</v>
      </c>
      <c r="W5502" s="2" t="s">
        <v>74</v>
      </c>
      <c r="X5502" s="2">
        <v>22.68</v>
      </c>
    </row>
    <row r="5503" spans="1:24" x14ac:dyDescent="0.3">
      <c r="A5503">
        <v>23331</v>
      </c>
      <c r="B5503" t="s">
        <v>11704</v>
      </c>
      <c r="C5503" s="3">
        <v>41567</v>
      </c>
      <c r="D5503" t="s">
        <v>39</v>
      </c>
      <c r="E5503">
        <v>10</v>
      </c>
      <c r="F5503" s="3">
        <f ca="1">41569+(RANDBETWEEN(1,10))</f>
        <v>41577</v>
      </c>
      <c r="G5503" t="s">
        <v>156</v>
      </c>
      <c r="H5503" t="s">
        <v>96</v>
      </c>
      <c r="I5503" t="s">
        <v>86</v>
      </c>
      <c r="J5503">
        <v>73.465000000000003</v>
      </c>
      <c r="K5503">
        <v>0.06</v>
      </c>
      <c r="L5503">
        <v>0.83</v>
      </c>
      <c r="M5503">
        <v>2.4500000000000002</v>
      </c>
      <c r="N5503">
        <v>-34.360199999999999</v>
      </c>
      <c r="O5503" s="1" t="s">
        <v>225</v>
      </c>
      <c r="P5503" s="1" t="s">
        <v>7751</v>
      </c>
      <c r="Q5503" s="1" t="s">
        <v>7752</v>
      </c>
      <c r="R5503" s="1" t="s">
        <v>228</v>
      </c>
      <c r="S5503" s="1" t="s">
        <v>7753</v>
      </c>
      <c r="T5503" s="1" t="s">
        <v>7754</v>
      </c>
      <c r="U5503" s="2" t="s">
        <v>3928</v>
      </c>
      <c r="V5503" s="2" t="s">
        <v>47</v>
      </c>
      <c r="W5503" s="2" t="s">
        <v>176</v>
      </c>
      <c r="X5503" s="2">
        <v>6.93</v>
      </c>
    </row>
    <row r="5504" spans="1:24" x14ac:dyDescent="0.3">
      <c r="A5504">
        <v>23332</v>
      </c>
      <c r="B5504" t="s">
        <v>11704</v>
      </c>
      <c r="C5504" s="3">
        <v>41567</v>
      </c>
      <c r="D5504" t="s">
        <v>39</v>
      </c>
      <c r="E5504">
        <v>2</v>
      </c>
      <c r="F5504" s="3">
        <f ca="1">41567+(RANDBETWEEN(1,10))</f>
        <v>41577</v>
      </c>
      <c r="G5504" t="s">
        <v>76</v>
      </c>
      <c r="H5504" t="s">
        <v>258</v>
      </c>
      <c r="I5504" t="s">
        <v>86</v>
      </c>
      <c r="J5504">
        <v>1987.37</v>
      </c>
      <c r="K5504">
        <v>0.02</v>
      </c>
      <c r="L5504">
        <v>0.61</v>
      </c>
      <c r="M5504">
        <v>233.345</v>
      </c>
      <c r="N5504">
        <v>-2372.4835736</v>
      </c>
      <c r="O5504" s="1" t="s">
        <v>225</v>
      </c>
      <c r="P5504" s="1" t="s">
        <v>7751</v>
      </c>
      <c r="Q5504" s="1" t="s">
        <v>7752</v>
      </c>
      <c r="R5504" s="1" t="s">
        <v>228</v>
      </c>
      <c r="S5504" s="1" t="s">
        <v>7753</v>
      </c>
      <c r="T5504" s="1" t="s">
        <v>7754</v>
      </c>
      <c r="U5504" s="2" t="s">
        <v>4031</v>
      </c>
      <c r="V5504" s="2" t="s">
        <v>83</v>
      </c>
      <c r="W5504" s="2" t="s">
        <v>263</v>
      </c>
      <c r="X5504" s="2">
        <v>908.98500000000001</v>
      </c>
    </row>
    <row r="5505" spans="1:24" x14ac:dyDescent="0.3">
      <c r="A5505">
        <v>23333</v>
      </c>
      <c r="B5505" t="s">
        <v>11704</v>
      </c>
      <c r="C5505" s="3">
        <v>41567</v>
      </c>
      <c r="D5505" t="s">
        <v>39</v>
      </c>
      <c r="E5505">
        <v>16</v>
      </c>
      <c r="F5505" s="3">
        <f ca="1">41569+(RANDBETWEEN(1,10))</f>
        <v>41571</v>
      </c>
      <c r="G5505" t="s">
        <v>26</v>
      </c>
      <c r="H5505" t="s">
        <v>281</v>
      </c>
      <c r="I5505" t="s">
        <v>86</v>
      </c>
      <c r="J5505">
        <v>8746.1849999999995</v>
      </c>
      <c r="K5505">
        <v>0.03</v>
      </c>
      <c r="L5505">
        <v>0.56999999999999995</v>
      </c>
      <c r="M5505">
        <v>48.965000000000003</v>
      </c>
      <c r="N5505">
        <v>3814.6663800000001</v>
      </c>
      <c r="O5505" s="1" t="s">
        <v>225</v>
      </c>
      <c r="P5505" s="1" t="s">
        <v>7751</v>
      </c>
      <c r="Q5505" s="1" t="s">
        <v>7752</v>
      </c>
      <c r="R5505" s="1" t="s">
        <v>228</v>
      </c>
      <c r="S5505" s="1" t="s">
        <v>7753</v>
      </c>
      <c r="T5505" s="1" t="s">
        <v>7754</v>
      </c>
      <c r="U5505" s="2" t="s">
        <v>649</v>
      </c>
      <c r="V5505" s="2" t="s">
        <v>36</v>
      </c>
      <c r="W5505" s="2" t="s">
        <v>37</v>
      </c>
      <c r="X5505" s="2">
        <v>629.96500000000003</v>
      </c>
    </row>
    <row r="5506" spans="1:24" x14ac:dyDescent="0.3">
      <c r="A5506">
        <v>23334</v>
      </c>
      <c r="B5506" t="s">
        <v>11705</v>
      </c>
      <c r="C5506" s="3">
        <v>41602</v>
      </c>
      <c r="D5506" t="s">
        <v>50</v>
      </c>
      <c r="E5506">
        <v>12</v>
      </c>
      <c r="F5506" s="3">
        <f ca="1">41603+(RANDBETWEEN(1,10))</f>
        <v>41610</v>
      </c>
      <c r="G5506" t="s">
        <v>26</v>
      </c>
      <c r="H5506" t="s">
        <v>27</v>
      </c>
      <c r="I5506" t="s">
        <v>28</v>
      </c>
      <c r="J5506">
        <v>1310.33</v>
      </c>
      <c r="K5506">
        <v>0.04</v>
      </c>
      <c r="L5506">
        <v>0.51</v>
      </c>
      <c r="M5506">
        <v>19.25</v>
      </c>
      <c r="N5506">
        <v>197.81299999999999</v>
      </c>
      <c r="O5506" s="1" t="s">
        <v>87</v>
      </c>
      <c r="P5506" s="1" t="s">
        <v>11706</v>
      </c>
      <c r="Q5506" s="1" t="s">
        <v>11707</v>
      </c>
      <c r="R5506" s="1" t="s">
        <v>497</v>
      </c>
      <c r="S5506" s="1" t="s">
        <v>8238</v>
      </c>
      <c r="T5506" s="1" t="s">
        <v>8239</v>
      </c>
      <c r="U5506" s="2" t="s">
        <v>2603</v>
      </c>
      <c r="V5506" s="2" t="s">
        <v>36</v>
      </c>
      <c r="W5506" s="2" t="s">
        <v>60</v>
      </c>
      <c r="X5506" s="2">
        <v>104.965</v>
      </c>
    </row>
    <row r="5507" spans="1:24" x14ac:dyDescent="0.3">
      <c r="A5507">
        <v>23335</v>
      </c>
      <c r="B5507" t="s">
        <v>11708</v>
      </c>
      <c r="C5507" s="3">
        <v>41728</v>
      </c>
      <c r="D5507" t="s">
        <v>62</v>
      </c>
      <c r="E5507">
        <v>4</v>
      </c>
      <c r="F5507" s="3">
        <f ca="1">41731+(RANDBETWEEN(1,10))</f>
        <v>41741</v>
      </c>
      <c r="G5507" t="s">
        <v>26</v>
      </c>
      <c r="H5507" t="s">
        <v>96</v>
      </c>
      <c r="I5507" t="s">
        <v>86</v>
      </c>
      <c r="J5507">
        <v>304.64</v>
      </c>
      <c r="K5507">
        <v>0.1</v>
      </c>
      <c r="L5507">
        <v>0.39</v>
      </c>
      <c r="M5507">
        <v>29.12</v>
      </c>
      <c r="N5507">
        <v>84.7</v>
      </c>
      <c r="O5507" s="1" t="s">
        <v>40</v>
      </c>
      <c r="P5507" s="1" t="s">
        <v>10523</v>
      </c>
      <c r="Q5507" s="1" t="s">
        <v>10524</v>
      </c>
      <c r="R5507" s="1" t="s">
        <v>43</v>
      </c>
      <c r="S5507" s="1" t="s">
        <v>10525</v>
      </c>
      <c r="T5507" s="1" t="s">
        <v>10526</v>
      </c>
      <c r="U5507" s="2" t="s">
        <v>8015</v>
      </c>
      <c r="V5507" s="2" t="s">
        <v>47</v>
      </c>
      <c r="W5507" s="2" t="s">
        <v>74</v>
      </c>
      <c r="X5507" s="2">
        <v>76.930000000000007</v>
      </c>
    </row>
    <row r="5508" spans="1:24" x14ac:dyDescent="0.3">
      <c r="A5508">
        <v>23336</v>
      </c>
      <c r="B5508" t="s">
        <v>11709</v>
      </c>
      <c r="C5508" s="3">
        <v>41104</v>
      </c>
      <c r="D5508" t="s">
        <v>62</v>
      </c>
      <c r="E5508">
        <v>14</v>
      </c>
      <c r="F5508" s="3">
        <f ca="1">41106+(RANDBETWEEN(1,10))</f>
        <v>41116</v>
      </c>
      <c r="G5508" t="s">
        <v>26</v>
      </c>
      <c r="H5508" t="s">
        <v>51</v>
      </c>
      <c r="I5508" t="s">
        <v>28</v>
      </c>
      <c r="J5508">
        <v>423.04500000000002</v>
      </c>
      <c r="K5508">
        <v>0.04</v>
      </c>
      <c r="L5508">
        <v>0.79</v>
      </c>
      <c r="M5508">
        <v>31.465</v>
      </c>
      <c r="N5508">
        <v>-1330.7</v>
      </c>
      <c r="O5508" s="1" t="s">
        <v>87</v>
      </c>
      <c r="P5508" s="1" t="s">
        <v>7967</v>
      </c>
      <c r="Q5508" s="1" t="s">
        <v>7968</v>
      </c>
      <c r="R5508" s="1" t="s">
        <v>90</v>
      </c>
      <c r="S5508" s="1" t="s">
        <v>2436</v>
      </c>
      <c r="T5508" s="1" t="s">
        <v>2437</v>
      </c>
      <c r="U5508" s="2" t="s">
        <v>413</v>
      </c>
      <c r="V5508" s="2" t="s">
        <v>36</v>
      </c>
      <c r="W5508" s="2" t="s">
        <v>60</v>
      </c>
      <c r="X5508" s="2">
        <v>29.61</v>
      </c>
    </row>
    <row r="5509" spans="1:24" x14ac:dyDescent="0.3">
      <c r="A5509">
        <v>23337</v>
      </c>
      <c r="B5509" t="s">
        <v>11710</v>
      </c>
      <c r="C5509" s="3">
        <v>40995</v>
      </c>
      <c r="D5509" t="s">
        <v>50</v>
      </c>
      <c r="E5509">
        <v>7</v>
      </c>
      <c r="F5509" s="3">
        <f ca="1">40996+(RANDBETWEEN(1,10))</f>
        <v>40998</v>
      </c>
      <c r="G5509" t="s">
        <v>26</v>
      </c>
      <c r="H5509" t="s">
        <v>27</v>
      </c>
      <c r="I5509" t="s">
        <v>28</v>
      </c>
      <c r="J5509">
        <v>167.65</v>
      </c>
      <c r="K5509">
        <v>0.01</v>
      </c>
      <c r="L5509">
        <v>0.36</v>
      </c>
      <c r="M5509">
        <v>23.835000000000001</v>
      </c>
      <c r="N5509">
        <v>-526.76469999999995</v>
      </c>
      <c r="O5509" s="1" t="s">
        <v>87</v>
      </c>
      <c r="P5509" s="1" t="s">
        <v>11711</v>
      </c>
      <c r="Q5509" s="1" t="s">
        <v>11712</v>
      </c>
      <c r="R5509" s="1" t="s">
        <v>646</v>
      </c>
      <c r="S5509" s="1" t="s">
        <v>1426</v>
      </c>
      <c r="T5509" s="1" t="s">
        <v>1427</v>
      </c>
      <c r="U5509" s="2" t="s">
        <v>2113</v>
      </c>
      <c r="V5509" s="2" t="s">
        <v>47</v>
      </c>
      <c r="W5509" s="2" t="s">
        <v>74</v>
      </c>
      <c r="X5509" s="2">
        <v>22.68</v>
      </c>
    </row>
    <row r="5510" spans="1:24" x14ac:dyDescent="0.3">
      <c r="A5510">
        <v>23338</v>
      </c>
      <c r="B5510" t="s">
        <v>11713</v>
      </c>
      <c r="C5510" s="3">
        <v>40876</v>
      </c>
      <c r="D5510" t="s">
        <v>39</v>
      </c>
      <c r="E5510">
        <v>42</v>
      </c>
      <c r="F5510" s="3">
        <f ca="1">40876+(RANDBETWEEN(1,10))</f>
        <v>40877</v>
      </c>
      <c r="G5510" t="s">
        <v>26</v>
      </c>
      <c r="H5510" t="s">
        <v>27</v>
      </c>
      <c r="I5510" t="s">
        <v>97</v>
      </c>
      <c r="J5510">
        <v>24283.665000000001</v>
      </c>
      <c r="K5510">
        <v>0.05</v>
      </c>
      <c r="L5510">
        <v>0.59</v>
      </c>
      <c r="M5510">
        <v>69.965000000000003</v>
      </c>
      <c r="N5510">
        <v>-171.35300000000001</v>
      </c>
      <c r="O5510" s="1" t="s">
        <v>29</v>
      </c>
      <c r="P5510" s="1" t="s">
        <v>5693</v>
      </c>
      <c r="Q5510" s="1" t="s">
        <v>5694</v>
      </c>
      <c r="R5510" s="1" t="s">
        <v>460</v>
      </c>
      <c r="S5510" s="1" t="s">
        <v>5695</v>
      </c>
      <c r="T5510" s="1" t="s">
        <v>5696</v>
      </c>
      <c r="U5510" s="2" t="s">
        <v>2230</v>
      </c>
      <c r="V5510" s="2" t="s">
        <v>47</v>
      </c>
      <c r="W5510" s="2" t="s">
        <v>119</v>
      </c>
      <c r="X5510" s="2">
        <v>578.20000000000005</v>
      </c>
    </row>
    <row r="5511" spans="1:24" x14ac:dyDescent="0.3">
      <c r="A5511">
        <v>23339</v>
      </c>
      <c r="B5511" t="s">
        <v>11714</v>
      </c>
      <c r="C5511" s="3">
        <v>41972</v>
      </c>
      <c r="D5511" t="s">
        <v>39</v>
      </c>
      <c r="E5511">
        <v>19</v>
      </c>
      <c r="F5511" s="3">
        <f ca="1">41972+(RANDBETWEEN(1,10))</f>
        <v>41981</v>
      </c>
      <c r="G5511" t="s">
        <v>26</v>
      </c>
      <c r="H5511" t="s">
        <v>27</v>
      </c>
      <c r="I5511" t="s">
        <v>97</v>
      </c>
      <c r="J5511">
        <v>1116.0450000000001</v>
      </c>
      <c r="K5511">
        <v>0.09</v>
      </c>
      <c r="L5511">
        <v>0.56999999999999995</v>
      </c>
      <c r="M5511">
        <v>30.274999999999999</v>
      </c>
      <c r="N5511">
        <v>130.78072</v>
      </c>
      <c r="O5511" s="1" t="s">
        <v>87</v>
      </c>
      <c r="P5511" s="1" t="s">
        <v>11715</v>
      </c>
      <c r="Q5511" s="1" t="s">
        <v>11716</v>
      </c>
      <c r="R5511" s="1" t="s">
        <v>398</v>
      </c>
      <c r="S5511" s="1" t="s">
        <v>11717</v>
      </c>
      <c r="T5511" s="1" t="s">
        <v>11718</v>
      </c>
      <c r="U5511" s="2" t="s">
        <v>10259</v>
      </c>
      <c r="V5511" s="2" t="s">
        <v>47</v>
      </c>
      <c r="W5511" s="2" t="s">
        <v>104</v>
      </c>
      <c r="X5511" s="2">
        <v>62.965000000000003</v>
      </c>
    </row>
    <row r="5512" spans="1:24" x14ac:dyDescent="0.3">
      <c r="A5512">
        <v>23340</v>
      </c>
      <c r="B5512" t="s">
        <v>11719</v>
      </c>
      <c r="C5512" s="3">
        <v>41178</v>
      </c>
      <c r="D5512" t="s">
        <v>148</v>
      </c>
      <c r="E5512">
        <v>21</v>
      </c>
      <c r="F5512" s="3">
        <f ca="1">41179+(RANDBETWEEN(1,10))</f>
        <v>41187</v>
      </c>
      <c r="G5512" t="s">
        <v>76</v>
      </c>
      <c r="H5512" t="s">
        <v>77</v>
      </c>
      <c r="I5512" t="s">
        <v>28</v>
      </c>
      <c r="J5512">
        <v>6040.0550000000003</v>
      </c>
      <c r="K5512">
        <v>0.1</v>
      </c>
      <c r="L5512">
        <v>0.36</v>
      </c>
      <c r="M5512">
        <v>49</v>
      </c>
      <c r="N5512">
        <v>4167.6379500000003</v>
      </c>
      <c r="O5512" s="1" t="s">
        <v>87</v>
      </c>
      <c r="P5512" s="1" t="s">
        <v>11062</v>
      </c>
      <c r="Q5512" s="1" t="s">
        <v>11063</v>
      </c>
      <c r="R5512" s="1" t="s">
        <v>497</v>
      </c>
      <c r="S5512" s="1" t="s">
        <v>11064</v>
      </c>
      <c r="T5512" s="1" t="s">
        <v>11065</v>
      </c>
      <c r="U5512" s="2" t="s">
        <v>2449</v>
      </c>
      <c r="V5512" s="2" t="s">
        <v>36</v>
      </c>
      <c r="W5512" s="2" t="s">
        <v>142</v>
      </c>
      <c r="X5512" s="2">
        <v>318.39499999999998</v>
      </c>
    </row>
    <row r="5513" spans="1:24" x14ac:dyDescent="0.3">
      <c r="A5513">
        <v>23341</v>
      </c>
      <c r="B5513" t="s">
        <v>11719</v>
      </c>
      <c r="C5513" s="3">
        <v>41178</v>
      </c>
      <c r="D5513" t="s">
        <v>148</v>
      </c>
      <c r="E5513">
        <v>14</v>
      </c>
      <c r="F5513" s="3">
        <f ca="1">41179+(RANDBETWEEN(1,10))</f>
        <v>41180</v>
      </c>
      <c r="G5513" t="s">
        <v>26</v>
      </c>
      <c r="H5513" t="s">
        <v>27</v>
      </c>
      <c r="I5513" t="s">
        <v>28</v>
      </c>
      <c r="J5513">
        <v>2819.95</v>
      </c>
      <c r="K5513">
        <v>0.05</v>
      </c>
      <c r="L5513">
        <v>0.59</v>
      </c>
      <c r="M5513">
        <v>13.965</v>
      </c>
      <c r="N5513">
        <v>1380.5820000000001</v>
      </c>
      <c r="O5513" s="1" t="s">
        <v>87</v>
      </c>
      <c r="P5513" s="1" t="s">
        <v>11062</v>
      </c>
      <c r="Q5513" s="1" t="s">
        <v>11063</v>
      </c>
      <c r="R5513" s="1" t="s">
        <v>497</v>
      </c>
      <c r="S5513" s="1" t="s">
        <v>11064</v>
      </c>
      <c r="T5513" s="1" t="s">
        <v>11065</v>
      </c>
      <c r="U5513" s="2" t="s">
        <v>1991</v>
      </c>
      <c r="V5513" s="2" t="s">
        <v>36</v>
      </c>
      <c r="W5513" s="2" t="s">
        <v>37</v>
      </c>
      <c r="X5513" s="2">
        <v>230.965</v>
      </c>
    </row>
    <row r="5514" spans="1:24" x14ac:dyDescent="0.3">
      <c r="A5514">
        <v>23342</v>
      </c>
      <c r="B5514" t="s">
        <v>11720</v>
      </c>
      <c r="C5514" s="3">
        <v>40794</v>
      </c>
      <c r="D5514" t="s">
        <v>62</v>
      </c>
      <c r="E5514">
        <v>14</v>
      </c>
      <c r="F5514" s="3">
        <f ca="1">40796+(RANDBETWEEN(1,10))</f>
        <v>40803</v>
      </c>
      <c r="G5514" t="s">
        <v>26</v>
      </c>
      <c r="H5514" t="s">
        <v>96</v>
      </c>
      <c r="I5514" t="s">
        <v>28</v>
      </c>
      <c r="J5514">
        <v>558.35500000000002</v>
      </c>
      <c r="K5514">
        <v>0.02</v>
      </c>
      <c r="L5514">
        <v>0.55000000000000004</v>
      </c>
      <c r="M5514">
        <v>8.26</v>
      </c>
      <c r="N5514">
        <v>4512.8370000000004</v>
      </c>
      <c r="O5514" s="1" t="s">
        <v>53</v>
      </c>
      <c r="P5514" s="1" t="s">
        <v>8182</v>
      </c>
      <c r="Q5514" s="1" t="s">
        <v>8183</v>
      </c>
      <c r="R5514" s="1" t="s">
        <v>100</v>
      </c>
      <c r="S5514" s="1" t="s">
        <v>8184</v>
      </c>
      <c r="T5514" s="1" t="s">
        <v>8185</v>
      </c>
      <c r="U5514" s="2" t="s">
        <v>2967</v>
      </c>
      <c r="V5514" s="2" t="s">
        <v>47</v>
      </c>
      <c r="W5514" s="2" t="s">
        <v>104</v>
      </c>
      <c r="X5514" s="2">
        <v>40.424999999999997</v>
      </c>
    </row>
    <row r="5515" spans="1:24" x14ac:dyDescent="0.3">
      <c r="A5515">
        <v>23343</v>
      </c>
      <c r="B5515" t="s">
        <v>11721</v>
      </c>
      <c r="C5515" s="3">
        <v>41218</v>
      </c>
      <c r="D5515" t="s">
        <v>50</v>
      </c>
      <c r="E5515">
        <v>26</v>
      </c>
      <c r="F5515" s="3">
        <f ca="1">41219+(RANDBETWEEN(1,10))</f>
        <v>41220</v>
      </c>
      <c r="G5515" t="s">
        <v>26</v>
      </c>
      <c r="H5515" t="s">
        <v>27</v>
      </c>
      <c r="I5515" t="s">
        <v>86</v>
      </c>
      <c r="J5515">
        <v>672.98</v>
      </c>
      <c r="K5515">
        <v>0</v>
      </c>
      <c r="L5515">
        <v>0.37</v>
      </c>
      <c r="M5515">
        <v>19.18</v>
      </c>
      <c r="N5515">
        <v>26.04175</v>
      </c>
      <c r="O5515" s="1" t="s">
        <v>53</v>
      </c>
      <c r="P5515" s="1" t="s">
        <v>11473</v>
      </c>
      <c r="Q5515" s="1" t="s">
        <v>11474</v>
      </c>
      <c r="R5515" s="1" t="s">
        <v>56</v>
      </c>
      <c r="S5515" s="1" t="s">
        <v>11475</v>
      </c>
      <c r="T5515" s="1" t="s">
        <v>11476</v>
      </c>
      <c r="U5515" s="2" t="s">
        <v>5054</v>
      </c>
      <c r="V5515" s="2" t="s">
        <v>47</v>
      </c>
      <c r="W5515" s="2" t="s">
        <v>111</v>
      </c>
      <c r="X5515" s="2">
        <v>23.835000000000001</v>
      </c>
    </row>
    <row r="5516" spans="1:24" x14ac:dyDescent="0.3">
      <c r="A5516">
        <v>23344</v>
      </c>
      <c r="B5516" t="s">
        <v>11722</v>
      </c>
      <c r="C5516" s="3">
        <v>40727</v>
      </c>
      <c r="D5516" t="s">
        <v>39</v>
      </c>
      <c r="E5516">
        <v>8</v>
      </c>
      <c r="F5516" s="3">
        <f ca="1">40728+(RANDBETWEEN(1,10))</f>
        <v>40733</v>
      </c>
      <c r="G5516" t="s">
        <v>26</v>
      </c>
      <c r="H5516" t="s">
        <v>27</v>
      </c>
      <c r="I5516" t="s">
        <v>28</v>
      </c>
      <c r="J5516">
        <v>322.07</v>
      </c>
      <c r="K5516">
        <v>0.1</v>
      </c>
      <c r="L5516">
        <v>0.38</v>
      </c>
      <c r="M5516">
        <v>1.7150000000000001</v>
      </c>
      <c r="N5516">
        <v>855.62400000000002</v>
      </c>
      <c r="O5516" s="1" t="s">
        <v>29</v>
      </c>
      <c r="P5516" s="1" t="s">
        <v>11723</v>
      </c>
      <c r="Q5516" s="1" t="s">
        <v>11724</v>
      </c>
      <c r="R5516" s="1" t="s">
        <v>32</v>
      </c>
      <c r="S5516" s="1" t="s">
        <v>5392</v>
      </c>
      <c r="T5516" s="1" t="s">
        <v>5393</v>
      </c>
      <c r="U5516" s="2" t="s">
        <v>202</v>
      </c>
      <c r="V5516" s="2" t="s">
        <v>47</v>
      </c>
      <c r="W5516" s="2" t="s">
        <v>203</v>
      </c>
      <c r="X5516" s="2">
        <v>43.854999999999997</v>
      </c>
    </row>
    <row r="5517" spans="1:24" x14ac:dyDescent="0.3">
      <c r="A5517">
        <v>23345</v>
      </c>
      <c r="B5517" t="s">
        <v>11722</v>
      </c>
      <c r="C5517" s="3">
        <v>40727</v>
      </c>
      <c r="D5517" t="s">
        <v>39</v>
      </c>
      <c r="E5517">
        <v>2</v>
      </c>
      <c r="F5517" s="3">
        <f ca="1">40728+(RANDBETWEEN(1,10))</f>
        <v>40730</v>
      </c>
      <c r="G5517" t="s">
        <v>76</v>
      </c>
      <c r="H5517" t="s">
        <v>258</v>
      </c>
      <c r="I5517" t="s">
        <v>28</v>
      </c>
      <c r="J5517">
        <v>992.42499999999995</v>
      </c>
      <c r="K5517">
        <v>0.1</v>
      </c>
      <c r="L5517">
        <v>0.64</v>
      </c>
      <c r="M5517">
        <v>153.125</v>
      </c>
      <c r="N5517">
        <v>-1657.5229999999999</v>
      </c>
      <c r="O5517" s="1" t="s">
        <v>29</v>
      </c>
      <c r="P5517" s="1" t="s">
        <v>11723</v>
      </c>
      <c r="Q5517" s="1" t="s">
        <v>11724</v>
      </c>
      <c r="R5517" s="1" t="s">
        <v>32</v>
      </c>
      <c r="S5517" s="1" t="s">
        <v>5392</v>
      </c>
      <c r="T5517" s="1" t="s">
        <v>5393</v>
      </c>
      <c r="U5517" s="2" t="s">
        <v>262</v>
      </c>
      <c r="V5517" s="2" t="s">
        <v>83</v>
      </c>
      <c r="W5517" s="2" t="s">
        <v>263</v>
      </c>
      <c r="X5517" s="2">
        <v>512.19000000000005</v>
      </c>
    </row>
    <row r="5518" spans="1:24" x14ac:dyDescent="0.3">
      <c r="A5518">
        <v>23346</v>
      </c>
      <c r="B5518" t="s">
        <v>11725</v>
      </c>
      <c r="C5518" s="3">
        <v>41369</v>
      </c>
      <c r="D5518" t="s">
        <v>50</v>
      </c>
      <c r="E5518">
        <v>3</v>
      </c>
      <c r="F5518" s="3">
        <f ca="1">41369+(RANDBETWEEN(1,10))</f>
        <v>41373</v>
      </c>
      <c r="G5518" t="s">
        <v>26</v>
      </c>
      <c r="H5518" t="s">
        <v>27</v>
      </c>
      <c r="I5518" t="s">
        <v>97</v>
      </c>
      <c r="J5518">
        <v>165.55</v>
      </c>
      <c r="K5518">
        <v>0.08</v>
      </c>
      <c r="L5518">
        <v>0.59</v>
      </c>
      <c r="M5518">
        <v>29.19</v>
      </c>
      <c r="N5518">
        <v>-198.48500000000001</v>
      </c>
      <c r="O5518" s="1" t="s">
        <v>40</v>
      </c>
      <c r="P5518" s="1" t="s">
        <v>11726</v>
      </c>
      <c r="Q5518" s="1" t="s">
        <v>11727</v>
      </c>
      <c r="R5518" s="1" t="s">
        <v>220</v>
      </c>
      <c r="S5518" s="1" t="s">
        <v>11728</v>
      </c>
      <c r="T5518" s="1" t="s">
        <v>11729</v>
      </c>
      <c r="U5518" s="2" t="s">
        <v>379</v>
      </c>
      <c r="V5518" s="2" t="s">
        <v>47</v>
      </c>
      <c r="W5518" s="2" t="s">
        <v>119</v>
      </c>
      <c r="X5518" s="2">
        <v>56.21</v>
      </c>
    </row>
    <row r="5519" spans="1:24" x14ac:dyDescent="0.3">
      <c r="A5519">
        <v>23347</v>
      </c>
      <c r="B5519" t="s">
        <v>11730</v>
      </c>
      <c r="C5519" s="3">
        <v>41110</v>
      </c>
      <c r="D5519" t="s">
        <v>25</v>
      </c>
      <c r="E5519">
        <v>8</v>
      </c>
      <c r="F5519" s="3">
        <f ca="1">41114+(RANDBETWEEN(1,10))</f>
        <v>41116</v>
      </c>
      <c r="G5519" t="s">
        <v>26</v>
      </c>
      <c r="H5519" t="s">
        <v>96</v>
      </c>
      <c r="I5519" t="s">
        <v>97</v>
      </c>
      <c r="J5519">
        <v>131.94999999999999</v>
      </c>
      <c r="K5519">
        <v>0.06</v>
      </c>
      <c r="L5519">
        <v>0.36</v>
      </c>
      <c r="M5519">
        <v>2.8</v>
      </c>
      <c r="N5519">
        <v>91.045500000000004</v>
      </c>
      <c r="O5519" s="1" t="s">
        <v>64</v>
      </c>
      <c r="P5519" s="1" t="s">
        <v>9314</v>
      </c>
      <c r="Q5519" s="1" t="s">
        <v>9315</v>
      </c>
      <c r="R5519" s="1" t="s">
        <v>128</v>
      </c>
      <c r="S5519" s="1" t="s">
        <v>9316</v>
      </c>
      <c r="T5519" s="1" t="s">
        <v>9317</v>
      </c>
      <c r="U5519" s="2" t="s">
        <v>1416</v>
      </c>
      <c r="V5519" s="2" t="s">
        <v>47</v>
      </c>
      <c r="W5519" s="2" t="s">
        <v>74</v>
      </c>
      <c r="X5519" s="2">
        <v>17.43</v>
      </c>
    </row>
    <row r="5520" spans="1:24" x14ac:dyDescent="0.3">
      <c r="A5520">
        <v>23348</v>
      </c>
      <c r="B5520" t="s">
        <v>11730</v>
      </c>
      <c r="C5520" s="3">
        <v>41110</v>
      </c>
      <c r="D5520" t="s">
        <v>25</v>
      </c>
      <c r="E5520">
        <v>8</v>
      </c>
      <c r="F5520" s="3">
        <f ca="1">41117+(RANDBETWEEN(1,10))</f>
        <v>41122</v>
      </c>
      <c r="G5520" t="s">
        <v>26</v>
      </c>
      <c r="H5520" t="s">
        <v>27</v>
      </c>
      <c r="I5520" t="s">
        <v>97</v>
      </c>
      <c r="J5520">
        <v>2951.7950000000001</v>
      </c>
      <c r="K5520">
        <v>0.08</v>
      </c>
      <c r="L5520">
        <v>0.59</v>
      </c>
      <c r="M5520">
        <v>26.914999999999999</v>
      </c>
      <c r="N5520">
        <v>1587.789</v>
      </c>
      <c r="O5520" s="1" t="s">
        <v>64</v>
      </c>
      <c r="P5520" s="1" t="s">
        <v>9314</v>
      </c>
      <c r="Q5520" s="1" t="s">
        <v>9315</v>
      </c>
      <c r="R5520" s="1" t="s">
        <v>128</v>
      </c>
      <c r="S5520" s="1" t="s">
        <v>9316</v>
      </c>
      <c r="T5520" s="1" t="s">
        <v>9317</v>
      </c>
      <c r="U5520" s="2" t="s">
        <v>2809</v>
      </c>
      <c r="V5520" s="2" t="s">
        <v>36</v>
      </c>
      <c r="W5520" s="2" t="s">
        <v>37</v>
      </c>
      <c r="X5520" s="2">
        <v>440.96499999999997</v>
      </c>
    </row>
    <row r="5521" spans="1:24" x14ac:dyDescent="0.3">
      <c r="A5521">
        <v>23349</v>
      </c>
      <c r="B5521" t="s">
        <v>11731</v>
      </c>
      <c r="C5521" s="3">
        <v>41660</v>
      </c>
      <c r="D5521" t="s">
        <v>148</v>
      </c>
      <c r="E5521">
        <v>4</v>
      </c>
      <c r="F5521" s="3">
        <f ca="1">41661+(RANDBETWEEN(1,10))</f>
        <v>41668</v>
      </c>
      <c r="G5521" t="s">
        <v>76</v>
      </c>
      <c r="H5521" t="s">
        <v>77</v>
      </c>
      <c r="I5521" t="s">
        <v>28</v>
      </c>
      <c r="J5521">
        <v>3856.16</v>
      </c>
      <c r="K5521">
        <v>0.04</v>
      </c>
      <c r="L5521">
        <v>0.59</v>
      </c>
      <c r="M5521">
        <v>81.165000000000006</v>
      </c>
      <c r="N5521">
        <v>2220.9935999999998</v>
      </c>
      <c r="O5521" s="1" t="s">
        <v>87</v>
      </c>
      <c r="P5521" s="1" t="s">
        <v>8375</v>
      </c>
      <c r="Q5521" s="1" t="s">
        <v>8376</v>
      </c>
      <c r="R5521" s="1" t="s">
        <v>646</v>
      </c>
      <c r="S5521" s="1" t="s">
        <v>8377</v>
      </c>
      <c r="T5521" s="1" t="s">
        <v>8378</v>
      </c>
      <c r="U5521" s="2" t="s">
        <v>1970</v>
      </c>
      <c r="V5521" s="2" t="s">
        <v>47</v>
      </c>
      <c r="W5521" s="2" t="s">
        <v>71</v>
      </c>
      <c r="X5521" s="2">
        <v>979.33500000000004</v>
      </c>
    </row>
    <row r="5522" spans="1:24" x14ac:dyDescent="0.3">
      <c r="A5522">
        <v>2335</v>
      </c>
      <c r="B5522" t="s">
        <v>11732</v>
      </c>
      <c r="C5522" s="3">
        <v>41807</v>
      </c>
      <c r="D5522" t="s">
        <v>39</v>
      </c>
      <c r="E5522">
        <v>6</v>
      </c>
      <c r="F5522" s="3">
        <f ca="1">41808+(RANDBETWEEN(1,10))</f>
        <v>41816</v>
      </c>
      <c r="G5522" t="s">
        <v>26</v>
      </c>
      <c r="H5522" t="s">
        <v>27</v>
      </c>
      <c r="I5522" t="s">
        <v>97</v>
      </c>
      <c r="J5522">
        <v>878.71</v>
      </c>
      <c r="K5522">
        <v>0.1</v>
      </c>
      <c r="L5522">
        <v>0.64</v>
      </c>
      <c r="M5522">
        <v>14</v>
      </c>
      <c r="N5522">
        <v>-462.52499999999998</v>
      </c>
      <c r="O5522" s="1" t="s">
        <v>64</v>
      </c>
      <c r="P5522" s="1" t="s">
        <v>189</v>
      </c>
      <c r="Q5522" s="1" t="s">
        <v>190</v>
      </c>
      <c r="R5522" s="1" t="s">
        <v>67</v>
      </c>
      <c r="S5522" s="1" t="s">
        <v>108</v>
      </c>
      <c r="T5522" s="1" t="s">
        <v>191</v>
      </c>
      <c r="U5522" s="2" t="s">
        <v>4657</v>
      </c>
      <c r="V5522" s="2" t="s">
        <v>36</v>
      </c>
      <c r="W5522" s="2" t="s">
        <v>60</v>
      </c>
      <c r="X5522" s="2">
        <v>151.27000000000001</v>
      </c>
    </row>
    <row r="5523" spans="1:24" x14ac:dyDescent="0.3">
      <c r="A5523">
        <v>23350</v>
      </c>
      <c r="B5523" t="s">
        <v>11733</v>
      </c>
      <c r="C5523" s="3">
        <v>40564</v>
      </c>
      <c r="D5523" t="s">
        <v>148</v>
      </c>
      <c r="E5523">
        <v>9</v>
      </c>
      <c r="F5523" s="3">
        <f ca="1">40565+(RANDBETWEEN(1,10))</f>
        <v>40572</v>
      </c>
      <c r="G5523" t="s">
        <v>26</v>
      </c>
      <c r="H5523" t="s">
        <v>27</v>
      </c>
      <c r="I5523" t="s">
        <v>28</v>
      </c>
      <c r="J5523">
        <v>151.58500000000001</v>
      </c>
      <c r="K5523">
        <v>0.02</v>
      </c>
      <c r="L5523">
        <v>0.36</v>
      </c>
      <c r="M5523">
        <v>1.75</v>
      </c>
      <c r="N5523">
        <v>104.59365</v>
      </c>
      <c r="O5523" s="1" t="s">
        <v>87</v>
      </c>
      <c r="P5523" s="1" t="s">
        <v>8375</v>
      </c>
      <c r="Q5523" s="1" t="s">
        <v>8376</v>
      </c>
      <c r="R5523" s="1" t="s">
        <v>646</v>
      </c>
      <c r="S5523" s="1" t="s">
        <v>8377</v>
      </c>
      <c r="T5523" s="1" t="s">
        <v>8378</v>
      </c>
      <c r="U5523" s="2" t="s">
        <v>2281</v>
      </c>
      <c r="V5523" s="2" t="s">
        <v>47</v>
      </c>
      <c r="W5523" s="2" t="s">
        <v>203</v>
      </c>
      <c r="X5523" s="2">
        <v>17.184999999999999</v>
      </c>
    </row>
    <row r="5524" spans="1:24" x14ac:dyDescent="0.3">
      <c r="A5524">
        <v>23351</v>
      </c>
      <c r="B5524" t="s">
        <v>11733</v>
      </c>
      <c r="C5524" s="3">
        <v>40564</v>
      </c>
      <c r="D5524" t="s">
        <v>148</v>
      </c>
      <c r="E5524">
        <v>12</v>
      </c>
      <c r="F5524" s="3">
        <f ca="1">40566+(RANDBETWEEN(1,10))</f>
        <v>40575</v>
      </c>
      <c r="G5524" t="s">
        <v>26</v>
      </c>
      <c r="H5524" t="s">
        <v>27</v>
      </c>
      <c r="I5524" t="s">
        <v>28</v>
      </c>
      <c r="J5524">
        <v>1353.135</v>
      </c>
      <c r="K5524">
        <v>0.02</v>
      </c>
      <c r="L5524">
        <v>0.37</v>
      </c>
      <c r="M5524">
        <v>5.2149999999999999</v>
      </c>
      <c r="N5524">
        <v>933.66314999999997</v>
      </c>
      <c r="O5524" s="1" t="s">
        <v>53</v>
      </c>
      <c r="P5524" s="1" t="s">
        <v>11734</v>
      </c>
      <c r="Q5524" s="1" t="s">
        <v>11735</v>
      </c>
      <c r="R5524" s="1" t="s">
        <v>100</v>
      </c>
      <c r="S5524" s="1" t="s">
        <v>4707</v>
      </c>
      <c r="T5524" s="1" t="s">
        <v>4708</v>
      </c>
      <c r="U5524" s="2" t="s">
        <v>6810</v>
      </c>
      <c r="V5524" s="2" t="s">
        <v>47</v>
      </c>
      <c r="W5524" s="2" t="s">
        <v>111</v>
      </c>
      <c r="X5524" s="2">
        <v>106.54</v>
      </c>
    </row>
    <row r="5525" spans="1:24" x14ac:dyDescent="0.3">
      <c r="A5525">
        <v>23352</v>
      </c>
      <c r="B5525" t="s">
        <v>11736</v>
      </c>
      <c r="C5525" s="3">
        <v>40932</v>
      </c>
      <c r="D5525" t="s">
        <v>39</v>
      </c>
      <c r="E5525">
        <v>11</v>
      </c>
      <c r="F5525" s="3">
        <f ca="1">40932+(RANDBETWEEN(1,10))</f>
        <v>40942</v>
      </c>
      <c r="G5525" t="s">
        <v>26</v>
      </c>
      <c r="H5525" t="s">
        <v>27</v>
      </c>
      <c r="I5525" t="s">
        <v>28</v>
      </c>
      <c r="J5525">
        <v>2064.58</v>
      </c>
      <c r="K5525">
        <v>0.1</v>
      </c>
      <c r="L5525">
        <v>0.56000000000000005</v>
      </c>
      <c r="M5525">
        <v>19.704999999999998</v>
      </c>
      <c r="N5525">
        <v>1271.7646199999999</v>
      </c>
      <c r="O5525" s="1" t="s">
        <v>64</v>
      </c>
      <c r="P5525" s="1" t="s">
        <v>11737</v>
      </c>
      <c r="Q5525" s="1" t="s">
        <v>11738</v>
      </c>
      <c r="R5525" s="1" t="s">
        <v>128</v>
      </c>
      <c r="S5525" s="1" t="s">
        <v>3669</v>
      </c>
      <c r="T5525" s="1" t="s">
        <v>3670</v>
      </c>
      <c r="U5525" s="2">
        <v>2190</v>
      </c>
      <c r="V5525" s="2" t="s">
        <v>36</v>
      </c>
      <c r="W5525" s="2" t="s">
        <v>37</v>
      </c>
      <c r="X5525" s="2">
        <v>230.965</v>
      </c>
    </row>
    <row r="5526" spans="1:24" x14ac:dyDescent="0.3">
      <c r="A5526">
        <v>23353</v>
      </c>
      <c r="B5526" t="s">
        <v>11739</v>
      </c>
      <c r="C5526" s="3">
        <v>41663</v>
      </c>
      <c r="D5526" t="s">
        <v>39</v>
      </c>
      <c r="E5526">
        <v>13</v>
      </c>
      <c r="F5526" s="3">
        <f ca="1">41664+(RANDBETWEEN(1,10))</f>
        <v>41671</v>
      </c>
      <c r="G5526" t="s">
        <v>26</v>
      </c>
      <c r="H5526" t="s">
        <v>281</v>
      </c>
      <c r="I5526" t="s">
        <v>28</v>
      </c>
      <c r="J5526">
        <v>270.09500000000003</v>
      </c>
      <c r="K5526">
        <v>0.05</v>
      </c>
      <c r="L5526">
        <v>0.55000000000000004</v>
      </c>
      <c r="M5526">
        <v>20.72</v>
      </c>
      <c r="N5526">
        <v>-593.88559999999995</v>
      </c>
      <c r="O5526" s="1" t="s">
        <v>225</v>
      </c>
      <c r="P5526" s="1" t="s">
        <v>11740</v>
      </c>
      <c r="Q5526" s="1" t="s">
        <v>11741</v>
      </c>
      <c r="R5526" s="1" t="s">
        <v>228</v>
      </c>
      <c r="S5526" s="1" t="s">
        <v>1177</v>
      </c>
      <c r="T5526" s="1" t="s">
        <v>11742</v>
      </c>
      <c r="U5526" s="2" t="s">
        <v>3267</v>
      </c>
      <c r="V5526" s="2" t="s">
        <v>83</v>
      </c>
      <c r="W5526" s="2" t="s">
        <v>178</v>
      </c>
      <c r="X5526" s="2">
        <v>20.195</v>
      </c>
    </row>
    <row r="5527" spans="1:24" x14ac:dyDescent="0.3">
      <c r="A5527">
        <v>23354</v>
      </c>
      <c r="B5527" t="s">
        <v>11743</v>
      </c>
      <c r="C5527" s="3">
        <v>41208</v>
      </c>
      <c r="D5527" t="s">
        <v>50</v>
      </c>
      <c r="E5527">
        <v>14</v>
      </c>
      <c r="F5527" s="3">
        <f ca="1">41209+(RANDBETWEEN(1,10))</f>
        <v>41210</v>
      </c>
      <c r="G5527" t="s">
        <v>156</v>
      </c>
      <c r="H5527" t="s">
        <v>96</v>
      </c>
      <c r="I5527" t="s">
        <v>97</v>
      </c>
      <c r="J5527">
        <v>295.85500000000002</v>
      </c>
      <c r="K5527">
        <v>0.09</v>
      </c>
      <c r="L5527">
        <v>0.51</v>
      </c>
      <c r="M5527">
        <v>5.8449999999999998</v>
      </c>
      <c r="N5527">
        <v>-412.87400000000002</v>
      </c>
      <c r="O5527" s="1" t="s">
        <v>87</v>
      </c>
      <c r="P5527" s="1" t="s">
        <v>2075</v>
      </c>
      <c r="Q5527" s="1" t="s">
        <v>2076</v>
      </c>
      <c r="R5527" s="1" t="s">
        <v>398</v>
      </c>
      <c r="S5527" s="1" t="s">
        <v>2077</v>
      </c>
      <c r="T5527" s="1" t="s">
        <v>2078</v>
      </c>
      <c r="U5527" s="2" t="s">
        <v>9962</v>
      </c>
      <c r="V5527" s="2" t="s">
        <v>47</v>
      </c>
      <c r="W5527" s="2" t="s">
        <v>104</v>
      </c>
      <c r="X5527" s="2">
        <v>20.93</v>
      </c>
    </row>
    <row r="5528" spans="1:24" x14ac:dyDescent="0.3">
      <c r="A5528">
        <v>23355</v>
      </c>
      <c r="B5528" t="s">
        <v>11743</v>
      </c>
      <c r="C5528" s="3">
        <v>41208</v>
      </c>
      <c r="D5528" t="s">
        <v>50</v>
      </c>
      <c r="E5528">
        <v>16</v>
      </c>
      <c r="F5528" s="3">
        <f ca="1">41210+(RANDBETWEEN(1,10))</f>
        <v>41216</v>
      </c>
      <c r="G5528" t="s">
        <v>26</v>
      </c>
      <c r="H5528" t="s">
        <v>96</v>
      </c>
      <c r="I5528" t="s">
        <v>97</v>
      </c>
      <c r="J5528">
        <v>162.12</v>
      </c>
      <c r="K5528">
        <v>0.04</v>
      </c>
      <c r="L5528">
        <v>0.56000000000000005</v>
      </c>
      <c r="M5528">
        <v>2.4500000000000002</v>
      </c>
      <c r="N5528">
        <v>-3924.3512000000001</v>
      </c>
      <c r="O5528" s="1" t="s">
        <v>87</v>
      </c>
      <c r="P5528" s="1" t="s">
        <v>2075</v>
      </c>
      <c r="Q5528" s="1" t="s">
        <v>2076</v>
      </c>
      <c r="R5528" s="1" t="s">
        <v>398</v>
      </c>
      <c r="S5528" s="1" t="s">
        <v>2077</v>
      </c>
      <c r="T5528" s="1" t="s">
        <v>2078</v>
      </c>
      <c r="U5528" s="2" t="s">
        <v>443</v>
      </c>
      <c r="V5528" s="2" t="s">
        <v>47</v>
      </c>
      <c r="W5528" s="2" t="s">
        <v>104</v>
      </c>
      <c r="X5528" s="2">
        <v>10.08</v>
      </c>
    </row>
    <row r="5529" spans="1:24" x14ac:dyDescent="0.3">
      <c r="A5529">
        <v>23356</v>
      </c>
      <c r="B5529" t="s">
        <v>11743</v>
      </c>
      <c r="C5529" s="3">
        <v>41208</v>
      </c>
      <c r="D5529" t="s">
        <v>50</v>
      </c>
      <c r="E5529">
        <v>6</v>
      </c>
      <c r="F5529" s="3">
        <f ca="1">41210+(RANDBETWEEN(1,10))</f>
        <v>41213</v>
      </c>
      <c r="G5529" t="s">
        <v>26</v>
      </c>
      <c r="H5529" t="s">
        <v>63</v>
      </c>
      <c r="I5529" t="s">
        <v>97</v>
      </c>
      <c r="J5529">
        <v>1996.82</v>
      </c>
      <c r="K5529">
        <v>0.04</v>
      </c>
      <c r="L5529">
        <v>0.63</v>
      </c>
      <c r="M5529">
        <v>241.5</v>
      </c>
      <c r="N5529">
        <v>-2000.25595</v>
      </c>
      <c r="O5529" s="1" t="s">
        <v>87</v>
      </c>
      <c r="P5529" s="1" t="s">
        <v>2075</v>
      </c>
      <c r="Q5529" s="1" t="s">
        <v>2076</v>
      </c>
      <c r="R5529" s="1" t="s">
        <v>398</v>
      </c>
      <c r="S5529" s="1" t="s">
        <v>2077</v>
      </c>
      <c r="T5529" s="1" t="s">
        <v>2078</v>
      </c>
      <c r="U5529" s="2" t="s">
        <v>6044</v>
      </c>
      <c r="V5529" s="2" t="s">
        <v>83</v>
      </c>
      <c r="W5529" s="2" t="s">
        <v>263</v>
      </c>
      <c r="X5529" s="2">
        <v>391.86</v>
      </c>
    </row>
    <row r="5530" spans="1:24" x14ac:dyDescent="0.3">
      <c r="A5530">
        <v>23357</v>
      </c>
      <c r="B5530" t="s">
        <v>11744</v>
      </c>
      <c r="C5530" s="3">
        <v>41685</v>
      </c>
      <c r="D5530" t="s">
        <v>25</v>
      </c>
      <c r="E5530">
        <v>3</v>
      </c>
      <c r="F5530" s="3">
        <f ca="1">41685+(RANDBETWEEN(1,10))</f>
        <v>41687</v>
      </c>
      <c r="G5530" t="s">
        <v>26</v>
      </c>
      <c r="H5530" t="s">
        <v>51</v>
      </c>
      <c r="I5530" t="s">
        <v>52</v>
      </c>
      <c r="J5530">
        <v>438.27</v>
      </c>
      <c r="K5530">
        <v>0.03</v>
      </c>
      <c r="L5530">
        <v>0.44</v>
      </c>
      <c r="M5530">
        <v>6.9649999999999999</v>
      </c>
      <c r="N5530">
        <v>302.40629999999999</v>
      </c>
      <c r="O5530" s="1" t="s">
        <v>87</v>
      </c>
      <c r="P5530" s="1" t="s">
        <v>8475</v>
      </c>
      <c r="Q5530" s="1" t="s">
        <v>8476</v>
      </c>
      <c r="R5530" s="1" t="s">
        <v>497</v>
      </c>
      <c r="S5530" s="1" t="s">
        <v>3254</v>
      </c>
      <c r="T5530" s="1" t="s">
        <v>8477</v>
      </c>
      <c r="U5530" s="2" t="s">
        <v>1469</v>
      </c>
      <c r="V5530" s="2" t="s">
        <v>36</v>
      </c>
      <c r="W5530" s="2" t="s">
        <v>60</v>
      </c>
      <c r="X5530" s="2">
        <v>143.43</v>
      </c>
    </row>
    <row r="5531" spans="1:24" x14ac:dyDescent="0.3">
      <c r="A5531">
        <v>23358</v>
      </c>
      <c r="B5531" t="s">
        <v>11745</v>
      </c>
      <c r="C5531" s="3">
        <v>40800</v>
      </c>
      <c r="D5531" t="s">
        <v>50</v>
      </c>
      <c r="E5531">
        <v>12</v>
      </c>
      <c r="F5531" s="3">
        <f ca="1">40801+(RANDBETWEEN(1,10))</f>
        <v>40806</v>
      </c>
      <c r="G5531" t="s">
        <v>26</v>
      </c>
      <c r="H5531" t="s">
        <v>27</v>
      </c>
      <c r="I5531" t="s">
        <v>52</v>
      </c>
      <c r="J5531">
        <v>201.95</v>
      </c>
      <c r="K5531">
        <v>0.08</v>
      </c>
      <c r="L5531">
        <v>0.38</v>
      </c>
      <c r="M5531">
        <v>16.45</v>
      </c>
      <c r="N5531">
        <v>-197.22499999999999</v>
      </c>
      <c r="O5531" s="1" t="s">
        <v>40</v>
      </c>
      <c r="P5531" s="1" t="s">
        <v>5891</v>
      </c>
      <c r="Q5531" s="1" t="s">
        <v>5892</v>
      </c>
      <c r="R5531" s="1" t="s">
        <v>43</v>
      </c>
      <c r="S5531" s="1" t="s">
        <v>5893</v>
      </c>
      <c r="T5531" s="1" t="s">
        <v>5894</v>
      </c>
      <c r="U5531" s="2" t="s">
        <v>5182</v>
      </c>
      <c r="V5531" s="2" t="s">
        <v>47</v>
      </c>
      <c r="W5531" s="2" t="s">
        <v>74</v>
      </c>
      <c r="X5531" s="2">
        <v>17.43</v>
      </c>
    </row>
    <row r="5532" spans="1:24" x14ac:dyDescent="0.3">
      <c r="A5532">
        <v>23359</v>
      </c>
      <c r="B5532" t="s">
        <v>11746</v>
      </c>
      <c r="C5532" s="3">
        <v>40622</v>
      </c>
      <c r="D5532" t="s">
        <v>50</v>
      </c>
      <c r="E5532">
        <v>3</v>
      </c>
      <c r="F5532" s="3">
        <f ca="1">40624+(RANDBETWEEN(1,10))</f>
        <v>40625</v>
      </c>
      <c r="G5532" t="s">
        <v>26</v>
      </c>
      <c r="H5532" t="s">
        <v>96</v>
      </c>
      <c r="I5532" t="s">
        <v>97</v>
      </c>
      <c r="J5532">
        <v>95.795000000000002</v>
      </c>
      <c r="K5532">
        <v>0.02</v>
      </c>
      <c r="L5532">
        <v>0.4</v>
      </c>
      <c r="M5532">
        <v>7.5250000000000004</v>
      </c>
      <c r="N5532">
        <v>64.435000000000002</v>
      </c>
      <c r="O5532" s="1" t="s">
        <v>64</v>
      </c>
      <c r="P5532" s="1" t="s">
        <v>11532</v>
      </c>
      <c r="Q5532" s="1" t="s">
        <v>11533</v>
      </c>
      <c r="R5532" s="1" t="s">
        <v>67</v>
      </c>
      <c r="S5532" s="1" t="s">
        <v>11534</v>
      </c>
      <c r="T5532" s="1" t="s">
        <v>11535</v>
      </c>
      <c r="U5532" s="2" t="s">
        <v>4359</v>
      </c>
      <c r="V5532" s="2" t="s">
        <v>47</v>
      </c>
      <c r="W5532" s="2" t="s">
        <v>74</v>
      </c>
      <c r="X5532" s="2">
        <v>31.885000000000002</v>
      </c>
    </row>
    <row r="5533" spans="1:24" x14ac:dyDescent="0.3">
      <c r="A5533">
        <v>2336</v>
      </c>
      <c r="B5533" t="s">
        <v>11747</v>
      </c>
      <c r="C5533" s="3">
        <v>41077</v>
      </c>
      <c r="D5533" t="s">
        <v>39</v>
      </c>
      <c r="E5533">
        <v>27</v>
      </c>
      <c r="F5533" s="3">
        <f ca="1">41079+(RANDBETWEEN(1,10))</f>
        <v>41087</v>
      </c>
      <c r="G5533" t="s">
        <v>26</v>
      </c>
      <c r="H5533" t="s">
        <v>27</v>
      </c>
      <c r="I5533" t="s">
        <v>97</v>
      </c>
      <c r="J5533">
        <v>5389.86</v>
      </c>
      <c r="K5533">
        <v>0</v>
      </c>
      <c r="L5533">
        <v>0.59</v>
      </c>
      <c r="M5533">
        <v>69.965000000000003</v>
      </c>
      <c r="N5533">
        <v>-703.66449999999998</v>
      </c>
      <c r="O5533" s="1" t="s">
        <v>64</v>
      </c>
      <c r="P5533" s="1" t="s">
        <v>189</v>
      </c>
      <c r="Q5533" s="1" t="s">
        <v>190</v>
      </c>
      <c r="R5533" s="1" t="s">
        <v>67</v>
      </c>
      <c r="S5533" s="1" t="s">
        <v>108</v>
      </c>
      <c r="T5533" s="1" t="s">
        <v>191</v>
      </c>
      <c r="U5533" s="2" t="s">
        <v>730</v>
      </c>
      <c r="V5533" s="2" t="s">
        <v>36</v>
      </c>
      <c r="W5533" s="2" t="s">
        <v>37</v>
      </c>
      <c r="X5533" s="2">
        <v>230.965</v>
      </c>
    </row>
    <row r="5534" spans="1:24" x14ac:dyDescent="0.3">
      <c r="A5534">
        <v>23360</v>
      </c>
      <c r="B5534" t="s">
        <v>11746</v>
      </c>
      <c r="C5534" s="3">
        <v>40622</v>
      </c>
      <c r="D5534" t="s">
        <v>50</v>
      </c>
      <c r="E5534">
        <v>8</v>
      </c>
      <c r="F5534" s="3">
        <f ca="1">40624+(RANDBETWEEN(1,10))</f>
        <v>40625</v>
      </c>
      <c r="G5534" t="s">
        <v>26</v>
      </c>
      <c r="H5534" t="s">
        <v>51</v>
      </c>
      <c r="I5534" t="s">
        <v>97</v>
      </c>
      <c r="J5534">
        <v>343.56</v>
      </c>
      <c r="K5534">
        <v>0.06</v>
      </c>
      <c r="L5534">
        <v>0.48</v>
      </c>
      <c r="M5534">
        <v>17.43</v>
      </c>
      <c r="N5534">
        <v>229.70500000000001</v>
      </c>
      <c r="O5534" s="1" t="s">
        <v>225</v>
      </c>
      <c r="P5534" s="1" t="s">
        <v>11748</v>
      </c>
      <c r="Q5534" s="1" t="s">
        <v>11749</v>
      </c>
      <c r="R5534" s="1" t="s">
        <v>228</v>
      </c>
      <c r="S5534" s="1" t="s">
        <v>11750</v>
      </c>
      <c r="T5534" s="1" t="s">
        <v>11751</v>
      </c>
      <c r="U5534" s="2" t="s">
        <v>430</v>
      </c>
      <c r="V5534" s="2" t="s">
        <v>83</v>
      </c>
      <c r="W5534" s="2" t="s">
        <v>178</v>
      </c>
      <c r="X5534" s="2">
        <v>44.24</v>
      </c>
    </row>
    <row r="5535" spans="1:24" x14ac:dyDescent="0.3">
      <c r="A5535">
        <v>23361</v>
      </c>
      <c r="B5535" t="s">
        <v>11752</v>
      </c>
      <c r="C5535" s="3">
        <v>40595</v>
      </c>
      <c r="D5535" t="s">
        <v>62</v>
      </c>
      <c r="E5535">
        <v>5</v>
      </c>
      <c r="F5535" s="3">
        <f ca="1">40595+(RANDBETWEEN(1,10))</f>
        <v>40600</v>
      </c>
      <c r="G5535" t="s">
        <v>26</v>
      </c>
      <c r="H5535" t="s">
        <v>27</v>
      </c>
      <c r="I5535" t="s">
        <v>86</v>
      </c>
      <c r="J5535">
        <v>876.75</v>
      </c>
      <c r="K5535">
        <v>0.02</v>
      </c>
      <c r="L5535">
        <v>0.41</v>
      </c>
      <c r="M5535">
        <v>69.965000000000003</v>
      </c>
      <c r="N5535">
        <v>-269.11500000000001</v>
      </c>
      <c r="O5535" s="1" t="s">
        <v>29</v>
      </c>
      <c r="P5535" s="1" t="s">
        <v>11753</v>
      </c>
      <c r="Q5535" s="1" t="s">
        <v>11754</v>
      </c>
      <c r="R5535" s="1" t="s">
        <v>32</v>
      </c>
      <c r="S5535" s="1" t="s">
        <v>11755</v>
      </c>
      <c r="T5535" s="1" t="s">
        <v>11756</v>
      </c>
      <c r="U5535" s="2" t="s">
        <v>300</v>
      </c>
      <c r="V5535" s="2" t="s">
        <v>36</v>
      </c>
      <c r="W5535" s="2" t="s">
        <v>60</v>
      </c>
      <c r="X5535" s="2">
        <v>174.965</v>
      </c>
    </row>
    <row r="5536" spans="1:24" x14ac:dyDescent="0.3">
      <c r="A5536">
        <v>23362</v>
      </c>
      <c r="B5536" t="s">
        <v>11757</v>
      </c>
      <c r="C5536" s="3">
        <v>41019</v>
      </c>
      <c r="D5536" t="s">
        <v>25</v>
      </c>
      <c r="E5536">
        <v>7</v>
      </c>
      <c r="F5536" s="3">
        <f ca="1">41024+(RANDBETWEEN(1,10))</f>
        <v>41032</v>
      </c>
      <c r="G5536" t="s">
        <v>26</v>
      </c>
      <c r="H5536" t="s">
        <v>27</v>
      </c>
      <c r="I5536" t="s">
        <v>97</v>
      </c>
      <c r="J5536">
        <v>421.12</v>
      </c>
      <c r="K5536">
        <v>0.01</v>
      </c>
      <c r="L5536">
        <v>0.6</v>
      </c>
      <c r="M5536">
        <v>39.375</v>
      </c>
      <c r="N5536">
        <v>-451.11500000000001</v>
      </c>
      <c r="O5536" s="1" t="s">
        <v>40</v>
      </c>
      <c r="P5536" s="1" t="s">
        <v>4763</v>
      </c>
      <c r="Q5536" s="1" t="s">
        <v>4764</v>
      </c>
      <c r="R5536" s="1" t="s">
        <v>220</v>
      </c>
      <c r="S5536" s="1" t="s">
        <v>4765</v>
      </c>
      <c r="T5536" s="1" t="s">
        <v>4766</v>
      </c>
      <c r="U5536" s="2" t="s">
        <v>742</v>
      </c>
      <c r="V5536" s="2" t="s">
        <v>47</v>
      </c>
      <c r="W5536" s="2" t="s">
        <v>119</v>
      </c>
      <c r="X5536" s="2">
        <v>54.95</v>
      </c>
    </row>
    <row r="5537" spans="1:24" x14ac:dyDescent="0.3">
      <c r="A5537">
        <v>23363</v>
      </c>
      <c r="B5537" t="s">
        <v>11758</v>
      </c>
      <c r="C5537" s="3">
        <v>41382</v>
      </c>
      <c r="D5537" t="s">
        <v>50</v>
      </c>
      <c r="E5537">
        <v>2</v>
      </c>
      <c r="F5537" s="3">
        <f ca="1">41384+(RANDBETWEEN(1,10))</f>
        <v>41385</v>
      </c>
      <c r="G5537" t="s">
        <v>26</v>
      </c>
      <c r="H5537" t="s">
        <v>27</v>
      </c>
      <c r="I5537" t="s">
        <v>86</v>
      </c>
      <c r="J5537">
        <v>138.91499999999999</v>
      </c>
      <c r="K5537">
        <v>0.09</v>
      </c>
      <c r="L5537">
        <v>0.68</v>
      </c>
      <c r="M5537">
        <v>14</v>
      </c>
      <c r="N5537">
        <v>-634.15800000000002</v>
      </c>
      <c r="O5537" s="1" t="s">
        <v>29</v>
      </c>
      <c r="P5537" s="1" t="s">
        <v>11759</v>
      </c>
      <c r="Q5537" s="1" t="s">
        <v>11760</v>
      </c>
      <c r="R5537" s="1" t="s">
        <v>32</v>
      </c>
      <c r="S5537" s="1" t="s">
        <v>11761</v>
      </c>
      <c r="T5537" s="1" t="s">
        <v>1929</v>
      </c>
      <c r="U5537" s="2" t="s">
        <v>2334</v>
      </c>
      <c r="V5537" s="2" t="s">
        <v>36</v>
      </c>
      <c r="W5537" s="2" t="s">
        <v>60</v>
      </c>
      <c r="X5537" s="2">
        <v>69.930000000000007</v>
      </c>
    </row>
    <row r="5538" spans="1:24" x14ac:dyDescent="0.3">
      <c r="A5538">
        <v>23364</v>
      </c>
      <c r="B5538" t="s">
        <v>11762</v>
      </c>
      <c r="C5538" s="3">
        <v>41894</v>
      </c>
      <c r="D5538" t="s">
        <v>50</v>
      </c>
      <c r="E5538">
        <v>17</v>
      </c>
      <c r="F5538" s="3">
        <f ca="1">41896+(RANDBETWEEN(1,10))</f>
        <v>41903</v>
      </c>
      <c r="G5538" t="s">
        <v>26</v>
      </c>
      <c r="H5538" t="s">
        <v>27</v>
      </c>
      <c r="I5538" t="s">
        <v>86</v>
      </c>
      <c r="J5538">
        <v>109.83</v>
      </c>
      <c r="K5538">
        <v>7.0000000000000007E-2</v>
      </c>
      <c r="L5538">
        <v>0.37</v>
      </c>
      <c r="M5538">
        <v>5.2149999999999999</v>
      </c>
      <c r="N5538">
        <v>-55.396880000000003</v>
      </c>
      <c r="O5538" s="1" t="s">
        <v>87</v>
      </c>
      <c r="P5538" s="1" t="s">
        <v>11046</v>
      </c>
      <c r="Q5538" s="1" t="s">
        <v>11047</v>
      </c>
      <c r="R5538" s="1" t="s">
        <v>497</v>
      </c>
      <c r="S5538" s="1" t="s">
        <v>11048</v>
      </c>
      <c r="T5538" s="1" t="s">
        <v>11049</v>
      </c>
      <c r="U5538" s="2" t="s">
        <v>4275</v>
      </c>
      <c r="V5538" s="2" t="s">
        <v>47</v>
      </c>
      <c r="W5538" s="2" t="s">
        <v>111</v>
      </c>
      <c r="X5538" s="2">
        <v>6.58</v>
      </c>
    </row>
    <row r="5539" spans="1:24" x14ac:dyDescent="0.3">
      <c r="A5539">
        <v>23365</v>
      </c>
      <c r="B5539" t="s">
        <v>11763</v>
      </c>
      <c r="C5539" s="3">
        <v>40798</v>
      </c>
      <c r="D5539" t="s">
        <v>50</v>
      </c>
      <c r="E5539">
        <v>4</v>
      </c>
      <c r="F5539" s="3">
        <f ca="1">40799+(RANDBETWEEN(1,10))</f>
        <v>40801</v>
      </c>
      <c r="G5539" t="s">
        <v>26</v>
      </c>
      <c r="H5539" t="s">
        <v>96</v>
      </c>
      <c r="I5539" t="s">
        <v>86</v>
      </c>
      <c r="J5539">
        <v>677.56500000000005</v>
      </c>
      <c r="K5539">
        <v>0.01</v>
      </c>
      <c r="L5539">
        <v>0.68</v>
      </c>
      <c r="M5539">
        <v>16.8</v>
      </c>
      <c r="N5539">
        <v>467.51985000000002</v>
      </c>
      <c r="O5539" s="1" t="s">
        <v>87</v>
      </c>
      <c r="P5539" s="1" t="s">
        <v>11046</v>
      </c>
      <c r="Q5539" s="1" t="s">
        <v>11047</v>
      </c>
      <c r="R5539" s="1" t="s">
        <v>497</v>
      </c>
      <c r="S5539" s="1" t="s">
        <v>11048</v>
      </c>
      <c r="T5539" s="1" t="s">
        <v>11049</v>
      </c>
      <c r="U5539" s="2" t="s">
        <v>4047</v>
      </c>
      <c r="V5539" s="2" t="s">
        <v>83</v>
      </c>
      <c r="W5539" s="2" t="s">
        <v>178</v>
      </c>
      <c r="X5539" s="2">
        <v>160.93</v>
      </c>
    </row>
    <row r="5540" spans="1:24" x14ac:dyDescent="0.3">
      <c r="A5540">
        <v>23366</v>
      </c>
      <c r="B5540" t="s">
        <v>11764</v>
      </c>
      <c r="C5540" s="3">
        <v>41615</v>
      </c>
      <c r="D5540" t="s">
        <v>25</v>
      </c>
      <c r="E5540">
        <v>21</v>
      </c>
      <c r="F5540" s="3">
        <f ca="1">41615+(RANDBETWEEN(1,10))</f>
        <v>41624</v>
      </c>
      <c r="G5540" t="s">
        <v>26</v>
      </c>
      <c r="H5540" t="s">
        <v>63</v>
      </c>
      <c r="I5540" t="s">
        <v>86</v>
      </c>
      <c r="J5540">
        <v>1401.96</v>
      </c>
      <c r="K5540">
        <v>0.08</v>
      </c>
      <c r="L5540">
        <v>0.56999999999999995</v>
      </c>
      <c r="M5540">
        <v>52.045000000000002</v>
      </c>
      <c r="N5540">
        <v>-444.04500000000002</v>
      </c>
      <c r="O5540" s="1" t="s">
        <v>225</v>
      </c>
      <c r="P5540" s="1" t="s">
        <v>4043</v>
      </c>
      <c r="Q5540" s="1" t="s">
        <v>4044</v>
      </c>
      <c r="R5540" s="1" t="s">
        <v>391</v>
      </c>
      <c r="S5540" s="1" t="s">
        <v>4045</v>
      </c>
      <c r="T5540" s="1" t="s">
        <v>4046</v>
      </c>
      <c r="U5540" s="2" t="s">
        <v>8886</v>
      </c>
      <c r="V5540" s="2" t="s">
        <v>83</v>
      </c>
      <c r="W5540" s="2" t="s">
        <v>178</v>
      </c>
      <c r="X5540" s="2">
        <v>69.790000000000006</v>
      </c>
    </row>
    <row r="5541" spans="1:24" x14ac:dyDescent="0.3">
      <c r="A5541">
        <v>23367</v>
      </c>
      <c r="B5541" t="s">
        <v>11764</v>
      </c>
      <c r="C5541" s="3">
        <v>41615</v>
      </c>
      <c r="D5541" t="s">
        <v>25</v>
      </c>
      <c r="E5541">
        <v>23</v>
      </c>
      <c r="F5541" s="3">
        <f ca="1">41619+(RANDBETWEEN(1,10))</f>
        <v>41623</v>
      </c>
      <c r="G5541" t="s">
        <v>26</v>
      </c>
      <c r="H5541" t="s">
        <v>27</v>
      </c>
      <c r="I5541" t="s">
        <v>86</v>
      </c>
      <c r="J5541">
        <v>610.71500000000003</v>
      </c>
      <c r="K5541">
        <v>0.03</v>
      </c>
      <c r="L5541">
        <v>0.35</v>
      </c>
      <c r="M5541">
        <v>21.56</v>
      </c>
      <c r="N5541">
        <v>-145.16162499999999</v>
      </c>
      <c r="O5541" s="1" t="s">
        <v>87</v>
      </c>
      <c r="P5541" s="1" t="s">
        <v>11765</v>
      </c>
      <c r="Q5541" s="1" t="s">
        <v>11766</v>
      </c>
      <c r="R5541" s="1" t="s">
        <v>497</v>
      </c>
      <c r="S5541" s="1" t="s">
        <v>1105</v>
      </c>
      <c r="T5541" s="1" t="s">
        <v>1106</v>
      </c>
      <c r="U5541" s="2" t="s">
        <v>3717</v>
      </c>
      <c r="V5541" s="2" t="s">
        <v>47</v>
      </c>
      <c r="W5541" s="2" t="s">
        <v>111</v>
      </c>
      <c r="X5541" s="2">
        <v>26.88</v>
      </c>
    </row>
    <row r="5542" spans="1:24" x14ac:dyDescent="0.3">
      <c r="A5542">
        <v>23368</v>
      </c>
      <c r="B5542" t="s">
        <v>11767</v>
      </c>
      <c r="C5542" s="3">
        <v>41136</v>
      </c>
      <c r="D5542" t="s">
        <v>39</v>
      </c>
      <c r="E5542">
        <v>18</v>
      </c>
      <c r="F5542" s="3">
        <f ca="1">41137+(RANDBETWEEN(1,10))</f>
        <v>41145</v>
      </c>
      <c r="G5542" t="s">
        <v>156</v>
      </c>
      <c r="H5542" t="s">
        <v>27</v>
      </c>
      <c r="I5542" t="s">
        <v>28</v>
      </c>
      <c r="J5542">
        <v>373.27499999999998</v>
      </c>
      <c r="K5542">
        <v>0.01</v>
      </c>
      <c r="L5542">
        <v>0.4</v>
      </c>
      <c r="M5542">
        <v>19.495000000000001</v>
      </c>
      <c r="N5542">
        <v>242.00399999999999</v>
      </c>
      <c r="O5542" s="1" t="s">
        <v>64</v>
      </c>
      <c r="P5542" s="1" t="s">
        <v>10984</v>
      </c>
      <c r="Q5542" s="1" t="s">
        <v>10985</v>
      </c>
      <c r="R5542" s="1" t="s">
        <v>128</v>
      </c>
      <c r="S5542" s="1" t="s">
        <v>10986</v>
      </c>
      <c r="T5542" s="1" t="s">
        <v>10987</v>
      </c>
      <c r="U5542" s="2" t="s">
        <v>1213</v>
      </c>
      <c r="V5542" s="2" t="s">
        <v>47</v>
      </c>
      <c r="W5542" s="2" t="s">
        <v>74</v>
      </c>
      <c r="X5542" s="2">
        <v>18.48</v>
      </c>
    </row>
    <row r="5543" spans="1:24" x14ac:dyDescent="0.3">
      <c r="A5543">
        <v>23369</v>
      </c>
      <c r="B5543" t="s">
        <v>11767</v>
      </c>
      <c r="C5543" s="3">
        <v>41136</v>
      </c>
      <c r="D5543" t="s">
        <v>39</v>
      </c>
      <c r="E5543">
        <v>22</v>
      </c>
      <c r="F5543" s="3">
        <f ca="1">41138+(RANDBETWEEN(1,10))</f>
        <v>41145</v>
      </c>
      <c r="G5543" t="s">
        <v>156</v>
      </c>
      <c r="H5543" t="s">
        <v>96</v>
      </c>
      <c r="I5543" t="s">
        <v>28</v>
      </c>
      <c r="J5543">
        <v>687.15499999999997</v>
      </c>
      <c r="K5543">
        <v>0.06</v>
      </c>
      <c r="L5543">
        <v>0.52</v>
      </c>
      <c r="M5543">
        <v>7.875</v>
      </c>
      <c r="N5543">
        <v>250.887</v>
      </c>
      <c r="O5543" s="1" t="s">
        <v>64</v>
      </c>
      <c r="P5543" s="1" t="s">
        <v>10984</v>
      </c>
      <c r="Q5543" s="1" t="s">
        <v>10985</v>
      </c>
      <c r="R5543" s="1" t="s">
        <v>128</v>
      </c>
      <c r="S5543" s="1" t="s">
        <v>10986</v>
      </c>
      <c r="T5543" s="1" t="s">
        <v>10987</v>
      </c>
      <c r="U5543" s="2" t="s">
        <v>419</v>
      </c>
      <c r="V5543" s="2" t="s">
        <v>47</v>
      </c>
      <c r="W5543" s="2" t="s">
        <v>104</v>
      </c>
      <c r="X5543" s="2">
        <v>31.885000000000002</v>
      </c>
    </row>
    <row r="5544" spans="1:24" x14ac:dyDescent="0.3">
      <c r="A5544">
        <v>23370</v>
      </c>
      <c r="B5544" t="s">
        <v>11768</v>
      </c>
      <c r="C5544" s="3">
        <v>41880</v>
      </c>
      <c r="D5544" t="s">
        <v>148</v>
      </c>
      <c r="E5544">
        <v>16</v>
      </c>
      <c r="F5544" s="3">
        <f ca="1">41881+(RANDBETWEEN(1,10))</f>
        <v>41882</v>
      </c>
      <c r="G5544" t="s">
        <v>26</v>
      </c>
      <c r="H5544" t="s">
        <v>27</v>
      </c>
      <c r="I5544" t="s">
        <v>86</v>
      </c>
      <c r="J5544">
        <v>269.46499999999997</v>
      </c>
      <c r="K5544">
        <v>0.02</v>
      </c>
      <c r="L5544">
        <v>0.36</v>
      </c>
      <c r="M5544">
        <v>1.75</v>
      </c>
      <c r="N5544">
        <v>185.93084999999999</v>
      </c>
      <c r="O5544" s="1" t="s">
        <v>29</v>
      </c>
      <c r="P5544" s="1" t="s">
        <v>8895</v>
      </c>
      <c r="Q5544" s="1" t="s">
        <v>8896</v>
      </c>
      <c r="R5544" s="1" t="s">
        <v>460</v>
      </c>
      <c r="S5544" s="1" t="s">
        <v>8897</v>
      </c>
      <c r="T5544" s="1" t="s">
        <v>8898</v>
      </c>
      <c r="U5544" s="2" t="s">
        <v>1158</v>
      </c>
      <c r="V5544" s="2" t="s">
        <v>47</v>
      </c>
      <c r="W5544" s="2" t="s">
        <v>203</v>
      </c>
      <c r="X5544" s="2">
        <v>17.184999999999999</v>
      </c>
    </row>
    <row r="5545" spans="1:24" x14ac:dyDescent="0.3">
      <c r="A5545">
        <v>23371</v>
      </c>
      <c r="B5545" t="s">
        <v>11769</v>
      </c>
      <c r="C5545" s="3">
        <v>41781</v>
      </c>
      <c r="D5545" t="s">
        <v>39</v>
      </c>
      <c r="E5545">
        <v>15</v>
      </c>
      <c r="F5545" s="3">
        <f ca="1">41781+(RANDBETWEEN(1,10))</f>
        <v>41790</v>
      </c>
      <c r="G5545" t="s">
        <v>26</v>
      </c>
      <c r="H5545" t="s">
        <v>63</v>
      </c>
      <c r="I5545" t="s">
        <v>97</v>
      </c>
      <c r="J5545">
        <v>3323.6350000000002</v>
      </c>
      <c r="K5545">
        <v>7.0000000000000007E-2</v>
      </c>
      <c r="L5545">
        <v>0.8</v>
      </c>
      <c r="M5545">
        <v>122.5</v>
      </c>
      <c r="N5545">
        <v>-34.398000000000003</v>
      </c>
      <c r="O5545" s="1" t="s">
        <v>29</v>
      </c>
      <c r="P5545" s="1" t="s">
        <v>10618</v>
      </c>
      <c r="Q5545" s="1" t="s">
        <v>10619</v>
      </c>
      <c r="R5545" s="1" t="s">
        <v>32</v>
      </c>
      <c r="S5545" s="1" t="s">
        <v>3101</v>
      </c>
      <c r="T5545" s="1" t="s">
        <v>3102</v>
      </c>
      <c r="U5545" s="2" t="s">
        <v>3893</v>
      </c>
      <c r="V5545" s="2" t="s">
        <v>47</v>
      </c>
      <c r="W5545" s="2" t="s">
        <v>119</v>
      </c>
      <c r="X5545" s="2">
        <v>226.27500000000001</v>
      </c>
    </row>
    <row r="5546" spans="1:24" x14ac:dyDescent="0.3">
      <c r="A5546">
        <v>23372</v>
      </c>
      <c r="B5546" t="s">
        <v>11770</v>
      </c>
      <c r="C5546" s="3">
        <v>41255</v>
      </c>
      <c r="D5546" t="s">
        <v>25</v>
      </c>
      <c r="E5546">
        <v>5</v>
      </c>
      <c r="F5546" s="3">
        <f ca="1">41255+(RANDBETWEEN(1,10))</f>
        <v>41259</v>
      </c>
      <c r="G5546" t="s">
        <v>26</v>
      </c>
      <c r="H5546" t="s">
        <v>27</v>
      </c>
      <c r="I5546" t="s">
        <v>28</v>
      </c>
      <c r="J5546">
        <v>92.33</v>
      </c>
      <c r="K5546">
        <v>0.09</v>
      </c>
      <c r="L5546">
        <v>0.36</v>
      </c>
      <c r="M5546">
        <v>26.04</v>
      </c>
      <c r="N5546">
        <v>-86.677499999999995</v>
      </c>
      <c r="O5546" s="1" t="s">
        <v>64</v>
      </c>
      <c r="P5546" s="1" t="s">
        <v>5774</v>
      </c>
      <c r="Q5546" s="1" t="s">
        <v>5775</v>
      </c>
      <c r="R5546" s="1" t="s">
        <v>67</v>
      </c>
      <c r="S5546" s="1" t="s">
        <v>5776</v>
      </c>
      <c r="T5546" s="1" t="s">
        <v>5777</v>
      </c>
      <c r="U5546" s="2" t="s">
        <v>131</v>
      </c>
      <c r="V5546" s="2" t="s">
        <v>47</v>
      </c>
      <c r="W5546" s="2" t="s">
        <v>74</v>
      </c>
      <c r="X5546" s="2">
        <v>17.43</v>
      </c>
    </row>
    <row r="5547" spans="1:24" x14ac:dyDescent="0.3">
      <c r="A5547">
        <v>23373</v>
      </c>
      <c r="B5547" t="s">
        <v>11771</v>
      </c>
      <c r="C5547" s="3">
        <v>41368</v>
      </c>
      <c r="D5547" t="s">
        <v>148</v>
      </c>
      <c r="E5547">
        <v>7</v>
      </c>
      <c r="F5547" s="3">
        <f ca="1">41369+(RANDBETWEEN(1,10))</f>
        <v>41379</v>
      </c>
      <c r="G5547" t="s">
        <v>156</v>
      </c>
      <c r="H5547" t="s">
        <v>27</v>
      </c>
      <c r="I5547" t="s">
        <v>97</v>
      </c>
      <c r="J5547">
        <v>126.315</v>
      </c>
      <c r="K5547">
        <v>0.09</v>
      </c>
      <c r="L5547">
        <v>0.39</v>
      </c>
      <c r="M5547">
        <v>1.7150000000000001</v>
      </c>
      <c r="N5547">
        <v>87.157349999999994</v>
      </c>
      <c r="O5547" s="1" t="s">
        <v>64</v>
      </c>
      <c r="P5547" s="1" t="s">
        <v>6650</v>
      </c>
      <c r="Q5547" s="1" t="s">
        <v>6651</v>
      </c>
      <c r="R5547" s="1" t="s">
        <v>67</v>
      </c>
      <c r="S5547" s="1" t="s">
        <v>6652</v>
      </c>
      <c r="T5547" s="1" t="s">
        <v>6653</v>
      </c>
      <c r="U5547" s="2" t="s">
        <v>892</v>
      </c>
      <c r="V5547" s="2" t="s">
        <v>47</v>
      </c>
      <c r="W5547" s="2" t="s">
        <v>203</v>
      </c>
      <c r="X5547" s="2">
        <v>17.43</v>
      </c>
    </row>
    <row r="5548" spans="1:24" x14ac:dyDescent="0.3">
      <c r="A5548">
        <v>23374</v>
      </c>
      <c r="B5548" t="s">
        <v>11771</v>
      </c>
      <c r="C5548" s="3">
        <v>41368</v>
      </c>
      <c r="D5548" t="s">
        <v>148</v>
      </c>
      <c r="E5548">
        <v>13</v>
      </c>
      <c r="F5548" s="3">
        <f ca="1">41370+(RANDBETWEEN(1,10))</f>
        <v>41371</v>
      </c>
      <c r="G5548" t="s">
        <v>26</v>
      </c>
      <c r="H5548" t="s">
        <v>63</v>
      </c>
      <c r="I5548" t="s">
        <v>97</v>
      </c>
      <c r="J5548">
        <v>3495.5549999999998</v>
      </c>
      <c r="K5548">
        <v>7.0000000000000007E-2</v>
      </c>
      <c r="L5548">
        <v>0.83</v>
      </c>
      <c r="M5548">
        <v>122.5</v>
      </c>
      <c r="N5548">
        <v>-4654.335</v>
      </c>
      <c r="O5548" s="1" t="s">
        <v>29</v>
      </c>
      <c r="P5548" s="1" t="s">
        <v>11772</v>
      </c>
      <c r="Q5548" s="1" t="s">
        <v>11773</v>
      </c>
      <c r="R5548" s="1" t="s">
        <v>460</v>
      </c>
      <c r="S5548" s="1" t="s">
        <v>11774</v>
      </c>
      <c r="T5548" s="1" t="s">
        <v>11775</v>
      </c>
      <c r="U5548" s="2" t="s">
        <v>6492</v>
      </c>
      <c r="V5548" s="2" t="s">
        <v>47</v>
      </c>
      <c r="W5548" s="2" t="s">
        <v>119</v>
      </c>
      <c r="X5548" s="2">
        <v>283.43</v>
      </c>
    </row>
    <row r="5549" spans="1:24" x14ac:dyDescent="0.3">
      <c r="A5549">
        <v>23375</v>
      </c>
      <c r="B5549" t="s">
        <v>11771</v>
      </c>
      <c r="C5549" s="3">
        <v>41368</v>
      </c>
      <c r="D5549" t="s">
        <v>148</v>
      </c>
      <c r="E5549">
        <v>11</v>
      </c>
      <c r="F5549" s="3">
        <f ca="1">41370+(RANDBETWEEN(1,10))</f>
        <v>41371</v>
      </c>
      <c r="G5549" t="s">
        <v>26</v>
      </c>
      <c r="H5549" t="s">
        <v>27</v>
      </c>
      <c r="I5549" t="s">
        <v>97</v>
      </c>
      <c r="J5549">
        <v>3871.7</v>
      </c>
      <c r="K5549">
        <v>0</v>
      </c>
      <c r="L5549">
        <v>0.55000000000000004</v>
      </c>
      <c r="M5549">
        <v>8.75</v>
      </c>
      <c r="N5549">
        <v>2671.473</v>
      </c>
      <c r="O5549" s="1" t="s">
        <v>29</v>
      </c>
      <c r="P5549" s="1" t="s">
        <v>11772</v>
      </c>
      <c r="Q5549" s="1" t="s">
        <v>11773</v>
      </c>
      <c r="R5549" s="1" t="s">
        <v>460</v>
      </c>
      <c r="S5549" s="1" t="s">
        <v>11774</v>
      </c>
      <c r="T5549" s="1" t="s">
        <v>11775</v>
      </c>
      <c r="U5549" s="2" t="s">
        <v>2369</v>
      </c>
      <c r="V5549" s="2" t="s">
        <v>36</v>
      </c>
      <c r="W5549" s="2" t="s">
        <v>37</v>
      </c>
      <c r="X5549" s="2">
        <v>405.96499999999997</v>
      </c>
    </row>
    <row r="5550" spans="1:24" x14ac:dyDescent="0.3">
      <c r="A5550">
        <v>23376</v>
      </c>
      <c r="B5550" t="s">
        <v>11776</v>
      </c>
      <c r="C5550" s="3">
        <v>40910</v>
      </c>
      <c r="D5550" t="s">
        <v>62</v>
      </c>
      <c r="E5550">
        <v>11</v>
      </c>
      <c r="F5550" s="3">
        <f ca="1">40911+(RANDBETWEEN(1,10))</f>
        <v>40919</v>
      </c>
      <c r="G5550" t="s">
        <v>26</v>
      </c>
      <c r="H5550" t="s">
        <v>281</v>
      </c>
      <c r="I5550" t="s">
        <v>86</v>
      </c>
      <c r="J5550">
        <v>693.66499999999996</v>
      </c>
      <c r="K5550">
        <v>7.0000000000000007E-2</v>
      </c>
      <c r="L5550">
        <v>0.57999999999999996</v>
      </c>
      <c r="M5550">
        <v>16.835000000000001</v>
      </c>
      <c r="N5550">
        <v>4524.0929999999998</v>
      </c>
      <c r="O5550" s="1" t="s">
        <v>53</v>
      </c>
      <c r="P5550" s="1" t="s">
        <v>6131</v>
      </c>
      <c r="Q5550" s="1" t="s">
        <v>6132</v>
      </c>
      <c r="R5550" s="1" t="s">
        <v>56</v>
      </c>
      <c r="S5550" s="1" t="s">
        <v>57</v>
      </c>
      <c r="T5550" s="1" t="s">
        <v>6133</v>
      </c>
      <c r="U5550" s="2" t="s">
        <v>1890</v>
      </c>
      <c r="V5550" s="2" t="s">
        <v>36</v>
      </c>
      <c r="W5550" s="2" t="s">
        <v>37</v>
      </c>
      <c r="X5550" s="2">
        <v>73.465000000000003</v>
      </c>
    </row>
    <row r="5551" spans="1:24" x14ac:dyDescent="0.3">
      <c r="A5551">
        <v>23377</v>
      </c>
      <c r="B5551" t="s">
        <v>11776</v>
      </c>
      <c r="C5551" s="3">
        <v>40910</v>
      </c>
      <c r="D5551" t="s">
        <v>62</v>
      </c>
      <c r="E5551">
        <v>10</v>
      </c>
      <c r="F5551" s="3">
        <f ca="1">40912+(RANDBETWEEN(1,10))</f>
        <v>40913</v>
      </c>
      <c r="G5551" t="s">
        <v>156</v>
      </c>
      <c r="H5551" t="s">
        <v>27</v>
      </c>
      <c r="I5551" t="s">
        <v>86</v>
      </c>
      <c r="J5551">
        <v>3386.67</v>
      </c>
      <c r="K5551">
        <v>0.09</v>
      </c>
      <c r="L5551">
        <v>0.37</v>
      </c>
      <c r="M5551">
        <v>69.965000000000003</v>
      </c>
      <c r="N5551">
        <v>-266.36399999999998</v>
      </c>
      <c r="O5551" s="1" t="s">
        <v>29</v>
      </c>
      <c r="P5551" s="1" t="s">
        <v>11777</v>
      </c>
      <c r="Q5551" s="1" t="s">
        <v>11778</v>
      </c>
      <c r="R5551" s="1" t="s">
        <v>32</v>
      </c>
      <c r="S5551" s="1" t="s">
        <v>11779</v>
      </c>
      <c r="T5551" s="1" t="s">
        <v>1167</v>
      </c>
      <c r="U5551" s="2" t="s">
        <v>9706</v>
      </c>
      <c r="V5551" s="2" t="s">
        <v>47</v>
      </c>
      <c r="W5551" s="2" t="s">
        <v>74</v>
      </c>
      <c r="X5551" s="2">
        <v>366.97500000000002</v>
      </c>
    </row>
    <row r="5552" spans="1:24" x14ac:dyDescent="0.3">
      <c r="A5552">
        <v>23378</v>
      </c>
      <c r="B5552" t="s">
        <v>11780</v>
      </c>
      <c r="C5552" s="3">
        <v>40896</v>
      </c>
      <c r="D5552" t="s">
        <v>39</v>
      </c>
      <c r="E5552">
        <v>19</v>
      </c>
      <c r="F5552" s="3">
        <f ca="1">40898+(RANDBETWEEN(1,10))</f>
        <v>40907</v>
      </c>
      <c r="G5552" t="s">
        <v>26</v>
      </c>
      <c r="H5552" t="s">
        <v>27</v>
      </c>
      <c r="I5552" t="s">
        <v>52</v>
      </c>
      <c r="J5552">
        <v>2614.1849999999999</v>
      </c>
      <c r="K5552">
        <v>0.09</v>
      </c>
      <c r="L5552">
        <v>0.74</v>
      </c>
      <c r="M5552">
        <v>22.75</v>
      </c>
      <c r="N5552">
        <v>-175.85749999999999</v>
      </c>
      <c r="O5552" s="1" t="s">
        <v>53</v>
      </c>
      <c r="P5552" s="1" t="s">
        <v>11781</v>
      </c>
      <c r="Q5552" s="1" t="s">
        <v>11782</v>
      </c>
      <c r="R5552" s="1" t="s">
        <v>56</v>
      </c>
      <c r="S5552" s="1" t="s">
        <v>2786</v>
      </c>
      <c r="T5552" s="1" t="s">
        <v>11783</v>
      </c>
      <c r="U5552" s="2" t="s">
        <v>4349</v>
      </c>
      <c r="V5552" s="2" t="s">
        <v>36</v>
      </c>
      <c r="W5552" s="2" t="s">
        <v>60</v>
      </c>
      <c r="X5552" s="2">
        <v>143.43</v>
      </c>
    </row>
    <row r="5553" spans="1:24" x14ac:dyDescent="0.3">
      <c r="A5553">
        <v>23379</v>
      </c>
      <c r="B5553" t="s">
        <v>11784</v>
      </c>
      <c r="C5553" s="3">
        <v>41992</v>
      </c>
      <c r="D5553" t="s">
        <v>39</v>
      </c>
      <c r="E5553">
        <v>2</v>
      </c>
      <c r="F5553" s="3">
        <f ca="1">41992+(RANDBETWEEN(1,10))</f>
        <v>41994</v>
      </c>
      <c r="G5553" t="s">
        <v>26</v>
      </c>
      <c r="H5553" t="s">
        <v>27</v>
      </c>
      <c r="I5553" t="s">
        <v>52</v>
      </c>
      <c r="J5553">
        <v>72.694999999999993</v>
      </c>
      <c r="K5553">
        <v>0.04</v>
      </c>
      <c r="L5553">
        <v>0.38</v>
      </c>
      <c r="M5553">
        <v>21.664999999999999</v>
      </c>
      <c r="N5553">
        <v>-18.257400000000001</v>
      </c>
      <c r="O5553" s="1" t="s">
        <v>87</v>
      </c>
      <c r="P5553" s="1" t="s">
        <v>4409</v>
      </c>
      <c r="Q5553" s="1" t="s">
        <v>4410</v>
      </c>
      <c r="R5553" s="1" t="s">
        <v>398</v>
      </c>
      <c r="S5553" s="1" t="s">
        <v>4411</v>
      </c>
      <c r="T5553" s="1" t="s">
        <v>4412</v>
      </c>
      <c r="U5553" s="2" t="s">
        <v>1202</v>
      </c>
      <c r="V5553" s="2" t="s">
        <v>47</v>
      </c>
      <c r="W5553" s="2" t="s">
        <v>111</v>
      </c>
      <c r="X5553" s="2">
        <v>30.1</v>
      </c>
    </row>
    <row r="5554" spans="1:24" x14ac:dyDescent="0.3">
      <c r="A5554">
        <v>23380</v>
      </c>
      <c r="B5554" t="s">
        <v>11785</v>
      </c>
      <c r="C5554" s="3">
        <v>41593</v>
      </c>
      <c r="D5554" t="s">
        <v>62</v>
      </c>
      <c r="E5554">
        <v>33</v>
      </c>
      <c r="F5554" s="3">
        <f ca="1">41595+(RANDBETWEEN(1,10))</f>
        <v>41605</v>
      </c>
      <c r="G5554" t="s">
        <v>26</v>
      </c>
      <c r="H5554" t="s">
        <v>27</v>
      </c>
      <c r="I5554" t="s">
        <v>28</v>
      </c>
      <c r="J5554">
        <v>210.38499999999999</v>
      </c>
      <c r="K5554">
        <v>7.0000000000000007E-2</v>
      </c>
      <c r="L5554">
        <v>0.37</v>
      </c>
      <c r="M5554">
        <v>5.2149999999999999</v>
      </c>
      <c r="N5554">
        <v>14.457800000000001</v>
      </c>
      <c r="O5554" s="1" t="s">
        <v>40</v>
      </c>
      <c r="P5554" s="1" t="s">
        <v>9509</v>
      </c>
      <c r="Q5554" s="1" t="s">
        <v>9510</v>
      </c>
      <c r="R5554" s="1" t="s">
        <v>43</v>
      </c>
      <c r="S5554" s="1" t="s">
        <v>9511</v>
      </c>
      <c r="T5554" s="1" t="s">
        <v>9512</v>
      </c>
      <c r="U5554" s="2" t="s">
        <v>4275</v>
      </c>
      <c r="V5554" s="2" t="s">
        <v>47</v>
      </c>
      <c r="W5554" s="2" t="s">
        <v>111</v>
      </c>
      <c r="X5554" s="2">
        <v>6.58</v>
      </c>
    </row>
    <row r="5555" spans="1:24" x14ac:dyDescent="0.3">
      <c r="A5555">
        <v>23381</v>
      </c>
      <c r="B5555" t="s">
        <v>11786</v>
      </c>
      <c r="C5555" s="3">
        <v>41435</v>
      </c>
      <c r="D5555" t="s">
        <v>39</v>
      </c>
      <c r="E5555">
        <v>4</v>
      </c>
      <c r="F5555" s="3">
        <f ca="1">41437+(RANDBETWEEN(1,10))</f>
        <v>41443</v>
      </c>
      <c r="G5555" t="s">
        <v>26</v>
      </c>
      <c r="H5555" t="s">
        <v>63</v>
      </c>
      <c r="I5555" t="s">
        <v>52</v>
      </c>
      <c r="J5555">
        <v>1906.135</v>
      </c>
      <c r="K5555">
        <v>0.08</v>
      </c>
      <c r="L5555">
        <v>0.56999999999999995</v>
      </c>
      <c r="M5555">
        <v>85.715000000000003</v>
      </c>
      <c r="N5555">
        <v>4.1159999999999997</v>
      </c>
      <c r="O5555" s="1" t="s">
        <v>40</v>
      </c>
      <c r="P5555" s="1" t="s">
        <v>11787</v>
      </c>
      <c r="Q5555" s="1" t="s">
        <v>11788</v>
      </c>
      <c r="R5555" s="1" t="s">
        <v>220</v>
      </c>
      <c r="S5555" s="1" t="s">
        <v>11789</v>
      </c>
      <c r="T5555" s="1" t="s">
        <v>11790</v>
      </c>
      <c r="U5555" s="2" t="s">
        <v>4440</v>
      </c>
      <c r="V5555" s="2" t="s">
        <v>83</v>
      </c>
      <c r="W5555" s="2" t="s">
        <v>84</v>
      </c>
      <c r="X5555" s="2">
        <v>492.83499999999998</v>
      </c>
    </row>
    <row r="5556" spans="1:24" x14ac:dyDescent="0.3">
      <c r="A5556">
        <v>23382</v>
      </c>
      <c r="B5556" t="s">
        <v>11786</v>
      </c>
      <c r="C5556" s="3">
        <v>41435</v>
      </c>
      <c r="D5556" t="s">
        <v>39</v>
      </c>
      <c r="E5556">
        <v>11</v>
      </c>
      <c r="F5556" s="3">
        <f ca="1">41437+(RANDBETWEEN(1,10))</f>
        <v>41438</v>
      </c>
      <c r="G5556" t="s">
        <v>26</v>
      </c>
      <c r="H5556" t="s">
        <v>27</v>
      </c>
      <c r="I5556" t="s">
        <v>52</v>
      </c>
      <c r="J5556">
        <v>1710.4849999999999</v>
      </c>
      <c r="K5556">
        <v>0.06</v>
      </c>
      <c r="L5556">
        <v>0.55000000000000004</v>
      </c>
      <c r="M5556">
        <v>57.26</v>
      </c>
      <c r="N5556">
        <v>99.54</v>
      </c>
      <c r="O5556" s="1" t="s">
        <v>40</v>
      </c>
      <c r="P5556" s="1" t="s">
        <v>11787</v>
      </c>
      <c r="Q5556" s="1" t="s">
        <v>11788</v>
      </c>
      <c r="R5556" s="1" t="s">
        <v>220</v>
      </c>
      <c r="S5556" s="1" t="s">
        <v>11789</v>
      </c>
      <c r="T5556" s="1" t="s">
        <v>11790</v>
      </c>
      <c r="U5556" s="2" t="s">
        <v>4353</v>
      </c>
      <c r="V5556" s="2" t="s">
        <v>47</v>
      </c>
      <c r="W5556" s="2" t="s">
        <v>119</v>
      </c>
      <c r="X5556" s="2">
        <v>152.495</v>
      </c>
    </row>
    <row r="5557" spans="1:24" x14ac:dyDescent="0.3">
      <c r="A5557">
        <v>23383</v>
      </c>
      <c r="B5557" t="s">
        <v>11786</v>
      </c>
      <c r="C5557" s="3">
        <v>41435</v>
      </c>
      <c r="D5557" t="s">
        <v>39</v>
      </c>
      <c r="E5557">
        <v>4</v>
      </c>
      <c r="F5557" s="3">
        <f ca="1">41436+(RANDBETWEEN(1,10))</f>
        <v>41444</v>
      </c>
      <c r="G5557" t="s">
        <v>156</v>
      </c>
      <c r="H5557" t="s">
        <v>51</v>
      </c>
      <c r="I5557" t="s">
        <v>52</v>
      </c>
      <c r="J5557">
        <v>677.91499999999996</v>
      </c>
      <c r="K5557">
        <v>0.02</v>
      </c>
      <c r="L5557">
        <v>0.55000000000000004</v>
      </c>
      <c r="M5557">
        <v>4.375</v>
      </c>
      <c r="N5557">
        <v>-94.617599999999996</v>
      </c>
      <c r="O5557" s="1" t="s">
        <v>40</v>
      </c>
      <c r="P5557" s="1" t="s">
        <v>11787</v>
      </c>
      <c r="Q5557" s="1" t="s">
        <v>11788</v>
      </c>
      <c r="R5557" s="1" t="s">
        <v>220</v>
      </c>
      <c r="S5557" s="1" t="s">
        <v>11789</v>
      </c>
      <c r="T5557" s="1" t="s">
        <v>11790</v>
      </c>
      <c r="U5557" s="2" t="s">
        <v>3075</v>
      </c>
      <c r="V5557" s="2" t="s">
        <v>36</v>
      </c>
      <c r="W5557" s="2" t="s">
        <v>37</v>
      </c>
      <c r="X5557" s="2">
        <v>195.965</v>
      </c>
    </row>
    <row r="5558" spans="1:24" x14ac:dyDescent="0.3">
      <c r="A5558">
        <v>23384</v>
      </c>
      <c r="B5558" t="s">
        <v>11791</v>
      </c>
      <c r="C5558" s="3">
        <v>41758</v>
      </c>
      <c r="D5558" t="s">
        <v>148</v>
      </c>
      <c r="E5558">
        <v>1</v>
      </c>
      <c r="F5558" s="3">
        <f ca="1">41760+(RANDBETWEEN(1,10))</f>
        <v>41763</v>
      </c>
      <c r="G5558" t="s">
        <v>26</v>
      </c>
      <c r="H5558" t="s">
        <v>96</v>
      </c>
      <c r="I5558" t="s">
        <v>28</v>
      </c>
      <c r="J5558">
        <v>40.74</v>
      </c>
      <c r="K5558">
        <v>0.05</v>
      </c>
      <c r="L5558">
        <v>0.42</v>
      </c>
      <c r="M5558">
        <v>14</v>
      </c>
      <c r="N5558">
        <v>-37.555</v>
      </c>
      <c r="O5558" s="1" t="s">
        <v>53</v>
      </c>
      <c r="P5558" s="1" t="s">
        <v>6046</v>
      </c>
      <c r="Q5558" s="1" t="s">
        <v>6047</v>
      </c>
      <c r="R5558" s="1" t="s">
        <v>100</v>
      </c>
      <c r="S5558" s="1" t="s">
        <v>3524</v>
      </c>
      <c r="T5558" s="1" t="s">
        <v>3525</v>
      </c>
      <c r="U5558" s="2" t="s">
        <v>2801</v>
      </c>
      <c r="V5558" s="2" t="s">
        <v>83</v>
      </c>
      <c r="W5558" s="2" t="s">
        <v>178</v>
      </c>
      <c r="X5558" s="2">
        <v>26.565000000000001</v>
      </c>
    </row>
    <row r="5559" spans="1:24" x14ac:dyDescent="0.3">
      <c r="A5559">
        <v>23385</v>
      </c>
      <c r="B5559" t="s">
        <v>11792</v>
      </c>
      <c r="C5559" s="3">
        <v>41355</v>
      </c>
      <c r="D5559" t="s">
        <v>39</v>
      </c>
      <c r="E5559">
        <v>2</v>
      </c>
      <c r="F5559" s="3">
        <f ca="1">41357+(RANDBETWEEN(1,10))</f>
        <v>41359</v>
      </c>
      <c r="G5559" t="s">
        <v>26</v>
      </c>
      <c r="H5559" t="s">
        <v>27</v>
      </c>
      <c r="I5559" t="s">
        <v>52</v>
      </c>
      <c r="J5559">
        <v>30.1</v>
      </c>
      <c r="K5559">
        <v>0.09</v>
      </c>
      <c r="L5559">
        <v>0.37</v>
      </c>
      <c r="M5559">
        <v>19.145</v>
      </c>
      <c r="N5559">
        <v>-189.72800000000001</v>
      </c>
      <c r="O5559" s="1" t="s">
        <v>53</v>
      </c>
      <c r="P5559" s="1" t="s">
        <v>9207</v>
      </c>
      <c r="Q5559" s="1" t="s">
        <v>9208</v>
      </c>
      <c r="R5559" s="1" t="s">
        <v>100</v>
      </c>
      <c r="S5559" s="1" t="s">
        <v>9209</v>
      </c>
      <c r="T5559" s="1" t="s">
        <v>9210</v>
      </c>
      <c r="U5559" s="2" t="s">
        <v>879</v>
      </c>
      <c r="V5559" s="2" t="s">
        <v>47</v>
      </c>
      <c r="W5559" s="2" t="s">
        <v>111</v>
      </c>
      <c r="X5559" s="2">
        <v>12.53</v>
      </c>
    </row>
    <row r="5560" spans="1:24" x14ac:dyDescent="0.3">
      <c r="A5560">
        <v>23386</v>
      </c>
      <c r="B5560" t="s">
        <v>11793</v>
      </c>
      <c r="C5560" s="3">
        <v>41394</v>
      </c>
      <c r="D5560" t="s">
        <v>62</v>
      </c>
      <c r="E5560">
        <v>6</v>
      </c>
      <c r="F5560" s="3">
        <f ca="1">41396+(RANDBETWEEN(1,10))</f>
        <v>41399</v>
      </c>
      <c r="G5560" t="s">
        <v>26</v>
      </c>
      <c r="H5560" t="s">
        <v>27</v>
      </c>
      <c r="I5560" t="s">
        <v>52</v>
      </c>
      <c r="J5560">
        <v>2561.6849999999999</v>
      </c>
      <c r="K5560">
        <v>0.08</v>
      </c>
      <c r="L5560">
        <v>0.6</v>
      </c>
      <c r="M5560">
        <v>28.28</v>
      </c>
      <c r="N5560">
        <v>310.68450000000001</v>
      </c>
      <c r="O5560" s="1" t="s">
        <v>87</v>
      </c>
      <c r="P5560" s="1" t="s">
        <v>10563</v>
      </c>
      <c r="Q5560" s="1" t="s">
        <v>10564</v>
      </c>
      <c r="R5560" s="1" t="s">
        <v>90</v>
      </c>
      <c r="S5560" s="1" t="s">
        <v>10565</v>
      </c>
      <c r="T5560" s="1" t="s">
        <v>10566</v>
      </c>
      <c r="U5560" s="2" t="s">
        <v>7517</v>
      </c>
      <c r="V5560" s="2" t="s">
        <v>36</v>
      </c>
      <c r="W5560" s="2" t="s">
        <v>37</v>
      </c>
      <c r="X5560" s="2">
        <v>545.96500000000003</v>
      </c>
    </row>
    <row r="5561" spans="1:24" x14ac:dyDescent="0.3">
      <c r="A5561">
        <v>23387</v>
      </c>
      <c r="B5561" t="s">
        <v>11794</v>
      </c>
      <c r="C5561" s="3">
        <v>41743</v>
      </c>
      <c r="D5561" t="s">
        <v>39</v>
      </c>
      <c r="E5561">
        <v>1</v>
      </c>
      <c r="F5561" s="3">
        <f ca="1">41746+(RANDBETWEEN(1,10))</f>
        <v>41748</v>
      </c>
      <c r="G5561" t="s">
        <v>26</v>
      </c>
      <c r="H5561" t="s">
        <v>63</v>
      </c>
      <c r="I5561" t="s">
        <v>28</v>
      </c>
      <c r="J5561">
        <v>54.634999999999998</v>
      </c>
      <c r="K5561">
        <v>0.08</v>
      </c>
      <c r="L5561">
        <v>0.59</v>
      </c>
      <c r="M5561">
        <v>171.5</v>
      </c>
      <c r="N5561">
        <v>-496.16</v>
      </c>
      <c r="O5561" s="1" t="s">
        <v>40</v>
      </c>
      <c r="P5561" s="1" t="s">
        <v>11425</v>
      </c>
      <c r="Q5561" s="1" t="s">
        <v>11426</v>
      </c>
      <c r="R5561" s="1" t="s">
        <v>43</v>
      </c>
      <c r="S5561" s="1" t="s">
        <v>1827</v>
      </c>
      <c r="T5561" s="1" t="s">
        <v>10905</v>
      </c>
      <c r="U5561" s="2" t="s">
        <v>9246</v>
      </c>
      <c r="V5561" s="2" t="s">
        <v>47</v>
      </c>
      <c r="W5561" s="2" t="s">
        <v>71</v>
      </c>
      <c r="X5561" s="2">
        <v>12.18</v>
      </c>
    </row>
    <row r="5562" spans="1:24" x14ac:dyDescent="0.3">
      <c r="A5562">
        <v>23388</v>
      </c>
      <c r="B5562" t="s">
        <v>11795</v>
      </c>
      <c r="C5562" s="3">
        <v>41387</v>
      </c>
      <c r="D5562" t="s">
        <v>148</v>
      </c>
      <c r="E5562">
        <v>3</v>
      </c>
      <c r="F5562" s="3">
        <f ca="1">41389+(RANDBETWEEN(1,10))</f>
        <v>41392</v>
      </c>
      <c r="G5562" t="s">
        <v>156</v>
      </c>
      <c r="H5562" t="s">
        <v>27</v>
      </c>
      <c r="I5562" t="s">
        <v>52</v>
      </c>
      <c r="J5562">
        <v>1401.75</v>
      </c>
      <c r="K5562">
        <v>0.1</v>
      </c>
      <c r="L5562">
        <v>0.73</v>
      </c>
      <c r="M5562">
        <v>69.965000000000003</v>
      </c>
      <c r="N5562">
        <v>-649.17999999999995</v>
      </c>
      <c r="O5562" s="1" t="s">
        <v>53</v>
      </c>
      <c r="P5562" s="1" t="s">
        <v>11796</v>
      </c>
      <c r="Q5562" s="1" t="s">
        <v>11797</v>
      </c>
      <c r="R5562" s="1" t="s">
        <v>440</v>
      </c>
      <c r="S5562" s="1" t="s">
        <v>3326</v>
      </c>
      <c r="T5562" s="1" t="s">
        <v>3327</v>
      </c>
      <c r="U5562" s="2" t="s">
        <v>1828</v>
      </c>
      <c r="V5562" s="2" t="s">
        <v>47</v>
      </c>
      <c r="W5562" s="2" t="s">
        <v>119</v>
      </c>
      <c r="X5562" s="2">
        <v>492.97500000000002</v>
      </c>
    </row>
    <row r="5563" spans="1:24" x14ac:dyDescent="0.3">
      <c r="A5563">
        <v>23389</v>
      </c>
      <c r="B5563" t="s">
        <v>11798</v>
      </c>
      <c r="C5563" s="3">
        <v>41917</v>
      </c>
      <c r="D5563" t="s">
        <v>62</v>
      </c>
      <c r="E5563">
        <v>7</v>
      </c>
      <c r="F5563" s="3">
        <f ca="1">41918+(RANDBETWEEN(1,10))</f>
        <v>41926</v>
      </c>
      <c r="G5563" t="s">
        <v>26</v>
      </c>
      <c r="H5563" t="s">
        <v>27</v>
      </c>
      <c r="I5563" t="s">
        <v>28</v>
      </c>
      <c r="J5563">
        <v>160.58000000000001</v>
      </c>
      <c r="K5563">
        <v>7.0000000000000007E-2</v>
      </c>
      <c r="L5563">
        <v>0.35</v>
      </c>
      <c r="M5563">
        <v>10.465</v>
      </c>
      <c r="N5563">
        <v>9.8770000000000007</v>
      </c>
      <c r="O5563" s="1" t="s">
        <v>40</v>
      </c>
      <c r="P5563" s="1" t="s">
        <v>8594</v>
      </c>
      <c r="Q5563" s="1" t="s">
        <v>8595</v>
      </c>
      <c r="R5563" s="1" t="s">
        <v>43</v>
      </c>
      <c r="S5563" s="1" t="s">
        <v>8596</v>
      </c>
      <c r="T5563" s="1" t="s">
        <v>8597</v>
      </c>
      <c r="U5563" s="2" t="s">
        <v>4681</v>
      </c>
      <c r="V5563" s="2" t="s">
        <v>47</v>
      </c>
      <c r="W5563" s="2" t="s">
        <v>111</v>
      </c>
      <c r="X5563" s="2">
        <v>23.625</v>
      </c>
    </row>
    <row r="5564" spans="1:24" x14ac:dyDescent="0.3">
      <c r="A5564">
        <v>23390</v>
      </c>
      <c r="B5564" t="s">
        <v>11798</v>
      </c>
      <c r="C5564" s="3">
        <v>41917</v>
      </c>
      <c r="D5564" t="s">
        <v>62</v>
      </c>
      <c r="E5564">
        <v>16</v>
      </c>
      <c r="F5564" s="3">
        <f ca="1">41918+(RANDBETWEEN(1,10))</f>
        <v>41923</v>
      </c>
      <c r="G5564" t="s">
        <v>26</v>
      </c>
      <c r="H5564" t="s">
        <v>27</v>
      </c>
      <c r="I5564" t="s">
        <v>28</v>
      </c>
      <c r="J5564">
        <v>626.04499999999996</v>
      </c>
      <c r="K5564">
        <v>0</v>
      </c>
      <c r="L5564">
        <v>0.64</v>
      </c>
      <c r="M5564">
        <v>22.75</v>
      </c>
      <c r="N5564">
        <v>-407.57499999999999</v>
      </c>
      <c r="O5564" s="1" t="s">
        <v>225</v>
      </c>
      <c r="P5564" s="1" t="s">
        <v>11799</v>
      </c>
      <c r="Q5564" s="1" t="s">
        <v>11800</v>
      </c>
      <c r="R5564" s="1" t="s">
        <v>228</v>
      </c>
      <c r="S5564" s="1" t="s">
        <v>1252</v>
      </c>
      <c r="T5564" s="1" t="s">
        <v>1253</v>
      </c>
      <c r="U5564" s="2" t="s">
        <v>337</v>
      </c>
      <c r="V5564" s="2" t="s">
        <v>36</v>
      </c>
      <c r="W5564" s="2" t="s">
        <v>60</v>
      </c>
      <c r="X5564" s="2">
        <v>38.395000000000003</v>
      </c>
    </row>
    <row r="5565" spans="1:24" x14ac:dyDescent="0.3">
      <c r="A5565">
        <v>23391</v>
      </c>
      <c r="B5565" t="s">
        <v>11801</v>
      </c>
      <c r="C5565" s="3">
        <v>41213</v>
      </c>
      <c r="D5565" t="s">
        <v>148</v>
      </c>
      <c r="E5565">
        <v>21</v>
      </c>
      <c r="F5565" s="3">
        <f ca="1">41215+(RANDBETWEEN(1,10))</f>
        <v>41218</v>
      </c>
      <c r="G5565" t="s">
        <v>26</v>
      </c>
      <c r="H5565" t="s">
        <v>96</v>
      </c>
      <c r="I5565" t="s">
        <v>28</v>
      </c>
      <c r="J5565">
        <v>209.16</v>
      </c>
      <c r="K5565">
        <v>0.09</v>
      </c>
      <c r="L5565">
        <v>0.56000000000000005</v>
      </c>
      <c r="M5565">
        <v>2.4500000000000002</v>
      </c>
      <c r="N5565">
        <v>60.375</v>
      </c>
      <c r="O5565" s="1" t="s">
        <v>87</v>
      </c>
      <c r="P5565" s="1" t="s">
        <v>11802</v>
      </c>
      <c r="Q5565" s="1" t="s">
        <v>11803</v>
      </c>
      <c r="R5565" s="1" t="s">
        <v>90</v>
      </c>
      <c r="S5565" s="1" t="s">
        <v>1330</v>
      </c>
      <c r="T5565" s="1" t="s">
        <v>1331</v>
      </c>
      <c r="U5565" s="2" t="s">
        <v>443</v>
      </c>
      <c r="V5565" s="2" t="s">
        <v>47</v>
      </c>
      <c r="W5565" s="2" t="s">
        <v>104</v>
      </c>
      <c r="X5565" s="2">
        <v>10.08</v>
      </c>
    </row>
    <row r="5566" spans="1:24" x14ac:dyDescent="0.3">
      <c r="A5566">
        <v>23392</v>
      </c>
      <c r="B5566" t="s">
        <v>11804</v>
      </c>
      <c r="C5566" s="3">
        <v>40563</v>
      </c>
      <c r="D5566" t="s">
        <v>62</v>
      </c>
      <c r="E5566">
        <v>9</v>
      </c>
      <c r="F5566" s="3">
        <f ca="1">40564+(RANDBETWEEN(1,10))</f>
        <v>40565</v>
      </c>
      <c r="G5566" t="s">
        <v>26</v>
      </c>
      <c r="H5566" t="s">
        <v>27</v>
      </c>
      <c r="I5566" t="s">
        <v>28</v>
      </c>
      <c r="J5566">
        <v>1896.16</v>
      </c>
      <c r="K5566">
        <v>0.02</v>
      </c>
      <c r="L5566">
        <v>0.56999999999999995</v>
      </c>
      <c r="M5566">
        <v>12.25</v>
      </c>
      <c r="N5566">
        <v>-678.69899999999996</v>
      </c>
      <c r="O5566" s="1" t="s">
        <v>87</v>
      </c>
      <c r="P5566" s="1" t="s">
        <v>8724</v>
      </c>
      <c r="Q5566" s="1" t="s">
        <v>8725</v>
      </c>
      <c r="R5566" s="1" t="s">
        <v>398</v>
      </c>
      <c r="S5566" s="1" t="s">
        <v>8726</v>
      </c>
      <c r="T5566" s="1" t="s">
        <v>8727</v>
      </c>
      <c r="U5566" s="2" t="s">
        <v>6491</v>
      </c>
      <c r="V5566" s="2" t="s">
        <v>47</v>
      </c>
      <c r="W5566" s="2" t="s">
        <v>71</v>
      </c>
      <c r="X5566" s="2">
        <v>210.77</v>
      </c>
    </row>
    <row r="5567" spans="1:24" x14ac:dyDescent="0.3">
      <c r="A5567">
        <v>23393</v>
      </c>
      <c r="B5567" t="s">
        <v>11805</v>
      </c>
      <c r="C5567" s="3">
        <v>40681</v>
      </c>
      <c r="D5567" t="s">
        <v>148</v>
      </c>
      <c r="E5567">
        <v>14</v>
      </c>
      <c r="F5567" s="3">
        <f ca="1">40681+(RANDBETWEEN(1,10))</f>
        <v>40683</v>
      </c>
      <c r="G5567" t="s">
        <v>26</v>
      </c>
      <c r="H5567" t="s">
        <v>96</v>
      </c>
      <c r="I5567" t="s">
        <v>28</v>
      </c>
      <c r="J5567">
        <v>803.495</v>
      </c>
      <c r="K5567">
        <v>0.09</v>
      </c>
      <c r="L5567">
        <v>0.56999999999999995</v>
      </c>
      <c r="M5567">
        <v>3.4649999999999999</v>
      </c>
      <c r="N5567">
        <v>428.02199999999999</v>
      </c>
      <c r="O5567" s="1" t="s">
        <v>87</v>
      </c>
      <c r="P5567" s="1" t="s">
        <v>11806</v>
      </c>
      <c r="Q5567" s="1" t="s">
        <v>11807</v>
      </c>
      <c r="R5567" s="1" t="s">
        <v>398</v>
      </c>
      <c r="S5567" s="1" t="s">
        <v>11808</v>
      </c>
      <c r="T5567" s="1" t="s">
        <v>11809</v>
      </c>
      <c r="U5567" s="2" t="s">
        <v>5426</v>
      </c>
      <c r="V5567" s="2" t="s">
        <v>36</v>
      </c>
      <c r="W5567" s="2" t="s">
        <v>37</v>
      </c>
      <c r="X5567" s="2">
        <v>73.465000000000003</v>
      </c>
    </row>
    <row r="5568" spans="1:24" x14ac:dyDescent="0.3">
      <c r="A5568">
        <v>23394</v>
      </c>
      <c r="B5568" t="s">
        <v>11805</v>
      </c>
      <c r="C5568" s="3">
        <v>40681</v>
      </c>
      <c r="D5568" t="s">
        <v>148</v>
      </c>
      <c r="E5568">
        <v>5</v>
      </c>
      <c r="F5568" s="3">
        <f ca="1">40682+(RANDBETWEEN(1,10))</f>
        <v>40691</v>
      </c>
      <c r="G5568" t="s">
        <v>156</v>
      </c>
      <c r="H5568" t="s">
        <v>27</v>
      </c>
      <c r="I5568" t="s">
        <v>28</v>
      </c>
      <c r="J5568">
        <v>73.045000000000002</v>
      </c>
      <c r="K5568">
        <v>0.1</v>
      </c>
      <c r="L5568">
        <v>0.4</v>
      </c>
      <c r="M5568">
        <v>21.945</v>
      </c>
      <c r="N5568">
        <v>-234.69775000000001</v>
      </c>
      <c r="O5568" s="1" t="s">
        <v>87</v>
      </c>
      <c r="P5568" s="1" t="s">
        <v>11810</v>
      </c>
      <c r="Q5568" s="1" t="s">
        <v>11811</v>
      </c>
      <c r="R5568" s="1" t="s">
        <v>90</v>
      </c>
      <c r="S5568" s="1" t="s">
        <v>653</v>
      </c>
      <c r="T5568" s="1" t="s">
        <v>654</v>
      </c>
      <c r="U5568" s="2" t="s">
        <v>1887</v>
      </c>
      <c r="V5568" s="2" t="s">
        <v>47</v>
      </c>
      <c r="W5568" s="2" t="s">
        <v>111</v>
      </c>
      <c r="X5568" s="2">
        <v>11.76</v>
      </c>
    </row>
    <row r="5569" spans="1:24" x14ac:dyDescent="0.3">
      <c r="A5569">
        <v>23395</v>
      </c>
      <c r="B5569" t="s">
        <v>11805</v>
      </c>
      <c r="C5569" s="3">
        <v>40681</v>
      </c>
      <c r="D5569" t="s">
        <v>148</v>
      </c>
      <c r="E5569">
        <v>2</v>
      </c>
      <c r="F5569" s="3">
        <f ca="1">40683+(RANDBETWEEN(1,10))</f>
        <v>40689</v>
      </c>
      <c r="G5569" t="s">
        <v>26</v>
      </c>
      <c r="H5569" t="s">
        <v>27</v>
      </c>
      <c r="I5569" t="s">
        <v>28</v>
      </c>
      <c r="J5569">
        <v>89.95</v>
      </c>
      <c r="K5569">
        <v>7.0000000000000007E-2</v>
      </c>
      <c r="L5569">
        <v>0.38</v>
      </c>
      <c r="M5569">
        <v>17.010000000000002</v>
      </c>
      <c r="N5569">
        <v>-27.79</v>
      </c>
      <c r="O5569" s="1" t="s">
        <v>53</v>
      </c>
      <c r="P5569" s="1" t="s">
        <v>11812</v>
      </c>
      <c r="Q5569" s="1" t="s">
        <v>11813</v>
      </c>
      <c r="R5569" s="1" t="s">
        <v>56</v>
      </c>
      <c r="S5569" s="1" t="s">
        <v>3216</v>
      </c>
      <c r="T5569" s="1" t="s">
        <v>3217</v>
      </c>
      <c r="U5569" s="2" t="s">
        <v>9430</v>
      </c>
      <c r="V5569" s="2" t="s">
        <v>47</v>
      </c>
      <c r="W5569" s="2" t="s">
        <v>74</v>
      </c>
      <c r="X5569" s="2">
        <v>42.98</v>
      </c>
    </row>
    <row r="5570" spans="1:24" x14ac:dyDescent="0.3">
      <c r="A5570">
        <v>23396</v>
      </c>
      <c r="B5570" t="s">
        <v>11814</v>
      </c>
      <c r="C5570" s="3">
        <v>40920</v>
      </c>
      <c r="D5570" t="s">
        <v>50</v>
      </c>
      <c r="E5570">
        <v>1</v>
      </c>
      <c r="F5570" s="3">
        <f ca="1">40921+(RANDBETWEEN(1,10))</f>
        <v>40923</v>
      </c>
      <c r="G5570" t="s">
        <v>26</v>
      </c>
      <c r="H5570" t="s">
        <v>63</v>
      </c>
      <c r="I5570" t="s">
        <v>52</v>
      </c>
      <c r="J5570">
        <v>262.185</v>
      </c>
      <c r="K5570">
        <v>0.02</v>
      </c>
      <c r="L5570">
        <v>0.68</v>
      </c>
      <c r="M5570">
        <v>241.5</v>
      </c>
      <c r="N5570">
        <v>145.23081300000001</v>
      </c>
      <c r="O5570" s="1" t="s">
        <v>87</v>
      </c>
      <c r="P5570" s="1" t="s">
        <v>11815</v>
      </c>
      <c r="Q5570" s="1" t="s">
        <v>11816</v>
      </c>
      <c r="R5570" s="1" t="s">
        <v>90</v>
      </c>
      <c r="S5570" s="1" t="s">
        <v>1330</v>
      </c>
      <c r="T5570" s="1" t="s">
        <v>1331</v>
      </c>
      <c r="U5570" s="2" t="s">
        <v>1152</v>
      </c>
      <c r="V5570" s="2" t="s">
        <v>83</v>
      </c>
      <c r="W5570" s="2" t="s">
        <v>263</v>
      </c>
      <c r="X5570" s="2">
        <v>249.79499999999999</v>
      </c>
    </row>
    <row r="5571" spans="1:24" x14ac:dyDescent="0.3">
      <c r="A5571">
        <v>23397</v>
      </c>
      <c r="B5571" t="s">
        <v>11817</v>
      </c>
      <c r="C5571" s="3">
        <v>41367</v>
      </c>
      <c r="D5571" t="s">
        <v>39</v>
      </c>
      <c r="E5571">
        <v>14</v>
      </c>
      <c r="F5571" s="3">
        <f ca="1">41369+(RANDBETWEEN(1,10))</f>
        <v>41370</v>
      </c>
      <c r="G5571" t="s">
        <v>26</v>
      </c>
      <c r="H5571" t="s">
        <v>96</v>
      </c>
      <c r="I5571" t="s">
        <v>28</v>
      </c>
      <c r="J5571">
        <v>165.76</v>
      </c>
      <c r="K5571">
        <v>0</v>
      </c>
      <c r="L5571">
        <v>0.4</v>
      </c>
      <c r="M5571">
        <v>3.99</v>
      </c>
      <c r="N5571">
        <v>114.37439999999999</v>
      </c>
      <c r="O5571" s="1" t="s">
        <v>40</v>
      </c>
      <c r="P5571" s="1" t="s">
        <v>11818</v>
      </c>
      <c r="Q5571" s="1" t="s">
        <v>11819</v>
      </c>
      <c r="R5571" s="1" t="s">
        <v>43</v>
      </c>
      <c r="S5571" s="1" t="s">
        <v>11820</v>
      </c>
      <c r="T5571" s="1" t="s">
        <v>11821</v>
      </c>
      <c r="U5571" s="2" t="s">
        <v>8690</v>
      </c>
      <c r="V5571" s="2" t="s">
        <v>47</v>
      </c>
      <c r="W5571" s="2" t="s">
        <v>74</v>
      </c>
      <c r="X5571" s="2">
        <v>10.99</v>
      </c>
    </row>
    <row r="5572" spans="1:24" x14ac:dyDescent="0.3">
      <c r="A5572">
        <v>23398</v>
      </c>
      <c r="B5572" t="s">
        <v>11822</v>
      </c>
      <c r="C5572" s="3">
        <v>40855</v>
      </c>
      <c r="D5572" t="s">
        <v>50</v>
      </c>
      <c r="E5572">
        <v>20</v>
      </c>
      <c r="F5572" s="3">
        <f ca="1">40856+(RANDBETWEEN(1,10))</f>
        <v>40858</v>
      </c>
      <c r="G5572" t="s">
        <v>156</v>
      </c>
      <c r="H5572" t="s">
        <v>27</v>
      </c>
      <c r="I5572" t="s">
        <v>86</v>
      </c>
      <c r="J5572">
        <v>5846.1549999999997</v>
      </c>
      <c r="K5572">
        <v>0.05</v>
      </c>
      <c r="L5572">
        <v>0.45</v>
      </c>
      <c r="M5572">
        <v>21.454999999999998</v>
      </c>
      <c r="N5572">
        <v>4033.8469500000001</v>
      </c>
      <c r="O5572" s="1" t="s">
        <v>29</v>
      </c>
      <c r="P5572" s="1" t="s">
        <v>11145</v>
      </c>
      <c r="Q5572" s="1" t="s">
        <v>11146</v>
      </c>
      <c r="R5572" s="1" t="s">
        <v>460</v>
      </c>
      <c r="S5572" s="1" t="s">
        <v>9263</v>
      </c>
      <c r="T5572" s="1" t="s">
        <v>9264</v>
      </c>
      <c r="U5572" s="2" t="s">
        <v>3335</v>
      </c>
      <c r="V5572" s="2" t="s">
        <v>36</v>
      </c>
      <c r="W5572" s="2" t="s">
        <v>60</v>
      </c>
      <c r="X5572" s="2">
        <v>290.85000000000002</v>
      </c>
    </row>
    <row r="5573" spans="1:24" x14ac:dyDescent="0.3">
      <c r="A5573">
        <v>23399</v>
      </c>
      <c r="B5573" t="s">
        <v>11823</v>
      </c>
      <c r="C5573" s="3">
        <v>41044</v>
      </c>
      <c r="D5573" t="s">
        <v>39</v>
      </c>
      <c r="E5573">
        <v>17</v>
      </c>
      <c r="F5573" s="3">
        <f ca="1">41044+(RANDBETWEEN(1,10))</f>
        <v>41045</v>
      </c>
      <c r="G5573" t="s">
        <v>26</v>
      </c>
      <c r="H5573" t="s">
        <v>281</v>
      </c>
      <c r="I5573" t="s">
        <v>52</v>
      </c>
      <c r="J5573">
        <v>1363.11</v>
      </c>
      <c r="K5573">
        <v>0</v>
      </c>
      <c r="L5573">
        <v>0.78</v>
      </c>
      <c r="M5573">
        <v>74.2</v>
      </c>
      <c r="N5573">
        <v>-2212.56</v>
      </c>
      <c r="O5573" s="1" t="s">
        <v>53</v>
      </c>
      <c r="P5573" s="1" t="s">
        <v>11824</v>
      </c>
      <c r="Q5573" s="1" t="s">
        <v>11825</v>
      </c>
      <c r="R5573" s="1" t="s">
        <v>440</v>
      </c>
      <c r="S5573" s="1" t="s">
        <v>5374</v>
      </c>
      <c r="T5573" s="1" t="s">
        <v>5375</v>
      </c>
      <c r="U5573" s="2" t="s">
        <v>4701</v>
      </c>
      <c r="V5573" s="2" t="s">
        <v>83</v>
      </c>
      <c r="W5573" s="2" t="s">
        <v>178</v>
      </c>
      <c r="X5573" s="2">
        <v>73.430000000000007</v>
      </c>
    </row>
    <row r="5574" spans="1:24" x14ac:dyDescent="0.3">
      <c r="A5574">
        <v>23400</v>
      </c>
      <c r="B5574" t="s">
        <v>11823</v>
      </c>
      <c r="C5574" s="3">
        <v>41044</v>
      </c>
      <c r="D5574" t="s">
        <v>39</v>
      </c>
      <c r="E5574">
        <v>12</v>
      </c>
      <c r="F5574" s="3">
        <f ca="1">41045+(RANDBETWEEN(1,10))</f>
        <v>41049</v>
      </c>
      <c r="G5574" t="s">
        <v>26</v>
      </c>
      <c r="H5574" t="s">
        <v>96</v>
      </c>
      <c r="I5574" t="s">
        <v>52</v>
      </c>
      <c r="J5574">
        <v>395.815</v>
      </c>
      <c r="K5574">
        <v>7.0000000000000007E-2</v>
      </c>
      <c r="L5574">
        <v>0.37</v>
      </c>
      <c r="M5574">
        <v>7.1050000000000004</v>
      </c>
      <c r="N5574">
        <v>273.11234999999999</v>
      </c>
      <c r="O5574" s="1" t="s">
        <v>225</v>
      </c>
      <c r="P5574" s="1" t="s">
        <v>11826</v>
      </c>
      <c r="Q5574" s="1" t="s">
        <v>11827</v>
      </c>
      <c r="R5574" s="1" t="s">
        <v>228</v>
      </c>
      <c r="S5574" s="1" t="s">
        <v>11828</v>
      </c>
      <c r="T5574" s="1" t="s">
        <v>7832</v>
      </c>
      <c r="U5574" s="2" t="s">
        <v>3218</v>
      </c>
      <c r="V5574" s="2" t="s">
        <v>47</v>
      </c>
      <c r="W5574" s="2" t="s">
        <v>74</v>
      </c>
      <c r="X5574" s="2">
        <v>33.880000000000003</v>
      </c>
    </row>
    <row r="5575" spans="1:24" x14ac:dyDescent="0.3">
      <c r="A5575">
        <v>23401</v>
      </c>
      <c r="B5575" t="s">
        <v>11829</v>
      </c>
      <c r="C5575" s="3">
        <v>40891</v>
      </c>
      <c r="D5575" t="s">
        <v>50</v>
      </c>
      <c r="E5575">
        <v>4</v>
      </c>
      <c r="F5575" s="3">
        <f ca="1">40892+(RANDBETWEEN(1,10))</f>
        <v>40897</v>
      </c>
      <c r="G5575" t="s">
        <v>156</v>
      </c>
      <c r="H5575" t="s">
        <v>96</v>
      </c>
      <c r="I5575" t="s">
        <v>28</v>
      </c>
      <c r="J5575">
        <v>200.79499999999999</v>
      </c>
      <c r="K5575">
        <v>0.03</v>
      </c>
      <c r="L5575">
        <v>0.54</v>
      </c>
      <c r="M5575">
        <v>23.975000000000001</v>
      </c>
      <c r="N5575">
        <v>138.54855000000001</v>
      </c>
      <c r="O5575" s="1" t="s">
        <v>29</v>
      </c>
      <c r="P5575" s="1" t="s">
        <v>9400</v>
      </c>
      <c r="Q5575" s="1" t="s">
        <v>9401</v>
      </c>
      <c r="R5575" s="1" t="s">
        <v>32</v>
      </c>
      <c r="S5575" s="1" t="s">
        <v>6694</v>
      </c>
      <c r="T5575" s="1" t="s">
        <v>6695</v>
      </c>
      <c r="U5575" s="2" t="s">
        <v>1047</v>
      </c>
      <c r="V5575" s="2" t="s">
        <v>83</v>
      </c>
      <c r="W5575" s="2" t="s">
        <v>178</v>
      </c>
      <c r="X5575" s="2">
        <v>48.055</v>
      </c>
    </row>
    <row r="5576" spans="1:24" x14ac:dyDescent="0.3">
      <c r="A5576">
        <v>23402</v>
      </c>
      <c r="B5576" t="s">
        <v>11830</v>
      </c>
      <c r="C5576" s="3">
        <v>41415</v>
      </c>
      <c r="D5576" t="s">
        <v>25</v>
      </c>
      <c r="E5576">
        <v>19</v>
      </c>
      <c r="F5576" s="3">
        <f ca="1">41419+(RANDBETWEEN(1,10))</f>
        <v>41421</v>
      </c>
      <c r="G5576" t="s">
        <v>26</v>
      </c>
      <c r="H5576" t="s">
        <v>27</v>
      </c>
      <c r="I5576" t="s">
        <v>97</v>
      </c>
      <c r="J5576">
        <v>192.85</v>
      </c>
      <c r="K5576">
        <v>0.01</v>
      </c>
      <c r="L5576">
        <v>0.36</v>
      </c>
      <c r="M5576">
        <v>3.4649999999999999</v>
      </c>
      <c r="N5576">
        <v>129.60499999999999</v>
      </c>
      <c r="O5576" s="1" t="s">
        <v>29</v>
      </c>
      <c r="P5576" s="1" t="s">
        <v>11831</v>
      </c>
      <c r="Q5576" s="1" t="s">
        <v>11832</v>
      </c>
      <c r="R5576" s="1" t="s">
        <v>32</v>
      </c>
      <c r="S5576" s="1" t="s">
        <v>11833</v>
      </c>
      <c r="T5576" s="1" t="s">
        <v>11834</v>
      </c>
      <c r="U5576" s="2" t="s">
        <v>3527</v>
      </c>
      <c r="V5576" s="2" t="s">
        <v>47</v>
      </c>
      <c r="W5576" s="2" t="s">
        <v>203</v>
      </c>
      <c r="X5576" s="2">
        <v>10.08</v>
      </c>
    </row>
    <row r="5577" spans="1:24" x14ac:dyDescent="0.3">
      <c r="A5577">
        <v>23403</v>
      </c>
      <c r="B5577" t="s">
        <v>11835</v>
      </c>
      <c r="C5577" s="3">
        <v>41105</v>
      </c>
      <c r="D5577" t="s">
        <v>148</v>
      </c>
      <c r="E5577">
        <v>9</v>
      </c>
      <c r="F5577" s="3">
        <f ca="1">41108+(RANDBETWEEN(1,10))</f>
        <v>41116</v>
      </c>
      <c r="G5577" t="s">
        <v>26</v>
      </c>
      <c r="H5577" t="s">
        <v>96</v>
      </c>
      <c r="I5577" t="s">
        <v>86</v>
      </c>
      <c r="J5577">
        <v>225.96</v>
      </c>
      <c r="K5577">
        <v>0.1</v>
      </c>
      <c r="L5577">
        <v>0.42</v>
      </c>
      <c r="M5577">
        <v>14</v>
      </c>
      <c r="N5577">
        <v>51.695</v>
      </c>
      <c r="O5577" s="1" t="s">
        <v>53</v>
      </c>
      <c r="P5577" s="1" t="s">
        <v>10362</v>
      </c>
      <c r="Q5577" s="1" t="s">
        <v>10363</v>
      </c>
      <c r="R5577" s="1" t="s">
        <v>56</v>
      </c>
      <c r="S5577" s="1" t="s">
        <v>10364</v>
      </c>
      <c r="T5577" s="1" t="s">
        <v>10365</v>
      </c>
      <c r="U5577" s="2" t="s">
        <v>2801</v>
      </c>
      <c r="V5577" s="2" t="s">
        <v>83</v>
      </c>
      <c r="W5577" s="2" t="s">
        <v>178</v>
      </c>
      <c r="X5577" s="2">
        <v>26.565000000000001</v>
      </c>
    </row>
    <row r="5578" spans="1:24" x14ac:dyDescent="0.3">
      <c r="A5578">
        <v>23404</v>
      </c>
      <c r="B5578" t="s">
        <v>11836</v>
      </c>
      <c r="C5578" s="3">
        <v>41245</v>
      </c>
      <c r="D5578" t="s">
        <v>148</v>
      </c>
      <c r="E5578">
        <v>6</v>
      </c>
      <c r="F5578" s="3">
        <f ca="1">41246+(RANDBETWEEN(1,10))</f>
        <v>41254</v>
      </c>
      <c r="G5578" t="s">
        <v>76</v>
      </c>
      <c r="H5578" t="s">
        <v>258</v>
      </c>
      <c r="I5578" t="s">
        <v>86</v>
      </c>
      <c r="J5578">
        <v>1321.145</v>
      </c>
      <c r="K5578">
        <v>0.01</v>
      </c>
      <c r="L5578">
        <v>0.61</v>
      </c>
      <c r="M5578">
        <v>128.13499999999999</v>
      </c>
      <c r="N5578">
        <v>-395.92</v>
      </c>
      <c r="O5578" s="1" t="s">
        <v>64</v>
      </c>
      <c r="P5578" s="1" t="s">
        <v>7923</v>
      </c>
      <c r="Q5578" s="1" t="s">
        <v>7924</v>
      </c>
      <c r="R5578" s="1" t="s">
        <v>128</v>
      </c>
      <c r="S5578" s="1" t="s">
        <v>7925</v>
      </c>
      <c r="T5578" s="1" t="s">
        <v>7926</v>
      </c>
      <c r="U5578" s="2" t="s">
        <v>4050</v>
      </c>
      <c r="V5578" s="2" t="s">
        <v>83</v>
      </c>
      <c r="W5578" s="2" t="s">
        <v>298</v>
      </c>
      <c r="X5578" s="2">
        <v>203.49</v>
      </c>
    </row>
    <row r="5579" spans="1:24" x14ac:dyDescent="0.3">
      <c r="A5579">
        <v>23405</v>
      </c>
      <c r="B5579" t="s">
        <v>11837</v>
      </c>
      <c r="C5579" s="3">
        <v>41767</v>
      </c>
      <c r="D5579" t="s">
        <v>62</v>
      </c>
      <c r="E5579">
        <v>6</v>
      </c>
      <c r="F5579" s="3">
        <f ca="1">41768+(RANDBETWEEN(1,10))</f>
        <v>41774</v>
      </c>
      <c r="G5579" t="s">
        <v>76</v>
      </c>
      <c r="H5579" t="s">
        <v>258</v>
      </c>
      <c r="I5579" t="s">
        <v>86</v>
      </c>
      <c r="J5579">
        <v>4643.7299999999996</v>
      </c>
      <c r="K5579">
        <v>0.04</v>
      </c>
      <c r="L5579">
        <v>0.64</v>
      </c>
      <c r="M5579">
        <v>182.7</v>
      </c>
      <c r="N5579">
        <v>697.375</v>
      </c>
      <c r="O5579" s="1" t="s">
        <v>40</v>
      </c>
      <c r="P5579" s="1" t="s">
        <v>8608</v>
      </c>
      <c r="Q5579" s="1" t="s">
        <v>8609</v>
      </c>
      <c r="R5579" s="1" t="s">
        <v>43</v>
      </c>
      <c r="S5579" s="1" t="s">
        <v>8610</v>
      </c>
      <c r="T5579" s="1" t="s">
        <v>8611</v>
      </c>
      <c r="U5579" s="2" t="s">
        <v>1775</v>
      </c>
      <c r="V5579" s="2" t="s">
        <v>83</v>
      </c>
      <c r="W5579" s="2" t="s">
        <v>263</v>
      </c>
      <c r="X5579" s="2">
        <v>744.1</v>
      </c>
    </row>
    <row r="5580" spans="1:24" x14ac:dyDescent="0.3">
      <c r="A5580">
        <v>23406</v>
      </c>
      <c r="B5580" t="s">
        <v>11837</v>
      </c>
      <c r="C5580" s="3">
        <v>41767</v>
      </c>
      <c r="D5580" t="s">
        <v>62</v>
      </c>
      <c r="E5580">
        <v>6</v>
      </c>
      <c r="F5580" s="3">
        <f ca="1">41768+(RANDBETWEEN(1,10))</f>
        <v>41770</v>
      </c>
      <c r="G5580" t="s">
        <v>26</v>
      </c>
      <c r="H5580" t="s">
        <v>96</v>
      </c>
      <c r="I5580" t="s">
        <v>86</v>
      </c>
      <c r="J5580">
        <v>68.739999999999995</v>
      </c>
      <c r="K5580">
        <v>0.08</v>
      </c>
      <c r="L5580">
        <v>0.56000000000000005</v>
      </c>
      <c r="M5580">
        <v>8.0850000000000009</v>
      </c>
      <c r="N5580">
        <v>-74.900000000000006</v>
      </c>
      <c r="O5580" s="1" t="s">
        <v>53</v>
      </c>
      <c r="P5580" s="1" t="s">
        <v>11838</v>
      </c>
      <c r="Q5580" s="1" t="s">
        <v>11839</v>
      </c>
      <c r="R5580" s="1" t="s">
        <v>100</v>
      </c>
      <c r="S5580" s="1" t="s">
        <v>11840</v>
      </c>
      <c r="T5580" s="1" t="s">
        <v>11841</v>
      </c>
      <c r="U5580" s="2" t="s">
        <v>11842</v>
      </c>
      <c r="V5580" s="2" t="s">
        <v>47</v>
      </c>
      <c r="W5580" s="2" t="s">
        <v>104</v>
      </c>
      <c r="X5580" s="2">
        <v>11.48</v>
      </c>
    </row>
    <row r="5581" spans="1:24" x14ac:dyDescent="0.3">
      <c r="A5581">
        <v>23407</v>
      </c>
      <c r="B5581" t="s">
        <v>11843</v>
      </c>
      <c r="C5581" s="3">
        <v>41425</v>
      </c>
      <c r="D5581" t="s">
        <v>62</v>
      </c>
      <c r="E5581">
        <v>6</v>
      </c>
      <c r="F5581" s="3">
        <f ca="1">41427+(RANDBETWEEN(1,10))</f>
        <v>41428</v>
      </c>
      <c r="G5581" t="s">
        <v>26</v>
      </c>
      <c r="H5581" t="s">
        <v>27</v>
      </c>
      <c r="I5581" t="s">
        <v>97</v>
      </c>
      <c r="J5581">
        <v>816.27</v>
      </c>
      <c r="K5581">
        <v>0.08</v>
      </c>
      <c r="L5581">
        <v>0.7</v>
      </c>
      <c r="M5581">
        <v>14</v>
      </c>
      <c r="N5581">
        <v>-174.19499999999999</v>
      </c>
      <c r="O5581" s="1" t="s">
        <v>40</v>
      </c>
      <c r="P5581" s="1" t="s">
        <v>8557</v>
      </c>
      <c r="Q5581" s="1" t="s">
        <v>8558</v>
      </c>
      <c r="R5581" s="1" t="s">
        <v>43</v>
      </c>
      <c r="S5581" s="1" t="s">
        <v>8559</v>
      </c>
      <c r="T5581" s="1" t="s">
        <v>8560</v>
      </c>
      <c r="U5581" s="2" t="s">
        <v>2111</v>
      </c>
      <c r="V5581" s="2" t="s">
        <v>36</v>
      </c>
      <c r="W5581" s="2" t="s">
        <v>60</v>
      </c>
      <c r="X5581" s="2">
        <v>139.93</v>
      </c>
    </row>
    <row r="5582" spans="1:24" x14ac:dyDescent="0.3">
      <c r="A5582">
        <v>23408</v>
      </c>
      <c r="B5582" t="s">
        <v>11843</v>
      </c>
      <c r="C5582" s="3">
        <v>41425</v>
      </c>
      <c r="D5582" t="s">
        <v>62</v>
      </c>
      <c r="E5582">
        <v>7</v>
      </c>
      <c r="F5582" s="3">
        <f ca="1">41426+(RANDBETWEEN(1,10))</f>
        <v>41434</v>
      </c>
      <c r="G5582" t="s">
        <v>26</v>
      </c>
      <c r="H5582" t="s">
        <v>27</v>
      </c>
      <c r="I5582" t="s">
        <v>97</v>
      </c>
      <c r="J5582">
        <v>174.51</v>
      </c>
      <c r="K5582">
        <v>0.05</v>
      </c>
      <c r="L5582">
        <v>0.37</v>
      </c>
      <c r="M5582">
        <v>19.809999999999999</v>
      </c>
      <c r="N5582">
        <v>-106.785</v>
      </c>
      <c r="O5582" s="1" t="s">
        <v>40</v>
      </c>
      <c r="P5582" s="1" t="s">
        <v>8557</v>
      </c>
      <c r="Q5582" s="1" t="s">
        <v>8558</v>
      </c>
      <c r="R5582" s="1" t="s">
        <v>43</v>
      </c>
      <c r="S5582" s="1" t="s">
        <v>8559</v>
      </c>
      <c r="T5582" s="1" t="s">
        <v>8560</v>
      </c>
      <c r="U5582" s="2" t="s">
        <v>1796</v>
      </c>
      <c r="V5582" s="2" t="s">
        <v>47</v>
      </c>
      <c r="W5582" s="2" t="s">
        <v>74</v>
      </c>
      <c r="X5582" s="2">
        <v>23.38</v>
      </c>
    </row>
    <row r="5583" spans="1:24" x14ac:dyDescent="0.3">
      <c r="A5583">
        <v>23409</v>
      </c>
      <c r="B5583" t="s">
        <v>11844</v>
      </c>
      <c r="C5583" s="3">
        <v>41503</v>
      </c>
      <c r="D5583" t="s">
        <v>62</v>
      </c>
      <c r="E5583">
        <v>11</v>
      </c>
      <c r="F5583" s="3">
        <f ca="1">41504+(RANDBETWEEN(1,10))</f>
        <v>41512</v>
      </c>
      <c r="G5583" t="s">
        <v>26</v>
      </c>
      <c r="H5583" t="s">
        <v>27</v>
      </c>
      <c r="I5583" t="s">
        <v>28</v>
      </c>
      <c r="J5583">
        <v>238.315</v>
      </c>
      <c r="K5583">
        <v>0.08</v>
      </c>
      <c r="L5583">
        <v>0.36</v>
      </c>
      <c r="M5583">
        <v>19.11</v>
      </c>
      <c r="N5583">
        <v>-78.733199999999997</v>
      </c>
      <c r="O5583" s="1" t="s">
        <v>64</v>
      </c>
      <c r="P5583" s="1" t="s">
        <v>2010</v>
      </c>
      <c r="Q5583" s="1" t="s">
        <v>2011</v>
      </c>
      <c r="R5583" s="1" t="s">
        <v>128</v>
      </c>
      <c r="S5583" s="1" t="s">
        <v>2012</v>
      </c>
      <c r="T5583" s="1" t="s">
        <v>2013</v>
      </c>
      <c r="U5583" s="2" t="s">
        <v>7070</v>
      </c>
      <c r="V5583" s="2" t="s">
        <v>47</v>
      </c>
      <c r="W5583" s="2" t="s">
        <v>74</v>
      </c>
      <c r="X5583" s="2">
        <v>20.93</v>
      </c>
    </row>
    <row r="5584" spans="1:24" x14ac:dyDescent="0.3">
      <c r="A5584">
        <v>23410</v>
      </c>
      <c r="B5584" t="s">
        <v>11844</v>
      </c>
      <c r="C5584" s="3">
        <v>41503</v>
      </c>
      <c r="D5584" t="s">
        <v>62</v>
      </c>
      <c r="E5584">
        <v>18</v>
      </c>
      <c r="F5584" s="3">
        <f ca="1">41505+(RANDBETWEEN(1,10))</f>
        <v>41510</v>
      </c>
      <c r="G5584" t="s">
        <v>26</v>
      </c>
      <c r="H5584" t="s">
        <v>27</v>
      </c>
      <c r="I5584" t="s">
        <v>28</v>
      </c>
      <c r="J5584">
        <v>189.63</v>
      </c>
      <c r="K5584">
        <v>0.04</v>
      </c>
      <c r="L5584">
        <v>0.38</v>
      </c>
      <c r="M5584">
        <v>1.75</v>
      </c>
      <c r="N5584">
        <v>130.84469999999999</v>
      </c>
      <c r="O5584" s="1" t="s">
        <v>53</v>
      </c>
      <c r="P5584" s="1" t="s">
        <v>11845</v>
      </c>
      <c r="Q5584" s="1" t="s">
        <v>11846</v>
      </c>
      <c r="R5584" s="1" t="s">
        <v>440</v>
      </c>
      <c r="S5584" s="1" t="s">
        <v>1071</v>
      </c>
      <c r="T5584" s="1" t="s">
        <v>1072</v>
      </c>
      <c r="U5584" s="2" t="s">
        <v>468</v>
      </c>
      <c r="V5584" s="2" t="s">
        <v>47</v>
      </c>
      <c r="W5584" s="2" t="s">
        <v>203</v>
      </c>
      <c r="X5584" s="2">
        <v>10.115</v>
      </c>
    </row>
    <row r="5585" spans="1:24" x14ac:dyDescent="0.3">
      <c r="A5585">
        <v>23411</v>
      </c>
      <c r="B5585" t="s">
        <v>11844</v>
      </c>
      <c r="C5585" s="3">
        <v>41503</v>
      </c>
      <c r="D5585" t="s">
        <v>62</v>
      </c>
      <c r="E5585">
        <v>7</v>
      </c>
      <c r="F5585" s="3">
        <f ca="1">41504+(RANDBETWEEN(1,10))</f>
        <v>41505</v>
      </c>
      <c r="G5585" t="s">
        <v>26</v>
      </c>
      <c r="H5585" t="s">
        <v>27</v>
      </c>
      <c r="I5585" t="s">
        <v>28</v>
      </c>
      <c r="J5585">
        <v>172.27</v>
      </c>
      <c r="K5585">
        <v>0.02</v>
      </c>
      <c r="L5585">
        <v>0.37</v>
      </c>
      <c r="M5585">
        <v>25.795000000000002</v>
      </c>
      <c r="N5585">
        <v>-98.261799999999994</v>
      </c>
      <c r="O5585" s="1" t="s">
        <v>53</v>
      </c>
      <c r="P5585" s="1" t="s">
        <v>11845</v>
      </c>
      <c r="Q5585" s="1" t="s">
        <v>11846</v>
      </c>
      <c r="R5585" s="1" t="s">
        <v>440</v>
      </c>
      <c r="S5585" s="1" t="s">
        <v>1071</v>
      </c>
      <c r="T5585" s="1" t="s">
        <v>1072</v>
      </c>
      <c r="U5585" s="2" t="s">
        <v>2975</v>
      </c>
      <c r="V5585" s="2" t="s">
        <v>47</v>
      </c>
      <c r="W5585" s="2" t="s">
        <v>74</v>
      </c>
      <c r="X5585" s="2">
        <v>22.68</v>
      </c>
    </row>
    <row r="5586" spans="1:24" x14ac:dyDescent="0.3">
      <c r="A5586">
        <v>23412</v>
      </c>
      <c r="B5586" t="s">
        <v>11847</v>
      </c>
      <c r="C5586" s="3">
        <v>40959</v>
      </c>
      <c r="D5586" t="s">
        <v>62</v>
      </c>
      <c r="E5586">
        <v>6</v>
      </c>
      <c r="F5586" s="3">
        <f ca="1">40961+(RANDBETWEEN(1,10))</f>
        <v>40964</v>
      </c>
      <c r="G5586" t="s">
        <v>26</v>
      </c>
      <c r="H5586" t="s">
        <v>27</v>
      </c>
      <c r="I5586" t="s">
        <v>28</v>
      </c>
      <c r="J5586">
        <v>106.435</v>
      </c>
      <c r="K5586">
        <v>7.0000000000000007E-2</v>
      </c>
      <c r="L5586">
        <v>0.36</v>
      </c>
      <c r="M5586">
        <v>16.52</v>
      </c>
      <c r="N5586">
        <v>-151.13</v>
      </c>
      <c r="O5586" s="1" t="s">
        <v>64</v>
      </c>
      <c r="P5586" s="1" t="s">
        <v>11848</v>
      </c>
      <c r="Q5586" s="1" t="s">
        <v>11849</v>
      </c>
      <c r="R5586" s="1" t="s">
        <v>67</v>
      </c>
      <c r="S5586" s="1" t="s">
        <v>11850</v>
      </c>
      <c r="T5586" s="1" t="s">
        <v>11851</v>
      </c>
      <c r="U5586" s="2" t="s">
        <v>904</v>
      </c>
      <c r="V5586" s="2" t="s">
        <v>47</v>
      </c>
      <c r="W5586" s="2" t="s">
        <v>74</v>
      </c>
      <c r="X5586" s="2">
        <v>17.43</v>
      </c>
    </row>
    <row r="5587" spans="1:24" x14ac:dyDescent="0.3">
      <c r="A5587">
        <v>23413</v>
      </c>
      <c r="B5587" t="s">
        <v>11852</v>
      </c>
      <c r="C5587" s="3">
        <v>41756</v>
      </c>
      <c r="D5587" t="s">
        <v>62</v>
      </c>
      <c r="E5587">
        <v>8</v>
      </c>
      <c r="F5587" s="3">
        <f ca="1">41758+(RANDBETWEEN(1,10))</f>
        <v>41762</v>
      </c>
      <c r="G5587" t="s">
        <v>26</v>
      </c>
      <c r="H5587" t="s">
        <v>51</v>
      </c>
      <c r="I5587" t="s">
        <v>28</v>
      </c>
      <c r="J5587">
        <v>3075.4850000000001</v>
      </c>
      <c r="K5587">
        <v>7.0000000000000007E-2</v>
      </c>
      <c r="L5587">
        <v>0.49</v>
      </c>
      <c r="M5587">
        <v>6.9649999999999999</v>
      </c>
      <c r="N5587">
        <v>2122.0846499999998</v>
      </c>
      <c r="O5587" s="1" t="s">
        <v>40</v>
      </c>
      <c r="P5587" s="1" t="s">
        <v>11853</v>
      </c>
      <c r="Q5587" s="1" t="s">
        <v>11854</v>
      </c>
      <c r="R5587" s="1" t="s">
        <v>220</v>
      </c>
      <c r="S5587" s="1" t="s">
        <v>11855</v>
      </c>
      <c r="T5587" s="1" t="s">
        <v>11856</v>
      </c>
      <c r="U5587" s="2" t="s">
        <v>436</v>
      </c>
      <c r="V5587" s="2" t="s">
        <v>36</v>
      </c>
      <c r="W5587" s="2" t="s">
        <v>60</v>
      </c>
      <c r="X5587" s="2">
        <v>405.26499999999999</v>
      </c>
    </row>
    <row r="5588" spans="1:24" x14ac:dyDescent="0.3">
      <c r="A5588">
        <v>23414</v>
      </c>
      <c r="B5588" t="s">
        <v>11852</v>
      </c>
      <c r="C5588" s="3">
        <v>41756</v>
      </c>
      <c r="D5588" t="s">
        <v>62</v>
      </c>
      <c r="E5588">
        <v>1</v>
      </c>
      <c r="F5588" s="3">
        <f ca="1">41759+(RANDBETWEEN(1,10))</f>
        <v>41766</v>
      </c>
      <c r="G5588" t="s">
        <v>26</v>
      </c>
      <c r="H5588" t="s">
        <v>96</v>
      </c>
      <c r="I5588" t="s">
        <v>28</v>
      </c>
      <c r="J5588">
        <v>153.65</v>
      </c>
      <c r="K5588">
        <v>0.02</v>
      </c>
      <c r="L5588">
        <v>0.46</v>
      </c>
      <c r="M5588">
        <v>14.945</v>
      </c>
      <c r="N5588">
        <v>-52.604999999999997</v>
      </c>
      <c r="O5588" s="1" t="s">
        <v>40</v>
      </c>
      <c r="P5588" s="1" t="s">
        <v>11853</v>
      </c>
      <c r="Q5588" s="1" t="s">
        <v>11854</v>
      </c>
      <c r="R5588" s="1" t="s">
        <v>220</v>
      </c>
      <c r="S5588" s="1" t="s">
        <v>11855</v>
      </c>
      <c r="T5588" s="1" t="s">
        <v>11856</v>
      </c>
      <c r="U5588" s="2" t="s">
        <v>3070</v>
      </c>
      <c r="V5588" s="2" t="s">
        <v>47</v>
      </c>
      <c r="W5588" s="2" t="s">
        <v>104</v>
      </c>
      <c r="X5588" s="2">
        <v>131.04</v>
      </c>
    </row>
    <row r="5589" spans="1:24" x14ac:dyDescent="0.3">
      <c r="A5589">
        <v>23415</v>
      </c>
      <c r="B5589" t="s">
        <v>11857</v>
      </c>
      <c r="C5589" s="3">
        <v>40661</v>
      </c>
      <c r="D5589" t="s">
        <v>62</v>
      </c>
      <c r="E5589">
        <v>3</v>
      </c>
      <c r="F5589" s="3">
        <f ca="1">40662+(RANDBETWEEN(1,10))</f>
        <v>40663</v>
      </c>
      <c r="G5589" t="s">
        <v>26</v>
      </c>
      <c r="H5589" t="s">
        <v>27</v>
      </c>
      <c r="I5589" t="s">
        <v>28</v>
      </c>
      <c r="J5589">
        <v>75.11</v>
      </c>
      <c r="K5589">
        <v>0.05</v>
      </c>
      <c r="L5589">
        <v>0.37</v>
      </c>
      <c r="M5589">
        <v>21.77</v>
      </c>
      <c r="N5589">
        <v>-101.745</v>
      </c>
      <c r="O5589" s="1" t="s">
        <v>53</v>
      </c>
      <c r="P5589" s="1" t="s">
        <v>11858</v>
      </c>
      <c r="Q5589" s="1" t="s">
        <v>11859</v>
      </c>
      <c r="R5589" s="1" t="s">
        <v>56</v>
      </c>
      <c r="S5589" s="1" t="s">
        <v>2459</v>
      </c>
      <c r="T5589" s="1" t="s">
        <v>2460</v>
      </c>
      <c r="U5589" s="2" t="s">
        <v>4158</v>
      </c>
      <c r="V5589" s="2" t="s">
        <v>47</v>
      </c>
      <c r="W5589" s="2" t="s">
        <v>74</v>
      </c>
      <c r="X5589" s="2">
        <v>22.68</v>
      </c>
    </row>
    <row r="5590" spans="1:24" x14ac:dyDescent="0.3">
      <c r="A5590">
        <v>23416</v>
      </c>
      <c r="B5590" t="s">
        <v>11860</v>
      </c>
      <c r="C5590" s="3">
        <v>40668</v>
      </c>
      <c r="D5590" t="s">
        <v>25</v>
      </c>
      <c r="E5590">
        <v>17</v>
      </c>
      <c r="F5590" s="3">
        <f ca="1">40668+(RANDBETWEEN(1,10))</f>
        <v>40674</v>
      </c>
      <c r="G5590" t="s">
        <v>26</v>
      </c>
      <c r="H5590" t="s">
        <v>27</v>
      </c>
      <c r="I5590" t="s">
        <v>28</v>
      </c>
      <c r="J5590">
        <v>7048.58</v>
      </c>
      <c r="K5590">
        <v>0.04</v>
      </c>
      <c r="L5590">
        <v>0.6</v>
      </c>
      <c r="M5590">
        <v>13.965</v>
      </c>
      <c r="N5590">
        <v>4863.5201999999999</v>
      </c>
      <c r="O5590" s="1" t="s">
        <v>64</v>
      </c>
      <c r="P5590" s="1" t="s">
        <v>5397</v>
      </c>
      <c r="Q5590" s="1" t="s">
        <v>5398</v>
      </c>
      <c r="R5590" s="1" t="s">
        <v>67</v>
      </c>
      <c r="S5590" s="1" t="s">
        <v>5399</v>
      </c>
      <c r="T5590" s="1" t="s">
        <v>5400</v>
      </c>
      <c r="U5590" s="2" t="s">
        <v>3411</v>
      </c>
      <c r="V5590" s="2" t="s">
        <v>47</v>
      </c>
      <c r="W5590" s="2" t="s">
        <v>71</v>
      </c>
      <c r="X5590" s="2">
        <v>423.43</v>
      </c>
    </row>
    <row r="5591" spans="1:24" x14ac:dyDescent="0.3">
      <c r="A5591">
        <v>23417</v>
      </c>
      <c r="B5591" t="s">
        <v>11860</v>
      </c>
      <c r="C5591" s="3">
        <v>40668</v>
      </c>
      <c r="D5591" t="s">
        <v>25</v>
      </c>
      <c r="E5591">
        <v>4</v>
      </c>
      <c r="F5591" s="3">
        <f ca="1">40668+(RANDBETWEEN(1,10))</f>
        <v>40669</v>
      </c>
      <c r="G5591" t="s">
        <v>26</v>
      </c>
      <c r="H5591" t="s">
        <v>51</v>
      </c>
      <c r="I5591" t="s">
        <v>28</v>
      </c>
      <c r="J5591">
        <v>704.62</v>
      </c>
      <c r="K5591">
        <v>0.02</v>
      </c>
      <c r="L5591">
        <v>0.83</v>
      </c>
      <c r="M5591">
        <v>17.5</v>
      </c>
      <c r="N5591">
        <v>-779.85599999999999</v>
      </c>
      <c r="O5591" s="1" t="s">
        <v>64</v>
      </c>
      <c r="P5591" s="1" t="s">
        <v>5397</v>
      </c>
      <c r="Q5591" s="1" t="s">
        <v>5398</v>
      </c>
      <c r="R5591" s="1" t="s">
        <v>67</v>
      </c>
      <c r="S5591" s="1" t="s">
        <v>5399</v>
      </c>
      <c r="T5591" s="1" t="s">
        <v>5400</v>
      </c>
      <c r="U5591" s="2" t="s">
        <v>4376</v>
      </c>
      <c r="V5591" s="2" t="s">
        <v>36</v>
      </c>
      <c r="W5591" s="2" t="s">
        <v>37</v>
      </c>
      <c r="X5591" s="2">
        <v>195.965</v>
      </c>
    </row>
    <row r="5592" spans="1:24" x14ac:dyDescent="0.3">
      <c r="A5592">
        <v>23418</v>
      </c>
      <c r="B5592" t="s">
        <v>11860</v>
      </c>
      <c r="C5592" s="3">
        <v>40668</v>
      </c>
      <c r="D5592" t="s">
        <v>25</v>
      </c>
      <c r="E5592">
        <v>12</v>
      </c>
      <c r="F5592" s="3">
        <f ca="1">40672+(RANDBETWEEN(1,10))</f>
        <v>40680</v>
      </c>
      <c r="G5592" t="s">
        <v>76</v>
      </c>
      <c r="H5592" t="s">
        <v>77</v>
      </c>
      <c r="I5592" t="s">
        <v>28</v>
      </c>
      <c r="J5592">
        <v>1044.7850000000001</v>
      </c>
      <c r="K5592">
        <v>0.05</v>
      </c>
      <c r="L5592">
        <v>0.62</v>
      </c>
      <c r="M5592">
        <v>54.88</v>
      </c>
      <c r="N5592">
        <v>-467.98500000000001</v>
      </c>
      <c r="O5592" s="1" t="s">
        <v>225</v>
      </c>
      <c r="P5592" s="1" t="s">
        <v>11861</v>
      </c>
      <c r="Q5592" s="1" t="s">
        <v>11862</v>
      </c>
      <c r="R5592" s="1" t="s">
        <v>228</v>
      </c>
      <c r="S5592" s="1" t="s">
        <v>229</v>
      </c>
      <c r="T5592" s="1" t="s">
        <v>11863</v>
      </c>
      <c r="U5592" s="2" t="s">
        <v>7937</v>
      </c>
      <c r="V5592" s="2" t="s">
        <v>83</v>
      </c>
      <c r="W5592" s="2" t="s">
        <v>178</v>
      </c>
      <c r="X5592" s="2">
        <v>83.965000000000003</v>
      </c>
    </row>
    <row r="5593" spans="1:24" x14ac:dyDescent="0.3">
      <c r="A5593">
        <v>23419</v>
      </c>
      <c r="B5593" t="s">
        <v>11864</v>
      </c>
      <c r="C5593" s="3">
        <v>41628</v>
      </c>
      <c r="D5593" t="s">
        <v>62</v>
      </c>
      <c r="E5593">
        <v>5</v>
      </c>
      <c r="F5593" s="3">
        <f ca="1">41630+(RANDBETWEEN(1,10))</f>
        <v>41632</v>
      </c>
      <c r="G5593" t="s">
        <v>26</v>
      </c>
      <c r="H5593" t="s">
        <v>27</v>
      </c>
      <c r="I5593" t="s">
        <v>86</v>
      </c>
      <c r="J5593">
        <v>122.535</v>
      </c>
      <c r="K5593">
        <v>7.0000000000000007E-2</v>
      </c>
      <c r="L5593">
        <v>0.38</v>
      </c>
      <c r="M5593">
        <v>1.75</v>
      </c>
      <c r="N5593">
        <v>68.186999999999998</v>
      </c>
      <c r="O5593" s="1" t="s">
        <v>64</v>
      </c>
      <c r="P5593" s="1" t="s">
        <v>11865</v>
      </c>
      <c r="Q5593" s="1" t="s">
        <v>11866</v>
      </c>
      <c r="R5593" s="1" t="s">
        <v>67</v>
      </c>
      <c r="S5593" s="1" t="s">
        <v>4811</v>
      </c>
      <c r="T5593" s="1" t="s">
        <v>4812</v>
      </c>
      <c r="U5593" s="2" t="s">
        <v>11867</v>
      </c>
      <c r="V5593" s="2" t="s">
        <v>47</v>
      </c>
      <c r="W5593" s="2" t="s">
        <v>203</v>
      </c>
      <c r="X5593" s="2">
        <v>25.585000000000001</v>
      </c>
    </row>
    <row r="5594" spans="1:24" x14ac:dyDescent="0.3">
      <c r="A5594">
        <v>23420</v>
      </c>
      <c r="B5594" t="s">
        <v>11864</v>
      </c>
      <c r="C5594" s="3">
        <v>41628</v>
      </c>
      <c r="D5594" t="s">
        <v>62</v>
      </c>
      <c r="E5594">
        <v>18</v>
      </c>
      <c r="F5594" s="3">
        <f ca="1">41629+(RANDBETWEEN(1,10))</f>
        <v>41635</v>
      </c>
      <c r="G5594" t="s">
        <v>26</v>
      </c>
      <c r="H5594" t="s">
        <v>96</v>
      </c>
      <c r="I5594" t="s">
        <v>86</v>
      </c>
      <c r="J5594">
        <v>4453.7150000000001</v>
      </c>
      <c r="K5594">
        <v>7.0000000000000007E-2</v>
      </c>
      <c r="L5594">
        <v>0.85</v>
      </c>
      <c r="M5594">
        <v>3.4649999999999999</v>
      </c>
      <c r="N5594">
        <v>-197.85149999999999</v>
      </c>
      <c r="O5594" s="1" t="s">
        <v>40</v>
      </c>
      <c r="P5594" s="1" t="s">
        <v>4497</v>
      </c>
      <c r="Q5594" s="1" t="s">
        <v>4498</v>
      </c>
      <c r="R5594" s="1" t="s">
        <v>43</v>
      </c>
      <c r="S5594" s="1" t="s">
        <v>4499</v>
      </c>
      <c r="T5594" s="1" t="s">
        <v>4500</v>
      </c>
      <c r="U5594" s="2" t="s">
        <v>678</v>
      </c>
      <c r="V5594" s="2" t="s">
        <v>36</v>
      </c>
      <c r="W5594" s="2" t="s">
        <v>37</v>
      </c>
      <c r="X5594" s="2">
        <v>300.96499999999997</v>
      </c>
    </row>
    <row r="5595" spans="1:24" x14ac:dyDescent="0.3">
      <c r="A5595">
        <v>23421</v>
      </c>
      <c r="B5595" t="s">
        <v>11868</v>
      </c>
      <c r="C5595" s="3">
        <v>41672</v>
      </c>
      <c r="D5595" t="s">
        <v>25</v>
      </c>
      <c r="E5595">
        <v>10</v>
      </c>
      <c r="F5595" s="3">
        <f ca="1">41672+(RANDBETWEEN(1,10))</f>
        <v>41681</v>
      </c>
      <c r="G5595" t="s">
        <v>26</v>
      </c>
      <c r="H5595" t="s">
        <v>96</v>
      </c>
      <c r="I5595" t="s">
        <v>28</v>
      </c>
      <c r="J5595">
        <v>41.3</v>
      </c>
      <c r="K5595">
        <v>0.02</v>
      </c>
      <c r="L5595">
        <v>0.38</v>
      </c>
      <c r="M5595">
        <v>2.4500000000000002</v>
      </c>
      <c r="N5595">
        <v>-1.7150000000000001</v>
      </c>
      <c r="O5595" s="1" t="s">
        <v>53</v>
      </c>
      <c r="P5595" s="1" t="s">
        <v>10495</v>
      </c>
      <c r="Q5595" s="1" t="s">
        <v>10496</v>
      </c>
      <c r="R5595" s="1" t="s">
        <v>440</v>
      </c>
      <c r="S5595" s="1" t="s">
        <v>2771</v>
      </c>
      <c r="T5595" s="1" t="s">
        <v>2772</v>
      </c>
      <c r="U5595" s="2" t="s">
        <v>293</v>
      </c>
      <c r="V5595" s="2" t="s">
        <v>47</v>
      </c>
      <c r="W5595" s="2" t="s">
        <v>176</v>
      </c>
      <c r="X5595" s="2">
        <v>3.99</v>
      </c>
    </row>
    <row r="5596" spans="1:24" x14ac:dyDescent="0.3">
      <c r="A5596">
        <v>23422</v>
      </c>
      <c r="B5596" t="s">
        <v>11869</v>
      </c>
      <c r="C5596" s="3">
        <v>41381</v>
      </c>
      <c r="D5596" t="s">
        <v>62</v>
      </c>
      <c r="E5596">
        <v>13</v>
      </c>
      <c r="F5596" s="3">
        <f ca="1">41381+(RANDBETWEEN(1,10))</f>
        <v>41383</v>
      </c>
      <c r="G5596" t="s">
        <v>26</v>
      </c>
      <c r="H5596" t="s">
        <v>27</v>
      </c>
      <c r="I5596" t="s">
        <v>97</v>
      </c>
      <c r="J5596">
        <v>1917.16</v>
      </c>
      <c r="K5596">
        <v>0.03</v>
      </c>
      <c r="L5596">
        <v>0.36</v>
      </c>
      <c r="M5596">
        <v>10.465</v>
      </c>
      <c r="N5596">
        <v>1322.8404</v>
      </c>
      <c r="O5596" s="1" t="s">
        <v>87</v>
      </c>
      <c r="P5596" s="1" t="s">
        <v>5700</v>
      </c>
      <c r="Q5596" s="1" t="s">
        <v>5701</v>
      </c>
      <c r="R5596" s="1" t="s">
        <v>398</v>
      </c>
      <c r="S5596" s="1" t="s">
        <v>5702</v>
      </c>
      <c r="T5596" s="1" t="s">
        <v>5703</v>
      </c>
      <c r="U5596" s="2" t="s">
        <v>180</v>
      </c>
      <c r="V5596" s="2" t="s">
        <v>47</v>
      </c>
      <c r="W5596" s="2" t="s">
        <v>111</v>
      </c>
      <c r="X5596" s="2">
        <v>143.43</v>
      </c>
    </row>
    <row r="5597" spans="1:24" x14ac:dyDescent="0.3">
      <c r="A5597">
        <v>23423</v>
      </c>
      <c r="B5597" t="s">
        <v>11869</v>
      </c>
      <c r="C5597" s="3">
        <v>41381</v>
      </c>
      <c r="D5597" t="s">
        <v>62</v>
      </c>
      <c r="E5597">
        <v>4</v>
      </c>
      <c r="F5597" s="3">
        <f ca="1">41381+(RANDBETWEEN(1,10))</f>
        <v>41391</v>
      </c>
      <c r="G5597" t="s">
        <v>26</v>
      </c>
      <c r="H5597" t="s">
        <v>27</v>
      </c>
      <c r="I5597" t="s">
        <v>97</v>
      </c>
      <c r="J5597">
        <v>692.09</v>
      </c>
      <c r="K5597">
        <v>0.05</v>
      </c>
      <c r="L5597">
        <v>0.56999999999999995</v>
      </c>
      <c r="M5597">
        <v>69.965000000000003</v>
      </c>
      <c r="N5597">
        <v>-288.22500000000002</v>
      </c>
      <c r="O5597" s="1" t="s">
        <v>87</v>
      </c>
      <c r="P5597" s="1" t="s">
        <v>11870</v>
      </c>
      <c r="Q5597" s="1" t="s">
        <v>11871</v>
      </c>
      <c r="R5597" s="1" t="s">
        <v>398</v>
      </c>
      <c r="S5597" s="1" t="s">
        <v>11872</v>
      </c>
      <c r="T5597" s="1" t="s">
        <v>11873</v>
      </c>
      <c r="U5597" s="2" t="s">
        <v>3665</v>
      </c>
      <c r="V5597" s="2" t="s">
        <v>47</v>
      </c>
      <c r="W5597" s="2" t="s">
        <v>71</v>
      </c>
      <c r="X5597" s="2">
        <v>173.005</v>
      </c>
    </row>
    <row r="5598" spans="1:24" x14ac:dyDescent="0.3">
      <c r="A5598">
        <v>23424</v>
      </c>
      <c r="B5598" t="s">
        <v>11874</v>
      </c>
      <c r="C5598" s="3">
        <v>41613</v>
      </c>
      <c r="D5598" t="s">
        <v>25</v>
      </c>
      <c r="E5598">
        <v>13</v>
      </c>
      <c r="F5598" s="3">
        <f ca="1">41620+(RANDBETWEEN(1,10))</f>
        <v>41625</v>
      </c>
      <c r="G5598" t="s">
        <v>156</v>
      </c>
      <c r="H5598" t="s">
        <v>96</v>
      </c>
      <c r="I5598" t="s">
        <v>97</v>
      </c>
      <c r="J5598">
        <v>207.27</v>
      </c>
      <c r="K5598">
        <v>0.02</v>
      </c>
      <c r="L5598">
        <v>0.36</v>
      </c>
      <c r="M5598">
        <v>7.91</v>
      </c>
      <c r="N5598">
        <v>-63.601999999999997</v>
      </c>
      <c r="O5598" s="1" t="s">
        <v>225</v>
      </c>
      <c r="P5598" s="1" t="s">
        <v>8764</v>
      </c>
      <c r="Q5598" s="1" t="s">
        <v>8765</v>
      </c>
      <c r="R5598" s="1" t="s">
        <v>228</v>
      </c>
      <c r="S5598" s="1" t="s">
        <v>8766</v>
      </c>
      <c r="T5598" s="1" t="s">
        <v>8767</v>
      </c>
      <c r="U5598" s="2" t="s">
        <v>11875</v>
      </c>
      <c r="V5598" s="2" t="s">
        <v>47</v>
      </c>
      <c r="W5598" s="2" t="s">
        <v>74</v>
      </c>
      <c r="X5598" s="2">
        <v>14.7</v>
      </c>
    </row>
    <row r="5599" spans="1:24" x14ac:dyDescent="0.3">
      <c r="A5599">
        <v>23425</v>
      </c>
      <c r="B5599" t="s">
        <v>11876</v>
      </c>
      <c r="C5599" s="3">
        <v>41837</v>
      </c>
      <c r="D5599" t="s">
        <v>39</v>
      </c>
      <c r="E5599">
        <v>15</v>
      </c>
      <c r="F5599" s="3">
        <f ca="1">41839+(RANDBETWEEN(1,10))</f>
        <v>41841</v>
      </c>
      <c r="G5599" t="s">
        <v>26</v>
      </c>
      <c r="H5599" t="s">
        <v>96</v>
      </c>
      <c r="I5599" t="s">
        <v>28</v>
      </c>
      <c r="J5599">
        <v>152.98500000000001</v>
      </c>
      <c r="K5599">
        <v>7.0000000000000007E-2</v>
      </c>
      <c r="L5599">
        <v>0.57999999999999996</v>
      </c>
      <c r="M5599">
        <v>2.4500000000000002</v>
      </c>
      <c r="N5599">
        <v>62.870080000000002</v>
      </c>
      <c r="O5599" s="1" t="s">
        <v>29</v>
      </c>
      <c r="P5599" s="1" t="s">
        <v>5897</v>
      </c>
      <c r="Q5599" s="1" t="s">
        <v>5898</v>
      </c>
      <c r="R5599" s="1" t="s">
        <v>675</v>
      </c>
      <c r="S5599" s="1" t="s">
        <v>4284</v>
      </c>
      <c r="T5599" s="1" t="s">
        <v>4285</v>
      </c>
      <c r="U5599" s="2" t="s">
        <v>2921</v>
      </c>
      <c r="V5599" s="2" t="s">
        <v>47</v>
      </c>
      <c r="W5599" s="2" t="s">
        <v>104</v>
      </c>
      <c r="X5599" s="2">
        <v>10.29</v>
      </c>
    </row>
    <row r="5600" spans="1:24" x14ac:dyDescent="0.3">
      <c r="A5600">
        <v>23426</v>
      </c>
      <c r="B5600" t="s">
        <v>11877</v>
      </c>
      <c r="C5600" s="3">
        <v>41516</v>
      </c>
      <c r="D5600" t="s">
        <v>62</v>
      </c>
      <c r="E5600">
        <v>9</v>
      </c>
      <c r="F5600" s="3">
        <f ca="1">41518+(RANDBETWEEN(1,10))</f>
        <v>41520</v>
      </c>
      <c r="G5600" t="s">
        <v>26</v>
      </c>
      <c r="H5600" t="s">
        <v>51</v>
      </c>
      <c r="I5600" t="s">
        <v>97</v>
      </c>
      <c r="J5600">
        <v>280.83999999999997</v>
      </c>
      <c r="K5600">
        <v>0.1</v>
      </c>
      <c r="L5600">
        <v>0.45</v>
      </c>
      <c r="M5600">
        <v>25.515000000000001</v>
      </c>
      <c r="N5600">
        <v>-162.48400000000001</v>
      </c>
      <c r="O5600" s="1" t="s">
        <v>225</v>
      </c>
      <c r="P5600" s="1" t="s">
        <v>11878</v>
      </c>
      <c r="Q5600" s="1" t="s">
        <v>11879</v>
      </c>
      <c r="R5600" s="1" t="s">
        <v>228</v>
      </c>
      <c r="S5600" s="1" t="s">
        <v>3618</v>
      </c>
      <c r="T5600" s="1" t="s">
        <v>3619</v>
      </c>
      <c r="U5600" s="2" t="s">
        <v>2315</v>
      </c>
      <c r="V5600" s="2" t="s">
        <v>83</v>
      </c>
      <c r="W5600" s="2" t="s">
        <v>178</v>
      </c>
      <c r="X5600" s="2">
        <v>33.18</v>
      </c>
    </row>
    <row r="5601" spans="1:24" x14ac:dyDescent="0.3">
      <c r="A5601">
        <v>23427</v>
      </c>
      <c r="B5601" t="s">
        <v>11880</v>
      </c>
      <c r="C5601" s="3">
        <v>40849</v>
      </c>
      <c r="D5601" t="s">
        <v>62</v>
      </c>
      <c r="E5601">
        <v>31</v>
      </c>
      <c r="F5601" s="3">
        <f ca="1">40852+(RANDBETWEEN(1,10))</f>
        <v>40853</v>
      </c>
      <c r="G5601" t="s">
        <v>76</v>
      </c>
      <c r="H5601" t="s">
        <v>77</v>
      </c>
      <c r="I5601" t="s">
        <v>97</v>
      </c>
      <c r="J5601">
        <v>27909.735000000001</v>
      </c>
      <c r="K5601">
        <v>0.09</v>
      </c>
      <c r="L5601">
        <v>0.78</v>
      </c>
      <c r="M5601">
        <v>199.5</v>
      </c>
      <c r="N5601">
        <v>883.70799999999997</v>
      </c>
      <c r="O5601" s="1" t="s">
        <v>87</v>
      </c>
      <c r="P5601" s="1" t="s">
        <v>11881</v>
      </c>
      <c r="Q5601" s="1" t="s">
        <v>11882</v>
      </c>
      <c r="R5601" s="1" t="s">
        <v>646</v>
      </c>
      <c r="S5601" s="1" t="s">
        <v>9570</v>
      </c>
      <c r="T5601" s="1" t="s">
        <v>9571</v>
      </c>
      <c r="U5601" s="2" t="s">
        <v>3811</v>
      </c>
      <c r="V5601" s="2" t="s">
        <v>83</v>
      </c>
      <c r="W5601" s="2" t="s">
        <v>84</v>
      </c>
      <c r="X5601" s="2">
        <v>983.43</v>
      </c>
    </row>
    <row r="5602" spans="1:24" x14ac:dyDescent="0.3">
      <c r="A5602">
        <v>23428</v>
      </c>
      <c r="B5602" t="s">
        <v>11883</v>
      </c>
      <c r="C5602" s="3">
        <v>40849</v>
      </c>
      <c r="D5602" t="s">
        <v>62</v>
      </c>
      <c r="E5602">
        <v>26</v>
      </c>
      <c r="F5602" s="3">
        <f ca="1">40850+(RANDBETWEEN(1,10))</f>
        <v>40858</v>
      </c>
      <c r="G5602" t="s">
        <v>26</v>
      </c>
      <c r="H5602" t="s">
        <v>27</v>
      </c>
      <c r="I5602" t="s">
        <v>97</v>
      </c>
      <c r="J5602">
        <v>2656.395</v>
      </c>
      <c r="K5602">
        <v>0.08</v>
      </c>
      <c r="L5602">
        <v>0.74</v>
      </c>
      <c r="M5602">
        <v>14</v>
      </c>
      <c r="N5602">
        <v>37.380000000000003</v>
      </c>
      <c r="O5602" s="1" t="s">
        <v>29</v>
      </c>
      <c r="P5602" s="1" t="s">
        <v>8102</v>
      </c>
      <c r="Q5602" s="1" t="s">
        <v>8103</v>
      </c>
      <c r="R5602" s="1" t="s">
        <v>32</v>
      </c>
      <c r="S5602" s="1" t="s">
        <v>8104</v>
      </c>
      <c r="T5602" s="1" t="s">
        <v>8105</v>
      </c>
      <c r="U5602" s="2" t="s">
        <v>2704</v>
      </c>
      <c r="V5602" s="2" t="s">
        <v>36</v>
      </c>
      <c r="W5602" s="2" t="s">
        <v>60</v>
      </c>
      <c r="X5602" s="2">
        <v>108.395</v>
      </c>
    </row>
    <row r="5603" spans="1:24" x14ac:dyDescent="0.3">
      <c r="A5603">
        <v>23429</v>
      </c>
      <c r="B5603" t="s">
        <v>11883</v>
      </c>
      <c r="C5603" s="3">
        <v>40849</v>
      </c>
      <c r="D5603" t="s">
        <v>62</v>
      </c>
      <c r="E5603">
        <v>18</v>
      </c>
      <c r="F5603" s="3">
        <f ca="1">40851+(RANDBETWEEN(1,10))</f>
        <v>40857</v>
      </c>
      <c r="G5603" t="s">
        <v>156</v>
      </c>
      <c r="H5603" t="s">
        <v>27</v>
      </c>
      <c r="I5603" t="s">
        <v>97</v>
      </c>
      <c r="J5603">
        <v>295.54000000000002</v>
      </c>
      <c r="K5603">
        <v>0.1</v>
      </c>
      <c r="L5603">
        <v>0.39</v>
      </c>
      <c r="M5603">
        <v>1.75</v>
      </c>
      <c r="N5603">
        <v>203.92259999999999</v>
      </c>
      <c r="O5603" s="1" t="s">
        <v>29</v>
      </c>
      <c r="P5603" s="1" t="s">
        <v>8102</v>
      </c>
      <c r="Q5603" s="1" t="s">
        <v>8103</v>
      </c>
      <c r="R5603" s="1" t="s">
        <v>32</v>
      </c>
      <c r="S5603" s="1" t="s">
        <v>8104</v>
      </c>
      <c r="T5603" s="1" t="s">
        <v>8105</v>
      </c>
      <c r="U5603" s="2" t="s">
        <v>1889</v>
      </c>
      <c r="V5603" s="2" t="s">
        <v>47</v>
      </c>
      <c r="W5603" s="2" t="s">
        <v>203</v>
      </c>
      <c r="X5603" s="2">
        <v>14.455</v>
      </c>
    </row>
    <row r="5604" spans="1:24" x14ac:dyDescent="0.3">
      <c r="A5604">
        <v>23430</v>
      </c>
      <c r="B5604" t="s">
        <v>11884</v>
      </c>
      <c r="C5604" s="3">
        <v>40627</v>
      </c>
      <c r="D5604" t="s">
        <v>62</v>
      </c>
      <c r="E5604">
        <v>5</v>
      </c>
      <c r="F5604" s="3">
        <f ca="1">40629+(RANDBETWEEN(1,10))</f>
        <v>40634</v>
      </c>
      <c r="G5604" t="s">
        <v>156</v>
      </c>
      <c r="H5604" t="s">
        <v>27</v>
      </c>
      <c r="I5604" t="s">
        <v>28</v>
      </c>
      <c r="J5604">
        <v>204.82</v>
      </c>
      <c r="K5604">
        <v>0.01</v>
      </c>
      <c r="L5604">
        <v>0.56999999999999995</v>
      </c>
      <c r="M5604">
        <v>18.059999999999999</v>
      </c>
      <c r="N5604">
        <v>-40.914999999999999</v>
      </c>
      <c r="O5604" s="1" t="s">
        <v>53</v>
      </c>
      <c r="P5604" s="1" t="s">
        <v>8663</v>
      </c>
      <c r="Q5604" s="1" t="s">
        <v>8664</v>
      </c>
      <c r="R5604" s="1" t="s">
        <v>56</v>
      </c>
      <c r="S5604" s="1" t="s">
        <v>3934</v>
      </c>
      <c r="T5604" s="1" t="s">
        <v>3935</v>
      </c>
      <c r="U5604" s="2" t="s">
        <v>1754</v>
      </c>
      <c r="V5604" s="2" t="s">
        <v>83</v>
      </c>
      <c r="W5604" s="2" t="s">
        <v>178</v>
      </c>
      <c r="X5604" s="2">
        <v>37.24</v>
      </c>
    </row>
    <row r="5605" spans="1:24" x14ac:dyDescent="0.3">
      <c r="A5605">
        <v>23431</v>
      </c>
      <c r="B5605" t="s">
        <v>11885</v>
      </c>
      <c r="C5605" s="3">
        <v>40878</v>
      </c>
      <c r="D5605" t="s">
        <v>148</v>
      </c>
      <c r="E5605">
        <v>12</v>
      </c>
      <c r="F5605" s="3">
        <f ca="1">40879+(RANDBETWEEN(1,10))</f>
        <v>40883</v>
      </c>
      <c r="G5605" t="s">
        <v>26</v>
      </c>
      <c r="H5605" t="s">
        <v>51</v>
      </c>
      <c r="I5605" t="s">
        <v>28</v>
      </c>
      <c r="J5605">
        <v>1634.605</v>
      </c>
      <c r="K5605">
        <v>7.0000000000000007E-2</v>
      </c>
      <c r="L5605">
        <v>0.54</v>
      </c>
      <c r="M5605">
        <v>6.9649999999999999</v>
      </c>
      <c r="N5605">
        <v>1127.87745</v>
      </c>
      <c r="O5605" s="1" t="s">
        <v>225</v>
      </c>
      <c r="P5605" s="1" t="s">
        <v>11886</v>
      </c>
      <c r="Q5605" s="1" t="s">
        <v>11887</v>
      </c>
      <c r="R5605" s="1" t="s">
        <v>391</v>
      </c>
      <c r="S5605" s="1" t="s">
        <v>1832</v>
      </c>
      <c r="T5605" s="1" t="s">
        <v>1833</v>
      </c>
      <c r="U5605" s="2" t="s">
        <v>685</v>
      </c>
      <c r="V5605" s="2" t="s">
        <v>36</v>
      </c>
      <c r="W5605" s="2" t="s">
        <v>60</v>
      </c>
      <c r="X5605" s="2">
        <v>138.18</v>
      </c>
    </row>
    <row r="5606" spans="1:24" x14ac:dyDescent="0.3">
      <c r="A5606">
        <v>23432</v>
      </c>
      <c r="B5606" t="s">
        <v>11888</v>
      </c>
      <c r="C5606" s="3">
        <v>41001</v>
      </c>
      <c r="D5606" t="s">
        <v>148</v>
      </c>
      <c r="E5606">
        <v>5</v>
      </c>
      <c r="F5606" s="3">
        <f ca="1">41002+(RANDBETWEEN(1,10))</f>
        <v>41007</v>
      </c>
      <c r="G5606" t="s">
        <v>26</v>
      </c>
      <c r="H5606" t="s">
        <v>96</v>
      </c>
      <c r="I5606" t="s">
        <v>28</v>
      </c>
      <c r="J5606">
        <v>169.505</v>
      </c>
      <c r="K5606">
        <v>0.06</v>
      </c>
      <c r="L5606">
        <v>0.47</v>
      </c>
      <c r="M5606">
        <v>16.87</v>
      </c>
      <c r="N5606">
        <v>109.893</v>
      </c>
      <c r="O5606" s="1" t="s">
        <v>64</v>
      </c>
      <c r="P5606" s="1" t="s">
        <v>11286</v>
      </c>
      <c r="Q5606" s="1" t="s">
        <v>11287</v>
      </c>
      <c r="R5606" s="1" t="s">
        <v>128</v>
      </c>
      <c r="S5606" s="1" t="s">
        <v>11288</v>
      </c>
      <c r="T5606" s="1" t="s">
        <v>11289</v>
      </c>
      <c r="U5606" s="2" t="s">
        <v>9076</v>
      </c>
      <c r="V5606" s="2" t="s">
        <v>47</v>
      </c>
      <c r="W5606" s="2" t="s">
        <v>104</v>
      </c>
      <c r="X5606" s="2">
        <v>34.475000000000001</v>
      </c>
    </row>
    <row r="5607" spans="1:24" x14ac:dyDescent="0.3">
      <c r="A5607">
        <v>23433</v>
      </c>
      <c r="B5607" t="s">
        <v>11889</v>
      </c>
      <c r="C5607" s="3">
        <v>40770</v>
      </c>
      <c r="D5607" t="s">
        <v>25</v>
      </c>
      <c r="E5607">
        <v>8</v>
      </c>
      <c r="F5607" s="3">
        <f ca="1">40774+(RANDBETWEEN(1,10))</f>
        <v>40775</v>
      </c>
      <c r="G5607" t="s">
        <v>76</v>
      </c>
      <c r="H5607" t="s">
        <v>258</v>
      </c>
      <c r="I5607" t="s">
        <v>52</v>
      </c>
      <c r="J5607">
        <v>24154.375</v>
      </c>
      <c r="K5607">
        <v>0.04</v>
      </c>
      <c r="L5607">
        <v>0.62</v>
      </c>
      <c r="M5607">
        <v>155.92500000000001</v>
      </c>
      <c r="N5607">
        <v>14816.4058</v>
      </c>
      <c r="O5607" s="1" t="s">
        <v>53</v>
      </c>
      <c r="P5607" s="1" t="s">
        <v>11890</v>
      </c>
      <c r="Q5607" s="1" t="s">
        <v>11891</v>
      </c>
      <c r="R5607" s="1" t="s">
        <v>100</v>
      </c>
      <c r="S5607" s="1" t="s">
        <v>3706</v>
      </c>
      <c r="T5607" s="1" t="s">
        <v>3707</v>
      </c>
      <c r="U5607" s="2" t="s">
        <v>1930</v>
      </c>
      <c r="V5607" s="2" t="s">
        <v>83</v>
      </c>
      <c r="W5607" s="2" t="s">
        <v>298</v>
      </c>
      <c r="X5607" s="2">
        <v>3083.43</v>
      </c>
    </row>
    <row r="5608" spans="1:24" x14ac:dyDescent="0.3">
      <c r="A5608">
        <v>23434</v>
      </c>
      <c r="B5608" t="s">
        <v>11889</v>
      </c>
      <c r="C5608" s="3">
        <v>40770</v>
      </c>
      <c r="D5608" t="s">
        <v>25</v>
      </c>
      <c r="E5608">
        <v>11</v>
      </c>
      <c r="F5608" s="3">
        <f ca="1">40775+(RANDBETWEEN(1,10))</f>
        <v>40781</v>
      </c>
      <c r="G5608" t="s">
        <v>26</v>
      </c>
      <c r="H5608" t="s">
        <v>51</v>
      </c>
      <c r="I5608" t="s">
        <v>52</v>
      </c>
      <c r="J5608">
        <v>521.29</v>
      </c>
      <c r="K5608">
        <v>7.0000000000000007E-2</v>
      </c>
      <c r="L5608">
        <v>0.37</v>
      </c>
      <c r="M5608">
        <v>17.324999999999999</v>
      </c>
      <c r="N5608">
        <v>359.69009999999997</v>
      </c>
      <c r="O5608" s="1" t="s">
        <v>53</v>
      </c>
      <c r="P5608" s="1" t="s">
        <v>11890</v>
      </c>
      <c r="Q5608" s="1" t="s">
        <v>11891</v>
      </c>
      <c r="R5608" s="1" t="s">
        <v>100</v>
      </c>
      <c r="S5608" s="1" t="s">
        <v>3706</v>
      </c>
      <c r="T5608" s="1" t="s">
        <v>3707</v>
      </c>
      <c r="U5608" s="2" t="s">
        <v>7119</v>
      </c>
      <c r="V5608" s="2" t="s">
        <v>83</v>
      </c>
      <c r="W5608" s="2" t="s">
        <v>178</v>
      </c>
      <c r="X5608" s="2">
        <v>46.9</v>
      </c>
    </row>
    <row r="5609" spans="1:24" x14ac:dyDescent="0.3">
      <c r="A5609">
        <v>23435</v>
      </c>
      <c r="B5609" t="s">
        <v>11889</v>
      </c>
      <c r="C5609" s="3">
        <v>40770</v>
      </c>
      <c r="D5609" t="s">
        <v>25</v>
      </c>
      <c r="E5609">
        <v>12</v>
      </c>
      <c r="F5609" s="3">
        <f ca="1">40777+(RANDBETWEEN(1,10))</f>
        <v>40782</v>
      </c>
      <c r="G5609" t="s">
        <v>26</v>
      </c>
      <c r="H5609" t="s">
        <v>281</v>
      </c>
      <c r="I5609" t="s">
        <v>52</v>
      </c>
      <c r="J5609">
        <v>702.38</v>
      </c>
      <c r="K5609">
        <v>0.01</v>
      </c>
      <c r="L5609">
        <v>0.38</v>
      </c>
      <c r="M5609">
        <v>39.479999999999997</v>
      </c>
      <c r="N5609">
        <v>-128.350404</v>
      </c>
      <c r="O5609" s="1" t="s">
        <v>53</v>
      </c>
      <c r="P5609" s="1" t="s">
        <v>11890</v>
      </c>
      <c r="Q5609" s="1" t="s">
        <v>11891</v>
      </c>
      <c r="R5609" s="1" t="s">
        <v>100</v>
      </c>
      <c r="S5609" s="1" t="s">
        <v>3706</v>
      </c>
      <c r="T5609" s="1" t="s">
        <v>3707</v>
      </c>
      <c r="U5609" s="2" t="s">
        <v>7769</v>
      </c>
      <c r="V5609" s="2" t="s">
        <v>36</v>
      </c>
      <c r="W5609" s="2" t="s">
        <v>142</v>
      </c>
      <c r="X5609" s="2">
        <v>55.965000000000003</v>
      </c>
    </row>
    <row r="5610" spans="1:24" x14ac:dyDescent="0.3">
      <c r="A5610">
        <v>23436</v>
      </c>
      <c r="B5610" t="s">
        <v>11892</v>
      </c>
      <c r="C5610" s="3">
        <v>40842</v>
      </c>
      <c r="D5610" t="s">
        <v>39</v>
      </c>
      <c r="E5610">
        <v>12</v>
      </c>
      <c r="F5610" s="3">
        <f ca="1">40843+(RANDBETWEEN(1,10))</f>
        <v>40852</v>
      </c>
      <c r="G5610" t="s">
        <v>26</v>
      </c>
      <c r="H5610" t="s">
        <v>63</v>
      </c>
      <c r="I5610" t="s">
        <v>52</v>
      </c>
      <c r="J5610">
        <v>4124.12</v>
      </c>
      <c r="K5610">
        <v>0.09</v>
      </c>
      <c r="L5610">
        <v>0.82</v>
      </c>
      <c r="M5610">
        <v>122.5</v>
      </c>
      <c r="N5610">
        <v>-2804.0418</v>
      </c>
      <c r="O5610" s="1" t="s">
        <v>29</v>
      </c>
      <c r="P5610" s="1" t="s">
        <v>11893</v>
      </c>
      <c r="Q5610" s="1" t="s">
        <v>11894</v>
      </c>
      <c r="R5610" s="1" t="s">
        <v>32</v>
      </c>
      <c r="S5610" s="1" t="s">
        <v>11895</v>
      </c>
      <c r="T5610" s="1" t="s">
        <v>11896</v>
      </c>
      <c r="U5610" s="2" t="s">
        <v>4513</v>
      </c>
      <c r="V5610" s="2" t="s">
        <v>47</v>
      </c>
      <c r="W5610" s="2" t="s">
        <v>119</v>
      </c>
      <c r="X5610" s="2">
        <v>354.935</v>
      </c>
    </row>
    <row r="5611" spans="1:24" x14ac:dyDescent="0.3">
      <c r="A5611">
        <v>23437</v>
      </c>
      <c r="B5611" t="s">
        <v>11897</v>
      </c>
      <c r="C5611" s="3">
        <v>41230</v>
      </c>
      <c r="D5611" t="s">
        <v>50</v>
      </c>
      <c r="E5611">
        <v>24</v>
      </c>
      <c r="F5611" s="3">
        <f ca="1">41232+(RANDBETWEEN(1,10))</f>
        <v>41241</v>
      </c>
      <c r="G5611" t="s">
        <v>156</v>
      </c>
      <c r="H5611" t="s">
        <v>27</v>
      </c>
      <c r="I5611" t="s">
        <v>28</v>
      </c>
      <c r="J5611">
        <v>8256.01</v>
      </c>
      <c r="K5611">
        <v>0.06</v>
      </c>
      <c r="L5611">
        <v>0.52</v>
      </c>
      <c r="M5611">
        <v>69.965000000000003</v>
      </c>
      <c r="N5611">
        <v>2590.819</v>
      </c>
      <c r="O5611" s="1" t="s">
        <v>53</v>
      </c>
      <c r="P5611" s="1" t="s">
        <v>11898</v>
      </c>
      <c r="Q5611" s="1" t="s">
        <v>11899</v>
      </c>
      <c r="R5611" s="1" t="s">
        <v>440</v>
      </c>
      <c r="S5611" s="1" t="s">
        <v>7964</v>
      </c>
      <c r="T5611" s="1" t="s">
        <v>7965</v>
      </c>
      <c r="U5611" s="2" t="s">
        <v>1438</v>
      </c>
      <c r="V5611" s="2" t="s">
        <v>36</v>
      </c>
      <c r="W5611" s="2" t="s">
        <v>60</v>
      </c>
      <c r="X5611" s="2">
        <v>349.96499999999997</v>
      </c>
    </row>
    <row r="5612" spans="1:24" x14ac:dyDescent="0.3">
      <c r="A5612">
        <v>23438</v>
      </c>
      <c r="B5612" t="s">
        <v>11897</v>
      </c>
      <c r="C5612" s="3">
        <v>41230</v>
      </c>
      <c r="D5612" t="s">
        <v>50</v>
      </c>
      <c r="E5612">
        <v>10</v>
      </c>
      <c r="F5612" s="3">
        <f ca="1">41232+(RANDBETWEEN(1,10))</f>
        <v>41237</v>
      </c>
      <c r="G5612" t="s">
        <v>26</v>
      </c>
      <c r="H5612" t="s">
        <v>27</v>
      </c>
      <c r="I5612" t="s">
        <v>28</v>
      </c>
      <c r="J5612">
        <v>212.38</v>
      </c>
      <c r="K5612">
        <v>0.02</v>
      </c>
      <c r="L5612">
        <v>0.36</v>
      </c>
      <c r="M5612">
        <v>8.75</v>
      </c>
      <c r="N5612">
        <v>38.731000000000002</v>
      </c>
      <c r="O5612" s="1" t="s">
        <v>53</v>
      </c>
      <c r="P5612" s="1" t="s">
        <v>11898</v>
      </c>
      <c r="Q5612" s="1" t="s">
        <v>11899</v>
      </c>
      <c r="R5612" s="1" t="s">
        <v>440</v>
      </c>
      <c r="S5612" s="1" t="s">
        <v>7964</v>
      </c>
      <c r="T5612" s="1" t="s">
        <v>7965</v>
      </c>
      <c r="U5612" s="2" t="s">
        <v>1486</v>
      </c>
      <c r="V5612" s="2" t="s">
        <v>47</v>
      </c>
      <c r="W5612" s="2" t="s">
        <v>48</v>
      </c>
      <c r="X5612" s="2">
        <v>20.93</v>
      </c>
    </row>
    <row r="5613" spans="1:24" x14ac:dyDescent="0.3">
      <c r="A5613">
        <v>23439</v>
      </c>
      <c r="B5613" t="s">
        <v>11900</v>
      </c>
      <c r="C5613" s="3">
        <v>41576</v>
      </c>
      <c r="D5613" t="s">
        <v>25</v>
      </c>
      <c r="E5613">
        <v>11</v>
      </c>
      <c r="F5613" s="3">
        <f ca="1">41581+(RANDBETWEEN(1,10))</f>
        <v>41588</v>
      </c>
      <c r="G5613" t="s">
        <v>26</v>
      </c>
      <c r="H5613" t="s">
        <v>51</v>
      </c>
      <c r="I5613" t="s">
        <v>86</v>
      </c>
      <c r="J5613">
        <v>1118.18</v>
      </c>
      <c r="K5613">
        <v>0.06</v>
      </c>
      <c r="L5613">
        <v>0.36</v>
      </c>
      <c r="M5613">
        <v>4.375</v>
      </c>
      <c r="N5613">
        <v>878.19899999999996</v>
      </c>
      <c r="O5613" s="1" t="s">
        <v>87</v>
      </c>
      <c r="P5613" s="1" t="s">
        <v>5275</v>
      </c>
      <c r="Q5613" s="1" t="s">
        <v>5276</v>
      </c>
      <c r="R5613" s="1" t="s">
        <v>646</v>
      </c>
      <c r="S5613" s="1" t="s">
        <v>5277</v>
      </c>
      <c r="T5613" s="1" t="s">
        <v>5278</v>
      </c>
      <c r="U5613" s="2" t="s">
        <v>6006</v>
      </c>
      <c r="V5613" s="2" t="s">
        <v>36</v>
      </c>
      <c r="W5613" s="2" t="s">
        <v>37</v>
      </c>
      <c r="X5613" s="2">
        <v>125.965</v>
      </c>
    </row>
    <row r="5614" spans="1:24" x14ac:dyDescent="0.3">
      <c r="A5614">
        <v>2344</v>
      </c>
      <c r="B5614" t="s">
        <v>11901</v>
      </c>
      <c r="C5614" s="3">
        <v>41805</v>
      </c>
      <c r="D5614" t="s">
        <v>50</v>
      </c>
      <c r="E5614">
        <v>2</v>
      </c>
      <c r="F5614" s="3">
        <f ca="1">41807+(RANDBETWEEN(1,10))</f>
        <v>41812</v>
      </c>
      <c r="G5614" t="s">
        <v>76</v>
      </c>
      <c r="H5614" t="s">
        <v>77</v>
      </c>
      <c r="I5614" t="s">
        <v>52</v>
      </c>
      <c r="J5614">
        <v>2658.6</v>
      </c>
      <c r="K5614">
        <v>0.02</v>
      </c>
      <c r="L5614">
        <v>0.56999999999999995</v>
      </c>
      <c r="M5614">
        <v>206.32499999999999</v>
      </c>
      <c r="N5614">
        <v>-852.28395</v>
      </c>
      <c r="O5614" s="1" t="s">
        <v>53</v>
      </c>
      <c r="P5614" s="1" t="s">
        <v>54</v>
      </c>
      <c r="Q5614" s="1" t="s">
        <v>55</v>
      </c>
      <c r="R5614" s="1" t="s">
        <v>56</v>
      </c>
      <c r="S5614" s="1" t="s">
        <v>57</v>
      </c>
      <c r="T5614" s="1" t="s">
        <v>58</v>
      </c>
      <c r="U5614" s="2" t="s">
        <v>850</v>
      </c>
      <c r="V5614" s="2" t="s">
        <v>83</v>
      </c>
      <c r="W5614" s="2" t="s">
        <v>84</v>
      </c>
      <c r="X5614" s="2">
        <v>1123.43</v>
      </c>
    </row>
    <row r="5615" spans="1:24" x14ac:dyDescent="0.3">
      <c r="A5615">
        <v>23440</v>
      </c>
      <c r="B5615" t="s">
        <v>11902</v>
      </c>
      <c r="C5615" s="3">
        <v>41016</v>
      </c>
      <c r="D5615" t="s">
        <v>148</v>
      </c>
      <c r="E5615">
        <v>3</v>
      </c>
      <c r="F5615" s="3">
        <f ca="1">41017+(RANDBETWEEN(1,10))</f>
        <v>41027</v>
      </c>
      <c r="G5615" t="s">
        <v>26</v>
      </c>
      <c r="H5615" t="s">
        <v>27</v>
      </c>
      <c r="I5615" t="s">
        <v>97</v>
      </c>
      <c r="J5615">
        <v>1756.895</v>
      </c>
      <c r="K5615">
        <v>7.0000000000000007E-2</v>
      </c>
      <c r="L5615">
        <v>0.57999999999999996</v>
      </c>
      <c r="M5615">
        <v>13.965</v>
      </c>
      <c r="N5615">
        <v>155.92500000000001</v>
      </c>
      <c r="O5615" s="1" t="s">
        <v>64</v>
      </c>
      <c r="P5615" s="1" t="s">
        <v>10441</v>
      </c>
      <c r="Q5615" s="1" t="s">
        <v>10442</v>
      </c>
      <c r="R5615" s="1" t="s">
        <v>67</v>
      </c>
      <c r="S5615" s="1" t="s">
        <v>10443</v>
      </c>
      <c r="T5615" s="1" t="s">
        <v>10444</v>
      </c>
      <c r="U5615" s="2" t="s">
        <v>761</v>
      </c>
      <c r="V5615" s="2" t="s">
        <v>36</v>
      </c>
      <c r="W5615" s="2" t="s">
        <v>37</v>
      </c>
      <c r="X5615" s="2">
        <v>685.96500000000003</v>
      </c>
    </row>
    <row r="5616" spans="1:24" x14ac:dyDescent="0.3">
      <c r="A5616">
        <v>23441</v>
      </c>
      <c r="B5616" t="s">
        <v>11903</v>
      </c>
      <c r="C5616" s="3">
        <v>41861</v>
      </c>
      <c r="D5616" t="s">
        <v>25</v>
      </c>
      <c r="E5616">
        <v>21</v>
      </c>
      <c r="F5616" s="3">
        <f ca="1">41868+(RANDBETWEEN(1,10))</f>
        <v>41874</v>
      </c>
      <c r="G5616" t="s">
        <v>26</v>
      </c>
      <c r="H5616" t="s">
        <v>27</v>
      </c>
      <c r="I5616" t="s">
        <v>52</v>
      </c>
      <c r="J5616">
        <v>291.33999999999997</v>
      </c>
      <c r="K5616">
        <v>0.09</v>
      </c>
      <c r="L5616">
        <v>0.38</v>
      </c>
      <c r="M5616">
        <v>18.690000000000001</v>
      </c>
      <c r="N5616">
        <v>-220.21966399999999</v>
      </c>
      <c r="O5616" s="1" t="s">
        <v>87</v>
      </c>
      <c r="P5616" s="1" t="s">
        <v>11904</v>
      </c>
      <c r="Q5616" s="1" t="s">
        <v>11905</v>
      </c>
      <c r="R5616" s="1" t="s">
        <v>90</v>
      </c>
      <c r="S5616" s="1" t="s">
        <v>11906</v>
      </c>
      <c r="T5616" s="1" t="s">
        <v>11907</v>
      </c>
      <c r="U5616" s="2" t="s">
        <v>1664</v>
      </c>
      <c r="V5616" s="2" t="s">
        <v>47</v>
      </c>
      <c r="W5616" s="2" t="s">
        <v>111</v>
      </c>
      <c r="X5616" s="2">
        <v>14.455</v>
      </c>
    </row>
    <row r="5617" spans="1:24" x14ac:dyDescent="0.3">
      <c r="A5617">
        <v>23442</v>
      </c>
      <c r="B5617" t="s">
        <v>11903</v>
      </c>
      <c r="C5617" s="3">
        <v>41861</v>
      </c>
      <c r="D5617" t="s">
        <v>25</v>
      </c>
      <c r="E5617">
        <v>2</v>
      </c>
      <c r="F5617" s="3">
        <f ca="1">41866+(RANDBETWEEN(1,10))</f>
        <v>41873</v>
      </c>
      <c r="G5617" t="s">
        <v>76</v>
      </c>
      <c r="H5617" t="s">
        <v>77</v>
      </c>
      <c r="I5617" t="s">
        <v>52</v>
      </c>
      <c r="J5617">
        <v>1310.0150000000001</v>
      </c>
      <c r="K5617">
        <v>7.0000000000000007E-2</v>
      </c>
      <c r="L5617">
        <v>0.59</v>
      </c>
      <c r="M5617">
        <v>91.7</v>
      </c>
      <c r="N5617">
        <v>-295.99864000000002</v>
      </c>
      <c r="O5617" s="1" t="s">
        <v>87</v>
      </c>
      <c r="P5617" s="1" t="s">
        <v>11904</v>
      </c>
      <c r="Q5617" s="1" t="s">
        <v>11905</v>
      </c>
      <c r="R5617" s="1" t="s">
        <v>90</v>
      </c>
      <c r="S5617" s="1" t="s">
        <v>11906</v>
      </c>
      <c r="T5617" s="1" t="s">
        <v>11907</v>
      </c>
      <c r="U5617" s="2" t="s">
        <v>4925</v>
      </c>
      <c r="V5617" s="2" t="s">
        <v>83</v>
      </c>
      <c r="W5617" s="2" t="s">
        <v>84</v>
      </c>
      <c r="X5617" s="2">
        <v>633.42999999999995</v>
      </c>
    </row>
    <row r="5618" spans="1:24" x14ac:dyDescent="0.3">
      <c r="A5618">
        <v>23443</v>
      </c>
      <c r="B5618" t="s">
        <v>11903</v>
      </c>
      <c r="C5618" s="3">
        <v>41861</v>
      </c>
      <c r="D5618" t="s">
        <v>25</v>
      </c>
      <c r="E5618">
        <v>7</v>
      </c>
      <c r="F5618" s="3">
        <f ca="1">41861+(RANDBETWEEN(1,10))</f>
        <v>41864</v>
      </c>
      <c r="G5618" t="s">
        <v>26</v>
      </c>
      <c r="H5618" t="s">
        <v>27</v>
      </c>
      <c r="I5618" t="s">
        <v>52</v>
      </c>
      <c r="J5618">
        <v>121.485</v>
      </c>
      <c r="K5618">
        <v>0.01</v>
      </c>
      <c r="L5618">
        <v>0.36</v>
      </c>
      <c r="M5618">
        <v>1.75</v>
      </c>
      <c r="N5618">
        <v>83.824650000000005</v>
      </c>
      <c r="O5618" s="1" t="s">
        <v>87</v>
      </c>
      <c r="P5618" s="1" t="s">
        <v>3061</v>
      </c>
      <c r="Q5618" s="1" t="s">
        <v>3062</v>
      </c>
      <c r="R5618" s="1" t="s">
        <v>90</v>
      </c>
      <c r="S5618" s="1" t="s">
        <v>3063</v>
      </c>
      <c r="T5618" s="1" t="s">
        <v>3064</v>
      </c>
      <c r="U5618" s="2" t="s">
        <v>4577</v>
      </c>
      <c r="V5618" s="2" t="s">
        <v>47</v>
      </c>
      <c r="W5618" s="2" t="s">
        <v>203</v>
      </c>
      <c r="X5618" s="2">
        <v>17.184999999999999</v>
      </c>
    </row>
    <row r="5619" spans="1:24" x14ac:dyDescent="0.3">
      <c r="A5619">
        <v>23444</v>
      </c>
      <c r="B5619" t="s">
        <v>11908</v>
      </c>
      <c r="C5619" s="3">
        <v>41057</v>
      </c>
      <c r="D5619" t="s">
        <v>50</v>
      </c>
      <c r="E5619">
        <v>14</v>
      </c>
      <c r="F5619" s="3">
        <f ca="1">41058+(RANDBETWEEN(1,10))</f>
        <v>41065</v>
      </c>
      <c r="G5619" t="s">
        <v>26</v>
      </c>
      <c r="H5619" t="s">
        <v>51</v>
      </c>
      <c r="I5619" t="s">
        <v>52</v>
      </c>
      <c r="J5619">
        <v>1649.55</v>
      </c>
      <c r="K5619">
        <v>0.01</v>
      </c>
      <c r="L5619">
        <v>0.42</v>
      </c>
      <c r="M5619">
        <v>6.9649999999999999</v>
      </c>
      <c r="N5619">
        <v>1138.1895</v>
      </c>
      <c r="O5619" s="1" t="s">
        <v>53</v>
      </c>
      <c r="P5619" s="1" t="s">
        <v>11909</v>
      </c>
      <c r="Q5619" s="1" t="s">
        <v>11910</v>
      </c>
      <c r="R5619" s="1" t="s">
        <v>440</v>
      </c>
      <c r="S5619" s="1" t="s">
        <v>10436</v>
      </c>
      <c r="T5619" s="1" t="s">
        <v>10437</v>
      </c>
      <c r="U5619" s="2" t="s">
        <v>1226</v>
      </c>
      <c r="V5619" s="2" t="s">
        <v>36</v>
      </c>
      <c r="W5619" s="2" t="s">
        <v>60</v>
      </c>
      <c r="X5619" s="2">
        <v>111.23</v>
      </c>
    </row>
    <row r="5620" spans="1:24" x14ac:dyDescent="0.3">
      <c r="A5620">
        <v>23445</v>
      </c>
      <c r="B5620" t="s">
        <v>11911</v>
      </c>
      <c r="C5620" s="3">
        <v>40998</v>
      </c>
      <c r="D5620" t="s">
        <v>25</v>
      </c>
      <c r="E5620">
        <v>12</v>
      </c>
      <c r="F5620" s="3">
        <f ca="1">41002+(RANDBETWEEN(1,10))</f>
        <v>41011</v>
      </c>
      <c r="G5620" t="s">
        <v>26</v>
      </c>
      <c r="H5620" t="s">
        <v>27</v>
      </c>
      <c r="I5620" t="s">
        <v>28</v>
      </c>
      <c r="J5620">
        <v>3484.6350000000002</v>
      </c>
      <c r="K5620">
        <v>0.04</v>
      </c>
      <c r="L5620">
        <v>0.45</v>
      </c>
      <c r="M5620">
        <v>21.454999999999998</v>
      </c>
      <c r="N5620">
        <v>626.78070000000002</v>
      </c>
      <c r="O5620" s="1" t="s">
        <v>87</v>
      </c>
      <c r="P5620" s="1" t="s">
        <v>10783</v>
      </c>
      <c r="Q5620" s="1" t="s">
        <v>10784</v>
      </c>
      <c r="R5620" s="1" t="s">
        <v>90</v>
      </c>
      <c r="S5620" s="1" t="s">
        <v>10785</v>
      </c>
      <c r="T5620" s="1" t="s">
        <v>10786</v>
      </c>
      <c r="U5620" s="2" t="s">
        <v>3335</v>
      </c>
      <c r="V5620" s="2" t="s">
        <v>36</v>
      </c>
      <c r="W5620" s="2" t="s">
        <v>60</v>
      </c>
      <c r="X5620" s="2">
        <v>290.85000000000002</v>
      </c>
    </row>
    <row r="5621" spans="1:24" x14ac:dyDescent="0.3">
      <c r="A5621">
        <v>23446</v>
      </c>
      <c r="B5621" t="s">
        <v>11911</v>
      </c>
      <c r="C5621" s="3">
        <v>40998</v>
      </c>
      <c r="D5621" t="s">
        <v>25</v>
      </c>
      <c r="E5621">
        <v>8</v>
      </c>
      <c r="F5621" s="3">
        <f ca="1">41005+(RANDBETWEEN(1,10))</f>
        <v>41007</v>
      </c>
      <c r="G5621" t="s">
        <v>76</v>
      </c>
      <c r="H5621" t="s">
        <v>258</v>
      </c>
      <c r="I5621" t="s">
        <v>28</v>
      </c>
      <c r="J5621">
        <v>3522.47</v>
      </c>
      <c r="K5621">
        <v>0.05</v>
      </c>
      <c r="L5621">
        <v>0.63</v>
      </c>
      <c r="M5621">
        <v>181.79</v>
      </c>
      <c r="N5621">
        <v>-60.491970000000002</v>
      </c>
      <c r="O5621" s="1" t="s">
        <v>87</v>
      </c>
      <c r="P5621" s="1" t="s">
        <v>10783</v>
      </c>
      <c r="Q5621" s="1" t="s">
        <v>10784</v>
      </c>
      <c r="R5621" s="1" t="s">
        <v>90</v>
      </c>
      <c r="S5621" s="1" t="s">
        <v>10785</v>
      </c>
      <c r="T5621" s="1" t="s">
        <v>10786</v>
      </c>
      <c r="U5621" s="2" t="s">
        <v>360</v>
      </c>
      <c r="V5621" s="2" t="s">
        <v>83</v>
      </c>
      <c r="W5621" s="2" t="s">
        <v>263</v>
      </c>
      <c r="X5621" s="2">
        <v>435.71499999999997</v>
      </c>
    </row>
    <row r="5622" spans="1:24" x14ac:dyDescent="0.3">
      <c r="A5622">
        <v>23447</v>
      </c>
      <c r="B5622" t="s">
        <v>11912</v>
      </c>
      <c r="C5622" s="3">
        <v>41682</v>
      </c>
      <c r="D5622" t="s">
        <v>39</v>
      </c>
      <c r="E5622">
        <v>12</v>
      </c>
      <c r="F5622" s="3">
        <f ca="1">41683+(RANDBETWEEN(1,10))</f>
        <v>41688</v>
      </c>
      <c r="G5622" t="s">
        <v>26</v>
      </c>
      <c r="H5622" t="s">
        <v>27</v>
      </c>
      <c r="I5622" t="s">
        <v>28</v>
      </c>
      <c r="J5622">
        <v>285.35500000000002</v>
      </c>
      <c r="K5622">
        <v>0.04</v>
      </c>
      <c r="L5622">
        <v>0.37</v>
      </c>
      <c r="M5622">
        <v>23.1</v>
      </c>
      <c r="N5622">
        <v>-415.59</v>
      </c>
      <c r="O5622" s="1" t="s">
        <v>53</v>
      </c>
      <c r="P5622" s="1" t="s">
        <v>8552</v>
      </c>
      <c r="Q5622" s="1" t="s">
        <v>8553</v>
      </c>
      <c r="R5622" s="1" t="s">
        <v>100</v>
      </c>
      <c r="S5622" s="1" t="s">
        <v>8554</v>
      </c>
      <c r="T5622" s="1" t="s">
        <v>8555</v>
      </c>
      <c r="U5622" s="2" t="s">
        <v>241</v>
      </c>
      <c r="V5622" s="2" t="s">
        <v>47</v>
      </c>
      <c r="W5622" s="2" t="s">
        <v>74</v>
      </c>
      <c r="X5622" s="2">
        <v>22.68</v>
      </c>
    </row>
    <row r="5623" spans="1:24" x14ac:dyDescent="0.3">
      <c r="A5623">
        <v>23448</v>
      </c>
      <c r="B5623" t="s">
        <v>11912</v>
      </c>
      <c r="C5623" s="3">
        <v>41682</v>
      </c>
      <c r="D5623" t="s">
        <v>39</v>
      </c>
      <c r="E5623">
        <v>2</v>
      </c>
      <c r="F5623" s="3">
        <f ca="1">41685+(RANDBETWEEN(1,10))</f>
        <v>41695</v>
      </c>
      <c r="G5623" t="s">
        <v>26</v>
      </c>
      <c r="H5623" t="s">
        <v>51</v>
      </c>
      <c r="I5623" t="s">
        <v>28</v>
      </c>
      <c r="J5623">
        <v>198.76499999999999</v>
      </c>
      <c r="K5623">
        <v>0.09</v>
      </c>
      <c r="L5623">
        <v>0.35</v>
      </c>
      <c r="M5623">
        <v>3.4649999999999999</v>
      </c>
      <c r="N5623">
        <v>-234.96549999999999</v>
      </c>
      <c r="O5623" s="1" t="s">
        <v>53</v>
      </c>
      <c r="P5623" s="1" t="s">
        <v>8552</v>
      </c>
      <c r="Q5623" s="1" t="s">
        <v>8553</v>
      </c>
      <c r="R5623" s="1" t="s">
        <v>100</v>
      </c>
      <c r="S5623" s="1" t="s">
        <v>8554</v>
      </c>
      <c r="T5623" s="1" t="s">
        <v>8555</v>
      </c>
      <c r="U5623" s="2" t="s">
        <v>1868</v>
      </c>
      <c r="V5623" s="2" t="s">
        <v>36</v>
      </c>
      <c r="W5623" s="2" t="s">
        <v>37</v>
      </c>
      <c r="X5623" s="2">
        <v>125.965</v>
      </c>
    </row>
    <row r="5624" spans="1:24" x14ac:dyDescent="0.3">
      <c r="A5624">
        <v>23449</v>
      </c>
      <c r="B5624" t="s">
        <v>11913</v>
      </c>
      <c r="C5624" s="3">
        <v>41659</v>
      </c>
      <c r="D5624" t="s">
        <v>25</v>
      </c>
      <c r="E5624">
        <v>8</v>
      </c>
      <c r="F5624" s="3">
        <f ca="1">41663+(RANDBETWEEN(1,10))</f>
        <v>41671</v>
      </c>
      <c r="G5624" t="s">
        <v>26</v>
      </c>
      <c r="H5624" t="s">
        <v>281</v>
      </c>
      <c r="I5624" t="s">
        <v>28</v>
      </c>
      <c r="J5624">
        <v>697.51499999999999</v>
      </c>
      <c r="K5624">
        <v>0.02</v>
      </c>
      <c r="L5624">
        <v>0.38</v>
      </c>
      <c r="M5624">
        <v>22.05</v>
      </c>
      <c r="N5624">
        <v>451.9074</v>
      </c>
      <c r="O5624" s="1" t="s">
        <v>40</v>
      </c>
      <c r="P5624" s="1" t="s">
        <v>10396</v>
      </c>
      <c r="Q5624" s="1" t="s">
        <v>10397</v>
      </c>
      <c r="R5624" s="1" t="s">
        <v>220</v>
      </c>
      <c r="S5624" s="1" t="s">
        <v>1511</v>
      </c>
      <c r="T5624" s="1" t="s">
        <v>1512</v>
      </c>
      <c r="U5624" s="2" t="s">
        <v>3736</v>
      </c>
      <c r="V5624" s="2" t="s">
        <v>36</v>
      </c>
      <c r="W5624" s="2" t="s">
        <v>142</v>
      </c>
      <c r="X5624" s="2">
        <v>83.965000000000003</v>
      </c>
    </row>
    <row r="5625" spans="1:24" x14ac:dyDescent="0.3">
      <c r="A5625">
        <v>2345</v>
      </c>
      <c r="B5625" t="s">
        <v>11901</v>
      </c>
      <c r="C5625" s="3">
        <v>41805</v>
      </c>
      <c r="D5625" t="s">
        <v>50</v>
      </c>
      <c r="E5625">
        <v>72</v>
      </c>
      <c r="F5625" s="3">
        <f ca="1">41807+(RANDBETWEEN(1,10))</f>
        <v>41810</v>
      </c>
      <c r="G5625" t="s">
        <v>26</v>
      </c>
      <c r="H5625" t="s">
        <v>96</v>
      </c>
      <c r="I5625" t="s">
        <v>52</v>
      </c>
      <c r="J5625">
        <v>565.42499999999995</v>
      </c>
      <c r="K5625">
        <v>0.06</v>
      </c>
      <c r="L5625">
        <v>0.38</v>
      </c>
      <c r="M5625">
        <v>3.5</v>
      </c>
      <c r="N5625">
        <v>35.104649999999999</v>
      </c>
      <c r="O5625" s="1" t="s">
        <v>53</v>
      </c>
      <c r="P5625" s="1" t="s">
        <v>54</v>
      </c>
      <c r="Q5625" s="1" t="s">
        <v>55</v>
      </c>
      <c r="R5625" s="1" t="s">
        <v>56</v>
      </c>
      <c r="S5625" s="1" t="s">
        <v>57</v>
      </c>
      <c r="T5625" s="1" t="s">
        <v>58</v>
      </c>
      <c r="U5625" s="2" t="s">
        <v>671</v>
      </c>
      <c r="V5625" s="2" t="s">
        <v>47</v>
      </c>
      <c r="W5625" s="2" t="s">
        <v>104</v>
      </c>
      <c r="X5625" s="2">
        <v>7.7350000000000003</v>
      </c>
    </row>
    <row r="5626" spans="1:24" x14ac:dyDescent="0.3">
      <c r="A5626">
        <v>23450</v>
      </c>
      <c r="B5626" t="s">
        <v>11914</v>
      </c>
      <c r="C5626" s="3">
        <v>41439</v>
      </c>
      <c r="D5626" t="s">
        <v>25</v>
      </c>
      <c r="E5626">
        <v>1</v>
      </c>
      <c r="F5626" s="3">
        <f ca="1">41446+(RANDBETWEEN(1,10))</f>
        <v>41449</v>
      </c>
      <c r="G5626" t="s">
        <v>26</v>
      </c>
      <c r="H5626" t="s">
        <v>63</v>
      </c>
      <c r="I5626" t="s">
        <v>97</v>
      </c>
      <c r="J5626">
        <v>2593.0450000000001</v>
      </c>
      <c r="K5626">
        <v>0.02</v>
      </c>
      <c r="L5626">
        <v>0.41</v>
      </c>
      <c r="M5626">
        <v>85.715000000000003</v>
      </c>
      <c r="N5626">
        <v>823.53599999999994</v>
      </c>
      <c r="O5626" s="1" t="s">
        <v>87</v>
      </c>
      <c r="P5626" s="1" t="s">
        <v>11915</v>
      </c>
      <c r="Q5626" s="1" t="s">
        <v>11916</v>
      </c>
      <c r="R5626" s="1" t="s">
        <v>90</v>
      </c>
      <c r="S5626" s="1" t="s">
        <v>11917</v>
      </c>
      <c r="T5626" s="1" t="s">
        <v>11918</v>
      </c>
      <c r="U5626" s="2" t="s">
        <v>1326</v>
      </c>
      <c r="V5626" s="2" t="s">
        <v>36</v>
      </c>
      <c r="W5626" s="2" t="s">
        <v>1327</v>
      </c>
      <c r="X5626" s="2">
        <v>2449.9650000000001</v>
      </c>
    </row>
    <row r="5627" spans="1:24" x14ac:dyDescent="0.3">
      <c r="A5627">
        <v>23451</v>
      </c>
      <c r="B5627" t="s">
        <v>11919</v>
      </c>
      <c r="C5627" s="3">
        <v>40626</v>
      </c>
      <c r="D5627" t="s">
        <v>62</v>
      </c>
      <c r="E5627">
        <v>4</v>
      </c>
      <c r="F5627" s="3">
        <f ca="1">40628+(RANDBETWEEN(1,10))</f>
        <v>40631</v>
      </c>
      <c r="G5627" t="s">
        <v>26</v>
      </c>
      <c r="H5627" t="s">
        <v>51</v>
      </c>
      <c r="I5627" t="s">
        <v>86</v>
      </c>
      <c r="J5627">
        <v>88.584999999999994</v>
      </c>
      <c r="K5627">
        <v>0.1</v>
      </c>
      <c r="L5627">
        <v>0.37</v>
      </c>
      <c r="M5627">
        <v>192.32499999999999</v>
      </c>
      <c r="N5627">
        <v>-87.5</v>
      </c>
      <c r="O5627" s="1" t="s">
        <v>87</v>
      </c>
      <c r="P5627" s="1" t="s">
        <v>11920</v>
      </c>
      <c r="Q5627" s="1" t="s">
        <v>11921</v>
      </c>
      <c r="R5627" s="1" t="s">
        <v>90</v>
      </c>
      <c r="S5627" s="1" t="s">
        <v>11922</v>
      </c>
      <c r="T5627" s="1" t="s">
        <v>11923</v>
      </c>
      <c r="U5627" s="2" t="s">
        <v>790</v>
      </c>
      <c r="V5627" s="2" t="s">
        <v>83</v>
      </c>
      <c r="W5627" s="2" t="s">
        <v>178</v>
      </c>
      <c r="X5627" s="2">
        <v>23.24</v>
      </c>
    </row>
    <row r="5628" spans="1:24" x14ac:dyDescent="0.3">
      <c r="A5628">
        <v>23452</v>
      </c>
      <c r="B5628" t="s">
        <v>11919</v>
      </c>
      <c r="C5628" s="3">
        <v>40626</v>
      </c>
      <c r="D5628" t="s">
        <v>62</v>
      </c>
      <c r="E5628">
        <v>4</v>
      </c>
      <c r="F5628" s="3">
        <f ca="1">40627+(RANDBETWEEN(1,10))</f>
        <v>40636</v>
      </c>
      <c r="G5628" t="s">
        <v>26</v>
      </c>
      <c r="H5628" t="s">
        <v>27</v>
      </c>
      <c r="I5628" t="s">
        <v>86</v>
      </c>
      <c r="J5628">
        <v>1294.23</v>
      </c>
      <c r="K5628">
        <v>0.05</v>
      </c>
      <c r="L5628">
        <v>0.4</v>
      </c>
      <c r="M5628">
        <v>69.965000000000003</v>
      </c>
      <c r="N5628">
        <v>893.01869999999997</v>
      </c>
      <c r="O5628" s="1" t="s">
        <v>40</v>
      </c>
      <c r="P5628" s="1" t="s">
        <v>11924</v>
      </c>
      <c r="Q5628" s="1" t="s">
        <v>11925</v>
      </c>
      <c r="R5628" s="1" t="s">
        <v>43</v>
      </c>
      <c r="S5628" s="1" t="s">
        <v>11926</v>
      </c>
      <c r="T5628" s="1" t="s">
        <v>11927</v>
      </c>
      <c r="U5628" s="2" t="s">
        <v>2845</v>
      </c>
      <c r="V5628" s="2" t="s">
        <v>47</v>
      </c>
      <c r="W5628" s="2" t="s">
        <v>48</v>
      </c>
      <c r="X5628" s="2">
        <v>316.68</v>
      </c>
    </row>
    <row r="5629" spans="1:24" x14ac:dyDescent="0.3">
      <c r="A5629">
        <v>23453</v>
      </c>
      <c r="B5629" t="s">
        <v>11928</v>
      </c>
      <c r="C5629" s="3">
        <v>41902</v>
      </c>
      <c r="D5629" t="s">
        <v>62</v>
      </c>
      <c r="E5629">
        <v>20</v>
      </c>
      <c r="F5629" s="3">
        <f ca="1">41904+(RANDBETWEEN(1,10))</f>
        <v>41908</v>
      </c>
      <c r="G5629" t="s">
        <v>26</v>
      </c>
      <c r="H5629" t="s">
        <v>27</v>
      </c>
      <c r="I5629" t="s">
        <v>97</v>
      </c>
      <c r="J5629">
        <v>4697.42</v>
      </c>
      <c r="K5629">
        <v>0</v>
      </c>
      <c r="L5629">
        <v>0.73</v>
      </c>
      <c r="M5629">
        <v>24.08</v>
      </c>
      <c r="N5629">
        <v>1394.3286000000001</v>
      </c>
      <c r="O5629" s="1" t="s">
        <v>40</v>
      </c>
      <c r="P5629" s="1" t="s">
        <v>11929</v>
      </c>
      <c r="Q5629" s="1" t="s">
        <v>11930</v>
      </c>
      <c r="R5629" s="1" t="s">
        <v>43</v>
      </c>
      <c r="S5629" s="1" t="s">
        <v>576</v>
      </c>
      <c r="T5629" s="1" t="s">
        <v>577</v>
      </c>
      <c r="U5629" s="2" t="s">
        <v>2091</v>
      </c>
      <c r="V5629" s="2" t="s">
        <v>47</v>
      </c>
      <c r="W5629" s="2" t="s">
        <v>119</v>
      </c>
      <c r="X5629" s="2">
        <v>227.43</v>
      </c>
    </row>
    <row r="5630" spans="1:24" x14ac:dyDescent="0.3">
      <c r="A5630">
        <v>23454</v>
      </c>
      <c r="B5630" t="s">
        <v>11928</v>
      </c>
      <c r="C5630" s="3">
        <v>41902</v>
      </c>
      <c r="D5630" t="s">
        <v>62</v>
      </c>
      <c r="E5630">
        <v>5</v>
      </c>
      <c r="F5630" s="3">
        <f ca="1">41903+(RANDBETWEEN(1,10))</f>
        <v>41904</v>
      </c>
      <c r="G5630" t="s">
        <v>26</v>
      </c>
      <c r="H5630" t="s">
        <v>27</v>
      </c>
      <c r="I5630" t="s">
        <v>97</v>
      </c>
      <c r="J5630">
        <v>329.14</v>
      </c>
      <c r="K5630">
        <v>0.09</v>
      </c>
      <c r="L5630">
        <v>0.68</v>
      </c>
      <c r="M5630">
        <v>14</v>
      </c>
      <c r="N5630">
        <v>-221.9546</v>
      </c>
      <c r="O5630" s="1" t="s">
        <v>40</v>
      </c>
      <c r="P5630" s="1" t="s">
        <v>11649</v>
      </c>
      <c r="Q5630" s="1" t="s">
        <v>11650</v>
      </c>
      <c r="R5630" s="1" t="s">
        <v>220</v>
      </c>
      <c r="S5630" s="1" t="s">
        <v>3859</v>
      </c>
      <c r="T5630" s="1" t="s">
        <v>3860</v>
      </c>
      <c r="U5630" s="2" t="s">
        <v>2334</v>
      </c>
      <c r="V5630" s="2" t="s">
        <v>36</v>
      </c>
      <c r="W5630" s="2" t="s">
        <v>60</v>
      </c>
      <c r="X5630" s="2">
        <v>69.930000000000007</v>
      </c>
    </row>
    <row r="5631" spans="1:24" x14ac:dyDescent="0.3">
      <c r="A5631">
        <v>23455</v>
      </c>
      <c r="B5631" t="s">
        <v>11931</v>
      </c>
      <c r="C5631" s="3">
        <v>40684</v>
      </c>
      <c r="D5631" t="s">
        <v>148</v>
      </c>
      <c r="E5631">
        <v>16</v>
      </c>
      <c r="F5631" s="3">
        <f ca="1">40686+(RANDBETWEEN(1,10))</f>
        <v>40690</v>
      </c>
      <c r="G5631" t="s">
        <v>26</v>
      </c>
      <c r="H5631" t="s">
        <v>27</v>
      </c>
      <c r="I5631" t="s">
        <v>97</v>
      </c>
      <c r="J5631">
        <v>118.19499999999999</v>
      </c>
      <c r="K5631">
        <v>0.04</v>
      </c>
      <c r="L5631">
        <v>0.36</v>
      </c>
      <c r="M5631">
        <v>5.2149999999999999</v>
      </c>
      <c r="N5631">
        <v>-39.485250000000001</v>
      </c>
      <c r="O5631" s="1" t="s">
        <v>87</v>
      </c>
      <c r="P5631" s="1" t="s">
        <v>11932</v>
      </c>
      <c r="Q5631" s="1" t="s">
        <v>11933</v>
      </c>
      <c r="R5631" s="1" t="s">
        <v>646</v>
      </c>
      <c r="S5631" s="1" t="s">
        <v>11934</v>
      </c>
      <c r="T5631" s="1" t="s">
        <v>4332</v>
      </c>
      <c r="U5631" s="2" t="s">
        <v>4015</v>
      </c>
      <c r="V5631" s="2" t="s">
        <v>47</v>
      </c>
      <c r="W5631" s="2" t="s">
        <v>111</v>
      </c>
      <c r="X5631" s="2">
        <v>7.28</v>
      </c>
    </row>
    <row r="5632" spans="1:24" x14ac:dyDescent="0.3">
      <c r="A5632">
        <v>23456</v>
      </c>
      <c r="B5632" t="s">
        <v>11935</v>
      </c>
      <c r="C5632" s="3">
        <v>41766</v>
      </c>
      <c r="D5632" t="s">
        <v>62</v>
      </c>
      <c r="E5632">
        <v>14</v>
      </c>
      <c r="F5632" s="3">
        <f ca="1">41768+(RANDBETWEEN(1,10))</f>
        <v>41770</v>
      </c>
      <c r="G5632" t="s">
        <v>156</v>
      </c>
      <c r="H5632" t="s">
        <v>27</v>
      </c>
      <c r="I5632" t="s">
        <v>28</v>
      </c>
      <c r="J5632">
        <v>2565.6750000000002</v>
      </c>
      <c r="K5632">
        <v>0.09</v>
      </c>
      <c r="L5632">
        <v>0.56000000000000005</v>
      </c>
      <c r="M5632">
        <v>31.465</v>
      </c>
      <c r="N5632">
        <v>1081.269</v>
      </c>
      <c r="O5632" s="1" t="s">
        <v>64</v>
      </c>
      <c r="P5632" s="1" t="s">
        <v>11936</v>
      </c>
      <c r="Q5632" s="1" t="s">
        <v>11937</v>
      </c>
      <c r="R5632" s="1" t="s">
        <v>67</v>
      </c>
      <c r="S5632" s="1" t="s">
        <v>4720</v>
      </c>
      <c r="T5632" s="1" t="s">
        <v>4721</v>
      </c>
      <c r="U5632" s="2" t="s">
        <v>164</v>
      </c>
      <c r="V5632" s="2" t="s">
        <v>36</v>
      </c>
      <c r="W5632" s="2" t="s">
        <v>37</v>
      </c>
      <c r="X5632" s="2">
        <v>230.965</v>
      </c>
    </row>
    <row r="5633" spans="1:24" x14ac:dyDescent="0.3">
      <c r="A5633">
        <v>23457</v>
      </c>
      <c r="B5633" t="s">
        <v>11938</v>
      </c>
      <c r="C5633" s="3">
        <v>41541</v>
      </c>
      <c r="D5633" t="s">
        <v>50</v>
      </c>
      <c r="E5633">
        <v>3</v>
      </c>
      <c r="F5633" s="3">
        <f ca="1">41543+(RANDBETWEEN(1,10))</f>
        <v>41553</v>
      </c>
      <c r="G5633" t="s">
        <v>26</v>
      </c>
      <c r="H5633" t="s">
        <v>63</v>
      </c>
      <c r="I5633" t="s">
        <v>52</v>
      </c>
      <c r="J5633">
        <v>745.81500000000005</v>
      </c>
      <c r="K5633">
        <v>0</v>
      </c>
      <c r="L5633">
        <v>0.59</v>
      </c>
      <c r="M5633">
        <v>171.5</v>
      </c>
      <c r="N5633">
        <v>-768.63499999999999</v>
      </c>
      <c r="O5633" s="1" t="s">
        <v>87</v>
      </c>
      <c r="P5633" s="1" t="s">
        <v>11193</v>
      </c>
      <c r="Q5633" s="1" t="s">
        <v>11194</v>
      </c>
      <c r="R5633" s="1" t="s">
        <v>90</v>
      </c>
      <c r="S5633" s="1" t="s">
        <v>11195</v>
      </c>
      <c r="T5633" s="1" t="s">
        <v>11196</v>
      </c>
      <c r="U5633" s="2" t="s">
        <v>1546</v>
      </c>
      <c r="V5633" s="2" t="s">
        <v>47</v>
      </c>
      <c r="W5633" s="2" t="s">
        <v>71</v>
      </c>
      <c r="X5633" s="2">
        <v>213.43</v>
      </c>
    </row>
    <row r="5634" spans="1:24" x14ac:dyDescent="0.3">
      <c r="A5634">
        <v>23458</v>
      </c>
      <c r="B5634" t="s">
        <v>11939</v>
      </c>
      <c r="C5634" s="3">
        <v>41308</v>
      </c>
      <c r="D5634" t="s">
        <v>148</v>
      </c>
      <c r="E5634">
        <v>14</v>
      </c>
      <c r="F5634" s="3">
        <f ca="1">41310+(RANDBETWEEN(1,10))</f>
        <v>41316</v>
      </c>
      <c r="G5634" t="s">
        <v>26</v>
      </c>
      <c r="H5634" t="s">
        <v>27</v>
      </c>
      <c r="I5634" t="s">
        <v>97</v>
      </c>
      <c r="J5634">
        <v>292.14499999999998</v>
      </c>
      <c r="K5634">
        <v>0.09</v>
      </c>
      <c r="L5634">
        <v>0.39</v>
      </c>
      <c r="M5634">
        <v>1.75</v>
      </c>
      <c r="N5634">
        <v>201.58005</v>
      </c>
      <c r="O5634" s="1" t="s">
        <v>53</v>
      </c>
      <c r="P5634" s="1" t="s">
        <v>11940</v>
      </c>
      <c r="Q5634" s="1" t="s">
        <v>11941</v>
      </c>
      <c r="R5634" s="1" t="s">
        <v>100</v>
      </c>
      <c r="S5634" s="1" t="s">
        <v>11026</v>
      </c>
      <c r="T5634" s="1" t="s">
        <v>11027</v>
      </c>
      <c r="U5634" s="2" t="s">
        <v>2675</v>
      </c>
      <c r="V5634" s="2" t="s">
        <v>47</v>
      </c>
      <c r="W5634" s="2" t="s">
        <v>203</v>
      </c>
      <c r="X5634" s="2">
        <v>22.05</v>
      </c>
    </row>
    <row r="5635" spans="1:24" x14ac:dyDescent="0.3">
      <c r="A5635">
        <v>23459</v>
      </c>
      <c r="B5635" t="s">
        <v>11942</v>
      </c>
      <c r="C5635" s="3">
        <v>41443</v>
      </c>
      <c r="D5635" t="s">
        <v>148</v>
      </c>
      <c r="E5635">
        <v>4</v>
      </c>
      <c r="F5635" s="3">
        <f ca="1">41445+(RANDBETWEEN(1,10))</f>
        <v>41450</v>
      </c>
      <c r="G5635" t="s">
        <v>76</v>
      </c>
      <c r="H5635" t="s">
        <v>77</v>
      </c>
      <c r="I5635" t="s">
        <v>52</v>
      </c>
      <c r="J5635">
        <v>330.64499999999998</v>
      </c>
      <c r="K5635">
        <v>0.09</v>
      </c>
      <c r="L5635">
        <v>0.62</v>
      </c>
      <c r="M5635">
        <v>54.88</v>
      </c>
      <c r="N5635">
        <v>484.44900000000001</v>
      </c>
      <c r="O5635" s="1" t="s">
        <v>40</v>
      </c>
      <c r="P5635" s="1" t="s">
        <v>10954</v>
      </c>
      <c r="Q5635" s="1" t="s">
        <v>10955</v>
      </c>
      <c r="R5635" s="1" t="s">
        <v>43</v>
      </c>
      <c r="S5635" s="1" t="s">
        <v>6394</v>
      </c>
      <c r="T5635" s="1" t="s">
        <v>6395</v>
      </c>
      <c r="U5635" s="2" t="s">
        <v>7937</v>
      </c>
      <c r="V5635" s="2" t="s">
        <v>83</v>
      </c>
      <c r="W5635" s="2" t="s">
        <v>178</v>
      </c>
      <c r="X5635" s="2">
        <v>83.965000000000003</v>
      </c>
    </row>
    <row r="5636" spans="1:24" x14ac:dyDescent="0.3">
      <c r="A5636">
        <v>23460</v>
      </c>
      <c r="B5636" t="s">
        <v>11943</v>
      </c>
      <c r="C5636" s="3">
        <v>41491</v>
      </c>
      <c r="D5636" t="s">
        <v>25</v>
      </c>
      <c r="E5636">
        <v>11</v>
      </c>
      <c r="F5636" s="3">
        <f ca="1">41491+(RANDBETWEEN(1,10))</f>
        <v>41492</v>
      </c>
      <c r="G5636" t="s">
        <v>26</v>
      </c>
      <c r="H5636" t="s">
        <v>96</v>
      </c>
      <c r="I5636" t="s">
        <v>52</v>
      </c>
      <c r="J5636">
        <v>138.32</v>
      </c>
      <c r="K5636">
        <v>0.05</v>
      </c>
      <c r="L5636">
        <v>0.56000000000000005</v>
      </c>
      <c r="M5636">
        <v>17.5</v>
      </c>
      <c r="N5636">
        <v>-141.83260000000001</v>
      </c>
      <c r="O5636" s="1" t="s">
        <v>87</v>
      </c>
      <c r="P5636" s="1" t="s">
        <v>7080</v>
      </c>
      <c r="Q5636" s="1" t="s">
        <v>7081</v>
      </c>
      <c r="R5636" s="1" t="s">
        <v>497</v>
      </c>
      <c r="S5636" s="1" t="s">
        <v>1105</v>
      </c>
      <c r="T5636" s="1" t="s">
        <v>1106</v>
      </c>
      <c r="U5636" s="2" t="s">
        <v>2523</v>
      </c>
      <c r="V5636" s="2" t="s">
        <v>47</v>
      </c>
      <c r="W5636" s="2" t="s">
        <v>104</v>
      </c>
      <c r="X5636" s="2">
        <v>11.48</v>
      </c>
    </row>
    <row r="5637" spans="1:24" x14ac:dyDescent="0.3">
      <c r="A5637">
        <v>23461</v>
      </c>
      <c r="B5637" t="s">
        <v>11944</v>
      </c>
      <c r="C5637" s="3">
        <v>41227</v>
      </c>
      <c r="D5637" t="s">
        <v>39</v>
      </c>
      <c r="E5637">
        <v>8</v>
      </c>
      <c r="F5637" s="3">
        <f ca="1">41228+(RANDBETWEEN(1,10))</f>
        <v>41237</v>
      </c>
      <c r="G5637" t="s">
        <v>26</v>
      </c>
      <c r="H5637" t="s">
        <v>27</v>
      </c>
      <c r="I5637" t="s">
        <v>86</v>
      </c>
      <c r="J5637">
        <v>300.3</v>
      </c>
      <c r="K5637">
        <v>0.1</v>
      </c>
      <c r="L5637">
        <v>0.56999999999999995</v>
      </c>
      <c r="M5637">
        <v>18.059999999999999</v>
      </c>
      <c r="N5637">
        <v>129.20599999999999</v>
      </c>
      <c r="O5637" s="1" t="s">
        <v>40</v>
      </c>
      <c r="P5637" s="1" t="s">
        <v>11226</v>
      </c>
      <c r="Q5637" s="1" t="s">
        <v>11227</v>
      </c>
      <c r="R5637" s="1" t="s">
        <v>43</v>
      </c>
      <c r="S5637" s="1" t="s">
        <v>44</v>
      </c>
      <c r="T5637" s="1" t="s">
        <v>11228</v>
      </c>
      <c r="U5637" s="2" t="s">
        <v>1754</v>
      </c>
      <c r="V5637" s="2" t="s">
        <v>83</v>
      </c>
      <c r="W5637" s="2" t="s">
        <v>178</v>
      </c>
      <c r="X5637" s="2">
        <v>37.24</v>
      </c>
    </row>
    <row r="5638" spans="1:24" x14ac:dyDescent="0.3">
      <c r="A5638">
        <v>23462</v>
      </c>
      <c r="B5638" t="s">
        <v>11945</v>
      </c>
      <c r="C5638" s="3">
        <v>41957</v>
      </c>
      <c r="D5638" t="s">
        <v>39</v>
      </c>
      <c r="E5638">
        <v>4</v>
      </c>
      <c r="F5638" s="3">
        <f ca="1">41958+(RANDBETWEEN(1,10))</f>
        <v>41959</v>
      </c>
      <c r="G5638" t="s">
        <v>76</v>
      </c>
      <c r="H5638" t="s">
        <v>77</v>
      </c>
      <c r="I5638" t="s">
        <v>86</v>
      </c>
      <c r="J5638">
        <v>403.09500000000003</v>
      </c>
      <c r="K5638">
        <v>0.04</v>
      </c>
      <c r="L5638">
        <v>0.62</v>
      </c>
      <c r="M5638">
        <v>54.88</v>
      </c>
      <c r="N5638">
        <v>278.13555000000002</v>
      </c>
      <c r="O5638" s="1" t="s">
        <v>40</v>
      </c>
      <c r="P5638" s="1" t="s">
        <v>11226</v>
      </c>
      <c r="Q5638" s="1" t="s">
        <v>11227</v>
      </c>
      <c r="R5638" s="1" t="s">
        <v>43</v>
      </c>
      <c r="S5638" s="1" t="s">
        <v>44</v>
      </c>
      <c r="T5638" s="1" t="s">
        <v>11228</v>
      </c>
      <c r="U5638" s="2" t="s">
        <v>7937</v>
      </c>
      <c r="V5638" s="2" t="s">
        <v>83</v>
      </c>
      <c r="W5638" s="2" t="s">
        <v>178</v>
      </c>
      <c r="X5638" s="2">
        <v>83.965000000000003</v>
      </c>
    </row>
    <row r="5639" spans="1:24" x14ac:dyDescent="0.3">
      <c r="A5639">
        <v>23463</v>
      </c>
      <c r="B5639" t="s">
        <v>11946</v>
      </c>
      <c r="C5639" s="3">
        <v>40982</v>
      </c>
      <c r="D5639" t="s">
        <v>25</v>
      </c>
      <c r="E5639">
        <v>6</v>
      </c>
      <c r="F5639" s="3">
        <f ca="1">40989+(RANDBETWEEN(1,10))</f>
        <v>40991</v>
      </c>
      <c r="G5639" t="s">
        <v>76</v>
      </c>
      <c r="H5639" t="s">
        <v>258</v>
      </c>
      <c r="I5639" t="s">
        <v>97</v>
      </c>
      <c r="J5639">
        <v>1275.5050000000001</v>
      </c>
      <c r="K5639">
        <v>0.03</v>
      </c>
      <c r="L5639">
        <v>0.69</v>
      </c>
      <c r="M5639">
        <v>312.55</v>
      </c>
      <c r="N5639">
        <v>-5480.6149999999998</v>
      </c>
      <c r="O5639" s="1" t="s">
        <v>64</v>
      </c>
      <c r="P5639" s="1" t="s">
        <v>8007</v>
      </c>
      <c r="Q5639" s="1" t="s">
        <v>8008</v>
      </c>
      <c r="R5639" s="1" t="s">
        <v>128</v>
      </c>
      <c r="S5639" s="1" t="s">
        <v>7526</v>
      </c>
      <c r="T5639" s="1" t="s">
        <v>7527</v>
      </c>
      <c r="U5639" s="2" t="s">
        <v>407</v>
      </c>
      <c r="V5639" s="2" t="s">
        <v>83</v>
      </c>
      <c r="W5639" s="2" t="s">
        <v>263</v>
      </c>
      <c r="X5639" s="2">
        <v>248.11500000000001</v>
      </c>
    </row>
    <row r="5640" spans="1:24" x14ac:dyDescent="0.3">
      <c r="A5640">
        <v>23464</v>
      </c>
      <c r="B5640" t="s">
        <v>11947</v>
      </c>
      <c r="C5640" s="3">
        <v>41779</v>
      </c>
      <c r="D5640" t="s">
        <v>50</v>
      </c>
      <c r="E5640">
        <v>1</v>
      </c>
      <c r="F5640" s="3">
        <f ca="1">41780+(RANDBETWEEN(1,10))</f>
        <v>41788</v>
      </c>
      <c r="G5640" t="s">
        <v>26</v>
      </c>
      <c r="H5640" t="s">
        <v>51</v>
      </c>
      <c r="I5640" t="s">
        <v>52</v>
      </c>
      <c r="J5640">
        <v>33.950000000000003</v>
      </c>
      <c r="K5640">
        <v>0.02</v>
      </c>
      <c r="L5640">
        <v>0.64</v>
      </c>
      <c r="M5640">
        <v>16.170000000000002</v>
      </c>
      <c r="N5640">
        <v>-63.104999999999997</v>
      </c>
      <c r="O5640" s="1" t="s">
        <v>87</v>
      </c>
      <c r="P5640" s="1" t="s">
        <v>9755</v>
      </c>
      <c r="Q5640" s="1" t="s">
        <v>9756</v>
      </c>
      <c r="R5640" s="1" t="s">
        <v>646</v>
      </c>
      <c r="S5640" s="1" t="s">
        <v>9757</v>
      </c>
      <c r="T5640" s="1" t="s">
        <v>9758</v>
      </c>
      <c r="U5640" s="2" t="s">
        <v>505</v>
      </c>
      <c r="V5640" s="2" t="s">
        <v>36</v>
      </c>
      <c r="W5640" s="2" t="s">
        <v>60</v>
      </c>
      <c r="X5640" s="2">
        <v>17.43</v>
      </c>
    </row>
    <row r="5641" spans="1:24" x14ac:dyDescent="0.3">
      <c r="A5641">
        <v>23465</v>
      </c>
      <c r="B5641" t="s">
        <v>11948</v>
      </c>
      <c r="C5641" s="3">
        <v>41989</v>
      </c>
      <c r="D5641" t="s">
        <v>39</v>
      </c>
      <c r="E5641">
        <v>3</v>
      </c>
      <c r="F5641" s="3">
        <f ca="1">41990+(RANDBETWEEN(1,10))</f>
        <v>41992</v>
      </c>
      <c r="G5641" t="s">
        <v>26</v>
      </c>
      <c r="H5641" t="s">
        <v>27</v>
      </c>
      <c r="I5641" t="s">
        <v>97</v>
      </c>
      <c r="J5641">
        <v>454.16</v>
      </c>
      <c r="K5641">
        <v>0.06</v>
      </c>
      <c r="L5641">
        <v>0.39</v>
      </c>
      <c r="M5641">
        <v>10.465</v>
      </c>
      <c r="N5641">
        <v>48.636000000000003</v>
      </c>
      <c r="O5641" s="1" t="s">
        <v>29</v>
      </c>
      <c r="P5641" s="1" t="s">
        <v>11949</v>
      </c>
      <c r="Q5641" s="1" t="s">
        <v>11950</v>
      </c>
      <c r="R5641" s="1" t="s">
        <v>32</v>
      </c>
      <c r="S5641" s="1" t="s">
        <v>11951</v>
      </c>
      <c r="T5641" s="1" t="s">
        <v>11952</v>
      </c>
      <c r="U5641" s="2" t="s">
        <v>2837</v>
      </c>
      <c r="V5641" s="2" t="s">
        <v>47</v>
      </c>
      <c r="W5641" s="2" t="s">
        <v>111</v>
      </c>
      <c r="X5641" s="2">
        <v>151.935</v>
      </c>
    </row>
    <row r="5642" spans="1:24" x14ac:dyDescent="0.3">
      <c r="A5642">
        <v>23466</v>
      </c>
      <c r="B5642" t="s">
        <v>11953</v>
      </c>
      <c r="C5642" s="3">
        <v>41028</v>
      </c>
      <c r="D5642" t="s">
        <v>148</v>
      </c>
      <c r="E5642">
        <v>9</v>
      </c>
      <c r="F5642" s="3">
        <f ca="1">41030+(RANDBETWEEN(1,10))</f>
        <v>41032</v>
      </c>
      <c r="G5642" t="s">
        <v>76</v>
      </c>
      <c r="H5642" t="s">
        <v>258</v>
      </c>
      <c r="I5642" t="s">
        <v>97</v>
      </c>
      <c r="J5642">
        <v>11646.424999999999</v>
      </c>
      <c r="K5642">
        <v>0.02</v>
      </c>
      <c r="L5642">
        <v>0.62</v>
      </c>
      <c r="M5642">
        <v>140.66499999999999</v>
      </c>
      <c r="N5642">
        <v>-15961.504999999999</v>
      </c>
      <c r="O5642" s="1" t="s">
        <v>87</v>
      </c>
      <c r="P5642" s="1" t="s">
        <v>10633</v>
      </c>
      <c r="Q5642" s="1" t="s">
        <v>10634</v>
      </c>
      <c r="R5642" s="1" t="s">
        <v>90</v>
      </c>
      <c r="S5642" s="1" t="s">
        <v>10635</v>
      </c>
      <c r="T5642" s="1" t="s">
        <v>7946</v>
      </c>
      <c r="U5642" s="2" t="s">
        <v>3482</v>
      </c>
      <c r="V5642" s="2" t="s">
        <v>83</v>
      </c>
      <c r="W5642" s="2" t="s">
        <v>263</v>
      </c>
      <c r="X5642" s="2">
        <v>1218.7349999999999</v>
      </c>
    </row>
    <row r="5643" spans="1:24" x14ac:dyDescent="0.3">
      <c r="A5643">
        <v>23467</v>
      </c>
      <c r="B5643" t="s">
        <v>11954</v>
      </c>
      <c r="C5643" s="3">
        <v>41800</v>
      </c>
      <c r="D5643" t="s">
        <v>62</v>
      </c>
      <c r="E5643">
        <v>1</v>
      </c>
      <c r="F5643" s="3">
        <f ca="1">41801+(RANDBETWEEN(1,10))</f>
        <v>41806</v>
      </c>
      <c r="G5643" t="s">
        <v>26</v>
      </c>
      <c r="H5643" t="s">
        <v>27</v>
      </c>
      <c r="I5643" t="s">
        <v>28</v>
      </c>
      <c r="J5643">
        <v>29.715</v>
      </c>
      <c r="K5643">
        <v>0.06</v>
      </c>
      <c r="L5643">
        <v>0.35</v>
      </c>
      <c r="M5643">
        <v>16.414999999999999</v>
      </c>
      <c r="N5643">
        <v>-16.067799999999998</v>
      </c>
      <c r="O5643" s="1" t="s">
        <v>64</v>
      </c>
      <c r="P5643" s="1" t="s">
        <v>11955</v>
      </c>
      <c r="Q5643" s="1" t="s">
        <v>11956</v>
      </c>
      <c r="R5643" s="1" t="s">
        <v>128</v>
      </c>
      <c r="S5643" s="1" t="s">
        <v>1686</v>
      </c>
      <c r="T5643" s="1" t="s">
        <v>1687</v>
      </c>
      <c r="U5643" s="2" t="s">
        <v>6993</v>
      </c>
      <c r="V5643" s="2" t="s">
        <v>47</v>
      </c>
      <c r="W5643" s="2" t="s">
        <v>111</v>
      </c>
      <c r="X5643" s="2">
        <v>13.09</v>
      </c>
    </row>
    <row r="5644" spans="1:24" x14ac:dyDescent="0.3">
      <c r="A5644">
        <v>23468</v>
      </c>
      <c r="B5644" t="s">
        <v>11957</v>
      </c>
      <c r="C5644" s="3">
        <v>40848</v>
      </c>
      <c r="D5644" t="s">
        <v>50</v>
      </c>
      <c r="E5644">
        <v>21</v>
      </c>
      <c r="F5644" s="3">
        <f ca="1">40850+(RANDBETWEEN(1,10))</f>
        <v>40851</v>
      </c>
      <c r="G5644" t="s">
        <v>26</v>
      </c>
      <c r="H5644" t="s">
        <v>27</v>
      </c>
      <c r="I5644" t="s">
        <v>86</v>
      </c>
      <c r="J5644">
        <v>447.79</v>
      </c>
      <c r="K5644">
        <v>0.03</v>
      </c>
      <c r="L5644">
        <v>0.39</v>
      </c>
      <c r="M5644">
        <v>5.2149999999999999</v>
      </c>
      <c r="N5644">
        <v>71.736000000000004</v>
      </c>
      <c r="O5644" s="1" t="s">
        <v>40</v>
      </c>
      <c r="P5644" s="1" t="s">
        <v>11958</v>
      </c>
      <c r="Q5644" s="1" t="s">
        <v>11959</v>
      </c>
      <c r="R5644" s="1" t="s">
        <v>220</v>
      </c>
      <c r="S5644" s="1" t="s">
        <v>11960</v>
      </c>
      <c r="T5644" s="1" t="s">
        <v>11961</v>
      </c>
      <c r="U5644" s="2" t="s">
        <v>1062</v>
      </c>
      <c r="V5644" s="2" t="s">
        <v>47</v>
      </c>
      <c r="W5644" s="2" t="s">
        <v>111</v>
      </c>
      <c r="X5644" s="2">
        <v>20.93</v>
      </c>
    </row>
    <row r="5645" spans="1:24" x14ac:dyDescent="0.3">
      <c r="A5645">
        <v>23469</v>
      </c>
      <c r="B5645" t="s">
        <v>11962</v>
      </c>
      <c r="C5645" s="3">
        <v>41721</v>
      </c>
      <c r="D5645" t="s">
        <v>25</v>
      </c>
      <c r="E5645">
        <v>3</v>
      </c>
      <c r="F5645" s="3">
        <f ca="1">41725+(RANDBETWEEN(1,10))</f>
        <v>41733</v>
      </c>
      <c r="G5645" t="s">
        <v>26</v>
      </c>
      <c r="H5645" t="s">
        <v>27</v>
      </c>
      <c r="I5645" t="s">
        <v>97</v>
      </c>
      <c r="J5645">
        <v>588.03499999999997</v>
      </c>
      <c r="K5645">
        <v>0.04</v>
      </c>
      <c r="L5645">
        <v>0.55000000000000004</v>
      </c>
      <c r="M5645">
        <v>8.75</v>
      </c>
      <c r="N5645">
        <v>69.992999999999995</v>
      </c>
      <c r="O5645" s="1" t="s">
        <v>53</v>
      </c>
      <c r="P5645" s="1" t="s">
        <v>7055</v>
      </c>
      <c r="Q5645" s="1" t="s">
        <v>7056</v>
      </c>
      <c r="R5645" s="1" t="s">
        <v>440</v>
      </c>
      <c r="S5645" s="1" t="s">
        <v>3015</v>
      </c>
      <c r="T5645" s="1" t="s">
        <v>3016</v>
      </c>
      <c r="U5645" s="2">
        <v>6000</v>
      </c>
      <c r="V5645" s="2" t="s">
        <v>36</v>
      </c>
      <c r="W5645" s="2" t="s">
        <v>37</v>
      </c>
      <c r="X5645" s="2">
        <v>230.965</v>
      </c>
    </row>
    <row r="5646" spans="1:24" x14ac:dyDescent="0.3">
      <c r="A5646">
        <v>23470</v>
      </c>
      <c r="B5646" t="s">
        <v>11963</v>
      </c>
      <c r="C5646" s="3">
        <v>40891</v>
      </c>
      <c r="D5646" t="s">
        <v>62</v>
      </c>
      <c r="E5646">
        <v>19</v>
      </c>
      <c r="F5646" s="3">
        <f ca="1">40891+(RANDBETWEEN(1,10))</f>
        <v>40893</v>
      </c>
      <c r="G5646" t="s">
        <v>26</v>
      </c>
      <c r="H5646" t="s">
        <v>27</v>
      </c>
      <c r="I5646" t="s">
        <v>52</v>
      </c>
      <c r="J5646">
        <v>3606.7849999999999</v>
      </c>
      <c r="K5646">
        <v>0.06</v>
      </c>
      <c r="L5646">
        <v>0.37</v>
      </c>
      <c r="M5646">
        <v>16.975000000000001</v>
      </c>
      <c r="N5646">
        <v>2488.68165</v>
      </c>
      <c r="O5646" s="1" t="s">
        <v>40</v>
      </c>
      <c r="P5646" s="1" t="s">
        <v>11964</v>
      </c>
      <c r="Q5646" s="1" t="s">
        <v>11965</v>
      </c>
      <c r="R5646" s="1" t="s">
        <v>43</v>
      </c>
      <c r="S5646" s="1" t="s">
        <v>576</v>
      </c>
      <c r="T5646" s="1" t="s">
        <v>577</v>
      </c>
      <c r="U5646" s="2" t="s">
        <v>8941</v>
      </c>
      <c r="V5646" s="2" t="s">
        <v>47</v>
      </c>
      <c r="W5646" s="2" t="s">
        <v>74</v>
      </c>
      <c r="X5646" s="2">
        <v>194.18</v>
      </c>
    </row>
    <row r="5647" spans="1:24" x14ac:dyDescent="0.3">
      <c r="A5647">
        <v>23471</v>
      </c>
      <c r="B5647" t="s">
        <v>11963</v>
      </c>
      <c r="C5647" s="3">
        <v>40891</v>
      </c>
      <c r="D5647" t="s">
        <v>62</v>
      </c>
      <c r="E5647">
        <v>17</v>
      </c>
      <c r="F5647" s="3">
        <f ca="1">40892+(RANDBETWEEN(1,10))</f>
        <v>40893</v>
      </c>
      <c r="G5647" t="s">
        <v>76</v>
      </c>
      <c r="H5647" t="s">
        <v>77</v>
      </c>
      <c r="I5647" t="s">
        <v>52</v>
      </c>
      <c r="J5647">
        <v>7094.1850000000004</v>
      </c>
      <c r="K5647">
        <v>0.1</v>
      </c>
      <c r="L5647">
        <v>0.74</v>
      </c>
      <c r="M5647">
        <v>245.7</v>
      </c>
      <c r="N5647">
        <v>-3148.8625000000002</v>
      </c>
      <c r="O5647" s="1" t="s">
        <v>40</v>
      </c>
      <c r="P5647" s="1" t="s">
        <v>11966</v>
      </c>
      <c r="Q5647" s="1" t="s">
        <v>11967</v>
      </c>
      <c r="R5647" s="1" t="s">
        <v>220</v>
      </c>
      <c r="S5647" s="1" t="s">
        <v>5440</v>
      </c>
      <c r="T5647" s="1" t="s">
        <v>5441</v>
      </c>
      <c r="U5647" s="2" t="s">
        <v>358</v>
      </c>
      <c r="V5647" s="2" t="s">
        <v>83</v>
      </c>
      <c r="W5647" s="2" t="s">
        <v>84</v>
      </c>
      <c r="X5647" s="2">
        <v>430.46499999999997</v>
      </c>
    </row>
    <row r="5648" spans="1:24" x14ac:dyDescent="0.3">
      <c r="A5648">
        <v>23472</v>
      </c>
      <c r="B5648" t="s">
        <v>11968</v>
      </c>
      <c r="C5648" s="3">
        <v>41868</v>
      </c>
      <c r="D5648" t="s">
        <v>39</v>
      </c>
      <c r="E5648">
        <v>24</v>
      </c>
      <c r="F5648" s="3">
        <f ca="1">41869+(RANDBETWEEN(1,10))</f>
        <v>41871</v>
      </c>
      <c r="G5648" t="s">
        <v>26</v>
      </c>
      <c r="H5648" t="s">
        <v>27</v>
      </c>
      <c r="I5648" t="s">
        <v>52</v>
      </c>
      <c r="J5648">
        <v>457.52</v>
      </c>
      <c r="K5648">
        <v>0.03</v>
      </c>
      <c r="L5648">
        <v>0.4</v>
      </c>
      <c r="M5648">
        <v>19.809999999999999</v>
      </c>
      <c r="N5648">
        <v>-177.84255999999999</v>
      </c>
      <c r="O5648" s="1" t="s">
        <v>87</v>
      </c>
      <c r="P5648" s="1" t="s">
        <v>5429</v>
      </c>
      <c r="Q5648" s="1" t="s">
        <v>5430</v>
      </c>
      <c r="R5648" s="1" t="s">
        <v>497</v>
      </c>
      <c r="S5648" s="1" t="s">
        <v>5431</v>
      </c>
      <c r="T5648" s="1" t="s">
        <v>5432</v>
      </c>
      <c r="U5648" s="2" t="s">
        <v>9988</v>
      </c>
      <c r="V5648" s="2" t="s">
        <v>47</v>
      </c>
      <c r="W5648" s="2" t="s">
        <v>74</v>
      </c>
      <c r="X5648" s="2">
        <v>18.48</v>
      </c>
    </row>
    <row r="5649" spans="1:24" x14ac:dyDescent="0.3">
      <c r="A5649">
        <v>23473</v>
      </c>
      <c r="B5649" t="s">
        <v>11968</v>
      </c>
      <c r="C5649" s="3">
        <v>41868</v>
      </c>
      <c r="D5649" t="s">
        <v>39</v>
      </c>
      <c r="E5649">
        <v>10</v>
      </c>
      <c r="F5649" s="3">
        <f ca="1">41869+(RANDBETWEEN(1,10))</f>
        <v>41873</v>
      </c>
      <c r="G5649" t="s">
        <v>76</v>
      </c>
      <c r="H5649" t="s">
        <v>258</v>
      </c>
      <c r="I5649" t="s">
        <v>52</v>
      </c>
      <c r="J5649">
        <v>10618.58</v>
      </c>
      <c r="K5649">
        <v>0.06</v>
      </c>
      <c r="L5649">
        <v>0.76</v>
      </c>
      <c r="M5649">
        <v>189.42</v>
      </c>
      <c r="N5649">
        <v>-145.50026399999999</v>
      </c>
      <c r="O5649" s="1" t="s">
        <v>87</v>
      </c>
      <c r="P5649" s="1" t="s">
        <v>5429</v>
      </c>
      <c r="Q5649" s="1" t="s">
        <v>5430</v>
      </c>
      <c r="R5649" s="1" t="s">
        <v>497</v>
      </c>
      <c r="S5649" s="1" t="s">
        <v>5431</v>
      </c>
      <c r="T5649" s="1" t="s">
        <v>5432</v>
      </c>
      <c r="U5649" s="2" t="s">
        <v>1007</v>
      </c>
      <c r="V5649" s="2" t="s">
        <v>83</v>
      </c>
      <c r="W5649" s="2" t="s">
        <v>263</v>
      </c>
      <c r="X5649" s="2">
        <v>1036.6300000000001</v>
      </c>
    </row>
    <row r="5650" spans="1:24" x14ac:dyDescent="0.3">
      <c r="A5650">
        <v>23474</v>
      </c>
      <c r="B5650" t="s">
        <v>11969</v>
      </c>
      <c r="C5650" s="3">
        <v>40762</v>
      </c>
      <c r="D5650" t="s">
        <v>39</v>
      </c>
      <c r="E5650">
        <v>12</v>
      </c>
      <c r="F5650" s="3">
        <f ca="1">40764+(RANDBETWEEN(1,10))</f>
        <v>40774</v>
      </c>
      <c r="G5650" t="s">
        <v>156</v>
      </c>
      <c r="H5650" t="s">
        <v>96</v>
      </c>
      <c r="I5650" t="s">
        <v>86</v>
      </c>
      <c r="J5650">
        <v>277.86500000000001</v>
      </c>
      <c r="K5650">
        <v>0.06</v>
      </c>
      <c r="L5650">
        <v>0.52</v>
      </c>
      <c r="M5650">
        <v>5.46</v>
      </c>
      <c r="N5650">
        <v>142.2946</v>
      </c>
      <c r="O5650" s="1" t="s">
        <v>64</v>
      </c>
      <c r="P5650" s="1" t="s">
        <v>11567</v>
      </c>
      <c r="Q5650" s="1" t="s">
        <v>11568</v>
      </c>
      <c r="R5650" s="1" t="s">
        <v>128</v>
      </c>
      <c r="S5650" s="1" t="s">
        <v>11569</v>
      </c>
      <c r="T5650" s="1" t="s">
        <v>11570</v>
      </c>
      <c r="U5650" s="2" t="s">
        <v>6290</v>
      </c>
      <c r="V5650" s="2" t="s">
        <v>47</v>
      </c>
      <c r="W5650" s="2" t="s">
        <v>104</v>
      </c>
      <c r="X5650" s="2">
        <v>23.45</v>
      </c>
    </row>
    <row r="5651" spans="1:24" x14ac:dyDescent="0.3">
      <c r="A5651">
        <v>23475</v>
      </c>
      <c r="B5651" t="s">
        <v>11970</v>
      </c>
      <c r="C5651" s="3">
        <v>41936</v>
      </c>
      <c r="D5651" t="s">
        <v>62</v>
      </c>
      <c r="E5651">
        <v>13</v>
      </c>
      <c r="F5651" s="3">
        <f ca="1">41937+(RANDBETWEEN(1,10))</f>
        <v>41947</v>
      </c>
      <c r="G5651" t="s">
        <v>26</v>
      </c>
      <c r="H5651" t="s">
        <v>27</v>
      </c>
      <c r="I5651" t="s">
        <v>52</v>
      </c>
      <c r="J5651">
        <v>689.60500000000002</v>
      </c>
      <c r="K5651">
        <v>0.02</v>
      </c>
      <c r="L5651">
        <v>0.38</v>
      </c>
      <c r="M5651">
        <v>25.094999999999999</v>
      </c>
      <c r="N5651">
        <v>99.602999999999994</v>
      </c>
      <c r="O5651" s="1" t="s">
        <v>87</v>
      </c>
      <c r="P5651" s="1" t="s">
        <v>7080</v>
      </c>
      <c r="Q5651" s="1" t="s">
        <v>7081</v>
      </c>
      <c r="R5651" s="1" t="s">
        <v>497</v>
      </c>
      <c r="S5651" s="1" t="s">
        <v>1105</v>
      </c>
      <c r="T5651" s="1" t="s">
        <v>1106</v>
      </c>
      <c r="U5651" s="2" t="s">
        <v>3914</v>
      </c>
      <c r="V5651" s="2" t="s">
        <v>47</v>
      </c>
      <c r="W5651" s="2" t="s">
        <v>111</v>
      </c>
      <c r="X5651" s="2">
        <v>50.575000000000003</v>
      </c>
    </row>
    <row r="5652" spans="1:24" x14ac:dyDescent="0.3">
      <c r="A5652">
        <v>23476</v>
      </c>
      <c r="B5652" t="s">
        <v>11971</v>
      </c>
      <c r="C5652" s="3">
        <v>40840</v>
      </c>
      <c r="D5652" t="s">
        <v>62</v>
      </c>
      <c r="E5652">
        <v>23</v>
      </c>
      <c r="F5652" s="3">
        <f ca="1">40842+(RANDBETWEEN(1,10))</f>
        <v>40847</v>
      </c>
      <c r="G5652" t="s">
        <v>26</v>
      </c>
      <c r="H5652" t="s">
        <v>96</v>
      </c>
      <c r="I5652" t="s">
        <v>52</v>
      </c>
      <c r="J5652">
        <v>425.11</v>
      </c>
      <c r="K5652">
        <v>7.0000000000000007E-2</v>
      </c>
      <c r="L5652">
        <v>0.46</v>
      </c>
      <c r="M5652">
        <v>6.9649999999999999</v>
      </c>
      <c r="N5652">
        <v>80.661000000000001</v>
      </c>
      <c r="O5652" s="1" t="s">
        <v>87</v>
      </c>
      <c r="P5652" s="1" t="s">
        <v>7080</v>
      </c>
      <c r="Q5652" s="1" t="s">
        <v>7081</v>
      </c>
      <c r="R5652" s="1" t="s">
        <v>497</v>
      </c>
      <c r="S5652" s="1" t="s">
        <v>1105</v>
      </c>
      <c r="T5652" s="1" t="s">
        <v>1106</v>
      </c>
      <c r="U5652" s="2" t="s">
        <v>1554</v>
      </c>
      <c r="V5652" s="2" t="s">
        <v>47</v>
      </c>
      <c r="W5652" s="2" t="s">
        <v>104</v>
      </c>
      <c r="X5652" s="2">
        <v>19.53</v>
      </c>
    </row>
    <row r="5653" spans="1:24" x14ac:dyDescent="0.3">
      <c r="A5653">
        <v>23477</v>
      </c>
      <c r="B5653" t="s">
        <v>11972</v>
      </c>
      <c r="C5653" s="3">
        <v>41940</v>
      </c>
      <c r="D5653" t="s">
        <v>25</v>
      </c>
      <c r="E5653">
        <v>24</v>
      </c>
      <c r="F5653" s="3">
        <f ca="1">41942+(RANDBETWEEN(1,10))</f>
        <v>41946</v>
      </c>
      <c r="G5653" t="s">
        <v>26</v>
      </c>
      <c r="H5653" t="s">
        <v>27</v>
      </c>
      <c r="I5653" t="s">
        <v>28</v>
      </c>
      <c r="J5653">
        <v>12680.254999999999</v>
      </c>
      <c r="K5653">
        <v>0.01</v>
      </c>
      <c r="L5653">
        <v>0.79</v>
      </c>
      <c r="M5653">
        <v>14</v>
      </c>
      <c r="N5653">
        <v>2131.15</v>
      </c>
      <c r="O5653" s="1" t="s">
        <v>40</v>
      </c>
      <c r="P5653" s="1" t="s">
        <v>11973</v>
      </c>
      <c r="Q5653" s="1" t="s">
        <v>11974</v>
      </c>
      <c r="R5653" s="1" t="s">
        <v>43</v>
      </c>
      <c r="S5653" s="1" t="s">
        <v>10631</v>
      </c>
      <c r="T5653" s="1" t="s">
        <v>10632</v>
      </c>
      <c r="U5653" s="2" t="s">
        <v>192</v>
      </c>
      <c r="V5653" s="2" t="s">
        <v>36</v>
      </c>
      <c r="W5653" s="2" t="s">
        <v>60</v>
      </c>
      <c r="X5653" s="2">
        <v>533.67999999999995</v>
      </c>
    </row>
    <row r="5654" spans="1:24" x14ac:dyDescent="0.3">
      <c r="A5654">
        <v>23478</v>
      </c>
      <c r="B5654" t="s">
        <v>11972</v>
      </c>
      <c r="C5654" s="3">
        <v>41940</v>
      </c>
      <c r="D5654" t="s">
        <v>25</v>
      </c>
      <c r="E5654">
        <v>14</v>
      </c>
      <c r="F5654" s="3">
        <f ca="1">41947+(RANDBETWEEN(1,10))</f>
        <v>41955</v>
      </c>
      <c r="G5654" t="s">
        <v>26</v>
      </c>
      <c r="H5654" t="s">
        <v>27</v>
      </c>
      <c r="I5654" t="s">
        <v>28</v>
      </c>
      <c r="J5654">
        <v>2855.125</v>
      </c>
      <c r="K5654">
        <v>0.02</v>
      </c>
      <c r="L5654">
        <v>0.56999999999999995</v>
      </c>
      <c r="M5654">
        <v>17.465</v>
      </c>
      <c r="N5654">
        <v>1085.6475</v>
      </c>
      <c r="O5654" s="1" t="s">
        <v>40</v>
      </c>
      <c r="P5654" s="1" t="s">
        <v>11975</v>
      </c>
      <c r="Q5654" s="1" t="s">
        <v>11976</v>
      </c>
      <c r="R5654" s="1" t="s">
        <v>43</v>
      </c>
      <c r="S5654" s="1" t="s">
        <v>2884</v>
      </c>
      <c r="T5654" s="1" t="s">
        <v>2885</v>
      </c>
      <c r="U5654" s="2" t="s">
        <v>5920</v>
      </c>
      <c r="V5654" s="2" t="s">
        <v>36</v>
      </c>
      <c r="W5654" s="2" t="s">
        <v>37</v>
      </c>
      <c r="X5654" s="2">
        <v>230.965</v>
      </c>
    </row>
    <row r="5655" spans="1:24" x14ac:dyDescent="0.3">
      <c r="A5655">
        <v>23479</v>
      </c>
      <c r="B5655" t="s">
        <v>11977</v>
      </c>
      <c r="C5655" s="3">
        <v>40792</v>
      </c>
      <c r="D5655" t="s">
        <v>50</v>
      </c>
      <c r="E5655">
        <v>3</v>
      </c>
      <c r="F5655" s="3">
        <f ca="1">40792+(RANDBETWEEN(1,10))</f>
        <v>40800</v>
      </c>
      <c r="G5655" t="s">
        <v>26</v>
      </c>
      <c r="H5655" t="s">
        <v>27</v>
      </c>
      <c r="I5655" t="s">
        <v>97</v>
      </c>
      <c r="J5655">
        <v>345.45</v>
      </c>
      <c r="K5655">
        <v>0.03</v>
      </c>
      <c r="L5655">
        <v>0.37</v>
      </c>
      <c r="M5655">
        <v>44.17</v>
      </c>
      <c r="N5655">
        <v>-15.0535</v>
      </c>
      <c r="O5655" s="1" t="s">
        <v>87</v>
      </c>
      <c r="P5655" s="1" t="s">
        <v>991</v>
      </c>
      <c r="Q5655" s="1" t="s">
        <v>992</v>
      </c>
      <c r="R5655" s="1" t="s">
        <v>90</v>
      </c>
      <c r="S5655" s="1" t="s">
        <v>993</v>
      </c>
      <c r="T5655" s="1" t="s">
        <v>994</v>
      </c>
      <c r="U5655" s="2" t="s">
        <v>4243</v>
      </c>
      <c r="V5655" s="2" t="s">
        <v>47</v>
      </c>
      <c r="W5655" s="2" t="s">
        <v>111</v>
      </c>
      <c r="X5655" s="2">
        <v>111.09</v>
      </c>
    </row>
    <row r="5656" spans="1:24" x14ac:dyDescent="0.3">
      <c r="A5656">
        <v>23480</v>
      </c>
      <c r="B5656" t="s">
        <v>11978</v>
      </c>
      <c r="C5656" s="3">
        <v>41789</v>
      </c>
      <c r="D5656" t="s">
        <v>148</v>
      </c>
      <c r="E5656">
        <v>14</v>
      </c>
      <c r="F5656" s="3">
        <f ca="1">41790+(RANDBETWEEN(1,10))</f>
        <v>41793</v>
      </c>
      <c r="G5656" t="s">
        <v>26</v>
      </c>
      <c r="H5656" t="s">
        <v>27</v>
      </c>
      <c r="I5656" t="s">
        <v>28</v>
      </c>
      <c r="J5656">
        <v>509.495</v>
      </c>
      <c r="K5656">
        <v>0.08</v>
      </c>
      <c r="L5656">
        <v>0.56999999999999995</v>
      </c>
      <c r="M5656">
        <v>18.059999999999999</v>
      </c>
      <c r="N5656">
        <v>-49.945</v>
      </c>
      <c r="O5656" s="1" t="s">
        <v>53</v>
      </c>
      <c r="P5656" s="1" t="s">
        <v>7131</v>
      </c>
      <c r="Q5656" s="1" t="s">
        <v>7132</v>
      </c>
      <c r="R5656" s="1" t="s">
        <v>100</v>
      </c>
      <c r="S5656" s="1" t="s">
        <v>4040</v>
      </c>
      <c r="T5656" s="1" t="s">
        <v>4041</v>
      </c>
      <c r="U5656" s="2" t="s">
        <v>1754</v>
      </c>
      <c r="V5656" s="2" t="s">
        <v>83</v>
      </c>
      <c r="W5656" s="2" t="s">
        <v>178</v>
      </c>
      <c r="X5656" s="2">
        <v>37.24</v>
      </c>
    </row>
    <row r="5657" spans="1:24" x14ac:dyDescent="0.3">
      <c r="A5657">
        <v>23481</v>
      </c>
      <c r="B5657" t="s">
        <v>11979</v>
      </c>
      <c r="C5657" s="3">
        <v>40803</v>
      </c>
      <c r="D5657" t="s">
        <v>148</v>
      </c>
      <c r="E5657">
        <v>5</v>
      </c>
      <c r="F5657" s="3">
        <f ca="1">40804+(RANDBETWEEN(1,10))</f>
        <v>40805</v>
      </c>
      <c r="G5657" t="s">
        <v>26</v>
      </c>
      <c r="H5657" t="s">
        <v>27</v>
      </c>
      <c r="I5657" t="s">
        <v>28</v>
      </c>
      <c r="J5657">
        <v>141.05000000000001</v>
      </c>
      <c r="K5657">
        <v>0.08</v>
      </c>
      <c r="L5657">
        <v>0.57999999999999996</v>
      </c>
      <c r="M5657">
        <v>32.305</v>
      </c>
      <c r="N5657">
        <v>-292.77499999999998</v>
      </c>
      <c r="O5657" s="1" t="s">
        <v>64</v>
      </c>
      <c r="P5657" s="1" t="s">
        <v>5774</v>
      </c>
      <c r="Q5657" s="1" t="s">
        <v>5775</v>
      </c>
      <c r="R5657" s="1" t="s">
        <v>67</v>
      </c>
      <c r="S5657" s="1" t="s">
        <v>5776</v>
      </c>
      <c r="T5657" s="1" t="s">
        <v>5777</v>
      </c>
      <c r="U5657" s="2" t="s">
        <v>4333</v>
      </c>
      <c r="V5657" s="2" t="s">
        <v>47</v>
      </c>
      <c r="W5657" s="2" t="s">
        <v>71</v>
      </c>
      <c r="X5657" s="2">
        <v>27.195</v>
      </c>
    </row>
    <row r="5658" spans="1:24" x14ac:dyDescent="0.3">
      <c r="A5658">
        <v>23482</v>
      </c>
      <c r="B5658" t="s">
        <v>11979</v>
      </c>
      <c r="C5658" s="3">
        <v>40803</v>
      </c>
      <c r="D5658" t="s">
        <v>148</v>
      </c>
      <c r="E5658">
        <v>15</v>
      </c>
      <c r="F5658" s="3">
        <f ca="1">40805+(RANDBETWEEN(1,10))</f>
        <v>40813</v>
      </c>
      <c r="G5658" t="s">
        <v>26</v>
      </c>
      <c r="H5658" t="s">
        <v>96</v>
      </c>
      <c r="I5658" t="s">
        <v>28</v>
      </c>
      <c r="J5658">
        <v>391.58</v>
      </c>
      <c r="K5658">
        <v>7.0000000000000007E-2</v>
      </c>
      <c r="L5658">
        <v>0.42</v>
      </c>
      <c r="M5658">
        <v>14</v>
      </c>
      <c r="N5658">
        <v>85.364999999999995</v>
      </c>
      <c r="O5658" s="1" t="s">
        <v>64</v>
      </c>
      <c r="P5658" s="1" t="s">
        <v>5774</v>
      </c>
      <c r="Q5658" s="1" t="s">
        <v>5775</v>
      </c>
      <c r="R5658" s="1" t="s">
        <v>67</v>
      </c>
      <c r="S5658" s="1" t="s">
        <v>5776</v>
      </c>
      <c r="T5658" s="1" t="s">
        <v>5777</v>
      </c>
      <c r="U5658" s="2" t="s">
        <v>2801</v>
      </c>
      <c r="V5658" s="2" t="s">
        <v>83</v>
      </c>
      <c r="W5658" s="2" t="s">
        <v>178</v>
      </c>
      <c r="X5658" s="2">
        <v>26.565000000000001</v>
      </c>
    </row>
    <row r="5659" spans="1:24" x14ac:dyDescent="0.3">
      <c r="A5659">
        <v>23483</v>
      </c>
      <c r="B5659" t="s">
        <v>11980</v>
      </c>
      <c r="C5659" s="3">
        <v>41234</v>
      </c>
      <c r="D5659" t="s">
        <v>25</v>
      </c>
      <c r="E5659">
        <v>9</v>
      </c>
      <c r="F5659" s="3">
        <f ca="1">41241+(RANDBETWEEN(1,10))</f>
        <v>41249</v>
      </c>
      <c r="G5659" t="s">
        <v>26</v>
      </c>
      <c r="H5659" t="s">
        <v>27</v>
      </c>
      <c r="I5659" t="s">
        <v>52</v>
      </c>
      <c r="J5659">
        <v>1770.3</v>
      </c>
      <c r="K5659">
        <v>0.02</v>
      </c>
      <c r="L5659">
        <v>0.57999999999999996</v>
      </c>
      <c r="M5659">
        <v>30.8</v>
      </c>
      <c r="N5659">
        <v>92.769599999999997</v>
      </c>
      <c r="O5659" s="1" t="s">
        <v>87</v>
      </c>
      <c r="P5659" s="1" t="s">
        <v>10249</v>
      </c>
      <c r="Q5659" s="1" t="s">
        <v>10250</v>
      </c>
      <c r="R5659" s="1" t="s">
        <v>90</v>
      </c>
      <c r="S5659" s="1" t="s">
        <v>10251</v>
      </c>
      <c r="T5659" s="1" t="s">
        <v>10252</v>
      </c>
      <c r="U5659" s="2">
        <v>6120</v>
      </c>
      <c r="V5659" s="2" t="s">
        <v>36</v>
      </c>
      <c r="W5659" s="2" t="s">
        <v>37</v>
      </c>
      <c r="X5659" s="2">
        <v>230.965</v>
      </c>
    </row>
    <row r="5660" spans="1:24" x14ac:dyDescent="0.3">
      <c r="A5660">
        <v>23484</v>
      </c>
      <c r="B5660" t="s">
        <v>11981</v>
      </c>
      <c r="C5660" s="3">
        <v>41019</v>
      </c>
      <c r="D5660" t="s">
        <v>148</v>
      </c>
      <c r="E5660">
        <v>4</v>
      </c>
      <c r="F5660" s="3">
        <f ca="1">41020+(RANDBETWEEN(1,10))</f>
        <v>41025</v>
      </c>
      <c r="G5660" t="s">
        <v>26</v>
      </c>
      <c r="H5660" t="s">
        <v>27</v>
      </c>
      <c r="I5660" t="s">
        <v>86</v>
      </c>
      <c r="J5660">
        <v>1542.7650000000001</v>
      </c>
      <c r="K5660">
        <v>0.02</v>
      </c>
      <c r="L5660">
        <v>0.56999999999999995</v>
      </c>
      <c r="M5660">
        <v>28.28</v>
      </c>
      <c r="N5660">
        <v>679.73850000000004</v>
      </c>
      <c r="O5660" s="1" t="s">
        <v>53</v>
      </c>
      <c r="P5660" s="1" t="s">
        <v>11406</v>
      </c>
      <c r="Q5660" s="1" t="s">
        <v>11407</v>
      </c>
      <c r="R5660" s="1" t="s">
        <v>100</v>
      </c>
      <c r="S5660" s="1" t="s">
        <v>11408</v>
      </c>
      <c r="T5660" s="1" t="s">
        <v>11409</v>
      </c>
      <c r="U5660" s="2" t="s">
        <v>1547</v>
      </c>
      <c r="V5660" s="2" t="s">
        <v>36</v>
      </c>
      <c r="W5660" s="2" t="s">
        <v>37</v>
      </c>
      <c r="X5660" s="2">
        <v>440.96499999999997</v>
      </c>
    </row>
    <row r="5661" spans="1:24" x14ac:dyDescent="0.3">
      <c r="A5661">
        <v>23485</v>
      </c>
      <c r="B5661" t="s">
        <v>11981</v>
      </c>
      <c r="C5661" s="3">
        <v>41019</v>
      </c>
      <c r="D5661" t="s">
        <v>148</v>
      </c>
      <c r="E5661">
        <v>12</v>
      </c>
      <c r="F5661" s="3">
        <f ca="1">41020+(RANDBETWEEN(1,10))</f>
        <v>41027</v>
      </c>
      <c r="G5661" t="s">
        <v>76</v>
      </c>
      <c r="H5661" t="s">
        <v>77</v>
      </c>
      <c r="I5661" t="s">
        <v>86</v>
      </c>
      <c r="J5661">
        <v>22497.195</v>
      </c>
      <c r="K5661">
        <v>0.01</v>
      </c>
      <c r="L5661">
        <v>0.6</v>
      </c>
      <c r="M5661">
        <v>91</v>
      </c>
      <c r="N5661">
        <v>15523.064549999999</v>
      </c>
      <c r="O5661" s="1" t="s">
        <v>87</v>
      </c>
      <c r="P5661" s="1" t="s">
        <v>11982</v>
      </c>
      <c r="Q5661" s="1" t="s">
        <v>11983</v>
      </c>
      <c r="R5661" s="1" t="s">
        <v>497</v>
      </c>
      <c r="S5661" s="1" t="s">
        <v>5554</v>
      </c>
      <c r="T5661" s="1" t="s">
        <v>5555</v>
      </c>
      <c r="U5661" s="2" t="s">
        <v>1670</v>
      </c>
      <c r="V5661" s="2" t="s">
        <v>83</v>
      </c>
      <c r="W5661" s="2" t="s">
        <v>84</v>
      </c>
      <c r="X5661" s="2">
        <v>1753.43</v>
      </c>
    </row>
    <row r="5662" spans="1:24" x14ac:dyDescent="0.3">
      <c r="A5662">
        <v>23486</v>
      </c>
      <c r="B5662" t="s">
        <v>11981</v>
      </c>
      <c r="C5662" s="3">
        <v>41019</v>
      </c>
      <c r="D5662" t="s">
        <v>148</v>
      </c>
      <c r="E5662">
        <v>8</v>
      </c>
      <c r="F5662" s="3">
        <f ca="1">41021+(RANDBETWEEN(1,10))</f>
        <v>41022</v>
      </c>
      <c r="G5662" t="s">
        <v>26</v>
      </c>
      <c r="H5662" t="s">
        <v>96</v>
      </c>
      <c r="I5662" t="s">
        <v>86</v>
      </c>
      <c r="J5662">
        <v>806.15499999999997</v>
      </c>
      <c r="K5662">
        <v>0.09</v>
      </c>
      <c r="L5662">
        <v>0.38</v>
      </c>
      <c r="M5662">
        <v>17.010000000000002</v>
      </c>
      <c r="N5662">
        <v>556.24694999999997</v>
      </c>
      <c r="O5662" s="1" t="s">
        <v>87</v>
      </c>
      <c r="P5662" s="1" t="s">
        <v>11982</v>
      </c>
      <c r="Q5662" s="1" t="s">
        <v>11983</v>
      </c>
      <c r="R5662" s="1" t="s">
        <v>497</v>
      </c>
      <c r="S5662" s="1" t="s">
        <v>5554</v>
      </c>
      <c r="T5662" s="1" t="s">
        <v>5555</v>
      </c>
      <c r="U5662" s="2" t="s">
        <v>8213</v>
      </c>
      <c r="V5662" s="2" t="s">
        <v>47</v>
      </c>
      <c r="W5662" s="2" t="s">
        <v>74</v>
      </c>
      <c r="X5662" s="2">
        <v>101.99</v>
      </c>
    </row>
    <row r="5663" spans="1:24" x14ac:dyDescent="0.3">
      <c r="A5663">
        <v>23487</v>
      </c>
      <c r="B5663" t="s">
        <v>11984</v>
      </c>
      <c r="C5663" s="3">
        <v>40876</v>
      </c>
      <c r="D5663" t="s">
        <v>62</v>
      </c>
      <c r="E5663">
        <v>17</v>
      </c>
      <c r="F5663" s="3">
        <f ca="1">40878+(RANDBETWEEN(1,10))</f>
        <v>40884</v>
      </c>
      <c r="G5663" t="s">
        <v>26</v>
      </c>
      <c r="H5663" t="s">
        <v>27</v>
      </c>
      <c r="I5663" t="s">
        <v>97</v>
      </c>
      <c r="J5663">
        <v>914.69</v>
      </c>
      <c r="K5663">
        <v>0.02</v>
      </c>
      <c r="L5663">
        <v>0.48</v>
      </c>
      <c r="M5663">
        <v>25.9</v>
      </c>
      <c r="N5663">
        <v>37.807000000000002</v>
      </c>
      <c r="O5663" s="1" t="s">
        <v>40</v>
      </c>
      <c r="P5663" s="1" t="s">
        <v>6729</v>
      </c>
      <c r="Q5663" s="1" t="s">
        <v>6730</v>
      </c>
      <c r="R5663" s="1" t="s">
        <v>43</v>
      </c>
      <c r="S5663" s="1" t="s">
        <v>6731</v>
      </c>
      <c r="T5663" s="1" t="s">
        <v>6732</v>
      </c>
      <c r="U5663" s="2" t="s">
        <v>1025</v>
      </c>
      <c r="V5663" s="2" t="s">
        <v>83</v>
      </c>
      <c r="W5663" s="2" t="s">
        <v>178</v>
      </c>
      <c r="X5663" s="2">
        <v>51.03</v>
      </c>
    </row>
    <row r="5664" spans="1:24" x14ac:dyDescent="0.3">
      <c r="A5664">
        <v>23488</v>
      </c>
      <c r="B5664" t="s">
        <v>11985</v>
      </c>
      <c r="C5664" s="3">
        <v>41430</v>
      </c>
      <c r="D5664" t="s">
        <v>50</v>
      </c>
      <c r="E5664">
        <v>4</v>
      </c>
      <c r="F5664" s="3">
        <f ca="1">41431+(RANDBETWEEN(1,10))</f>
        <v>41432</v>
      </c>
      <c r="G5664" t="s">
        <v>26</v>
      </c>
      <c r="H5664" t="s">
        <v>27</v>
      </c>
      <c r="I5664" t="s">
        <v>97</v>
      </c>
      <c r="J5664">
        <v>2168.88</v>
      </c>
      <c r="K5664">
        <v>0.03</v>
      </c>
      <c r="L5664">
        <v>0.59</v>
      </c>
      <c r="M5664">
        <v>24.745000000000001</v>
      </c>
      <c r="N5664">
        <v>828.072</v>
      </c>
      <c r="O5664" s="1" t="s">
        <v>225</v>
      </c>
      <c r="P5664" s="1" t="s">
        <v>5630</v>
      </c>
      <c r="Q5664" s="1" t="s">
        <v>5631</v>
      </c>
      <c r="R5664" s="1" t="s">
        <v>391</v>
      </c>
      <c r="S5664" s="1" t="s">
        <v>5632</v>
      </c>
      <c r="T5664" s="1" t="s">
        <v>5633</v>
      </c>
      <c r="U5664" s="2" t="s">
        <v>3378</v>
      </c>
      <c r="V5664" s="2" t="s">
        <v>47</v>
      </c>
      <c r="W5664" s="2" t="s">
        <v>119</v>
      </c>
      <c r="X5664" s="2">
        <v>542.71</v>
      </c>
    </row>
    <row r="5665" spans="1:24" x14ac:dyDescent="0.3">
      <c r="A5665">
        <v>23489</v>
      </c>
      <c r="B5665" t="s">
        <v>11985</v>
      </c>
      <c r="C5665" s="3">
        <v>41430</v>
      </c>
      <c r="D5665" t="s">
        <v>50</v>
      </c>
      <c r="E5665">
        <v>18</v>
      </c>
      <c r="F5665" s="3">
        <f ca="1">41431+(RANDBETWEEN(1,10))</f>
        <v>41437</v>
      </c>
      <c r="G5665" t="s">
        <v>156</v>
      </c>
      <c r="H5665" t="s">
        <v>281</v>
      </c>
      <c r="I5665" t="s">
        <v>97</v>
      </c>
      <c r="J5665">
        <v>9825.48</v>
      </c>
      <c r="K5665">
        <v>0.05</v>
      </c>
      <c r="L5665">
        <v>0.56999999999999995</v>
      </c>
      <c r="M5665">
        <v>48.965000000000003</v>
      </c>
      <c r="N5665">
        <v>6779.5811999999996</v>
      </c>
      <c r="O5665" s="1" t="s">
        <v>225</v>
      </c>
      <c r="P5665" s="1" t="s">
        <v>5630</v>
      </c>
      <c r="Q5665" s="1" t="s">
        <v>5631</v>
      </c>
      <c r="R5665" s="1" t="s">
        <v>391</v>
      </c>
      <c r="S5665" s="1" t="s">
        <v>5632</v>
      </c>
      <c r="T5665" s="1" t="s">
        <v>5633</v>
      </c>
      <c r="U5665" s="2" t="s">
        <v>649</v>
      </c>
      <c r="V5665" s="2" t="s">
        <v>36</v>
      </c>
      <c r="W5665" s="2" t="s">
        <v>37</v>
      </c>
      <c r="X5665" s="2">
        <v>629.96500000000003</v>
      </c>
    </row>
    <row r="5666" spans="1:24" x14ac:dyDescent="0.3">
      <c r="A5666">
        <v>23490</v>
      </c>
      <c r="B5666" t="s">
        <v>11986</v>
      </c>
      <c r="C5666" s="3">
        <v>41457</v>
      </c>
      <c r="D5666" t="s">
        <v>50</v>
      </c>
      <c r="E5666">
        <v>8</v>
      </c>
      <c r="F5666" s="3">
        <f ca="1">41458+(RANDBETWEEN(1,10))</f>
        <v>41465</v>
      </c>
      <c r="G5666" t="s">
        <v>26</v>
      </c>
      <c r="H5666" t="s">
        <v>27</v>
      </c>
      <c r="I5666" t="s">
        <v>86</v>
      </c>
      <c r="J5666">
        <v>127.435</v>
      </c>
      <c r="K5666">
        <v>0.02</v>
      </c>
      <c r="L5666">
        <v>0.37</v>
      </c>
      <c r="M5666">
        <v>21.734999999999999</v>
      </c>
      <c r="N5666">
        <v>609.41999999999996</v>
      </c>
      <c r="O5666" s="1" t="s">
        <v>29</v>
      </c>
      <c r="P5666" s="1" t="s">
        <v>11949</v>
      </c>
      <c r="Q5666" s="1" t="s">
        <v>11950</v>
      </c>
      <c r="R5666" s="1" t="s">
        <v>32</v>
      </c>
      <c r="S5666" s="1" t="s">
        <v>11951</v>
      </c>
      <c r="T5666" s="1" t="s">
        <v>11952</v>
      </c>
      <c r="U5666" s="2" t="s">
        <v>11987</v>
      </c>
      <c r="V5666" s="2" t="s">
        <v>47</v>
      </c>
      <c r="W5666" s="2" t="s">
        <v>111</v>
      </c>
      <c r="X5666" s="2">
        <v>15.33</v>
      </c>
    </row>
    <row r="5667" spans="1:24" x14ac:dyDescent="0.3">
      <c r="A5667">
        <v>23491</v>
      </c>
      <c r="B5667" t="s">
        <v>11986</v>
      </c>
      <c r="C5667" s="3">
        <v>41457</v>
      </c>
      <c r="D5667" t="s">
        <v>50</v>
      </c>
      <c r="E5667">
        <v>13</v>
      </c>
      <c r="F5667" s="3">
        <f ca="1">41458+(RANDBETWEEN(1,10))</f>
        <v>41461</v>
      </c>
      <c r="G5667" t="s">
        <v>26</v>
      </c>
      <c r="H5667" t="s">
        <v>96</v>
      </c>
      <c r="I5667" t="s">
        <v>86</v>
      </c>
      <c r="J5667">
        <v>86.344999999999999</v>
      </c>
      <c r="K5667">
        <v>0.08</v>
      </c>
      <c r="L5667">
        <v>0.83</v>
      </c>
      <c r="M5667">
        <v>2.66</v>
      </c>
      <c r="N5667">
        <v>932.71500000000003</v>
      </c>
      <c r="O5667" s="1" t="s">
        <v>29</v>
      </c>
      <c r="P5667" s="1" t="s">
        <v>11949</v>
      </c>
      <c r="Q5667" s="1" t="s">
        <v>11950</v>
      </c>
      <c r="R5667" s="1" t="s">
        <v>32</v>
      </c>
      <c r="S5667" s="1" t="s">
        <v>11951</v>
      </c>
      <c r="T5667" s="1" t="s">
        <v>11952</v>
      </c>
      <c r="U5667" s="2" t="s">
        <v>4457</v>
      </c>
      <c r="V5667" s="2" t="s">
        <v>47</v>
      </c>
      <c r="W5667" s="2" t="s">
        <v>176</v>
      </c>
      <c r="X5667" s="2">
        <v>6.6150000000000002</v>
      </c>
    </row>
    <row r="5668" spans="1:24" x14ac:dyDescent="0.3">
      <c r="A5668">
        <v>23492</v>
      </c>
      <c r="B5668" t="s">
        <v>11986</v>
      </c>
      <c r="C5668" s="3">
        <v>41457</v>
      </c>
      <c r="D5668" t="s">
        <v>50</v>
      </c>
      <c r="E5668">
        <v>10</v>
      </c>
      <c r="F5668" s="3">
        <f ca="1">41460+(RANDBETWEEN(1,10))</f>
        <v>41469</v>
      </c>
      <c r="G5668" t="s">
        <v>26</v>
      </c>
      <c r="H5668" t="s">
        <v>51</v>
      </c>
      <c r="I5668" t="s">
        <v>86</v>
      </c>
      <c r="J5668">
        <v>336.52499999999998</v>
      </c>
      <c r="K5668">
        <v>0.03</v>
      </c>
      <c r="L5668">
        <v>0.56000000000000005</v>
      </c>
      <c r="M5668">
        <v>13.93</v>
      </c>
      <c r="N5668">
        <v>-958.29300000000001</v>
      </c>
      <c r="O5668" s="1" t="s">
        <v>29</v>
      </c>
      <c r="P5668" s="1" t="s">
        <v>11949</v>
      </c>
      <c r="Q5668" s="1" t="s">
        <v>11950</v>
      </c>
      <c r="R5668" s="1" t="s">
        <v>32</v>
      </c>
      <c r="S5668" s="1" t="s">
        <v>11951</v>
      </c>
      <c r="T5668" s="1" t="s">
        <v>11952</v>
      </c>
      <c r="U5668" s="2" t="s">
        <v>93</v>
      </c>
      <c r="V5668" s="2" t="s">
        <v>47</v>
      </c>
      <c r="W5668" s="2" t="s">
        <v>94</v>
      </c>
      <c r="X5668" s="2">
        <v>32.585000000000001</v>
      </c>
    </row>
    <row r="5669" spans="1:24" x14ac:dyDescent="0.3">
      <c r="A5669">
        <v>23493</v>
      </c>
      <c r="B5669" t="s">
        <v>11988</v>
      </c>
      <c r="C5669" s="3">
        <v>41268</v>
      </c>
      <c r="D5669" t="s">
        <v>62</v>
      </c>
      <c r="E5669">
        <v>21</v>
      </c>
      <c r="F5669" s="3">
        <f ca="1">41270+(RANDBETWEEN(1,10))</f>
        <v>41276</v>
      </c>
      <c r="G5669" t="s">
        <v>26</v>
      </c>
      <c r="H5669" t="s">
        <v>27</v>
      </c>
      <c r="I5669" t="s">
        <v>28</v>
      </c>
      <c r="J5669">
        <v>1509.55</v>
      </c>
      <c r="K5669">
        <v>0.03</v>
      </c>
      <c r="L5669">
        <v>0.37</v>
      </c>
      <c r="M5669">
        <v>30.38</v>
      </c>
      <c r="N5669">
        <v>868.66499999999996</v>
      </c>
      <c r="O5669" s="1" t="s">
        <v>29</v>
      </c>
      <c r="P5669" s="1" t="s">
        <v>11989</v>
      </c>
      <c r="Q5669" s="1" t="s">
        <v>11990</v>
      </c>
      <c r="R5669" s="1" t="s">
        <v>460</v>
      </c>
      <c r="S5669" s="1" t="s">
        <v>8605</v>
      </c>
      <c r="T5669" s="1" t="s">
        <v>8606</v>
      </c>
      <c r="U5669" s="2" t="s">
        <v>3983</v>
      </c>
      <c r="V5669" s="2" t="s">
        <v>47</v>
      </c>
      <c r="W5669" s="2" t="s">
        <v>74</v>
      </c>
      <c r="X5669" s="2">
        <v>69.930000000000007</v>
      </c>
    </row>
    <row r="5670" spans="1:24" x14ac:dyDescent="0.3">
      <c r="A5670">
        <v>23494</v>
      </c>
      <c r="B5670" t="s">
        <v>11991</v>
      </c>
      <c r="C5670" s="3">
        <v>41998</v>
      </c>
      <c r="D5670" t="s">
        <v>62</v>
      </c>
      <c r="E5670">
        <v>8</v>
      </c>
      <c r="F5670" s="3">
        <f ca="1">41999+(RANDBETWEEN(1,10))</f>
        <v>42005</v>
      </c>
      <c r="G5670" t="s">
        <v>76</v>
      </c>
      <c r="H5670" t="s">
        <v>77</v>
      </c>
      <c r="I5670" t="s">
        <v>28</v>
      </c>
      <c r="J5670">
        <v>11924.395</v>
      </c>
      <c r="K5670">
        <v>0.09</v>
      </c>
      <c r="L5670">
        <v>0.38</v>
      </c>
      <c r="M5670">
        <v>171.5</v>
      </c>
      <c r="N5670">
        <v>2086.0985599999999</v>
      </c>
      <c r="O5670" s="1" t="s">
        <v>40</v>
      </c>
      <c r="P5670" s="1" t="s">
        <v>11992</v>
      </c>
      <c r="Q5670" s="1" t="s">
        <v>11993</v>
      </c>
      <c r="R5670" s="1" t="s">
        <v>220</v>
      </c>
      <c r="S5670" s="1" t="s">
        <v>6255</v>
      </c>
      <c r="T5670" s="1" t="s">
        <v>6256</v>
      </c>
      <c r="U5670" s="2" t="s">
        <v>1480</v>
      </c>
      <c r="V5670" s="2" t="s">
        <v>36</v>
      </c>
      <c r="W5670" s="2" t="s">
        <v>1327</v>
      </c>
      <c r="X5670" s="2">
        <v>1574.9649999999999</v>
      </c>
    </row>
    <row r="5671" spans="1:24" x14ac:dyDescent="0.3">
      <c r="A5671">
        <v>23495</v>
      </c>
      <c r="B5671" t="s">
        <v>11994</v>
      </c>
      <c r="C5671" s="3">
        <v>40758</v>
      </c>
      <c r="D5671" t="s">
        <v>25</v>
      </c>
      <c r="E5671">
        <v>11</v>
      </c>
      <c r="F5671" s="3">
        <f ca="1">40760+(RANDBETWEEN(1,10))</f>
        <v>40761</v>
      </c>
      <c r="G5671" t="s">
        <v>76</v>
      </c>
      <c r="H5671" t="s">
        <v>77</v>
      </c>
      <c r="I5671" t="s">
        <v>86</v>
      </c>
      <c r="J5671">
        <v>7294.56</v>
      </c>
      <c r="K5671">
        <v>0</v>
      </c>
      <c r="L5671">
        <v>0.69</v>
      </c>
      <c r="M5671">
        <v>105</v>
      </c>
      <c r="N5671">
        <v>32.213999999999999</v>
      </c>
      <c r="O5671" s="1" t="s">
        <v>87</v>
      </c>
      <c r="P5671" s="1" t="s">
        <v>9678</v>
      </c>
      <c r="Q5671" s="1" t="s">
        <v>9679</v>
      </c>
      <c r="R5671" s="1" t="s">
        <v>398</v>
      </c>
      <c r="S5671" s="1" t="s">
        <v>9680</v>
      </c>
      <c r="T5671" s="1" t="s">
        <v>9681</v>
      </c>
      <c r="U5671" s="2" t="s">
        <v>5090</v>
      </c>
      <c r="V5671" s="2" t="s">
        <v>83</v>
      </c>
      <c r="W5671" s="2" t="s">
        <v>84</v>
      </c>
      <c r="X5671" s="2">
        <v>633.42999999999995</v>
      </c>
    </row>
    <row r="5672" spans="1:24" x14ac:dyDescent="0.3">
      <c r="A5672">
        <v>23496</v>
      </c>
      <c r="B5672" t="s">
        <v>11995</v>
      </c>
      <c r="C5672" s="3">
        <v>40965</v>
      </c>
      <c r="D5672" t="s">
        <v>25</v>
      </c>
      <c r="E5672">
        <v>12</v>
      </c>
      <c r="F5672" s="3">
        <f ca="1">40965+(RANDBETWEEN(1,10))</f>
        <v>40975</v>
      </c>
      <c r="G5672" t="s">
        <v>76</v>
      </c>
      <c r="H5672" t="s">
        <v>77</v>
      </c>
      <c r="I5672" t="s">
        <v>28</v>
      </c>
      <c r="J5672">
        <v>2935.73</v>
      </c>
      <c r="K5672">
        <v>7.0000000000000007E-2</v>
      </c>
      <c r="L5672">
        <v>0.6</v>
      </c>
      <c r="M5672">
        <v>209.33500000000001</v>
      </c>
      <c r="N5672">
        <v>-7157.7730000000001</v>
      </c>
      <c r="O5672" s="1" t="s">
        <v>225</v>
      </c>
      <c r="P5672" s="1" t="s">
        <v>11539</v>
      </c>
      <c r="Q5672" s="1" t="s">
        <v>11540</v>
      </c>
      <c r="R5672" s="1" t="s">
        <v>228</v>
      </c>
      <c r="S5672" s="1" t="s">
        <v>807</v>
      </c>
      <c r="T5672" s="1" t="s">
        <v>808</v>
      </c>
      <c r="U5672" s="2" t="s">
        <v>11996</v>
      </c>
      <c r="V5672" s="2" t="s">
        <v>83</v>
      </c>
      <c r="W5672" s="2" t="s">
        <v>84</v>
      </c>
      <c r="X5672" s="2">
        <v>248.43</v>
      </c>
    </row>
    <row r="5673" spans="1:24" x14ac:dyDescent="0.3">
      <c r="A5673">
        <v>23497</v>
      </c>
      <c r="B5673" t="s">
        <v>11995</v>
      </c>
      <c r="C5673" s="3">
        <v>40965</v>
      </c>
      <c r="D5673" t="s">
        <v>25</v>
      </c>
      <c r="E5673">
        <v>9</v>
      </c>
      <c r="F5673" s="3">
        <f ca="1">40971+(RANDBETWEEN(1,10))</f>
        <v>40972</v>
      </c>
      <c r="G5673" t="s">
        <v>26</v>
      </c>
      <c r="H5673" t="s">
        <v>27</v>
      </c>
      <c r="I5673" t="s">
        <v>28</v>
      </c>
      <c r="J5673">
        <v>2653.91</v>
      </c>
      <c r="K5673">
        <v>0.06</v>
      </c>
      <c r="L5673">
        <v>0.44</v>
      </c>
      <c r="M5673">
        <v>19.25</v>
      </c>
      <c r="N5673">
        <v>-1206.9680000000001</v>
      </c>
      <c r="O5673" s="1" t="s">
        <v>225</v>
      </c>
      <c r="P5673" s="1" t="s">
        <v>11539</v>
      </c>
      <c r="Q5673" s="1" t="s">
        <v>11540</v>
      </c>
      <c r="R5673" s="1" t="s">
        <v>228</v>
      </c>
      <c r="S5673" s="1" t="s">
        <v>807</v>
      </c>
      <c r="T5673" s="1" t="s">
        <v>808</v>
      </c>
      <c r="U5673" s="2" t="s">
        <v>3335</v>
      </c>
      <c r="V5673" s="2" t="s">
        <v>36</v>
      </c>
      <c r="W5673" s="2" t="s">
        <v>60</v>
      </c>
      <c r="X5673" s="2">
        <v>290.46499999999997</v>
      </c>
    </row>
    <row r="5674" spans="1:24" x14ac:dyDescent="0.3">
      <c r="A5674">
        <v>23498</v>
      </c>
      <c r="B5674" t="s">
        <v>11995</v>
      </c>
      <c r="C5674" s="3">
        <v>40965</v>
      </c>
      <c r="D5674" t="s">
        <v>25</v>
      </c>
      <c r="E5674">
        <v>8</v>
      </c>
      <c r="F5674" s="3">
        <f ca="1">40971+(RANDBETWEEN(1,10))</f>
        <v>40974</v>
      </c>
      <c r="G5674" t="s">
        <v>26</v>
      </c>
      <c r="H5674" t="s">
        <v>96</v>
      </c>
      <c r="I5674" t="s">
        <v>28</v>
      </c>
      <c r="J5674">
        <v>59.255000000000003</v>
      </c>
      <c r="K5674">
        <v>0.02</v>
      </c>
      <c r="L5674">
        <v>0.46</v>
      </c>
      <c r="M5674">
        <v>5.7050000000000001</v>
      </c>
      <c r="N5674">
        <v>4008.9630000000002</v>
      </c>
      <c r="O5674" s="1" t="s">
        <v>225</v>
      </c>
      <c r="P5674" s="1" t="s">
        <v>11539</v>
      </c>
      <c r="Q5674" s="1" t="s">
        <v>11540</v>
      </c>
      <c r="R5674" s="1" t="s">
        <v>228</v>
      </c>
      <c r="S5674" s="1" t="s">
        <v>807</v>
      </c>
      <c r="T5674" s="1" t="s">
        <v>808</v>
      </c>
      <c r="U5674" s="2" t="s">
        <v>3593</v>
      </c>
      <c r="V5674" s="2" t="s">
        <v>47</v>
      </c>
      <c r="W5674" s="2" t="s">
        <v>104</v>
      </c>
      <c r="X5674" s="2">
        <v>6.8250000000000002</v>
      </c>
    </row>
    <row r="5675" spans="1:24" x14ac:dyDescent="0.3">
      <c r="A5675">
        <v>23499</v>
      </c>
      <c r="B5675" t="s">
        <v>11997</v>
      </c>
      <c r="C5675" s="3">
        <v>40741</v>
      </c>
      <c r="D5675" t="s">
        <v>50</v>
      </c>
      <c r="E5675">
        <v>13</v>
      </c>
      <c r="F5675" s="3">
        <f ca="1">40742+(RANDBETWEEN(1,10))</f>
        <v>40751</v>
      </c>
      <c r="G5675" t="s">
        <v>26</v>
      </c>
      <c r="H5675" t="s">
        <v>51</v>
      </c>
      <c r="I5675" t="s">
        <v>28</v>
      </c>
      <c r="J5675">
        <v>1179.22</v>
      </c>
      <c r="K5675">
        <v>0.09</v>
      </c>
      <c r="L5675">
        <v>0.4</v>
      </c>
      <c r="M5675">
        <v>6.9649999999999999</v>
      </c>
      <c r="N5675">
        <v>-4377.6109999999999</v>
      </c>
      <c r="O5675" s="1" t="s">
        <v>64</v>
      </c>
      <c r="P5675" s="1" t="s">
        <v>9074</v>
      </c>
      <c r="Q5675" s="1" t="s">
        <v>9075</v>
      </c>
      <c r="R5675" s="1" t="s">
        <v>67</v>
      </c>
      <c r="S5675" s="1" t="s">
        <v>411</v>
      </c>
      <c r="T5675" s="1" t="s">
        <v>412</v>
      </c>
      <c r="U5675" s="2" t="s">
        <v>1109</v>
      </c>
      <c r="V5675" s="2" t="s">
        <v>36</v>
      </c>
      <c r="W5675" s="2" t="s">
        <v>60</v>
      </c>
      <c r="X5675" s="2">
        <v>99.68</v>
      </c>
    </row>
    <row r="5676" spans="1:24" x14ac:dyDescent="0.3">
      <c r="A5676">
        <v>23500</v>
      </c>
      <c r="B5676" t="s">
        <v>11998</v>
      </c>
      <c r="C5676" s="3">
        <v>41392</v>
      </c>
      <c r="D5676" t="s">
        <v>50</v>
      </c>
      <c r="E5676">
        <v>8</v>
      </c>
      <c r="F5676" s="3">
        <f ca="1">41394+(RANDBETWEEN(1,10))</f>
        <v>41401</v>
      </c>
      <c r="G5676" t="s">
        <v>76</v>
      </c>
      <c r="H5676" t="s">
        <v>77</v>
      </c>
      <c r="I5676" t="s">
        <v>28</v>
      </c>
      <c r="J5676">
        <v>3582.7750000000001</v>
      </c>
      <c r="K5676">
        <v>0</v>
      </c>
      <c r="L5676">
        <v>0.74</v>
      </c>
      <c r="M5676">
        <v>245.7</v>
      </c>
      <c r="N5676">
        <v>-1409.338</v>
      </c>
      <c r="O5676" s="1" t="s">
        <v>87</v>
      </c>
      <c r="P5676" s="1" t="s">
        <v>6417</v>
      </c>
      <c r="Q5676" s="1" t="s">
        <v>6418</v>
      </c>
      <c r="R5676" s="1" t="s">
        <v>90</v>
      </c>
      <c r="S5676" s="1" t="s">
        <v>6419</v>
      </c>
      <c r="T5676" s="1" t="s">
        <v>6420</v>
      </c>
      <c r="U5676" s="2" t="s">
        <v>358</v>
      </c>
      <c r="V5676" s="2" t="s">
        <v>83</v>
      </c>
      <c r="W5676" s="2" t="s">
        <v>84</v>
      </c>
      <c r="X5676" s="2">
        <v>430.46499999999997</v>
      </c>
    </row>
    <row r="5677" spans="1:24" x14ac:dyDescent="0.3">
      <c r="A5677">
        <v>23501</v>
      </c>
      <c r="B5677" t="s">
        <v>11999</v>
      </c>
      <c r="C5677" s="3">
        <v>41979</v>
      </c>
      <c r="D5677" t="s">
        <v>148</v>
      </c>
      <c r="E5677">
        <v>7</v>
      </c>
      <c r="F5677" s="3">
        <f ca="1">41979+(RANDBETWEEN(1,10))</f>
        <v>41988</v>
      </c>
      <c r="G5677" t="s">
        <v>76</v>
      </c>
      <c r="H5677" t="s">
        <v>258</v>
      </c>
      <c r="I5677" t="s">
        <v>28</v>
      </c>
      <c r="J5677">
        <v>9868.11</v>
      </c>
      <c r="K5677">
        <v>0.05</v>
      </c>
      <c r="L5677">
        <v>0.56000000000000005</v>
      </c>
      <c r="M5677">
        <v>42.21</v>
      </c>
      <c r="N5677">
        <v>3305.6441599999998</v>
      </c>
      <c r="O5677" s="1" t="s">
        <v>87</v>
      </c>
      <c r="P5677" s="1" t="s">
        <v>11915</v>
      </c>
      <c r="Q5677" s="1" t="s">
        <v>11916</v>
      </c>
      <c r="R5677" s="1" t="s">
        <v>90</v>
      </c>
      <c r="S5677" s="1" t="s">
        <v>11917</v>
      </c>
      <c r="T5677" s="1" t="s">
        <v>11918</v>
      </c>
      <c r="U5677" s="2" t="s">
        <v>1633</v>
      </c>
      <c r="V5677" s="2" t="s">
        <v>36</v>
      </c>
      <c r="W5677" s="2" t="s">
        <v>142</v>
      </c>
      <c r="X5677" s="2">
        <v>1399.93</v>
      </c>
    </row>
    <row r="5678" spans="1:24" x14ac:dyDescent="0.3">
      <c r="A5678">
        <v>23502</v>
      </c>
      <c r="B5678" t="s">
        <v>12000</v>
      </c>
      <c r="C5678" s="3">
        <v>40883</v>
      </c>
      <c r="D5678" t="s">
        <v>148</v>
      </c>
      <c r="E5678">
        <v>5</v>
      </c>
      <c r="F5678" s="3">
        <f ca="1">40883+(RANDBETWEEN(1,10))</f>
        <v>40889</v>
      </c>
      <c r="G5678" t="s">
        <v>26</v>
      </c>
      <c r="H5678" t="s">
        <v>27</v>
      </c>
      <c r="I5678" t="s">
        <v>28</v>
      </c>
      <c r="J5678">
        <v>117.77500000000001</v>
      </c>
      <c r="K5678">
        <v>7.0000000000000007E-2</v>
      </c>
      <c r="L5678">
        <v>0.37</v>
      </c>
      <c r="M5678">
        <v>20.09</v>
      </c>
      <c r="N5678">
        <v>-49.787500000000001</v>
      </c>
      <c r="O5678" s="1" t="s">
        <v>87</v>
      </c>
      <c r="P5678" s="1" t="s">
        <v>11915</v>
      </c>
      <c r="Q5678" s="1" t="s">
        <v>11916</v>
      </c>
      <c r="R5678" s="1" t="s">
        <v>90</v>
      </c>
      <c r="S5678" s="1" t="s">
        <v>11917</v>
      </c>
      <c r="T5678" s="1" t="s">
        <v>11918</v>
      </c>
      <c r="U5678" s="2" t="s">
        <v>5165</v>
      </c>
      <c r="V5678" s="2" t="s">
        <v>47</v>
      </c>
      <c r="W5678" s="2" t="s">
        <v>74</v>
      </c>
      <c r="X5678" s="2">
        <v>22.68</v>
      </c>
    </row>
    <row r="5679" spans="1:24" x14ac:dyDescent="0.3">
      <c r="A5679">
        <v>23503</v>
      </c>
      <c r="B5679" t="s">
        <v>12001</v>
      </c>
      <c r="C5679" s="3">
        <v>40684</v>
      </c>
      <c r="D5679" t="s">
        <v>62</v>
      </c>
      <c r="E5679">
        <v>9</v>
      </c>
      <c r="F5679" s="3">
        <f ca="1">40685+(RANDBETWEEN(1,10))</f>
        <v>40692</v>
      </c>
      <c r="G5679" t="s">
        <v>26</v>
      </c>
      <c r="H5679" t="s">
        <v>51</v>
      </c>
      <c r="I5679" t="s">
        <v>28</v>
      </c>
      <c r="J5679">
        <v>1459.325</v>
      </c>
      <c r="K5679">
        <v>0.03</v>
      </c>
      <c r="L5679">
        <v>0.83</v>
      </c>
      <c r="M5679">
        <v>17.5</v>
      </c>
      <c r="N5679">
        <v>-774.38900000000001</v>
      </c>
      <c r="O5679" s="1" t="s">
        <v>53</v>
      </c>
      <c r="P5679" s="1" t="s">
        <v>12002</v>
      </c>
      <c r="Q5679" s="1" t="s">
        <v>12003</v>
      </c>
      <c r="R5679" s="1" t="s">
        <v>100</v>
      </c>
      <c r="S5679" s="1" t="s">
        <v>7941</v>
      </c>
      <c r="T5679" s="1" t="s">
        <v>7942</v>
      </c>
      <c r="U5679" s="2" t="s">
        <v>4376</v>
      </c>
      <c r="V5679" s="2" t="s">
        <v>36</v>
      </c>
      <c r="W5679" s="2" t="s">
        <v>37</v>
      </c>
      <c r="X5679" s="2">
        <v>195.965</v>
      </c>
    </row>
    <row r="5680" spans="1:24" x14ac:dyDescent="0.3">
      <c r="A5680">
        <v>23504</v>
      </c>
      <c r="B5680" t="s">
        <v>12001</v>
      </c>
      <c r="C5680" s="3">
        <v>40684</v>
      </c>
      <c r="D5680" t="s">
        <v>62</v>
      </c>
      <c r="E5680">
        <v>3</v>
      </c>
      <c r="F5680" s="3">
        <f ca="1">40685+(RANDBETWEEN(1,10))</f>
        <v>40686</v>
      </c>
      <c r="G5680" t="s">
        <v>156</v>
      </c>
      <c r="H5680" t="s">
        <v>96</v>
      </c>
      <c r="I5680" t="s">
        <v>28</v>
      </c>
      <c r="J5680">
        <v>29.05</v>
      </c>
      <c r="K5680">
        <v>0.04</v>
      </c>
      <c r="L5680">
        <v>0.83</v>
      </c>
      <c r="M5680">
        <v>2.4500000000000002</v>
      </c>
      <c r="N5680">
        <v>-3.5</v>
      </c>
      <c r="O5680" s="1" t="s">
        <v>53</v>
      </c>
      <c r="P5680" s="1" t="s">
        <v>12004</v>
      </c>
      <c r="Q5680" s="1" t="s">
        <v>12005</v>
      </c>
      <c r="R5680" s="1" t="s">
        <v>56</v>
      </c>
      <c r="S5680" s="1" t="s">
        <v>10039</v>
      </c>
      <c r="T5680" s="1" t="s">
        <v>10040</v>
      </c>
      <c r="U5680" s="2" t="s">
        <v>3928</v>
      </c>
      <c r="V5680" s="2" t="s">
        <v>47</v>
      </c>
      <c r="W5680" s="2" t="s">
        <v>176</v>
      </c>
      <c r="X5680" s="2">
        <v>6.93</v>
      </c>
    </row>
    <row r="5681" spans="1:24" x14ac:dyDescent="0.3">
      <c r="A5681">
        <v>23505</v>
      </c>
      <c r="B5681" t="s">
        <v>12006</v>
      </c>
      <c r="C5681" s="3">
        <v>41573</v>
      </c>
      <c r="D5681" t="s">
        <v>62</v>
      </c>
      <c r="E5681">
        <v>23</v>
      </c>
      <c r="F5681" s="3">
        <f ca="1">41573+(RANDBETWEEN(1,10))</f>
        <v>41579</v>
      </c>
      <c r="G5681" t="s">
        <v>156</v>
      </c>
      <c r="H5681" t="s">
        <v>27</v>
      </c>
      <c r="I5681" t="s">
        <v>28</v>
      </c>
      <c r="J5681">
        <v>715.995</v>
      </c>
      <c r="K5681">
        <v>0</v>
      </c>
      <c r="L5681">
        <v>0.49</v>
      </c>
      <c r="M5681">
        <v>27.86</v>
      </c>
      <c r="N5681">
        <v>-599.43240000000003</v>
      </c>
      <c r="O5681" s="1" t="s">
        <v>64</v>
      </c>
      <c r="P5681" s="1" t="s">
        <v>12007</v>
      </c>
      <c r="Q5681" s="1" t="s">
        <v>12008</v>
      </c>
      <c r="R5681" s="1" t="s">
        <v>128</v>
      </c>
      <c r="S5681" s="1" t="s">
        <v>12009</v>
      </c>
      <c r="T5681" s="1" t="s">
        <v>12010</v>
      </c>
      <c r="U5681" s="2" t="s">
        <v>3533</v>
      </c>
      <c r="V5681" s="2" t="s">
        <v>83</v>
      </c>
      <c r="W5681" s="2" t="s">
        <v>178</v>
      </c>
      <c r="X5681" s="2">
        <v>28.315000000000001</v>
      </c>
    </row>
    <row r="5682" spans="1:24" x14ac:dyDescent="0.3">
      <c r="A5682">
        <v>23506</v>
      </c>
      <c r="B5682" t="s">
        <v>12006</v>
      </c>
      <c r="C5682" s="3">
        <v>41573</v>
      </c>
      <c r="D5682" t="s">
        <v>62</v>
      </c>
      <c r="E5682">
        <v>11</v>
      </c>
      <c r="F5682" s="3">
        <f ca="1">41575+(RANDBETWEEN(1,10))</f>
        <v>41581</v>
      </c>
      <c r="G5682" t="s">
        <v>26</v>
      </c>
      <c r="H5682" t="s">
        <v>96</v>
      </c>
      <c r="I5682" t="s">
        <v>28</v>
      </c>
      <c r="J5682">
        <v>563.88499999999999</v>
      </c>
      <c r="K5682">
        <v>0.06</v>
      </c>
      <c r="L5682">
        <v>0.46</v>
      </c>
      <c r="M5682">
        <v>18.55</v>
      </c>
      <c r="N5682">
        <v>116.9504</v>
      </c>
      <c r="O5682" s="1" t="s">
        <v>64</v>
      </c>
      <c r="P5682" s="1" t="s">
        <v>12007</v>
      </c>
      <c r="Q5682" s="1" t="s">
        <v>12008</v>
      </c>
      <c r="R5682" s="1" t="s">
        <v>128</v>
      </c>
      <c r="S5682" s="1" t="s">
        <v>12009</v>
      </c>
      <c r="T5682" s="1" t="s">
        <v>12010</v>
      </c>
      <c r="U5682" s="2" t="s">
        <v>2729</v>
      </c>
      <c r="V5682" s="2" t="s">
        <v>83</v>
      </c>
      <c r="W5682" s="2" t="s">
        <v>178</v>
      </c>
      <c r="X5682" s="2">
        <v>49.7</v>
      </c>
    </row>
    <row r="5683" spans="1:24" x14ac:dyDescent="0.3">
      <c r="A5683">
        <v>23507</v>
      </c>
      <c r="B5683" t="s">
        <v>12011</v>
      </c>
      <c r="C5683" s="3">
        <v>41265</v>
      </c>
      <c r="D5683" t="s">
        <v>50</v>
      </c>
      <c r="E5683">
        <v>6</v>
      </c>
      <c r="F5683" s="3">
        <f ca="1">41266+(RANDBETWEEN(1,10))</f>
        <v>41270</v>
      </c>
      <c r="G5683" t="s">
        <v>26</v>
      </c>
      <c r="H5683" t="s">
        <v>27</v>
      </c>
      <c r="I5683" t="s">
        <v>97</v>
      </c>
      <c r="J5683">
        <v>76.194999999999993</v>
      </c>
      <c r="K5683">
        <v>0.09</v>
      </c>
      <c r="L5683">
        <v>0.38</v>
      </c>
      <c r="M5683">
        <v>1.75</v>
      </c>
      <c r="N5683">
        <v>10149.867</v>
      </c>
      <c r="O5683" s="1" t="s">
        <v>87</v>
      </c>
      <c r="P5683" s="1" t="s">
        <v>2075</v>
      </c>
      <c r="Q5683" s="1" t="s">
        <v>2076</v>
      </c>
      <c r="R5683" s="1" t="s">
        <v>398</v>
      </c>
      <c r="S5683" s="1" t="s">
        <v>2077</v>
      </c>
      <c r="T5683" s="1" t="s">
        <v>2078</v>
      </c>
      <c r="U5683" s="2" t="s">
        <v>702</v>
      </c>
      <c r="V5683" s="2" t="s">
        <v>47</v>
      </c>
      <c r="W5683" s="2" t="s">
        <v>203</v>
      </c>
      <c r="X5683" s="2">
        <v>12.914999999999999</v>
      </c>
    </row>
    <row r="5684" spans="1:24" x14ac:dyDescent="0.3">
      <c r="A5684">
        <v>23508</v>
      </c>
      <c r="B5684" t="s">
        <v>12011</v>
      </c>
      <c r="C5684" s="3">
        <v>41265</v>
      </c>
      <c r="D5684" t="s">
        <v>50</v>
      </c>
      <c r="E5684">
        <v>17</v>
      </c>
      <c r="F5684" s="3">
        <f ca="1">41266+(RANDBETWEEN(1,10))</f>
        <v>41268</v>
      </c>
      <c r="G5684" t="s">
        <v>156</v>
      </c>
      <c r="H5684" t="s">
        <v>63</v>
      </c>
      <c r="I5684" t="s">
        <v>97</v>
      </c>
      <c r="J5684">
        <v>1207.5</v>
      </c>
      <c r="K5684">
        <v>7.0000000000000007E-2</v>
      </c>
      <c r="L5684">
        <v>0.84</v>
      </c>
      <c r="M5684">
        <v>122.5</v>
      </c>
      <c r="N5684">
        <v>-313.84500000000003</v>
      </c>
      <c r="O5684" s="1" t="s">
        <v>87</v>
      </c>
      <c r="P5684" s="1" t="s">
        <v>12012</v>
      </c>
      <c r="Q5684" s="1" t="s">
        <v>12013</v>
      </c>
      <c r="R5684" s="1" t="s">
        <v>646</v>
      </c>
      <c r="S5684" s="1" t="s">
        <v>12014</v>
      </c>
      <c r="T5684" s="1" t="s">
        <v>12015</v>
      </c>
      <c r="U5684" s="2" t="s">
        <v>2742</v>
      </c>
      <c r="V5684" s="2" t="s">
        <v>47</v>
      </c>
      <c r="W5684" s="2" t="s">
        <v>119</v>
      </c>
      <c r="X5684" s="2">
        <v>71.19</v>
      </c>
    </row>
    <row r="5685" spans="1:24" x14ac:dyDescent="0.3">
      <c r="A5685">
        <v>23509</v>
      </c>
      <c r="B5685" t="s">
        <v>12016</v>
      </c>
      <c r="C5685" s="3">
        <v>40596</v>
      </c>
      <c r="D5685" t="s">
        <v>39</v>
      </c>
      <c r="E5685">
        <v>13</v>
      </c>
      <c r="F5685" s="3">
        <f ca="1">40597+(RANDBETWEEN(1,10))</f>
        <v>40603</v>
      </c>
      <c r="G5685" t="s">
        <v>26</v>
      </c>
      <c r="H5685" t="s">
        <v>27</v>
      </c>
      <c r="I5685" t="s">
        <v>28</v>
      </c>
      <c r="J5685">
        <v>1486.38</v>
      </c>
      <c r="K5685">
        <v>0.08</v>
      </c>
      <c r="L5685">
        <v>0.59</v>
      </c>
      <c r="M5685">
        <v>27.055</v>
      </c>
      <c r="N5685">
        <v>506.41500000000002</v>
      </c>
      <c r="O5685" s="1" t="s">
        <v>29</v>
      </c>
      <c r="P5685" s="1" t="s">
        <v>4731</v>
      </c>
      <c r="Q5685" s="1" t="s">
        <v>4732</v>
      </c>
      <c r="R5685" s="1" t="s">
        <v>32</v>
      </c>
      <c r="S5685" s="1" t="s">
        <v>4733</v>
      </c>
      <c r="T5685" s="1" t="s">
        <v>4734</v>
      </c>
      <c r="U5685" s="2" t="s">
        <v>9353</v>
      </c>
      <c r="V5685" s="2" t="s">
        <v>47</v>
      </c>
      <c r="W5685" s="2" t="s">
        <v>104</v>
      </c>
      <c r="X5685" s="2">
        <v>122.465</v>
      </c>
    </row>
    <row r="5686" spans="1:24" x14ac:dyDescent="0.3">
      <c r="A5686">
        <v>23510</v>
      </c>
      <c r="B5686" t="s">
        <v>12017</v>
      </c>
      <c r="C5686" s="3">
        <v>41689</v>
      </c>
      <c r="D5686" t="s">
        <v>50</v>
      </c>
      <c r="E5686">
        <v>13</v>
      </c>
      <c r="F5686" s="3">
        <f ca="1">41690+(RANDBETWEEN(1,10))</f>
        <v>41699</v>
      </c>
      <c r="G5686" t="s">
        <v>26</v>
      </c>
      <c r="H5686" t="s">
        <v>27</v>
      </c>
      <c r="I5686" t="s">
        <v>28</v>
      </c>
      <c r="J5686">
        <v>466.23500000000001</v>
      </c>
      <c r="K5686">
        <v>0.01</v>
      </c>
      <c r="L5686">
        <v>0.37</v>
      </c>
      <c r="M5686">
        <v>3.4649999999999999</v>
      </c>
      <c r="N5686">
        <v>321.70215000000002</v>
      </c>
      <c r="O5686" s="1" t="s">
        <v>87</v>
      </c>
      <c r="P5686" s="1" t="s">
        <v>10169</v>
      </c>
      <c r="Q5686" s="1" t="s">
        <v>10170</v>
      </c>
      <c r="R5686" s="1" t="s">
        <v>497</v>
      </c>
      <c r="S5686" s="1" t="s">
        <v>5554</v>
      </c>
      <c r="T5686" s="1" t="s">
        <v>5555</v>
      </c>
      <c r="U5686" s="2" t="s">
        <v>4343</v>
      </c>
      <c r="V5686" s="2" t="s">
        <v>47</v>
      </c>
      <c r="W5686" s="2" t="s">
        <v>203</v>
      </c>
      <c r="X5686" s="2">
        <v>36.225000000000001</v>
      </c>
    </row>
    <row r="5687" spans="1:24" x14ac:dyDescent="0.3">
      <c r="A5687">
        <v>23511</v>
      </c>
      <c r="B5687" t="s">
        <v>12018</v>
      </c>
      <c r="C5687" s="3">
        <v>40888</v>
      </c>
      <c r="D5687" t="s">
        <v>62</v>
      </c>
      <c r="E5687">
        <v>19</v>
      </c>
      <c r="F5687" s="3">
        <f ca="1">40889+(RANDBETWEEN(1,10))</f>
        <v>40892</v>
      </c>
      <c r="G5687" t="s">
        <v>26</v>
      </c>
      <c r="H5687" t="s">
        <v>27</v>
      </c>
      <c r="I5687" t="s">
        <v>28</v>
      </c>
      <c r="J5687">
        <v>361.13</v>
      </c>
      <c r="K5687">
        <v>0.02</v>
      </c>
      <c r="L5687">
        <v>0.4</v>
      </c>
      <c r="M5687">
        <v>21.91</v>
      </c>
      <c r="N5687">
        <v>-229.53</v>
      </c>
      <c r="O5687" s="1" t="s">
        <v>53</v>
      </c>
      <c r="P5687" s="1" t="s">
        <v>7538</v>
      </c>
      <c r="Q5687" s="1" t="s">
        <v>7539</v>
      </c>
      <c r="R5687" s="1" t="s">
        <v>440</v>
      </c>
      <c r="S5687" s="1" t="s">
        <v>7540</v>
      </c>
      <c r="T5687" s="1" t="s">
        <v>7541</v>
      </c>
      <c r="U5687" s="2" t="s">
        <v>817</v>
      </c>
      <c r="V5687" s="2" t="s">
        <v>47</v>
      </c>
      <c r="W5687" s="2" t="s">
        <v>74</v>
      </c>
      <c r="X5687" s="2">
        <v>18.48</v>
      </c>
    </row>
    <row r="5688" spans="1:24" x14ac:dyDescent="0.3">
      <c r="A5688">
        <v>23512</v>
      </c>
      <c r="B5688" t="s">
        <v>12019</v>
      </c>
      <c r="C5688" s="3">
        <v>40717</v>
      </c>
      <c r="D5688" t="s">
        <v>25</v>
      </c>
      <c r="E5688">
        <v>4</v>
      </c>
      <c r="F5688" s="3">
        <f ca="1">40717+(RANDBETWEEN(1,10))</f>
        <v>40722</v>
      </c>
      <c r="G5688" t="s">
        <v>26</v>
      </c>
      <c r="H5688" t="s">
        <v>96</v>
      </c>
      <c r="I5688" t="s">
        <v>28</v>
      </c>
      <c r="J5688">
        <v>51.66</v>
      </c>
      <c r="K5688">
        <v>7.0000000000000007E-2</v>
      </c>
      <c r="L5688">
        <v>0.56000000000000005</v>
      </c>
      <c r="M5688">
        <v>13.895</v>
      </c>
      <c r="N5688">
        <v>-77.616</v>
      </c>
      <c r="O5688" s="1" t="s">
        <v>87</v>
      </c>
      <c r="P5688" s="1" t="s">
        <v>5255</v>
      </c>
      <c r="Q5688" s="1" t="s">
        <v>5256</v>
      </c>
      <c r="R5688" s="1" t="s">
        <v>90</v>
      </c>
      <c r="S5688" s="1" t="s">
        <v>5257</v>
      </c>
      <c r="T5688" s="1" t="s">
        <v>5258</v>
      </c>
      <c r="U5688" s="2" t="s">
        <v>4166</v>
      </c>
      <c r="V5688" s="2" t="s">
        <v>47</v>
      </c>
      <c r="W5688" s="2" t="s">
        <v>104</v>
      </c>
      <c r="X5688" s="2">
        <v>11.48</v>
      </c>
    </row>
    <row r="5689" spans="1:24" x14ac:dyDescent="0.3">
      <c r="A5689">
        <v>23513</v>
      </c>
      <c r="B5689" t="s">
        <v>12019</v>
      </c>
      <c r="C5689" s="3">
        <v>40717</v>
      </c>
      <c r="D5689" t="s">
        <v>25</v>
      </c>
      <c r="E5689">
        <v>3</v>
      </c>
      <c r="F5689" s="3">
        <f ca="1">40724+(RANDBETWEEN(1,10))</f>
        <v>40725</v>
      </c>
      <c r="G5689" t="s">
        <v>26</v>
      </c>
      <c r="H5689" t="s">
        <v>27</v>
      </c>
      <c r="I5689" t="s">
        <v>28</v>
      </c>
      <c r="J5689">
        <v>2829.54</v>
      </c>
      <c r="K5689">
        <v>0.02</v>
      </c>
      <c r="L5689">
        <v>0.51</v>
      </c>
      <c r="M5689">
        <v>39.375</v>
      </c>
      <c r="N5689">
        <v>-749.36400000000003</v>
      </c>
      <c r="O5689" s="1" t="s">
        <v>40</v>
      </c>
      <c r="P5689" s="1" t="s">
        <v>12020</v>
      </c>
      <c r="Q5689" s="1" t="s">
        <v>12021</v>
      </c>
      <c r="R5689" s="1" t="s">
        <v>220</v>
      </c>
      <c r="S5689" s="1" t="s">
        <v>4765</v>
      </c>
      <c r="T5689" s="1" t="s">
        <v>4766</v>
      </c>
      <c r="U5689" s="2" t="s">
        <v>8299</v>
      </c>
      <c r="V5689" s="2" t="s">
        <v>36</v>
      </c>
      <c r="W5689" s="2" t="s">
        <v>60</v>
      </c>
      <c r="X5689" s="2">
        <v>899.46500000000003</v>
      </c>
    </row>
    <row r="5690" spans="1:24" x14ac:dyDescent="0.3">
      <c r="A5690">
        <v>23514</v>
      </c>
      <c r="B5690" t="s">
        <v>12019</v>
      </c>
      <c r="C5690" s="3">
        <v>40717</v>
      </c>
      <c r="D5690" t="s">
        <v>25</v>
      </c>
      <c r="E5690">
        <v>10</v>
      </c>
      <c r="F5690" s="3">
        <f ca="1">40719+(RANDBETWEEN(1,10))</f>
        <v>40728</v>
      </c>
      <c r="G5690" t="s">
        <v>26</v>
      </c>
      <c r="H5690" t="s">
        <v>27</v>
      </c>
      <c r="I5690" t="s">
        <v>28</v>
      </c>
      <c r="J5690">
        <v>235.935</v>
      </c>
      <c r="K5690">
        <v>0.01</v>
      </c>
      <c r="L5690">
        <v>0.37</v>
      </c>
      <c r="M5690">
        <v>17.989999999999998</v>
      </c>
      <c r="N5690">
        <v>-94.275999999999996</v>
      </c>
      <c r="O5690" s="1" t="s">
        <v>40</v>
      </c>
      <c r="P5690" s="1" t="s">
        <v>12020</v>
      </c>
      <c r="Q5690" s="1" t="s">
        <v>12021</v>
      </c>
      <c r="R5690" s="1" t="s">
        <v>220</v>
      </c>
      <c r="S5690" s="1" t="s">
        <v>4765</v>
      </c>
      <c r="T5690" s="1" t="s">
        <v>4766</v>
      </c>
      <c r="U5690" s="2" t="s">
        <v>146</v>
      </c>
      <c r="V5690" s="2" t="s">
        <v>47</v>
      </c>
      <c r="W5690" s="2" t="s">
        <v>74</v>
      </c>
      <c r="X5690" s="2">
        <v>22.68</v>
      </c>
    </row>
    <row r="5691" spans="1:24" x14ac:dyDescent="0.3">
      <c r="A5691">
        <v>23515</v>
      </c>
      <c r="B5691" t="s">
        <v>12022</v>
      </c>
      <c r="C5691" s="3">
        <v>41524</v>
      </c>
      <c r="D5691" t="s">
        <v>39</v>
      </c>
      <c r="E5691">
        <v>22</v>
      </c>
      <c r="F5691" s="3">
        <f ca="1">41524+(RANDBETWEEN(1,10))</f>
        <v>41529</v>
      </c>
      <c r="G5691" t="s">
        <v>26</v>
      </c>
      <c r="H5691" t="s">
        <v>27</v>
      </c>
      <c r="I5691" t="s">
        <v>86</v>
      </c>
      <c r="J5691">
        <v>126.56</v>
      </c>
      <c r="K5691">
        <v>0.09</v>
      </c>
      <c r="L5691">
        <v>0.37</v>
      </c>
      <c r="M5691">
        <v>18.48</v>
      </c>
      <c r="N5691">
        <v>-788.37675000000002</v>
      </c>
      <c r="O5691" s="1" t="s">
        <v>64</v>
      </c>
      <c r="P5691" s="1" t="s">
        <v>12023</v>
      </c>
      <c r="Q5691" s="1" t="s">
        <v>12024</v>
      </c>
      <c r="R5691" s="1" t="s">
        <v>67</v>
      </c>
      <c r="S5691" s="1" t="s">
        <v>4816</v>
      </c>
      <c r="T5691" s="1" t="s">
        <v>4817</v>
      </c>
      <c r="U5691" s="2" t="s">
        <v>12025</v>
      </c>
      <c r="V5691" s="2" t="s">
        <v>47</v>
      </c>
      <c r="W5691" s="2" t="s">
        <v>111</v>
      </c>
      <c r="X5691" s="2">
        <v>5.88</v>
      </c>
    </row>
    <row r="5692" spans="1:24" x14ac:dyDescent="0.3">
      <c r="A5692">
        <v>23516</v>
      </c>
      <c r="B5692" t="s">
        <v>12026</v>
      </c>
      <c r="C5692" s="3">
        <v>40944</v>
      </c>
      <c r="D5692" t="s">
        <v>148</v>
      </c>
      <c r="E5692">
        <v>4</v>
      </c>
      <c r="F5692" s="3">
        <f ca="1">40944+(RANDBETWEEN(1,10))</f>
        <v>40952</v>
      </c>
      <c r="G5692" t="s">
        <v>26</v>
      </c>
      <c r="H5692" t="s">
        <v>63</v>
      </c>
      <c r="I5692" t="s">
        <v>97</v>
      </c>
      <c r="J5692">
        <v>2595.0749999999998</v>
      </c>
      <c r="K5692">
        <v>0.1</v>
      </c>
      <c r="L5692">
        <v>0.59</v>
      </c>
      <c r="M5692">
        <v>40.39</v>
      </c>
      <c r="N5692">
        <v>1790.60175</v>
      </c>
      <c r="O5692" s="1" t="s">
        <v>29</v>
      </c>
      <c r="P5692" s="1" t="s">
        <v>11772</v>
      </c>
      <c r="Q5692" s="1" t="s">
        <v>11773</v>
      </c>
      <c r="R5692" s="1" t="s">
        <v>460</v>
      </c>
      <c r="S5692" s="1" t="s">
        <v>11774</v>
      </c>
      <c r="T5692" s="1" t="s">
        <v>11775</v>
      </c>
      <c r="U5692" s="2" t="s">
        <v>5469</v>
      </c>
      <c r="V5692" s="2" t="s">
        <v>83</v>
      </c>
      <c r="W5692" s="2" t="s">
        <v>178</v>
      </c>
      <c r="X5692" s="2">
        <v>680.05</v>
      </c>
    </row>
    <row r="5693" spans="1:24" x14ac:dyDescent="0.3">
      <c r="A5693">
        <v>23517</v>
      </c>
      <c r="B5693" t="s">
        <v>12027</v>
      </c>
      <c r="C5693" s="3">
        <v>41480</v>
      </c>
      <c r="D5693" t="s">
        <v>148</v>
      </c>
      <c r="E5693">
        <v>1</v>
      </c>
      <c r="F5693" s="3">
        <f ca="1">41483+(RANDBETWEEN(1,10))</f>
        <v>41485</v>
      </c>
      <c r="G5693" t="s">
        <v>26</v>
      </c>
      <c r="H5693" t="s">
        <v>27</v>
      </c>
      <c r="I5693" t="s">
        <v>28</v>
      </c>
      <c r="J5693">
        <v>638.4</v>
      </c>
      <c r="K5693">
        <v>0.09</v>
      </c>
      <c r="L5693">
        <v>0.55000000000000004</v>
      </c>
      <c r="M5693">
        <v>69.965000000000003</v>
      </c>
      <c r="N5693">
        <v>-399.77</v>
      </c>
      <c r="O5693" s="1" t="s">
        <v>225</v>
      </c>
      <c r="P5693" s="1" t="s">
        <v>12028</v>
      </c>
      <c r="Q5693" s="1" t="s">
        <v>12029</v>
      </c>
      <c r="R5693" s="1" t="s">
        <v>228</v>
      </c>
      <c r="S5693" s="1" t="s">
        <v>466</v>
      </c>
      <c r="T5693" s="1" t="s">
        <v>467</v>
      </c>
      <c r="U5693" s="2" t="s">
        <v>721</v>
      </c>
      <c r="V5693" s="2" t="s">
        <v>47</v>
      </c>
      <c r="W5693" s="2" t="s">
        <v>119</v>
      </c>
      <c r="X5693" s="2">
        <v>624.64499999999998</v>
      </c>
    </row>
    <row r="5694" spans="1:24" x14ac:dyDescent="0.3">
      <c r="A5694">
        <v>23518</v>
      </c>
      <c r="B5694" t="s">
        <v>12027</v>
      </c>
      <c r="C5694" s="3">
        <v>41480</v>
      </c>
      <c r="D5694" t="s">
        <v>148</v>
      </c>
      <c r="E5694">
        <v>7</v>
      </c>
      <c r="F5694" s="3">
        <f ca="1">41482+(RANDBETWEEN(1,10))</f>
        <v>41491</v>
      </c>
      <c r="G5694" t="s">
        <v>26</v>
      </c>
      <c r="H5694" t="s">
        <v>27</v>
      </c>
      <c r="I5694" t="s">
        <v>28</v>
      </c>
      <c r="J5694">
        <v>7355.32</v>
      </c>
      <c r="K5694">
        <v>0.05</v>
      </c>
      <c r="L5694">
        <v>0.48</v>
      </c>
      <c r="M5694">
        <v>25.13</v>
      </c>
      <c r="N5694">
        <v>5075.1707999999999</v>
      </c>
      <c r="O5694" s="1" t="s">
        <v>29</v>
      </c>
      <c r="P5694" s="1" t="s">
        <v>5472</v>
      </c>
      <c r="Q5694" s="1" t="s">
        <v>5473</v>
      </c>
      <c r="R5694" s="1" t="s">
        <v>675</v>
      </c>
      <c r="S5694" s="1" t="s">
        <v>5474</v>
      </c>
      <c r="T5694" s="1" t="s">
        <v>5475</v>
      </c>
      <c r="U5694" s="2" t="s">
        <v>2057</v>
      </c>
      <c r="V5694" s="2" t="s">
        <v>36</v>
      </c>
      <c r="W5694" s="2" t="s">
        <v>60</v>
      </c>
      <c r="X5694" s="2">
        <v>1053.395</v>
      </c>
    </row>
    <row r="5695" spans="1:24" x14ac:dyDescent="0.3">
      <c r="A5695">
        <v>23519</v>
      </c>
      <c r="B5695" t="s">
        <v>12030</v>
      </c>
      <c r="C5695" s="3">
        <v>41814</v>
      </c>
      <c r="D5695" t="s">
        <v>39</v>
      </c>
      <c r="E5695">
        <v>18</v>
      </c>
      <c r="F5695" s="3">
        <f ca="1">41816+(RANDBETWEEN(1,10))</f>
        <v>41824</v>
      </c>
      <c r="G5695" t="s">
        <v>26</v>
      </c>
      <c r="H5695" t="s">
        <v>27</v>
      </c>
      <c r="I5695" t="s">
        <v>28</v>
      </c>
      <c r="J5695">
        <v>3463.0749999999998</v>
      </c>
      <c r="K5695">
        <v>0.02</v>
      </c>
      <c r="L5695">
        <v>0.59</v>
      </c>
      <c r="M5695">
        <v>13.965</v>
      </c>
      <c r="N5695">
        <v>2389.5217499999999</v>
      </c>
      <c r="O5695" s="1" t="s">
        <v>53</v>
      </c>
      <c r="P5695" s="1" t="s">
        <v>5752</v>
      </c>
      <c r="Q5695" s="1" t="s">
        <v>5753</v>
      </c>
      <c r="R5695" s="1" t="s">
        <v>56</v>
      </c>
      <c r="S5695" s="1" t="s">
        <v>5754</v>
      </c>
      <c r="T5695" s="1" t="s">
        <v>5755</v>
      </c>
      <c r="U5695" s="2" t="s">
        <v>1991</v>
      </c>
      <c r="V5695" s="2" t="s">
        <v>36</v>
      </c>
      <c r="W5695" s="2" t="s">
        <v>37</v>
      </c>
      <c r="X5695" s="2">
        <v>230.965</v>
      </c>
    </row>
    <row r="5696" spans="1:24" x14ac:dyDescent="0.3">
      <c r="A5696">
        <v>23520</v>
      </c>
      <c r="B5696" t="s">
        <v>12031</v>
      </c>
      <c r="C5696" s="3">
        <v>41226</v>
      </c>
      <c r="D5696" t="s">
        <v>50</v>
      </c>
      <c r="E5696">
        <v>5</v>
      </c>
      <c r="F5696" s="3">
        <f ca="1">41226+(RANDBETWEEN(1,10))</f>
        <v>41233</v>
      </c>
      <c r="G5696" t="s">
        <v>26</v>
      </c>
      <c r="H5696" t="s">
        <v>27</v>
      </c>
      <c r="I5696" t="s">
        <v>97</v>
      </c>
      <c r="J5696">
        <v>1830.08</v>
      </c>
      <c r="K5696">
        <v>7.0000000000000007E-2</v>
      </c>
      <c r="L5696">
        <v>0.56999999999999995</v>
      </c>
      <c r="M5696">
        <v>28.28</v>
      </c>
      <c r="N5696">
        <v>285.77780000000001</v>
      </c>
      <c r="O5696" s="1" t="s">
        <v>225</v>
      </c>
      <c r="P5696" s="1" t="s">
        <v>8969</v>
      </c>
      <c r="Q5696" s="1" t="s">
        <v>8970</v>
      </c>
      <c r="R5696" s="1" t="s">
        <v>228</v>
      </c>
      <c r="S5696" s="1" t="s">
        <v>8971</v>
      </c>
      <c r="T5696" s="1" t="s">
        <v>8972</v>
      </c>
      <c r="U5696" s="2" t="s">
        <v>1547</v>
      </c>
      <c r="V5696" s="2" t="s">
        <v>36</v>
      </c>
      <c r="W5696" s="2" t="s">
        <v>37</v>
      </c>
      <c r="X5696" s="2">
        <v>440.96499999999997</v>
      </c>
    </row>
    <row r="5697" spans="1:24" x14ac:dyDescent="0.3">
      <c r="A5697">
        <v>23521</v>
      </c>
      <c r="B5697" t="s">
        <v>12031</v>
      </c>
      <c r="C5697" s="3">
        <v>41226</v>
      </c>
      <c r="D5697" t="s">
        <v>50</v>
      </c>
      <c r="E5697">
        <v>43</v>
      </c>
      <c r="F5697" s="3">
        <f ca="1">41228+(RANDBETWEEN(1,10))</f>
        <v>41231</v>
      </c>
      <c r="G5697" t="s">
        <v>76</v>
      </c>
      <c r="H5697" t="s">
        <v>258</v>
      </c>
      <c r="I5697" t="s">
        <v>97</v>
      </c>
      <c r="J5697">
        <v>9032.66</v>
      </c>
      <c r="K5697">
        <v>0.01</v>
      </c>
      <c r="L5697">
        <v>0.61</v>
      </c>
      <c r="M5697">
        <v>128.13499999999999</v>
      </c>
      <c r="N5697">
        <v>503.41899999999998</v>
      </c>
      <c r="O5697" s="1" t="s">
        <v>225</v>
      </c>
      <c r="P5697" s="1" t="s">
        <v>12032</v>
      </c>
      <c r="Q5697" s="1" t="s">
        <v>12033</v>
      </c>
      <c r="R5697" s="1" t="s">
        <v>228</v>
      </c>
      <c r="S5697" s="1" t="s">
        <v>12034</v>
      </c>
      <c r="T5697" s="1" t="s">
        <v>12035</v>
      </c>
      <c r="U5697" s="2" t="s">
        <v>4050</v>
      </c>
      <c r="V5697" s="2" t="s">
        <v>83</v>
      </c>
      <c r="W5697" s="2" t="s">
        <v>298</v>
      </c>
      <c r="X5697" s="2">
        <v>203.49</v>
      </c>
    </row>
    <row r="5698" spans="1:24" x14ac:dyDescent="0.3">
      <c r="A5698">
        <v>23522</v>
      </c>
      <c r="B5698" t="s">
        <v>12031</v>
      </c>
      <c r="C5698" s="3">
        <v>41226</v>
      </c>
      <c r="D5698" t="s">
        <v>50</v>
      </c>
      <c r="E5698">
        <v>26</v>
      </c>
      <c r="F5698" s="3">
        <f ca="1">41228+(RANDBETWEEN(1,10))</f>
        <v>41230</v>
      </c>
      <c r="G5698" t="s">
        <v>26</v>
      </c>
      <c r="H5698" t="s">
        <v>63</v>
      </c>
      <c r="I5698" t="s">
        <v>97</v>
      </c>
      <c r="J5698">
        <v>17960.39</v>
      </c>
      <c r="K5698">
        <v>0.09</v>
      </c>
      <c r="L5698">
        <v>0.59</v>
      </c>
      <c r="M5698">
        <v>74.234999999999999</v>
      </c>
      <c r="N5698">
        <v>12392.669099999999</v>
      </c>
      <c r="O5698" s="1" t="s">
        <v>225</v>
      </c>
      <c r="P5698" s="1" t="s">
        <v>12032</v>
      </c>
      <c r="Q5698" s="1" t="s">
        <v>12033</v>
      </c>
      <c r="R5698" s="1" t="s">
        <v>228</v>
      </c>
      <c r="S5698" s="1" t="s">
        <v>12034</v>
      </c>
      <c r="T5698" s="1" t="s">
        <v>12035</v>
      </c>
      <c r="U5698" s="2" t="s">
        <v>3118</v>
      </c>
      <c r="V5698" s="2" t="s">
        <v>83</v>
      </c>
      <c r="W5698" s="2" t="s">
        <v>178</v>
      </c>
      <c r="X5698" s="2">
        <v>734.44</v>
      </c>
    </row>
    <row r="5699" spans="1:24" x14ac:dyDescent="0.3">
      <c r="A5699">
        <v>23523</v>
      </c>
      <c r="B5699" t="s">
        <v>12036</v>
      </c>
      <c r="C5699" s="3">
        <v>41179</v>
      </c>
      <c r="D5699" t="s">
        <v>25</v>
      </c>
      <c r="E5699">
        <v>12</v>
      </c>
      <c r="F5699" s="3">
        <f ca="1">41184+(RANDBETWEEN(1,10))</f>
        <v>41192</v>
      </c>
      <c r="G5699" t="s">
        <v>76</v>
      </c>
      <c r="H5699" t="s">
        <v>258</v>
      </c>
      <c r="I5699" t="s">
        <v>52</v>
      </c>
      <c r="J5699">
        <v>3665.165</v>
      </c>
      <c r="K5699">
        <v>0.02</v>
      </c>
      <c r="L5699">
        <v>0.6</v>
      </c>
      <c r="M5699">
        <v>195.33500000000001</v>
      </c>
      <c r="N5699">
        <v>-2185.0149999999999</v>
      </c>
      <c r="O5699" s="1" t="s">
        <v>64</v>
      </c>
      <c r="P5699" s="1" t="s">
        <v>10410</v>
      </c>
      <c r="Q5699" s="1" t="s">
        <v>10411</v>
      </c>
      <c r="R5699" s="1" t="s">
        <v>67</v>
      </c>
      <c r="S5699" s="1" t="s">
        <v>10412</v>
      </c>
      <c r="T5699" s="1" t="s">
        <v>10413</v>
      </c>
      <c r="U5699" s="2" t="s">
        <v>4019</v>
      </c>
      <c r="V5699" s="2" t="s">
        <v>83</v>
      </c>
      <c r="W5699" s="2" t="s">
        <v>298</v>
      </c>
      <c r="X5699" s="2">
        <v>286.79000000000002</v>
      </c>
    </row>
    <row r="5700" spans="1:24" x14ac:dyDescent="0.3">
      <c r="A5700">
        <v>23524</v>
      </c>
      <c r="B5700" t="s">
        <v>12037</v>
      </c>
      <c r="C5700" s="3">
        <v>40666</v>
      </c>
      <c r="D5700" t="s">
        <v>25</v>
      </c>
      <c r="E5700">
        <v>18</v>
      </c>
      <c r="F5700" s="3">
        <f ca="1">40668+(RANDBETWEEN(1,10))</f>
        <v>40670</v>
      </c>
      <c r="G5700" t="s">
        <v>26</v>
      </c>
      <c r="H5700" t="s">
        <v>27</v>
      </c>
      <c r="I5700" t="s">
        <v>52</v>
      </c>
      <c r="J5700">
        <v>1801.17</v>
      </c>
      <c r="K5700">
        <v>0.09</v>
      </c>
      <c r="L5700">
        <v>0.36</v>
      </c>
      <c r="M5700">
        <v>68.284999999999997</v>
      </c>
      <c r="N5700">
        <v>-572.35500000000002</v>
      </c>
      <c r="O5700" s="1" t="s">
        <v>53</v>
      </c>
      <c r="P5700" s="1" t="s">
        <v>8963</v>
      </c>
      <c r="Q5700" s="1" t="s">
        <v>8964</v>
      </c>
      <c r="R5700" s="1" t="s">
        <v>56</v>
      </c>
      <c r="S5700" s="1" t="s">
        <v>8965</v>
      </c>
      <c r="T5700" s="1" t="s">
        <v>8966</v>
      </c>
      <c r="U5700" s="2" t="s">
        <v>4107</v>
      </c>
      <c r="V5700" s="2" t="s">
        <v>47</v>
      </c>
      <c r="W5700" s="2" t="s">
        <v>48</v>
      </c>
      <c r="X5700" s="2">
        <v>108.43</v>
      </c>
    </row>
    <row r="5701" spans="1:24" x14ac:dyDescent="0.3">
      <c r="A5701">
        <v>23525</v>
      </c>
      <c r="B5701" t="s">
        <v>12037</v>
      </c>
      <c r="C5701" s="3">
        <v>40666</v>
      </c>
      <c r="D5701" t="s">
        <v>25</v>
      </c>
      <c r="E5701">
        <v>17</v>
      </c>
      <c r="F5701" s="3">
        <f ca="1">40668+(RANDBETWEEN(1,10))</f>
        <v>40671</v>
      </c>
      <c r="G5701" t="s">
        <v>26</v>
      </c>
      <c r="H5701" t="s">
        <v>63</v>
      </c>
      <c r="I5701" t="s">
        <v>52</v>
      </c>
      <c r="J5701">
        <v>2860.62</v>
      </c>
      <c r="K5701">
        <v>0.03</v>
      </c>
      <c r="L5701">
        <v>0.56999999999999995</v>
      </c>
      <c r="M5701">
        <v>35.875</v>
      </c>
      <c r="N5701">
        <v>1941.6949999999999</v>
      </c>
      <c r="O5701" s="1" t="s">
        <v>53</v>
      </c>
      <c r="P5701" s="1" t="s">
        <v>8963</v>
      </c>
      <c r="Q5701" s="1" t="s">
        <v>8964</v>
      </c>
      <c r="R5701" s="1" t="s">
        <v>56</v>
      </c>
      <c r="S5701" s="1" t="s">
        <v>8965</v>
      </c>
      <c r="T5701" s="1" t="s">
        <v>8966</v>
      </c>
      <c r="U5701" s="2" t="s">
        <v>4011</v>
      </c>
      <c r="V5701" s="2" t="s">
        <v>83</v>
      </c>
      <c r="W5701" s="2" t="s">
        <v>178</v>
      </c>
      <c r="X5701" s="2">
        <v>172.69</v>
      </c>
    </row>
    <row r="5702" spans="1:24" x14ac:dyDescent="0.3">
      <c r="A5702">
        <v>23526</v>
      </c>
      <c r="B5702" t="s">
        <v>12038</v>
      </c>
      <c r="C5702" s="3">
        <v>41735</v>
      </c>
      <c r="D5702" t="s">
        <v>50</v>
      </c>
      <c r="E5702">
        <v>12</v>
      </c>
      <c r="F5702" s="3">
        <f ca="1">41735+(RANDBETWEEN(1,10))</f>
        <v>41737</v>
      </c>
      <c r="G5702" t="s">
        <v>76</v>
      </c>
      <c r="H5702" t="s">
        <v>258</v>
      </c>
      <c r="I5702" t="s">
        <v>52</v>
      </c>
      <c r="J5702">
        <v>6144.8450000000003</v>
      </c>
      <c r="K5702">
        <v>0.05</v>
      </c>
      <c r="L5702">
        <v>0.65</v>
      </c>
      <c r="M5702">
        <v>231.94499999999999</v>
      </c>
      <c r="N5702">
        <v>-21.364000000000001</v>
      </c>
      <c r="O5702" s="1" t="s">
        <v>40</v>
      </c>
      <c r="P5702" s="1" t="s">
        <v>2232</v>
      </c>
      <c r="Q5702" s="1" t="s">
        <v>2233</v>
      </c>
      <c r="R5702" s="1" t="s">
        <v>43</v>
      </c>
      <c r="S5702" s="1" t="s">
        <v>2234</v>
      </c>
      <c r="T5702" s="1" t="s">
        <v>2235</v>
      </c>
      <c r="U5702" s="2" t="s">
        <v>3398</v>
      </c>
      <c r="V5702" s="2" t="s">
        <v>83</v>
      </c>
      <c r="W5702" s="2" t="s">
        <v>298</v>
      </c>
      <c r="X5702" s="2">
        <v>528.42999999999995</v>
      </c>
    </row>
    <row r="5703" spans="1:24" x14ac:dyDescent="0.3">
      <c r="A5703">
        <v>23527</v>
      </c>
      <c r="B5703" t="s">
        <v>12039</v>
      </c>
      <c r="C5703" s="3">
        <v>41776</v>
      </c>
      <c r="D5703" t="s">
        <v>39</v>
      </c>
      <c r="E5703">
        <v>7</v>
      </c>
      <c r="F5703" s="3">
        <f ca="1">41779+(RANDBETWEEN(1,10))</f>
        <v>41787</v>
      </c>
      <c r="G5703" t="s">
        <v>26</v>
      </c>
      <c r="H5703" t="s">
        <v>27</v>
      </c>
      <c r="I5703" t="s">
        <v>97</v>
      </c>
      <c r="J5703">
        <v>901.95</v>
      </c>
      <c r="K5703">
        <v>7.0000000000000007E-2</v>
      </c>
      <c r="L5703">
        <v>0.35</v>
      </c>
      <c r="M5703">
        <v>10.465</v>
      </c>
      <c r="N5703">
        <v>622.34550000000002</v>
      </c>
      <c r="O5703" s="1" t="s">
        <v>40</v>
      </c>
      <c r="P5703" s="1" t="s">
        <v>5231</v>
      </c>
      <c r="Q5703" s="1" t="s">
        <v>5232</v>
      </c>
      <c r="R5703" s="1" t="s">
        <v>220</v>
      </c>
      <c r="S5703" s="1" t="s">
        <v>3762</v>
      </c>
      <c r="T5703" s="1" t="s">
        <v>3763</v>
      </c>
      <c r="U5703" s="2" t="s">
        <v>1132</v>
      </c>
      <c r="V5703" s="2" t="s">
        <v>47</v>
      </c>
      <c r="W5703" s="2" t="s">
        <v>111</v>
      </c>
      <c r="X5703" s="2">
        <v>131.94999999999999</v>
      </c>
    </row>
    <row r="5704" spans="1:24" x14ac:dyDescent="0.3">
      <c r="A5704">
        <v>23528</v>
      </c>
      <c r="B5704" t="s">
        <v>12039</v>
      </c>
      <c r="C5704" s="3">
        <v>41776</v>
      </c>
      <c r="D5704" t="s">
        <v>39</v>
      </c>
      <c r="E5704">
        <v>16</v>
      </c>
      <c r="F5704" s="3">
        <f ca="1">41778+(RANDBETWEEN(1,10))</f>
        <v>41784</v>
      </c>
      <c r="G5704" t="s">
        <v>26</v>
      </c>
      <c r="H5704" t="s">
        <v>27</v>
      </c>
      <c r="I5704" t="s">
        <v>97</v>
      </c>
      <c r="J5704">
        <v>1150.9749999999999</v>
      </c>
      <c r="K5704">
        <v>0</v>
      </c>
      <c r="L5704">
        <v>0.37</v>
      </c>
      <c r="M5704">
        <v>30.38</v>
      </c>
      <c r="N5704">
        <v>644.245</v>
      </c>
      <c r="O5704" s="1" t="s">
        <v>40</v>
      </c>
      <c r="P5704" s="1" t="s">
        <v>5231</v>
      </c>
      <c r="Q5704" s="1" t="s">
        <v>5232</v>
      </c>
      <c r="R5704" s="1" t="s">
        <v>220</v>
      </c>
      <c r="S5704" s="1" t="s">
        <v>3762</v>
      </c>
      <c r="T5704" s="1" t="s">
        <v>3763</v>
      </c>
      <c r="U5704" s="2" t="s">
        <v>3983</v>
      </c>
      <c r="V5704" s="2" t="s">
        <v>47</v>
      </c>
      <c r="W5704" s="2" t="s">
        <v>74</v>
      </c>
      <c r="X5704" s="2">
        <v>69.930000000000007</v>
      </c>
    </row>
    <row r="5705" spans="1:24" x14ac:dyDescent="0.3">
      <c r="A5705">
        <v>23529</v>
      </c>
      <c r="B5705" t="s">
        <v>12039</v>
      </c>
      <c r="C5705" s="3">
        <v>41776</v>
      </c>
      <c r="D5705" t="s">
        <v>39</v>
      </c>
      <c r="E5705">
        <v>10</v>
      </c>
      <c r="F5705" s="3">
        <f ca="1">41778+(RANDBETWEEN(1,10))</f>
        <v>41787</v>
      </c>
      <c r="G5705" t="s">
        <v>26</v>
      </c>
      <c r="H5705" t="s">
        <v>51</v>
      </c>
      <c r="I5705" t="s">
        <v>97</v>
      </c>
      <c r="J5705">
        <v>351.61</v>
      </c>
      <c r="K5705">
        <v>0.06</v>
      </c>
      <c r="L5705">
        <v>0.6</v>
      </c>
      <c r="M5705">
        <v>10.115</v>
      </c>
      <c r="N5705">
        <v>17.78</v>
      </c>
      <c r="O5705" s="1" t="s">
        <v>40</v>
      </c>
      <c r="P5705" s="1" t="s">
        <v>5231</v>
      </c>
      <c r="Q5705" s="1" t="s">
        <v>5232</v>
      </c>
      <c r="R5705" s="1" t="s">
        <v>220</v>
      </c>
      <c r="S5705" s="1" t="s">
        <v>3762</v>
      </c>
      <c r="T5705" s="1" t="s">
        <v>3763</v>
      </c>
      <c r="U5705" s="2" t="s">
        <v>6149</v>
      </c>
      <c r="V5705" s="2" t="s">
        <v>47</v>
      </c>
      <c r="W5705" s="2" t="s">
        <v>104</v>
      </c>
      <c r="X5705" s="2">
        <v>36.68</v>
      </c>
    </row>
    <row r="5706" spans="1:24" x14ac:dyDescent="0.3">
      <c r="A5706">
        <v>23530</v>
      </c>
      <c r="B5706" t="s">
        <v>12040</v>
      </c>
      <c r="C5706" s="3">
        <v>41512</v>
      </c>
      <c r="D5706" t="s">
        <v>148</v>
      </c>
      <c r="E5706">
        <v>2</v>
      </c>
      <c r="F5706" s="3">
        <f ca="1">41513+(RANDBETWEEN(1,10))</f>
        <v>41518</v>
      </c>
      <c r="G5706" t="s">
        <v>26</v>
      </c>
      <c r="H5706" t="s">
        <v>96</v>
      </c>
      <c r="I5706" t="s">
        <v>97</v>
      </c>
      <c r="J5706">
        <v>34.86</v>
      </c>
      <c r="K5706">
        <v>0</v>
      </c>
      <c r="L5706">
        <v>0.52</v>
      </c>
      <c r="M5706">
        <v>2.4849999999999999</v>
      </c>
      <c r="N5706">
        <v>-1.6379999999999999</v>
      </c>
      <c r="O5706" s="1" t="s">
        <v>53</v>
      </c>
      <c r="P5706" s="1" t="s">
        <v>12041</v>
      </c>
      <c r="Q5706" s="1" t="s">
        <v>12042</v>
      </c>
      <c r="R5706" s="1" t="s">
        <v>56</v>
      </c>
      <c r="S5706" s="1" t="s">
        <v>7052</v>
      </c>
      <c r="T5706" s="1" t="s">
        <v>7053</v>
      </c>
      <c r="U5706" s="2" t="s">
        <v>2636</v>
      </c>
      <c r="V5706" s="2" t="s">
        <v>47</v>
      </c>
      <c r="W5706" s="2" t="s">
        <v>104</v>
      </c>
      <c r="X5706" s="2">
        <v>16.940000000000001</v>
      </c>
    </row>
    <row r="5707" spans="1:24" x14ac:dyDescent="0.3">
      <c r="A5707">
        <v>23531</v>
      </c>
      <c r="B5707" t="s">
        <v>12043</v>
      </c>
      <c r="C5707" s="3">
        <v>41085</v>
      </c>
      <c r="D5707" t="s">
        <v>25</v>
      </c>
      <c r="E5707">
        <v>14</v>
      </c>
      <c r="F5707" s="3">
        <f ca="1">41092+(RANDBETWEEN(1,10))</f>
        <v>41102</v>
      </c>
      <c r="G5707" t="s">
        <v>26</v>
      </c>
      <c r="H5707" t="s">
        <v>27</v>
      </c>
      <c r="I5707" t="s">
        <v>97</v>
      </c>
      <c r="J5707">
        <v>11622.764999999999</v>
      </c>
      <c r="K5707">
        <v>0.04</v>
      </c>
      <c r="L5707">
        <v>0.59</v>
      </c>
      <c r="M5707">
        <v>69.965000000000003</v>
      </c>
      <c r="N5707">
        <v>8019.7078499999998</v>
      </c>
      <c r="O5707" s="1" t="s">
        <v>29</v>
      </c>
      <c r="P5707" s="1" t="s">
        <v>6767</v>
      </c>
      <c r="Q5707" s="1" t="s">
        <v>6768</v>
      </c>
      <c r="R5707" s="1" t="s">
        <v>32</v>
      </c>
      <c r="S5707" s="1" t="s">
        <v>6569</v>
      </c>
      <c r="T5707" s="1" t="s">
        <v>6570</v>
      </c>
      <c r="U5707" s="2" t="s">
        <v>11638</v>
      </c>
      <c r="V5707" s="2" t="s">
        <v>47</v>
      </c>
      <c r="W5707" s="2" t="s">
        <v>71</v>
      </c>
      <c r="X5707" s="2">
        <v>814.03</v>
      </c>
    </row>
    <row r="5708" spans="1:24" x14ac:dyDescent="0.3">
      <c r="A5708">
        <v>23532</v>
      </c>
      <c r="B5708" t="s">
        <v>12043</v>
      </c>
      <c r="C5708" s="3">
        <v>41085</v>
      </c>
      <c r="D5708" t="s">
        <v>25</v>
      </c>
      <c r="E5708">
        <v>10</v>
      </c>
      <c r="F5708" s="3">
        <f ca="1">41092+(RANDBETWEEN(1,10))</f>
        <v>41094</v>
      </c>
      <c r="G5708" t="s">
        <v>26</v>
      </c>
      <c r="H5708" t="s">
        <v>27</v>
      </c>
      <c r="I5708" t="s">
        <v>97</v>
      </c>
      <c r="J5708">
        <v>236.14500000000001</v>
      </c>
      <c r="K5708">
        <v>0</v>
      </c>
      <c r="L5708">
        <v>0.4</v>
      </c>
      <c r="M5708">
        <v>26.25</v>
      </c>
      <c r="N5708">
        <v>-262.44400000000002</v>
      </c>
      <c r="O5708" s="1" t="s">
        <v>29</v>
      </c>
      <c r="P5708" s="1" t="s">
        <v>6767</v>
      </c>
      <c r="Q5708" s="1" t="s">
        <v>6768</v>
      </c>
      <c r="R5708" s="1" t="s">
        <v>32</v>
      </c>
      <c r="S5708" s="1" t="s">
        <v>6569</v>
      </c>
      <c r="T5708" s="1" t="s">
        <v>6570</v>
      </c>
      <c r="U5708" s="2" t="s">
        <v>6464</v>
      </c>
      <c r="V5708" s="2" t="s">
        <v>47</v>
      </c>
      <c r="W5708" s="2" t="s">
        <v>74</v>
      </c>
      <c r="X5708" s="2">
        <v>20.93</v>
      </c>
    </row>
    <row r="5709" spans="1:24" x14ac:dyDescent="0.3">
      <c r="A5709">
        <v>23533</v>
      </c>
      <c r="B5709" t="s">
        <v>12044</v>
      </c>
      <c r="C5709" s="3">
        <v>40559</v>
      </c>
      <c r="D5709" t="s">
        <v>62</v>
      </c>
      <c r="E5709">
        <v>9</v>
      </c>
      <c r="F5709" s="3">
        <f ca="1">40561+(RANDBETWEEN(1,10))</f>
        <v>40566</v>
      </c>
      <c r="G5709" t="s">
        <v>26</v>
      </c>
      <c r="H5709" t="s">
        <v>96</v>
      </c>
      <c r="I5709" t="s">
        <v>86</v>
      </c>
      <c r="J5709">
        <v>66.92</v>
      </c>
      <c r="K5709">
        <v>0.09</v>
      </c>
      <c r="L5709">
        <v>0.52</v>
      </c>
      <c r="M5709">
        <v>2.73</v>
      </c>
      <c r="N5709">
        <v>8.5917999999999992</v>
      </c>
      <c r="O5709" s="1" t="s">
        <v>29</v>
      </c>
      <c r="P5709" s="1" t="s">
        <v>10498</v>
      </c>
      <c r="Q5709" s="1" t="s">
        <v>10499</v>
      </c>
      <c r="R5709" s="1" t="s">
        <v>32</v>
      </c>
      <c r="S5709" s="1" t="s">
        <v>7258</v>
      </c>
      <c r="T5709" s="1" t="s">
        <v>7259</v>
      </c>
      <c r="U5709" s="2" t="s">
        <v>5921</v>
      </c>
      <c r="V5709" s="2" t="s">
        <v>47</v>
      </c>
      <c r="W5709" s="2" t="s">
        <v>176</v>
      </c>
      <c r="X5709" s="2">
        <v>7.63</v>
      </c>
    </row>
    <row r="5710" spans="1:24" x14ac:dyDescent="0.3">
      <c r="A5710">
        <v>23534</v>
      </c>
      <c r="B5710" t="s">
        <v>12044</v>
      </c>
      <c r="C5710" s="3">
        <v>40559</v>
      </c>
      <c r="D5710" t="s">
        <v>62</v>
      </c>
      <c r="E5710">
        <v>1</v>
      </c>
      <c r="F5710" s="3">
        <f ca="1">40561+(RANDBETWEEN(1,10))</f>
        <v>40562</v>
      </c>
      <c r="G5710" t="s">
        <v>76</v>
      </c>
      <c r="H5710" t="s">
        <v>258</v>
      </c>
      <c r="I5710" t="s">
        <v>86</v>
      </c>
      <c r="J5710">
        <v>653.24</v>
      </c>
      <c r="K5710">
        <v>0.05</v>
      </c>
      <c r="L5710">
        <v>0.76</v>
      </c>
      <c r="M5710">
        <v>102.235</v>
      </c>
      <c r="N5710">
        <v>-1880.47922055</v>
      </c>
      <c r="O5710" s="1" t="s">
        <v>29</v>
      </c>
      <c r="P5710" s="1" t="s">
        <v>10498</v>
      </c>
      <c r="Q5710" s="1" t="s">
        <v>10499</v>
      </c>
      <c r="R5710" s="1" t="s">
        <v>32</v>
      </c>
      <c r="S5710" s="1" t="s">
        <v>7258</v>
      </c>
      <c r="T5710" s="1" t="s">
        <v>7259</v>
      </c>
      <c r="U5710" s="2" t="s">
        <v>1724</v>
      </c>
      <c r="V5710" s="2" t="s">
        <v>83</v>
      </c>
      <c r="W5710" s="2" t="s">
        <v>263</v>
      </c>
      <c r="X5710" s="2">
        <v>627.51499999999999</v>
      </c>
    </row>
    <row r="5711" spans="1:24" x14ac:dyDescent="0.3">
      <c r="A5711">
        <v>23535</v>
      </c>
      <c r="B5711" t="s">
        <v>12045</v>
      </c>
      <c r="C5711" s="3">
        <v>41467</v>
      </c>
      <c r="D5711" t="s">
        <v>25</v>
      </c>
      <c r="E5711">
        <v>4</v>
      </c>
      <c r="F5711" s="3">
        <f ca="1">41469+(RANDBETWEEN(1,10))</f>
        <v>41477</v>
      </c>
      <c r="G5711" t="s">
        <v>26</v>
      </c>
      <c r="H5711" t="s">
        <v>27</v>
      </c>
      <c r="I5711" t="s">
        <v>28</v>
      </c>
      <c r="J5711">
        <v>498.78500000000003</v>
      </c>
      <c r="K5711">
        <v>0.1</v>
      </c>
      <c r="L5711">
        <v>0.38</v>
      </c>
      <c r="M5711">
        <v>69.965000000000003</v>
      </c>
      <c r="N5711">
        <v>-164.535</v>
      </c>
      <c r="O5711" s="1" t="s">
        <v>64</v>
      </c>
      <c r="P5711" s="1" t="s">
        <v>12007</v>
      </c>
      <c r="Q5711" s="1" t="s">
        <v>12008</v>
      </c>
      <c r="R5711" s="1" t="s">
        <v>128</v>
      </c>
      <c r="S5711" s="1" t="s">
        <v>12009</v>
      </c>
      <c r="T5711" s="1" t="s">
        <v>12010</v>
      </c>
      <c r="U5711" s="2" t="s">
        <v>3329</v>
      </c>
      <c r="V5711" s="2" t="s">
        <v>47</v>
      </c>
      <c r="W5711" s="2" t="s">
        <v>74</v>
      </c>
      <c r="X5711" s="2">
        <v>124.04</v>
      </c>
    </row>
    <row r="5712" spans="1:24" x14ac:dyDescent="0.3">
      <c r="A5712">
        <v>23536</v>
      </c>
      <c r="B5712" t="s">
        <v>12045</v>
      </c>
      <c r="C5712" s="3">
        <v>41467</v>
      </c>
      <c r="D5712" t="s">
        <v>25</v>
      </c>
      <c r="E5712">
        <v>9</v>
      </c>
      <c r="F5712" s="3">
        <f ca="1">41472+(RANDBETWEEN(1,10))</f>
        <v>41481</v>
      </c>
      <c r="G5712" t="s">
        <v>26</v>
      </c>
      <c r="H5712" t="s">
        <v>27</v>
      </c>
      <c r="I5712" t="s">
        <v>28</v>
      </c>
      <c r="J5712">
        <v>1758.645</v>
      </c>
      <c r="K5712">
        <v>0.06</v>
      </c>
      <c r="L5712">
        <v>0.37</v>
      </c>
      <c r="M5712">
        <v>50.05</v>
      </c>
      <c r="N5712">
        <v>1213.46505</v>
      </c>
      <c r="O5712" s="1" t="s">
        <v>64</v>
      </c>
      <c r="P5712" s="1" t="s">
        <v>12007</v>
      </c>
      <c r="Q5712" s="1" t="s">
        <v>12008</v>
      </c>
      <c r="R5712" s="1" t="s">
        <v>128</v>
      </c>
      <c r="S5712" s="1" t="s">
        <v>12009</v>
      </c>
      <c r="T5712" s="1" t="s">
        <v>12010</v>
      </c>
      <c r="U5712" s="2" t="s">
        <v>1168</v>
      </c>
      <c r="V5712" s="2" t="s">
        <v>47</v>
      </c>
      <c r="W5712" s="2" t="s">
        <v>74</v>
      </c>
      <c r="X5712" s="2">
        <v>194.18</v>
      </c>
    </row>
    <row r="5713" spans="1:24" x14ac:dyDescent="0.3">
      <c r="A5713">
        <v>23537</v>
      </c>
      <c r="B5713" t="s">
        <v>12046</v>
      </c>
      <c r="C5713" s="3">
        <v>41104</v>
      </c>
      <c r="D5713" t="s">
        <v>148</v>
      </c>
      <c r="E5713">
        <v>10</v>
      </c>
      <c r="F5713" s="3">
        <f ca="1">41106+(RANDBETWEEN(1,10))</f>
        <v>41116</v>
      </c>
      <c r="G5713" t="s">
        <v>26</v>
      </c>
      <c r="H5713" t="s">
        <v>281</v>
      </c>
      <c r="I5713" t="s">
        <v>28</v>
      </c>
      <c r="J5713">
        <v>825.58</v>
      </c>
      <c r="K5713">
        <v>0</v>
      </c>
      <c r="L5713">
        <v>0.52</v>
      </c>
      <c r="M5713">
        <v>48.965000000000003</v>
      </c>
      <c r="N5713">
        <v>-349.82499999999999</v>
      </c>
      <c r="O5713" s="1" t="s">
        <v>225</v>
      </c>
      <c r="P5713" s="1" t="s">
        <v>3072</v>
      </c>
      <c r="Q5713" s="1" t="s">
        <v>3073</v>
      </c>
      <c r="R5713" s="1" t="s">
        <v>228</v>
      </c>
      <c r="S5713" s="1" t="s">
        <v>1794</v>
      </c>
      <c r="T5713" s="1" t="s">
        <v>548</v>
      </c>
      <c r="U5713" s="2" t="s">
        <v>5849</v>
      </c>
      <c r="V5713" s="2" t="s">
        <v>47</v>
      </c>
      <c r="W5713" s="2" t="s">
        <v>71</v>
      </c>
      <c r="X5713" s="2">
        <v>75.81</v>
      </c>
    </row>
    <row r="5714" spans="1:24" x14ac:dyDescent="0.3">
      <c r="A5714">
        <v>23538</v>
      </c>
      <c r="B5714" t="s">
        <v>12047</v>
      </c>
      <c r="C5714" s="3">
        <v>41178</v>
      </c>
      <c r="D5714" t="s">
        <v>62</v>
      </c>
      <c r="E5714">
        <v>4</v>
      </c>
      <c r="F5714" s="3">
        <f ca="1">41179+(RANDBETWEEN(1,10))</f>
        <v>41185</v>
      </c>
      <c r="G5714" t="s">
        <v>156</v>
      </c>
      <c r="H5714" t="s">
        <v>27</v>
      </c>
      <c r="I5714" t="s">
        <v>28</v>
      </c>
      <c r="J5714">
        <v>580.96500000000003</v>
      </c>
      <c r="K5714">
        <v>0.1</v>
      </c>
      <c r="L5714">
        <v>0.36</v>
      </c>
      <c r="M5714">
        <v>10.465</v>
      </c>
      <c r="N5714">
        <v>392.19425000000001</v>
      </c>
      <c r="O5714" s="1" t="s">
        <v>87</v>
      </c>
      <c r="P5714" s="1" t="s">
        <v>12048</v>
      </c>
      <c r="Q5714" s="1" t="s">
        <v>12049</v>
      </c>
      <c r="R5714" s="1" t="s">
        <v>398</v>
      </c>
      <c r="S5714" s="1" t="s">
        <v>12050</v>
      </c>
      <c r="T5714" s="1" t="s">
        <v>12051</v>
      </c>
      <c r="U5714" s="2" t="s">
        <v>180</v>
      </c>
      <c r="V5714" s="2" t="s">
        <v>47</v>
      </c>
      <c r="W5714" s="2" t="s">
        <v>111</v>
      </c>
      <c r="X5714" s="2">
        <v>143.43</v>
      </c>
    </row>
    <row r="5715" spans="1:24" x14ac:dyDescent="0.3">
      <c r="A5715">
        <v>23539</v>
      </c>
      <c r="B5715" t="s">
        <v>12052</v>
      </c>
      <c r="C5715" s="3">
        <v>41766</v>
      </c>
      <c r="D5715" t="s">
        <v>62</v>
      </c>
      <c r="E5715">
        <v>15</v>
      </c>
      <c r="F5715" s="3">
        <f ca="1">41767+(RANDBETWEEN(1,10))</f>
        <v>41768</v>
      </c>
      <c r="G5715" t="s">
        <v>26</v>
      </c>
      <c r="H5715" t="s">
        <v>96</v>
      </c>
      <c r="I5715" t="s">
        <v>28</v>
      </c>
      <c r="J5715">
        <v>221.27</v>
      </c>
      <c r="K5715">
        <v>0.02</v>
      </c>
      <c r="L5715">
        <v>0.56000000000000005</v>
      </c>
      <c r="M5715">
        <v>3.29</v>
      </c>
      <c r="N5715">
        <v>114.41500000000001</v>
      </c>
      <c r="O5715" s="1" t="s">
        <v>40</v>
      </c>
      <c r="P5715" s="1" t="s">
        <v>12053</v>
      </c>
      <c r="Q5715" s="1" t="s">
        <v>12054</v>
      </c>
      <c r="R5715" s="1" t="s">
        <v>220</v>
      </c>
      <c r="S5715" s="1" t="s">
        <v>3354</v>
      </c>
      <c r="T5715" s="1" t="s">
        <v>3355</v>
      </c>
      <c r="U5715" s="2" t="s">
        <v>331</v>
      </c>
      <c r="V5715" s="2" t="s">
        <v>47</v>
      </c>
      <c r="W5715" s="2" t="s">
        <v>104</v>
      </c>
      <c r="X5715" s="2">
        <v>14.98</v>
      </c>
    </row>
    <row r="5716" spans="1:24" x14ac:dyDescent="0.3">
      <c r="A5716">
        <v>23540</v>
      </c>
      <c r="B5716" t="s">
        <v>12055</v>
      </c>
      <c r="C5716" s="3">
        <v>41878</v>
      </c>
      <c r="D5716" t="s">
        <v>39</v>
      </c>
      <c r="E5716">
        <v>2</v>
      </c>
      <c r="F5716" s="3">
        <f ca="1">41879+(RANDBETWEEN(1,10))</f>
        <v>41885</v>
      </c>
      <c r="G5716" t="s">
        <v>26</v>
      </c>
      <c r="H5716" t="s">
        <v>27</v>
      </c>
      <c r="I5716" t="s">
        <v>86</v>
      </c>
      <c r="J5716">
        <v>112.175</v>
      </c>
      <c r="K5716">
        <v>0.02</v>
      </c>
      <c r="L5716">
        <v>0.38</v>
      </c>
      <c r="M5716">
        <v>4.8650000000000002</v>
      </c>
      <c r="N5716">
        <v>20.51952</v>
      </c>
      <c r="O5716" s="1" t="s">
        <v>29</v>
      </c>
      <c r="P5716" s="1" t="s">
        <v>12056</v>
      </c>
      <c r="Q5716" s="1" t="s">
        <v>12057</v>
      </c>
      <c r="R5716" s="1" t="s">
        <v>32</v>
      </c>
      <c r="S5716" s="1" t="s">
        <v>6074</v>
      </c>
      <c r="T5716" s="1" t="s">
        <v>6075</v>
      </c>
      <c r="U5716" s="2" t="s">
        <v>2327</v>
      </c>
      <c r="V5716" s="2" t="s">
        <v>47</v>
      </c>
      <c r="W5716" s="2" t="s">
        <v>48</v>
      </c>
      <c r="X5716" s="2">
        <v>54.494999999999997</v>
      </c>
    </row>
    <row r="5717" spans="1:24" x14ac:dyDescent="0.3">
      <c r="A5717">
        <v>23541</v>
      </c>
      <c r="B5717" t="s">
        <v>12055</v>
      </c>
      <c r="C5717" s="3">
        <v>41878</v>
      </c>
      <c r="D5717" t="s">
        <v>39</v>
      </c>
      <c r="E5717">
        <v>7</v>
      </c>
      <c r="F5717" s="3">
        <f ca="1">41880+(RANDBETWEEN(1,10))</f>
        <v>41881</v>
      </c>
      <c r="G5717" t="s">
        <v>26</v>
      </c>
      <c r="H5717" t="s">
        <v>27</v>
      </c>
      <c r="I5717" t="s">
        <v>86</v>
      </c>
      <c r="J5717">
        <v>63.734999999999999</v>
      </c>
      <c r="K5717">
        <v>0.09</v>
      </c>
      <c r="L5717">
        <v>0.39</v>
      </c>
      <c r="M5717">
        <v>1.75</v>
      </c>
      <c r="N5717">
        <v>43.977150000000002</v>
      </c>
      <c r="O5717" s="1" t="s">
        <v>53</v>
      </c>
      <c r="P5717" s="1" t="s">
        <v>12058</v>
      </c>
      <c r="Q5717" s="1" t="s">
        <v>12059</v>
      </c>
      <c r="R5717" s="1" t="s">
        <v>100</v>
      </c>
      <c r="S5717" s="1" t="s">
        <v>4265</v>
      </c>
      <c r="T5717" s="1" t="s">
        <v>3707</v>
      </c>
      <c r="U5717" s="2" t="s">
        <v>1726</v>
      </c>
      <c r="V5717" s="2" t="s">
        <v>47</v>
      </c>
      <c r="W5717" s="2" t="s">
        <v>203</v>
      </c>
      <c r="X5717" s="2">
        <v>9.1349999999999998</v>
      </c>
    </row>
    <row r="5718" spans="1:24" x14ac:dyDescent="0.3">
      <c r="A5718">
        <v>23542</v>
      </c>
      <c r="B5718" t="s">
        <v>12055</v>
      </c>
      <c r="C5718" s="3">
        <v>41878</v>
      </c>
      <c r="D5718" t="s">
        <v>39</v>
      </c>
      <c r="E5718">
        <v>8</v>
      </c>
      <c r="F5718" s="3">
        <f ca="1">41880+(RANDBETWEEN(1,10))</f>
        <v>41886</v>
      </c>
      <c r="G5718" t="s">
        <v>26</v>
      </c>
      <c r="H5718" t="s">
        <v>63</v>
      </c>
      <c r="I5718" t="s">
        <v>86</v>
      </c>
      <c r="J5718">
        <v>1717.2049999999999</v>
      </c>
      <c r="K5718">
        <v>0.09</v>
      </c>
      <c r="L5718">
        <v>0.59</v>
      </c>
      <c r="M5718">
        <v>171.5</v>
      </c>
      <c r="N5718">
        <v>-742.51940000000002</v>
      </c>
      <c r="O5718" s="1" t="s">
        <v>53</v>
      </c>
      <c r="P5718" s="1" t="s">
        <v>12060</v>
      </c>
      <c r="Q5718" s="1" t="s">
        <v>12061</v>
      </c>
      <c r="R5718" s="1" t="s">
        <v>100</v>
      </c>
      <c r="S5718" s="1" t="s">
        <v>3040</v>
      </c>
      <c r="T5718" s="1" t="s">
        <v>3041</v>
      </c>
      <c r="U5718" s="2" t="s">
        <v>1546</v>
      </c>
      <c r="V5718" s="2" t="s">
        <v>47</v>
      </c>
      <c r="W5718" s="2" t="s">
        <v>71</v>
      </c>
      <c r="X5718" s="2">
        <v>213.43</v>
      </c>
    </row>
    <row r="5719" spans="1:24" x14ac:dyDescent="0.3">
      <c r="A5719">
        <v>23543</v>
      </c>
      <c r="B5719" t="s">
        <v>12062</v>
      </c>
      <c r="C5719" s="3">
        <v>40926</v>
      </c>
      <c r="D5719" t="s">
        <v>39</v>
      </c>
      <c r="E5719">
        <v>7</v>
      </c>
      <c r="F5719" s="3">
        <f ca="1">40928+(RANDBETWEEN(1,10))</f>
        <v>40938</v>
      </c>
      <c r="G5719" t="s">
        <v>26</v>
      </c>
      <c r="H5719" t="s">
        <v>27</v>
      </c>
      <c r="I5719" t="s">
        <v>97</v>
      </c>
      <c r="J5719">
        <v>405.51</v>
      </c>
      <c r="K5719">
        <v>0.08</v>
      </c>
      <c r="L5719">
        <v>0.54</v>
      </c>
      <c r="M5719">
        <v>17.605</v>
      </c>
      <c r="N5719">
        <v>2.6669999999999998</v>
      </c>
      <c r="O5719" s="1" t="s">
        <v>53</v>
      </c>
      <c r="P5719" s="1" t="s">
        <v>1647</v>
      </c>
      <c r="Q5719" s="1" t="s">
        <v>1648</v>
      </c>
      <c r="R5719" s="1" t="s">
        <v>56</v>
      </c>
      <c r="S5719" s="1" t="s">
        <v>1649</v>
      </c>
      <c r="T5719" s="1" t="s">
        <v>1650</v>
      </c>
      <c r="U5719" s="2" t="s">
        <v>3463</v>
      </c>
      <c r="V5719" s="2" t="s">
        <v>83</v>
      </c>
      <c r="W5719" s="2" t="s">
        <v>178</v>
      </c>
      <c r="X5719" s="2">
        <v>62.23</v>
      </c>
    </row>
    <row r="5720" spans="1:24" x14ac:dyDescent="0.3">
      <c r="A5720">
        <v>23544</v>
      </c>
      <c r="B5720" t="s">
        <v>12062</v>
      </c>
      <c r="C5720" s="3">
        <v>40926</v>
      </c>
      <c r="D5720" t="s">
        <v>39</v>
      </c>
      <c r="E5720">
        <v>12</v>
      </c>
      <c r="F5720" s="3">
        <f ca="1">40927+(RANDBETWEEN(1,10))</f>
        <v>40928</v>
      </c>
      <c r="G5720" t="s">
        <v>26</v>
      </c>
      <c r="H5720" t="s">
        <v>281</v>
      </c>
      <c r="I5720" t="s">
        <v>97</v>
      </c>
      <c r="J5720">
        <v>1115.24</v>
      </c>
      <c r="K5720">
        <v>0.09</v>
      </c>
      <c r="L5720">
        <v>0.57999999999999996</v>
      </c>
      <c r="M5720">
        <v>48.965000000000003</v>
      </c>
      <c r="N5720">
        <v>724.39499999999998</v>
      </c>
      <c r="O5720" s="1" t="s">
        <v>53</v>
      </c>
      <c r="P5720" s="1" t="s">
        <v>1647</v>
      </c>
      <c r="Q5720" s="1" t="s">
        <v>1648</v>
      </c>
      <c r="R5720" s="1" t="s">
        <v>56</v>
      </c>
      <c r="S5720" s="1" t="s">
        <v>1649</v>
      </c>
      <c r="T5720" s="1" t="s">
        <v>1650</v>
      </c>
      <c r="U5720" s="2" t="s">
        <v>2573</v>
      </c>
      <c r="V5720" s="2" t="s">
        <v>47</v>
      </c>
      <c r="W5720" s="2" t="s">
        <v>119</v>
      </c>
      <c r="X5720" s="2">
        <v>98.98</v>
      </c>
    </row>
    <row r="5721" spans="1:24" x14ac:dyDescent="0.3">
      <c r="A5721">
        <v>23545</v>
      </c>
      <c r="B5721" t="s">
        <v>12063</v>
      </c>
      <c r="C5721" s="3">
        <v>41386</v>
      </c>
      <c r="D5721" t="s">
        <v>50</v>
      </c>
      <c r="E5721">
        <v>12</v>
      </c>
      <c r="F5721" s="3">
        <f ca="1">41388+(RANDBETWEEN(1,10))</f>
        <v>41393</v>
      </c>
      <c r="G5721" t="s">
        <v>156</v>
      </c>
      <c r="H5721" t="s">
        <v>27</v>
      </c>
      <c r="I5721" t="s">
        <v>28</v>
      </c>
      <c r="J5721">
        <v>309.47000000000003</v>
      </c>
      <c r="K5721">
        <v>0.02</v>
      </c>
      <c r="L5721">
        <v>0.39</v>
      </c>
      <c r="M5721">
        <v>21.175000000000001</v>
      </c>
      <c r="N5721">
        <v>-314.11099999999999</v>
      </c>
      <c r="O5721" s="1" t="s">
        <v>64</v>
      </c>
      <c r="P5721" s="1" t="s">
        <v>12064</v>
      </c>
      <c r="Q5721" s="1" t="s">
        <v>12065</v>
      </c>
      <c r="R5721" s="1" t="s">
        <v>67</v>
      </c>
      <c r="S5721" s="1" t="s">
        <v>1099</v>
      </c>
      <c r="T5721" s="1" t="s">
        <v>1100</v>
      </c>
      <c r="U5721" s="2" t="s">
        <v>2669</v>
      </c>
      <c r="V5721" s="2" t="s">
        <v>47</v>
      </c>
      <c r="W5721" s="2" t="s">
        <v>111</v>
      </c>
      <c r="X5721" s="2">
        <v>24.85</v>
      </c>
    </row>
    <row r="5722" spans="1:24" x14ac:dyDescent="0.3">
      <c r="A5722">
        <v>23546</v>
      </c>
      <c r="B5722" t="s">
        <v>12063</v>
      </c>
      <c r="C5722" s="3">
        <v>41386</v>
      </c>
      <c r="D5722" t="s">
        <v>50</v>
      </c>
      <c r="E5722">
        <v>13</v>
      </c>
      <c r="F5722" s="3">
        <f ca="1">41389+(RANDBETWEEN(1,10))</f>
        <v>41393</v>
      </c>
      <c r="G5722" t="s">
        <v>26</v>
      </c>
      <c r="H5722" t="s">
        <v>96</v>
      </c>
      <c r="I5722" t="s">
        <v>28</v>
      </c>
      <c r="J5722">
        <v>158.69</v>
      </c>
      <c r="K5722">
        <v>0.1</v>
      </c>
      <c r="L5722">
        <v>0.83</v>
      </c>
      <c r="M5722">
        <v>3.29</v>
      </c>
      <c r="N5722">
        <v>-113.82</v>
      </c>
      <c r="O5722" s="1" t="s">
        <v>64</v>
      </c>
      <c r="P5722" s="1" t="s">
        <v>12064</v>
      </c>
      <c r="Q5722" s="1" t="s">
        <v>12065</v>
      </c>
      <c r="R5722" s="1" t="s">
        <v>67</v>
      </c>
      <c r="S5722" s="1" t="s">
        <v>1099</v>
      </c>
      <c r="T5722" s="1" t="s">
        <v>1100</v>
      </c>
      <c r="U5722" s="2" t="s">
        <v>12066</v>
      </c>
      <c r="V5722" s="2" t="s">
        <v>47</v>
      </c>
      <c r="W5722" s="2" t="s">
        <v>176</v>
      </c>
      <c r="X5722" s="2">
        <v>13.09</v>
      </c>
    </row>
    <row r="5723" spans="1:24" x14ac:dyDescent="0.3">
      <c r="A5723">
        <v>23547</v>
      </c>
      <c r="B5723" t="s">
        <v>12067</v>
      </c>
      <c r="C5723" s="3">
        <v>41938</v>
      </c>
      <c r="D5723" t="s">
        <v>25</v>
      </c>
      <c r="E5723">
        <v>8</v>
      </c>
      <c r="F5723" s="3">
        <f ca="1">41945+(RANDBETWEEN(1,10))</f>
        <v>41947</v>
      </c>
      <c r="G5723" t="s">
        <v>26</v>
      </c>
      <c r="H5723" t="s">
        <v>51</v>
      </c>
      <c r="I5723" t="s">
        <v>97</v>
      </c>
      <c r="J5723">
        <v>813.22500000000002</v>
      </c>
      <c r="K5723">
        <v>0.06</v>
      </c>
      <c r="L5723">
        <v>0.36</v>
      </c>
      <c r="M5723">
        <v>8.75</v>
      </c>
      <c r="N5723">
        <v>376.26749999999998</v>
      </c>
      <c r="O5723" s="1" t="s">
        <v>40</v>
      </c>
      <c r="P5723" s="1" t="s">
        <v>9875</v>
      </c>
      <c r="Q5723" s="1" t="s">
        <v>9876</v>
      </c>
      <c r="R5723" s="1" t="s">
        <v>43</v>
      </c>
      <c r="S5723" s="1" t="s">
        <v>9055</v>
      </c>
      <c r="T5723" s="1" t="s">
        <v>9056</v>
      </c>
      <c r="U5723" s="2" t="s">
        <v>12068</v>
      </c>
      <c r="V5723" s="2" t="s">
        <v>36</v>
      </c>
      <c r="W5723" s="2" t="s">
        <v>37</v>
      </c>
      <c r="X5723" s="2">
        <v>125.965</v>
      </c>
    </row>
    <row r="5724" spans="1:24" x14ac:dyDescent="0.3">
      <c r="A5724">
        <v>23548</v>
      </c>
      <c r="B5724" t="s">
        <v>12069</v>
      </c>
      <c r="C5724" s="3">
        <v>41311</v>
      </c>
      <c r="D5724" t="s">
        <v>39</v>
      </c>
      <c r="E5724">
        <v>3</v>
      </c>
      <c r="F5724" s="3">
        <f ca="1">41311+(RANDBETWEEN(1,10))</f>
        <v>41316</v>
      </c>
      <c r="G5724" t="s">
        <v>26</v>
      </c>
      <c r="H5724" t="s">
        <v>96</v>
      </c>
      <c r="I5724" t="s">
        <v>97</v>
      </c>
      <c r="J5724">
        <v>62.79</v>
      </c>
      <c r="K5724">
        <v>7.0000000000000007E-2</v>
      </c>
      <c r="L5724">
        <v>0.54</v>
      </c>
      <c r="M5724">
        <v>11.795</v>
      </c>
      <c r="N5724">
        <v>-60.97</v>
      </c>
      <c r="O5724" s="1" t="s">
        <v>40</v>
      </c>
      <c r="P5724" s="1" t="s">
        <v>3923</v>
      </c>
      <c r="Q5724" s="1" t="s">
        <v>3924</v>
      </c>
      <c r="R5724" s="1" t="s">
        <v>220</v>
      </c>
      <c r="S5724" s="1" t="s">
        <v>3925</v>
      </c>
      <c r="T5724" s="1" t="s">
        <v>3926</v>
      </c>
      <c r="U5724" s="2" t="s">
        <v>665</v>
      </c>
      <c r="V5724" s="2" t="s">
        <v>47</v>
      </c>
      <c r="W5724" s="2" t="s">
        <v>176</v>
      </c>
      <c r="X5724" s="2">
        <v>20.335000000000001</v>
      </c>
    </row>
    <row r="5725" spans="1:24" x14ac:dyDescent="0.3">
      <c r="A5725">
        <v>23549</v>
      </c>
      <c r="B5725" t="s">
        <v>12070</v>
      </c>
      <c r="C5725" s="3">
        <v>41751</v>
      </c>
      <c r="D5725" t="s">
        <v>39</v>
      </c>
      <c r="E5725">
        <v>2</v>
      </c>
      <c r="F5725" s="3">
        <f ca="1">41753+(RANDBETWEEN(1,10))</f>
        <v>41758</v>
      </c>
      <c r="G5725" t="s">
        <v>26</v>
      </c>
      <c r="H5725" t="s">
        <v>27</v>
      </c>
      <c r="I5725" t="s">
        <v>97</v>
      </c>
      <c r="J5725">
        <v>34.615000000000002</v>
      </c>
      <c r="K5725">
        <v>0.01</v>
      </c>
      <c r="L5725">
        <v>0.6</v>
      </c>
      <c r="M5725">
        <v>24.114999999999998</v>
      </c>
      <c r="N5725">
        <v>-152.18</v>
      </c>
      <c r="O5725" s="1" t="s">
        <v>225</v>
      </c>
      <c r="P5725" s="1" t="s">
        <v>12071</v>
      </c>
      <c r="Q5725" s="1" t="s">
        <v>12072</v>
      </c>
      <c r="R5725" s="1" t="s">
        <v>391</v>
      </c>
      <c r="S5725" s="1" t="s">
        <v>12073</v>
      </c>
      <c r="T5725" s="1" t="s">
        <v>2559</v>
      </c>
      <c r="U5725" s="2" t="s">
        <v>3815</v>
      </c>
      <c r="V5725" s="2" t="s">
        <v>47</v>
      </c>
      <c r="W5725" s="2" t="s">
        <v>71</v>
      </c>
      <c r="X5725" s="2">
        <v>14.21</v>
      </c>
    </row>
    <row r="5726" spans="1:24" x14ac:dyDescent="0.3">
      <c r="A5726">
        <v>23550</v>
      </c>
      <c r="B5726" t="s">
        <v>12074</v>
      </c>
      <c r="C5726" s="3">
        <v>40624</v>
      </c>
      <c r="D5726" t="s">
        <v>148</v>
      </c>
      <c r="E5726">
        <v>1</v>
      </c>
      <c r="F5726" s="3">
        <f ca="1">40626+(RANDBETWEEN(1,10))</f>
        <v>40632</v>
      </c>
      <c r="G5726" t="s">
        <v>26</v>
      </c>
      <c r="H5726" t="s">
        <v>51</v>
      </c>
      <c r="I5726" t="s">
        <v>28</v>
      </c>
      <c r="J5726">
        <v>29.364999999999998</v>
      </c>
      <c r="K5726">
        <v>0.08</v>
      </c>
      <c r="L5726">
        <v>0.57999999999999996</v>
      </c>
      <c r="M5726">
        <v>29.295000000000002</v>
      </c>
      <c r="N5726">
        <v>-103.215</v>
      </c>
      <c r="O5726" s="1" t="s">
        <v>64</v>
      </c>
      <c r="P5726" s="1" t="s">
        <v>12075</v>
      </c>
      <c r="Q5726" s="1" t="s">
        <v>12076</v>
      </c>
      <c r="R5726" s="1" t="s">
        <v>67</v>
      </c>
      <c r="S5726" s="1" t="s">
        <v>4699</v>
      </c>
      <c r="T5726" s="1" t="s">
        <v>4700</v>
      </c>
      <c r="U5726" s="2" t="s">
        <v>3635</v>
      </c>
      <c r="V5726" s="2" t="s">
        <v>47</v>
      </c>
      <c r="W5726" s="2" t="s">
        <v>94</v>
      </c>
      <c r="X5726" s="2">
        <v>23.94</v>
      </c>
    </row>
    <row r="5727" spans="1:24" x14ac:dyDescent="0.3">
      <c r="A5727">
        <v>23551</v>
      </c>
      <c r="B5727" t="s">
        <v>12074</v>
      </c>
      <c r="C5727" s="3">
        <v>40624</v>
      </c>
      <c r="D5727" t="s">
        <v>148</v>
      </c>
      <c r="E5727">
        <v>4</v>
      </c>
      <c r="F5727" s="3">
        <f ca="1">40625+(RANDBETWEEN(1,10))</f>
        <v>40628</v>
      </c>
      <c r="G5727" t="s">
        <v>156</v>
      </c>
      <c r="H5727" t="s">
        <v>27</v>
      </c>
      <c r="I5727" t="s">
        <v>28</v>
      </c>
      <c r="J5727">
        <v>1953.595</v>
      </c>
      <c r="K5727">
        <v>0.1</v>
      </c>
      <c r="L5727">
        <v>0.79</v>
      </c>
      <c r="M5727">
        <v>14</v>
      </c>
      <c r="N5727">
        <v>-1823.8150000000001</v>
      </c>
      <c r="O5727" s="1" t="s">
        <v>87</v>
      </c>
      <c r="P5727" s="1" t="s">
        <v>4737</v>
      </c>
      <c r="Q5727" s="1" t="s">
        <v>4738</v>
      </c>
      <c r="R5727" s="1" t="s">
        <v>398</v>
      </c>
      <c r="S5727" s="1" t="s">
        <v>4739</v>
      </c>
      <c r="T5727" s="1" t="s">
        <v>4740</v>
      </c>
      <c r="U5727" s="2" t="s">
        <v>192</v>
      </c>
      <c r="V5727" s="2" t="s">
        <v>36</v>
      </c>
      <c r="W5727" s="2" t="s">
        <v>60</v>
      </c>
      <c r="X5727" s="2">
        <v>533.67999999999995</v>
      </c>
    </row>
    <row r="5728" spans="1:24" x14ac:dyDescent="0.3">
      <c r="A5728">
        <v>23552</v>
      </c>
      <c r="B5728" t="s">
        <v>12077</v>
      </c>
      <c r="C5728" s="3">
        <v>41107</v>
      </c>
      <c r="D5728" t="s">
        <v>62</v>
      </c>
      <c r="E5728">
        <v>9</v>
      </c>
      <c r="F5728" s="3">
        <f ca="1">41108+(RANDBETWEEN(1,10))</f>
        <v>41116</v>
      </c>
      <c r="G5728" t="s">
        <v>156</v>
      </c>
      <c r="H5728" t="s">
        <v>51</v>
      </c>
      <c r="I5728" t="s">
        <v>28</v>
      </c>
      <c r="J5728">
        <v>200.69</v>
      </c>
      <c r="K5728">
        <v>0</v>
      </c>
      <c r="L5728">
        <v>0.55000000000000004</v>
      </c>
      <c r="M5728">
        <v>18.55</v>
      </c>
      <c r="N5728">
        <v>-251.86</v>
      </c>
      <c r="O5728" s="1" t="s">
        <v>87</v>
      </c>
      <c r="P5728" s="1" t="s">
        <v>5991</v>
      </c>
      <c r="Q5728" s="1" t="s">
        <v>5992</v>
      </c>
      <c r="R5728" s="1" t="s">
        <v>90</v>
      </c>
      <c r="S5728" s="1" t="s">
        <v>5993</v>
      </c>
      <c r="T5728" s="1" t="s">
        <v>5994</v>
      </c>
      <c r="U5728" s="2" t="s">
        <v>5871</v>
      </c>
      <c r="V5728" s="2" t="s">
        <v>47</v>
      </c>
      <c r="W5728" s="2" t="s">
        <v>94</v>
      </c>
      <c r="X5728" s="2">
        <v>20.09</v>
      </c>
    </row>
    <row r="5729" spans="1:24" x14ac:dyDescent="0.3">
      <c r="A5729">
        <v>23553</v>
      </c>
      <c r="B5729" t="s">
        <v>12078</v>
      </c>
      <c r="C5729" s="3">
        <v>41530</v>
      </c>
      <c r="D5729" t="s">
        <v>39</v>
      </c>
      <c r="E5729">
        <v>11</v>
      </c>
      <c r="F5729" s="3">
        <f ca="1">41531+(RANDBETWEEN(1,10))</f>
        <v>41537</v>
      </c>
      <c r="G5729" t="s">
        <v>156</v>
      </c>
      <c r="H5729" t="s">
        <v>27</v>
      </c>
      <c r="I5729" t="s">
        <v>97</v>
      </c>
      <c r="J5729">
        <v>250.07499999999999</v>
      </c>
      <c r="K5729">
        <v>0.06</v>
      </c>
      <c r="L5729">
        <v>0.39</v>
      </c>
      <c r="M5729">
        <v>29.715</v>
      </c>
      <c r="N5729">
        <v>1.974</v>
      </c>
      <c r="O5729" s="1" t="s">
        <v>40</v>
      </c>
      <c r="P5729" s="1" t="s">
        <v>10428</v>
      </c>
      <c r="Q5729" s="1" t="s">
        <v>10429</v>
      </c>
      <c r="R5729" s="1" t="s">
        <v>43</v>
      </c>
      <c r="S5729" s="1" t="s">
        <v>10430</v>
      </c>
      <c r="T5729" s="1" t="s">
        <v>10431</v>
      </c>
      <c r="U5729" s="2" t="s">
        <v>3658</v>
      </c>
      <c r="V5729" s="2" t="s">
        <v>47</v>
      </c>
      <c r="W5729" s="2" t="s">
        <v>111</v>
      </c>
      <c r="X5729" s="2">
        <v>20.335000000000001</v>
      </c>
    </row>
    <row r="5730" spans="1:24" x14ac:dyDescent="0.3">
      <c r="A5730">
        <v>23554</v>
      </c>
      <c r="B5730" t="s">
        <v>12079</v>
      </c>
      <c r="C5730" s="3">
        <v>41556</v>
      </c>
      <c r="D5730" t="s">
        <v>62</v>
      </c>
      <c r="E5730">
        <v>2</v>
      </c>
      <c r="F5730" s="3">
        <f ca="1">41557+(RANDBETWEEN(1,10))</f>
        <v>41562</v>
      </c>
      <c r="G5730" t="s">
        <v>156</v>
      </c>
      <c r="H5730" t="s">
        <v>63</v>
      </c>
      <c r="I5730" t="s">
        <v>52</v>
      </c>
      <c r="J5730">
        <v>347.76</v>
      </c>
      <c r="K5730">
        <v>0.01</v>
      </c>
      <c r="L5730">
        <v>0.56999999999999995</v>
      </c>
      <c r="M5730">
        <v>50.575000000000003</v>
      </c>
      <c r="N5730">
        <v>-130.1454</v>
      </c>
      <c r="O5730" s="1" t="s">
        <v>40</v>
      </c>
      <c r="P5730" s="1" t="s">
        <v>11726</v>
      </c>
      <c r="Q5730" s="1" t="s">
        <v>11727</v>
      </c>
      <c r="R5730" s="1" t="s">
        <v>220</v>
      </c>
      <c r="S5730" s="1" t="s">
        <v>11728</v>
      </c>
      <c r="T5730" s="1" t="s">
        <v>11729</v>
      </c>
      <c r="U5730" s="2" t="s">
        <v>1470</v>
      </c>
      <c r="V5730" s="2" t="s">
        <v>83</v>
      </c>
      <c r="W5730" s="2" t="s">
        <v>178</v>
      </c>
      <c r="X5730" s="2">
        <v>143.39500000000001</v>
      </c>
    </row>
    <row r="5731" spans="1:24" x14ac:dyDescent="0.3">
      <c r="A5731">
        <v>23555</v>
      </c>
      <c r="B5731" t="s">
        <v>12080</v>
      </c>
      <c r="C5731" s="3">
        <v>40956</v>
      </c>
      <c r="D5731" t="s">
        <v>62</v>
      </c>
      <c r="E5731">
        <v>8</v>
      </c>
      <c r="F5731" s="3">
        <f ca="1">40958+(RANDBETWEEN(1,10))</f>
        <v>40968</v>
      </c>
      <c r="G5731" t="s">
        <v>26</v>
      </c>
      <c r="H5731" t="s">
        <v>63</v>
      </c>
      <c r="I5731" t="s">
        <v>52</v>
      </c>
      <c r="J5731">
        <v>8088.71</v>
      </c>
      <c r="K5731">
        <v>0.1</v>
      </c>
      <c r="L5731">
        <v>0.55000000000000004</v>
      </c>
      <c r="M5731">
        <v>85.715000000000003</v>
      </c>
      <c r="N5731">
        <v>5581.2098999999998</v>
      </c>
      <c r="O5731" s="1" t="s">
        <v>53</v>
      </c>
      <c r="P5731" s="1" t="s">
        <v>4921</v>
      </c>
      <c r="Q5731" s="1" t="s">
        <v>4922</v>
      </c>
      <c r="R5731" s="1" t="s">
        <v>56</v>
      </c>
      <c r="S5731" s="1" t="s">
        <v>4923</v>
      </c>
      <c r="T5731" s="1" t="s">
        <v>4924</v>
      </c>
      <c r="U5731" s="2" t="s">
        <v>4893</v>
      </c>
      <c r="V5731" s="2" t="s">
        <v>83</v>
      </c>
      <c r="W5731" s="2" t="s">
        <v>84</v>
      </c>
      <c r="X5731" s="2">
        <v>1123.43</v>
      </c>
    </row>
    <row r="5732" spans="1:24" x14ac:dyDescent="0.3">
      <c r="A5732">
        <v>23556</v>
      </c>
      <c r="B5732" t="s">
        <v>12080</v>
      </c>
      <c r="C5732" s="3">
        <v>40956</v>
      </c>
      <c r="D5732" t="s">
        <v>62</v>
      </c>
      <c r="E5732">
        <v>5</v>
      </c>
      <c r="F5732" s="3">
        <f ca="1">40956+(RANDBETWEEN(1,10))</f>
        <v>40964</v>
      </c>
      <c r="G5732" t="s">
        <v>26</v>
      </c>
      <c r="H5732" t="s">
        <v>27</v>
      </c>
      <c r="I5732" t="s">
        <v>52</v>
      </c>
      <c r="J5732">
        <v>92.575000000000003</v>
      </c>
      <c r="K5732">
        <v>0.01</v>
      </c>
      <c r="L5732">
        <v>0.38</v>
      </c>
      <c r="M5732">
        <v>16.45</v>
      </c>
      <c r="N5732">
        <v>-116.9</v>
      </c>
      <c r="O5732" s="1" t="s">
        <v>53</v>
      </c>
      <c r="P5732" s="1" t="s">
        <v>4921</v>
      </c>
      <c r="Q5732" s="1" t="s">
        <v>4922</v>
      </c>
      <c r="R5732" s="1" t="s">
        <v>56</v>
      </c>
      <c r="S5732" s="1" t="s">
        <v>4923</v>
      </c>
      <c r="T5732" s="1" t="s">
        <v>4924</v>
      </c>
      <c r="U5732" s="2" t="s">
        <v>5182</v>
      </c>
      <c r="V5732" s="2" t="s">
        <v>47</v>
      </c>
      <c r="W5732" s="2" t="s">
        <v>74</v>
      </c>
      <c r="X5732" s="2">
        <v>17.43</v>
      </c>
    </row>
    <row r="5733" spans="1:24" x14ac:dyDescent="0.3">
      <c r="A5733">
        <v>23557</v>
      </c>
      <c r="B5733" t="s">
        <v>12081</v>
      </c>
      <c r="C5733" s="3">
        <v>40688</v>
      </c>
      <c r="D5733" t="s">
        <v>50</v>
      </c>
      <c r="E5733">
        <v>9</v>
      </c>
      <c r="F5733" s="3">
        <f ca="1">40689+(RANDBETWEEN(1,10))</f>
        <v>40691</v>
      </c>
      <c r="G5733" t="s">
        <v>26</v>
      </c>
      <c r="H5733" t="s">
        <v>51</v>
      </c>
      <c r="I5733" t="s">
        <v>28</v>
      </c>
      <c r="J5733">
        <v>148.61000000000001</v>
      </c>
      <c r="K5733">
        <v>0.06</v>
      </c>
      <c r="L5733">
        <v>0.72</v>
      </c>
      <c r="M5733">
        <v>8.3650000000000002</v>
      </c>
      <c r="N5733">
        <v>-159.74</v>
      </c>
      <c r="O5733" s="1" t="s">
        <v>29</v>
      </c>
      <c r="P5733" s="1" t="s">
        <v>8778</v>
      </c>
      <c r="Q5733" s="1" t="s">
        <v>8779</v>
      </c>
      <c r="R5733" s="1" t="s">
        <v>675</v>
      </c>
      <c r="S5733" s="1" t="s">
        <v>908</v>
      </c>
      <c r="T5733" s="1" t="s">
        <v>909</v>
      </c>
      <c r="U5733" s="2" t="s">
        <v>4176</v>
      </c>
      <c r="V5733" s="2" t="s">
        <v>36</v>
      </c>
      <c r="W5733" s="2" t="s">
        <v>60</v>
      </c>
      <c r="X5733" s="2">
        <v>16.695</v>
      </c>
    </row>
    <row r="5734" spans="1:24" x14ac:dyDescent="0.3">
      <c r="A5734">
        <v>23558</v>
      </c>
      <c r="B5734" t="s">
        <v>12081</v>
      </c>
      <c r="C5734" s="3">
        <v>40688</v>
      </c>
      <c r="D5734" t="s">
        <v>50</v>
      </c>
      <c r="E5734">
        <v>12</v>
      </c>
      <c r="F5734" s="3">
        <f ca="1">40690+(RANDBETWEEN(1,10))</f>
        <v>40693</v>
      </c>
      <c r="G5734" t="s">
        <v>26</v>
      </c>
      <c r="H5734" t="s">
        <v>27</v>
      </c>
      <c r="I5734" t="s">
        <v>28</v>
      </c>
      <c r="J5734">
        <v>1099.21</v>
      </c>
      <c r="K5734">
        <v>0.1</v>
      </c>
      <c r="L5734">
        <v>0.38</v>
      </c>
      <c r="M5734">
        <v>28.805</v>
      </c>
      <c r="N5734">
        <v>715.71500000000003</v>
      </c>
      <c r="O5734" s="1" t="s">
        <v>29</v>
      </c>
      <c r="P5734" s="1" t="s">
        <v>8778</v>
      </c>
      <c r="Q5734" s="1" t="s">
        <v>8779</v>
      </c>
      <c r="R5734" s="1" t="s">
        <v>675</v>
      </c>
      <c r="S5734" s="1" t="s">
        <v>908</v>
      </c>
      <c r="T5734" s="1" t="s">
        <v>909</v>
      </c>
      <c r="U5734" s="2" t="s">
        <v>4741</v>
      </c>
      <c r="V5734" s="2" t="s">
        <v>47</v>
      </c>
      <c r="W5734" s="2" t="s">
        <v>48</v>
      </c>
      <c r="X5734" s="2">
        <v>95.13</v>
      </c>
    </row>
    <row r="5735" spans="1:24" x14ac:dyDescent="0.3">
      <c r="A5735">
        <v>23559</v>
      </c>
      <c r="B5735" t="s">
        <v>12082</v>
      </c>
      <c r="C5735" s="3">
        <v>41952</v>
      </c>
      <c r="D5735" t="s">
        <v>39</v>
      </c>
      <c r="E5735">
        <v>26</v>
      </c>
      <c r="F5735" s="3">
        <f ca="1">41953+(RANDBETWEEN(1,10))</f>
        <v>41963</v>
      </c>
      <c r="G5735" t="s">
        <v>26</v>
      </c>
      <c r="H5735" t="s">
        <v>281</v>
      </c>
      <c r="I5735" t="s">
        <v>28</v>
      </c>
      <c r="J5735">
        <v>8644.7900000000009</v>
      </c>
      <c r="K5735">
        <v>0.06</v>
      </c>
      <c r="L5735">
        <v>0.67</v>
      </c>
      <c r="M5735">
        <v>138.63499999999999</v>
      </c>
      <c r="N5735">
        <v>2.1599200000000001</v>
      </c>
      <c r="O5735" s="1" t="s">
        <v>87</v>
      </c>
      <c r="P5735" s="1" t="s">
        <v>5056</v>
      </c>
      <c r="Q5735" s="1" t="s">
        <v>5057</v>
      </c>
      <c r="R5735" s="1" t="s">
        <v>90</v>
      </c>
      <c r="S5735" s="1" t="s">
        <v>5058</v>
      </c>
      <c r="T5735" s="1" t="s">
        <v>5059</v>
      </c>
      <c r="U5735" s="2" t="s">
        <v>3390</v>
      </c>
      <c r="V5735" s="2" t="s">
        <v>83</v>
      </c>
      <c r="W5735" s="2" t="s">
        <v>178</v>
      </c>
      <c r="X5735" s="2">
        <v>322.80500000000001</v>
      </c>
    </row>
    <row r="5736" spans="1:24" x14ac:dyDescent="0.3">
      <c r="A5736">
        <v>23560</v>
      </c>
      <c r="B5736" t="s">
        <v>12082</v>
      </c>
      <c r="C5736" s="3">
        <v>41952</v>
      </c>
      <c r="D5736" t="s">
        <v>39</v>
      </c>
      <c r="E5736">
        <v>14</v>
      </c>
      <c r="F5736" s="3">
        <f ca="1">41954+(RANDBETWEEN(1,10))</f>
        <v>41955</v>
      </c>
      <c r="G5736" t="s">
        <v>26</v>
      </c>
      <c r="H5736" t="s">
        <v>27</v>
      </c>
      <c r="I5736" t="s">
        <v>28</v>
      </c>
      <c r="J5736">
        <v>63430.675000000003</v>
      </c>
      <c r="K5736">
        <v>0.03</v>
      </c>
      <c r="L5736">
        <v>0.35</v>
      </c>
      <c r="M5736">
        <v>69.965000000000003</v>
      </c>
      <c r="N5736">
        <v>43767.16575</v>
      </c>
      <c r="O5736" s="1" t="s">
        <v>87</v>
      </c>
      <c r="P5736" s="1" t="s">
        <v>12083</v>
      </c>
      <c r="Q5736" s="1" t="s">
        <v>12084</v>
      </c>
      <c r="R5736" s="1" t="s">
        <v>497</v>
      </c>
      <c r="S5736" s="1" t="s">
        <v>1263</v>
      </c>
      <c r="T5736" s="1" t="s">
        <v>3297</v>
      </c>
      <c r="U5736" s="2" t="s">
        <v>2579</v>
      </c>
      <c r="V5736" s="2" t="s">
        <v>47</v>
      </c>
      <c r="W5736" s="2" t="s">
        <v>111</v>
      </c>
      <c r="X5736" s="2">
        <v>4448.4650000000001</v>
      </c>
    </row>
    <row r="5737" spans="1:24" x14ac:dyDescent="0.3">
      <c r="A5737">
        <v>23561</v>
      </c>
      <c r="B5737" t="s">
        <v>12085</v>
      </c>
      <c r="C5737" s="3">
        <v>41773</v>
      </c>
      <c r="D5737" t="s">
        <v>39</v>
      </c>
      <c r="E5737">
        <v>10</v>
      </c>
      <c r="F5737" s="3">
        <f ca="1">41776+(RANDBETWEEN(1,10))</f>
        <v>41779</v>
      </c>
      <c r="G5737" t="s">
        <v>156</v>
      </c>
      <c r="H5737" t="s">
        <v>51</v>
      </c>
      <c r="I5737" t="s">
        <v>86</v>
      </c>
      <c r="J5737">
        <v>1018.36</v>
      </c>
      <c r="K5737">
        <v>0.1</v>
      </c>
      <c r="L5737">
        <v>0.5</v>
      </c>
      <c r="M5737">
        <v>6.9649999999999999</v>
      </c>
      <c r="N5737">
        <v>702.66840000000002</v>
      </c>
      <c r="O5737" s="1" t="s">
        <v>53</v>
      </c>
      <c r="P5737" s="1" t="s">
        <v>11838</v>
      </c>
      <c r="Q5737" s="1" t="s">
        <v>11839</v>
      </c>
      <c r="R5737" s="1" t="s">
        <v>100</v>
      </c>
      <c r="S5737" s="1" t="s">
        <v>11840</v>
      </c>
      <c r="T5737" s="1" t="s">
        <v>11841</v>
      </c>
      <c r="U5737" s="2" t="s">
        <v>124</v>
      </c>
      <c r="V5737" s="2" t="s">
        <v>36</v>
      </c>
      <c r="W5737" s="2" t="s">
        <v>60</v>
      </c>
      <c r="X5737" s="2">
        <v>104.61499999999999</v>
      </c>
    </row>
    <row r="5738" spans="1:24" x14ac:dyDescent="0.3">
      <c r="A5738">
        <v>23562</v>
      </c>
      <c r="B5738" t="s">
        <v>12086</v>
      </c>
      <c r="C5738" s="3">
        <v>40761</v>
      </c>
      <c r="D5738" t="s">
        <v>62</v>
      </c>
      <c r="E5738">
        <v>20</v>
      </c>
      <c r="F5738" s="3">
        <f ca="1">40762+(RANDBETWEEN(1,10))</f>
        <v>40772</v>
      </c>
      <c r="G5738" t="s">
        <v>26</v>
      </c>
      <c r="H5738" t="s">
        <v>27</v>
      </c>
      <c r="I5738" t="s">
        <v>86</v>
      </c>
      <c r="J5738">
        <v>276.70999999999998</v>
      </c>
      <c r="K5738">
        <v>7.0000000000000007E-2</v>
      </c>
      <c r="L5738">
        <v>0.38</v>
      </c>
      <c r="M5738">
        <v>17.64</v>
      </c>
      <c r="N5738">
        <v>-267.48540000000003</v>
      </c>
      <c r="O5738" s="1" t="s">
        <v>40</v>
      </c>
      <c r="P5738" s="1" t="s">
        <v>7663</v>
      </c>
      <c r="Q5738" s="1" t="s">
        <v>7664</v>
      </c>
      <c r="R5738" s="1" t="s">
        <v>43</v>
      </c>
      <c r="S5738" s="1" t="s">
        <v>7665</v>
      </c>
      <c r="T5738" s="1" t="s">
        <v>7666</v>
      </c>
      <c r="U5738" s="2" t="s">
        <v>1507</v>
      </c>
      <c r="V5738" s="2" t="s">
        <v>47</v>
      </c>
      <c r="W5738" s="2" t="s">
        <v>111</v>
      </c>
      <c r="X5738" s="2">
        <v>14.455</v>
      </c>
    </row>
    <row r="5739" spans="1:24" x14ac:dyDescent="0.3">
      <c r="A5739">
        <v>23563</v>
      </c>
      <c r="B5739" t="s">
        <v>12086</v>
      </c>
      <c r="C5739" s="3">
        <v>40761</v>
      </c>
      <c r="D5739" t="s">
        <v>62</v>
      </c>
      <c r="E5739">
        <v>14</v>
      </c>
      <c r="F5739" s="3">
        <f ca="1">40763+(RANDBETWEEN(1,10))</f>
        <v>40771</v>
      </c>
      <c r="G5739" t="s">
        <v>26</v>
      </c>
      <c r="H5739" t="s">
        <v>27</v>
      </c>
      <c r="I5739" t="s">
        <v>86</v>
      </c>
      <c r="J5739">
        <v>227.99</v>
      </c>
      <c r="K5739">
        <v>0</v>
      </c>
      <c r="L5739">
        <v>0.37</v>
      </c>
      <c r="M5739">
        <v>8.75</v>
      </c>
      <c r="N5739">
        <v>30.562000000000001</v>
      </c>
      <c r="O5739" s="1" t="s">
        <v>40</v>
      </c>
      <c r="P5739" s="1" t="s">
        <v>7663</v>
      </c>
      <c r="Q5739" s="1" t="s">
        <v>7664</v>
      </c>
      <c r="R5739" s="1" t="s">
        <v>43</v>
      </c>
      <c r="S5739" s="1" t="s">
        <v>7665</v>
      </c>
      <c r="T5739" s="1" t="s">
        <v>7666</v>
      </c>
      <c r="U5739" s="2" t="s">
        <v>5395</v>
      </c>
      <c r="V5739" s="2" t="s">
        <v>47</v>
      </c>
      <c r="W5739" s="2" t="s">
        <v>48</v>
      </c>
      <c r="X5739" s="2">
        <v>15.68</v>
      </c>
    </row>
    <row r="5740" spans="1:24" x14ac:dyDescent="0.3">
      <c r="A5740">
        <v>23564</v>
      </c>
      <c r="B5740" t="s">
        <v>12087</v>
      </c>
      <c r="C5740" s="3">
        <v>41230</v>
      </c>
      <c r="D5740" t="s">
        <v>50</v>
      </c>
      <c r="E5740">
        <v>20</v>
      </c>
      <c r="F5740" s="3">
        <f ca="1">41232+(RANDBETWEEN(1,10))</f>
        <v>41234</v>
      </c>
      <c r="G5740" t="s">
        <v>26</v>
      </c>
      <c r="H5740" t="s">
        <v>281</v>
      </c>
      <c r="I5740" t="s">
        <v>86</v>
      </c>
      <c r="J5740">
        <v>664.37</v>
      </c>
      <c r="K5740">
        <v>0.09</v>
      </c>
      <c r="L5740">
        <v>0.39</v>
      </c>
      <c r="M5740">
        <v>20.16</v>
      </c>
      <c r="N5740">
        <v>22.703520000000001</v>
      </c>
      <c r="O5740" s="1" t="s">
        <v>29</v>
      </c>
      <c r="P5740" s="1" t="s">
        <v>12088</v>
      </c>
      <c r="Q5740" s="1" t="s">
        <v>12089</v>
      </c>
      <c r="R5740" s="1" t="s">
        <v>32</v>
      </c>
      <c r="S5740" s="1" t="s">
        <v>12090</v>
      </c>
      <c r="T5740" s="1" t="s">
        <v>12091</v>
      </c>
      <c r="U5740" s="2" t="s">
        <v>7988</v>
      </c>
      <c r="V5740" s="2" t="s">
        <v>36</v>
      </c>
      <c r="W5740" s="2" t="s">
        <v>142</v>
      </c>
      <c r="X5740" s="2">
        <v>33.215000000000003</v>
      </c>
    </row>
    <row r="5741" spans="1:24" x14ac:dyDescent="0.3">
      <c r="A5741">
        <v>23565</v>
      </c>
      <c r="B5741" t="s">
        <v>12092</v>
      </c>
      <c r="C5741" s="3">
        <v>41990</v>
      </c>
      <c r="D5741" t="s">
        <v>148</v>
      </c>
      <c r="E5741">
        <v>14</v>
      </c>
      <c r="F5741" s="3">
        <f ca="1">41992+(RANDBETWEEN(1,10))</f>
        <v>41995</v>
      </c>
      <c r="G5741" t="s">
        <v>26</v>
      </c>
      <c r="H5741" t="s">
        <v>27</v>
      </c>
      <c r="I5741" t="s">
        <v>97</v>
      </c>
      <c r="J5741">
        <v>531.96500000000003</v>
      </c>
      <c r="K5741">
        <v>0.1</v>
      </c>
      <c r="L5741">
        <v>0.36</v>
      </c>
      <c r="M5741">
        <v>17.989999999999998</v>
      </c>
      <c r="N5741">
        <v>-826.48299999999995</v>
      </c>
      <c r="O5741" s="1" t="s">
        <v>64</v>
      </c>
      <c r="P5741" s="1" t="s">
        <v>4809</v>
      </c>
      <c r="Q5741" s="1" t="s">
        <v>4810</v>
      </c>
      <c r="R5741" s="1" t="s">
        <v>67</v>
      </c>
      <c r="S5741" s="1" t="s">
        <v>4811</v>
      </c>
      <c r="T5741" s="1" t="s">
        <v>4812</v>
      </c>
      <c r="U5741" s="2" t="s">
        <v>5285</v>
      </c>
      <c r="V5741" s="2" t="s">
        <v>47</v>
      </c>
      <c r="W5741" s="2" t="s">
        <v>111</v>
      </c>
      <c r="X5741" s="2">
        <v>38.43</v>
      </c>
    </row>
    <row r="5742" spans="1:24" x14ac:dyDescent="0.3">
      <c r="A5742">
        <v>23566</v>
      </c>
      <c r="B5742" t="s">
        <v>12093</v>
      </c>
      <c r="C5742" s="3">
        <v>41867</v>
      </c>
      <c r="D5742" t="s">
        <v>62</v>
      </c>
      <c r="E5742">
        <v>12</v>
      </c>
      <c r="F5742" s="3">
        <f ca="1">41869+(RANDBETWEEN(1,10))</f>
        <v>41873</v>
      </c>
      <c r="G5742" t="s">
        <v>26</v>
      </c>
      <c r="H5742" t="s">
        <v>27</v>
      </c>
      <c r="I5742" t="s">
        <v>86</v>
      </c>
      <c r="J5742">
        <v>2314.48</v>
      </c>
      <c r="K5742">
        <v>0.05</v>
      </c>
      <c r="L5742">
        <v>0.57999999999999996</v>
      </c>
      <c r="M5742">
        <v>20.965</v>
      </c>
      <c r="N5742">
        <v>710.40563999999995</v>
      </c>
      <c r="O5742" s="1" t="s">
        <v>87</v>
      </c>
      <c r="P5742" s="1" t="s">
        <v>11982</v>
      </c>
      <c r="Q5742" s="1" t="s">
        <v>11983</v>
      </c>
      <c r="R5742" s="1" t="s">
        <v>497</v>
      </c>
      <c r="S5742" s="1" t="s">
        <v>5554</v>
      </c>
      <c r="T5742" s="1" t="s">
        <v>5555</v>
      </c>
      <c r="U5742" s="2" t="s">
        <v>326</v>
      </c>
      <c r="V5742" s="2" t="s">
        <v>36</v>
      </c>
      <c r="W5742" s="2" t="s">
        <v>37</v>
      </c>
      <c r="X5742" s="2">
        <v>230.965</v>
      </c>
    </row>
    <row r="5743" spans="1:24" x14ac:dyDescent="0.3">
      <c r="A5743">
        <v>23567</v>
      </c>
      <c r="B5743" t="s">
        <v>12094</v>
      </c>
      <c r="C5743" s="3">
        <v>40689</v>
      </c>
      <c r="D5743" t="s">
        <v>62</v>
      </c>
      <c r="E5743">
        <v>8</v>
      </c>
      <c r="F5743" s="3">
        <f ca="1">40690+(RANDBETWEEN(1,10))</f>
        <v>40698</v>
      </c>
      <c r="G5743" t="s">
        <v>26</v>
      </c>
      <c r="H5743" t="s">
        <v>96</v>
      </c>
      <c r="I5743" t="s">
        <v>86</v>
      </c>
      <c r="J5743">
        <v>74.935000000000002</v>
      </c>
      <c r="K5743">
        <v>0.05</v>
      </c>
      <c r="L5743">
        <v>0.39</v>
      </c>
      <c r="M5743">
        <v>2.8</v>
      </c>
      <c r="N5743">
        <v>44.484999999999999</v>
      </c>
      <c r="O5743" s="1" t="s">
        <v>64</v>
      </c>
      <c r="P5743" s="1" t="s">
        <v>12095</v>
      </c>
      <c r="Q5743" s="1" t="s">
        <v>12096</v>
      </c>
      <c r="R5743" s="1" t="s">
        <v>128</v>
      </c>
      <c r="S5743" s="1" t="s">
        <v>5708</v>
      </c>
      <c r="T5743" s="1" t="s">
        <v>5709</v>
      </c>
      <c r="U5743" s="2" t="s">
        <v>2672</v>
      </c>
      <c r="V5743" s="2" t="s">
        <v>47</v>
      </c>
      <c r="W5743" s="2" t="s">
        <v>176</v>
      </c>
      <c r="X5743" s="2">
        <v>9.17</v>
      </c>
    </row>
    <row r="5744" spans="1:24" x14ac:dyDescent="0.3">
      <c r="A5744">
        <v>23568</v>
      </c>
      <c r="B5744" t="s">
        <v>12097</v>
      </c>
      <c r="C5744" s="3">
        <v>40707</v>
      </c>
      <c r="D5744" t="s">
        <v>25</v>
      </c>
      <c r="E5744">
        <v>11</v>
      </c>
      <c r="F5744" s="3">
        <f ca="1">40711+(RANDBETWEEN(1,10))</f>
        <v>40718</v>
      </c>
      <c r="G5744" t="s">
        <v>26</v>
      </c>
      <c r="H5744" t="s">
        <v>27</v>
      </c>
      <c r="I5744" t="s">
        <v>28</v>
      </c>
      <c r="J5744">
        <v>1165.57</v>
      </c>
      <c r="K5744">
        <v>0.03</v>
      </c>
      <c r="L5744">
        <v>0.79</v>
      </c>
      <c r="M5744">
        <v>22.75</v>
      </c>
      <c r="N5744">
        <v>-403.76</v>
      </c>
      <c r="O5744" s="1" t="s">
        <v>53</v>
      </c>
      <c r="P5744" s="1" t="s">
        <v>10416</v>
      </c>
      <c r="Q5744" s="1" t="s">
        <v>10417</v>
      </c>
      <c r="R5744" s="1" t="s">
        <v>440</v>
      </c>
      <c r="S5744" s="1" t="s">
        <v>10418</v>
      </c>
      <c r="T5744" s="1" t="s">
        <v>10419</v>
      </c>
      <c r="U5744" s="2" t="s">
        <v>4252</v>
      </c>
      <c r="V5744" s="2" t="s">
        <v>36</v>
      </c>
      <c r="W5744" s="2" t="s">
        <v>60</v>
      </c>
      <c r="X5744" s="2">
        <v>108.43</v>
      </c>
    </row>
    <row r="5745" spans="1:24" x14ac:dyDescent="0.3">
      <c r="A5745">
        <v>23569</v>
      </c>
      <c r="B5745" t="s">
        <v>12098</v>
      </c>
      <c r="C5745" s="3">
        <v>41427</v>
      </c>
      <c r="D5745" t="s">
        <v>62</v>
      </c>
      <c r="E5745">
        <v>17</v>
      </c>
      <c r="F5745" s="3">
        <f ca="1">41427+(RANDBETWEEN(1,10))</f>
        <v>41431</v>
      </c>
      <c r="G5745" t="s">
        <v>76</v>
      </c>
      <c r="H5745" t="s">
        <v>77</v>
      </c>
      <c r="I5745" t="s">
        <v>97</v>
      </c>
      <c r="J5745">
        <v>7202.79</v>
      </c>
      <c r="K5745">
        <v>0.03</v>
      </c>
      <c r="L5745">
        <v>0.74</v>
      </c>
      <c r="M5745">
        <v>245.7</v>
      </c>
      <c r="N5745">
        <v>-5530.7280000000001</v>
      </c>
      <c r="O5745" s="1" t="s">
        <v>87</v>
      </c>
      <c r="P5745" s="1" t="s">
        <v>8487</v>
      </c>
      <c r="Q5745" s="1" t="s">
        <v>8488</v>
      </c>
      <c r="R5745" s="1" t="s">
        <v>90</v>
      </c>
      <c r="S5745" s="1" t="s">
        <v>8489</v>
      </c>
      <c r="T5745" s="1" t="s">
        <v>8490</v>
      </c>
      <c r="U5745" s="2" t="s">
        <v>358</v>
      </c>
      <c r="V5745" s="2" t="s">
        <v>83</v>
      </c>
      <c r="W5745" s="2" t="s">
        <v>84</v>
      </c>
      <c r="X5745" s="2">
        <v>430.46499999999997</v>
      </c>
    </row>
    <row r="5746" spans="1:24" x14ac:dyDescent="0.3">
      <c r="A5746">
        <v>23570</v>
      </c>
      <c r="B5746" t="s">
        <v>12099</v>
      </c>
      <c r="C5746" s="3">
        <v>41761</v>
      </c>
      <c r="D5746" t="s">
        <v>50</v>
      </c>
      <c r="E5746">
        <v>8</v>
      </c>
      <c r="F5746" s="3">
        <f ca="1">41763+(RANDBETWEEN(1,10))</f>
        <v>41773</v>
      </c>
      <c r="G5746" t="s">
        <v>26</v>
      </c>
      <c r="H5746" t="s">
        <v>27</v>
      </c>
      <c r="I5746" t="s">
        <v>52</v>
      </c>
      <c r="J5746">
        <v>193.095</v>
      </c>
      <c r="K5746">
        <v>0.09</v>
      </c>
      <c r="L5746">
        <v>0.39</v>
      </c>
      <c r="M5746">
        <v>21.175000000000001</v>
      </c>
      <c r="N5746">
        <v>-250.59649999999999</v>
      </c>
      <c r="O5746" s="1" t="s">
        <v>40</v>
      </c>
      <c r="P5746" s="1" t="s">
        <v>9369</v>
      </c>
      <c r="Q5746" s="1" t="s">
        <v>9370</v>
      </c>
      <c r="R5746" s="1" t="s">
        <v>220</v>
      </c>
      <c r="S5746" s="1" t="s">
        <v>9371</v>
      </c>
      <c r="T5746" s="1" t="s">
        <v>9372</v>
      </c>
      <c r="U5746" s="2" t="s">
        <v>2669</v>
      </c>
      <c r="V5746" s="2" t="s">
        <v>47</v>
      </c>
      <c r="W5746" s="2" t="s">
        <v>111</v>
      </c>
      <c r="X5746" s="2">
        <v>24.85</v>
      </c>
    </row>
    <row r="5747" spans="1:24" x14ac:dyDescent="0.3">
      <c r="A5747">
        <v>23571</v>
      </c>
      <c r="B5747" t="s">
        <v>12099</v>
      </c>
      <c r="C5747" s="3">
        <v>41761</v>
      </c>
      <c r="D5747" t="s">
        <v>50</v>
      </c>
      <c r="E5747">
        <v>6</v>
      </c>
      <c r="F5747" s="3">
        <f ca="1">41762+(RANDBETWEEN(1,10))</f>
        <v>41768</v>
      </c>
      <c r="G5747" t="s">
        <v>26</v>
      </c>
      <c r="H5747" t="s">
        <v>27</v>
      </c>
      <c r="I5747" t="s">
        <v>52</v>
      </c>
      <c r="J5747">
        <v>2248.0149999999999</v>
      </c>
      <c r="K5747">
        <v>0.02</v>
      </c>
      <c r="L5747">
        <v>0.6</v>
      </c>
      <c r="M5747">
        <v>8.75</v>
      </c>
      <c r="N5747">
        <v>879.19650000000001</v>
      </c>
      <c r="O5747" s="1" t="s">
        <v>40</v>
      </c>
      <c r="P5747" s="1" t="s">
        <v>9369</v>
      </c>
      <c r="Q5747" s="1" t="s">
        <v>9370</v>
      </c>
      <c r="R5747" s="1" t="s">
        <v>220</v>
      </c>
      <c r="S5747" s="1" t="s">
        <v>9371</v>
      </c>
      <c r="T5747" s="1" t="s">
        <v>9372</v>
      </c>
      <c r="U5747" s="2" t="s">
        <v>4222</v>
      </c>
      <c r="V5747" s="2" t="s">
        <v>36</v>
      </c>
      <c r="W5747" s="2" t="s">
        <v>37</v>
      </c>
      <c r="X5747" s="2">
        <v>440.96499999999997</v>
      </c>
    </row>
    <row r="5748" spans="1:24" x14ac:dyDescent="0.3">
      <c r="A5748">
        <v>23572</v>
      </c>
      <c r="B5748" t="s">
        <v>12100</v>
      </c>
      <c r="C5748" s="3">
        <v>40716</v>
      </c>
      <c r="D5748" t="s">
        <v>25</v>
      </c>
      <c r="E5748">
        <v>7</v>
      </c>
      <c r="F5748" s="3">
        <f ca="1">40720+(RANDBETWEEN(1,10))</f>
        <v>40730</v>
      </c>
      <c r="G5748" t="s">
        <v>156</v>
      </c>
      <c r="H5748" t="s">
        <v>27</v>
      </c>
      <c r="I5748" t="s">
        <v>97</v>
      </c>
      <c r="J5748">
        <v>125.755</v>
      </c>
      <c r="K5748">
        <v>0.04</v>
      </c>
      <c r="L5748">
        <v>0.37</v>
      </c>
      <c r="M5748">
        <v>8.75</v>
      </c>
      <c r="N5748">
        <v>36.119999999999997</v>
      </c>
      <c r="O5748" s="1" t="s">
        <v>53</v>
      </c>
      <c r="P5748" s="1" t="s">
        <v>11085</v>
      </c>
      <c r="Q5748" s="1" t="s">
        <v>11086</v>
      </c>
      <c r="R5748" s="1" t="s">
        <v>440</v>
      </c>
      <c r="S5748" s="1" t="s">
        <v>11087</v>
      </c>
      <c r="T5748" s="1" t="s">
        <v>11088</v>
      </c>
      <c r="U5748" s="2" t="s">
        <v>5395</v>
      </c>
      <c r="V5748" s="2" t="s">
        <v>47</v>
      </c>
      <c r="W5748" s="2" t="s">
        <v>48</v>
      </c>
      <c r="X5748" s="2">
        <v>15.68</v>
      </c>
    </row>
    <row r="5749" spans="1:24" x14ac:dyDescent="0.3">
      <c r="A5749">
        <v>23573</v>
      </c>
      <c r="B5749" t="s">
        <v>12101</v>
      </c>
      <c r="C5749" s="3">
        <v>41863</v>
      </c>
      <c r="D5749" t="s">
        <v>25</v>
      </c>
      <c r="E5749">
        <v>19</v>
      </c>
      <c r="F5749" s="3">
        <f ca="1">41863+(RANDBETWEEN(1,10))</f>
        <v>41871</v>
      </c>
      <c r="G5749" t="s">
        <v>26</v>
      </c>
      <c r="H5749" t="s">
        <v>51</v>
      </c>
      <c r="I5749" t="s">
        <v>86</v>
      </c>
      <c r="J5749">
        <v>798.07</v>
      </c>
      <c r="K5749">
        <v>0.02</v>
      </c>
      <c r="L5749">
        <v>0.6</v>
      </c>
      <c r="M5749">
        <v>20.335000000000001</v>
      </c>
      <c r="N5749">
        <v>-91.429239999999993</v>
      </c>
      <c r="O5749" s="1" t="s">
        <v>87</v>
      </c>
      <c r="P5749" s="1" t="s">
        <v>11495</v>
      </c>
      <c r="Q5749" s="1" t="s">
        <v>11496</v>
      </c>
      <c r="R5749" s="1" t="s">
        <v>90</v>
      </c>
      <c r="S5749" s="1" t="s">
        <v>4145</v>
      </c>
      <c r="T5749" s="1" t="s">
        <v>4146</v>
      </c>
      <c r="U5749" s="2" t="s">
        <v>1353</v>
      </c>
      <c r="V5749" s="2" t="s">
        <v>47</v>
      </c>
      <c r="W5749" s="2" t="s">
        <v>104</v>
      </c>
      <c r="X5749" s="2">
        <v>41.895000000000003</v>
      </c>
    </row>
    <row r="5750" spans="1:24" x14ac:dyDescent="0.3">
      <c r="A5750">
        <v>23574</v>
      </c>
      <c r="B5750" t="s">
        <v>12101</v>
      </c>
      <c r="C5750" s="3">
        <v>41863</v>
      </c>
      <c r="D5750" t="s">
        <v>25</v>
      </c>
      <c r="E5750">
        <v>9</v>
      </c>
      <c r="F5750" s="3">
        <f ca="1">41867+(RANDBETWEEN(1,10))</f>
        <v>41875</v>
      </c>
      <c r="G5750" t="s">
        <v>76</v>
      </c>
      <c r="H5750" t="s">
        <v>77</v>
      </c>
      <c r="I5750" t="s">
        <v>86</v>
      </c>
      <c r="J5750">
        <v>5270.9650000000001</v>
      </c>
      <c r="K5750">
        <v>0.03</v>
      </c>
      <c r="L5750">
        <v>0.55000000000000004</v>
      </c>
      <c r="M5750">
        <v>210</v>
      </c>
      <c r="N5750">
        <v>90.848519999999994</v>
      </c>
      <c r="O5750" s="1" t="s">
        <v>87</v>
      </c>
      <c r="P5750" s="1" t="s">
        <v>11495</v>
      </c>
      <c r="Q5750" s="1" t="s">
        <v>11496</v>
      </c>
      <c r="R5750" s="1" t="s">
        <v>90</v>
      </c>
      <c r="S5750" s="1" t="s">
        <v>4145</v>
      </c>
      <c r="T5750" s="1" t="s">
        <v>4146</v>
      </c>
      <c r="U5750" s="2" t="s">
        <v>1963</v>
      </c>
      <c r="V5750" s="2" t="s">
        <v>83</v>
      </c>
      <c r="W5750" s="2" t="s">
        <v>263</v>
      </c>
      <c r="X5750" s="2">
        <v>557.58500000000004</v>
      </c>
    </row>
    <row r="5751" spans="1:24" x14ac:dyDescent="0.3">
      <c r="A5751">
        <v>23575</v>
      </c>
      <c r="B5751" t="s">
        <v>12102</v>
      </c>
      <c r="C5751" s="3">
        <v>41381</v>
      </c>
      <c r="D5751" t="s">
        <v>50</v>
      </c>
      <c r="E5751">
        <v>11</v>
      </c>
      <c r="F5751" s="3">
        <f ca="1">41383+(RANDBETWEEN(1,10))</f>
        <v>41384</v>
      </c>
      <c r="G5751" t="s">
        <v>26</v>
      </c>
      <c r="H5751" t="s">
        <v>27</v>
      </c>
      <c r="I5751" t="s">
        <v>28</v>
      </c>
      <c r="J5751">
        <v>1562.2249999999999</v>
      </c>
      <c r="K5751">
        <v>0.03</v>
      </c>
      <c r="L5751">
        <v>0.77</v>
      </c>
      <c r="M5751">
        <v>69.965000000000003</v>
      </c>
      <c r="N5751">
        <v>-1974.21</v>
      </c>
      <c r="O5751" s="1" t="s">
        <v>225</v>
      </c>
      <c r="P5751" s="1" t="s">
        <v>8136</v>
      </c>
      <c r="Q5751" s="1" t="s">
        <v>8137</v>
      </c>
      <c r="R5751" s="1" t="s">
        <v>228</v>
      </c>
      <c r="S5751" s="1" t="s">
        <v>8138</v>
      </c>
      <c r="T5751" s="1" t="s">
        <v>8139</v>
      </c>
      <c r="U5751" s="2" t="s">
        <v>171</v>
      </c>
      <c r="V5751" s="2" t="s">
        <v>36</v>
      </c>
      <c r="W5751" s="2" t="s">
        <v>60</v>
      </c>
      <c r="X5751" s="2">
        <v>141.68</v>
      </c>
    </row>
    <row r="5752" spans="1:24" x14ac:dyDescent="0.3">
      <c r="A5752">
        <v>23576</v>
      </c>
      <c r="B5752" t="s">
        <v>12102</v>
      </c>
      <c r="C5752" s="3">
        <v>41381</v>
      </c>
      <c r="D5752" t="s">
        <v>50</v>
      </c>
      <c r="E5752">
        <v>11</v>
      </c>
      <c r="F5752" s="3">
        <f ca="1">41383+(RANDBETWEEN(1,10))</f>
        <v>41384</v>
      </c>
      <c r="G5752" t="s">
        <v>26</v>
      </c>
      <c r="H5752" t="s">
        <v>27</v>
      </c>
      <c r="I5752" t="s">
        <v>28</v>
      </c>
      <c r="J5752">
        <v>163.13499999999999</v>
      </c>
      <c r="K5752">
        <v>0.08</v>
      </c>
      <c r="L5752">
        <v>0.4</v>
      </c>
      <c r="M5752">
        <v>19.88</v>
      </c>
      <c r="N5752">
        <v>-471.66</v>
      </c>
      <c r="O5752" s="1" t="s">
        <v>225</v>
      </c>
      <c r="P5752" s="1" t="s">
        <v>8136</v>
      </c>
      <c r="Q5752" s="1" t="s">
        <v>8137</v>
      </c>
      <c r="R5752" s="1" t="s">
        <v>228</v>
      </c>
      <c r="S5752" s="1" t="s">
        <v>8138</v>
      </c>
      <c r="T5752" s="1" t="s">
        <v>8139</v>
      </c>
      <c r="U5752" s="2" t="s">
        <v>5040</v>
      </c>
      <c r="V5752" s="2" t="s">
        <v>47</v>
      </c>
      <c r="W5752" s="2" t="s">
        <v>74</v>
      </c>
      <c r="X5752" s="2">
        <v>14.98</v>
      </c>
    </row>
    <row r="5753" spans="1:24" x14ac:dyDescent="0.3">
      <c r="A5753">
        <v>23577</v>
      </c>
      <c r="B5753" t="s">
        <v>12102</v>
      </c>
      <c r="C5753" s="3">
        <v>41381</v>
      </c>
      <c r="D5753" t="s">
        <v>50</v>
      </c>
      <c r="E5753">
        <v>9</v>
      </c>
      <c r="F5753" s="3">
        <f ca="1">41384+(RANDBETWEEN(1,10))</f>
        <v>41386</v>
      </c>
      <c r="G5753" t="s">
        <v>26</v>
      </c>
      <c r="H5753" t="s">
        <v>27</v>
      </c>
      <c r="I5753" t="s">
        <v>28</v>
      </c>
      <c r="J5753">
        <v>5434.24</v>
      </c>
      <c r="K5753">
        <v>0.01</v>
      </c>
      <c r="L5753">
        <v>0.59</v>
      </c>
      <c r="M5753">
        <v>14.7</v>
      </c>
      <c r="N5753">
        <v>3749.6255999999998</v>
      </c>
      <c r="O5753" s="1" t="s">
        <v>87</v>
      </c>
      <c r="P5753" s="1" t="s">
        <v>12103</v>
      </c>
      <c r="Q5753" s="1" t="s">
        <v>12104</v>
      </c>
      <c r="R5753" s="1" t="s">
        <v>398</v>
      </c>
      <c r="S5753" s="1" t="s">
        <v>3333</v>
      </c>
      <c r="T5753" s="1" t="s">
        <v>12105</v>
      </c>
      <c r="U5753" s="2" t="s">
        <v>2133</v>
      </c>
      <c r="V5753" s="2" t="s">
        <v>36</v>
      </c>
      <c r="W5753" s="2" t="s">
        <v>37</v>
      </c>
      <c r="X5753" s="2">
        <v>703.46500000000003</v>
      </c>
    </row>
    <row r="5754" spans="1:24" x14ac:dyDescent="0.3">
      <c r="A5754">
        <v>23578</v>
      </c>
      <c r="B5754" t="s">
        <v>12106</v>
      </c>
      <c r="C5754" s="3">
        <v>40764</v>
      </c>
      <c r="D5754" t="s">
        <v>25</v>
      </c>
      <c r="E5754">
        <v>13</v>
      </c>
      <c r="F5754" s="3">
        <f ca="1">40768+(RANDBETWEEN(1,10))</f>
        <v>40775</v>
      </c>
      <c r="G5754" t="s">
        <v>26</v>
      </c>
      <c r="H5754" t="s">
        <v>27</v>
      </c>
      <c r="I5754" t="s">
        <v>86</v>
      </c>
      <c r="J5754">
        <v>182.56</v>
      </c>
      <c r="K5754">
        <v>0.1</v>
      </c>
      <c r="L5754">
        <v>0.39</v>
      </c>
      <c r="M5754">
        <v>3.4649999999999999</v>
      </c>
      <c r="N5754">
        <v>-141.85499999999999</v>
      </c>
      <c r="O5754" s="1" t="s">
        <v>53</v>
      </c>
      <c r="P5754" s="1" t="s">
        <v>9651</v>
      </c>
      <c r="Q5754" s="1" t="s">
        <v>9652</v>
      </c>
      <c r="R5754" s="1" t="s">
        <v>440</v>
      </c>
      <c r="S5754" s="1" t="s">
        <v>9653</v>
      </c>
      <c r="T5754" s="1" t="s">
        <v>9654</v>
      </c>
      <c r="U5754" s="2" t="s">
        <v>2720</v>
      </c>
      <c r="V5754" s="2" t="s">
        <v>47</v>
      </c>
      <c r="W5754" s="2" t="s">
        <v>203</v>
      </c>
      <c r="X5754" s="2">
        <v>14.455</v>
      </c>
    </row>
    <row r="5755" spans="1:24" x14ac:dyDescent="0.3">
      <c r="A5755">
        <v>23579</v>
      </c>
      <c r="B5755" t="s">
        <v>12107</v>
      </c>
      <c r="C5755" s="3">
        <v>41381</v>
      </c>
      <c r="D5755" t="s">
        <v>25</v>
      </c>
      <c r="E5755">
        <v>8</v>
      </c>
      <c r="F5755" s="3">
        <f ca="1">41390+(RANDBETWEEN(1,10))</f>
        <v>41398</v>
      </c>
      <c r="G5755" t="s">
        <v>26</v>
      </c>
      <c r="H5755" t="s">
        <v>96</v>
      </c>
      <c r="I5755" t="s">
        <v>28</v>
      </c>
      <c r="J5755">
        <v>206.01</v>
      </c>
      <c r="K5755">
        <v>0.01</v>
      </c>
      <c r="L5755">
        <v>0.39</v>
      </c>
      <c r="M5755">
        <v>7</v>
      </c>
      <c r="N5755">
        <v>142.14689999999999</v>
      </c>
      <c r="O5755" s="1" t="s">
        <v>53</v>
      </c>
      <c r="P5755" s="1" t="s">
        <v>12108</v>
      </c>
      <c r="Q5755" s="1" t="s">
        <v>12109</v>
      </c>
      <c r="R5755" s="1" t="s">
        <v>440</v>
      </c>
      <c r="S5755" s="1" t="s">
        <v>12110</v>
      </c>
      <c r="T5755" s="1" t="s">
        <v>12111</v>
      </c>
      <c r="U5755" s="2" t="s">
        <v>336</v>
      </c>
      <c r="V5755" s="2" t="s">
        <v>47</v>
      </c>
      <c r="W5755" s="2" t="s">
        <v>74</v>
      </c>
      <c r="X5755" s="2">
        <v>24.08</v>
      </c>
    </row>
    <row r="5756" spans="1:24" x14ac:dyDescent="0.3">
      <c r="A5756">
        <v>23580</v>
      </c>
      <c r="B5756" t="s">
        <v>12112</v>
      </c>
      <c r="C5756" s="3">
        <v>41886</v>
      </c>
      <c r="D5756" t="s">
        <v>25</v>
      </c>
      <c r="E5756">
        <v>20</v>
      </c>
      <c r="F5756" s="3">
        <f ca="1">41891+(RANDBETWEEN(1,10))</f>
        <v>41896</v>
      </c>
      <c r="G5756" t="s">
        <v>26</v>
      </c>
      <c r="H5756" t="s">
        <v>27</v>
      </c>
      <c r="I5756" t="s">
        <v>28</v>
      </c>
      <c r="J5756">
        <v>2049.4250000000002</v>
      </c>
      <c r="K5756">
        <v>0.01</v>
      </c>
      <c r="L5756">
        <v>0.38</v>
      </c>
      <c r="M5756">
        <v>28.805</v>
      </c>
      <c r="N5756">
        <v>1334.1887999999999</v>
      </c>
      <c r="O5756" s="1" t="s">
        <v>87</v>
      </c>
      <c r="P5756" s="1" t="s">
        <v>9859</v>
      </c>
      <c r="Q5756" s="1" t="s">
        <v>9860</v>
      </c>
      <c r="R5756" s="1" t="s">
        <v>398</v>
      </c>
      <c r="S5756" s="1" t="s">
        <v>9861</v>
      </c>
      <c r="T5756" s="1" t="s">
        <v>9862</v>
      </c>
      <c r="U5756" s="2" t="s">
        <v>4741</v>
      </c>
      <c r="V5756" s="2" t="s">
        <v>47</v>
      </c>
      <c r="W5756" s="2" t="s">
        <v>48</v>
      </c>
      <c r="X5756" s="2">
        <v>95.13</v>
      </c>
    </row>
    <row r="5757" spans="1:24" x14ac:dyDescent="0.3">
      <c r="A5757">
        <v>23581</v>
      </c>
      <c r="B5757" t="s">
        <v>12113</v>
      </c>
      <c r="C5757" s="3">
        <v>41637</v>
      </c>
      <c r="D5757" t="s">
        <v>50</v>
      </c>
      <c r="E5757">
        <v>16</v>
      </c>
      <c r="F5757" s="3">
        <f ca="1">41638+(RANDBETWEEN(1,10))</f>
        <v>41640</v>
      </c>
      <c r="G5757" t="s">
        <v>26</v>
      </c>
      <c r="H5757" t="s">
        <v>96</v>
      </c>
      <c r="I5757" t="s">
        <v>28</v>
      </c>
      <c r="J5757">
        <v>290.815</v>
      </c>
      <c r="K5757">
        <v>0.01</v>
      </c>
      <c r="L5757">
        <v>0.51</v>
      </c>
      <c r="M5757">
        <v>12.705</v>
      </c>
      <c r="N5757">
        <v>-39.795000000000002</v>
      </c>
      <c r="O5757" s="1" t="s">
        <v>29</v>
      </c>
      <c r="P5757" s="1" t="s">
        <v>11403</v>
      </c>
      <c r="Q5757" s="1" t="s">
        <v>11404</v>
      </c>
      <c r="R5757" s="1" t="s">
        <v>32</v>
      </c>
      <c r="S5757" s="1" t="s">
        <v>3689</v>
      </c>
      <c r="T5757" s="1" t="s">
        <v>3690</v>
      </c>
      <c r="U5757" s="2" t="s">
        <v>4165</v>
      </c>
      <c r="V5757" s="2" t="s">
        <v>83</v>
      </c>
      <c r="W5757" s="2" t="s">
        <v>178</v>
      </c>
      <c r="X5757" s="2">
        <v>17.78</v>
      </c>
    </row>
    <row r="5758" spans="1:24" x14ac:dyDescent="0.3">
      <c r="A5758">
        <v>23582</v>
      </c>
      <c r="B5758" t="s">
        <v>12114</v>
      </c>
      <c r="C5758" s="3">
        <v>41413</v>
      </c>
      <c r="D5758" t="s">
        <v>50</v>
      </c>
      <c r="E5758">
        <v>1</v>
      </c>
      <c r="F5758" s="3">
        <f ca="1">41415+(RANDBETWEEN(1,10))</f>
        <v>41424</v>
      </c>
      <c r="G5758" t="s">
        <v>26</v>
      </c>
      <c r="H5758" t="s">
        <v>27</v>
      </c>
      <c r="I5758" t="s">
        <v>28</v>
      </c>
      <c r="J5758">
        <v>36.68</v>
      </c>
      <c r="K5758">
        <v>0.04</v>
      </c>
      <c r="L5758">
        <v>0.38</v>
      </c>
      <c r="M5758">
        <v>23.905000000000001</v>
      </c>
      <c r="N5758">
        <v>-19.038250000000001</v>
      </c>
      <c r="O5758" s="1" t="s">
        <v>225</v>
      </c>
      <c r="P5758" s="1" t="s">
        <v>3072</v>
      </c>
      <c r="Q5758" s="1" t="s">
        <v>3073</v>
      </c>
      <c r="R5758" s="1" t="s">
        <v>228</v>
      </c>
      <c r="S5758" s="1" t="s">
        <v>1794</v>
      </c>
      <c r="T5758" s="1" t="s">
        <v>548</v>
      </c>
      <c r="U5758" s="2" t="s">
        <v>6885</v>
      </c>
      <c r="V5758" s="2" t="s">
        <v>47</v>
      </c>
      <c r="W5758" s="2" t="s">
        <v>111</v>
      </c>
      <c r="X5758" s="2">
        <v>12.32</v>
      </c>
    </row>
    <row r="5759" spans="1:24" x14ac:dyDescent="0.3">
      <c r="A5759">
        <v>23583</v>
      </c>
      <c r="B5759" t="s">
        <v>12115</v>
      </c>
      <c r="C5759" s="3">
        <v>40757</v>
      </c>
      <c r="D5759" t="s">
        <v>62</v>
      </c>
      <c r="E5759">
        <v>19</v>
      </c>
      <c r="F5759" s="3">
        <f ca="1">40758+(RANDBETWEEN(1,10))</f>
        <v>40765</v>
      </c>
      <c r="G5759" t="s">
        <v>26</v>
      </c>
      <c r="H5759" t="s">
        <v>27</v>
      </c>
      <c r="I5759" t="s">
        <v>97</v>
      </c>
      <c r="J5759">
        <v>914.23500000000001</v>
      </c>
      <c r="K5759">
        <v>0</v>
      </c>
      <c r="L5759">
        <v>0.35</v>
      </c>
      <c r="M5759">
        <v>5.2149999999999999</v>
      </c>
      <c r="N5759">
        <v>630.82214999999997</v>
      </c>
      <c r="O5759" s="1" t="s">
        <v>40</v>
      </c>
      <c r="P5759" s="1" t="s">
        <v>5339</v>
      </c>
      <c r="Q5759" s="1" t="s">
        <v>5340</v>
      </c>
      <c r="R5759" s="1" t="s">
        <v>43</v>
      </c>
      <c r="S5759" s="1" t="s">
        <v>5341</v>
      </c>
      <c r="T5759" s="1" t="s">
        <v>5342</v>
      </c>
      <c r="U5759" s="2" t="s">
        <v>2551</v>
      </c>
      <c r="V5759" s="2" t="s">
        <v>47</v>
      </c>
      <c r="W5759" s="2" t="s">
        <v>111</v>
      </c>
      <c r="X5759" s="2">
        <v>45.395000000000003</v>
      </c>
    </row>
    <row r="5760" spans="1:24" x14ac:dyDescent="0.3">
      <c r="A5760">
        <v>23584</v>
      </c>
      <c r="B5760" t="s">
        <v>12115</v>
      </c>
      <c r="C5760" s="3">
        <v>40757</v>
      </c>
      <c r="D5760" t="s">
        <v>62</v>
      </c>
      <c r="E5760">
        <v>9</v>
      </c>
      <c r="F5760" s="3">
        <f ca="1">40757+(RANDBETWEEN(1,10))</f>
        <v>40765</v>
      </c>
      <c r="G5760" t="s">
        <v>26</v>
      </c>
      <c r="H5760" t="s">
        <v>27</v>
      </c>
      <c r="I5760" t="s">
        <v>97</v>
      </c>
      <c r="J5760">
        <v>149.76499999999999</v>
      </c>
      <c r="K5760">
        <v>0.06</v>
      </c>
      <c r="L5760">
        <v>0.36</v>
      </c>
      <c r="M5760">
        <v>1.75</v>
      </c>
      <c r="N5760">
        <v>103.33785</v>
      </c>
      <c r="O5760" s="1" t="s">
        <v>40</v>
      </c>
      <c r="P5760" s="1" t="s">
        <v>5339</v>
      </c>
      <c r="Q5760" s="1" t="s">
        <v>5340</v>
      </c>
      <c r="R5760" s="1" t="s">
        <v>43</v>
      </c>
      <c r="S5760" s="1" t="s">
        <v>5341</v>
      </c>
      <c r="T5760" s="1" t="s">
        <v>5342</v>
      </c>
      <c r="U5760" s="2" t="s">
        <v>2281</v>
      </c>
      <c r="V5760" s="2" t="s">
        <v>47</v>
      </c>
      <c r="W5760" s="2" t="s">
        <v>203</v>
      </c>
      <c r="X5760" s="2">
        <v>17.184999999999999</v>
      </c>
    </row>
    <row r="5761" spans="1:24" x14ac:dyDescent="0.3">
      <c r="A5761">
        <v>23585</v>
      </c>
      <c r="B5761" t="s">
        <v>12116</v>
      </c>
      <c r="C5761" s="3">
        <v>41408</v>
      </c>
      <c r="D5761" t="s">
        <v>25</v>
      </c>
      <c r="E5761">
        <v>4</v>
      </c>
      <c r="F5761" s="3">
        <f ca="1">41415+(RANDBETWEEN(1,10))</f>
        <v>41417</v>
      </c>
      <c r="G5761" t="s">
        <v>156</v>
      </c>
      <c r="H5761" t="s">
        <v>96</v>
      </c>
      <c r="I5761" t="s">
        <v>86</v>
      </c>
      <c r="J5761">
        <v>123.27</v>
      </c>
      <c r="K5761">
        <v>0</v>
      </c>
      <c r="L5761">
        <v>0.36</v>
      </c>
      <c r="M5761">
        <v>20.405000000000001</v>
      </c>
      <c r="N5761">
        <v>-46.375</v>
      </c>
      <c r="O5761" s="1" t="s">
        <v>40</v>
      </c>
      <c r="P5761" s="1" t="s">
        <v>12117</v>
      </c>
      <c r="Q5761" s="1" t="s">
        <v>12118</v>
      </c>
      <c r="R5761" s="1" t="s">
        <v>43</v>
      </c>
      <c r="S5761" s="1" t="s">
        <v>11113</v>
      </c>
      <c r="T5761" s="1" t="s">
        <v>11114</v>
      </c>
      <c r="U5761" s="2" t="s">
        <v>605</v>
      </c>
      <c r="V5761" s="2" t="s">
        <v>47</v>
      </c>
      <c r="W5761" s="2" t="s">
        <v>74</v>
      </c>
      <c r="X5761" s="2">
        <v>26.74</v>
      </c>
    </row>
    <row r="5762" spans="1:24" x14ac:dyDescent="0.3">
      <c r="A5762">
        <v>23586</v>
      </c>
      <c r="B5762" t="s">
        <v>12119</v>
      </c>
      <c r="C5762" s="3">
        <v>41625</v>
      </c>
      <c r="D5762" t="s">
        <v>50</v>
      </c>
      <c r="E5762">
        <v>17</v>
      </c>
      <c r="F5762" s="3">
        <f ca="1">41627+(RANDBETWEEN(1,10))</f>
        <v>41637</v>
      </c>
      <c r="G5762" t="s">
        <v>26</v>
      </c>
      <c r="H5762" t="s">
        <v>96</v>
      </c>
      <c r="I5762" t="s">
        <v>86</v>
      </c>
      <c r="J5762">
        <v>2314.5149999999999</v>
      </c>
      <c r="K5762">
        <v>0.08</v>
      </c>
      <c r="L5762">
        <v>0.65</v>
      </c>
      <c r="M5762">
        <v>32.200000000000003</v>
      </c>
      <c r="N5762">
        <v>1062.9675</v>
      </c>
      <c r="O5762" s="1" t="s">
        <v>225</v>
      </c>
      <c r="P5762" s="1" t="s">
        <v>12120</v>
      </c>
      <c r="Q5762" s="1" t="s">
        <v>12121</v>
      </c>
      <c r="R5762" s="1" t="s">
        <v>228</v>
      </c>
      <c r="S5762" s="1" t="s">
        <v>12122</v>
      </c>
      <c r="T5762" s="1" t="s">
        <v>12123</v>
      </c>
      <c r="U5762" s="2" t="s">
        <v>5818</v>
      </c>
      <c r="V5762" s="2" t="s">
        <v>83</v>
      </c>
      <c r="W5762" s="2" t="s">
        <v>178</v>
      </c>
      <c r="X5762" s="2">
        <v>139.93</v>
      </c>
    </row>
    <row r="5763" spans="1:24" x14ac:dyDescent="0.3">
      <c r="A5763">
        <v>23587</v>
      </c>
      <c r="B5763" t="s">
        <v>12119</v>
      </c>
      <c r="C5763" s="3">
        <v>41625</v>
      </c>
      <c r="D5763" t="s">
        <v>50</v>
      </c>
      <c r="E5763">
        <v>14</v>
      </c>
      <c r="F5763" s="3">
        <f ca="1">41627+(RANDBETWEEN(1,10))</f>
        <v>41631</v>
      </c>
      <c r="G5763" t="s">
        <v>26</v>
      </c>
      <c r="H5763" t="s">
        <v>96</v>
      </c>
      <c r="I5763" t="s">
        <v>86</v>
      </c>
      <c r="J5763">
        <v>296.55500000000001</v>
      </c>
      <c r="K5763">
        <v>0.02</v>
      </c>
      <c r="L5763">
        <v>0.55000000000000004</v>
      </c>
      <c r="M5763">
        <v>4.2</v>
      </c>
      <c r="N5763">
        <v>179.76</v>
      </c>
      <c r="O5763" s="1" t="s">
        <v>225</v>
      </c>
      <c r="P5763" s="1" t="s">
        <v>12120</v>
      </c>
      <c r="Q5763" s="1" t="s">
        <v>12121</v>
      </c>
      <c r="R5763" s="1" t="s">
        <v>228</v>
      </c>
      <c r="S5763" s="1" t="s">
        <v>12122</v>
      </c>
      <c r="T5763" s="1" t="s">
        <v>12123</v>
      </c>
      <c r="U5763" s="2" t="s">
        <v>4460</v>
      </c>
      <c r="V5763" s="2" t="s">
        <v>47</v>
      </c>
      <c r="W5763" s="2" t="s">
        <v>104</v>
      </c>
      <c r="X5763" s="2">
        <v>20.440000000000001</v>
      </c>
    </row>
    <row r="5764" spans="1:24" x14ac:dyDescent="0.3">
      <c r="A5764">
        <v>23588</v>
      </c>
      <c r="B5764" t="s">
        <v>12124</v>
      </c>
      <c r="C5764" s="3">
        <v>41643</v>
      </c>
      <c r="D5764" t="s">
        <v>25</v>
      </c>
      <c r="E5764">
        <v>4</v>
      </c>
      <c r="F5764" s="3">
        <f ca="1">41647+(RANDBETWEEN(1,10))</f>
        <v>41649</v>
      </c>
      <c r="G5764" t="s">
        <v>26</v>
      </c>
      <c r="H5764" t="s">
        <v>63</v>
      </c>
      <c r="I5764" t="s">
        <v>52</v>
      </c>
      <c r="J5764">
        <v>693.28</v>
      </c>
      <c r="K5764">
        <v>0.02</v>
      </c>
      <c r="L5764">
        <v>0.56999999999999995</v>
      </c>
      <c r="M5764">
        <v>35.875</v>
      </c>
      <c r="N5764">
        <v>122.47199999999999</v>
      </c>
      <c r="O5764" s="1" t="s">
        <v>225</v>
      </c>
      <c r="P5764" s="1" t="s">
        <v>8836</v>
      </c>
      <c r="Q5764" s="1" t="s">
        <v>8837</v>
      </c>
      <c r="R5764" s="1" t="s">
        <v>228</v>
      </c>
      <c r="S5764" s="1" t="s">
        <v>2958</v>
      </c>
      <c r="T5764" s="1" t="s">
        <v>2959</v>
      </c>
      <c r="U5764" s="2" t="s">
        <v>4011</v>
      </c>
      <c r="V5764" s="2" t="s">
        <v>83</v>
      </c>
      <c r="W5764" s="2" t="s">
        <v>178</v>
      </c>
      <c r="X5764" s="2">
        <v>172.69</v>
      </c>
    </row>
    <row r="5765" spans="1:24" x14ac:dyDescent="0.3">
      <c r="A5765">
        <v>23589</v>
      </c>
      <c r="B5765" t="s">
        <v>12125</v>
      </c>
      <c r="C5765" s="3">
        <v>40835</v>
      </c>
      <c r="D5765" t="s">
        <v>39</v>
      </c>
      <c r="E5765">
        <v>5</v>
      </c>
      <c r="F5765" s="3">
        <f ca="1">40836+(RANDBETWEEN(1,10))</f>
        <v>40838</v>
      </c>
      <c r="G5765" t="s">
        <v>156</v>
      </c>
      <c r="H5765" t="s">
        <v>27</v>
      </c>
      <c r="I5765" t="s">
        <v>28</v>
      </c>
      <c r="J5765">
        <v>2365.4050000000002</v>
      </c>
      <c r="K5765">
        <v>0.01</v>
      </c>
      <c r="L5765">
        <v>0.57999999999999996</v>
      </c>
      <c r="M5765">
        <v>31.465</v>
      </c>
      <c r="N5765">
        <v>-766.77678000000003</v>
      </c>
      <c r="O5765" s="1" t="s">
        <v>40</v>
      </c>
      <c r="P5765" s="1" t="s">
        <v>3919</v>
      </c>
      <c r="Q5765" s="1" t="s">
        <v>3920</v>
      </c>
      <c r="R5765" s="1" t="s">
        <v>43</v>
      </c>
      <c r="S5765" s="1" t="s">
        <v>80</v>
      </c>
      <c r="T5765" s="1" t="s">
        <v>3921</v>
      </c>
      <c r="U5765" s="2" t="s">
        <v>307</v>
      </c>
      <c r="V5765" s="2" t="s">
        <v>36</v>
      </c>
      <c r="W5765" s="2" t="s">
        <v>37</v>
      </c>
      <c r="X5765" s="2">
        <v>545.96500000000003</v>
      </c>
    </row>
    <row r="5766" spans="1:24" x14ac:dyDescent="0.3">
      <c r="A5766">
        <v>23590</v>
      </c>
      <c r="B5766" t="s">
        <v>12125</v>
      </c>
      <c r="C5766" s="3">
        <v>40835</v>
      </c>
      <c r="D5766" t="s">
        <v>39</v>
      </c>
      <c r="E5766">
        <v>4</v>
      </c>
      <c r="F5766" s="3">
        <f ca="1">40837+(RANDBETWEEN(1,10))</f>
        <v>40841</v>
      </c>
      <c r="G5766" t="s">
        <v>26</v>
      </c>
      <c r="H5766" t="s">
        <v>27</v>
      </c>
      <c r="I5766" t="s">
        <v>28</v>
      </c>
      <c r="J5766">
        <v>98</v>
      </c>
      <c r="K5766">
        <v>0.01</v>
      </c>
      <c r="L5766">
        <v>0.36</v>
      </c>
      <c r="M5766">
        <v>19.11</v>
      </c>
      <c r="N5766">
        <v>-66.074399999999997</v>
      </c>
      <c r="O5766" s="1" t="s">
        <v>87</v>
      </c>
      <c r="P5766" s="1" t="s">
        <v>12126</v>
      </c>
      <c r="Q5766" s="1" t="s">
        <v>12127</v>
      </c>
      <c r="R5766" s="1" t="s">
        <v>90</v>
      </c>
      <c r="S5766" s="1" t="s">
        <v>5020</v>
      </c>
      <c r="T5766" s="1" t="s">
        <v>5021</v>
      </c>
      <c r="U5766" s="2" t="s">
        <v>7070</v>
      </c>
      <c r="V5766" s="2" t="s">
        <v>47</v>
      </c>
      <c r="W5766" s="2" t="s">
        <v>74</v>
      </c>
      <c r="X5766" s="2">
        <v>20.93</v>
      </c>
    </row>
    <row r="5767" spans="1:24" x14ac:dyDescent="0.3">
      <c r="A5767">
        <v>23591</v>
      </c>
      <c r="B5767" t="s">
        <v>12128</v>
      </c>
      <c r="C5767" s="3">
        <v>41120</v>
      </c>
      <c r="D5767" t="s">
        <v>50</v>
      </c>
      <c r="E5767">
        <v>3</v>
      </c>
      <c r="F5767" s="3">
        <f ca="1">41123+(RANDBETWEEN(1,10))</f>
        <v>41131</v>
      </c>
      <c r="G5767" t="s">
        <v>76</v>
      </c>
      <c r="H5767" t="s">
        <v>77</v>
      </c>
      <c r="I5767" t="s">
        <v>86</v>
      </c>
      <c r="J5767">
        <v>1055.145</v>
      </c>
      <c r="K5767">
        <v>0</v>
      </c>
      <c r="L5767">
        <v>0.66</v>
      </c>
      <c r="M5767">
        <v>147</v>
      </c>
      <c r="N5767">
        <v>-661.57</v>
      </c>
      <c r="O5767" s="1" t="s">
        <v>29</v>
      </c>
      <c r="P5767" s="1" t="s">
        <v>4435</v>
      </c>
      <c r="Q5767" s="1" t="s">
        <v>4436</v>
      </c>
      <c r="R5767" s="1" t="s">
        <v>32</v>
      </c>
      <c r="S5767" s="1" t="s">
        <v>4437</v>
      </c>
      <c r="T5767" s="1" t="s">
        <v>4438</v>
      </c>
      <c r="U5767" s="2" t="s">
        <v>2462</v>
      </c>
      <c r="V5767" s="2" t="s">
        <v>83</v>
      </c>
      <c r="W5767" s="2" t="s">
        <v>84</v>
      </c>
      <c r="X5767" s="2">
        <v>314.96499999999997</v>
      </c>
    </row>
    <row r="5768" spans="1:24" x14ac:dyDescent="0.3">
      <c r="A5768">
        <v>23592</v>
      </c>
      <c r="B5768" t="s">
        <v>12128</v>
      </c>
      <c r="C5768" s="3">
        <v>41120</v>
      </c>
      <c r="D5768" t="s">
        <v>50</v>
      </c>
      <c r="E5768">
        <v>14</v>
      </c>
      <c r="F5768" s="3">
        <f ca="1">41121+(RANDBETWEEN(1,10))</f>
        <v>41131</v>
      </c>
      <c r="G5768" t="s">
        <v>26</v>
      </c>
      <c r="H5768" t="s">
        <v>96</v>
      </c>
      <c r="I5768" t="s">
        <v>86</v>
      </c>
      <c r="J5768">
        <v>343.07</v>
      </c>
      <c r="K5768">
        <v>0.08</v>
      </c>
      <c r="L5768">
        <v>0.42</v>
      </c>
      <c r="M5768">
        <v>27.93</v>
      </c>
      <c r="N5768">
        <v>-613.02499999999998</v>
      </c>
      <c r="O5768" s="1" t="s">
        <v>29</v>
      </c>
      <c r="P5768" s="1" t="s">
        <v>4435</v>
      </c>
      <c r="Q5768" s="1" t="s">
        <v>4436</v>
      </c>
      <c r="R5768" s="1" t="s">
        <v>32</v>
      </c>
      <c r="S5768" s="1" t="s">
        <v>4437</v>
      </c>
      <c r="T5768" s="1" t="s">
        <v>4438</v>
      </c>
      <c r="U5768" s="2" t="s">
        <v>523</v>
      </c>
      <c r="V5768" s="2" t="s">
        <v>83</v>
      </c>
      <c r="W5768" s="2" t="s">
        <v>178</v>
      </c>
      <c r="X5768" s="2">
        <v>25.48</v>
      </c>
    </row>
    <row r="5769" spans="1:24" x14ac:dyDescent="0.3">
      <c r="A5769">
        <v>23593</v>
      </c>
      <c r="B5769" t="s">
        <v>12129</v>
      </c>
      <c r="C5769" s="3">
        <v>41763</v>
      </c>
      <c r="D5769" t="s">
        <v>25</v>
      </c>
      <c r="E5769">
        <v>2</v>
      </c>
      <c r="F5769" s="3">
        <f ca="1">41765+(RANDBETWEEN(1,10))</f>
        <v>41775</v>
      </c>
      <c r="G5769" t="s">
        <v>26</v>
      </c>
      <c r="H5769" t="s">
        <v>27</v>
      </c>
      <c r="I5769" t="s">
        <v>52</v>
      </c>
      <c r="J5769">
        <v>20.440000000000001</v>
      </c>
      <c r="K5769">
        <v>0.03</v>
      </c>
      <c r="L5769">
        <v>0.36</v>
      </c>
      <c r="M5769">
        <v>1.75</v>
      </c>
      <c r="N5769">
        <v>4.0949999999999998</v>
      </c>
      <c r="O5769" s="1" t="s">
        <v>87</v>
      </c>
      <c r="P5769" s="1" t="s">
        <v>9755</v>
      </c>
      <c r="Q5769" s="1" t="s">
        <v>9756</v>
      </c>
      <c r="R5769" s="1" t="s">
        <v>646</v>
      </c>
      <c r="S5769" s="1" t="s">
        <v>9757</v>
      </c>
      <c r="T5769" s="1" t="s">
        <v>9758</v>
      </c>
      <c r="U5769" s="2" t="s">
        <v>1939</v>
      </c>
      <c r="V5769" s="2" t="s">
        <v>47</v>
      </c>
      <c r="W5769" s="2" t="s">
        <v>203</v>
      </c>
      <c r="X5769" s="2">
        <v>10.08</v>
      </c>
    </row>
    <row r="5770" spans="1:24" x14ac:dyDescent="0.3">
      <c r="A5770">
        <v>23594</v>
      </c>
      <c r="B5770" t="s">
        <v>12129</v>
      </c>
      <c r="C5770" s="3">
        <v>41763</v>
      </c>
      <c r="D5770" t="s">
        <v>25</v>
      </c>
      <c r="E5770">
        <v>1</v>
      </c>
      <c r="F5770" s="3">
        <f ca="1">41768+(RANDBETWEEN(1,10))</f>
        <v>41772</v>
      </c>
      <c r="G5770" t="s">
        <v>26</v>
      </c>
      <c r="H5770" t="s">
        <v>27</v>
      </c>
      <c r="I5770" t="s">
        <v>52</v>
      </c>
      <c r="J5770">
        <v>582.54</v>
      </c>
      <c r="K5770">
        <v>0.03</v>
      </c>
      <c r="L5770">
        <v>0.6</v>
      </c>
      <c r="M5770">
        <v>31.465</v>
      </c>
      <c r="N5770">
        <v>-2706.7040000000002</v>
      </c>
      <c r="O5770" s="1" t="s">
        <v>87</v>
      </c>
      <c r="P5770" s="1" t="s">
        <v>9755</v>
      </c>
      <c r="Q5770" s="1" t="s">
        <v>9756</v>
      </c>
      <c r="R5770" s="1" t="s">
        <v>646</v>
      </c>
      <c r="S5770" s="1" t="s">
        <v>9757</v>
      </c>
      <c r="T5770" s="1" t="s">
        <v>9758</v>
      </c>
      <c r="U5770" s="2" t="s">
        <v>1123</v>
      </c>
      <c r="V5770" s="2" t="s">
        <v>36</v>
      </c>
      <c r="W5770" s="2" t="s">
        <v>37</v>
      </c>
      <c r="X5770" s="2">
        <v>685.96500000000003</v>
      </c>
    </row>
    <row r="5771" spans="1:24" x14ac:dyDescent="0.3">
      <c r="A5771">
        <v>23595</v>
      </c>
      <c r="B5771" t="s">
        <v>12130</v>
      </c>
      <c r="C5771" s="3">
        <v>41912</v>
      </c>
      <c r="D5771" t="s">
        <v>148</v>
      </c>
      <c r="E5771">
        <v>20</v>
      </c>
      <c r="F5771" s="3">
        <f ca="1">41913+(RANDBETWEEN(1,10))</f>
        <v>41919</v>
      </c>
      <c r="G5771" t="s">
        <v>156</v>
      </c>
      <c r="H5771" t="s">
        <v>27</v>
      </c>
      <c r="I5771" t="s">
        <v>28</v>
      </c>
      <c r="J5771">
        <v>1536.675</v>
      </c>
      <c r="K5771">
        <v>0.03</v>
      </c>
      <c r="L5771">
        <v>0.37</v>
      </c>
      <c r="M5771">
        <v>10.465</v>
      </c>
      <c r="N5771">
        <v>1060.30575</v>
      </c>
      <c r="O5771" s="1" t="s">
        <v>29</v>
      </c>
      <c r="P5771" s="1" t="s">
        <v>7188</v>
      </c>
      <c r="Q5771" s="1" t="s">
        <v>7189</v>
      </c>
      <c r="R5771" s="1" t="s">
        <v>32</v>
      </c>
      <c r="S5771" s="1" t="s">
        <v>7190</v>
      </c>
      <c r="T5771" s="1" t="s">
        <v>7191</v>
      </c>
      <c r="U5771" s="2" t="s">
        <v>8868</v>
      </c>
      <c r="V5771" s="2" t="s">
        <v>47</v>
      </c>
      <c r="W5771" s="2" t="s">
        <v>111</v>
      </c>
      <c r="X5771" s="2">
        <v>74.83</v>
      </c>
    </row>
    <row r="5772" spans="1:24" x14ac:dyDescent="0.3">
      <c r="A5772">
        <v>23596</v>
      </c>
      <c r="B5772" t="s">
        <v>12131</v>
      </c>
      <c r="C5772" s="3">
        <v>41721</v>
      </c>
      <c r="D5772" t="s">
        <v>39</v>
      </c>
      <c r="E5772">
        <v>9</v>
      </c>
      <c r="F5772" s="3">
        <f ca="1">41721+(RANDBETWEEN(1,10))</f>
        <v>41723</v>
      </c>
      <c r="G5772" t="s">
        <v>26</v>
      </c>
      <c r="H5772" t="s">
        <v>51</v>
      </c>
      <c r="I5772" t="s">
        <v>28</v>
      </c>
      <c r="J5772">
        <v>227.85</v>
      </c>
      <c r="K5772">
        <v>0.03</v>
      </c>
      <c r="L5772">
        <v>0.68</v>
      </c>
      <c r="M5772">
        <v>12.32</v>
      </c>
      <c r="N5772">
        <v>-253.505</v>
      </c>
      <c r="O5772" s="1" t="s">
        <v>40</v>
      </c>
      <c r="P5772" s="1" t="s">
        <v>11551</v>
      </c>
      <c r="Q5772" s="1" t="s">
        <v>11552</v>
      </c>
      <c r="R5772" s="1" t="s">
        <v>43</v>
      </c>
      <c r="S5772" s="1" t="s">
        <v>9511</v>
      </c>
      <c r="T5772" s="1" t="s">
        <v>9512</v>
      </c>
      <c r="U5772" s="2" t="s">
        <v>2862</v>
      </c>
      <c r="V5772" s="2" t="s">
        <v>36</v>
      </c>
      <c r="W5772" s="2" t="s">
        <v>60</v>
      </c>
      <c r="X5772" s="2">
        <v>25.48</v>
      </c>
    </row>
    <row r="5773" spans="1:24" x14ac:dyDescent="0.3">
      <c r="A5773">
        <v>23597</v>
      </c>
      <c r="B5773" t="s">
        <v>12132</v>
      </c>
      <c r="C5773" s="3">
        <v>41222</v>
      </c>
      <c r="D5773" t="s">
        <v>148</v>
      </c>
      <c r="E5773">
        <v>37</v>
      </c>
      <c r="F5773" s="3">
        <f ca="1">41224+(RANDBETWEEN(1,10))</f>
        <v>41227</v>
      </c>
      <c r="G5773" t="s">
        <v>156</v>
      </c>
      <c r="H5773" t="s">
        <v>27</v>
      </c>
      <c r="I5773" t="s">
        <v>28</v>
      </c>
      <c r="J5773">
        <v>7040.8450000000003</v>
      </c>
      <c r="K5773">
        <v>0.09</v>
      </c>
      <c r="L5773">
        <v>0.37</v>
      </c>
      <c r="M5773">
        <v>50.05</v>
      </c>
      <c r="N5773">
        <v>4858.1830499999996</v>
      </c>
      <c r="O5773" s="1" t="s">
        <v>29</v>
      </c>
      <c r="P5773" s="1" t="s">
        <v>7760</v>
      </c>
      <c r="Q5773" s="1" t="s">
        <v>7761</v>
      </c>
      <c r="R5773" s="1" t="s">
        <v>32</v>
      </c>
      <c r="S5773" s="1" t="s">
        <v>2911</v>
      </c>
      <c r="T5773" s="1" t="s">
        <v>2912</v>
      </c>
      <c r="U5773" s="2" t="s">
        <v>1168</v>
      </c>
      <c r="V5773" s="2" t="s">
        <v>47</v>
      </c>
      <c r="W5773" s="2" t="s">
        <v>74</v>
      </c>
      <c r="X5773" s="2">
        <v>194.18</v>
      </c>
    </row>
    <row r="5774" spans="1:24" x14ac:dyDescent="0.3">
      <c r="A5774">
        <v>23598</v>
      </c>
      <c r="B5774" t="s">
        <v>12133</v>
      </c>
      <c r="C5774" s="3">
        <v>41496</v>
      </c>
      <c r="D5774" t="s">
        <v>39</v>
      </c>
      <c r="E5774">
        <v>15</v>
      </c>
      <c r="F5774" s="3">
        <f ca="1">41499+(RANDBETWEEN(1,10))</f>
        <v>41500</v>
      </c>
      <c r="G5774" t="s">
        <v>26</v>
      </c>
      <c r="H5774" t="s">
        <v>27</v>
      </c>
      <c r="I5774" t="s">
        <v>28</v>
      </c>
      <c r="J5774">
        <v>1042.51</v>
      </c>
      <c r="K5774">
        <v>0.04</v>
      </c>
      <c r="L5774">
        <v>0.37</v>
      </c>
      <c r="M5774">
        <v>18.305</v>
      </c>
      <c r="N5774">
        <v>719.33190000000002</v>
      </c>
      <c r="O5774" s="1" t="s">
        <v>53</v>
      </c>
      <c r="P5774" s="1" t="s">
        <v>9564</v>
      </c>
      <c r="Q5774" s="1" t="s">
        <v>9565</v>
      </c>
      <c r="R5774" s="1" t="s">
        <v>440</v>
      </c>
      <c r="S5774" s="1" t="s">
        <v>9566</v>
      </c>
      <c r="T5774" s="1" t="s">
        <v>1345</v>
      </c>
      <c r="U5774" s="2" t="s">
        <v>8169</v>
      </c>
      <c r="V5774" s="2" t="s">
        <v>47</v>
      </c>
      <c r="W5774" s="2" t="s">
        <v>111</v>
      </c>
      <c r="X5774" s="2">
        <v>66.465000000000003</v>
      </c>
    </row>
    <row r="5775" spans="1:24" x14ac:dyDescent="0.3">
      <c r="A5775">
        <v>23599</v>
      </c>
      <c r="B5775" t="s">
        <v>12133</v>
      </c>
      <c r="C5775" s="3">
        <v>41496</v>
      </c>
      <c r="D5775" t="s">
        <v>39</v>
      </c>
      <c r="E5775">
        <v>20</v>
      </c>
      <c r="F5775" s="3">
        <f ca="1">41497+(RANDBETWEEN(1,10))</f>
        <v>41505</v>
      </c>
      <c r="G5775" t="s">
        <v>26</v>
      </c>
      <c r="H5775" t="s">
        <v>63</v>
      </c>
      <c r="I5775" t="s">
        <v>28</v>
      </c>
      <c r="J5775">
        <v>14319.445</v>
      </c>
      <c r="K5775">
        <v>0.1</v>
      </c>
      <c r="L5775">
        <v>0.56999999999999995</v>
      </c>
      <c r="M5775">
        <v>63.21</v>
      </c>
      <c r="N5775">
        <v>9880.41705</v>
      </c>
      <c r="O5775" s="1" t="s">
        <v>53</v>
      </c>
      <c r="P5775" s="1" t="s">
        <v>9564</v>
      </c>
      <c r="Q5775" s="1" t="s">
        <v>9565</v>
      </c>
      <c r="R5775" s="1" t="s">
        <v>440</v>
      </c>
      <c r="S5775" s="1" t="s">
        <v>9566</v>
      </c>
      <c r="T5775" s="1" t="s">
        <v>1345</v>
      </c>
      <c r="U5775" s="2" t="s">
        <v>773</v>
      </c>
      <c r="V5775" s="2" t="s">
        <v>83</v>
      </c>
      <c r="W5775" s="2" t="s">
        <v>84</v>
      </c>
      <c r="X5775" s="2">
        <v>763.28</v>
      </c>
    </row>
    <row r="5776" spans="1:24" x14ac:dyDescent="0.3">
      <c r="A5776">
        <v>23600</v>
      </c>
      <c r="B5776" t="s">
        <v>12133</v>
      </c>
      <c r="C5776" s="3">
        <v>41496</v>
      </c>
      <c r="D5776" t="s">
        <v>39</v>
      </c>
      <c r="E5776">
        <v>3</v>
      </c>
      <c r="F5776" s="3">
        <f ca="1">41497+(RANDBETWEEN(1,10))</f>
        <v>41502</v>
      </c>
      <c r="G5776" t="s">
        <v>26</v>
      </c>
      <c r="H5776" t="s">
        <v>51</v>
      </c>
      <c r="I5776" t="s">
        <v>28</v>
      </c>
      <c r="J5776">
        <v>220.535</v>
      </c>
      <c r="K5776">
        <v>0.09</v>
      </c>
      <c r="L5776">
        <v>0.49</v>
      </c>
      <c r="M5776">
        <v>23.344999999999999</v>
      </c>
      <c r="N5776">
        <v>152.16915</v>
      </c>
      <c r="O5776" s="1" t="s">
        <v>53</v>
      </c>
      <c r="P5776" s="1" t="s">
        <v>9564</v>
      </c>
      <c r="Q5776" s="1" t="s">
        <v>9565</v>
      </c>
      <c r="R5776" s="1" t="s">
        <v>440</v>
      </c>
      <c r="S5776" s="1" t="s">
        <v>9566</v>
      </c>
      <c r="T5776" s="1" t="s">
        <v>1345</v>
      </c>
      <c r="U5776" s="2" t="s">
        <v>2831</v>
      </c>
      <c r="V5776" s="2" t="s">
        <v>83</v>
      </c>
      <c r="W5776" s="2" t="s">
        <v>178</v>
      </c>
      <c r="X5776" s="2">
        <v>70.84</v>
      </c>
    </row>
    <row r="5777" spans="1:24" x14ac:dyDescent="0.3">
      <c r="A5777">
        <v>23601</v>
      </c>
      <c r="B5777" t="s">
        <v>12133</v>
      </c>
      <c r="C5777" s="3">
        <v>41496</v>
      </c>
      <c r="D5777" t="s">
        <v>39</v>
      </c>
      <c r="E5777">
        <v>15</v>
      </c>
      <c r="F5777" s="3">
        <f ca="1">41498+(RANDBETWEEN(1,10))</f>
        <v>41503</v>
      </c>
      <c r="G5777" t="s">
        <v>26</v>
      </c>
      <c r="H5777" t="s">
        <v>96</v>
      </c>
      <c r="I5777" t="s">
        <v>28</v>
      </c>
      <c r="J5777">
        <v>119.245</v>
      </c>
      <c r="K5777">
        <v>0</v>
      </c>
      <c r="L5777">
        <v>0.52</v>
      </c>
      <c r="M5777">
        <v>2.73</v>
      </c>
      <c r="N5777">
        <v>32.996600000000001</v>
      </c>
      <c r="O5777" s="1" t="s">
        <v>53</v>
      </c>
      <c r="P5777" s="1" t="s">
        <v>9564</v>
      </c>
      <c r="Q5777" s="1" t="s">
        <v>9565</v>
      </c>
      <c r="R5777" s="1" t="s">
        <v>440</v>
      </c>
      <c r="S5777" s="1" t="s">
        <v>9566</v>
      </c>
      <c r="T5777" s="1" t="s">
        <v>1345</v>
      </c>
      <c r="U5777" s="2" t="s">
        <v>5921</v>
      </c>
      <c r="V5777" s="2" t="s">
        <v>47</v>
      </c>
      <c r="W5777" s="2" t="s">
        <v>176</v>
      </c>
      <c r="X5777" s="2">
        <v>7.63</v>
      </c>
    </row>
    <row r="5778" spans="1:24" x14ac:dyDescent="0.3">
      <c r="A5778">
        <v>23602</v>
      </c>
      <c r="B5778" t="s">
        <v>12134</v>
      </c>
      <c r="C5778" s="3">
        <v>41798</v>
      </c>
      <c r="D5778" t="s">
        <v>50</v>
      </c>
      <c r="E5778">
        <v>1</v>
      </c>
      <c r="F5778" s="3">
        <f ca="1">41799+(RANDBETWEEN(1,10))</f>
        <v>41800</v>
      </c>
      <c r="G5778" t="s">
        <v>76</v>
      </c>
      <c r="H5778" t="s">
        <v>77</v>
      </c>
      <c r="I5778" t="s">
        <v>97</v>
      </c>
      <c r="J5778">
        <v>1292.9000000000001</v>
      </c>
      <c r="K5778">
        <v>0.06</v>
      </c>
      <c r="L5778">
        <v>0.56999999999999995</v>
      </c>
      <c r="M5778">
        <v>318.67500000000001</v>
      </c>
      <c r="N5778">
        <v>-1326.248</v>
      </c>
      <c r="O5778" s="1" t="s">
        <v>87</v>
      </c>
      <c r="P5778" s="1" t="s">
        <v>11715</v>
      </c>
      <c r="Q5778" s="1" t="s">
        <v>11716</v>
      </c>
      <c r="R5778" s="1" t="s">
        <v>398</v>
      </c>
      <c r="S5778" s="1" t="s">
        <v>11717</v>
      </c>
      <c r="T5778" s="1" t="s">
        <v>11718</v>
      </c>
      <c r="U5778" s="2" t="s">
        <v>1589</v>
      </c>
      <c r="V5778" s="2" t="s">
        <v>47</v>
      </c>
      <c r="W5778" s="2" t="s">
        <v>71</v>
      </c>
      <c r="X5778" s="2">
        <v>1148.49</v>
      </c>
    </row>
    <row r="5779" spans="1:24" x14ac:dyDescent="0.3">
      <c r="A5779">
        <v>23603</v>
      </c>
      <c r="B5779" t="s">
        <v>12134</v>
      </c>
      <c r="C5779" s="3">
        <v>41798</v>
      </c>
      <c r="D5779" t="s">
        <v>50</v>
      </c>
      <c r="E5779">
        <v>18</v>
      </c>
      <c r="F5779" s="3">
        <f ca="1">41799+(RANDBETWEEN(1,10))</f>
        <v>41801</v>
      </c>
      <c r="G5779" t="s">
        <v>26</v>
      </c>
      <c r="H5779" t="s">
        <v>27</v>
      </c>
      <c r="I5779" t="s">
        <v>97</v>
      </c>
      <c r="J5779">
        <v>3610.32</v>
      </c>
      <c r="K5779">
        <v>0</v>
      </c>
      <c r="L5779">
        <v>0.56000000000000005</v>
      </c>
      <c r="M5779">
        <v>18.41</v>
      </c>
      <c r="N5779">
        <v>2491.1208000000001</v>
      </c>
      <c r="O5779" s="1" t="s">
        <v>87</v>
      </c>
      <c r="P5779" s="1" t="s">
        <v>11715</v>
      </c>
      <c r="Q5779" s="1" t="s">
        <v>11716</v>
      </c>
      <c r="R5779" s="1" t="s">
        <v>398</v>
      </c>
      <c r="S5779" s="1" t="s">
        <v>11717</v>
      </c>
      <c r="T5779" s="1" t="s">
        <v>11718</v>
      </c>
      <c r="U5779" s="2">
        <v>8860</v>
      </c>
      <c r="V5779" s="2" t="s">
        <v>36</v>
      </c>
      <c r="W5779" s="2" t="s">
        <v>37</v>
      </c>
      <c r="X5779" s="2">
        <v>230.965</v>
      </c>
    </row>
    <row r="5780" spans="1:24" x14ac:dyDescent="0.3">
      <c r="A5780">
        <v>23604</v>
      </c>
      <c r="B5780" t="s">
        <v>12135</v>
      </c>
      <c r="C5780" s="3">
        <v>40875</v>
      </c>
      <c r="D5780" t="s">
        <v>39</v>
      </c>
      <c r="E5780">
        <v>17</v>
      </c>
      <c r="F5780" s="3">
        <f ca="1">40877+(RANDBETWEEN(1,10))</f>
        <v>40887</v>
      </c>
      <c r="G5780" t="s">
        <v>26</v>
      </c>
      <c r="H5780" t="s">
        <v>27</v>
      </c>
      <c r="I5780" t="s">
        <v>28</v>
      </c>
      <c r="J5780">
        <v>2485.56</v>
      </c>
      <c r="K5780">
        <v>0.06</v>
      </c>
      <c r="L5780">
        <v>0.55000000000000004</v>
      </c>
      <c r="M5780">
        <v>57.26</v>
      </c>
      <c r="N5780">
        <v>-135.828</v>
      </c>
      <c r="O5780" s="1" t="s">
        <v>87</v>
      </c>
      <c r="P5780" s="1" t="s">
        <v>11442</v>
      </c>
      <c r="Q5780" s="1" t="s">
        <v>11443</v>
      </c>
      <c r="R5780" s="1" t="s">
        <v>398</v>
      </c>
      <c r="S5780" s="1" t="s">
        <v>11444</v>
      </c>
      <c r="T5780" s="1" t="s">
        <v>11445</v>
      </c>
      <c r="U5780" s="2" t="s">
        <v>4353</v>
      </c>
      <c r="V5780" s="2" t="s">
        <v>47</v>
      </c>
      <c r="W5780" s="2" t="s">
        <v>119</v>
      </c>
      <c r="X5780" s="2">
        <v>152.495</v>
      </c>
    </row>
    <row r="5781" spans="1:24" x14ac:dyDescent="0.3">
      <c r="A5781">
        <v>23605</v>
      </c>
      <c r="B5781" t="s">
        <v>12136</v>
      </c>
      <c r="C5781" s="3">
        <v>40730</v>
      </c>
      <c r="D5781" t="s">
        <v>148</v>
      </c>
      <c r="E5781">
        <v>2</v>
      </c>
      <c r="F5781" s="3">
        <f ca="1">40732+(RANDBETWEEN(1,10))</f>
        <v>40733</v>
      </c>
      <c r="G5781" t="s">
        <v>26</v>
      </c>
      <c r="H5781" t="s">
        <v>96</v>
      </c>
      <c r="I5781" t="s">
        <v>52</v>
      </c>
      <c r="J5781">
        <v>74.2</v>
      </c>
      <c r="K5781">
        <v>0.01</v>
      </c>
      <c r="L5781">
        <v>0.39</v>
      </c>
      <c r="M5781">
        <v>7.21</v>
      </c>
      <c r="N5781">
        <v>26.565000000000001</v>
      </c>
      <c r="O5781" s="1" t="s">
        <v>87</v>
      </c>
      <c r="P5781" s="1" t="s">
        <v>11348</v>
      </c>
      <c r="Q5781" s="1" t="s">
        <v>11349</v>
      </c>
      <c r="R5781" s="1" t="s">
        <v>398</v>
      </c>
      <c r="S5781" s="1" t="s">
        <v>11350</v>
      </c>
      <c r="T5781" s="1" t="s">
        <v>11351</v>
      </c>
      <c r="U5781" s="2" t="s">
        <v>2438</v>
      </c>
      <c r="V5781" s="2" t="s">
        <v>47</v>
      </c>
      <c r="W5781" s="2" t="s">
        <v>74</v>
      </c>
      <c r="X5781" s="2">
        <v>35.21</v>
      </c>
    </row>
    <row r="5782" spans="1:24" x14ac:dyDescent="0.3">
      <c r="A5782">
        <v>23606</v>
      </c>
      <c r="B5782" t="s">
        <v>12136</v>
      </c>
      <c r="C5782" s="3">
        <v>40730</v>
      </c>
      <c r="D5782" t="s">
        <v>148</v>
      </c>
      <c r="E5782">
        <v>3</v>
      </c>
      <c r="F5782" s="3">
        <f ca="1">40732+(RANDBETWEEN(1,10))</f>
        <v>40740</v>
      </c>
      <c r="G5782" t="s">
        <v>26</v>
      </c>
      <c r="H5782" t="s">
        <v>27</v>
      </c>
      <c r="I5782" t="s">
        <v>52</v>
      </c>
      <c r="J5782">
        <v>606.62</v>
      </c>
      <c r="K5782">
        <v>0</v>
      </c>
      <c r="L5782">
        <v>0.55000000000000004</v>
      </c>
      <c r="M5782">
        <v>20.72</v>
      </c>
      <c r="N5782">
        <v>-377.9545</v>
      </c>
      <c r="O5782" s="1" t="s">
        <v>87</v>
      </c>
      <c r="P5782" s="1" t="s">
        <v>11348</v>
      </c>
      <c r="Q5782" s="1" t="s">
        <v>11349</v>
      </c>
      <c r="R5782" s="1" t="s">
        <v>398</v>
      </c>
      <c r="S5782" s="1" t="s">
        <v>11350</v>
      </c>
      <c r="T5782" s="1" t="s">
        <v>11351</v>
      </c>
      <c r="U5782" s="2">
        <v>252</v>
      </c>
      <c r="V5782" s="2" t="s">
        <v>36</v>
      </c>
      <c r="W5782" s="2" t="s">
        <v>37</v>
      </c>
      <c r="X5782" s="2">
        <v>230.965</v>
      </c>
    </row>
    <row r="5783" spans="1:24" x14ac:dyDescent="0.3">
      <c r="A5783">
        <v>23607</v>
      </c>
      <c r="B5783" t="s">
        <v>12137</v>
      </c>
      <c r="C5783" s="3">
        <v>41826</v>
      </c>
      <c r="D5783" t="s">
        <v>148</v>
      </c>
      <c r="E5783">
        <v>14</v>
      </c>
      <c r="F5783" s="3">
        <f ca="1">41827+(RANDBETWEEN(1,10))</f>
        <v>41829</v>
      </c>
      <c r="G5783" t="s">
        <v>26</v>
      </c>
      <c r="H5783" t="s">
        <v>27</v>
      </c>
      <c r="I5783" t="s">
        <v>52</v>
      </c>
      <c r="J5783">
        <v>6736.0649999999996</v>
      </c>
      <c r="K5783">
        <v>0.04</v>
      </c>
      <c r="L5783">
        <v>0.57999999999999996</v>
      </c>
      <c r="M5783">
        <v>31.465</v>
      </c>
      <c r="N5783">
        <v>4647.8848500000004</v>
      </c>
      <c r="O5783" s="1" t="s">
        <v>87</v>
      </c>
      <c r="P5783" s="1" t="s">
        <v>11348</v>
      </c>
      <c r="Q5783" s="1" t="s">
        <v>11349</v>
      </c>
      <c r="R5783" s="1" t="s">
        <v>398</v>
      </c>
      <c r="S5783" s="1" t="s">
        <v>11350</v>
      </c>
      <c r="T5783" s="1" t="s">
        <v>11351</v>
      </c>
      <c r="U5783" s="2" t="s">
        <v>307</v>
      </c>
      <c r="V5783" s="2" t="s">
        <v>36</v>
      </c>
      <c r="W5783" s="2" t="s">
        <v>37</v>
      </c>
      <c r="X5783" s="2">
        <v>545.96500000000003</v>
      </c>
    </row>
    <row r="5784" spans="1:24" x14ac:dyDescent="0.3">
      <c r="A5784">
        <v>23608</v>
      </c>
      <c r="B5784" t="s">
        <v>12138</v>
      </c>
      <c r="C5784" s="3">
        <v>41398</v>
      </c>
      <c r="D5784" t="s">
        <v>50</v>
      </c>
      <c r="E5784">
        <v>3</v>
      </c>
      <c r="F5784" s="3">
        <f ca="1">41399+(RANDBETWEEN(1,10))</f>
        <v>41403</v>
      </c>
      <c r="G5784" t="s">
        <v>76</v>
      </c>
      <c r="H5784" t="s">
        <v>77</v>
      </c>
      <c r="I5784" t="s">
        <v>28</v>
      </c>
      <c r="J5784">
        <v>1253.8050000000001</v>
      </c>
      <c r="K5784">
        <v>0.05</v>
      </c>
      <c r="L5784">
        <v>0.4</v>
      </c>
      <c r="M5784">
        <v>196.49</v>
      </c>
      <c r="N5784">
        <v>-1001.6832000000001</v>
      </c>
      <c r="O5784" s="1" t="s">
        <v>225</v>
      </c>
      <c r="P5784" s="1" t="s">
        <v>9172</v>
      </c>
      <c r="Q5784" s="1" t="s">
        <v>9173</v>
      </c>
      <c r="R5784" s="1" t="s">
        <v>228</v>
      </c>
      <c r="S5784" s="1" t="s">
        <v>9174</v>
      </c>
      <c r="T5784" s="1" t="s">
        <v>9175</v>
      </c>
      <c r="U5784" s="2" t="s">
        <v>898</v>
      </c>
      <c r="V5784" s="2" t="s">
        <v>36</v>
      </c>
      <c r="W5784" s="2" t="s">
        <v>142</v>
      </c>
      <c r="X5784" s="2">
        <v>405.96499999999997</v>
      </c>
    </row>
    <row r="5785" spans="1:24" x14ac:dyDescent="0.3">
      <c r="A5785">
        <v>23609</v>
      </c>
      <c r="B5785" t="s">
        <v>12139</v>
      </c>
      <c r="C5785" s="3">
        <v>41087</v>
      </c>
      <c r="D5785" t="s">
        <v>39</v>
      </c>
      <c r="E5785">
        <v>5</v>
      </c>
      <c r="F5785" s="3">
        <f ca="1">41089+(RANDBETWEEN(1,10))</f>
        <v>41090</v>
      </c>
      <c r="G5785" t="s">
        <v>26</v>
      </c>
      <c r="H5785" t="s">
        <v>27</v>
      </c>
      <c r="I5785" t="s">
        <v>52</v>
      </c>
      <c r="J5785">
        <v>156.625</v>
      </c>
      <c r="K5785">
        <v>0</v>
      </c>
      <c r="L5785">
        <v>0.41</v>
      </c>
      <c r="M5785">
        <v>17.324999999999999</v>
      </c>
      <c r="N5785">
        <v>108.07125000000001</v>
      </c>
      <c r="O5785" s="1" t="s">
        <v>29</v>
      </c>
      <c r="P5785" s="1" t="s">
        <v>9714</v>
      </c>
      <c r="Q5785" s="1" t="s">
        <v>9715</v>
      </c>
      <c r="R5785" s="1" t="s">
        <v>32</v>
      </c>
      <c r="S5785" s="1" t="s">
        <v>9716</v>
      </c>
      <c r="T5785" s="1" t="s">
        <v>9717</v>
      </c>
      <c r="U5785" s="2" t="s">
        <v>3405</v>
      </c>
      <c r="V5785" s="2" t="s">
        <v>83</v>
      </c>
      <c r="W5785" s="2" t="s">
        <v>178</v>
      </c>
      <c r="X5785" s="2">
        <v>27.86</v>
      </c>
    </row>
    <row r="5786" spans="1:24" x14ac:dyDescent="0.3">
      <c r="A5786">
        <v>23610</v>
      </c>
      <c r="B5786" t="s">
        <v>12139</v>
      </c>
      <c r="C5786" s="3">
        <v>41087</v>
      </c>
      <c r="D5786" t="s">
        <v>39</v>
      </c>
      <c r="E5786">
        <v>17</v>
      </c>
      <c r="F5786" s="3">
        <f ca="1">41089+(RANDBETWEEN(1,10))</f>
        <v>41096</v>
      </c>
      <c r="G5786" t="s">
        <v>76</v>
      </c>
      <c r="H5786" t="s">
        <v>77</v>
      </c>
      <c r="I5786" t="s">
        <v>52</v>
      </c>
      <c r="J5786">
        <v>14910.77</v>
      </c>
      <c r="K5786">
        <v>0.01</v>
      </c>
      <c r="L5786">
        <v>0.57999999999999996</v>
      </c>
      <c r="M5786">
        <v>62.51</v>
      </c>
      <c r="N5786">
        <v>10288.4313</v>
      </c>
      <c r="O5786" s="1" t="s">
        <v>29</v>
      </c>
      <c r="P5786" s="1" t="s">
        <v>9714</v>
      </c>
      <c r="Q5786" s="1" t="s">
        <v>9715</v>
      </c>
      <c r="R5786" s="1" t="s">
        <v>32</v>
      </c>
      <c r="S5786" s="1" t="s">
        <v>9716</v>
      </c>
      <c r="T5786" s="1" t="s">
        <v>9717</v>
      </c>
      <c r="U5786" s="2" t="s">
        <v>2262</v>
      </c>
      <c r="V5786" s="2" t="s">
        <v>36</v>
      </c>
      <c r="W5786" s="2" t="s">
        <v>142</v>
      </c>
      <c r="X5786" s="2">
        <v>927.43</v>
      </c>
    </row>
    <row r="5787" spans="1:24" x14ac:dyDescent="0.3">
      <c r="A5787">
        <v>23611</v>
      </c>
      <c r="B5787" t="s">
        <v>12139</v>
      </c>
      <c r="C5787" s="3">
        <v>41087</v>
      </c>
      <c r="D5787" t="s">
        <v>39</v>
      </c>
      <c r="E5787">
        <v>16</v>
      </c>
      <c r="F5787" s="3">
        <f ca="1">41089+(RANDBETWEEN(1,10))</f>
        <v>41098</v>
      </c>
      <c r="G5787" t="s">
        <v>26</v>
      </c>
      <c r="H5787" t="s">
        <v>96</v>
      </c>
      <c r="I5787" t="s">
        <v>52</v>
      </c>
      <c r="J5787">
        <v>144.095</v>
      </c>
      <c r="K5787">
        <v>0.06</v>
      </c>
      <c r="L5787">
        <v>0.57999999999999996</v>
      </c>
      <c r="M5787">
        <v>8.4</v>
      </c>
      <c r="N5787">
        <v>-175.28</v>
      </c>
      <c r="O5787" s="1" t="s">
        <v>29</v>
      </c>
      <c r="P5787" s="1" t="s">
        <v>9714</v>
      </c>
      <c r="Q5787" s="1" t="s">
        <v>9715</v>
      </c>
      <c r="R5787" s="1" t="s">
        <v>32</v>
      </c>
      <c r="S5787" s="1" t="s">
        <v>9716</v>
      </c>
      <c r="T5787" s="1" t="s">
        <v>9717</v>
      </c>
      <c r="U5787" s="2" t="s">
        <v>6328</v>
      </c>
      <c r="V5787" s="2" t="s">
        <v>47</v>
      </c>
      <c r="W5787" s="2" t="s">
        <v>104</v>
      </c>
      <c r="X5787" s="2">
        <v>9.1</v>
      </c>
    </row>
    <row r="5788" spans="1:24" x14ac:dyDescent="0.3">
      <c r="A5788">
        <v>23612</v>
      </c>
      <c r="B5788" t="s">
        <v>12140</v>
      </c>
      <c r="C5788" s="3">
        <v>40629</v>
      </c>
      <c r="D5788" t="s">
        <v>39</v>
      </c>
      <c r="E5788">
        <v>2</v>
      </c>
      <c r="F5788" s="3">
        <f ca="1">40630+(RANDBETWEEN(1,10))</f>
        <v>40634</v>
      </c>
      <c r="G5788" t="s">
        <v>26</v>
      </c>
      <c r="H5788" t="s">
        <v>281</v>
      </c>
      <c r="I5788" t="s">
        <v>28</v>
      </c>
      <c r="J5788">
        <v>140.595</v>
      </c>
      <c r="K5788">
        <v>0.01</v>
      </c>
      <c r="L5788">
        <v>0.4</v>
      </c>
      <c r="M5788">
        <v>29.785</v>
      </c>
      <c r="N5788">
        <v>-125.5758</v>
      </c>
      <c r="O5788" s="1" t="s">
        <v>29</v>
      </c>
      <c r="P5788" s="1" t="s">
        <v>4731</v>
      </c>
      <c r="Q5788" s="1" t="s">
        <v>4732</v>
      </c>
      <c r="R5788" s="1" t="s">
        <v>32</v>
      </c>
      <c r="S5788" s="1" t="s">
        <v>4733</v>
      </c>
      <c r="T5788" s="1" t="s">
        <v>4734</v>
      </c>
      <c r="U5788" s="2" t="s">
        <v>282</v>
      </c>
      <c r="V5788" s="2" t="s">
        <v>36</v>
      </c>
      <c r="W5788" s="2" t="s">
        <v>142</v>
      </c>
      <c r="X5788" s="2">
        <v>62.93</v>
      </c>
    </row>
    <row r="5789" spans="1:24" x14ac:dyDescent="0.3">
      <c r="A5789">
        <v>23613</v>
      </c>
      <c r="B5789" t="s">
        <v>12141</v>
      </c>
      <c r="C5789" s="3">
        <v>40701</v>
      </c>
      <c r="D5789" t="s">
        <v>25</v>
      </c>
      <c r="E5789">
        <v>12</v>
      </c>
      <c r="F5789" s="3">
        <f ca="1">40708+(RANDBETWEEN(1,10))</f>
        <v>40715</v>
      </c>
      <c r="G5789" t="s">
        <v>26</v>
      </c>
      <c r="H5789" t="s">
        <v>27</v>
      </c>
      <c r="I5789" t="s">
        <v>52</v>
      </c>
      <c r="J5789">
        <v>2142.875</v>
      </c>
      <c r="K5789">
        <v>0.02</v>
      </c>
      <c r="L5789">
        <v>0.37</v>
      </c>
      <c r="M5789">
        <v>20.265000000000001</v>
      </c>
      <c r="N5789">
        <v>1478.58375</v>
      </c>
      <c r="O5789" s="1" t="s">
        <v>40</v>
      </c>
      <c r="P5789" s="1" t="s">
        <v>12142</v>
      </c>
      <c r="Q5789" s="1" t="s">
        <v>12143</v>
      </c>
      <c r="R5789" s="1" t="s">
        <v>43</v>
      </c>
      <c r="S5789" s="1" t="s">
        <v>10646</v>
      </c>
      <c r="T5789" s="1" t="s">
        <v>10647</v>
      </c>
      <c r="U5789" s="2" t="s">
        <v>8002</v>
      </c>
      <c r="V5789" s="2" t="s">
        <v>47</v>
      </c>
      <c r="W5789" s="2" t="s">
        <v>74</v>
      </c>
      <c r="X5789" s="2">
        <v>168.14</v>
      </c>
    </row>
    <row r="5790" spans="1:24" x14ac:dyDescent="0.3">
      <c r="A5790">
        <v>23614</v>
      </c>
      <c r="B5790" t="s">
        <v>12144</v>
      </c>
      <c r="C5790" s="3">
        <v>41797</v>
      </c>
      <c r="D5790" t="s">
        <v>25</v>
      </c>
      <c r="E5790">
        <v>18</v>
      </c>
      <c r="F5790" s="3">
        <f ca="1">41799+(RANDBETWEEN(1,10))</f>
        <v>41801</v>
      </c>
      <c r="G5790" t="s">
        <v>26</v>
      </c>
      <c r="H5790" t="s">
        <v>96</v>
      </c>
      <c r="I5790" t="s">
        <v>52</v>
      </c>
      <c r="J5790">
        <v>2898.42</v>
      </c>
      <c r="K5790">
        <v>0.04</v>
      </c>
      <c r="L5790">
        <v>0.68</v>
      </c>
      <c r="M5790">
        <v>16.8</v>
      </c>
      <c r="N5790">
        <v>1999.9097999999999</v>
      </c>
      <c r="O5790" s="1" t="s">
        <v>225</v>
      </c>
      <c r="P5790" s="1" t="s">
        <v>12145</v>
      </c>
      <c r="Q5790" s="1" t="s">
        <v>12146</v>
      </c>
      <c r="R5790" s="1" t="s">
        <v>391</v>
      </c>
      <c r="S5790" s="1" t="s">
        <v>2285</v>
      </c>
      <c r="T5790" s="1" t="s">
        <v>2286</v>
      </c>
      <c r="U5790" s="2" t="s">
        <v>4047</v>
      </c>
      <c r="V5790" s="2" t="s">
        <v>83</v>
      </c>
      <c r="W5790" s="2" t="s">
        <v>178</v>
      </c>
      <c r="X5790" s="2">
        <v>160.93</v>
      </c>
    </row>
    <row r="5791" spans="1:24" x14ac:dyDescent="0.3">
      <c r="A5791">
        <v>23615</v>
      </c>
      <c r="B5791" t="s">
        <v>12147</v>
      </c>
      <c r="C5791" s="3">
        <v>41902</v>
      </c>
      <c r="D5791" t="s">
        <v>50</v>
      </c>
      <c r="E5791">
        <v>10</v>
      </c>
      <c r="F5791" s="3">
        <f ca="1">41904+(RANDBETWEEN(1,10))</f>
        <v>41909</v>
      </c>
      <c r="G5791" t="s">
        <v>26</v>
      </c>
      <c r="H5791" t="s">
        <v>27</v>
      </c>
      <c r="I5791" t="s">
        <v>28</v>
      </c>
      <c r="J5791">
        <v>151.83000000000001</v>
      </c>
      <c r="K5791">
        <v>0.04</v>
      </c>
      <c r="L5791">
        <v>0.6</v>
      </c>
      <c r="M5791">
        <v>24.114999999999998</v>
      </c>
      <c r="N5791">
        <v>-305.12720000000002</v>
      </c>
      <c r="O5791" s="1" t="s">
        <v>225</v>
      </c>
      <c r="P5791" s="1" t="s">
        <v>11029</v>
      </c>
      <c r="Q5791" s="1" t="s">
        <v>11030</v>
      </c>
      <c r="R5791" s="1" t="s">
        <v>228</v>
      </c>
      <c r="S5791" s="1" t="s">
        <v>1788</v>
      </c>
      <c r="T5791" s="1" t="s">
        <v>1789</v>
      </c>
      <c r="U5791" s="2" t="s">
        <v>3815</v>
      </c>
      <c r="V5791" s="2" t="s">
        <v>47</v>
      </c>
      <c r="W5791" s="2" t="s">
        <v>71</v>
      </c>
      <c r="X5791" s="2">
        <v>14.21</v>
      </c>
    </row>
    <row r="5792" spans="1:24" x14ac:dyDescent="0.3">
      <c r="A5792">
        <v>23616</v>
      </c>
      <c r="B5792" t="s">
        <v>12147</v>
      </c>
      <c r="C5792" s="3">
        <v>41902</v>
      </c>
      <c r="D5792" t="s">
        <v>50</v>
      </c>
      <c r="E5792">
        <v>16</v>
      </c>
      <c r="F5792" s="3">
        <f ca="1">41904+(RANDBETWEEN(1,10))</f>
        <v>41908</v>
      </c>
      <c r="G5792" t="s">
        <v>26</v>
      </c>
      <c r="H5792" t="s">
        <v>27</v>
      </c>
      <c r="I5792" t="s">
        <v>28</v>
      </c>
      <c r="J5792">
        <v>534.66</v>
      </c>
      <c r="K5792">
        <v>0.02</v>
      </c>
      <c r="L5792">
        <v>0.36</v>
      </c>
      <c r="M5792">
        <v>19.600000000000001</v>
      </c>
      <c r="N5792">
        <v>18.956700000000001</v>
      </c>
      <c r="O5792" s="1" t="s">
        <v>225</v>
      </c>
      <c r="P5792" s="1" t="s">
        <v>11029</v>
      </c>
      <c r="Q5792" s="1" t="s">
        <v>11030</v>
      </c>
      <c r="R5792" s="1" t="s">
        <v>228</v>
      </c>
      <c r="S5792" s="1" t="s">
        <v>1788</v>
      </c>
      <c r="T5792" s="1" t="s">
        <v>1789</v>
      </c>
      <c r="U5792" s="2" t="s">
        <v>3792</v>
      </c>
      <c r="V5792" s="2" t="s">
        <v>47</v>
      </c>
      <c r="W5792" s="2" t="s">
        <v>111</v>
      </c>
      <c r="X5792" s="2">
        <v>30.975000000000001</v>
      </c>
    </row>
    <row r="5793" spans="1:24" x14ac:dyDescent="0.3">
      <c r="A5793">
        <v>23617</v>
      </c>
      <c r="B5793" t="s">
        <v>12147</v>
      </c>
      <c r="C5793" s="3">
        <v>41902</v>
      </c>
      <c r="D5793" t="s">
        <v>50</v>
      </c>
      <c r="E5793">
        <v>15</v>
      </c>
      <c r="F5793" s="3">
        <f ca="1">41903+(RANDBETWEEN(1,10))</f>
        <v>41913</v>
      </c>
      <c r="G5793" t="s">
        <v>26</v>
      </c>
      <c r="H5793" t="s">
        <v>27</v>
      </c>
      <c r="I5793" t="s">
        <v>28</v>
      </c>
      <c r="J5793">
        <v>171.08</v>
      </c>
      <c r="K5793">
        <v>0.02</v>
      </c>
      <c r="L5793">
        <v>0.37</v>
      </c>
      <c r="M5793">
        <v>1.75</v>
      </c>
      <c r="N5793">
        <v>118.04519999999999</v>
      </c>
      <c r="O5793" s="1" t="s">
        <v>225</v>
      </c>
      <c r="P5793" s="1" t="s">
        <v>11029</v>
      </c>
      <c r="Q5793" s="1" t="s">
        <v>11030</v>
      </c>
      <c r="R5793" s="1" t="s">
        <v>228</v>
      </c>
      <c r="S5793" s="1" t="s">
        <v>1788</v>
      </c>
      <c r="T5793" s="1" t="s">
        <v>1789</v>
      </c>
      <c r="U5793" s="2" t="s">
        <v>5970</v>
      </c>
      <c r="V5793" s="2" t="s">
        <v>47</v>
      </c>
      <c r="W5793" s="2" t="s">
        <v>203</v>
      </c>
      <c r="X5793" s="2">
        <v>11.025</v>
      </c>
    </row>
    <row r="5794" spans="1:24" x14ac:dyDescent="0.3">
      <c r="A5794">
        <v>23618</v>
      </c>
      <c r="B5794" t="s">
        <v>12148</v>
      </c>
      <c r="C5794" s="3">
        <v>41884</v>
      </c>
      <c r="D5794" t="s">
        <v>25</v>
      </c>
      <c r="E5794">
        <v>26</v>
      </c>
      <c r="F5794" s="3">
        <f ca="1">41891+(RANDBETWEEN(1,10))</f>
        <v>41901</v>
      </c>
      <c r="G5794" t="s">
        <v>26</v>
      </c>
      <c r="H5794" t="s">
        <v>27</v>
      </c>
      <c r="I5794" t="s">
        <v>28</v>
      </c>
      <c r="J5794">
        <v>3688.09</v>
      </c>
      <c r="K5794">
        <v>0.03</v>
      </c>
      <c r="L5794">
        <v>0.4</v>
      </c>
      <c r="M5794">
        <v>34.405000000000001</v>
      </c>
      <c r="N5794">
        <v>2477.2608</v>
      </c>
      <c r="O5794" s="1" t="s">
        <v>225</v>
      </c>
      <c r="P5794" s="1" t="s">
        <v>12149</v>
      </c>
      <c r="Q5794" s="1" t="s">
        <v>12150</v>
      </c>
      <c r="R5794" s="1" t="s">
        <v>391</v>
      </c>
      <c r="S5794" s="1" t="s">
        <v>4320</v>
      </c>
      <c r="T5794" s="1" t="s">
        <v>4321</v>
      </c>
      <c r="U5794" s="2" t="s">
        <v>345</v>
      </c>
      <c r="V5794" s="2" t="s">
        <v>47</v>
      </c>
      <c r="W5794" s="2" t="s">
        <v>48</v>
      </c>
      <c r="X5794" s="2">
        <v>139.93</v>
      </c>
    </row>
    <row r="5795" spans="1:24" x14ac:dyDescent="0.3">
      <c r="A5795">
        <v>23619</v>
      </c>
      <c r="B5795" t="s">
        <v>12148</v>
      </c>
      <c r="C5795" s="3">
        <v>41884</v>
      </c>
      <c r="D5795" t="s">
        <v>25</v>
      </c>
      <c r="E5795">
        <v>16</v>
      </c>
      <c r="F5795" s="3">
        <f ca="1">41888+(RANDBETWEEN(1,10))</f>
        <v>41896</v>
      </c>
      <c r="G5795" t="s">
        <v>26</v>
      </c>
      <c r="H5795" t="s">
        <v>27</v>
      </c>
      <c r="I5795" t="s">
        <v>28</v>
      </c>
      <c r="J5795">
        <v>6166.23</v>
      </c>
      <c r="K5795">
        <v>0.03</v>
      </c>
      <c r="L5795">
        <v>0.6</v>
      </c>
      <c r="M5795">
        <v>8.75</v>
      </c>
      <c r="N5795">
        <v>3282.8279400000001</v>
      </c>
      <c r="O5795" s="1" t="s">
        <v>225</v>
      </c>
      <c r="P5795" s="1" t="s">
        <v>12149</v>
      </c>
      <c r="Q5795" s="1" t="s">
        <v>12150</v>
      </c>
      <c r="R5795" s="1" t="s">
        <v>391</v>
      </c>
      <c r="S5795" s="1" t="s">
        <v>4320</v>
      </c>
      <c r="T5795" s="1" t="s">
        <v>4321</v>
      </c>
      <c r="U5795" s="2" t="s">
        <v>4222</v>
      </c>
      <c r="V5795" s="2" t="s">
        <v>36</v>
      </c>
      <c r="W5795" s="2" t="s">
        <v>37</v>
      </c>
      <c r="X5795" s="2">
        <v>440.96499999999997</v>
      </c>
    </row>
    <row r="5796" spans="1:24" x14ac:dyDescent="0.3">
      <c r="A5796">
        <v>23620</v>
      </c>
      <c r="B5796" t="s">
        <v>12151</v>
      </c>
      <c r="C5796" s="3">
        <v>40714</v>
      </c>
      <c r="D5796" t="s">
        <v>50</v>
      </c>
      <c r="E5796">
        <v>15</v>
      </c>
      <c r="F5796" s="3">
        <f ca="1">40716+(RANDBETWEEN(1,10))</f>
        <v>40720</v>
      </c>
      <c r="G5796" t="s">
        <v>26</v>
      </c>
      <c r="H5796" t="s">
        <v>27</v>
      </c>
      <c r="I5796" t="s">
        <v>97</v>
      </c>
      <c r="J5796">
        <v>424.76</v>
      </c>
      <c r="K5796">
        <v>0.05</v>
      </c>
      <c r="L5796">
        <v>0.4</v>
      </c>
      <c r="M5796">
        <v>31.29</v>
      </c>
      <c r="N5796">
        <v>-575.3818</v>
      </c>
      <c r="O5796" s="1" t="s">
        <v>40</v>
      </c>
      <c r="P5796" s="1" t="s">
        <v>3923</v>
      </c>
      <c r="Q5796" s="1" t="s">
        <v>3924</v>
      </c>
      <c r="R5796" s="1" t="s">
        <v>220</v>
      </c>
      <c r="S5796" s="1" t="s">
        <v>3925</v>
      </c>
      <c r="T5796" s="1" t="s">
        <v>3926</v>
      </c>
      <c r="U5796" s="2" t="s">
        <v>2966</v>
      </c>
      <c r="V5796" s="2" t="s">
        <v>47</v>
      </c>
      <c r="W5796" s="2" t="s">
        <v>111</v>
      </c>
      <c r="X5796" s="2">
        <v>28.14</v>
      </c>
    </row>
    <row r="5797" spans="1:24" x14ac:dyDescent="0.3">
      <c r="A5797">
        <v>23621</v>
      </c>
      <c r="B5797" t="s">
        <v>12152</v>
      </c>
      <c r="C5797" s="3">
        <v>41672</v>
      </c>
      <c r="D5797" t="s">
        <v>62</v>
      </c>
      <c r="E5797">
        <v>12</v>
      </c>
      <c r="F5797" s="3">
        <f ca="1">41673+(RANDBETWEEN(1,10))</f>
        <v>41675</v>
      </c>
      <c r="G5797" t="s">
        <v>26</v>
      </c>
      <c r="H5797" t="s">
        <v>27</v>
      </c>
      <c r="I5797" t="s">
        <v>52</v>
      </c>
      <c r="J5797">
        <v>275.065</v>
      </c>
      <c r="K5797">
        <v>0.03</v>
      </c>
      <c r="L5797">
        <v>0.37</v>
      </c>
      <c r="M5797">
        <v>23.1</v>
      </c>
      <c r="N5797">
        <v>-456.75</v>
      </c>
      <c r="O5797" s="1" t="s">
        <v>64</v>
      </c>
      <c r="P5797" s="1" t="s">
        <v>10410</v>
      </c>
      <c r="Q5797" s="1" t="s">
        <v>10411</v>
      </c>
      <c r="R5797" s="1" t="s">
        <v>67</v>
      </c>
      <c r="S5797" s="1" t="s">
        <v>10412</v>
      </c>
      <c r="T5797" s="1" t="s">
        <v>10413</v>
      </c>
      <c r="U5797" s="2" t="s">
        <v>241</v>
      </c>
      <c r="V5797" s="2" t="s">
        <v>47</v>
      </c>
      <c r="W5797" s="2" t="s">
        <v>74</v>
      </c>
      <c r="X5797" s="2">
        <v>22.68</v>
      </c>
    </row>
    <row r="5798" spans="1:24" x14ac:dyDescent="0.3">
      <c r="A5798">
        <v>23622</v>
      </c>
      <c r="B5798" t="s">
        <v>12153</v>
      </c>
      <c r="C5798" s="3">
        <v>40642</v>
      </c>
      <c r="D5798" t="s">
        <v>25</v>
      </c>
      <c r="E5798">
        <v>11</v>
      </c>
      <c r="F5798" s="3">
        <f ca="1">40646+(RANDBETWEEN(1,10))</f>
        <v>40648</v>
      </c>
      <c r="G5798" t="s">
        <v>26</v>
      </c>
      <c r="H5798" t="s">
        <v>27</v>
      </c>
      <c r="I5798" t="s">
        <v>52</v>
      </c>
      <c r="J5798">
        <v>3648.89</v>
      </c>
      <c r="K5798">
        <v>0.05</v>
      </c>
      <c r="L5798">
        <v>0.57999999999999996</v>
      </c>
      <c r="M5798">
        <v>31.465</v>
      </c>
      <c r="N5798">
        <v>2517.7341000000001</v>
      </c>
      <c r="O5798" s="1" t="s">
        <v>64</v>
      </c>
      <c r="P5798" s="1" t="s">
        <v>6608</v>
      </c>
      <c r="Q5798" s="1" t="s">
        <v>6609</v>
      </c>
      <c r="R5798" s="1" t="s">
        <v>128</v>
      </c>
      <c r="S5798" s="1" t="s">
        <v>6601</v>
      </c>
      <c r="T5798" s="1" t="s">
        <v>6602</v>
      </c>
      <c r="U5798" s="2">
        <v>5185</v>
      </c>
      <c r="V5798" s="2" t="s">
        <v>36</v>
      </c>
      <c r="W5798" s="2" t="s">
        <v>37</v>
      </c>
      <c r="X5798" s="2">
        <v>405.96499999999997</v>
      </c>
    </row>
    <row r="5799" spans="1:24" x14ac:dyDescent="0.3">
      <c r="A5799">
        <v>23623</v>
      </c>
      <c r="B5799" t="s">
        <v>12154</v>
      </c>
      <c r="C5799" s="3">
        <v>40909</v>
      </c>
      <c r="D5799" t="s">
        <v>148</v>
      </c>
      <c r="E5799">
        <v>11</v>
      </c>
      <c r="F5799" s="3">
        <f ca="1">40911+(RANDBETWEEN(1,10))</f>
        <v>40917</v>
      </c>
      <c r="G5799" t="s">
        <v>26</v>
      </c>
      <c r="H5799" t="s">
        <v>27</v>
      </c>
      <c r="I5799" t="s">
        <v>86</v>
      </c>
      <c r="J5799">
        <v>263.33999999999997</v>
      </c>
      <c r="K5799">
        <v>0.01</v>
      </c>
      <c r="L5799">
        <v>0.37</v>
      </c>
      <c r="M5799">
        <v>24.22</v>
      </c>
      <c r="N5799">
        <v>-534.12379999999996</v>
      </c>
      <c r="O5799" s="1" t="s">
        <v>29</v>
      </c>
      <c r="P5799" s="1" t="s">
        <v>9417</v>
      </c>
      <c r="Q5799" s="1" t="s">
        <v>9418</v>
      </c>
      <c r="R5799" s="1" t="s">
        <v>675</v>
      </c>
      <c r="S5799" s="1" t="s">
        <v>7383</v>
      </c>
      <c r="T5799" s="1" t="s">
        <v>9419</v>
      </c>
      <c r="U5799" s="2" t="s">
        <v>2561</v>
      </c>
      <c r="V5799" s="2" t="s">
        <v>47</v>
      </c>
      <c r="W5799" s="2" t="s">
        <v>74</v>
      </c>
      <c r="X5799" s="2">
        <v>23.38</v>
      </c>
    </row>
    <row r="5800" spans="1:24" x14ac:dyDescent="0.3">
      <c r="A5800">
        <v>23624</v>
      </c>
      <c r="B5800" t="s">
        <v>12155</v>
      </c>
      <c r="C5800" s="3">
        <v>41992</v>
      </c>
      <c r="D5800" t="s">
        <v>148</v>
      </c>
      <c r="E5800">
        <v>19</v>
      </c>
      <c r="F5800" s="3">
        <f ca="1">41992+(RANDBETWEEN(1,10))</f>
        <v>42000</v>
      </c>
      <c r="G5800" t="s">
        <v>156</v>
      </c>
      <c r="H5800" t="s">
        <v>281</v>
      </c>
      <c r="I5800" t="s">
        <v>52</v>
      </c>
      <c r="J5800">
        <v>2719.8850000000002</v>
      </c>
      <c r="K5800">
        <v>0.08</v>
      </c>
      <c r="L5800">
        <v>0.76</v>
      </c>
      <c r="M5800">
        <v>30.31</v>
      </c>
      <c r="N5800">
        <v>666.55679999999995</v>
      </c>
      <c r="O5800" s="1" t="s">
        <v>64</v>
      </c>
      <c r="P5800" s="1" t="s">
        <v>12156</v>
      </c>
      <c r="Q5800" s="1" t="s">
        <v>12157</v>
      </c>
      <c r="R5800" s="1" t="s">
        <v>67</v>
      </c>
      <c r="S5800" s="1" t="s">
        <v>68</v>
      </c>
      <c r="T5800" s="1" t="s">
        <v>12158</v>
      </c>
      <c r="U5800" s="2" t="s">
        <v>880</v>
      </c>
      <c r="V5800" s="2" t="s">
        <v>83</v>
      </c>
      <c r="W5800" s="2" t="s">
        <v>178</v>
      </c>
      <c r="X5800" s="2">
        <v>144.62</v>
      </c>
    </row>
    <row r="5801" spans="1:24" x14ac:dyDescent="0.3">
      <c r="A5801">
        <v>23625</v>
      </c>
      <c r="B5801" t="s">
        <v>12159</v>
      </c>
      <c r="C5801" s="3">
        <v>41262</v>
      </c>
      <c r="D5801" t="s">
        <v>148</v>
      </c>
      <c r="E5801">
        <v>10</v>
      </c>
      <c r="F5801" s="3">
        <f ca="1">41263+(RANDBETWEEN(1,10))</f>
        <v>41267</v>
      </c>
      <c r="G5801" t="s">
        <v>156</v>
      </c>
      <c r="H5801" t="s">
        <v>27</v>
      </c>
      <c r="I5801" t="s">
        <v>52</v>
      </c>
      <c r="J5801">
        <v>2061.0100000000002</v>
      </c>
      <c r="K5801">
        <v>0.01</v>
      </c>
      <c r="L5801">
        <v>0.59</v>
      </c>
      <c r="M5801">
        <v>13.965</v>
      </c>
      <c r="N5801">
        <v>1180.4939999999999</v>
      </c>
      <c r="O5801" s="1" t="s">
        <v>87</v>
      </c>
      <c r="P5801" s="1" t="s">
        <v>12160</v>
      </c>
      <c r="Q5801" s="1" t="s">
        <v>12161</v>
      </c>
      <c r="R5801" s="1" t="s">
        <v>90</v>
      </c>
      <c r="S5801" s="1" t="s">
        <v>2953</v>
      </c>
      <c r="T5801" s="1" t="s">
        <v>3586</v>
      </c>
      <c r="U5801" s="2" t="s">
        <v>1991</v>
      </c>
      <c r="V5801" s="2" t="s">
        <v>36</v>
      </c>
      <c r="W5801" s="2" t="s">
        <v>37</v>
      </c>
      <c r="X5801" s="2">
        <v>230.965</v>
      </c>
    </row>
    <row r="5802" spans="1:24" x14ac:dyDescent="0.3">
      <c r="A5802">
        <v>23626</v>
      </c>
      <c r="B5802" t="s">
        <v>12162</v>
      </c>
      <c r="C5802" s="3">
        <v>40878</v>
      </c>
      <c r="D5802" t="s">
        <v>50</v>
      </c>
      <c r="E5802">
        <v>22</v>
      </c>
      <c r="F5802" s="3">
        <f ca="1">40879+(RANDBETWEEN(1,10))</f>
        <v>40880</v>
      </c>
      <c r="G5802" t="s">
        <v>26</v>
      </c>
      <c r="H5802" t="s">
        <v>27</v>
      </c>
      <c r="I5802" t="s">
        <v>28</v>
      </c>
      <c r="J5802">
        <v>7187.6</v>
      </c>
      <c r="K5802">
        <v>0.09</v>
      </c>
      <c r="L5802">
        <v>0.79</v>
      </c>
      <c r="M5802">
        <v>69.965000000000003</v>
      </c>
      <c r="N5802">
        <v>-501.32249999999999</v>
      </c>
      <c r="O5802" s="1" t="s">
        <v>29</v>
      </c>
      <c r="P5802" s="1" t="s">
        <v>7436</v>
      </c>
      <c r="Q5802" s="1" t="s">
        <v>7437</v>
      </c>
      <c r="R5802" s="1" t="s">
        <v>675</v>
      </c>
      <c r="S5802" s="1" t="s">
        <v>7438</v>
      </c>
      <c r="T5802" s="1" t="s">
        <v>7439</v>
      </c>
      <c r="U5802" s="2" t="s">
        <v>1101</v>
      </c>
      <c r="V5802" s="2" t="s">
        <v>47</v>
      </c>
      <c r="W5802" s="2" t="s">
        <v>119</v>
      </c>
      <c r="X5802" s="2">
        <v>334.005</v>
      </c>
    </row>
    <row r="5803" spans="1:24" x14ac:dyDescent="0.3">
      <c r="A5803">
        <v>23627</v>
      </c>
      <c r="B5803" t="s">
        <v>12163</v>
      </c>
      <c r="C5803" s="3">
        <v>40792</v>
      </c>
      <c r="D5803" t="s">
        <v>62</v>
      </c>
      <c r="E5803">
        <v>20</v>
      </c>
      <c r="F5803" s="3">
        <f ca="1">40793+(RANDBETWEEN(1,10))</f>
        <v>40802</v>
      </c>
      <c r="G5803" t="s">
        <v>26</v>
      </c>
      <c r="H5803" t="s">
        <v>27</v>
      </c>
      <c r="I5803" t="s">
        <v>97</v>
      </c>
      <c r="J5803">
        <v>711.79499999999996</v>
      </c>
      <c r="K5803">
        <v>0.05</v>
      </c>
      <c r="L5803">
        <v>0.4</v>
      </c>
      <c r="M5803">
        <v>16.73</v>
      </c>
      <c r="N5803">
        <v>144.55000000000001</v>
      </c>
      <c r="O5803" s="1" t="s">
        <v>87</v>
      </c>
      <c r="P5803" s="1" t="s">
        <v>3817</v>
      </c>
      <c r="Q5803" s="1" t="s">
        <v>3818</v>
      </c>
      <c r="R5803" s="1" t="s">
        <v>90</v>
      </c>
      <c r="S5803" s="1" t="s">
        <v>3819</v>
      </c>
      <c r="T5803" s="1" t="s">
        <v>3820</v>
      </c>
      <c r="U5803" s="2" t="s">
        <v>9387</v>
      </c>
      <c r="V5803" s="2" t="s">
        <v>47</v>
      </c>
      <c r="W5803" s="2" t="s">
        <v>74</v>
      </c>
      <c r="X5803" s="2">
        <v>34.965000000000003</v>
      </c>
    </row>
    <row r="5804" spans="1:24" x14ac:dyDescent="0.3">
      <c r="A5804">
        <v>23628</v>
      </c>
      <c r="B5804" t="s">
        <v>12164</v>
      </c>
      <c r="C5804" s="3">
        <v>41697</v>
      </c>
      <c r="D5804" t="s">
        <v>25</v>
      </c>
      <c r="E5804">
        <v>4</v>
      </c>
      <c r="F5804" s="3">
        <f ca="1">41704+(RANDBETWEEN(1,10))</f>
        <v>41713</v>
      </c>
      <c r="G5804" t="s">
        <v>26</v>
      </c>
      <c r="H5804" t="s">
        <v>51</v>
      </c>
      <c r="I5804" t="s">
        <v>28</v>
      </c>
      <c r="J5804">
        <v>71.47</v>
      </c>
      <c r="K5804">
        <v>0.06</v>
      </c>
      <c r="L5804">
        <v>0.64</v>
      </c>
      <c r="M5804">
        <v>16.170000000000002</v>
      </c>
      <c r="N5804">
        <v>-219.55500000000001</v>
      </c>
      <c r="O5804" s="1" t="s">
        <v>87</v>
      </c>
      <c r="P5804" s="1" t="s">
        <v>9709</v>
      </c>
      <c r="Q5804" s="1" t="s">
        <v>9710</v>
      </c>
      <c r="R5804" s="1" t="s">
        <v>646</v>
      </c>
      <c r="S5804" s="1" t="s">
        <v>9711</v>
      </c>
      <c r="T5804" s="1" t="s">
        <v>3696</v>
      </c>
      <c r="U5804" s="2" t="s">
        <v>505</v>
      </c>
      <c r="V5804" s="2" t="s">
        <v>36</v>
      </c>
      <c r="W5804" s="2" t="s">
        <v>60</v>
      </c>
      <c r="X5804" s="2">
        <v>17.43</v>
      </c>
    </row>
    <row r="5805" spans="1:24" x14ac:dyDescent="0.3">
      <c r="A5805">
        <v>23629</v>
      </c>
      <c r="B5805" t="s">
        <v>12165</v>
      </c>
      <c r="C5805" s="3">
        <v>40601</v>
      </c>
      <c r="D5805" t="s">
        <v>25</v>
      </c>
      <c r="E5805">
        <v>3</v>
      </c>
      <c r="F5805" s="3">
        <f ca="1">40608+(RANDBETWEEN(1,10))</f>
        <v>40617</v>
      </c>
      <c r="G5805" t="s">
        <v>76</v>
      </c>
      <c r="H5805" t="s">
        <v>258</v>
      </c>
      <c r="I5805" t="s">
        <v>28</v>
      </c>
      <c r="J5805">
        <v>1440.74</v>
      </c>
      <c r="K5805">
        <v>0.06</v>
      </c>
      <c r="L5805">
        <v>0.69</v>
      </c>
      <c r="M5805">
        <v>191.59</v>
      </c>
      <c r="N5805">
        <v>51.66</v>
      </c>
      <c r="O5805" s="1" t="s">
        <v>87</v>
      </c>
      <c r="P5805" s="1" t="s">
        <v>12166</v>
      </c>
      <c r="Q5805" s="1" t="s">
        <v>12167</v>
      </c>
      <c r="R5805" s="1" t="s">
        <v>497</v>
      </c>
      <c r="S5805" s="1" t="s">
        <v>7247</v>
      </c>
      <c r="T5805" s="1" t="s">
        <v>7248</v>
      </c>
      <c r="U5805" s="2" t="s">
        <v>493</v>
      </c>
      <c r="V5805" s="2" t="s">
        <v>83</v>
      </c>
      <c r="W5805" s="2" t="s">
        <v>298</v>
      </c>
      <c r="X5805" s="2">
        <v>458.43</v>
      </c>
    </row>
    <row r="5806" spans="1:24" x14ac:dyDescent="0.3">
      <c r="A5806">
        <v>23630</v>
      </c>
      <c r="B5806" t="s">
        <v>12168</v>
      </c>
      <c r="C5806" s="3">
        <v>41003</v>
      </c>
      <c r="D5806" t="s">
        <v>50</v>
      </c>
      <c r="E5806">
        <v>7</v>
      </c>
      <c r="F5806" s="3">
        <f ca="1">41004+(RANDBETWEEN(1,10))</f>
        <v>41011</v>
      </c>
      <c r="G5806" t="s">
        <v>26</v>
      </c>
      <c r="H5806" t="s">
        <v>27</v>
      </c>
      <c r="I5806" t="s">
        <v>97</v>
      </c>
      <c r="J5806">
        <v>105.94499999999999</v>
      </c>
      <c r="K5806">
        <v>0.08</v>
      </c>
      <c r="L5806">
        <v>0.37</v>
      </c>
      <c r="M5806">
        <v>21.734999999999999</v>
      </c>
      <c r="N5806">
        <v>-444.52100000000002</v>
      </c>
      <c r="O5806" s="1" t="s">
        <v>29</v>
      </c>
      <c r="P5806" s="1" t="s">
        <v>4232</v>
      </c>
      <c r="Q5806" s="1" t="s">
        <v>4233</v>
      </c>
      <c r="R5806" s="1" t="s">
        <v>460</v>
      </c>
      <c r="S5806" s="1" t="s">
        <v>4234</v>
      </c>
      <c r="T5806" s="1" t="s">
        <v>4235</v>
      </c>
      <c r="U5806" s="2" t="s">
        <v>11987</v>
      </c>
      <c r="V5806" s="2" t="s">
        <v>47</v>
      </c>
      <c r="W5806" s="2" t="s">
        <v>111</v>
      </c>
      <c r="X5806" s="2">
        <v>15.33</v>
      </c>
    </row>
    <row r="5807" spans="1:24" x14ac:dyDescent="0.3">
      <c r="A5807">
        <v>23631</v>
      </c>
      <c r="B5807" t="s">
        <v>12168</v>
      </c>
      <c r="C5807" s="3">
        <v>41003</v>
      </c>
      <c r="D5807" t="s">
        <v>50</v>
      </c>
      <c r="E5807">
        <v>12</v>
      </c>
      <c r="F5807" s="3">
        <f ca="1">41004+(RANDBETWEEN(1,10))</f>
        <v>41014</v>
      </c>
      <c r="G5807" t="s">
        <v>26</v>
      </c>
      <c r="H5807" t="s">
        <v>27</v>
      </c>
      <c r="I5807" t="s">
        <v>97</v>
      </c>
      <c r="J5807">
        <v>2717.5749999999998</v>
      </c>
      <c r="K5807">
        <v>0.08</v>
      </c>
      <c r="L5807">
        <v>0.73</v>
      </c>
      <c r="M5807">
        <v>24.08</v>
      </c>
      <c r="N5807">
        <v>1326.885</v>
      </c>
      <c r="O5807" s="1" t="s">
        <v>29</v>
      </c>
      <c r="P5807" s="1" t="s">
        <v>4232</v>
      </c>
      <c r="Q5807" s="1" t="s">
        <v>4233</v>
      </c>
      <c r="R5807" s="1" t="s">
        <v>460</v>
      </c>
      <c r="S5807" s="1" t="s">
        <v>4234</v>
      </c>
      <c r="T5807" s="1" t="s">
        <v>4235</v>
      </c>
      <c r="U5807" s="2" t="s">
        <v>2091</v>
      </c>
      <c r="V5807" s="2" t="s">
        <v>47</v>
      </c>
      <c r="W5807" s="2" t="s">
        <v>119</v>
      </c>
      <c r="X5807" s="2">
        <v>227.43</v>
      </c>
    </row>
    <row r="5808" spans="1:24" x14ac:dyDescent="0.3">
      <c r="A5808">
        <v>23632</v>
      </c>
      <c r="B5808" t="s">
        <v>12169</v>
      </c>
      <c r="C5808" s="3">
        <v>41733</v>
      </c>
      <c r="D5808" t="s">
        <v>50</v>
      </c>
      <c r="E5808">
        <v>5</v>
      </c>
      <c r="F5808" s="3">
        <f ca="1">41735+(RANDBETWEEN(1,10))</f>
        <v>41737</v>
      </c>
      <c r="G5808" t="s">
        <v>26</v>
      </c>
      <c r="H5808" t="s">
        <v>27</v>
      </c>
      <c r="I5808" t="s">
        <v>97</v>
      </c>
      <c r="J5808">
        <v>2177.42</v>
      </c>
      <c r="K5808">
        <v>0.08</v>
      </c>
      <c r="L5808">
        <v>0.57999999999999996</v>
      </c>
      <c r="M5808">
        <v>31.465</v>
      </c>
      <c r="N5808">
        <v>498.92849999999999</v>
      </c>
      <c r="O5808" s="1" t="s">
        <v>29</v>
      </c>
      <c r="P5808" s="1" t="s">
        <v>4232</v>
      </c>
      <c r="Q5808" s="1" t="s">
        <v>4233</v>
      </c>
      <c r="R5808" s="1" t="s">
        <v>460</v>
      </c>
      <c r="S5808" s="1" t="s">
        <v>4234</v>
      </c>
      <c r="T5808" s="1" t="s">
        <v>4235</v>
      </c>
      <c r="U5808" s="2" t="s">
        <v>307</v>
      </c>
      <c r="V5808" s="2" t="s">
        <v>36</v>
      </c>
      <c r="W5808" s="2" t="s">
        <v>37</v>
      </c>
      <c r="X5808" s="2">
        <v>545.96500000000003</v>
      </c>
    </row>
    <row r="5809" spans="1:24" x14ac:dyDescent="0.3">
      <c r="A5809">
        <v>23633</v>
      </c>
      <c r="B5809" t="s">
        <v>12170</v>
      </c>
      <c r="C5809" s="3">
        <v>41692</v>
      </c>
      <c r="D5809" t="s">
        <v>62</v>
      </c>
      <c r="E5809">
        <v>1</v>
      </c>
      <c r="F5809" s="3">
        <f ca="1">41693+(RANDBETWEEN(1,10))</f>
        <v>41702</v>
      </c>
      <c r="G5809" t="s">
        <v>26</v>
      </c>
      <c r="H5809" t="s">
        <v>27</v>
      </c>
      <c r="I5809" t="s">
        <v>97</v>
      </c>
      <c r="J5809">
        <v>11.375</v>
      </c>
      <c r="K5809">
        <v>0.01</v>
      </c>
      <c r="L5809">
        <v>0.36</v>
      </c>
      <c r="M5809">
        <v>3.4649999999999999</v>
      </c>
      <c r="N5809">
        <v>1.2250000000000001</v>
      </c>
      <c r="O5809" s="1" t="s">
        <v>29</v>
      </c>
      <c r="P5809" s="1" t="s">
        <v>12171</v>
      </c>
      <c r="Q5809" s="1" t="s">
        <v>12172</v>
      </c>
      <c r="R5809" s="1" t="s">
        <v>460</v>
      </c>
      <c r="S5809" s="1" t="s">
        <v>7575</v>
      </c>
      <c r="T5809" s="1" t="s">
        <v>7576</v>
      </c>
      <c r="U5809" s="2" t="s">
        <v>2482</v>
      </c>
      <c r="V5809" s="2" t="s">
        <v>47</v>
      </c>
      <c r="W5809" s="2" t="s">
        <v>203</v>
      </c>
      <c r="X5809" s="2">
        <v>10.08</v>
      </c>
    </row>
    <row r="5810" spans="1:24" x14ac:dyDescent="0.3">
      <c r="A5810">
        <v>23634</v>
      </c>
      <c r="B5810" t="s">
        <v>12173</v>
      </c>
      <c r="C5810" s="3">
        <v>41742</v>
      </c>
      <c r="D5810" t="s">
        <v>39</v>
      </c>
      <c r="E5810">
        <v>11</v>
      </c>
      <c r="F5810" s="3">
        <f ca="1">41744+(RANDBETWEEN(1,10))</f>
        <v>41746</v>
      </c>
      <c r="G5810" t="s">
        <v>26</v>
      </c>
      <c r="H5810" t="s">
        <v>27</v>
      </c>
      <c r="I5810" t="s">
        <v>52</v>
      </c>
      <c r="J5810">
        <v>14567.174999999999</v>
      </c>
      <c r="K5810">
        <v>0.08</v>
      </c>
      <c r="L5810">
        <v>0.38</v>
      </c>
      <c r="M5810">
        <v>69.965000000000003</v>
      </c>
      <c r="N5810">
        <v>68.123999999999995</v>
      </c>
      <c r="O5810" s="1" t="s">
        <v>29</v>
      </c>
      <c r="P5810" s="1" t="s">
        <v>10541</v>
      </c>
      <c r="Q5810" s="1" t="s">
        <v>10542</v>
      </c>
      <c r="R5810" s="1" t="s">
        <v>32</v>
      </c>
      <c r="S5810" s="1" t="s">
        <v>4327</v>
      </c>
      <c r="T5810" s="1" t="s">
        <v>4328</v>
      </c>
      <c r="U5810" s="2" t="s">
        <v>5575</v>
      </c>
      <c r="V5810" s="2" t="s">
        <v>47</v>
      </c>
      <c r="W5810" s="2" t="s">
        <v>111</v>
      </c>
      <c r="X5810" s="2">
        <v>1357.9649999999999</v>
      </c>
    </row>
    <row r="5811" spans="1:24" x14ac:dyDescent="0.3">
      <c r="A5811">
        <v>23635</v>
      </c>
      <c r="B5811" t="s">
        <v>12173</v>
      </c>
      <c r="C5811" s="3">
        <v>41742</v>
      </c>
      <c r="D5811" t="s">
        <v>39</v>
      </c>
      <c r="E5811">
        <v>12</v>
      </c>
      <c r="F5811" s="3">
        <f ca="1">41744+(RANDBETWEEN(1,10))</f>
        <v>41748</v>
      </c>
      <c r="G5811" t="s">
        <v>26</v>
      </c>
      <c r="H5811" t="s">
        <v>27</v>
      </c>
      <c r="I5811" t="s">
        <v>52</v>
      </c>
      <c r="J5811">
        <v>800.38</v>
      </c>
      <c r="K5811">
        <v>0.05</v>
      </c>
      <c r="L5811">
        <v>0.37</v>
      </c>
      <c r="M5811">
        <v>18.305</v>
      </c>
      <c r="N5811">
        <v>8.8641000000000005</v>
      </c>
      <c r="O5811" s="1" t="s">
        <v>29</v>
      </c>
      <c r="P5811" s="1" t="s">
        <v>10541</v>
      </c>
      <c r="Q5811" s="1" t="s">
        <v>10542</v>
      </c>
      <c r="R5811" s="1" t="s">
        <v>32</v>
      </c>
      <c r="S5811" s="1" t="s">
        <v>4327</v>
      </c>
      <c r="T5811" s="1" t="s">
        <v>4328</v>
      </c>
      <c r="U5811" s="2" t="s">
        <v>8169</v>
      </c>
      <c r="V5811" s="2" t="s">
        <v>47</v>
      </c>
      <c r="W5811" s="2" t="s">
        <v>111</v>
      </c>
      <c r="X5811" s="2">
        <v>66.465000000000003</v>
      </c>
    </row>
    <row r="5812" spans="1:24" x14ac:dyDescent="0.3">
      <c r="A5812">
        <v>23636</v>
      </c>
      <c r="B5812" t="s">
        <v>12173</v>
      </c>
      <c r="C5812" s="3">
        <v>41742</v>
      </c>
      <c r="D5812" t="s">
        <v>39</v>
      </c>
      <c r="E5812">
        <v>10</v>
      </c>
      <c r="F5812" s="3">
        <f ca="1">41744+(RANDBETWEEN(1,10))</f>
        <v>41750</v>
      </c>
      <c r="G5812" t="s">
        <v>76</v>
      </c>
      <c r="H5812" t="s">
        <v>258</v>
      </c>
      <c r="I5812" t="s">
        <v>52</v>
      </c>
      <c r="J5812">
        <v>4269.0200000000004</v>
      </c>
      <c r="K5812">
        <v>0.04</v>
      </c>
      <c r="L5812">
        <v>0.63</v>
      </c>
      <c r="M5812">
        <v>181.79</v>
      </c>
      <c r="N5812">
        <v>-2216.1205500000001</v>
      </c>
      <c r="O5812" s="1" t="s">
        <v>29</v>
      </c>
      <c r="P5812" s="1" t="s">
        <v>10541</v>
      </c>
      <c r="Q5812" s="1" t="s">
        <v>10542</v>
      </c>
      <c r="R5812" s="1" t="s">
        <v>32</v>
      </c>
      <c r="S5812" s="1" t="s">
        <v>4327</v>
      </c>
      <c r="T5812" s="1" t="s">
        <v>4328</v>
      </c>
      <c r="U5812" s="2" t="s">
        <v>360</v>
      </c>
      <c r="V5812" s="2" t="s">
        <v>83</v>
      </c>
      <c r="W5812" s="2" t="s">
        <v>263</v>
      </c>
      <c r="X5812" s="2">
        <v>435.71499999999997</v>
      </c>
    </row>
    <row r="5813" spans="1:24" x14ac:dyDescent="0.3">
      <c r="A5813">
        <v>23637</v>
      </c>
      <c r="B5813" t="s">
        <v>12174</v>
      </c>
      <c r="C5813" s="3">
        <v>41867</v>
      </c>
      <c r="D5813" t="s">
        <v>62</v>
      </c>
      <c r="E5813">
        <v>21</v>
      </c>
      <c r="F5813" s="3">
        <f ca="1">41869+(RANDBETWEEN(1,10))</f>
        <v>41870</v>
      </c>
      <c r="G5813" t="s">
        <v>26</v>
      </c>
      <c r="H5813" t="s">
        <v>96</v>
      </c>
      <c r="I5813" t="s">
        <v>97</v>
      </c>
      <c r="J5813">
        <v>162.92500000000001</v>
      </c>
      <c r="K5813">
        <v>0.04</v>
      </c>
      <c r="L5813">
        <v>0.52</v>
      </c>
      <c r="M5813">
        <v>2.73</v>
      </c>
      <c r="N5813">
        <v>44.458959999999998</v>
      </c>
      <c r="O5813" s="1" t="s">
        <v>53</v>
      </c>
      <c r="P5813" s="1" t="s">
        <v>12108</v>
      </c>
      <c r="Q5813" s="1" t="s">
        <v>12109</v>
      </c>
      <c r="R5813" s="1" t="s">
        <v>440</v>
      </c>
      <c r="S5813" s="1" t="s">
        <v>12110</v>
      </c>
      <c r="T5813" s="1" t="s">
        <v>12111</v>
      </c>
      <c r="U5813" s="2" t="s">
        <v>5921</v>
      </c>
      <c r="V5813" s="2" t="s">
        <v>47</v>
      </c>
      <c r="W5813" s="2" t="s">
        <v>176</v>
      </c>
      <c r="X5813" s="2">
        <v>7.63</v>
      </c>
    </row>
    <row r="5814" spans="1:24" x14ac:dyDescent="0.3">
      <c r="A5814">
        <v>23638</v>
      </c>
      <c r="B5814" t="s">
        <v>12175</v>
      </c>
      <c r="C5814" s="3">
        <v>41338</v>
      </c>
      <c r="D5814" t="s">
        <v>50</v>
      </c>
      <c r="E5814">
        <v>14</v>
      </c>
      <c r="F5814" s="3">
        <f ca="1">41340+(RANDBETWEEN(1,10))</f>
        <v>41345</v>
      </c>
      <c r="G5814" t="s">
        <v>76</v>
      </c>
      <c r="H5814" t="s">
        <v>258</v>
      </c>
      <c r="I5814" t="s">
        <v>28</v>
      </c>
      <c r="J5814">
        <v>7510.4750000000004</v>
      </c>
      <c r="K5814">
        <v>0</v>
      </c>
      <c r="L5814">
        <v>0.75</v>
      </c>
      <c r="M5814">
        <v>137.375</v>
      </c>
      <c r="N5814">
        <v>-1313.6623500000001</v>
      </c>
      <c r="O5814" s="1" t="s">
        <v>87</v>
      </c>
      <c r="P5814" s="1" t="s">
        <v>2632</v>
      </c>
      <c r="Q5814" s="1" t="s">
        <v>2633</v>
      </c>
      <c r="R5814" s="1" t="s">
        <v>398</v>
      </c>
      <c r="S5814" s="1" t="s">
        <v>2634</v>
      </c>
      <c r="T5814" s="1" t="s">
        <v>2635</v>
      </c>
      <c r="U5814" s="2" t="s">
        <v>342</v>
      </c>
      <c r="V5814" s="2" t="s">
        <v>83</v>
      </c>
      <c r="W5814" s="2" t="s">
        <v>263</v>
      </c>
      <c r="X5814" s="2">
        <v>528.42999999999995</v>
      </c>
    </row>
    <row r="5815" spans="1:24" x14ac:dyDescent="0.3">
      <c r="A5815">
        <v>23639</v>
      </c>
      <c r="B5815" t="s">
        <v>12176</v>
      </c>
      <c r="C5815" s="3">
        <v>40576</v>
      </c>
      <c r="D5815" t="s">
        <v>50</v>
      </c>
      <c r="E5815">
        <v>11</v>
      </c>
      <c r="F5815" s="3">
        <f ca="1">40577+(RANDBETWEEN(1,10))</f>
        <v>40582</v>
      </c>
      <c r="G5815" t="s">
        <v>26</v>
      </c>
      <c r="H5815" t="s">
        <v>27</v>
      </c>
      <c r="I5815" t="s">
        <v>52</v>
      </c>
      <c r="J5815">
        <v>318.43</v>
      </c>
      <c r="K5815">
        <v>0</v>
      </c>
      <c r="L5815">
        <v>0.49</v>
      </c>
      <c r="M5815">
        <v>27.86</v>
      </c>
      <c r="N5815">
        <v>-505.96</v>
      </c>
      <c r="O5815" s="1" t="s">
        <v>40</v>
      </c>
      <c r="P5815" s="1" t="s">
        <v>11634</v>
      </c>
      <c r="Q5815" s="1" t="s">
        <v>11635</v>
      </c>
      <c r="R5815" s="1" t="s">
        <v>220</v>
      </c>
      <c r="S5815" s="1" t="s">
        <v>11636</v>
      </c>
      <c r="T5815" s="1" t="s">
        <v>11637</v>
      </c>
      <c r="U5815" s="2" t="s">
        <v>3533</v>
      </c>
      <c r="V5815" s="2" t="s">
        <v>83</v>
      </c>
      <c r="W5815" s="2" t="s">
        <v>178</v>
      </c>
      <c r="X5815" s="2">
        <v>28.315000000000001</v>
      </c>
    </row>
    <row r="5816" spans="1:24" x14ac:dyDescent="0.3">
      <c r="A5816">
        <v>23640</v>
      </c>
      <c r="B5816" t="s">
        <v>12177</v>
      </c>
      <c r="C5816" s="3">
        <v>41715</v>
      </c>
      <c r="D5816" t="s">
        <v>148</v>
      </c>
      <c r="E5816">
        <v>6</v>
      </c>
      <c r="F5816" s="3">
        <f ca="1">41717+(RANDBETWEEN(1,10))</f>
        <v>41727</v>
      </c>
      <c r="G5816" t="s">
        <v>26</v>
      </c>
      <c r="H5816" t="s">
        <v>96</v>
      </c>
      <c r="I5816" t="s">
        <v>97</v>
      </c>
      <c r="J5816">
        <v>69.055000000000007</v>
      </c>
      <c r="K5816">
        <v>0.04</v>
      </c>
      <c r="L5816">
        <v>0.39</v>
      </c>
      <c r="M5816">
        <v>3.8149999999999999</v>
      </c>
      <c r="N5816">
        <v>47.647950000000002</v>
      </c>
      <c r="O5816" s="1" t="s">
        <v>29</v>
      </c>
      <c r="P5816" s="1" t="s">
        <v>7990</v>
      </c>
      <c r="Q5816" s="1" t="s">
        <v>7991</v>
      </c>
      <c r="R5816" s="1" t="s">
        <v>32</v>
      </c>
      <c r="S5816" s="1" t="s">
        <v>7992</v>
      </c>
      <c r="T5816" s="1" t="s">
        <v>7993</v>
      </c>
      <c r="U5816" s="2" t="s">
        <v>7982</v>
      </c>
      <c r="V5816" s="2" t="s">
        <v>47</v>
      </c>
      <c r="W5816" s="2" t="s">
        <v>74</v>
      </c>
      <c r="X5816" s="2">
        <v>11.83</v>
      </c>
    </row>
    <row r="5817" spans="1:24" x14ac:dyDescent="0.3">
      <c r="A5817">
        <v>23641</v>
      </c>
      <c r="B5817" t="s">
        <v>12178</v>
      </c>
      <c r="C5817" s="3">
        <v>41880</v>
      </c>
      <c r="D5817" t="s">
        <v>25</v>
      </c>
      <c r="E5817">
        <v>6</v>
      </c>
      <c r="F5817" s="3">
        <f ca="1">41889+(RANDBETWEEN(1,10))</f>
        <v>41891</v>
      </c>
      <c r="G5817" t="s">
        <v>26</v>
      </c>
      <c r="H5817" t="s">
        <v>27</v>
      </c>
      <c r="I5817" t="s">
        <v>97</v>
      </c>
      <c r="J5817">
        <v>662.97</v>
      </c>
      <c r="K5817">
        <v>0.05</v>
      </c>
      <c r="L5817">
        <v>0.75</v>
      </c>
      <c r="M5817">
        <v>14</v>
      </c>
      <c r="N5817">
        <v>-147.47991999999999</v>
      </c>
      <c r="O5817" s="1" t="s">
        <v>64</v>
      </c>
      <c r="P5817" s="1" t="s">
        <v>12179</v>
      </c>
      <c r="Q5817" s="1" t="s">
        <v>12180</v>
      </c>
      <c r="R5817" s="1" t="s">
        <v>67</v>
      </c>
      <c r="S5817" s="1" t="s">
        <v>12181</v>
      </c>
      <c r="T5817" s="1" t="s">
        <v>12182</v>
      </c>
      <c r="U5817" s="2" t="s">
        <v>216</v>
      </c>
      <c r="V5817" s="2" t="s">
        <v>36</v>
      </c>
      <c r="W5817" s="2" t="s">
        <v>60</v>
      </c>
      <c r="X5817" s="2">
        <v>107.55500000000001</v>
      </c>
    </row>
    <row r="5818" spans="1:24" x14ac:dyDescent="0.3">
      <c r="A5818">
        <v>23642</v>
      </c>
      <c r="B5818" t="s">
        <v>12183</v>
      </c>
      <c r="C5818" s="3">
        <v>41769</v>
      </c>
      <c r="D5818" t="s">
        <v>25</v>
      </c>
      <c r="E5818">
        <v>7</v>
      </c>
      <c r="F5818" s="3">
        <f ca="1">41771+(RANDBETWEEN(1,10))</f>
        <v>41772</v>
      </c>
      <c r="G5818" t="s">
        <v>26</v>
      </c>
      <c r="H5818" t="s">
        <v>27</v>
      </c>
      <c r="I5818" t="s">
        <v>97</v>
      </c>
      <c r="J5818">
        <v>802.9</v>
      </c>
      <c r="K5818">
        <v>0.1</v>
      </c>
      <c r="L5818">
        <v>0.59</v>
      </c>
      <c r="M5818">
        <v>27.055</v>
      </c>
      <c r="N5818">
        <v>-1041.5097000000001</v>
      </c>
      <c r="O5818" s="1" t="s">
        <v>87</v>
      </c>
      <c r="P5818" s="1" t="s">
        <v>12184</v>
      </c>
      <c r="Q5818" s="1" t="s">
        <v>12185</v>
      </c>
      <c r="R5818" s="1" t="s">
        <v>398</v>
      </c>
      <c r="S5818" s="1" t="s">
        <v>12186</v>
      </c>
      <c r="T5818" s="1" t="s">
        <v>12187</v>
      </c>
      <c r="U5818" s="2" t="s">
        <v>9353</v>
      </c>
      <c r="V5818" s="2" t="s">
        <v>47</v>
      </c>
      <c r="W5818" s="2" t="s">
        <v>104</v>
      </c>
      <c r="X5818" s="2">
        <v>122.465</v>
      </c>
    </row>
    <row r="5819" spans="1:24" x14ac:dyDescent="0.3">
      <c r="A5819">
        <v>23643</v>
      </c>
      <c r="B5819" t="s">
        <v>12188</v>
      </c>
      <c r="C5819" s="3">
        <v>41329</v>
      </c>
      <c r="D5819" t="s">
        <v>25</v>
      </c>
      <c r="E5819">
        <v>14</v>
      </c>
      <c r="F5819" s="3">
        <f ca="1">41336+(RANDBETWEEN(1,10))</f>
        <v>41337</v>
      </c>
      <c r="G5819" t="s">
        <v>26</v>
      </c>
      <c r="H5819" t="s">
        <v>27</v>
      </c>
      <c r="I5819" t="s">
        <v>97</v>
      </c>
      <c r="J5819">
        <v>7623.1750000000002</v>
      </c>
      <c r="K5819">
        <v>0</v>
      </c>
      <c r="L5819">
        <v>0.59</v>
      </c>
      <c r="M5819">
        <v>17.465</v>
      </c>
      <c r="N5819">
        <v>5259.9907499999999</v>
      </c>
      <c r="O5819" s="1" t="s">
        <v>40</v>
      </c>
      <c r="P5819" s="1" t="s">
        <v>6729</v>
      </c>
      <c r="Q5819" s="1" t="s">
        <v>6730</v>
      </c>
      <c r="R5819" s="1" t="s">
        <v>43</v>
      </c>
      <c r="S5819" s="1" t="s">
        <v>6731</v>
      </c>
      <c r="T5819" s="1" t="s">
        <v>6732</v>
      </c>
      <c r="U5819" s="2">
        <v>5165</v>
      </c>
      <c r="V5819" s="2" t="s">
        <v>36</v>
      </c>
      <c r="W5819" s="2" t="s">
        <v>37</v>
      </c>
      <c r="X5819" s="2">
        <v>615.96500000000003</v>
      </c>
    </row>
    <row r="5820" spans="1:24" x14ac:dyDescent="0.3">
      <c r="A5820">
        <v>23644</v>
      </c>
      <c r="B5820" t="s">
        <v>12189</v>
      </c>
      <c r="C5820" s="3">
        <v>41417</v>
      </c>
      <c r="D5820" t="s">
        <v>148</v>
      </c>
      <c r="E5820">
        <v>16</v>
      </c>
      <c r="F5820" s="3">
        <f ca="1">41417+(RANDBETWEEN(1,10))</f>
        <v>41419</v>
      </c>
      <c r="G5820" t="s">
        <v>26</v>
      </c>
      <c r="H5820" t="s">
        <v>27</v>
      </c>
      <c r="I5820" t="s">
        <v>52</v>
      </c>
      <c r="J5820">
        <v>151.095</v>
      </c>
      <c r="K5820">
        <v>7.0000000000000007E-2</v>
      </c>
      <c r="L5820">
        <v>0.39</v>
      </c>
      <c r="M5820">
        <v>5.2149999999999999</v>
      </c>
      <c r="N5820">
        <v>-1.4087499999999999</v>
      </c>
      <c r="O5820" s="1" t="s">
        <v>64</v>
      </c>
      <c r="P5820" s="1" t="s">
        <v>9953</v>
      </c>
      <c r="Q5820" s="1" t="s">
        <v>9954</v>
      </c>
      <c r="R5820" s="1" t="s">
        <v>128</v>
      </c>
      <c r="S5820" s="1" t="s">
        <v>1552</v>
      </c>
      <c r="T5820" s="1" t="s">
        <v>1553</v>
      </c>
      <c r="U5820" s="2" t="s">
        <v>5684</v>
      </c>
      <c r="V5820" s="2" t="s">
        <v>47</v>
      </c>
      <c r="W5820" s="2" t="s">
        <v>111</v>
      </c>
      <c r="X5820" s="2">
        <v>9.73</v>
      </c>
    </row>
    <row r="5821" spans="1:24" x14ac:dyDescent="0.3">
      <c r="A5821">
        <v>23645</v>
      </c>
      <c r="B5821" t="s">
        <v>12190</v>
      </c>
      <c r="C5821" s="3">
        <v>41800</v>
      </c>
      <c r="D5821" t="s">
        <v>39</v>
      </c>
      <c r="E5821">
        <v>2</v>
      </c>
      <c r="F5821" s="3">
        <f ca="1">41801+(RANDBETWEEN(1,10))</f>
        <v>41811</v>
      </c>
      <c r="G5821" t="s">
        <v>26</v>
      </c>
      <c r="H5821" t="s">
        <v>51</v>
      </c>
      <c r="I5821" t="s">
        <v>28</v>
      </c>
      <c r="J5821">
        <v>236.98500000000001</v>
      </c>
      <c r="K5821">
        <v>0.1</v>
      </c>
      <c r="L5821">
        <v>0.56000000000000005</v>
      </c>
      <c r="M5821">
        <v>31.465</v>
      </c>
      <c r="N5821">
        <v>-116.648</v>
      </c>
      <c r="O5821" s="1" t="s">
        <v>53</v>
      </c>
      <c r="P5821" s="1" t="s">
        <v>10096</v>
      </c>
      <c r="Q5821" s="1" t="s">
        <v>10097</v>
      </c>
      <c r="R5821" s="1" t="s">
        <v>440</v>
      </c>
      <c r="S5821" s="1" t="s">
        <v>10098</v>
      </c>
      <c r="T5821" s="1" t="s">
        <v>10099</v>
      </c>
      <c r="U5821" s="2" t="s">
        <v>741</v>
      </c>
      <c r="V5821" s="2" t="s">
        <v>47</v>
      </c>
      <c r="W5821" s="2" t="s">
        <v>104</v>
      </c>
      <c r="X5821" s="2">
        <v>121.03</v>
      </c>
    </row>
    <row r="5822" spans="1:24" x14ac:dyDescent="0.3">
      <c r="A5822">
        <v>23646</v>
      </c>
      <c r="B5822" t="s">
        <v>12191</v>
      </c>
      <c r="C5822" s="3">
        <v>41797</v>
      </c>
      <c r="D5822" t="s">
        <v>39</v>
      </c>
      <c r="E5822">
        <v>6</v>
      </c>
      <c r="F5822" s="3">
        <f ca="1">41798+(RANDBETWEEN(1,10))</f>
        <v>41804</v>
      </c>
      <c r="G5822" t="s">
        <v>26</v>
      </c>
      <c r="H5822" t="s">
        <v>51</v>
      </c>
      <c r="I5822" t="s">
        <v>52</v>
      </c>
      <c r="J5822">
        <v>37.590000000000003</v>
      </c>
      <c r="K5822">
        <v>0.02</v>
      </c>
      <c r="L5822">
        <v>0.51</v>
      </c>
      <c r="M5822">
        <v>6.9649999999999999</v>
      </c>
      <c r="N5822">
        <v>-66.808000000000007</v>
      </c>
      <c r="O5822" s="1" t="s">
        <v>87</v>
      </c>
      <c r="P5822" s="1" t="s">
        <v>11584</v>
      </c>
      <c r="Q5822" s="1" t="s">
        <v>11585</v>
      </c>
      <c r="R5822" s="1" t="s">
        <v>646</v>
      </c>
      <c r="S5822" s="1" t="s">
        <v>1637</v>
      </c>
      <c r="T5822" s="1" t="s">
        <v>1638</v>
      </c>
      <c r="U5822" s="2" t="s">
        <v>6841</v>
      </c>
      <c r="V5822" s="2" t="s">
        <v>36</v>
      </c>
      <c r="W5822" s="2" t="s">
        <v>60</v>
      </c>
      <c r="X5822" s="2">
        <v>5.95</v>
      </c>
    </row>
    <row r="5823" spans="1:24" x14ac:dyDescent="0.3">
      <c r="A5823">
        <v>23647</v>
      </c>
      <c r="B5823" t="s">
        <v>12191</v>
      </c>
      <c r="C5823" s="3">
        <v>41797</v>
      </c>
      <c r="D5823" t="s">
        <v>39</v>
      </c>
      <c r="E5823">
        <v>5</v>
      </c>
      <c r="F5823" s="3">
        <f ca="1">41799+(RANDBETWEEN(1,10))</f>
        <v>41800</v>
      </c>
      <c r="G5823" t="s">
        <v>26</v>
      </c>
      <c r="H5823" t="s">
        <v>51</v>
      </c>
      <c r="I5823" t="s">
        <v>52</v>
      </c>
      <c r="J5823">
        <v>293.89499999999998</v>
      </c>
      <c r="K5823">
        <v>0.09</v>
      </c>
      <c r="L5823">
        <v>0.81</v>
      </c>
      <c r="M5823">
        <v>11.55</v>
      </c>
      <c r="N5823">
        <v>-343.32760000000002</v>
      </c>
      <c r="O5823" s="1" t="s">
        <v>87</v>
      </c>
      <c r="P5823" s="1" t="s">
        <v>11584</v>
      </c>
      <c r="Q5823" s="1" t="s">
        <v>11585</v>
      </c>
      <c r="R5823" s="1" t="s">
        <v>646</v>
      </c>
      <c r="S5823" s="1" t="s">
        <v>1637</v>
      </c>
      <c r="T5823" s="1" t="s">
        <v>1638</v>
      </c>
      <c r="U5823" s="2" t="s">
        <v>2224</v>
      </c>
      <c r="V5823" s="2" t="s">
        <v>36</v>
      </c>
      <c r="W5823" s="2" t="s">
        <v>37</v>
      </c>
      <c r="X5823" s="2">
        <v>73.465000000000003</v>
      </c>
    </row>
    <row r="5824" spans="1:24" x14ac:dyDescent="0.3">
      <c r="A5824">
        <v>23648</v>
      </c>
      <c r="B5824" t="s">
        <v>12192</v>
      </c>
      <c r="C5824" s="3">
        <v>41907</v>
      </c>
      <c r="D5824" t="s">
        <v>50</v>
      </c>
      <c r="E5824">
        <v>18</v>
      </c>
      <c r="F5824" s="3">
        <f ca="1">41908+(RANDBETWEEN(1,10))</f>
        <v>41912</v>
      </c>
      <c r="G5824" t="s">
        <v>26</v>
      </c>
      <c r="H5824" t="s">
        <v>27</v>
      </c>
      <c r="I5824" t="s">
        <v>28</v>
      </c>
      <c r="J5824">
        <v>404.25</v>
      </c>
      <c r="K5824">
        <v>0.03</v>
      </c>
      <c r="L5824">
        <v>0.39</v>
      </c>
      <c r="M5824">
        <v>1.75</v>
      </c>
      <c r="N5824">
        <v>278.9325</v>
      </c>
      <c r="O5824" s="1" t="s">
        <v>87</v>
      </c>
      <c r="P5824" s="1" t="s">
        <v>2632</v>
      </c>
      <c r="Q5824" s="1" t="s">
        <v>2633</v>
      </c>
      <c r="R5824" s="1" t="s">
        <v>398</v>
      </c>
      <c r="S5824" s="1" t="s">
        <v>2634</v>
      </c>
      <c r="T5824" s="1" t="s">
        <v>2635</v>
      </c>
      <c r="U5824" s="2" t="s">
        <v>2021</v>
      </c>
      <c r="V5824" s="2" t="s">
        <v>47</v>
      </c>
      <c r="W5824" s="2" t="s">
        <v>203</v>
      </c>
      <c r="X5824" s="2">
        <v>22.05</v>
      </c>
    </row>
    <row r="5825" spans="1:24" x14ac:dyDescent="0.3">
      <c r="A5825">
        <v>23649</v>
      </c>
      <c r="B5825" t="s">
        <v>12192</v>
      </c>
      <c r="C5825" s="3">
        <v>41907</v>
      </c>
      <c r="D5825" t="s">
        <v>50</v>
      </c>
      <c r="E5825">
        <v>19</v>
      </c>
      <c r="F5825" s="3">
        <f ca="1">41909+(RANDBETWEEN(1,10))</f>
        <v>41918</v>
      </c>
      <c r="G5825" t="s">
        <v>26</v>
      </c>
      <c r="H5825" t="s">
        <v>27</v>
      </c>
      <c r="I5825" t="s">
        <v>28</v>
      </c>
      <c r="J5825">
        <v>255.99</v>
      </c>
      <c r="K5825">
        <v>0.01</v>
      </c>
      <c r="L5825">
        <v>0.38</v>
      </c>
      <c r="M5825">
        <v>1.75</v>
      </c>
      <c r="N5825">
        <v>176.63310000000001</v>
      </c>
      <c r="O5825" s="1" t="s">
        <v>87</v>
      </c>
      <c r="P5825" s="1" t="s">
        <v>2632</v>
      </c>
      <c r="Q5825" s="1" t="s">
        <v>2633</v>
      </c>
      <c r="R5825" s="1" t="s">
        <v>398</v>
      </c>
      <c r="S5825" s="1" t="s">
        <v>2634</v>
      </c>
      <c r="T5825" s="1" t="s">
        <v>2635</v>
      </c>
      <c r="U5825" s="2" t="s">
        <v>702</v>
      </c>
      <c r="V5825" s="2" t="s">
        <v>47</v>
      </c>
      <c r="W5825" s="2" t="s">
        <v>203</v>
      </c>
      <c r="X5825" s="2">
        <v>12.914999999999999</v>
      </c>
    </row>
    <row r="5826" spans="1:24" x14ac:dyDescent="0.3">
      <c r="A5826">
        <v>23650</v>
      </c>
      <c r="B5826" t="s">
        <v>12192</v>
      </c>
      <c r="C5826" s="3">
        <v>41907</v>
      </c>
      <c r="D5826" t="s">
        <v>50</v>
      </c>
      <c r="E5826">
        <v>10</v>
      </c>
      <c r="F5826" s="3">
        <f ca="1">41910+(RANDBETWEEN(1,10))</f>
        <v>41915</v>
      </c>
      <c r="G5826" t="s">
        <v>26</v>
      </c>
      <c r="H5826" t="s">
        <v>27</v>
      </c>
      <c r="I5826" t="s">
        <v>28</v>
      </c>
      <c r="J5826">
        <v>178.78</v>
      </c>
      <c r="K5826">
        <v>0.05</v>
      </c>
      <c r="L5826">
        <v>0.38</v>
      </c>
      <c r="M5826">
        <v>10.465</v>
      </c>
      <c r="N5826">
        <v>-23.699200000000001</v>
      </c>
      <c r="O5826" s="1" t="s">
        <v>87</v>
      </c>
      <c r="P5826" s="1" t="s">
        <v>12193</v>
      </c>
      <c r="Q5826" s="1" t="s">
        <v>12194</v>
      </c>
      <c r="R5826" s="1" t="s">
        <v>398</v>
      </c>
      <c r="S5826" s="1" t="s">
        <v>12195</v>
      </c>
      <c r="T5826" s="1" t="s">
        <v>12196</v>
      </c>
      <c r="U5826" s="2" t="s">
        <v>12197</v>
      </c>
      <c r="V5826" s="2" t="s">
        <v>47</v>
      </c>
      <c r="W5826" s="2" t="s">
        <v>111</v>
      </c>
      <c r="X5826" s="2">
        <v>17.71</v>
      </c>
    </row>
    <row r="5827" spans="1:24" x14ac:dyDescent="0.3">
      <c r="A5827">
        <v>23651</v>
      </c>
      <c r="B5827" t="s">
        <v>12198</v>
      </c>
      <c r="C5827" s="3">
        <v>41329</v>
      </c>
      <c r="D5827" t="s">
        <v>148</v>
      </c>
      <c r="E5827">
        <v>13</v>
      </c>
      <c r="F5827" s="3">
        <f ca="1">41331+(RANDBETWEEN(1,10))</f>
        <v>41333</v>
      </c>
      <c r="G5827" t="s">
        <v>26</v>
      </c>
      <c r="H5827" t="s">
        <v>27</v>
      </c>
      <c r="I5827" t="s">
        <v>97</v>
      </c>
      <c r="J5827">
        <v>1717.66</v>
      </c>
      <c r="K5827">
        <v>0.1</v>
      </c>
      <c r="L5827">
        <v>0.56000000000000005</v>
      </c>
      <c r="M5827">
        <v>13.965</v>
      </c>
      <c r="N5827">
        <v>1185.1854000000001</v>
      </c>
      <c r="O5827" s="1" t="s">
        <v>87</v>
      </c>
      <c r="P5827" s="1" t="s">
        <v>12199</v>
      </c>
      <c r="Q5827" s="1" t="s">
        <v>12200</v>
      </c>
      <c r="R5827" s="1" t="s">
        <v>398</v>
      </c>
      <c r="S5827" s="1" t="s">
        <v>12201</v>
      </c>
      <c r="T5827" s="1" t="s">
        <v>12202</v>
      </c>
      <c r="U5827" s="2" t="s">
        <v>5516</v>
      </c>
      <c r="V5827" s="2" t="s">
        <v>47</v>
      </c>
      <c r="W5827" s="2" t="s">
        <v>71</v>
      </c>
      <c r="X5827" s="2">
        <v>138.18</v>
      </c>
    </row>
    <row r="5828" spans="1:24" x14ac:dyDescent="0.3">
      <c r="A5828">
        <v>23652</v>
      </c>
      <c r="B5828" t="s">
        <v>12203</v>
      </c>
      <c r="C5828" s="3">
        <v>41845</v>
      </c>
      <c r="D5828" t="s">
        <v>39</v>
      </c>
      <c r="E5828">
        <v>7</v>
      </c>
      <c r="F5828" s="3">
        <f ca="1">41848+(RANDBETWEEN(1,10))</f>
        <v>41851</v>
      </c>
      <c r="G5828" t="s">
        <v>26</v>
      </c>
      <c r="H5828" t="s">
        <v>96</v>
      </c>
      <c r="I5828" t="s">
        <v>86</v>
      </c>
      <c r="J5828">
        <v>1070.44</v>
      </c>
      <c r="K5828">
        <v>0.1</v>
      </c>
      <c r="L5828">
        <v>0.68</v>
      </c>
      <c r="M5828">
        <v>16.8</v>
      </c>
      <c r="N5828">
        <v>738.60360000000003</v>
      </c>
      <c r="O5828" s="1" t="s">
        <v>29</v>
      </c>
      <c r="P5828" s="1" t="s">
        <v>12204</v>
      </c>
      <c r="Q5828" s="1" t="s">
        <v>12205</v>
      </c>
      <c r="R5828" s="1" t="s">
        <v>675</v>
      </c>
      <c r="S5828" s="1" t="s">
        <v>1324</v>
      </c>
      <c r="T5828" s="1" t="s">
        <v>1325</v>
      </c>
      <c r="U5828" s="2" t="s">
        <v>4047</v>
      </c>
      <c r="V5828" s="2" t="s">
        <v>83</v>
      </c>
      <c r="W5828" s="2" t="s">
        <v>178</v>
      </c>
      <c r="X5828" s="2">
        <v>160.93</v>
      </c>
    </row>
    <row r="5829" spans="1:24" x14ac:dyDescent="0.3">
      <c r="A5829">
        <v>23653</v>
      </c>
      <c r="B5829" t="s">
        <v>12206</v>
      </c>
      <c r="C5829" s="3">
        <v>41115</v>
      </c>
      <c r="D5829" t="s">
        <v>39</v>
      </c>
      <c r="E5829">
        <v>3</v>
      </c>
      <c r="F5829" s="3">
        <f ca="1">41115+(RANDBETWEEN(1,10))</f>
        <v>41116</v>
      </c>
      <c r="G5829" t="s">
        <v>26</v>
      </c>
      <c r="H5829" t="s">
        <v>27</v>
      </c>
      <c r="I5829" t="s">
        <v>86</v>
      </c>
      <c r="J5829">
        <v>152.18</v>
      </c>
      <c r="K5829">
        <v>0.03</v>
      </c>
      <c r="L5829">
        <v>0.59</v>
      </c>
      <c r="M5829">
        <v>15.785</v>
      </c>
      <c r="N5829">
        <v>-30.45</v>
      </c>
      <c r="O5829" s="1" t="s">
        <v>87</v>
      </c>
      <c r="P5829" s="1" t="s">
        <v>12207</v>
      </c>
      <c r="Q5829" s="1" t="s">
        <v>12208</v>
      </c>
      <c r="R5829" s="1" t="s">
        <v>90</v>
      </c>
      <c r="S5829" s="1" t="s">
        <v>7945</v>
      </c>
      <c r="T5829" s="1" t="s">
        <v>7946</v>
      </c>
      <c r="U5829" s="2" t="s">
        <v>1495</v>
      </c>
      <c r="V5829" s="2" t="s">
        <v>47</v>
      </c>
      <c r="W5829" s="2" t="s">
        <v>119</v>
      </c>
      <c r="X5829" s="2">
        <v>47.18</v>
      </c>
    </row>
    <row r="5830" spans="1:24" x14ac:dyDescent="0.3">
      <c r="A5830">
        <v>23654</v>
      </c>
      <c r="B5830" t="s">
        <v>12209</v>
      </c>
      <c r="C5830" s="3">
        <v>40709</v>
      </c>
      <c r="D5830" t="s">
        <v>50</v>
      </c>
      <c r="E5830">
        <v>13</v>
      </c>
      <c r="F5830" s="3">
        <f ca="1">40711+(RANDBETWEEN(1,10))</f>
        <v>40716</v>
      </c>
      <c r="G5830" t="s">
        <v>26</v>
      </c>
      <c r="H5830" t="s">
        <v>27</v>
      </c>
      <c r="I5830" t="s">
        <v>28</v>
      </c>
      <c r="J5830">
        <v>205.38</v>
      </c>
      <c r="K5830">
        <v>0.03</v>
      </c>
      <c r="L5830">
        <v>0.35</v>
      </c>
      <c r="M5830">
        <v>18.934999999999999</v>
      </c>
      <c r="N5830">
        <v>-295.53160000000003</v>
      </c>
      <c r="O5830" s="1" t="s">
        <v>64</v>
      </c>
      <c r="P5830" s="1" t="s">
        <v>12210</v>
      </c>
      <c r="Q5830" s="1" t="s">
        <v>12211</v>
      </c>
      <c r="R5830" s="1" t="s">
        <v>128</v>
      </c>
      <c r="S5830" s="1" t="s">
        <v>8092</v>
      </c>
      <c r="T5830" s="1" t="s">
        <v>8093</v>
      </c>
      <c r="U5830" s="2" t="s">
        <v>231</v>
      </c>
      <c r="V5830" s="2" t="s">
        <v>47</v>
      </c>
      <c r="W5830" s="2" t="s">
        <v>111</v>
      </c>
      <c r="X5830" s="2">
        <v>14.84</v>
      </c>
    </row>
    <row r="5831" spans="1:24" x14ac:dyDescent="0.3">
      <c r="A5831">
        <v>23655</v>
      </c>
      <c r="B5831" t="s">
        <v>12209</v>
      </c>
      <c r="C5831" s="3">
        <v>40709</v>
      </c>
      <c r="D5831" t="s">
        <v>50</v>
      </c>
      <c r="E5831">
        <v>18</v>
      </c>
      <c r="F5831" s="3">
        <f ca="1">40710+(RANDBETWEEN(1,10))</f>
        <v>40717</v>
      </c>
      <c r="G5831" t="s">
        <v>26</v>
      </c>
      <c r="H5831" t="s">
        <v>96</v>
      </c>
      <c r="I5831" t="s">
        <v>28</v>
      </c>
      <c r="J5831">
        <v>185.85</v>
      </c>
      <c r="K5831">
        <v>0.04</v>
      </c>
      <c r="L5831">
        <v>0.57999999999999996</v>
      </c>
      <c r="M5831">
        <v>2.4500000000000002</v>
      </c>
      <c r="N5831">
        <v>85.091999999999999</v>
      </c>
      <c r="O5831" s="1" t="s">
        <v>64</v>
      </c>
      <c r="P5831" s="1" t="s">
        <v>12210</v>
      </c>
      <c r="Q5831" s="1" t="s">
        <v>12211</v>
      </c>
      <c r="R5831" s="1" t="s">
        <v>128</v>
      </c>
      <c r="S5831" s="1" t="s">
        <v>8092</v>
      </c>
      <c r="T5831" s="1" t="s">
        <v>8093</v>
      </c>
      <c r="U5831" s="2" t="s">
        <v>2921</v>
      </c>
      <c r="V5831" s="2" t="s">
        <v>47</v>
      </c>
      <c r="W5831" s="2" t="s">
        <v>104</v>
      </c>
      <c r="X5831" s="2">
        <v>10.29</v>
      </c>
    </row>
    <row r="5832" spans="1:24" x14ac:dyDescent="0.3">
      <c r="A5832">
        <v>23656</v>
      </c>
      <c r="B5832" t="s">
        <v>12212</v>
      </c>
      <c r="C5832" s="3">
        <v>41881</v>
      </c>
      <c r="D5832" t="s">
        <v>50</v>
      </c>
      <c r="E5832">
        <v>23</v>
      </c>
      <c r="F5832" s="3">
        <f ca="1">41883+(RANDBETWEEN(1,10))</f>
        <v>41892</v>
      </c>
      <c r="G5832" t="s">
        <v>26</v>
      </c>
      <c r="H5832" t="s">
        <v>96</v>
      </c>
      <c r="I5832" t="s">
        <v>97</v>
      </c>
      <c r="J5832">
        <v>337.68</v>
      </c>
      <c r="K5832">
        <v>0.02</v>
      </c>
      <c r="L5832">
        <v>0.56999999999999995</v>
      </c>
      <c r="M5832">
        <v>4.0949999999999998</v>
      </c>
      <c r="N5832">
        <v>120.96588</v>
      </c>
      <c r="O5832" s="1" t="s">
        <v>87</v>
      </c>
      <c r="P5832" s="1" t="s">
        <v>7176</v>
      </c>
      <c r="Q5832" s="1" t="s">
        <v>7177</v>
      </c>
      <c r="R5832" s="1" t="s">
        <v>646</v>
      </c>
      <c r="S5832" s="1" t="s">
        <v>7178</v>
      </c>
      <c r="T5832" s="1" t="s">
        <v>7179</v>
      </c>
      <c r="U5832" s="2" t="s">
        <v>6469</v>
      </c>
      <c r="V5832" s="2" t="s">
        <v>47</v>
      </c>
      <c r="W5832" s="2" t="s">
        <v>104</v>
      </c>
      <c r="X5832" s="2">
        <v>14.455</v>
      </c>
    </row>
    <row r="5833" spans="1:24" x14ac:dyDescent="0.3">
      <c r="A5833">
        <v>23657</v>
      </c>
      <c r="B5833" t="s">
        <v>12213</v>
      </c>
      <c r="C5833" s="3">
        <v>41973</v>
      </c>
      <c r="D5833" t="s">
        <v>25</v>
      </c>
      <c r="E5833">
        <v>8</v>
      </c>
      <c r="F5833" s="3">
        <f ca="1">41980+(RANDBETWEEN(1,10))</f>
        <v>41986</v>
      </c>
      <c r="G5833" t="s">
        <v>76</v>
      </c>
      <c r="H5833" t="s">
        <v>77</v>
      </c>
      <c r="I5833" t="s">
        <v>86</v>
      </c>
      <c r="J5833">
        <v>72489.27</v>
      </c>
      <c r="K5833">
        <v>0.06</v>
      </c>
      <c r="L5833">
        <v>0.56999999999999995</v>
      </c>
      <c r="M5833">
        <v>103.95</v>
      </c>
      <c r="N5833">
        <v>85.847999999999999</v>
      </c>
      <c r="O5833" s="1" t="s">
        <v>225</v>
      </c>
      <c r="P5833" s="1" t="s">
        <v>12214</v>
      </c>
      <c r="Q5833" s="1" t="s">
        <v>12215</v>
      </c>
      <c r="R5833" s="1" t="s">
        <v>228</v>
      </c>
      <c r="S5833" s="1" t="s">
        <v>12216</v>
      </c>
      <c r="T5833" s="1" t="s">
        <v>12217</v>
      </c>
      <c r="U5833" s="2" t="s">
        <v>2100</v>
      </c>
      <c r="V5833" s="2" t="s">
        <v>36</v>
      </c>
      <c r="W5833" s="2" t="s">
        <v>142</v>
      </c>
      <c r="X5833" s="2">
        <v>8925.49</v>
      </c>
    </row>
    <row r="5834" spans="1:24" x14ac:dyDescent="0.3">
      <c r="A5834">
        <v>23658</v>
      </c>
      <c r="B5834" t="s">
        <v>12218</v>
      </c>
      <c r="C5834" s="3">
        <v>41343</v>
      </c>
      <c r="D5834" t="s">
        <v>148</v>
      </c>
      <c r="E5834">
        <v>13</v>
      </c>
      <c r="F5834" s="3">
        <f ca="1">41344+(RANDBETWEEN(1,10))</f>
        <v>41347</v>
      </c>
      <c r="G5834" t="s">
        <v>156</v>
      </c>
      <c r="H5834" t="s">
        <v>27</v>
      </c>
      <c r="I5834" t="s">
        <v>52</v>
      </c>
      <c r="J5834">
        <v>584.42999999999995</v>
      </c>
      <c r="K5834">
        <v>0</v>
      </c>
      <c r="L5834">
        <v>0.38</v>
      </c>
      <c r="M5834">
        <v>17.010000000000002</v>
      </c>
      <c r="N5834">
        <v>403.25670000000002</v>
      </c>
      <c r="O5834" s="1" t="s">
        <v>53</v>
      </c>
      <c r="P5834" s="1" t="s">
        <v>8578</v>
      </c>
      <c r="Q5834" s="1" t="s">
        <v>8579</v>
      </c>
      <c r="R5834" s="1" t="s">
        <v>100</v>
      </c>
      <c r="S5834" s="1" t="s">
        <v>2539</v>
      </c>
      <c r="T5834" s="1" t="s">
        <v>2540</v>
      </c>
      <c r="U5834" s="2" t="s">
        <v>9430</v>
      </c>
      <c r="V5834" s="2" t="s">
        <v>47</v>
      </c>
      <c r="W5834" s="2" t="s">
        <v>74</v>
      </c>
      <c r="X5834" s="2">
        <v>42.98</v>
      </c>
    </row>
    <row r="5835" spans="1:24" x14ac:dyDescent="0.3">
      <c r="A5835">
        <v>23659</v>
      </c>
      <c r="B5835" t="s">
        <v>12219</v>
      </c>
      <c r="C5835" s="3">
        <v>41797</v>
      </c>
      <c r="D5835" t="s">
        <v>50</v>
      </c>
      <c r="E5835">
        <v>4</v>
      </c>
      <c r="F5835" s="3">
        <f ca="1">41798+(RANDBETWEEN(1,10))</f>
        <v>41808</v>
      </c>
      <c r="G5835" t="s">
        <v>26</v>
      </c>
      <c r="H5835" t="s">
        <v>27</v>
      </c>
      <c r="I5835" t="s">
        <v>97</v>
      </c>
      <c r="J5835">
        <v>795.65499999999997</v>
      </c>
      <c r="K5835">
        <v>0.02</v>
      </c>
      <c r="L5835">
        <v>0.57999999999999996</v>
      </c>
      <c r="M5835">
        <v>31.465</v>
      </c>
      <c r="N5835">
        <v>-412.59679999999997</v>
      </c>
      <c r="O5835" s="1" t="s">
        <v>40</v>
      </c>
      <c r="P5835" s="1" t="s">
        <v>10828</v>
      </c>
      <c r="Q5835" s="1" t="s">
        <v>10829</v>
      </c>
      <c r="R5835" s="1" t="s">
        <v>220</v>
      </c>
      <c r="S5835" s="1" t="s">
        <v>5536</v>
      </c>
      <c r="T5835" s="1" t="s">
        <v>5537</v>
      </c>
      <c r="U5835" s="2">
        <v>8260</v>
      </c>
      <c r="V5835" s="2" t="s">
        <v>36</v>
      </c>
      <c r="W5835" s="2" t="s">
        <v>37</v>
      </c>
      <c r="X5835" s="2">
        <v>230.965</v>
      </c>
    </row>
    <row r="5836" spans="1:24" x14ac:dyDescent="0.3">
      <c r="A5836">
        <v>23660</v>
      </c>
      <c r="B5836" t="s">
        <v>12220</v>
      </c>
      <c r="C5836" s="3">
        <v>41687</v>
      </c>
      <c r="D5836" t="s">
        <v>39</v>
      </c>
      <c r="E5836">
        <v>12</v>
      </c>
      <c r="F5836" s="3">
        <f ca="1">41688+(RANDBETWEEN(1,10))</f>
        <v>41691</v>
      </c>
      <c r="G5836" t="s">
        <v>26</v>
      </c>
      <c r="H5836" t="s">
        <v>63</v>
      </c>
      <c r="I5836" t="s">
        <v>52</v>
      </c>
      <c r="J5836">
        <v>18120.900000000001</v>
      </c>
      <c r="K5836">
        <v>0.06</v>
      </c>
      <c r="L5836">
        <v>0.52</v>
      </c>
      <c r="M5836">
        <v>85.715000000000003</v>
      </c>
      <c r="N5836">
        <v>12503.421</v>
      </c>
      <c r="O5836" s="1" t="s">
        <v>53</v>
      </c>
      <c r="P5836" s="1" t="s">
        <v>11796</v>
      </c>
      <c r="Q5836" s="1" t="s">
        <v>11797</v>
      </c>
      <c r="R5836" s="1" t="s">
        <v>440</v>
      </c>
      <c r="S5836" s="1" t="s">
        <v>3326</v>
      </c>
      <c r="T5836" s="1" t="s">
        <v>3327</v>
      </c>
      <c r="U5836" s="2" t="s">
        <v>1480</v>
      </c>
      <c r="V5836" s="2" t="s">
        <v>36</v>
      </c>
      <c r="W5836" s="2" t="s">
        <v>1327</v>
      </c>
      <c r="X5836" s="2">
        <v>1574.9649999999999</v>
      </c>
    </row>
    <row r="5837" spans="1:24" x14ac:dyDescent="0.3">
      <c r="A5837">
        <v>23661</v>
      </c>
      <c r="B5837" t="s">
        <v>12220</v>
      </c>
      <c r="C5837" s="3">
        <v>41687</v>
      </c>
      <c r="D5837" t="s">
        <v>39</v>
      </c>
      <c r="E5837">
        <v>1</v>
      </c>
      <c r="F5837" s="3">
        <f ca="1">41688+(RANDBETWEEN(1,10))</f>
        <v>41695</v>
      </c>
      <c r="G5837" t="s">
        <v>156</v>
      </c>
      <c r="H5837" t="s">
        <v>96</v>
      </c>
      <c r="I5837" t="s">
        <v>52</v>
      </c>
      <c r="J5837">
        <v>67.27</v>
      </c>
      <c r="K5837">
        <v>0.04</v>
      </c>
      <c r="L5837">
        <v>0.37</v>
      </c>
      <c r="M5837">
        <v>3.4649999999999999</v>
      </c>
      <c r="N5837">
        <v>-190.76750000000001</v>
      </c>
      <c r="O5837" s="1" t="s">
        <v>53</v>
      </c>
      <c r="P5837" s="1" t="s">
        <v>11796</v>
      </c>
      <c r="Q5837" s="1" t="s">
        <v>11797</v>
      </c>
      <c r="R5837" s="1" t="s">
        <v>440</v>
      </c>
      <c r="S5837" s="1" t="s">
        <v>3326</v>
      </c>
      <c r="T5837" s="1" t="s">
        <v>3327</v>
      </c>
      <c r="U5837" s="2" t="s">
        <v>3359</v>
      </c>
      <c r="V5837" s="2" t="s">
        <v>36</v>
      </c>
      <c r="W5837" s="2" t="s">
        <v>37</v>
      </c>
      <c r="X5837" s="2">
        <v>73.465000000000003</v>
      </c>
    </row>
    <row r="5838" spans="1:24" x14ac:dyDescent="0.3">
      <c r="A5838">
        <v>23662</v>
      </c>
      <c r="B5838" t="s">
        <v>12221</v>
      </c>
      <c r="C5838" s="3">
        <v>41687</v>
      </c>
      <c r="D5838" t="s">
        <v>25</v>
      </c>
      <c r="E5838">
        <v>10</v>
      </c>
      <c r="F5838" s="3">
        <f ca="1">41689+(RANDBETWEEN(1,10))</f>
        <v>41695</v>
      </c>
      <c r="G5838" t="s">
        <v>26</v>
      </c>
      <c r="H5838" t="s">
        <v>27</v>
      </c>
      <c r="I5838" t="s">
        <v>28</v>
      </c>
      <c r="J5838">
        <v>1986.9849999999999</v>
      </c>
      <c r="K5838">
        <v>0</v>
      </c>
      <c r="L5838">
        <v>0.56999999999999995</v>
      </c>
      <c r="M5838">
        <v>18.585000000000001</v>
      </c>
      <c r="N5838">
        <v>1371.01965</v>
      </c>
      <c r="O5838" s="1" t="s">
        <v>40</v>
      </c>
      <c r="P5838" s="1" t="s">
        <v>7490</v>
      </c>
      <c r="Q5838" s="1" t="s">
        <v>7491</v>
      </c>
      <c r="R5838" s="1" t="s">
        <v>43</v>
      </c>
      <c r="S5838" s="1" t="s">
        <v>7492</v>
      </c>
      <c r="T5838" s="1" t="s">
        <v>7493</v>
      </c>
      <c r="U5838" s="2">
        <v>3390</v>
      </c>
      <c r="V5838" s="2" t="s">
        <v>36</v>
      </c>
      <c r="W5838" s="2" t="s">
        <v>37</v>
      </c>
      <c r="X5838" s="2">
        <v>230.965</v>
      </c>
    </row>
    <row r="5839" spans="1:24" x14ac:dyDescent="0.3">
      <c r="A5839">
        <v>23663</v>
      </c>
      <c r="B5839" t="s">
        <v>12222</v>
      </c>
      <c r="C5839" s="3">
        <v>41019</v>
      </c>
      <c r="D5839" t="s">
        <v>25</v>
      </c>
      <c r="E5839">
        <v>1</v>
      </c>
      <c r="F5839" s="3">
        <f ca="1">41021+(RANDBETWEEN(1,10))</f>
        <v>41029</v>
      </c>
      <c r="G5839" t="s">
        <v>76</v>
      </c>
      <c r="H5839" t="s">
        <v>77</v>
      </c>
      <c r="I5839" t="s">
        <v>97</v>
      </c>
      <c r="J5839">
        <v>701.33</v>
      </c>
      <c r="K5839">
        <v>0.02</v>
      </c>
      <c r="L5839">
        <v>0.62</v>
      </c>
      <c r="M5839">
        <v>105</v>
      </c>
      <c r="N5839">
        <v>-316.435</v>
      </c>
      <c r="O5839" s="1" t="s">
        <v>64</v>
      </c>
      <c r="P5839" s="1" t="s">
        <v>12179</v>
      </c>
      <c r="Q5839" s="1" t="s">
        <v>12180</v>
      </c>
      <c r="R5839" s="1" t="s">
        <v>67</v>
      </c>
      <c r="S5839" s="1" t="s">
        <v>12181</v>
      </c>
      <c r="T5839" s="1" t="s">
        <v>12182</v>
      </c>
      <c r="U5839" s="2" t="s">
        <v>2089</v>
      </c>
      <c r="V5839" s="2" t="s">
        <v>83</v>
      </c>
      <c r="W5839" s="2" t="s">
        <v>84</v>
      </c>
      <c r="X5839" s="2">
        <v>563.42999999999995</v>
      </c>
    </row>
    <row r="5840" spans="1:24" x14ac:dyDescent="0.3">
      <c r="A5840">
        <v>23664</v>
      </c>
      <c r="B5840" t="s">
        <v>12223</v>
      </c>
      <c r="C5840" s="3">
        <v>41749</v>
      </c>
      <c r="D5840" t="s">
        <v>25</v>
      </c>
      <c r="E5840">
        <v>1</v>
      </c>
      <c r="F5840" s="3">
        <f ca="1">41753+(RANDBETWEEN(1,10))</f>
        <v>41754</v>
      </c>
      <c r="G5840" t="s">
        <v>26</v>
      </c>
      <c r="H5840" t="s">
        <v>27</v>
      </c>
      <c r="I5840" t="s">
        <v>97</v>
      </c>
      <c r="J5840">
        <v>224.91</v>
      </c>
      <c r="K5840">
        <v>0.1</v>
      </c>
      <c r="L5840">
        <v>0.73</v>
      </c>
      <c r="M5840">
        <v>24.08</v>
      </c>
      <c r="N5840">
        <v>-385.245</v>
      </c>
      <c r="O5840" s="1" t="s">
        <v>64</v>
      </c>
      <c r="P5840" s="1" t="s">
        <v>12179</v>
      </c>
      <c r="Q5840" s="1" t="s">
        <v>12180</v>
      </c>
      <c r="R5840" s="1" t="s">
        <v>67</v>
      </c>
      <c r="S5840" s="1" t="s">
        <v>12181</v>
      </c>
      <c r="T5840" s="1" t="s">
        <v>12182</v>
      </c>
      <c r="U5840" s="2" t="s">
        <v>2091</v>
      </c>
      <c r="V5840" s="2" t="s">
        <v>47</v>
      </c>
      <c r="W5840" s="2" t="s">
        <v>119</v>
      </c>
      <c r="X5840" s="2">
        <v>227.43</v>
      </c>
    </row>
    <row r="5841" spans="1:24" x14ac:dyDescent="0.3">
      <c r="A5841">
        <v>23665</v>
      </c>
      <c r="B5841" t="s">
        <v>12223</v>
      </c>
      <c r="C5841" s="3">
        <v>41749</v>
      </c>
      <c r="D5841" t="s">
        <v>25</v>
      </c>
      <c r="E5841">
        <v>6</v>
      </c>
      <c r="F5841" s="3">
        <f ca="1">41749+(RANDBETWEEN(1,10))</f>
        <v>41751</v>
      </c>
      <c r="G5841" t="s">
        <v>76</v>
      </c>
      <c r="H5841" t="s">
        <v>258</v>
      </c>
      <c r="I5841" t="s">
        <v>97</v>
      </c>
      <c r="J5841">
        <v>5878.0749999999998</v>
      </c>
      <c r="K5841">
        <v>0</v>
      </c>
      <c r="L5841">
        <v>0.62</v>
      </c>
      <c r="M5841">
        <v>140.66499999999999</v>
      </c>
      <c r="N5841">
        <v>4055.8717499999998</v>
      </c>
      <c r="O5841" s="1" t="s">
        <v>64</v>
      </c>
      <c r="P5841" s="1" t="s">
        <v>12179</v>
      </c>
      <c r="Q5841" s="1" t="s">
        <v>12180</v>
      </c>
      <c r="R5841" s="1" t="s">
        <v>67</v>
      </c>
      <c r="S5841" s="1" t="s">
        <v>12181</v>
      </c>
      <c r="T5841" s="1" t="s">
        <v>12182</v>
      </c>
      <c r="U5841" s="2" t="s">
        <v>3482</v>
      </c>
      <c r="V5841" s="2" t="s">
        <v>83</v>
      </c>
      <c r="W5841" s="2" t="s">
        <v>263</v>
      </c>
      <c r="X5841" s="2">
        <v>1218.7349999999999</v>
      </c>
    </row>
    <row r="5842" spans="1:24" x14ac:dyDescent="0.3">
      <c r="A5842">
        <v>23666</v>
      </c>
      <c r="B5842" t="s">
        <v>12224</v>
      </c>
      <c r="C5842" s="3">
        <v>40552</v>
      </c>
      <c r="D5842" t="s">
        <v>25</v>
      </c>
      <c r="E5842">
        <v>12</v>
      </c>
      <c r="F5842" s="3">
        <f ca="1">40557+(RANDBETWEEN(1,10))</f>
        <v>40566</v>
      </c>
      <c r="G5842" t="s">
        <v>26</v>
      </c>
      <c r="H5842" t="s">
        <v>96</v>
      </c>
      <c r="I5842" t="s">
        <v>97</v>
      </c>
      <c r="J5842">
        <v>105.35</v>
      </c>
      <c r="K5842">
        <v>0.1</v>
      </c>
      <c r="L5842">
        <v>0.57999999999999996</v>
      </c>
      <c r="M5842">
        <v>8.4</v>
      </c>
      <c r="N5842">
        <v>-308.14</v>
      </c>
      <c r="O5842" s="1" t="s">
        <v>40</v>
      </c>
      <c r="P5842" s="1" t="s">
        <v>5339</v>
      </c>
      <c r="Q5842" s="1" t="s">
        <v>5340</v>
      </c>
      <c r="R5842" s="1" t="s">
        <v>43</v>
      </c>
      <c r="S5842" s="1" t="s">
        <v>5341</v>
      </c>
      <c r="T5842" s="1" t="s">
        <v>5342</v>
      </c>
      <c r="U5842" s="2" t="s">
        <v>6328</v>
      </c>
      <c r="V5842" s="2" t="s">
        <v>47</v>
      </c>
      <c r="W5842" s="2" t="s">
        <v>104</v>
      </c>
      <c r="X5842" s="2">
        <v>9.1</v>
      </c>
    </row>
    <row r="5843" spans="1:24" x14ac:dyDescent="0.3">
      <c r="A5843">
        <v>23667</v>
      </c>
      <c r="B5843" t="s">
        <v>12225</v>
      </c>
      <c r="C5843" s="3">
        <v>41675</v>
      </c>
      <c r="D5843" t="s">
        <v>25</v>
      </c>
      <c r="E5843">
        <v>12</v>
      </c>
      <c r="F5843" s="3">
        <f ca="1">41677+(RANDBETWEEN(1,10))</f>
        <v>41681</v>
      </c>
      <c r="G5843" t="s">
        <v>26</v>
      </c>
      <c r="H5843" t="s">
        <v>27</v>
      </c>
      <c r="I5843" t="s">
        <v>28</v>
      </c>
      <c r="J5843">
        <v>508.9</v>
      </c>
      <c r="K5843">
        <v>0</v>
      </c>
      <c r="L5843">
        <v>0.4</v>
      </c>
      <c r="M5843">
        <v>25.164999999999999</v>
      </c>
      <c r="N5843">
        <v>-32.159750000000003</v>
      </c>
      <c r="O5843" s="1" t="s">
        <v>40</v>
      </c>
      <c r="P5843" s="1" t="s">
        <v>7532</v>
      </c>
      <c r="Q5843" s="1" t="s">
        <v>7533</v>
      </c>
      <c r="R5843" s="1" t="s">
        <v>43</v>
      </c>
      <c r="S5843" s="1" t="s">
        <v>7534</v>
      </c>
      <c r="T5843" s="1" t="s">
        <v>7535</v>
      </c>
      <c r="U5843" s="2" t="s">
        <v>1736</v>
      </c>
      <c r="V5843" s="2" t="s">
        <v>47</v>
      </c>
      <c r="W5843" s="2" t="s">
        <v>111</v>
      </c>
      <c r="X5843" s="2">
        <v>40.25</v>
      </c>
    </row>
    <row r="5844" spans="1:24" x14ac:dyDescent="0.3">
      <c r="A5844">
        <v>23668</v>
      </c>
      <c r="B5844" t="s">
        <v>12225</v>
      </c>
      <c r="C5844" s="3">
        <v>41675</v>
      </c>
      <c r="D5844" t="s">
        <v>25</v>
      </c>
      <c r="E5844">
        <v>13</v>
      </c>
      <c r="F5844" s="3">
        <f ca="1">41679+(RANDBETWEEN(1,10))</f>
        <v>41682</v>
      </c>
      <c r="G5844" t="s">
        <v>26</v>
      </c>
      <c r="H5844" t="s">
        <v>96</v>
      </c>
      <c r="I5844" t="s">
        <v>28</v>
      </c>
      <c r="J5844">
        <v>446.70499999999998</v>
      </c>
      <c r="K5844">
        <v>0</v>
      </c>
      <c r="L5844">
        <v>0.37</v>
      </c>
      <c r="M5844">
        <v>7.1050000000000004</v>
      </c>
      <c r="N5844">
        <v>308.22645</v>
      </c>
      <c r="O5844" s="1" t="s">
        <v>40</v>
      </c>
      <c r="P5844" s="1" t="s">
        <v>7532</v>
      </c>
      <c r="Q5844" s="1" t="s">
        <v>7533</v>
      </c>
      <c r="R5844" s="1" t="s">
        <v>43</v>
      </c>
      <c r="S5844" s="1" t="s">
        <v>7534</v>
      </c>
      <c r="T5844" s="1" t="s">
        <v>7535</v>
      </c>
      <c r="U5844" s="2" t="s">
        <v>3218</v>
      </c>
      <c r="V5844" s="2" t="s">
        <v>47</v>
      </c>
      <c r="W5844" s="2" t="s">
        <v>74</v>
      </c>
      <c r="X5844" s="2">
        <v>33.880000000000003</v>
      </c>
    </row>
    <row r="5845" spans="1:24" x14ac:dyDescent="0.3">
      <c r="A5845">
        <v>23669</v>
      </c>
      <c r="B5845" t="s">
        <v>12226</v>
      </c>
      <c r="C5845" s="3">
        <v>41674</v>
      </c>
      <c r="D5845" t="s">
        <v>25</v>
      </c>
      <c r="E5845">
        <v>12</v>
      </c>
      <c r="F5845" s="3">
        <f ca="1">41678+(RANDBETWEEN(1,10))</f>
        <v>41688</v>
      </c>
      <c r="G5845" t="s">
        <v>26</v>
      </c>
      <c r="H5845" t="s">
        <v>27</v>
      </c>
      <c r="I5845" t="s">
        <v>97</v>
      </c>
      <c r="J5845">
        <v>894.67</v>
      </c>
      <c r="K5845">
        <v>0</v>
      </c>
      <c r="L5845">
        <v>0.38</v>
      </c>
      <c r="M5845">
        <v>20.195</v>
      </c>
      <c r="N5845">
        <v>617.32230000000004</v>
      </c>
      <c r="O5845" s="1" t="s">
        <v>64</v>
      </c>
      <c r="P5845" s="1" t="s">
        <v>2716</v>
      </c>
      <c r="Q5845" s="1" t="s">
        <v>2717</v>
      </c>
      <c r="R5845" s="1" t="s">
        <v>67</v>
      </c>
      <c r="S5845" s="1" t="s">
        <v>2718</v>
      </c>
      <c r="T5845" s="1" t="s">
        <v>2719</v>
      </c>
      <c r="U5845" s="2" t="s">
        <v>5065</v>
      </c>
      <c r="V5845" s="2" t="s">
        <v>47</v>
      </c>
      <c r="W5845" s="2" t="s">
        <v>74</v>
      </c>
      <c r="X5845" s="2">
        <v>69.930000000000007</v>
      </c>
    </row>
    <row r="5846" spans="1:24" x14ac:dyDescent="0.3">
      <c r="A5846">
        <v>23670</v>
      </c>
      <c r="B5846" t="s">
        <v>12227</v>
      </c>
      <c r="C5846" s="3">
        <v>41670</v>
      </c>
      <c r="D5846" t="s">
        <v>25</v>
      </c>
      <c r="E5846">
        <v>13</v>
      </c>
      <c r="F5846" s="3">
        <f ca="1">41675+(RANDBETWEEN(1,10))</f>
        <v>41681</v>
      </c>
      <c r="G5846" t="s">
        <v>156</v>
      </c>
      <c r="H5846" t="s">
        <v>27</v>
      </c>
      <c r="I5846" t="s">
        <v>28</v>
      </c>
      <c r="J5846">
        <v>2164.2600000000002</v>
      </c>
      <c r="K5846">
        <v>0.1</v>
      </c>
      <c r="L5846">
        <v>0.45</v>
      </c>
      <c r="M5846">
        <v>69.965000000000003</v>
      </c>
      <c r="N5846">
        <v>-924.04787999999996</v>
      </c>
      <c r="O5846" s="1" t="s">
        <v>29</v>
      </c>
      <c r="P5846" s="1" t="s">
        <v>7587</v>
      </c>
      <c r="Q5846" s="1" t="s">
        <v>7588</v>
      </c>
      <c r="R5846" s="1" t="s">
        <v>675</v>
      </c>
      <c r="S5846" s="1" t="s">
        <v>7589</v>
      </c>
      <c r="T5846" s="1" t="s">
        <v>7590</v>
      </c>
      <c r="U5846" s="2" t="s">
        <v>72</v>
      </c>
      <c r="V5846" s="2" t="s">
        <v>36</v>
      </c>
      <c r="W5846" s="2" t="s">
        <v>60</v>
      </c>
      <c r="X5846" s="2">
        <v>174.965</v>
      </c>
    </row>
    <row r="5847" spans="1:24" x14ac:dyDescent="0.3">
      <c r="A5847">
        <v>23671</v>
      </c>
      <c r="B5847" t="s">
        <v>12228</v>
      </c>
      <c r="C5847" s="3">
        <v>41308</v>
      </c>
      <c r="D5847" t="s">
        <v>148</v>
      </c>
      <c r="E5847">
        <v>13</v>
      </c>
      <c r="F5847" s="3">
        <f ca="1">41310+(RANDBETWEEN(1,10))</f>
        <v>41314</v>
      </c>
      <c r="G5847" t="s">
        <v>156</v>
      </c>
      <c r="H5847" t="s">
        <v>27</v>
      </c>
      <c r="I5847" t="s">
        <v>28</v>
      </c>
      <c r="J5847">
        <v>407.89</v>
      </c>
      <c r="K5847">
        <v>0.06</v>
      </c>
      <c r="L5847">
        <v>0.57999999999999996</v>
      </c>
      <c r="M5847">
        <v>12.25</v>
      </c>
      <c r="N5847">
        <v>9.4849999999999994</v>
      </c>
      <c r="O5847" s="1" t="s">
        <v>64</v>
      </c>
      <c r="P5847" s="1" t="s">
        <v>7413</v>
      </c>
      <c r="Q5847" s="1" t="s">
        <v>7414</v>
      </c>
      <c r="R5847" s="1" t="s">
        <v>128</v>
      </c>
      <c r="S5847" s="1" t="s">
        <v>5446</v>
      </c>
      <c r="T5847" s="1" t="s">
        <v>5447</v>
      </c>
      <c r="U5847" s="2" t="s">
        <v>2447</v>
      </c>
      <c r="V5847" s="2" t="s">
        <v>47</v>
      </c>
      <c r="W5847" s="2" t="s">
        <v>71</v>
      </c>
      <c r="X5847" s="2">
        <v>30.344999999999999</v>
      </c>
    </row>
    <row r="5848" spans="1:24" x14ac:dyDescent="0.3">
      <c r="A5848">
        <v>23672</v>
      </c>
      <c r="B5848" t="s">
        <v>12229</v>
      </c>
      <c r="C5848" s="3">
        <v>41176</v>
      </c>
      <c r="D5848" t="s">
        <v>50</v>
      </c>
      <c r="E5848">
        <v>3</v>
      </c>
      <c r="F5848" s="3">
        <f ca="1">41179+(RANDBETWEEN(1,10))</f>
        <v>41187</v>
      </c>
      <c r="G5848" t="s">
        <v>26</v>
      </c>
      <c r="H5848" t="s">
        <v>281</v>
      </c>
      <c r="I5848" t="s">
        <v>86</v>
      </c>
      <c r="J5848">
        <v>529.51499999999999</v>
      </c>
      <c r="K5848">
        <v>0</v>
      </c>
      <c r="L5848">
        <v>0.46</v>
      </c>
      <c r="M5848">
        <v>17.850000000000001</v>
      </c>
      <c r="N5848">
        <v>253.92500000000001</v>
      </c>
      <c r="O5848" s="1" t="s">
        <v>53</v>
      </c>
      <c r="P5848" s="1" t="s">
        <v>12230</v>
      </c>
      <c r="Q5848" s="1" t="s">
        <v>12231</v>
      </c>
      <c r="R5848" s="1" t="s">
        <v>100</v>
      </c>
      <c r="S5848" s="1" t="s">
        <v>3040</v>
      </c>
      <c r="T5848" s="1" t="s">
        <v>3041</v>
      </c>
      <c r="U5848" s="2" t="s">
        <v>4675</v>
      </c>
      <c r="V5848" s="2" t="s">
        <v>47</v>
      </c>
      <c r="W5848" s="2" t="s">
        <v>71</v>
      </c>
      <c r="X5848" s="2">
        <v>164.11500000000001</v>
      </c>
    </row>
    <row r="5849" spans="1:24" x14ac:dyDescent="0.3">
      <c r="A5849">
        <v>23673</v>
      </c>
      <c r="B5849" t="s">
        <v>12232</v>
      </c>
      <c r="C5849" s="3">
        <v>41679</v>
      </c>
      <c r="D5849" t="s">
        <v>25</v>
      </c>
      <c r="E5849">
        <v>11</v>
      </c>
      <c r="F5849" s="3">
        <f ca="1">41686+(RANDBETWEEN(1,10))</f>
        <v>41688</v>
      </c>
      <c r="G5849" t="s">
        <v>76</v>
      </c>
      <c r="H5849" t="s">
        <v>258</v>
      </c>
      <c r="I5849" t="s">
        <v>28</v>
      </c>
      <c r="J5849">
        <v>9238.8449999999993</v>
      </c>
      <c r="K5849">
        <v>0.01</v>
      </c>
      <c r="L5849">
        <v>0.56000000000000005</v>
      </c>
      <c r="M5849">
        <v>210.7</v>
      </c>
      <c r="N5849">
        <v>5058.76</v>
      </c>
      <c r="O5849" s="1" t="s">
        <v>40</v>
      </c>
      <c r="P5849" s="1" t="s">
        <v>9034</v>
      </c>
      <c r="Q5849" s="1" t="s">
        <v>9035</v>
      </c>
      <c r="R5849" s="1" t="s">
        <v>220</v>
      </c>
      <c r="S5849" s="1" t="s">
        <v>9036</v>
      </c>
      <c r="T5849" s="1" t="s">
        <v>9037</v>
      </c>
      <c r="U5849" s="2" t="s">
        <v>5128</v>
      </c>
      <c r="V5849" s="2" t="s">
        <v>83</v>
      </c>
      <c r="W5849" s="2" t="s">
        <v>298</v>
      </c>
      <c r="X5849" s="2">
        <v>843.43</v>
      </c>
    </row>
    <row r="5850" spans="1:24" x14ac:dyDescent="0.3">
      <c r="A5850">
        <v>23674</v>
      </c>
      <c r="B5850" t="s">
        <v>12233</v>
      </c>
      <c r="C5850" s="3">
        <v>41761</v>
      </c>
      <c r="D5850" t="s">
        <v>25</v>
      </c>
      <c r="E5850">
        <v>8</v>
      </c>
      <c r="F5850" s="3">
        <f ca="1">41761+(RANDBETWEEN(1,10))</f>
        <v>41769</v>
      </c>
      <c r="G5850" t="s">
        <v>26</v>
      </c>
      <c r="H5850" t="s">
        <v>27</v>
      </c>
      <c r="I5850" t="s">
        <v>97</v>
      </c>
      <c r="J5850">
        <v>259.49</v>
      </c>
      <c r="K5850">
        <v>0.06</v>
      </c>
      <c r="L5850">
        <v>0.4</v>
      </c>
      <c r="M5850">
        <v>34.51</v>
      </c>
      <c r="N5850">
        <v>-417.58499999999998</v>
      </c>
      <c r="O5850" s="1" t="s">
        <v>40</v>
      </c>
      <c r="P5850" s="1" t="s">
        <v>12234</v>
      </c>
      <c r="Q5850" s="1" t="s">
        <v>12235</v>
      </c>
      <c r="R5850" s="1" t="s">
        <v>43</v>
      </c>
      <c r="S5850" s="1" t="s">
        <v>5804</v>
      </c>
      <c r="T5850" s="1" t="s">
        <v>5805</v>
      </c>
      <c r="U5850" s="2" t="s">
        <v>7950</v>
      </c>
      <c r="V5850" s="2" t="s">
        <v>47</v>
      </c>
      <c r="W5850" s="2" t="s">
        <v>74</v>
      </c>
      <c r="X5850" s="2">
        <v>31.71</v>
      </c>
    </row>
    <row r="5851" spans="1:24" x14ac:dyDescent="0.3">
      <c r="A5851">
        <v>23675</v>
      </c>
      <c r="B5851" t="s">
        <v>12236</v>
      </c>
      <c r="C5851" s="3">
        <v>41693</v>
      </c>
      <c r="D5851" t="s">
        <v>25</v>
      </c>
      <c r="E5851">
        <v>7</v>
      </c>
      <c r="F5851" s="3">
        <f ca="1">41699+(RANDBETWEEN(1,10))</f>
        <v>41702</v>
      </c>
      <c r="G5851" t="s">
        <v>76</v>
      </c>
      <c r="H5851" t="s">
        <v>77</v>
      </c>
      <c r="I5851" t="s">
        <v>28</v>
      </c>
      <c r="J5851">
        <v>1284.3599999999999</v>
      </c>
      <c r="K5851">
        <v>0.04</v>
      </c>
      <c r="L5851">
        <v>0.56000000000000005</v>
      </c>
      <c r="M5851">
        <v>49.664999999999999</v>
      </c>
      <c r="N5851">
        <v>524.40499999999997</v>
      </c>
      <c r="O5851" s="1" t="s">
        <v>40</v>
      </c>
      <c r="P5851" s="1" t="s">
        <v>5534</v>
      </c>
      <c r="Q5851" s="1" t="s">
        <v>5535</v>
      </c>
      <c r="R5851" s="1" t="s">
        <v>220</v>
      </c>
      <c r="S5851" s="1" t="s">
        <v>5536</v>
      </c>
      <c r="T5851" s="1" t="s">
        <v>5537</v>
      </c>
      <c r="U5851" s="2" t="s">
        <v>3412</v>
      </c>
      <c r="V5851" s="2" t="s">
        <v>83</v>
      </c>
      <c r="W5851" s="2" t="s">
        <v>84</v>
      </c>
      <c r="X5851" s="2">
        <v>178.43</v>
      </c>
    </row>
    <row r="5852" spans="1:24" x14ac:dyDescent="0.3">
      <c r="A5852">
        <v>23676</v>
      </c>
      <c r="B5852" t="s">
        <v>12236</v>
      </c>
      <c r="C5852" s="3">
        <v>41693</v>
      </c>
      <c r="D5852" t="s">
        <v>25</v>
      </c>
      <c r="E5852">
        <v>9</v>
      </c>
      <c r="F5852" s="3">
        <f ca="1">41699+(RANDBETWEEN(1,10))</f>
        <v>41700</v>
      </c>
      <c r="G5852" t="s">
        <v>76</v>
      </c>
      <c r="H5852" t="s">
        <v>258</v>
      </c>
      <c r="I5852" t="s">
        <v>28</v>
      </c>
      <c r="J5852">
        <v>4111.2049999999999</v>
      </c>
      <c r="K5852">
        <v>0.04</v>
      </c>
      <c r="L5852">
        <v>0.63</v>
      </c>
      <c r="M5852">
        <v>181.79</v>
      </c>
      <c r="N5852">
        <v>-767.8125</v>
      </c>
      <c r="O5852" s="1" t="s">
        <v>40</v>
      </c>
      <c r="P5852" s="1" t="s">
        <v>5534</v>
      </c>
      <c r="Q5852" s="1" t="s">
        <v>5535</v>
      </c>
      <c r="R5852" s="1" t="s">
        <v>220</v>
      </c>
      <c r="S5852" s="1" t="s">
        <v>5536</v>
      </c>
      <c r="T5852" s="1" t="s">
        <v>5537</v>
      </c>
      <c r="U5852" s="2" t="s">
        <v>360</v>
      </c>
      <c r="V5852" s="2" t="s">
        <v>83</v>
      </c>
      <c r="W5852" s="2" t="s">
        <v>263</v>
      </c>
      <c r="X5852" s="2">
        <v>435.71499999999997</v>
      </c>
    </row>
    <row r="5853" spans="1:24" x14ac:dyDescent="0.3">
      <c r="A5853">
        <v>23677</v>
      </c>
      <c r="B5853" t="s">
        <v>12236</v>
      </c>
      <c r="C5853" s="3">
        <v>41693</v>
      </c>
      <c r="D5853" t="s">
        <v>25</v>
      </c>
      <c r="E5853">
        <v>4</v>
      </c>
      <c r="F5853" s="3">
        <f ca="1">41701+(RANDBETWEEN(1,10))</f>
        <v>41702</v>
      </c>
      <c r="G5853" t="s">
        <v>26</v>
      </c>
      <c r="H5853" t="s">
        <v>27</v>
      </c>
      <c r="I5853" t="s">
        <v>28</v>
      </c>
      <c r="J5853">
        <v>304.04500000000002</v>
      </c>
      <c r="K5853">
        <v>0.09</v>
      </c>
      <c r="L5853">
        <v>0.38</v>
      </c>
      <c r="M5853">
        <v>52.85</v>
      </c>
      <c r="N5853">
        <v>-301.714</v>
      </c>
      <c r="O5853" s="1" t="s">
        <v>87</v>
      </c>
      <c r="P5853" s="1" t="s">
        <v>12237</v>
      </c>
      <c r="Q5853" s="1" t="s">
        <v>12238</v>
      </c>
      <c r="R5853" s="1" t="s">
        <v>90</v>
      </c>
      <c r="S5853" s="1" t="s">
        <v>5058</v>
      </c>
      <c r="T5853" s="1" t="s">
        <v>5059</v>
      </c>
      <c r="U5853" s="2" t="s">
        <v>2602</v>
      </c>
      <c r="V5853" s="2" t="s">
        <v>47</v>
      </c>
      <c r="W5853" s="2" t="s">
        <v>111</v>
      </c>
      <c r="X5853" s="2">
        <v>78.33</v>
      </c>
    </row>
    <row r="5854" spans="1:24" x14ac:dyDescent="0.3">
      <c r="A5854">
        <v>23678</v>
      </c>
      <c r="B5854" t="s">
        <v>12239</v>
      </c>
      <c r="C5854" s="3">
        <v>41556</v>
      </c>
      <c r="D5854" t="s">
        <v>25</v>
      </c>
      <c r="E5854">
        <v>5</v>
      </c>
      <c r="F5854" s="3">
        <f ca="1">41563+(RANDBETWEEN(1,10))</f>
        <v>41566</v>
      </c>
      <c r="G5854" t="s">
        <v>26</v>
      </c>
      <c r="H5854" t="s">
        <v>27</v>
      </c>
      <c r="I5854" t="s">
        <v>86</v>
      </c>
      <c r="J5854">
        <v>191.41499999999999</v>
      </c>
      <c r="K5854">
        <v>0.1</v>
      </c>
      <c r="L5854">
        <v>0.59</v>
      </c>
      <c r="M5854">
        <v>15.75</v>
      </c>
      <c r="N5854">
        <v>-81.874799999999993</v>
      </c>
      <c r="O5854" s="1" t="s">
        <v>87</v>
      </c>
      <c r="P5854" s="1" t="s">
        <v>6318</v>
      </c>
      <c r="Q5854" s="1" t="s">
        <v>6319</v>
      </c>
      <c r="R5854" s="1" t="s">
        <v>646</v>
      </c>
      <c r="S5854" s="1" t="s">
        <v>6320</v>
      </c>
      <c r="T5854" s="1" t="s">
        <v>6321</v>
      </c>
      <c r="U5854" s="2" t="s">
        <v>767</v>
      </c>
      <c r="V5854" s="2" t="s">
        <v>47</v>
      </c>
      <c r="W5854" s="2" t="s">
        <v>71</v>
      </c>
      <c r="X5854" s="2">
        <v>38.115000000000002</v>
      </c>
    </row>
    <row r="5855" spans="1:24" x14ac:dyDescent="0.3">
      <c r="A5855">
        <v>23679</v>
      </c>
      <c r="B5855" t="s">
        <v>12239</v>
      </c>
      <c r="C5855" s="3">
        <v>41556</v>
      </c>
      <c r="D5855" t="s">
        <v>25</v>
      </c>
      <c r="E5855">
        <v>21</v>
      </c>
      <c r="F5855" s="3">
        <f ca="1">41560+(RANDBETWEEN(1,10))</f>
        <v>41563</v>
      </c>
      <c r="G5855" t="s">
        <v>26</v>
      </c>
      <c r="H5855" t="s">
        <v>51</v>
      </c>
      <c r="I5855" t="s">
        <v>86</v>
      </c>
      <c r="J5855">
        <v>2497.46</v>
      </c>
      <c r="K5855">
        <v>0.01</v>
      </c>
      <c r="L5855">
        <v>0.42</v>
      </c>
      <c r="M5855">
        <v>6.9649999999999999</v>
      </c>
      <c r="N5855">
        <v>1723.2474</v>
      </c>
      <c r="O5855" s="1" t="s">
        <v>87</v>
      </c>
      <c r="P5855" s="1" t="s">
        <v>6318</v>
      </c>
      <c r="Q5855" s="1" t="s">
        <v>6319</v>
      </c>
      <c r="R5855" s="1" t="s">
        <v>646</v>
      </c>
      <c r="S5855" s="1" t="s">
        <v>6320</v>
      </c>
      <c r="T5855" s="1" t="s">
        <v>6321</v>
      </c>
      <c r="U5855" s="2" t="s">
        <v>1226</v>
      </c>
      <c r="V5855" s="2" t="s">
        <v>36</v>
      </c>
      <c r="W5855" s="2" t="s">
        <v>60</v>
      </c>
      <c r="X5855" s="2">
        <v>111.23</v>
      </c>
    </row>
    <row r="5856" spans="1:24" x14ac:dyDescent="0.3">
      <c r="A5856">
        <v>2368</v>
      </c>
      <c r="B5856" t="s">
        <v>12240</v>
      </c>
      <c r="C5856" s="3">
        <v>40571</v>
      </c>
      <c r="D5856" t="s">
        <v>148</v>
      </c>
      <c r="E5856">
        <v>36</v>
      </c>
      <c r="F5856" s="3">
        <f ca="1">40572+(RANDBETWEEN(1,10))</f>
        <v>40574</v>
      </c>
      <c r="G5856" t="s">
        <v>156</v>
      </c>
      <c r="H5856" t="s">
        <v>96</v>
      </c>
      <c r="I5856" t="s">
        <v>97</v>
      </c>
      <c r="J5856">
        <v>936.35500000000002</v>
      </c>
      <c r="K5856">
        <v>0</v>
      </c>
      <c r="L5856">
        <v>0.39</v>
      </c>
      <c r="M5856">
        <v>7</v>
      </c>
      <c r="N5856">
        <v>119.238</v>
      </c>
      <c r="O5856" s="1" t="s">
        <v>64</v>
      </c>
      <c r="P5856" s="1" t="s">
        <v>126</v>
      </c>
      <c r="Q5856" s="1" t="s">
        <v>127</v>
      </c>
      <c r="R5856" s="1" t="s">
        <v>128</v>
      </c>
      <c r="S5856" s="1" t="s">
        <v>129</v>
      </c>
      <c r="T5856" s="1" t="s">
        <v>130</v>
      </c>
      <c r="U5856" s="2" t="s">
        <v>336</v>
      </c>
      <c r="V5856" s="2" t="s">
        <v>47</v>
      </c>
      <c r="W5856" s="2" t="s">
        <v>74</v>
      </c>
      <c r="X5856" s="2">
        <v>24.08</v>
      </c>
    </row>
    <row r="5857" spans="1:24" x14ac:dyDescent="0.3">
      <c r="A5857">
        <v>23680</v>
      </c>
      <c r="B5857" t="s">
        <v>12239</v>
      </c>
      <c r="C5857" s="3">
        <v>41556</v>
      </c>
      <c r="D5857" t="s">
        <v>25</v>
      </c>
      <c r="E5857">
        <v>1</v>
      </c>
      <c r="F5857" s="3">
        <f ca="1">41561+(RANDBETWEEN(1,10))</f>
        <v>41569</v>
      </c>
      <c r="G5857" t="s">
        <v>26</v>
      </c>
      <c r="H5857" t="s">
        <v>27</v>
      </c>
      <c r="I5857" t="s">
        <v>86</v>
      </c>
      <c r="J5857">
        <v>34.125</v>
      </c>
      <c r="K5857">
        <v>0</v>
      </c>
      <c r="L5857">
        <v>0.36</v>
      </c>
      <c r="M5857">
        <v>16.52</v>
      </c>
      <c r="N5857">
        <v>-25.401599999999998</v>
      </c>
      <c r="O5857" s="1" t="s">
        <v>87</v>
      </c>
      <c r="P5857" s="1" t="s">
        <v>6318</v>
      </c>
      <c r="Q5857" s="1" t="s">
        <v>6319</v>
      </c>
      <c r="R5857" s="1" t="s">
        <v>646</v>
      </c>
      <c r="S5857" s="1" t="s">
        <v>6320</v>
      </c>
      <c r="T5857" s="1" t="s">
        <v>6321</v>
      </c>
      <c r="U5857" s="2" t="s">
        <v>904</v>
      </c>
      <c r="V5857" s="2" t="s">
        <v>47</v>
      </c>
      <c r="W5857" s="2" t="s">
        <v>74</v>
      </c>
      <c r="X5857" s="2">
        <v>17.43</v>
      </c>
    </row>
    <row r="5858" spans="1:24" x14ac:dyDescent="0.3">
      <c r="A5858">
        <v>23681</v>
      </c>
      <c r="B5858" t="s">
        <v>12241</v>
      </c>
      <c r="C5858" s="3">
        <v>41927</v>
      </c>
      <c r="D5858" t="s">
        <v>62</v>
      </c>
      <c r="E5858">
        <v>12</v>
      </c>
      <c r="F5858" s="3">
        <f ca="1">41928+(RANDBETWEEN(1,10))</f>
        <v>41934</v>
      </c>
      <c r="G5858" t="s">
        <v>26</v>
      </c>
      <c r="H5858" t="s">
        <v>27</v>
      </c>
      <c r="I5858" t="s">
        <v>52</v>
      </c>
      <c r="J5858">
        <v>2564.2399999999998</v>
      </c>
      <c r="K5858">
        <v>0.1</v>
      </c>
      <c r="L5858">
        <v>0.46</v>
      </c>
      <c r="M5858">
        <v>50.68</v>
      </c>
      <c r="N5858">
        <v>710.04499999999996</v>
      </c>
      <c r="O5858" s="1" t="s">
        <v>87</v>
      </c>
      <c r="P5858" s="1" t="s">
        <v>8487</v>
      </c>
      <c r="Q5858" s="1" t="s">
        <v>8488</v>
      </c>
      <c r="R5858" s="1" t="s">
        <v>90</v>
      </c>
      <c r="S5858" s="1" t="s">
        <v>8489</v>
      </c>
      <c r="T5858" s="1" t="s">
        <v>8490</v>
      </c>
      <c r="U5858" s="2" t="s">
        <v>6357</v>
      </c>
      <c r="V5858" s="2" t="s">
        <v>83</v>
      </c>
      <c r="W5858" s="2" t="s">
        <v>178</v>
      </c>
      <c r="X5858" s="2">
        <v>223.79</v>
      </c>
    </row>
    <row r="5859" spans="1:24" x14ac:dyDescent="0.3">
      <c r="A5859">
        <v>23682</v>
      </c>
      <c r="B5859" t="s">
        <v>12242</v>
      </c>
      <c r="C5859" s="3">
        <v>41663</v>
      </c>
      <c r="D5859" t="s">
        <v>62</v>
      </c>
      <c r="E5859">
        <v>8</v>
      </c>
      <c r="F5859" s="3">
        <f ca="1">41665+(RANDBETWEEN(1,10))</f>
        <v>41675</v>
      </c>
      <c r="G5859" t="s">
        <v>26</v>
      </c>
      <c r="H5859" t="s">
        <v>27</v>
      </c>
      <c r="I5859" t="s">
        <v>97</v>
      </c>
      <c r="J5859">
        <v>1581.23</v>
      </c>
      <c r="K5859">
        <v>0.03</v>
      </c>
      <c r="L5859">
        <v>0.36</v>
      </c>
      <c r="M5859">
        <v>18.024999999999999</v>
      </c>
      <c r="N5859">
        <v>1091.0487000000001</v>
      </c>
      <c r="O5859" s="1" t="s">
        <v>87</v>
      </c>
      <c r="P5859" s="1" t="s">
        <v>10733</v>
      </c>
      <c r="Q5859" s="1" t="s">
        <v>10734</v>
      </c>
      <c r="R5859" s="1" t="s">
        <v>90</v>
      </c>
      <c r="S5859" s="1" t="s">
        <v>1492</v>
      </c>
      <c r="T5859" s="1" t="s">
        <v>1493</v>
      </c>
      <c r="U5859" s="2" t="s">
        <v>5580</v>
      </c>
      <c r="V5859" s="2" t="s">
        <v>47</v>
      </c>
      <c r="W5859" s="2" t="s">
        <v>74</v>
      </c>
      <c r="X5859" s="2">
        <v>195.93</v>
      </c>
    </row>
    <row r="5860" spans="1:24" x14ac:dyDescent="0.3">
      <c r="A5860">
        <v>23683</v>
      </c>
      <c r="B5860" t="s">
        <v>12243</v>
      </c>
      <c r="C5860" s="3">
        <v>41009</v>
      </c>
      <c r="D5860" t="s">
        <v>50</v>
      </c>
      <c r="E5860">
        <v>2</v>
      </c>
      <c r="F5860" s="3">
        <f ca="1">41011+(RANDBETWEEN(1,10))</f>
        <v>41017</v>
      </c>
      <c r="G5860" t="s">
        <v>26</v>
      </c>
      <c r="H5860" t="s">
        <v>27</v>
      </c>
      <c r="I5860" t="s">
        <v>28</v>
      </c>
      <c r="J5860">
        <v>161.07</v>
      </c>
      <c r="K5860">
        <v>0.04</v>
      </c>
      <c r="L5860">
        <v>0.51</v>
      </c>
      <c r="M5860">
        <v>26.53</v>
      </c>
      <c r="N5860">
        <v>111.1383</v>
      </c>
      <c r="O5860" s="1" t="s">
        <v>40</v>
      </c>
      <c r="P5860" s="1" t="s">
        <v>11579</v>
      </c>
      <c r="Q5860" s="1" t="s">
        <v>11580</v>
      </c>
      <c r="R5860" s="1" t="s">
        <v>43</v>
      </c>
      <c r="S5860" s="1" t="s">
        <v>5728</v>
      </c>
      <c r="T5860" s="1" t="s">
        <v>5729</v>
      </c>
      <c r="U5860" s="2" t="s">
        <v>1676</v>
      </c>
      <c r="V5860" s="2" t="s">
        <v>83</v>
      </c>
      <c r="W5860" s="2" t="s">
        <v>178</v>
      </c>
      <c r="X5860" s="2">
        <v>80.430000000000007</v>
      </c>
    </row>
    <row r="5861" spans="1:24" x14ac:dyDescent="0.3">
      <c r="A5861">
        <v>23684</v>
      </c>
      <c r="B5861" t="s">
        <v>12244</v>
      </c>
      <c r="C5861" s="3">
        <v>41335</v>
      </c>
      <c r="D5861" t="s">
        <v>39</v>
      </c>
      <c r="E5861">
        <v>14</v>
      </c>
      <c r="F5861" s="3">
        <f ca="1">41338+(RANDBETWEEN(1,10))</f>
        <v>41341</v>
      </c>
      <c r="G5861" t="s">
        <v>26</v>
      </c>
      <c r="H5861" t="s">
        <v>27</v>
      </c>
      <c r="I5861" t="s">
        <v>52</v>
      </c>
      <c r="J5861">
        <v>412.93</v>
      </c>
      <c r="K5861">
        <v>7.0000000000000007E-2</v>
      </c>
      <c r="L5861">
        <v>0.59</v>
      </c>
      <c r="M5861">
        <v>15.75</v>
      </c>
      <c r="N5861">
        <v>-263.09500000000003</v>
      </c>
      <c r="O5861" s="1" t="s">
        <v>87</v>
      </c>
      <c r="P5861" s="1" t="s">
        <v>2203</v>
      </c>
      <c r="Q5861" s="1" t="s">
        <v>2204</v>
      </c>
      <c r="R5861" s="1" t="s">
        <v>90</v>
      </c>
      <c r="S5861" s="1" t="s">
        <v>1811</v>
      </c>
      <c r="T5861" s="1" t="s">
        <v>1812</v>
      </c>
      <c r="U5861" s="2" t="s">
        <v>4295</v>
      </c>
      <c r="V5861" s="2" t="s">
        <v>47</v>
      </c>
      <c r="W5861" s="2" t="s">
        <v>71</v>
      </c>
      <c r="X5861" s="2">
        <v>30.17</v>
      </c>
    </row>
    <row r="5862" spans="1:24" x14ac:dyDescent="0.3">
      <c r="A5862">
        <v>23685</v>
      </c>
      <c r="B5862" t="s">
        <v>12245</v>
      </c>
      <c r="C5862" s="3">
        <v>41884</v>
      </c>
      <c r="D5862" t="s">
        <v>39</v>
      </c>
      <c r="E5862">
        <v>18</v>
      </c>
      <c r="F5862" s="3">
        <f ca="1">41884+(RANDBETWEEN(1,10))</f>
        <v>41891</v>
      </c>
      <c r="G5862" t="s">
        <v>156</v>
      </c>
      <c r="H5862" t="s">
        <v>27</v>
      </c>
      <c r="I5862" t="s">
        <v>28</v>
      </c>
      <c r="J5862">
        <v>5800.0950000000003</v>
      </c>
      <c r="K5862">
        <v>7.0000000000000007E-2</v>
      </c>
      <c r="L5862">
        <v>0.56999999999999995</v>
      </c>
      <c r="M5862">
        <v>8.75</v>
      </c>
      <c r="N5862">
        <v>2618.6895</v>
      </c>
      <c r="O5862" s="1" t="s">
        <v>40</v>
      </c>
      <c r="P5862" s="1" t="s">
        <v>6622</v>
      </c>
      <c r="Q5862" s="1" t="s">
        <v>6623</v>
      </c>
      <c r="R5862" s="1" t="s">
        <v>43</v>
      </c>
      <c r="S5862" s="1" t="s">
        <v>6624</v>
      </c>
      <c r="T5862" s="1" t="s">
        <v>6625</v>
      </c>
      <c r="U5862" s="2" t="s">
        <v>8962</v>
      </c>
      <c r="V5862" s="2" t="s">
        <v>36</v>
      </c>
      <c r="W5862" s="2" t="s">
        <v>37</v>
      </c>
      <c r="X5862" s="2">
        <v>405.96499999999997</v>
      </c>
    </row>
    <row r="5863" spans="1:24" x14ac:dyDescent="0.3">
      <c r="A5863">
        <v>23686</v>
      </c>
      <c r="B5863" t="s">
        <v>12246</v>
      </c>
      <c r="C5863" s="3">
        <v>41188</v>
      </c>
      <c r="D5863" t="s">
        <v>50</v>
      </c>
      <c r="E5863">
        <v>14</v>
      </c>
      <c r="F5863" s="3">
        <f ca="1">41189+(RANDBETWEEN(1,10))</f>
        <v>41198</v>
      </c>
      <c r="G5863" t="s">
        <v>76</v>
      </c>
      <c r="H5863" t="s">
        <v>77</v>
      </c>
      <c r="I5863" t="s">
        <v>52</v>
      </c>
      <c r="J5863">
        <v>7361.2</v>
      </c>
      <c r="K5863">
        <v>0.1</v>
      </c>
      <c r="L5863">
        <v>0.62</v>
      </c>
      <c r="M5863">
        <v>105</v>
      </c>
      <c r="N5863">
        <v>935.92520000000002</v>
      </c>
      <c r="O5863" s="1" t="s">
        <v>40</v>
      </c>
      <c r="P5863" s="1" t="s">
        <v>12247</v>
      </c>
      <c r="Q5863" s="1" t="s">
        <v>12248</v>
      </c>
      <c r="R5863" s="1" t="s">
        <v>220</v>
      </c>
      <c r="S5863" s="1" t="s">
        <v>7326</v>
      </c>
      <c r="T5863" s="1" t="s">
        <v>7327</v>
      </c>
      <c r="U5863" s="2" t="s">
        <v>2089</v>
      </c>
      <c r="V5863" s="2" t="s">
        <v>83</v>
      </c>
      <c r="W5863" s="2" t="s">
        <v>84</v>
      </c>
      <c r="X5863" s="2">
        <v>563.42999999999995</v>
      </c>
    </row>
    <row r="5864" spans="1:24" x14ac:dyDescent="0.3">
      <c r="A5864">
        <v>23687</v>
      </c>
      <c r="B5864" t="s">
        <v>12246</v>
      </c>
      <c r="C5864" s="3">
        <v>41188</v>
      </c>
      <c r="D5864" t="s">
        <v>50</v>
      </c>
      <c r="E5864">
        <v>7</v>
      </c>
      <c r="F5864" s="3">
        <f ca="1">41190+(RANDBETWEEN(1,10))</f>
        <v>41191</v>
      </c>
      <c r="G5864" t="s">
        <v>76</v>
      </c>
      <c r="H5864" t="s">
        <v>258</v>
      </c>
      <c r="I5864" t="s">
        <v>52</v>
      </c>
      <c r="J5864">
        <v>3231.5149999999999</v>
      </c>
      <c r="K5864">
        <v>0</v>
      </c>
      <c r="L5864">
        <v>0.39</v>
      </c>
      <c r="M5864">
        <v>196.49</v>
      </c>
      <c r="N5864">
        <v>-54.492102000000003</v>
      </c>
      <c r="O5864" s="1" t="s">
        <v>40</v>
      </c>
      <c r="P5864" s="1" t="s">
        <v>12247</v>
      </c>
      <c r="Q5864" s="1" t="s">
        <v>12248</v>
      </c>
      <c r="R5864" s="1" t="s">
        <v>220</v>
      </c>
      <c r="S5864" s="1" t="s">
        <v>7326</v>
      </c>
      <c r="T5864" s="1" t="s">
        <v>7327</v>
      </c>
      <c r="U5864" s="2" t="s">
        <v>5088</v>
      </c>
      <c r="V5864" s="2" t="s">
        <v>36</v>
      </c>
      <c r="W5864" s="2" t="s">
        <v>142</v>
      </c>
      <c r="X5864" s="2">
        <v>419.96499999999997</v>
      </c>
    </row>
    <row r="5865" spans="1:24" x14ac:dyDescent="0.3">
      <c r="A5865">
        <v>23688</v>
      </c>
      <c r="B5865" t="s">
        <v>12246</v>
      </c>
      <c r="C5865" s="3">
        <v>41188</v>
      </c>
      <c r="D5865" t="s">
        <v>50</v>
      </c>
      <c r="E5865">
        <v>15</v>
      </c>
      <c r="F5865" s="3">
        <f ca="1">41190+(RANDBETWEEN(1,10))</f>
        <v>41192</v>
      </c>
      <c r="G5865" t="s">
        <v>26</v>
      </c>
      <c r="H5865" t="s">
        <v>27</v>
      </c>
      <c r="I5865" t="s">
        <v>52</v>
      </c>
      <c r="J5865">
        <v>1690.675</v>
      </c>
      <c r="K5865">
        <v>0.02</v>
      </c>
      <c r="L5865">
        <v>0.85</v>
      </c>
      <c r="M5865">
        <v>17.5</v>
      </c>
      <c r="N5865">
        <v>-423.82494000000003</v>
      </c>
      <c r="O5865" s="1" t="s">
        <v>40</v>
      </c>
      <c r="P5865" s="1" t="s">
        <v>12247</v>
      </c>
      <c r="Q5865" s="1" t="s">
        <v>12248</v>
      </c>
      <c r="R5865" s="1" t="s">
        <v>220</v>
      </c>
      <c r="S5865" s="1" t="s">
        <v>7326</v>
      </c>
      <c r="T5865" s="1" t="s">
        <v>7327</v>
      </c>
      <c r="U5865" s="2" t="s">
        <v>6099</v>
      </c>
      <c r="V5865" s="2" t="s">
        <v>36</v>
      </c>
      <c r="W5865" s="2" t="s">
        <v>37</v>
      </c>
      <c r="X5865" s="2">
        <v>125.965</v>
      </c>
    </row>
    <row r="5866" spans="1:24" x14ac:dyDescent="0.3">
      <c r="A5866">
        <v>23689</v>
      </c>
      <c r="B5866" t="s">
        <v>12249</v>
      </c>
      <c r="C5866" s="3">
        <v>40724</v>
      </c>
      <c r="D5866" t="s">
        <v>25</v>
      </c>
      <c r="E5866">
        <v>5</v>
      </c>
      <c r="F5866" s="3">
        <f ca="1">40731+(RANDBETWEEN(1,10))</f>
        <v>40736</v>
      </c>
      <c r="G5866" t="s">
        <v>156</v>
      </c>
      <c r="H5866" t="s">
        <v>27</v>
      </c>
      <c r="I5866" t="s">
        <v>52</v>
      </c>
      <c r="J5866">
        <v>1113.6300000000001</v>
      </c>
      <c r="K5866">
        <v>0.05</v>
      </c>
      <c r="L5866">
        <v>0.46</v>
      </c>
      <c r="M5866">
        <v>50.68</v>
      </c>
      <c r="N5866">
        <v>768.40470000000005</v>
      </c>
      <c r="O5866" s="1" t="s">
        <v>40</v>
      </c>
      <c r="P5866" s="1" t="s">
        <v>9801</v>
      </c>
      <c r="Q5866" s="1" t="s">
        <v>9802</v>
      </c>
      <c r="R5866" s="1" t="s">
        <v>43</v>
      </c>
      <c r="S5866" s="1" t="s">
        <v>9803</v>
      </c>
      <c r="T5866" s="1" t="s">
        <v>9804</v>
      </c>
      <c r="U5866" s="2" t="s">
        <v>6357</v>
      </c>
      <c r="V5866" s="2" t="s">
        <v>83</v>
      </c>
      <c r="W5866" s="2" t="s">
        <v>178</v>
      </c>
      <c r="X5866" s="2">
        <v>223.79</v>
      </c>
    </row>
    <row r="5867" spans="1:24" x14ac:dyDescent="0.3">
      <c r="A5867">
        <v>2369</v>
      </c>
      <c r="B5867" t="s">
        <v>12250</v>
      </c>
      <c r="C5867" s="3">
        <v>41667</v>
      </c>
      <c r="D5867" t="s">
        <v>148</v>
      </c>
      <c r="E5867">
        <v>34</v>
      </c>
      <c r="F5867" s="3">
        <f ca="1">41667+(RANDBETWEEN(1,10))</f>
        <v>41674</v>
      </c>
      <c r="G5867" t="s">
        <v>156</v>
      </c>
      <c r="H5867" t="s">
        <v>63</v>
      </c>
      <c r="I5867" t="s">
        <v>97</v>
      </c>
      <c r="J5867">
        <v>4089.2249999999999</v>
      </c>
      <c r="K5867">
        <v>0.03</v>
      </c>
      <c r="L5867">
        <v>0.81</v>
      </c>
      <c r="M5867">
        <v>122.5</v>
      </c>
      <c r="N5867">
        <v>-5041.5119999999997</v>
      </c>
      <c r="O5867" s="1" t="s">
        <v>64</v>
      </c>
      <c r="P5867" s="1" t="s">
        <v>126</v>
      </c>
      <c r="Q5867" s="1" t="s">
        <v>127</v>
      </c>
      <c r="R5867" s="1" t="s">
        <v>128</v>
      </c>
      <c r="S5867" s="1" t="s">
        <v>129</v>
      </c>
      <c r="T5867" s="1" t="s">
        <v>130</v>
      </c>
      <c r="U5867" s="2" t="s">
        <v>6867</v>
      </c>
      <c r="V5867" s="2" t="s">
        <v>47</v>
      </c>
      <c r="W5867" s="2" t="s">
        <v>119</v>
      </c>
      <c r="X5867" s="2">
        <v>113.68</v>
      </c>
    </row>
    <row r="5868" spans="1:24" x14ac:dyDescent="0.3">
      <c r="A5868">
        <v>23690</v>
      </c>
      <c r="B5868" t="s">
        <v>12251</v>
      </c>
      <c r="C5868" s="3">
        <v>41283</v>
      </c>
      <c r="D5868" t="s">
        <v>25</v>
      </c>
      <c r="E5868">
        <v>14</v>
      </c>
      <c r="F5868" s="3">
        <f ca="1">41290+(RANDBETWEEN(1,10))</f>
        <v>41297</v>
      </c>
      <c r="G5868" t="s">
        <v>26</v>
      </c>
      <c r="H5868" t="s">
        <v>27</v>
      </c>
      <c r="I5868" t="s">
        <v>86</v>
      </c>
      <c r="J5868">
        <v>822.29</v>
      </c>
      <c r="K5868">
        <v>0.06</v>
      </c>
      <c r="L5868">
        <v>0.36</v>
      </c>
      <c r="M5868">
        <v>17.78</v>
      </c>
      <c r="N5868">
        <v>-95.456900000000005</v>
      </c>
      <c r="O5868" s="1" t="s">
        <v>87</v>
      </c>
      <c r="P5868" s="1" t="s">
        <v>644</v>
      </c>
      <c r="Q5868" s="1" t="s">
        <v>645</v>
      </c>
      <c r="R5868" s="1" t="s">
        <v>646</v>
      </c>
      <c r="S5868" s="1" t="s">
        <v>647</v>
      </c>
      <c r="T5868" s="1" t="s">
        <v>648</v>
      </c>
      <c r="U5868" s="2" t="s">
        <v>8826</v>
      </c>
      <c r="V5868" s="2" t="s">
        <v>47</v>
      </c>
      <c r="W5868" s="2" t="s">
        <v>111</v>
      </c>
      <c r="X5868" s="2">
        <v>58.59</v>
      </c>
    </row>
    <row r="5869" spans="1:24" x14ac:dyDescent="0.3">
      <c r="A5869">
        <v>23691</v>
      </c>
      <c r="B5869" t="s">
        <v>12251</v>
      </c>
      <c r="C5869" s="3">
        <v>41283</v>
      </c>
      <c r="D5869" t="s">
        <v>25</v>
      </c>
      <c r="E5869">
        <v>13</v>
      </c>
      <c r="F5869" s="3">
        <f ca="1">41285+(RANDBETWEEN(1,10))</f>
        <v>41291</v>
      </c>
      <c r="G5869" t="s">
        <v>76</v>
      </c>
      <c r="H5869" t="s">
        <v>77</v>
      </c>
      <c r="I5869" t="s">
        <v>86</v>
      </c>
      <c r="J5869">
        <v>5706.19</v>
      </c>
      <c r="K5869">
        <v>0.05</v>
      </c>
      <c r="L5869">
        <v>0.74</v>
      </c>
      <c r="M5869">
        <v>245.7</v>
      </c>
      <c r="N5869">
        <v>-25.283999999999999</v>
      </c>
      <c r="O5869" s="1" t="s">
        <v>87</v>
      </c>
      <c r="P5869" s="1" t="s">
        <v>644</v>
      </c>
      <c r="Q5869" s="1" t="s">
        <v>645</v>
      </c>
      <c r="R5869" s="1" t="s">
        <v>646</v>
      </c>
      <c r="S5869" s="1" t="s">
        <v>647</v>
      </c>
      <c r="T5869" s="1" t="s">
        <v>648</v>
      </c>
      <c r="U5869" s="2" t="s">
        <v>358</v>
      </c>
      <c r="V5869" s="2" t="s">
        <v>83</v>
      </c>
      <c r="W5869" s="2" t="s">
        <v>84</v>
      </c>
      <c r="X5869" s="2">
        <v>430.46499999999997</v>
      </c>
    </row>
    <row r="5870" spans="1:24" x14ac:dyDescent="0.3">
      <c r="A5870">
        <v>23692</v>
      </c>
      <c r="B5870" t="s">
        <v>12252</v>
      </c>
      <c r="C5870" s="3">
        <v>41142</v>
      </c>
      <c r="D5870" t="s">
        <v>50</v>
      </c>
      <c r="E5870">
        <v>11</v>
      </c>
      <c r="F5870" s="3">
        <f ca="1">41143+(RANDBETWEEN(1,10))</f>
        <v>41150</v>
      </c>
      <c r="G5870" t="s">
        <v>26</v>
      </c>
      <c r="H5870" t="s">
        <v>63</v>
      </c>
      <c r="I5870" t="s">
        <v>52</v>
      </c>
      <c r="J5870">
        <v>5135.2</v>
      </c>
      <c r="K5870">
        <v>0.06</v>
      </c>
      <c r="L5870">
        <v>0.56999999999999995</v>
      </c>
      <c r="M5870">
        <v>85.715000000000003</v>
      </c>
      <c r="N5870">
        <v>-794.7604</v>
      </c>
      <c r="O5870" s="1" t="s">
        <v>53</v>
      </c>
      <c r="P5870" s="1" t="s">
        <v>7554</v>
      </c>
      <c r="Q5870" s="1" t="s">
        <v>7555</v>
      </c>
      <c r="R5870" s="1" t="s">
        <v>440</v>
      </c>
      <c r="S5870" s="1" t="s">
        <v>7556</v>
      </c>
      <c r="T5870" s="1" t="s">
        <v>7557</v>
      </c>
      <c r="U5870" s="2" t="s">
        <v>4440</v>
      </c>
      <c r="V5870" s="2" t="s">
        <v>83</v>
      </c>
      <c r="W5870" s="2" t="s">
        <v>84</v>
      </c>
      <c r="X5870" s="2">
        <v>492.83499999999998</v>
      </c>
    </row>
    <row r="5871" spans="1:24" x14ac:dyDescent="0.3">
      <c r="A5871">
        <v>23693</v>
      </c>
      <c r="B5871" t="s">
        <v>12253</v>
      </c>
      <c r="C5871" s="3">
        <v>40642</v>
      </c>
      <c r="D5871" t="s">
        <v>50</v>
      </c>
      <c r="E5871">
        <v>8</v>
      </c>
      <c r="F5871" s="3">
        <f ca="1">40644+(RANDBETWEEN(1,10))</f>
        <v>40648</v>
      </c>
      <c r="G5871" t="s">
        <v>26</v>
      </c>
      <c r="H5871" t="s">
        <v>27</v>
      </c>
      <c r="I5871" t="s">
        <v>86</v>
      </c>
      <c r="J5871">
        <v>405.96499999999997</v>
      </c>
      <c r="K5871">
        <v>0.05</v>
      </c>
      <c r="L5871">
        <v>0.43</v>
      </c>
      <c r="M5871">
        <v>46.62</v>
      </c>
      <c r="N5871">
        <v>-666.71500000000003</v>
      </c>
      <c r="O5871" s="1" t="s">
        <v>225</v>
      </c>
      <c r="P5871" s="1" t="s">
        <v>12254</v>
      </c>
      <c r="Q5871" s="1" t="s">
        <v>12255</v>
      </c>
      <c r="R5871" s="1" t="s">
        <v>391</v>
      </c>
      <c r="S5871" s="1" t="s">
        <v>12256</v>
      </c>
      <c r="T5871" s="1" t="s">
        <v>12257</v>
      </c>
      <c r="U5871" s="2" t="s">
        <v>1840</v>
      </c>
      <c r="V5871" s="2" t="s">
        <v>47</v>
      </c>
      <c r="W5871" s="2" t="s">
        <v>71</v>
      </c>
      <c r="X5871" s="2">
        <v>51.835000000000001</v>
      </c>
    </row>
    <row r="5872" spans="1:24" x14ac:dyDescent="0.3">
      <c r="A5872">
        <v>23694</v>
      </c>
      <c r="B5872" t="s">
        <v>12253</v>
      </c>
      <c r="C5872" s="3">
        <v>40642</v>
      </c>
      <c r="D5872" t="s">
        <v>50</v>
      </c>
      <c r="E5872">
        <v>7</v>
      </c>
      <c r="F5872" s="3">
        <f ca="1">40643+(RANDBETWEEN(1,10))</f>
        <v>40645</v>
      </c>
      <c r="G5872" t="s">
        <v>26</v>
      </c>
      <c r="H5872" t="s">
        <v>96</v>
      </c>
      <c r="I5872" t="s">
        <v>86</v>
      </c>
      <c r="J5872">
        <v>68.11</v>
      </c>
      <c r="K5872">
        <v>0.08</v>
      </c>
      <c r="L5872">
        <v>0.59</v>
      </c>
      <c r="M5872">
        <v>4.375</v>
      </c>
      <c r="N5872">
        <v>-30.695</v>
      </c>
      <c r="O5872" s="1" t="s">
        <v>225</v>
      </c>
      <c r="P5872" s="1" t="s">
        <v>12254</v>
      </c>
      <c r="Q5872" s="1" t="s">
        <v>12255</v>
      </c>
      <c r="R5872" s="1" t="s">
        <v>391</v>
      </c>
      <c r="S5872" s="1" t="s">
        <v>12256</v>
      </c>
      <c r="T5872" s="1" t="s">
        <v>12257</v>
      </c>
      <c r="U5872" s="2" t="s">
        <v>2386</v>
      </c>
      <c r="V5872" s="2" t="s">
        <v>47</v>
      </c>
      <c r="W5872" s="2" t="s">
        <v>104</v>
      </c>
      <c r="X5872" s="2">
        <v>9.73</v>
      </c>
    </row>
    <row r="5873" spans="1:24" x14ac:dyDescent="0.3">
      <c r="A5873">
        <v>23695</v>
      </c>
      <c r="B5873" t="s">
        <v>12258</v>
      </c>
      <c r="C5873" s="3">
        <v>41194</v>
      </c>
      <c r="D5873" t="s">
        <v>148</v>
      </c>
      <c r="E5873">
        <v>2</v>
      </c>
      <c r="F5873" s="3">
        <f ca="1">41195+(RANDBETWEEN(1,10))</f>
        <v>41199</v>
      </c>
      <c r="G5873" t="s">
        <v>156</v>
      </c>
      <c r="H5873" t="s">
        <v>51</v>
      </c>
      <c r="I5873" t="s">
        <v>28</v>
      </c>
      <c r="J5873">
        <v>50.854999999999997</v>
      </c>
      <c r="K5873">
        <v>0.08</v>
      </c>
      <c r="L5873">
        <v>0.64</v>
      </c>
      <c r="M5873">
        <v>15.12</v>
      </c>
      <c r="N5873">
        <v>-79.001999999999995</v>
      </c>
      <c r="O5873" s="1" t="s">
        <v>53</v>
      </c>
      <c r="P5873" s="1" t="s">
        <v>1273</v>
      </c>
      <c r="Q5873" s="1" t="s">
        <v>1274</v>
      </c>
      <c r="R5873" s="1" t="s">
        <v>56</v>
      </c>
      <c r="S5873" s="1" t="s">
        <v>1275</v>
      </c>
      <c r="T5873" s="1" t="s">
        <v>1276</v>
      </c>
      <c r="U5873" s="2" t="s">
        <v>6443</v>
      </c>
      <c r="V5873" s="2" t="s">
        <v>36</v>
      </c>
      <c r="W5873" s="2" t="s">
        <v>60</v>
      </c>
      <c r="X5873" s="2">
        <v>17.43</v>
      </c>
    </row>
    <row r="5874" spans="1:24" x14ac:dyDescent="0.3">
      <c r="A5874">
        <v>23696</v>
      </c>
      <c r="B5874" t="s">
        <v>12259</v>
      </c>
      <c r="C5874" s="3">
        <v>41947</v>
      </c>
      <c r="D5874" t="s">
        <v>62</v>
      </c>
      <c r="E5874">
        <v>32</v>
      </c>
      <c r="F5874" s="3">
        <f ca="1">41949+(RANDBETWEEN(1,10))</f>
        <v>41952</v>
      </c>
      <c r="G5874" t="s">
        <v>156</v>
      </c>
      <c r="H5874" t="s">
        <v>27</v>
      </c>
      <c r="I5874" t="s">
        <v>28</v>
      </c>
      <c r="J5874">
        <v>1030.925</v>
      </c>
      <c r="K5874">
        <v>0.03</v>
      </c>
      <c r="L5874">
        <v>0.4</v>
      </c>
      <c r="M5874">
        <v>34.51</v>
      </c>
      <c r="N5874">
        <v>-658.61879999999996</v>
      </c>
      <c r="O5874" s="1" t="s">
        <v>29</v>
      </c>
      <c r="P5874" s="1" t="s">
        <v>12260</v>
      </c>
      <c r="Q5874" s="1" t="s">
        <v>12261</v>
      </c>
      <c r="R5874" s="1" t="s">
        <v>32</v>
      </c>
      <c r="S5874" s="1" t="s">
        <v>12262</v>
      </c>
      <c r="T5874" s="1" t="s">
        <v>12263</v>
      </c>
      <c r="U5874" s="2" t="s">
        <v>7950</v>
      </c>
      <c r="V5874" s="2" t="s">
        <v>47</v>
      </c>
      <c r="W5874" s="2" t="s">
        <v>74</v>
      </c>
      <c r="X5874" s="2">
        <v>31.71</v>
      </c>
    </row>
    <row r="5875" spans="1:24" x14ac:dyDescent="0.3">
      <c r="A5875">
        <v>23697</v>
      </c>
      <c r="B5875" t="s">
        <v>12259</v>
      </c>
      <c r="C5875" s="3">
        <v>41947</v>
      </c>
      <c r="D5875" t="s">
        <v>62</v>
      </c>
      <c r="E5875">
        <v>23</v>
      </c>
      <c r="F5875" s="3">
        <f ca="1">41949+(RANDBETWEEN(1,10))</f>
        <v>41953</v>
      </c>
      <c r="G5875" t="s">
        <v>26</v>
      </c>
      <c r="H5875" t="s">
        <v>96</v>
      </c>
      <c r="I5875" t="s">
        <v>28</v>
      </c>
      <c r="J5875">
        <v>241.60499999999999</v>
      </c>
      <c r="K5875">
        <v>0.05</v>
      </c>
      <c r="L5875">
        <v>0.57999999999999996</v>
      </c>
      <c r="M5875">
        <v>3.6749999999999998</v>
      </c>
      <c r="N5875">
        <v>-6701.8280000000004</v>
      </c>
      <c r="O5875" s="1" t="s">
        <v>29</v>
      </c>
      <c r="P5875" s="1" t="s">
        <v>12260</v>
      </c>
      <c r="Q5875" s="1" t="s">
        <v>12261</v>
      </c>
      <c r="R5875" s="1" t="s">
        <v>32</v>
      </c>
      <c r="S5875" s="1" t="s">
        <v>12262</v>
      </c>
      <c r="T5875" s="1" t="s">
        <v>12263</v>
      </c>
      <c r="U5875" s="2" t="s">
        <v>12264</v>
      </c>
      <c r="V5875" s="2" t="s">
        <v>47</v>
      </c>
      <c r="W5875" s="2" t="s">
        <v>104</v>
      </c>
      <c r="X5875" s="2">
        <v>10.29</v>
      </c>
    </row>
    <row r="5876" spans="1:24" x14ac:dyDescent="0.3">
      <c r="A5876">
        <v>23698</v>
      </c>
      <c r="B5876" t="s">
        <v>12265</v>
      </c>
      <c r="C5876" s="3">
        <v>41969</v>
      </c>
      <c r="D5876" t="s">
        <v>50</v>
      </c>
      <c r="E5876">
        <v>23</v>
      </c>
      <c r="F5876" s="3">
        <f ca="1">41970+(RANDBETWEEN(1,10))</f>
        <v>41979</v>
      </c>
      <c r="G5876" t="s">
        <v>26</v>
      </c>
      <c r="H5876" t="s">
        <v>27</v>
      </c>
      <c r="I5876" t="s">
        <v>52</v>
      </c>
      <c r="J5876">
        <v>241.78</v>
      </c>
      <c r="K5876">
        <v>0.01</v>
      </c>
      <c r="L5876">
        <v>0.36</v>
      </c>
      <c r="M5876">
        <v>3.4649999999999999</v>
      </c>
      <c r="N5876">
        <v>-511.88830000000002</v>
      </c>
      <c r="O5876" s="1" t="s">
        <v>64</v>
      </c>
      <c r="P5876" s="1" t="s">
        <v>9504</v>
      </c>
      <c r="Q5876" s="1" t="s">
        <v>9505</v>
      </c>
      <c r="R5876" s="1" t="s">
        <v>128</v>
      </c>
      <c r="S5876" s="1" t="s">
        <v>9506</v>
      </c>
      <c r="T5876" s="1" t="s">
        <v>9507</v>
      </c>
      <c r="U5876" s="2" t="s">
        <v>3527</v>
      </c>
      <c r="V5876" s="2" t="s">
        <v>47</v>
      </c>
      <c r="W5876" s="2" t="s">
        <v>203</v>
      </c>
      <c r="X5876" s="2">
        <v>10.08</v>
      </c>
    </row>
    <row r="5877" spans="1:24" x14ac:dyDescent="0.3">
      <c r="A5877">
        <v>23699</v>
      </c>
      <c r="B5877" t="s">
        <v>12265</v>
      </c>
      <c r="C5877" s="3">
        <v>41969</v>
      </c>
      <c r="D5877" t="s">
        <v>50</v>
      </c>
      <c r="E5877">
        <v>4</v>
      </c>
      <c r="F5877" s="3">
        <f ca="1">41970+(RANDBETWEEN(1,10))</f>
        <v>41972</v>
      </c>
      <c r="G5877" t="s">
        <v>26</v>
      </c>
      <c r="H5877" t="s">
        <v>96</v>
      </c>
      <c r="I5877" t="s">
        <v>52</v>
      </c>
      <c r="J5877">
        <v>149.69499999999999</v>
      </c>
      <c r="K5877">
        <v>0.04</v>
      </c>
      <c r="L5877">
        <v>0.36</v>
      </c>
      <c r="M5877">
        <v>7.9450000000000003</v>
      </c>
      <c r="N5877">
        <v>-273.43470000000002</v>
      </c>
      <c r="O5877" s="1" t="s">
        <v>64</v>
      </c>
      <c r="P5877" s="1" t="s">
        <v>9504</v>
      </c>
      <c r="Q5877" s="1" t="s">
        <v>9505</v>
      </c>
      <c r="R5877" s="1" t="s">
        <v>128</v>
      </c>
      <c r="S5877" s="1" t="s">
        <v>9506</v>
      </c>
      <c r="T5877" s="1" t="s">
        <v>9507</v>
      </c>
      <c r="U5877" s="2" t="s">
        <v>4659</v>
      </c>
      <c r="V5877" s="2" t="s">
        <v>47</v>
      </c>
      <c r="W5877" s="2" t="s">
        <v>74</v>
      </c>
      <c r="X5877" s="2">
        <v>35.49</v>
      </c>
    </row>
    <row r="5878" spans="1:24" x14ac:dyDescent="0.3">
      <c r="A5878">
        <v>23700</v>
      </c>
      <c r="B5878" t="s">
        <v>12266</v>
      </c>
      <c r="C5878" s="3">
        <v>41083</v>
      </c>
      <c r="D5878" t="s">
        <v>39</v>
      </c>
      <c r="E5878">
        <v>9</v>
      </c>
      <c r="F5878" s="3">
        <f ca="1">41085+(RANDBETWEEN(1,10))</f>
        <v>41092</v>
      </c>
      <c r="G5878" t="s">
        <v>26</v>
      </c>
      <c r="H5878" t="s">
        <v>27</v>
      </c>
      <c r="I5878" t="s">
        <v>52</v>
      </c>
      <c r="J5878">
        <v>2033.115</v>
      </c>
      <c r="K5878">
        <v>0.09</v>
      </c>
      <c r="L5878">
        <v>0.4</v>
      </c>
      <c r="M5878">
        <v>69.965000000000003</v>
      </c>
      <c r="N5878">
        <v>44.709000000000003</v>
      </c>
      <c r="O5878" s="1" t="s">
        <v>64</v>
      </c>
      <c r="P5878" s="1" t="s">
        <v>12267</v>
      </c>
      <c r="Q5878" s="1" t="s">
        <v>12268</v>
      </c>
      <c r="R5878" s="1" t="s">
        <v>128</v>
      </c>
      <c r="S5878" s="1" t="s">
        <v>3441</v>
      </c>
      <c r="T5878" s="1" t="s">
        <v>3442</v>
      </c>
      <c r="U5878" s="2" t="s">
        <v>2385</v>
      </c>
      <c r="V5878" s="2" t="s">
        <v>47</v>
      </c>
      <c r="W5878" s="2" t="s">
        <v>111</v>
      </c>
      <c r="X5878" s="2">
        <v>235.48</v>
      </c>
    </row>
    <row r="5879" spans="1:24" x14ac:dyDescent="0.3">
      <c r="A5879">
        <v>23701</v>
      </c>
      <c r="B5879" t="s">
        <v>12266</v>
      </c>
      <c r="C5879" s="3">
        <v>41083</v>
      </c>
      <c r="D5879" t="s">
        <v>39</v>
      </c>
      <c r="E5879">
        <v>7</v>
      </c>
      <c r="F5879" s="3">
        <f ca="1">41084+(RANDBETWEEN(1,10))</f>
        <v>41085</v>
      </c>
      <c r="G5879" t="s">
        <v>26</v>
      </c>
      <c r="H5879" t="s">
        <v>27</v>
      </c>
      <c r="I5879" t="s">
        <v>52</v>
      </c>
      <c r="J5879">
        <v>1007.895</v>
      </c>
      <c r="K5879">
        <v>0.1</v>
      </c>
      <c r="L5879" t="s">
        <v>182</v>
      </c>
      <c r="M5879">
        <v>21.77</v>
      </c>
      <c r="N5879">
        <v>-232.946</v>
      </c>
      <c r="O5879" s="1" t="s">
        <v>64</v>
      </c>
      <c r="P5879" s="1" t="s">
        <v>12267</v>
      </c>
      <c r="Q5879" s="1" t="s">
        <v>12268</v>
      </c>
      <c r="R5879" s="1" t="s">
        <v>128</v>
      </c>
      <c r="S5879" s="1" t="s">
        <v>3441</v>
      </c>
      <c r="T5879" s="1" t="s">
        <v>3442</v>
      </c>
      <c r="U5879" s="2" t="s">
        <v>824</v>
      </c>
      <c r="V5879" s="2" t="s">
        <v>47</v>
      </c>
      <c r="W5879" s="2" t="s">
        <v>119</v>
      </c>
      <c r="X5879" s="2">
        <v>149.66</v>
      </c>
    </row>
    <row r="5880" spans="1:24" x14ac:dyDescent="0.3">
      <c r="A5880">
        <v>23702</v>
      </c>
      <c r="B5880" t="s">
        <v>12269</v>
      </c>
      <c r="C5880" s="3">
        <v>41407</v>
      </c>
      <c r="D5880" t="s">
        <v>148</v>
      </c>
      <c r="E5880">
        <v>16</v>
      </c>
      <c r="F5880" s="3">
        <f ca="1">41409+(RANDBETWEEN(1,10))</f>
        <v>41419</v>
      </c>
      <c r="G5880" t="s">
        <v>26</v>
      </c>
      <c r="H5880" t="s">
        <v>27</v>
      </c>
      <c r="I5880" t="s">
        <v>28</v>
      </c>
      <c r="J5880">
        <v>203.38499999999999</v>
      </c>
      <c r="K5880">
        <v>0.06</v>
      </c>
      <c r="L5880">
        <v>0.39</v>
      </c>
      <c r="M5880">
        <v>8.75</v>
      </c>
      <c r="N5880">
        <v>-70.944999999999993</v>
      </c>
      <c r="O5880" s="1" t="s">
        <v>225</v>
      </c>
      <c r="P5880" s="1" t="s">
        <v>10463</v>
      </c>
      <c r="Q5880" s="1" t="s">
        <v>10464</v>
      </c>
      <c r="R5880" s="1" t="s">
        <v>228</v>
      </c>
      <c r="S5880" s="1" t="s">
        <v>10465</v>
      </c>
      <c r="T5880" s="1" t="s">
        <v>10466</v>
      </c>
      <c r="U5880" s="2" t="s">
        <v>7012</v>
      </c>
      <c r="V5880" s="2" t="s">
        <v>47</v>
      </c>
      <c r="W5880" s="2" t="s">
        <v>48</v>
      </c>
      <c r="X5880" s="2">
        <v>12.914999999999999</v>
      </c>
    </row>
    <row r="5881" spans="1:24" x14ac:dyDescent="0.3">
      <c r="A5881">
        <v>23703</v>
      </c>
      <c r="B5881" t="s">
        <v>12269</v>
      </c>
      <c r="C5881" s="3">
        <v>41407</v>
      </c>
      <c r="D5881" t="s">
        <v>148</v>
      </c>
      <c r="E5881">
        <v>14</v>
      </c>
      <c r="F5881" s="3">
        <f ca="1">41409+(RANDBETWEEN(1,10))</f>
        <v>41412</v>
      </c>
      <c r="G5881" t="s">
        <v>26</v>
      </c>
      <c r="H5881" t="s">
        <v>27</v>
      </c>
      <c r="I5881" t="s">
        <v>28</v>
      </c>
      <c r="J5881">
        <v>208.18</v>
      </c>
      <c r="K5881">
        <v>0.09</v>
      </c>
      <c r="L5881">
        <v>0.4</v>
      </c>
      <c r="M5881">
        <v>20.09</v>
      </c>
      <c r="N5881">
        <v>-433.54500000000002</v>
      </c>
      <c r="O5881" s="1" t="s">
        <v>225</v>
      </c>
      <c r="P5881" s="1" t="s">
        <v>10463</v>
      </c>
      <c r="Q5881" s="1" t="s">
        <v>10464</v>
      </c>
      <c r="R5881" s="1" t="s">
        <v>228</v>
      </c>
      <c r="S5881" s="1" t="s">
        <v>10465</v>
      </c>
      <c r="T5881" s="1" t="s">
        <v>10466</v>
      </c>
      <c r="U5881" s="2" t="s">
        <v>6105</v>
      </c>
      <c r="V5881" s="2" t="s">
        <v>47</v>
      </c>
      <c r="W5881" s="2" t="s">
        <v>74</v>
      </c>
      <c r="X5881" s="2">
        <v>14.98</v>
      </c>
    </row>
    <row r="5882" spans="1:24" x14ac:dyDescent="0.3">
      <c r="A5882">
        <v>23704</v>
      </c>
      <c r="B5882" t="s">
        <v>12270</v>
      </c>
      <c r="C5882" s="3">
        <v>41642</v>
      </c>
      <c r="D5882" t="s">
        <v>39</v>
      </c>
      <c r="E5882">
        <v>8</v>
      </c>
      <c r="F5882" s="3">
        <f ca="1">41643+(RANDBETWEEN(1,10))</f>
        <v>41645</v>
      </c>
      <c r="G5882" t="s">
        <v>26</v>
      </c>
      <c r="H5882" t="s">
        <v>27</v>
      </c>
      <c r="I5882" t="s">
        <v>97</v>
      </c>
      <c r="J5882">
        <v>166.565</v>
      </c>
      <c r="K5882">
        <v>0.03</v>
      </c>
      <c r="L5882">
        <v>0.37</v>
      </c>
      <c r="M5882">
        <v>10.465</v>
      </c>
      <c r="N5882">
        <v>-538.31399999999996</v>
      </c>
      <c r="O5882" s="1" t="s">
        <v>87</v>
      </c>
      <c r="P5882" s="1" t="s">
        <v>8141</v>
      </c>
      <c r="Q5882" s="1" t="s">
        <v>8142</v>
      </c>
      <c r="R5882" s="1" t="s">
        <v>90</v>
      </c>
      <c r="S5882" s="1" t="s">
        <v>8143</v>
      </c>
      <c r="T5882" s="1" t="s">
        <v>8144</v>
      </c>
      <c r="U5882" s="2" t="s">
        <v>12271</v>
      </c>
      <c r="V5882" s="2" t="s">
        <v>47</v>
      </c>
      <c r="W5882" s="2" t="s">
        <v>111</v>
      </c>
      <c r="X5882" s="2">
        <v>19.53</v>
      </c>
    </row>
    <row r="5883" spans="1:24" x14ac:dyDescent="0.3">
      <c r="A5883">
        <v>23705</v>
      </c>
      <c r="B5883" t="s">
        <v>12272</v>
      </c>
      <c r="C5883" s="3">
        <v>40546</v>
      </c>
      <c r="D5883" t="s">
        <v>39</v>
      </c>
      <c r="E5883">
        <v>1</v>
      </c>
      <c r="F5883" s="3">
        <f ca="1">40547+(RANDBETWEEN(1,10))</f>
        <v>40554</v>
      </c>
      <c r="G5883" t="s">
        <v>76</v>
      </c>
      <c r="H5883" t="s">
        <v>258</v>
      </c>
      <c r="I5883" t="s">
        <v>97</v>
      </c>
      <c r="J5883">
        <v>610.75</v>
      </c>
      <c r="K5883">
        <v>0.09</v>
      </c>
      <c r="L5883">
        <v>0.64</v>
      </c>
      <c r="M5883">
        <v>182.7</v>
      </c>
      <c r="N5883">
        <v>-960.74300000000005</v>
      </c>
      <c r="O5883" s="1" t="s">
        <v>87</v>
      </c>
      <c r="P5883" s="1" t="s">
        <v>8141</v>
      </c>
      <c r="Q5883" s="1" t="s">
        <v>8142</v>
      </c>
      <c r="R5883" s="1" t="s">
        <v>90</v>
      </c>
      <c r="S5883" s="1" t="s">
        <v>8143</v>
      </c>
      <c r="T5883" s="1" t="s">
        <v>8144</v>
      </c>
      <c r="U5883" s="2" t="s">
        <v>1775</v>
      </c>
      <c r="V5883" s="2" t="s">
        <v>83</v>
      </c>
      <c r="W5883" s="2" t="s">
        <v>263</v>
      </c>
      <c r="X5883" s="2">
        <v>744.1</v>
      </c>
    </row>
    <row r="5884" spans="1:24" x14ac:dyDescent="0.3">
      <c r="A5884">
        <v>23706</v>
      </c>
      <c r="B5884" t="s">
        <v>12273</v>
      </c>
      <c r="C5884" s="3">
        <v>40896</v>
      </c>
      <c r="D5884" t="s">
        <v>50</v>
      </c>
      <c r="E5884">
        <v>22</v>
      </c>
      <c r="F5884" s="3">
        <f ca="1">40898+(RANDBETWEEN(1,10))</f>
        <v>40908</v>
      </c>
      <c r="G5884" t="s">
        <v>156</v>
      </c>
      <c r="H5884" t="s">
        <v>27</v>
      </c>
      <c r="I5884" t="s">
        <v>28</v>
      </c>
      <c r="J5884">
        <v>323.995</v>
      </c>
      <c r="K5884">
        <v>0.05</v>
      </c>
      <c r="L5884">
        <v>0.6</v>
      </c>
      <c r="M5884">
        <v>24.114999999999998</v>
      </c>
      <c r="N5884">
        <v>-429.92250000000001</v>
      </c>
      <c r="O5884" s="1" t="s">
        <v>87</v>
      </c>
      <c r="P5884" s="1" t="s">
        <v>12274</v>
      </c>
      <c r="Q5884" s="1" t="s">
        <v>12275</v>
      </c>
      <c r="R5884" s="1" t="s">
        <v>90</v>
      </c>
      <c r="S5884" s="1" t="s">
        <v>7202</v>
      </c>
      <c r="T5884" s="1" t="s">
        <v>7203</v>
      </c>
      <c r="U5884" s="2" t="s">
        <v>3815</v>
      </c>
      <c r="V5884" s="2" t="s">
        <v>47</v>
      </c>
      <c r="W5884" s="2" t="s">
        <v>71</v>
      </c>
      <c r="X5884" s="2">
        <v>14.21</v>
      </c>
    </row>
    <row r="5885" spans="1:24" x14ac:dyDescent="0.3">
      <c r="A5885">
        <v>23707</v>
      </c>
      <c r="B5885" t="s">
        <v>12276</v>
      </c>
      <c r="C5885" s="3">
        <v>41841</v>
      </c>
      <c r="D5885" t="s">
        <v>50</v>
      </c>
      <c r="E5885">
        <v>1</v>
      </c>
      <c r="F5885" s="3">
        <f ca="1">41842+(RANDBETWEEN(1,10))</f>
        <v>41845</v>
      </c>
      <c r="G5885" t="s">
        <v>26</v>
      </c>
      <c r="H5885" t="s">
        <v>27</v>
      </c>
      <c r="I5885" t="s">
        <v>97</v>
      </c>
      <c r="J5885">
        <v>210.42</v>
      </c>
      <c r="K5885">
        <v>0.05</v>
      </c>
      <c r="L5885">
        <v>0.56000000000000005</v>
      </c>
      <c r="M5885">
        <v>46.27</v>
      </c>
      <c r="N5885">
        <v>-172.0488</v>
      </c>
      <c r="O5885" s="1" t="s">
        <v>40</v>
      </c>
      <c r="P5885" s="1" t="s">
        <v>8557</v>
      </c>
      <c r="Q5885" s="1" t="s">
        <v>8558</v>
      </c>
      <c r="R5885" s="1" t="s">
        <v>43</v>
      </c>
      <c r="S5885" s="1" t="s">
        <v>8559</v>
      </c>
      <c r="T5885" s="1" t="s">
        <v>8560</v>
      </c>
      <c r="U5885" s="2" t="s">
        <v>2644</v>
      </c>
      <c r="V5885" s="2" t="s">
        <v>47</v>
      </c>
      <c r="W5885" s="2" t="s">
        <v>71</v>
      </c>
      <c r="X5885" s="2">
        <v>199.36</v>
      </c>
    </row>
    <row r="5886" spans="1:24" x14ac:dyDescent="0.3">
      <c r="A5886">
        <v>23708</v>
      </c>
      <c r="B5886" t="s">
        <v>12277</v>
      </c>
      <c r="C5886" s="3">
        <v>41323</v>
      </c>
      <c r="D5886" t="s">
        <v>39</v>
      </c>
      <c r="E5886">
        <v>8</v>
      </c>
      <c r="F5886" s="3">
        <f ca="1">41325+(RANDBETWEEN(1,10))</f>
        <v>41332</v>
      </c>
      <c r="G5886" t="s">
        <v>156</v>
      </c>
      <c r="H5886" t="s">
        <v>27</v>
      </c>
      <c r="I5886" t="s">
        <v>86</v>
      </c>
      <c r="J5886">
        <v>2905.3150000000001</v>
      </c>
      <c r="K5886">
        <v>0</v>
      </c>
      <c r="L5886">
        <v>0.36</v>
      </c>
      <c r="M5886">
        <v>1.7150000000000001</v>
      </c>
      <c r="N5886">
        <v>2004.6673499999999</v>
      </c>
      <c r="O5886" s="1" t="s">
        <v>40</v>
      </c>
      <c r="P5886" s="1" t="s">
        <v>4950</v>
      </c>
      <c r="Q5886" s="1" t="s">
        <v>4951</v>
      </c>
      <c r="R5886" s="1" t="s">
        <v>220</v>
      </c>
      <c r="S5886" s="1" t="s">
        <v>4952</v>
      </c>
      <c r="T5886" s="1" t="s">
        <v>4953</v>
      </c>
      <c r="U5886" s="2" t="s">
        <v>12278</v>
      </c>
      <c r="V5886" s="2" t="s">
        <v>47</v>
      </c>
      <c r="W5886" s="2" t="s">
        <v>203</v>
      </c>
      <c r="X5886" s="2">
        <v>344.08499999999998</v>
      </c>
    </row>
    <row r="5887" spans="1:24" x14ac:dyDescent="0.3">
      <c r="A5887">
        <v>23709</v>
      </c>
      <c r="B5887" t="s">
        <v>12279</v>
      </c>
      <c r="C5887" s="3">
        <v>41844</v>
      </c>
      <c r="D5887" t="s">
        <v>62</v>
      </c>
      <c r="E5887">
        <v>6</v>
      </c>
      <c r="F5887" s="3">
        <f ca="1">41846+(RANDBETWEEN(1,10))</f>
        <v>41852</v>
      </c>
      <c r="G5887" t="s">
        <v>26</v>
      </c>
      <c r="H5887" t="s">
        <v>96</v>
      </c>
      <c r="I5887" t="s">
        <v>97</v>
      </c>
      <c r="J5887">
        <v>83.65</v>
      </c>
      <c r="K5887">
        <v>0.1</v>
      </c>
      <c r="L5887">
        <v>0.56000000000000005</v>
      </c>
      <c r="M5887">
        <v>3.29</v>
      </c>
      <c r="N5887">
        <v>199.626</v>
      </c>
      <c r="O5887" s="1" t="s">
        <v>87</v>
      </c>
      <c r="P5887" s="1" t="s">
        <v>12012</v>
      </c>
      <c r="Q5887" s="1" t="s">
        <v>12013</v>
      </c>
      <c r="R5887" s="1" t="s">
        <v>646</v>
      </c>
      <c r="S5887" s="1" t="s">
        <v>12014</v>
      </c>
      <c r="T5887" s="1" t="s">
        <v>12015</v>
      </c>
      <c r="U5887" s="2" t="s">
        <v>331</v>
      </c>
      <c r="V5887" s="2" t="s">
        <v>47</v>
      </c>
      <c r="W5887" s="2" t="s">
        <v>104</v>
      </c>
      <c r="X5887" s="2">
        <v>14.98</v>
      </c>
    </row>
    <row r="5888" spans="1:24" x14ac:dyDescent="0.3">
      <c r="A5888">
        <v>23710</v>
      </c>
      <c r="B5888" t="s">
        <v>12280</v>
      </c>
      <c r="C5888" s="3">
        <v>41284</v>
      </c>
      <c r="D5888" t="s">
        <v>39</v>
      </c>
      <c r="E5888">
        <v>6</v>
      </c>
      <c r="F5888" s="3">
        <f ca="1">41286+(RANDBETWEEN(1,10))</f>
        <v>41292</v>
      </c>
      <c r="G5888" t="s">
        <v>26</v>
      </c>
      <c r="H5888" t="s">
        <v>27</v>
      </c>
      <c r="I5888" t="s">
        <v>28</v>
      </c>
      <c r="J5888">
        <v>56.384999999999998</v>
      </c>
      <c r="K5888">
        <v>0.1</v>
      </c>
      <c r="L5888">
        <v>0.36</v>
      </c>
      <c r="M5888">
        <v>5.2149999999999999</v>
      </c>
      <c r="N5888">
        <v>-11.32957</v>
      </c>
      <c r="O5888" s="1" t="s">
        <v>87</v>
      </c>
      <c r="P5888" s="1" t="s">
        <v>4509</v>
      </c>
      <c r="Q5888" s="1" t="s">
        <v>4510</v>
      </c>
      <c r="R5888" s="1" t="s">
        <v>646</v>
      </c>
      <c r="S5888" s="1" t="s">
        <v>4511</v>
      </c>
      <c r="T5888" s="1" t="s">
        <v>4512</v>
      </c>
      <c r="U5888" s="2" t="s">
        <v>2339</v>
      </c>
      <c r="V5888" s="2" t="s">
        <v>47</v>
      </c>
      <c r="W5888" s="2" t="s">
        <v>111</v>
      </c>
      <c r="X5888" s="2">
        <v>10.08</v>
      </c>
    </row>
    <row r="5889" spans="1:24" x14ac:dyDescent="0.3">
      <c r="A5889">
        <v>23711</v>
      </c>
      <c r="B5889" t="s">
        <v>12280</v>
      </c>
      <c r="C5889" s="3">
        <v>41284</v>
      </c>
      <c r="D5889" t="s">
        <v>39</v>
      </c>
      <c r="E5889">
        <v>14</v>
      </c>
      <c r="F5889" s="3">
        <f ca="1">41286+(RANDBETWEEN(1,10))</f>
        <v>41295</v>
      </c>
      <c r="G5889" t="s">
        <v>26</v>
      </c>
      <c r="H5889" t="s">
        <v>96</v>
      </c>
      <c r="I5889" t="s">
        <v>28</v>
      </c>
      <c r="J5889">
        <v>868.63</v>
      </c>
      <c r="K5889">
        <v>0.08</v>
      </c>
      <c r="L5889">
        <v>0.37</v>
      </c>
      <c r="M5889">
        <v>3.4649999999999999</v>
      </c>
      <c r="N5889">
        <v>599.35469999999998</v>
      </c>
      <c r="O5889" s="1" t="s">
        <v>87</v>
      </c>
      <c r="P5889" s="1" t="s">
        <v>4509</v>
      </c>
      <c r="Q5889" s="1" t="s">
        <v>4510</v>
      </c>
      <c r="R5889" s="1" t="s">
        <v>646</v>
      </c>
      <c r="S5889" s="1" t="s">
        <v>4511</v>
      </c>
      <c r="T5889" s="1" t="s">
        <v>4512</v>
      </c>
      <c r="U5889" s="2" t="s">
        <v>3359</v>
      </c>
      <c r="V5889" s="2" t="s">
        <v>36</v>
      </c>
      <c r="W5889" s="2" t="s">
        <v>37</v>
      </c>
      <c r="X5889" s="2">
        <v>73.465000000000003</v>
      </c>
    </row>
    <row r="5890" spans="1:24" x14ac:dyDescent="0.3">
      <c r="A5890">
        <v>23712</v>
      </c>
      <c r="B5890" t="s">
        <v>12281</v>
      </c>
      <c r="C5890" s="3">
        <v>41473</v>
      </c>
      <c r="D5890" t="s">
        <v>62</v>
      </c>
      <c r="E5890">
        <v>13</v>
      </c>
      <c r="F5890" s="3">
        <f ca="1">41475+(RANDBETWEEN(1,10))</f>
        <v>41483</v>
      </c>
      <c r="G5890" t="s">
        <v>156</v>
      </c>
      <c r="H5890" t="s">
        <v>27</v>
      </c>
      <c r="I5890" t="s">
        <v>52</v>
      </c>
      <c r="J5890">
        <v>2557.835</v>
      </c>
      <c r="K5890">
        <v>0.06</v>
      </c>
      <c r="L5890">
        <v>0.59</v>
      </c>
      <c r="M5890">
        <v>13.965</v>
      </c>
      <c r="N5890">
        <v>1764.90615</v>
      </c>
      <c r="O5890" s="1" t="s">
        <v>53</v>
      </c>
      <c r="P5890" s="1" t="s">
        <v>8963</v>
      </c>
      <c r="Q5890" s="1" t="s">
        <v>8964</v>
      </c>
      <c r="R5890" s="1" t="s">
        <v>56</v>
      </c>
      <c r="S5890" s="1" t="s">
        <v>8965</v>
      </c>
      <c r="T5890" s="1" t="s">
        <v>8966</v>
      </c>
      <c r="U5890" s="2" t="s">
        <v>1991</v>
      </c>
      <c r="V5890" s="2" t="s">
        <v>36</v>
      </c>
      <c r="W5890" s="2" t="s">
        <v>37</v>
      </c>
      <c r="X5890" s="2">
        <v>230.965</v>
      </c>
    </row>
    <row r="5891" spans="1:24" x14ac:dyDescent="0.3">
      <c r="A5891">
        <v>23713</v>
      </c>
      <c r="B5891" t="s">
        <v>12282</v>
      </c>
      <c r="C5891" s="3">
        <v>41385</v>
      </c>
      <c r="D5891" t="s">
        <v>50</v>
      </c>
      <c r="E5891">
        <v>12</v>
      </c>
      <c r="F5891" s="3">
        <f ca="1">41388+(RANDBETWEEN(1,10))</f>
        <v>41389</v>
      </c>
      <c r="G5891" t="s">
        <v>26</v>
      </c>
      <c r="H5891" t="s">
        <v>51</v>
      </c>
      <c r="I5891" t="s">
        <v>28</v>
      </c>
      <c r="J5891">
        <v>1214.9549999999999</v>
      </c>
      <c r="K5891">
        <v>0.1</v>
      </c>
      <c r="L5891">
        <v>0.57999999999999996</v>
      </c>
      <c r="M5891">
        <v>31.465</v>
      </c>
      <c r="N5891">
        <v>79.484999999999999</v>
      </c>
      <c r="O5891" s="1" t="s">
        <v>64</v>
      </c>
      <c r="P5891" s="1" t="s">
        <v>12283</v>
      </c>
      <c r="Q5891" s="1" t="s">
        <v>12284</v>
      </c>
      <c r="R5891" s="1" t="s">
        <v>128</v>
      </c>
      <c r="S5891" s="1" t="s">
        <v>4805</v>
      </c>
      <c r="T5891" s="1" t="s">
        <v>4806</v>
      </c>
      <c r="U5891" s="2" t="s">
        <v>1439</v>
      </c>
      <c r="V5891" s="2" t="s">
        <v>47</v>
      </c>
      <c r="W5891" s="2" t="s">
        <v>104</v>
      </c>
      <c r="X5891" s="2">
        <v>108.43</v>
      </c>
    </row>
    <row r="5892" spans="1:24" x14ac:dyDescent="0.3">
      <c r="A5892">
        <v>23714</v>
      </c>
      <c r="B5892" t="s">
        <v>12285</v>
      </c>
      <c r="C5892" s="3">
        <v>41615</v>
      </c>
      <c r="D5892" t="s">
        <v>62</v>
      </c>
      <c r="E5892">
        <v>10</v>
      </c>
      <c r="F5892" s="3">
        <f ca="1">41615+(RANDBETWEEN(1,10))</f>
        <v>41619</v>
      </c>
      <c r="G5892" t="s">
        <v>156</v>
      </c>
      <c r="H5892" t="s">
        <v>27</v>
      </c>
      <c r="I5892" t="s">
        <v>97</v>
      </c>
      <c r="J5892">
        <v>14016.344999999999</v>
      </c>
      <c r="K5892">
        <v>0.06</v>
      </c>
      <c r="L5892">
        <v>0.35</v>
      </c>
      <c r="M5892">
        <v>69.965000000000003</v>
      </c>
      <c r="N5892">
        <v>9671.2780500000008</v>
      </c>
      <c r="O5892" s="1" t="s">
        <v>53</v>
      </c>
      <c r="P5892" s="1" t="s">
        <v>9865</v>
      </c>
      <c r="Q5892" s="1" t="s">
        <v>9866</v>
      </c>
      <c r="R5892" s="1" t="s">
        <v>56</v>
      </c>
      <c r="S5892" s="1" t="s">
        <v>9867</v>
      </c>
      <c r="T5892" s="1" t="s">
        <v>9868</v>
      </c>
      <c r="U5892" s="2" t="s">
        <v>1352</v>
      </c>
      <c r="V5892" s="2" t="s">
        <v>47</v>
      </c>
      <c r="W5892" s="2" t="s">
        <v>111</v>
      </c>
      <c r="X5892" s="2">
        <v>1473.43</v>
      </c>
    </row>
    <row r="5893" spans="1:24" x14ac:dyDescent="0.3">
      <c r="A5893">
        <v>23715</v>
      </c>
      <c r="B5893" t="s">
        <v>12285</v>
      </c>
      <c r="C5893" s="3">
        <v>41615</v>
      </c>
      <c r="D5893" t="s">
        <v>62</v>
      </c>
      <c r="E5893">
        <v>25</v>
      </c>
      <c r="F5893" s="3">
        <f ca="1">41617+(RANDBETWEEN(1,10))</f>
        <v>41622</v>
      </c>
      <c r="G5893" t="s">
        <v>26</v>
      </c>
      <c r="H5893" t="s">
        <v>27</v>
      </c>
      <c r="I5893" t="s">
        <v>97</v>
      </c>
      <c r="J5893">
        <v>2222.5700000000002</v>
      </c>
      <c r="K5893">
        <v>0.1</v>
      </c>
      <c r="L5893">
        <v>0.49</v>
      </c>
      <c r="M5893">
        <v>24.254999999999999</v>
      </c>
      <c r="N5893">
        <v>1164.5025000000001</v>
      </c>
      <c r="O5893" s="1" t="s">
        <v>53</v>
      </c>
      <c r="P5893" s="1" t="s">
        <v>9865</v>
      </c>
      <c r="Q5893" s="1" t="s">
        <v>9866</v>
      </c>
      <c r="R5893" s="1" t="s">
        <v>56</v>
      </c>
      <c r="S5893" s="1" t="s">
        <v>9867</v>
      </c>
      <c r="T5893" s="1" t="s">
        <v>9868</v>
      </c>
      <c r="U5893" s="2" t="s">
        <v>3900</v>
      </c>
      <c r="V5893" s="2" t="s">
        <v>83</v>
      </c>
      <c r="W5893" s="2" t="s">
        <v>178</v>
      </c>
      <c r="X5893" s="2">
        <v>92.68</v>
      </c>
    </row>
    <row r="5894" spans="1:24" x14ac:dyDescent="0.3">
      <c r="A5894">
        <v>23716</v>
      </c>
      <c r="B5894" t="s">
        <v>12286</v>
      </c>
      <c r="C5894" s="3">
        <v>40904</v>
      </c>
      <c r="D5894" t="s">
        <v>50</v>
      </c>
      <c r="E5894">
        <v>17</v>
      </c>
      <c r="F5894" s="3">
        <f ca="1">40904+(RANDBETWEEN(1,10))</f>
        <v>40910</v>
      </c>
      <c r="G5894" t="s">
        <v>26</v>
      </c>
      <c r="H5894" t="s">
        <v>27</v>
      </c>
      <c r="I5894" t="s">
        <v>28</v>
      </c>
      <c r="J5894">
        <v>367.32499999999999</v>
      </c>
      <c r="K5894">
        <v>0.05</v>
      </c>
      <c r="L5894">
        <v>0.36</v>
      </c>
      <c r="M5894">
        <v>19.11</v>
      </c>
      <c r="N5894">
        <v>-111.5975</v>
      </c>
      <c r="O5894" s="1" t="s">
        <v>40</v>
      </c>
      <c r="P5894" s="1" t="s">
        <v>5784</v>
      </c>
      <c r="Q5894" s="1" t="s">
        <v>5785</v>
      </c>
      <c r="R5894" s="1" t="s">
        <v>43</v>
      </c>
      <c r="S5894" s="1" t="s">
        <v>5786</v>
      </c>
      <c r="T5894" s="1" t="s">
        <v>5787</v>
      </c>
      <c r="U5894" s="2" t="s">
        <v>7070</v>
      </c>
      <c r="V5894" s="2" t="s">
        <v>47</v>
      </c>
      <c r="W5894" s="2" t="s">
        <v>74</v>
      </c>
      <c r="X5894" s="2">
        <v>20.93</v>
      </c>
    </row>
    <row r="5895" spans="1:24" x14ac:dyDescent="0.3">
      <c r="A5895">
        <v>23717</v>
      </c>
      <c r="B5895" t="s">
        <v>12286</v>
      </c>
      <c r="C5895" s="3">
        <v>40904</v>
      </c>
      <c r="D5895" t="s">
        <v>50</v>
      </c>
      <c r="E5895">
        <v>3</v>
      </c>
      <c r="F5895" s="3">
        <f ca="1">40905+(RANDBETWEEN(1,10))</f>
        <v>40909</v>
      </c>
      <c r="G5895" t="s">
        <v>26</v>
      </c>
      <c r="H5895" t="s">
        <v>27</v>
      </c>
      <c r="I5895" t="s">
        <v>28</v>
      </c>
      <c r="J5895">
        <v>583.06500000000005</v>
      </c>
      <c r="K5895">
        <v>0.01</v>
      </c>
      <c r="L5895">
        <v>0.59</v>
      </c>
      <c r="M5895">
        <v>13.965</v>
      </c>
      <c r="N5895">
        <v>-333.23674999999997</v>
      </c>
      <c r="O5895" s="1" t="s">
        <v>29</v>
      </c>
      <c r="P5895" s="1" t="s">
        <v>12287</v>
      </c>
      <c r="Q5895" s="1" t="s">
        <v>12288</v>
      </c>
      <c r="R5895" s="1" t="s">
        <v>32</v>
      </c>
      <c r="S5895" s="1" t="s">
        <v>3788</v>
      </c>
      <c r="T5895" s="1" t="s">
        <v>3789</v>
      </c>
      <c r="U5895" s="2" t="s">
        <v>1991</v>
      </c>
      <c r="V5895" s="2" t="s">
        <v>36</v>
      </c>
      <c r="W5895" s="2" t="s">
        <v>37</v>
      </c>
      <c r="X5895" s="2">
        <v>230.965</v>
      </c>
    </row>
    <row r="5896" spans="1:24" x14ac:dyDescent="0.3">
      <c r="A5896">
        <v>23718</v>
      </c>
      <c r="B5896" t="s">
        <v>12289</v>
      </c>
      <c r="C5896" s="3">
        <v>41169</v>
      </c>
      <c r="D5896" t="s">
        <v>148</v>
      </c>
      <c r="E5896">
        <v>19</v>
      </c>
      <c r="F5896" s="3">
        <f ca="1">41170+(RANDBETWEEN(1,10))</f>
        <v>41175</v>
      </c>
      <c r="G5896" t="s">
        <v>26</v>
      </c>
      <c r="H5896" t="s">
        <v>27</v>
      </c>
      <c r="I5896" t="s">
        <v>97</v>
      </c>
      <c r="J5896">
        <v>658.245</v>
      </c>
      <c r="K5896">
        <v>0.06</v>
      </c>
      <c r="L5896">
        <v>0.37</v>
      </c>
      <c r="M5896">
        <v>4.8650000000000002</v>
      </c>
      <c r="N5896">
        <v>431.97</v>
      </c>
      <c r="O5896" s="1" t="s">
        <v>64</v>
      </c>
      <c r="P5896" s="1" t="s">
        <v>10329</v>
      </c>
      <c r="Q5896" s="1" t="s">
        <v>10330</v>
      </c>
      <c r="R5896" s="1" t="s">
        <v>128</v>
      </c>
      <c r="S5896" s="1" t="s">
        <v>10331</v>
      </c>
      <c r="T5896" s="1" t="s">
        <v>10332</v>
      </c>
      <c r="U5896" s="2" t="s">
        <v>611</v>
      </c>
      <c r="V5896" s="2" t="s">
        <v>47</v>
      </c>
      <c r="W5896" s="2" t="s">
        <v>48</v>
      </c>
      <c r="X5896" s="2">
        <v>34.65</v>
      </c>
    </row>
    <row r="5897" spans="1:24" x14ac:dyDescent="0.3">
      <c r="A5897">
        <v>23719</v>
      </c>
      <c r="B5897" t="s">
        <v>12290</v>
      </c>
      <c r="C5897" s="3">
        <v>40615</v>
      </c>
      <c r="D5897" t="s">
        <v>62</v>
      </c>
      <c r="E5897">
        <v>1</v>
      </c>
      <c r="F5897" s="3">
        <f ca="1">40616+(RANDBETWEEN(1,10))</f>
        <v>40624</v>
      </c>
      <c r="G5897" t="s">
        <v>26</v>
      </c>
      <c r="H5897" t="s">
        <v>27</v>
      </c>
      <c r="I5897" t="s">
        <v>97</v>
      </c>
      <c r="J5897">
        <v>20.440000000000001</v>
      </c>
      <c r="K5897">
        <v>0.05</v>
      </c>
      <c r="L5897">
        <v>0.38</v>
      </c>
      <c r="M5897">
        <v>17.64</v>
      </c>
      <c r="N5897">
        <v>-42.544249999999998</v>
      </c>
      <c r="O5897" s="1" t="s">
        <v>29</v>
      </c>
      <c r="P5897" s="1" t="s">
        <v>9630</v>
      </c>
      <c r="Q5897" s="1" t="s">
        <v>9631</v>
      </c>
      <c r="R5897" s="1" t="s">
        <v>32</v>
      </c>
      <c r="S5897" s="1" t="s">
        <v>9632</v>
      </c>
      <c r="T5897" s="1" t="s">
        <v>9633</v>
      </c>
      <c r="U5897" s="2" t="s">
        <v>1507</v>
      </c>
      <c r="V5897" s="2" t="s">
        <v>47</v>
      </c>
      <c r="W5897" s="2" t="s">
        <v>111</v>
      </c>
      <c r="X5897" s="2">
        <v>14.455</v>
      </c>
    </row>
    <row r="5898" spans="1:24" x14ac:dyDescent="0.3">
      <c r="A5898">
        <v>23720</v>
      </c>
      <c r="B5898" t="s">
        <v>12291</v>
      </c>
      <c r="C5898" s="3">
        <v>41994</v>
      </c>
      <c r="D5898" t="s">
        <v>62</v>
      </c>
      <c r="E5898">
        <v>19</v>
      </c>
      <c r="F5898" s="3">
        <f ca="1">41996+(RANDBETWEEN(1,10))</f>
        <v>42001</v>
      </c>
      <c r="G5898" t="s">
        <v>26</v>
      </c>
      <c r="H5898" t="s">
        <v>96</v>
      </c>
      <c r="I5898" t="s">
        <v>86</v>
      </c>
      <c r="J5898">
        <v>145.14500000000001</v>
      </c>
      <c r="K5898">
        <v>0.08</v>
      </c>
      <c r="L5898">
        <v>0.44</v>
      </c>
      <c r="M5898">
        <v>4.83</v>
      </c>
      <c r="N5898">
        <v>-12.13632</v>
      </c>
      <c r="O5898" s="1" t="s">
        <v>87</v>
      </c>
      <c r="P5898" s="1" t="s">
        <v>11163</v>
      </c>
      <c r="Q5898" s="1" t="s">
        <v>11164</v>
      </c>
      <c r="R5898" s="1" t="s">
        <v>398</v>
      </c>
      <c r="S5898" s="1" t="s">
        <v>2267</v>
      </c>
      <c r="T5898" s="1" t="s">
        <v>2268</v>
      </c>
      <c r="U5898" s="2" t="s">
        <v>6076</v>
      </c>
      <c r="V5898" s="2" t="s">
        <v>47</v>
      </c>
      <c r="W5898" s="2" t="s">
        <v>176</v>
      </c>
      <c r="X5898" s="2">
        <v>7.63</v>
      </c>
    </row>
    <row r="5899" spans="1:24" x14ac:dyDescent="0.3">
      <c r="A5899">
        <v>23721</v>
      </c>
      <c r="B5899" t="s">
        <v>12292</v>
      </c>
      <c r="C5899" s="3">
        <v>40639</v>
      </c>
      <c r="D5899" t="s">
        <v>25</v>
      </c>
      <c r="E5899">
        <v>10</v>
      </c>
      <c r="F5899" s="3">
        <f ca="1">40641+(RANDBETWEEN(1,10))</f>
        <v>40642</v>
      </c>
      <c r="G5899" t="s">
        <v>26</v>
      </c>
      <c r="H5899" t="s">
        <v>281</v>
      </c>
      <c r="I5899" t="s">
        <v>52</v>
      </c>
      <c r="J5899">
        <v>2165.9749999999999</v>
      </c>
      <c r="K5899">
        <v>0.06</v>
      </c>
      <c r="L5899">
        <v>0.64</v>
      </c>
      <c r="M5899">
        <v>42.805</v>
      </c>
      <c r="N5899">
        <v>1494.5227500000001</v>
      </c>
      <c r="O5899" s="1" t="s">
        <v>225</v>
      </c>
      <c r="P5899" s="1" t="s">
        <v>12254</v>
      </c>
      <c r="Q5899" s="1" t="s">
        <v>12255</v>
      </c>
      <c r="R5899" s="1" t="s">
        <v>391</v>
      </c>
      <c r="S5899" s="1" t="s">
        <v>12256</v>
      </c>
      <c r="T5899" s="1" t="s">
        <v>12257</v>
      </c>
      <c r="U5899" s="2" t="s">
        <v>2775</v>
      </c>
      <c r="V5899" s="2" t="s">
        <v>83</v>
      </c>
      <c r="W5899" s="2" t="s">
        <v>178</v>
      </c>
      <c r="X5899" s="2">
        <v>212.27500000000001</v>
      </c>
    </row>
    <row r="5900" spans="1:24" x14ac:dyDescent="0.3">
      <c r="A5900">
        <v>23722</v>
      </c>
      <c r="B5900" t="s">
        <v>12293</v>
      </c>
      <c r="C5900" s="3">
        <v>41829</v>
      </c>
      <c r="D5900" t="s">
        <v>62</v>
      </c>
      <c r="E5900">
        <v>16</v>
      </c>
      <c r="F5900" s="3">
        <f ca="1">41831+(RANDBETWEEN(1,10))</f>
        <v>41834</v>
      </c>
      <c r="G5900" t="s">
        <v>156</v>
      </c>
      <c r="H5900" t="s">
        <v>281</v>
      </c>
      <c r="I5900" t="s">
        <v>86</v>
      </c>
      <c r="J5900">
        <v>8641.5349999999999</v>
      </c>
      <c r="K5900">
        <v>0.06</v>
      </c>
      <c r="L5900">
        <v>0.56999999999999995</v>
      </c>
      <c r="M5900">
        <v>48.965000000000003</v>
      </c>
      <c r="N5900">
        <v>-81.927999999999997</v>
      </c>
      <c r="O5900" s="1" t="s">
        <v>87</v>
      </c>
      <c r="P5900" s="1" t="s">
        <v>12294</v>
      </c>
      <c r="Q5900" s="1" t="s">
        <v>12295</v>
      </c>
      <c r="R5900" s="1" t="s">
        <v>497</v>
      </c>
      <c r="S5900" s="1" t="s">
        <v>902</v>
      </c>
      <c r="T5900" s="1" t="s">
        <v>903</v>
      </c>
      <c r="U5900" s="2" t="s">
        <v>649</v>
      </c>
      <c r="V5900" s="2" t="s">
        <v>36</v>
      </c>
      <c r="W5900" s="2" t="s">
        <v>37</v>
      </c>
      <c r="X5900" s="2">
        <v>629.96500000000003</v>
      </c>
    </row>
    <row r="5901" spans="1:24" x14ac:dyDescent="0.3">
      <c r="A5901">
        <v>23723</v>
      </c>
      <c r="B5901" t="s">
        <v>12296</v>
      </c>
      <c r="C5901" s="3">
        <v>41870</v>
      </c>
      <c r="D5901" t="s">
        <v>50</v>
      </c>
      <c r="E5901">
        <v>15</v>
      </c>
      <c r="F5901" s="3">
        <f ca="1">41872+(RANDBETWEEN(1,10))</f>
        <v>41880</v>
      </c>
      <c r="G5901" t="s">
        <v>26</v>
      </c>
      <c r="H5901" t="s">
        <v>27</v>
      </c>
      <c r="I5901" t="s">
        <v>28</v>
      </c>
      <c r="J5901">
        <v>1039.08</v>
      </c>
      <c r="K5901">
        <v>0.05</v>
      </c>
      <c r="L5901">
        <v>0.37</v>
      </c>
      <c r="M5901">
        <v>33.39</v>
      </c>
      <c r="N5901">
        <v>307.90312</v>
      </c>
      <c r="O5901" s="1" t="s">
        <v>29</v>
      </c>
      <c r="P5901" s="1" t="s">
        <v>12297</v>
      </c>
      <c r="Q5901" s="1" t="s">
        <v>12298</v>
      </c>
      <c r="R5901" s="1" t="s">
        <v>32</v>
      </c>
      <c r="S5901" s="1" t="s">
        <v>12299</v>
      </c>
      <c r="T5901" s="1" t="s">
        <v>12300</v>
      </c>
      <c r="U5901" s="2" t="s">
        <v>838</v>
      </c>
      <c r="V5901" s="2" t="s">
        <v>47</v>
      </c>
      <c r="W5901" s="2" t="s">
        <v>74</v>
      </c>
      <c r="X5901" s="2">
        <v>66.394999999999996</v>
      </c>
    </row>
    <row r="5902" spans="1:24" x14ac:dyDescent="0.3">
      <c r="A5902">
        <v>23724</v>
      </c>
      <c r="B5902" t="s">
        <v>12296</v>
      </c>
      <c r="C5902" s="3">
        <v>41870</v>
      </c>
      <c r="D5902" t="s">
        <v>50</v>
      </c>
      <c r="E5902">
        <v>20</v>
      </c>
      <c r="F5902" s="3">
        <f ca="1">41871+(RANDBETWEEN(1,10))</f>
        <v>41876</v>
      </c>
      <c r="G5902" t="s">
        <v>26</v>
      </c>
      <c r="H5902" t="s">
        <v>27</v>
      </c>
      <c r="I5902" t="s">
        <v>28</v>
      </c>
      <c r="J5902">
        <v>401.66</v>
      </c>
      <c r="K5902">
        <v>0.01</v>
      </c>
      <c r="L5902">
        <v>0.4</v>
      </c>
      <c r="M5902">
        <v>19.809999999999999</v>
      </c>
      <c r="N5902">
        <v>-133.38192000000001</v>
      </c>
      <c r="O5902" s="1" t="s">
        <v>29</v>
      </c>
      <c r="P5902" s="1" t="s">
        <v>12297</v>
      </c>
      <c r="Q5902" s="1" t="s">
        <v>12298</v>
      </c>
      <c r="R5902" s="1" t="s">
        <v>32</v>
      </c>
      <c r="S5902" s="1" t="s">
        <v>12299</v>
      </c>
      <c r="T5902" s="1" t="s">
        <v>12300</v>
      </c>
      <c r="U5902" s="2" t="s">
        <v>9988</v>
      </c>
      <c r="V5902" s="2" t="s">
        <v>47</v>
      </c>
      <c r="W5902" s="2" t="s">
        <v>74</v>
      </c>
      <c r="X5902" s="2">
        <v>18.48</v>
      </c>
    </row>
    <row r="5903" spans="1:24" x14ac:dyDescent="0.3">
      <c r="A5903">
        <v>23725</v>
      </c>
      <c r="B5903" t="s">
        <v>12301</v>
      </c>
      <c r="C5903" s="3">
        <v>41726</v>
      </c>
      <c r="D5903" t="s">
        <v>50</v>
      </c>
      <c r="E5903">
        <v>3</v>
      </c>
      <c r="F5903" s="3">
        <f ca="1">41728+(RANDBETWEEN(1,10))</f>
        <v>41738</v>
      </c>
      <c r="G5903" t="s">
        <v>156</v>
      </c>
      <c r="H5903" t="s">
        <v>27</v>
      </c>
      <c r="I5903" t="s">
        <v>97</v>
      </c>
      <c r="J5903">
        <v>58.484999999999999</v>
      </c>
      <c r="K5903">
        <v>0.02</v>
      </c>
      <c r="L5903">
        <v>0.4</v>
      </c>
      <c r="M5903">
        <v>18.094999999999999</v>
      </c>
      <c r="N5903">
        <v>-326.63400000000001</v>
      </c>
      <c r="O5903" s="1" t="s">
        <v>87</v>
      </c>
      <c r="P5903" s="1" t="s">
        <v>900</v>
      </c>
      <c r="Q5903" s="1" t="s">
        <v>901</v>
      </c>
      <c r="R5903" s="1" t="s">
        <v>497</v>
      </c>
      <c r="S5903" s="1" t="s">
        <v>902</v>
      </c>
      <c r="T5903" s="1" t="s">
        <v>903</v>
      </c>
      <c r="U5903" s="2" t="s">
        <v>7083</v>
      </c>
      <c r="V5903" s="2" t="s">
        <v>47</v>
      </c>
      <c r="W5903" s="2" t="s">
        <v>74</v>
      </c>
      <c r="X5903" s="2">
        <v>14.98</v>
      </c>
    </row>
    <row r="5904" spans="1:24" x14ac:dyDescent="0.3">
      <c r="A5904">
        <v>23726</v>
      </c>
      <c r="B5904" t="s">
        <v>12301</v>
      </c>
      <c r="C5904" s="3">
        <v>41726</v>
      </c>
      <c r="D5904" t="s">
        <v>50</v>
      </c>
      <c r="E5904">
        <v>11</v>
      </c>
      <c r="F5904" s="3">
        <f ca="1">41728+(RANDBETWEEN(1,10))</f>
        <v>41734</v>
      </c>
      <c r="G5904" t="s">
        <v>26</v>
      </c>
      <c r="H5904" t="s">
        <v>51</v>
      </c>
      <c r="I5904" t="s">
        <v>97</v>
      </c>
      <c r="J5904">
        <v>1260.21</v>
      </c>
      <c r="K5904">
        <v>0</v>
      </c>
      <c r="L5904">
        <v>0.39</v>
      </c>
      <c r="M5904">
        <v>11.55</v>
      </c>
      <c r="N5904">
        <v>-555.26800000000003</v>
      </c>
      <c r="O5904" s="1" t="s">
        <v>87</v>
      </c>
      <c r="P5904" s="1" t="s">
        <v>900</v>
      </c>
      <c r="Q5904" s="1" t="s">
        <v>901</v>
      </c>
      <c r="R5904" s="1" t="s">
        <v>497</v>
      </c>
      <c r="S5904" s="1" t="s">
        <v>902</v>
      </c>
      <c r="T5904" s="1" t="s">
        <v>903</v>
      </c>
      <c r="U5904" s="2" t="s">
        <v>5976</v>
      </c>
      <c r="V5904" s="2" t="s">
        <v>36</v>
      </c>
      <c r="W5904" s="2" t="s">
        <v>37</v>
      </c>
      <c r="X5904" s="2">
        <v>125.965</v>
      </c>
    </row>
    <row r="5905" spans="1:24" x14ac:dyDescent="0.3">
      <c r="A5905">
        <v>23727</v>
      </c>
      <c r="B5905" t="s">
        <v>12302</v>
      </c>
      <c r="C5905" s="3">
        <v>41333</v>
      </c>
      <c r="D5905" t="s">
        <v>39</v>
      </c>
      <c r="E5905">
        <v>3</v>
      </c>
      <c r="F5905" s="3">
        <f ca="1">41333+(RANDBETWEEN(1,10))</f>
        <v>41337</v>
      </c>
      <c r="G5905" t="s">
        <v>26</v>
      </c>
      <c r="H5905" t="s">
        <v>96</v>
      </c>
      <c r="I5905" t="s">
        <v>28</v>
      </c>
      <c r="J5905">
        <v>22.4</v>
      </c>
      <c r="K5905">
        <v>0.1</v>
      </c>
      <c r="L5905">
        <v>0.57999999999999996</v>
      </c>
      <c r="M5905">
        <v>3.92</v>
      </c>
      <c r="N5905">
        <v>-23.94</v>
      </c>
      <c r="O5905" s="1" t="s">
        <v>40</v>
      </c>
      <c r="P5905" s="1" t="s">
        <v>9499</v>
      </c>
      <c r="Q5905" s="1" t="s">
        <v>9500</v>
      </c>
      <c r="R5905" s="1" t="s">
        <v>220</v>
      </c>
      <c r="S5905" s="1" t="s">
        <v>9501</v>
      </c>
      <c r="T5905" s="1" t="s">
        <v>9502</v>
      </c>
      <c r="U5905" s="2" t="s">
        <v>6368</v>
      </c>
      <c r="V5905" s="2" t="s">
        <v>47</v>
      </c>
      <c r="W5905" s="2" t="s">
        <v>104</v>
      </c>
      <c r="X5905" s="2">
        <v>7.7350000000000003</v>
      </c>
    </row>
    <row r="5906" spans="1:24" x14ac:dyDescent="0.3">
      <c r="A5906">
        <v>23728</v>
      </c>
      <c r="B5906" t="s">
        <v>12303</v>
      </c>
      <c r="C5906" s="3">
        <v>41369</v>
      </c>
      <c r="D5906" t="s">
        <v>62</v>
      </c>
      <c r="E5906">
        <v>6</v>
      </c>
      <c r="F5906" s="3">
        <f ca="1">41371+(RANDBETWEEN(1,10))</f>
        <v>41374</v>
      </c>
      <c r="G5906" t="s">
        <v>26</v>
      </c>
      <c r="H5906" t="s">
        <v>27</v>
      </c>
      <c r="I5906" t="s">
        <v>97</v>
      </c>
      <c r="J5906">
        <v>236.25</v>
      </c>
      <c r="K5906">
        <v>0.05</v>
      </c>
      <c r="L5906">
        <v>0.35</v>
      </c>
      <c r="M5906">
        <v>20.02</v>
      </c>
      <c r="N5906">
        <v>37.799999999999997</v>
      </c>
      <c r="O5906" s="1" t="s">
        <v>40</v>
      </c>
      <c r="P5906" s="1" t="s">
        <v>5303</v>
      </c>
      <c r="Q5906" s="1" t="s">
        <v>5304</v>
      </c>
      <c r="R5906" s="1" t="s">
        <v>43</v>
      </c>
      <c r="S5906" s="1" t="s">
        <v>5305</v>
      </c>
      <c r="T5906" s="1" t="s">
        <v>4392</v>
      </c>
      <c r="U5906" s="2" t="s">
        <v>2886</v>
      </c>
      <c r="V5906" s="2" t="s">
        <v>47</v>
      </c>
      <c r="W5906" s="2" t="s">
        <v>48</v>
      </c>
      <c r="X5906" s="2">
        <v>40.53</v>
      </c>
    </row>
    <row r="5907" spans="1:24" x14ac:dyDescent="0.3">
      <c r="A5907">
        <v>23729</v>
      </c>
      <c r="B5907" t="s">
        <v>12304</v>
      </c>
      <c r="C5907" s="3">
        <v>40772</v>
      </c>
      <c r="D5907" t="s">
        <v>39</v>
      </c>
      <c r="E5907">
        <v>21</v>
      </c>
      <c r="F5907" s="3">
        <f ca="1">40773+(RANDBETWEEN(1,10))</f>
        <v>40783</v>
      </c>
      <c r="G5907" t="s">
        <v>26</v>
      </c>
      <c r="H5907" t="s">
        <v>27</v>
      </c>
      <c r="I5907" t="s">
        <v>28</v>
      </c>
      <c r="J5907">
        <v>3099.7750000000001</v>
      </c>
      <c r="K5907">
        <v>0.03</v>
      </c>
      <c r="L5907">
        <v>0.36</v>
      </c>
      <c r="M5907">
        <v>69.965000000000003</v>
      </c>
      <c r="N5907">
        <v>1383.578</v>
      </c>
      <c r="O5907" s="1" t="s">
        <v>87</v>
      </c>
      <c r="P5907" s="1" t="s">
        <v>9859</v>
      </c>
      <c r="Q5907" s="1" t="s">
        <v>9860</v>
      </c>
      <c r="R5907" s="1" t="s">
        <v>398</v>
      </c>
      <c r="S5907" s="1" t="s">
        <v>9861</v>
      </c>
      <c r="T5907" s="1" t="s">
        <v>9862</v>
      </c>
      <c r="U5907" s="2" t="s">
        <v>1784</v>
      </c>
      <c r="V5907" s="2" t="s">
        <v>47</v>
      </c>
      <c r="W5907" s="2" t="s">
        <v>74</v>
      </c>
      <c r="X5907" s="2">
        <v>143.465</v>
      </c>
    </row>
    <row r="5908" spans="1:24" x14ac:dyDescent="0.3">
      <c r="A5908">
        <v>23730</v>
      </c>
      <c r="B5908" t="s">
        <v>12305</v>
      </c>
      <c r="C5908" s="3">
        <v>41941</v>
      </c>
      <c r="D5908" t="s">
        <v>25</v>
      </c>
      <c r="E5908">
        <v>8</v>
      </c>
      <c r="F5908" s="3">
        <f ca="1">41943+(RANDBETWEEN(1,10))</f>
        <v>41946</v>
      </c>
      <c r="G5908" t="s">
        <v>76</v>
      </c>
      <c r="H5908" t="s">
        <v>258</v>
      </c>
      <c r="I5908" t="s">
        <v>52</v>
      </c>
      <c r="J5908">
        <v>2831.36</v>
      </c>
      <c r="K5908">
        <v>0.04</v>
      </c>
      <c r="L5908">
        <v>0.62</v>
      </c>
      <c r="M5908">
        <v>125.44</v>
      </c>
      <c r="N5908">
        <v>-557.23500000000001</v>
      </c>
      <c r="O5908" s="1" t="s">
        <v>40</v>
      </c>
      <c r="P5908" s="1" t="s">
        <v>12247</v>
      </c>
      <c r="Q5908" s="1" t="s">
        <v>12248</v>
      </c>
      <c r="R5908" s="1" t="s">
        <v>220</v>
      </c>
      <c r="S5908" s="1" t="s">
        <v>7326</v>
      </c>
      <c r="T5908" s="1" t="s">
        <v>7327</v>
      </c>
      <c r="U5908" s="2" t="s">
        <v>1271</v>
      </c>
      <c r="V5908" s="2" t="s">
        <v>83</v>
      </c>
      <c r="W5908" s="2" t="s">
        <v>298</v>
      </c>
      <c r="X5908" s="2">
        <v>353.43</v>
      </c>
    </row>
    <row r="5909" spans="1:24" x14ac:dyDescent="0.3">
      <c r="A5909">
        <v>23731</v>
      </c>
      <c r="B5909" t="s">
        <v>12306</v>
      </c>
      <c r="C5909" s="3">
        <v>41687</v>
      </c>
      <c r="D5909" t="s">
        <v>25</v>
      </c>
      <c r="E5909">
        <v>4</v>
      </c>
      <c r="F5909" s="3">
        <f ca="1">41692+(RANDBETWEEN(1,10))</f>
        <v>41698</v>
      </c>
      <c r="G5909" t="s">
        <v>26</v>
      </c>
      <c r="H5909" t="s">
        <v>27</v>
      </c>
      <c r="I5909" t="s">
        <v>97</v>
      </c>
      <c r="J5909">
        <v>157.5</v>
      </c>
      <c r="K5909">
        <v>0.02</v>
      </c>
      <c r="L5909">
        <v>0.35</v>
      </c>
      <c r="M5909">
        <v>4.8650000000000002</v>
      </c>
      <c r="N5909">
        <v>108.675</v>
      </c>
      <c r="O5909" s="1" t="s">
        <v>29</v>
      </c>
      <c r="P5909" s="1" t="s">
        <v>9529</v>
      </c>
      <c r="Q5909" s="1" t="s">
        <v>9530</v>
      </c>
      <c r="R5909" s="1" t="s">
        <v>32</v>
      </c>
      <c r="S5909" s="1" t="s">
        <v>1928</v>
      </c>
      <c r="T5909" s="1" t="s">
        <v>1929</v>
      </c>
      <c r="U5909" s="2" t="s">
        <v>9325</v>
      </c>
      <c r="V5909" s="2" t="s">
        <v>47</v>
      </c>
      <c r="W5909" s="2" t="s">
        <v>48</v>
      </c>
      <c r="X5909" s="2">
        <v>38.29</v>
      </c>
    </row>
    <row r="5910" spans="1:24" x14ac:dyDescent="0.3">
      <c r="A5910">
        <v>23732</v>
      </c>
      <c r="B5910" t="s">
        <v>12307</v>
      </c>
      <c r="C5910" s="3">
        <v>41027</v>
      </c>
      <c r="D5910" t="s">
        <v>25</v>
      </c>
      <c r="E5910">
        <v>11</v>
      </c>
      <c r="F5910" s="3">
        <f ca="1">41034+(RANDBETWEEN(1,10))</f>
        <v>41037</v>
      </c>
      <c r="G5910" t="s">
        <v>26</v>
      </c>
      <c r="H5910" t="s">
        <v>27</v>
      </c>
      <c r="I5910" t="s">
        <v>97</v>
      </c>
      <c r="J5910">
        <v>2523.64</v>
      </c>
      <c r="K5910">
        <v>7.0000000000000007E-2</v>
      </c>
      <c r="L5910">
        <v>0.4</v>
      </c>
      <c r="M5910">
        <v>69.965000000000003</v>
      </c>
      <c r="N5910">
        <v>1741.3116</v>
      </c>
      <c r="O5910" s="1" t="s">
        <v>64</v>
      </c>
      <c r="P5910" s="1" t="s">
        <v>5730</v>
      </c>
      <c r="Q5910" s="1" t="s">
        <v>5731</v>
      </c>
      <c r="R5910" s="1" t="s">
        <v>67</v>
      </c>
      <c r="S5910" s="1" t="s">
        <v>5732</v>
      </c>
      <c r="T5910" s="1" t="s">
        <v>5733</v>
      </c>
      <c r="U5910" s="2" t="s">
        <v>2385</v>
      </c>
      <c r="V5910" s="2" t="s">
        <v>47</v>
      </c>
      <c r="W5910" s="2" t="s">
        <v>111</v>
      </c>
      <c r="X5910" s="2">
        <v>235.48</v>
      </c>
    </row>
    <row r="5911" spans="1:24" x14ac:dyDescent="0.3">
      <c r="A5911">
        <v>23733</v>
      </c>
      <c r="B5911" t="s">
        <v>12308</v>
      </c>
      <c r="C5911" s="3">
        <v>41646</v>
      </c>
      <c r="D5911" t="s">
        <v>25</v>
      </c>
      <c r="E5911">
        <v>2</v>
      </c>
      <c r="F5911" s="3">
        <f ca="1">41651+(RANDBETWEEN(1,10))</f>
        <v>41654</v>
      </c>
      <c r="G5911" t="s">
        <v>26</v>
      </c>
      <c r="H5911" t="s">
        <v>96</v>
      </c>
      <c r="I5911" t="s">
        <v>28</v>
      </c>
      <c r="J5911">
        <v>13.51</v>
      </c>
      <c r="K5911">
        <v>0.01</v>
      </c>
      <c r="L5911">
        <v>0.56000000000000005</v>
      </c>
      <c r="M5911">
        <v>2.4500000000000002</v>
      </c>
      <c r="N5911">
        <v>-8.9404000000000003</v>
      </c>
      <c r="O5911" s="1" t="s">
        <v>87</v>
      </c>
      <c r="P5911" s="1" t="s">
        <v>12309</v>
      </c>
      <c r="Q5911" s="1" t="s">
        <v>12310</v>
      </c>
      <c r="R5911" s="1" t="s">
        <v>398</v>
      </c>
      <c r="S5911" s="1" t="s">
        <v>581</v>
      </c>
      <c r="T5911" s="1" t="s">
        <v>582</v>
      </c>
      <c r="U5911" s="2" t="s">
        <v>384</v>
      </c>
      <c r="V5911" s="2" t="s">
        <v>47</v>
      </c>
      <c r="W5911" s="2" t="s">
        <v>104</v>
      </c>
      <c r="X5911" s="2">
        <v>6.16</v>
      </c>
    </row>
    <row r="5912" spans="1:24" x14ac:dyDescent="0.3">
      <c r="A5912">
        <v>23734</v>
      </c>
      <c r="B5912" t="s">
        <v>12311</v>
      </c>
      <c r="C5912" s="3">
        <v>41660</v>
      </c>
      <c r="D5912" t="s">
        <v>148</v>
      </c>
      <c r="E5912">
        <v>11</v>
      </c>
      <c r="F5912" s="3">
        <f ca="1">41661+(RANDBETWEEN(1,10))</f>
        <v>41668</v>
      </c>
      <c r="G5912" t="s">
        <v>156</v>
      </c>
      <c r="H5912" t="s">
        <v>27</v>
      </c>
      <c r="I5912" t="s">
        <v>97</v>
      </c>
      <c r="J5912">
        <v>106.89</v>
      </c>
      <c r="K5912">
        <v>0.08</v>
      </c>
      <c r="L5912">
        <v>0.39</v>
      </c>
      <c r="M5912">
        <v>1.75</v>
      </c>
      <c r="N5912">
        <v>-3.0428999999999999</v>
      </c>
      <c r="O5912" s="1" t="s">
        <v>225</v>
      </c>
      <c r="P5912" s="1" t="s">
        <v>10943</v>
      </c>
      <c r="Q5912" s="1" t="s">
        <v>10944</v>
      </c>
      <c r="R5912" s="1" t="s">
        <v>228</v>
      </c>
      <c r="S5912" s="1" t="s">
        <v>1949</v>
      </c>
      <c r="T5912" s="1" t="s">
        <v>1950</v>
      </c>
      <c r="U5912" s="2" t="s">
        <v>1726</v>
      </c>
      <c r="V5912" s="2" t="s">
        <v>47</v>
      </c>
      <c r="W5912" s="2" t="s">
        <v>203</v>
      </c>
      <c r="X5912" s="2">
        <v>9.1349999999999998</v>
      </c>
    </row>
    <row r="5913" spans="1:24" x14ac:dyDescent="0.3">
      <c r="A5913">
        <v>23735</v>
      </c>
      <c r="B5913" t="s">
        <v>12312</v>
      </c>
      <c r="C5913" s="3">
        <v>40705</v>
      </c>
      <c r="D5913" t="s">
        <v>39</v>
      </c>
      <c r="E5913">
        <v>10</v>
      </c>
      <c r="F5913" s="3">
        <f ca="1">40707+(RANDBETWEEN(1,10))</f>
        <v>40709</v>
      </c>
      <c r="G5913" t="s">
        <v>26</v>
      </c>
      <c r="H5913" t="s">
        <v>27</v>
      </c>
      <c r="I5913" t="s">
        <v>86</v>
      </c>
      <c r="J5913">
        <v>2012.7449999999999</v>
      </c>
      <c r="K5913">
        <v>0</v>
      </c>
      <c r="L5913">
        <v>0.56000000000000005</v>
      </c>
      <c r="M5913">
        <v>31.465</v>
      </c>
      <c r="N5913">
        <v>886.56119999999999</v>
      </c>
      <c r="O5913" s="1" t="s">
        <v>40</v>
      </c>
      <c r="P5913" s="1" t="s">
        <v>12313</v>
      </c>
      <c r="Q5913" s="1" t="s">
        <v>12314</v>
      </c>
      <c r="R5913" s="1" t="s">
        <v>43</v>
      </c>
      <c r="S5913" s="1" t="s">
        <v>12315</v>
      </c>
      <c r="T5913" s="1" t="s">
        <v>12316</v>
      </c>
      <c r="U5913" s="2">
        <v>5180</v>
      </c>
      <c r="V5913" s="2" t="s">
        <v>36</v>
      </c>
      <c r="W5913" s="2" t="s">
        <v>37</v>
      </c>
      <c r="X5913" s="2">
        <v>230.965</v>
      </c>
    </row>
    <row r="5914" spans="1:24" x14ac:dyDescent="0.3">
      <c r="A5914">
        <v>23736</v>
      </c>
      <c r="B5914" t="s">
        <v>12317</v>
      </c>
      <c r="C5914" s="3">
        <v>40828</v>
      </c>
      <c r="D5914" t="s">
        <v>50</v>
      </c>
      <c r="E5914">
        <v>7</v>
      </c>
      <c r="F5914" s="3">
        <f ca="1">40829+(RANDBETWEEN(1,10))</f>
        <v>40834</v>
      </c>
      <c r="G5914" t="s">
        <v>26</v>
      </c>
      <c r="H5914" t="s">
        <v>96</v>
      </c>
      <c r="I5914" t="s">
        <v>28</v>
      </c>
      <c r="J5914">
        <v>169.12</v>
      </c>
      <c r="K5914">
        <v>0.03</v>
      </c>
      <c r="L5914">
        <v>0.48</v>
      </c>
      <c r="M5914">
        <v>5.25</v>
      </c>
      <c r="N5914">
        <v>-2020.5640000000001</v>
      </c>
      <c r="O5914" s="1" t="s">
        <v>87</v>
      </c>
      <c r="P5914" s="1" t="s">
        <v>6396</v>
      </c>
      <c r="Q5914" s="1" t="s">
        <v>6397</v>
      </c>
      <c r="R5914" s="1" t="s">
        <v>497</v>
      </c>
      <c r="S5914" s="1" t="s">
        <v>6398</v>
      </c>
      <c r="T5914" s="1" t="s">
        <v>6399</v>
      </c>
      <c r="U5914" s="2" t="s">
        <v>2494</v>
      </c>
      <c r="V5914" s="2" t="s">
        <v>47</v>
      </c>
      <c r="W5914" s="2" t="s">
        <v>104</v>
      </c>
      <c r="X5914" s="2">
        <v>23.38</v>
      </c>
    </row>
    <row r="5915" spans="1:24" x14ac:dyDescent="0.3">
      <c r="A5915">
        <v>23737</v>
      </c>
      <c r="B5915" t="s">
        <v>12318</v>
      </c>
      <c r="C5915" s="3">
        <v>41380</v>
      </c>
      <c r="D5915" t="s">
        <v>25</v>
      </c>
      <c r="E5915">
        <v>5</v>
      </c>
      <c r="F5915" s="3">
        <f ca="1">41385+(RANDBETWEEN(1,10))</f>
        <v>41394</v>
      </c>
      <c r="G5915" t="s">
        <v>26</v>
      </c>
      <c r="H5915" t="s">
        <v>281</v>
      </c>
      <c r="I5915" t="s">
        <v>97</v>
      </c>
      <c r="J5915">
        <v>200.51499999999999</v>
      </c>
      <c r="K5915">
        <v>0.09</v>
      </c>
      <c r="L5915">
        <v>0.42</v>
      </c>
      <c r="M5915">
        <v>21.42</v>
      </c>
      <c r="N5915">
        <v>-40.81</v>
      </c>
      <c r="O5915" s="1" t="s">
        <v>64</v>
      </c>
      <c r="P5915" s="1" t="s">
        <v>7403</v>
      </c>
      <c r="Q5915" s="1" t="s">
        <v>7404</v>
      </c>
      <c r="R5915" s="1" t="s">
        <v>67</v>
      </c>
      <c r="S5915" s="1" t="s">
        <v>7405</v>
      </c>
      <c r="T5915" s="1" t="s">
        <v>7406</v>
      </c>
      <c r="U5915" s="2" t="s">
        <v>3147</v>
      </c>
      <c r="V5915" s="2" t="s">
        <v>47</v>
      </c>
      <c r="W5915" s="2" t="s">
        <v>71</v>
      </c>
      <c r="X5915" s="2">
        <v>39.655000000000001</v>
      </c>
    </row>
    <row r="5916" spans="1:24" x14ac:dyDescent="0.3">
      <c r="A5916">
        <v>23738</v>
      </c>
      <c r="B5916" t="s">
        <v>12319</v>
      </c>
      <c r="C5916" s="3">
        <v>41683</v>
      </c>
      <c r="D5916" t="s">
        <v>62</v>
      </c>
      <c r="E5916">
        <v>4</v>
      </c>
      <c r="F5916" s="3">
        <f ca="1">41684+(RANDBETWEEN(1,10))</f>
        <v>41687</v>
      </c>
      <c r="G5916" t="s">
        <v>26</v>
      </c>
      <c r="H5916" t="s">
        <v>96</v>
      </c>
      <c r="I5916" t="s">
        <v>52</v>
      </c>
      <c r="J5916">
        <v>119.735</v>
      </c>
      <c r="K5916">
        <v>0</v>
      </c>
      <c r="L5916">
        <v>0.4</v>
      </c>
      <c r="M5916">
        <v>9.8699999999999992</v>
      </c>
      <c r="N5916">
        <v>-1813.1959999999999</v>
      </c>
      <c r="O5916" s="1" t="s">
        <v>53</v>
      </c>
      <c r="P5916" s="1" t="s">
        <v>9207</v>
      </c>
      <c r="Q5916" s="1" t="s">
        <v>9208</v>
      </c>
      <c r="R5916" s="1" t="s">
        <v>100</v>
      </c>
      <c r="S5916" s="1" t="s">
        <v>9209</v>
      </c>
      <c r="T5916" s="1" t="s">
        <v>9210</v>
      </c>
      <c r="U5916" s="2" t="s">
        <v>8331</v>
      </c>
      <c r="V5916" s="2" t="s">
        <v>47</v>
      </c>
      <c r="W5916" s="2" t="s">
        <v>176</v>
      </c>
      <c r="X5916" s="2">
        <v>27.614999999999998</v>
      </c>
    </row>
    <row r="5917" spans="1:24" x14ac:dyDescent="0.3">
      <c r="A5917">
        <v>23739</v>
      </c>
      <c r="B5917" t="s">
        <v>12320</v>
      </c>
      <c r="C5917" s="3">
        <v>41960</v>
      </c>
      <c r="D5917" t="s">
        <v>25</v>
      </c>
      <c r="E5917">
        <v>21</v>
      </c>
      <c r="F5917" s="3">
        <f ca="1">41965+(RANDBETWEEN(1,10))</f>
        <v>41968</v>
      </c>
      <c r="G5917" t="s">
        <v>26</v>
      </c>
      <c r="H5917" t="s">
        <v>27</v>
      </c>
      <c r="I5917" t="s">
        <v>28</v>
      </c>
      <c r="J5917">
        <v>893.58500000000004</v>
      </c>
      <c r="K5917">
        <v>7.0000000000000007E-2</v>
      </c>
      <c r="L5917">
        <v>0.43</v>
      </c>
      <c r="M5917">
        <v>18.059999999999999</v>
      </c>
      <c r="N5917">
        <v>5638.8990000000003</v>
      </c>
      <c r="O5917" s="1" t="s">
        <v>87</v>
      </c>
      <c r="P5917" s="1" t="s">
        <v>12321</v>
      </c>
      <c r="Q5917" s="1" t="s">
        <v>12322</v>
      </c>
      <c r="R5917" s="1" t="s">
        <v>398</v>
      </c>
      <c r="S5917" s="1" t="s">
        <v>12323</v>
      </c>
      <c r="T5917" s="1" t="s">
        <v>12324</v>
      </c>
      <c r="U5917" s="2" t="s">
        <v>2445</v>
      </c>
      <c r="V5917" s="2" t="s">
        <v>83</v>
      </c>
      <c r="W5917" s="2" t="s">
        <v>178</v>
      </c>
      <c r="X5917" s="2">
        <v>44.03</v>
      </c>
    </row>
    <row r="5918" spans="1:24" x14ac:dyDescent="0.3">
      <c r="A5918">
        <v>2374</v>
      </c>
      <c r="B5918" t="s">
        <v>12325</v>
      </c>
      <c r="C5918" s="3">
        <v>41786</v>
      </c>
      <c r="D5918" t="s">
        <v>148</v>
      </c>
      <c r="E5918">
        <v>9</v>
      </c>
      <c r="F5918" s="3">
        <f ca="1">41787+(RANDBETWEEN(1,10))</f>
        <v>41791</v>
      </c>
      <c r="G5918" t="s">
        <v>76</v>
      </c>
      <c r="H5918" t="s">
        <v>77</v>
      </c>
      <c r="I5918" t="s">
        <v>86</v>
      </c>
      <c r="J5918">
        <v>10062.709999999999</v>
      </c>
      <c r="K5918">
        <v>0.05</v>
      </c>
      <c r="L5918">
        <v>0.56999999999999995</v>
      </c>
      <c r="M5918">
        <v>206.32499999999999</v>
      </c>
      <c r="N5918">
        <v>-347.06</v>
      </c>
      <c r="O5918" s="1" t="s">
        <v>64</v>
      </c>
      <c r="P5918" s="1" t="s">
        <v>173</v>
      </c>
      <c r="Q5918" s="1" t="s">
        <v>174</v>
      </c>
      <c r="R5918" s="1" t="s">
        <v>67</v>
      </c>
      <c r="S5918" s="1" t="s">
        <v>108</v>
      </c>
      <c r="T5918" s="1" t="s">
        <v>109</v>
      </c>
      <c r="U5918" s="2" t="s">
        <v>850</v>
      </c>
      <c r="V5918" s="2" t="s">
        <v>83</v>
      </c>
      <c r="W5918" s="2" t="s">
        <v>84</v>
      </c>
      <c r="X5918" s="2">
        <v>1123.43</v>
      </c>
    </row>
    <row r="5919" spans="1:24" x14ac:dyDescent="0.3">
      <c r="A5919">
        <v>23740</v>
      </c>
      <c r="B5919" t="s">
        <v>12326</v>
      </c>
      <c r="C5919" s="3">
        <v>41977</v>
      </c>
      <c r="D5919" t="s">
        <v>50</v>
      </c>
      <c r="E5919">
        <v>21</v>
      </c>
      <c r="F5919" s="3">
        <f ca="1">41977+(RANDBETWEEN(1,10))</f>
        <v>41983</v>
      </c>
      <c r="G5919" t="s">
        <v>26</v>
      </c>
      <c r="H5919" t="s">
        <v>27</v>
      </c>
      <c r="I5919" t="s">
        <v>28</v>
      </c>
      <c r="J5919">
        <v>466.65499999999997</v>
      </c>
      <c r="K5919">
        <v>0.05</v>
      </c>
      <c r="L5919">
        <v>0.37</v>
      </c>
      <c r="M5919">
        <v>27.684999999999999</v>
      </c>
      <c r="N5919">
        <v>-206.10576</v>
      </c>
      <c r="O5919" s="1" t="s">
        <v>29</v>
      </c>
      <c r="P5919" s="1" t="s">
        <v>7436</v>
      </c>
      <c r="Q5919" s="1" t="s">
        <v>7437</v>
      </c>
      <c r="R5919" s="1" t="s">
        <v>675</v>
      </c>
      <c r="S5919" s="1" t="s">
        <v>7438</v>
      </c>
      <c r="T5919" s="1" t="s">
        <v>7439</v>
      </c>
      <c r="U5919" s="2" t="s">
        <v>387</v>
      </c>
      <c r="V5919" s="2" t="s">
        <v>47</v>
      </c>
      <c r="W5919" s="2" t="s">
        <v>74</v>
      </c>
      <c r="X5919" s="2">
        <v>22.68</v>
      </c>
    </row>
    <row r="5920" spans="1:24" x14ac:dyDescent="0.3">
      <c r="A5920">
        <v>23741</v>
      </c>
      <c r="B5920" t="s">
        <v>12327</v>
      </c>
      <c r="C5920" s="3">
        <v>41247</v>
      </c>
      <c r="D5920" t="s">
        <v>50</v>
      </c>
      <c r="E5920">
        <v>8</v>
      </c>
      <c r="F5920" s="3">
        <f ca="1">41249+(RANDBETWEEN(1,10))</f>
        <v>41251</v>
      </c>
      <c r="G5920" t="s">
        <v>26</v>
      </c>
      <c r="H5920" t="s">
        <v>27</v>
      </c>
      <c r="I5920" t="s">
        <v>28</v>
      </c>
      <c r="J5920">
        <v>157.63999999999999</v>
      </c>
      <c r="K5920">
        <v>0.06</v>
      </c>
      <c r="L5920">
        <v>0.38</v>
      </c>
      <c r="M5920">
        <v>4.8650000000000002</v>
      </c>
      <c r="N5920">
        <v>108.77160000000001</v>
      </c>
      <c r="O5920" s="1" t="s">
        <v>40</v>
      </c>
      <c r="P5920" s="1" t="s">
        <v>12328</v>
      </c>
      <c r="Q5920" s="1" t="s">
        <v>12329</v>
      </c>
      <c r="R5920" s="1" t="s">
        <v>43</v>
      </c>
      <c r="S5920" s="1" t="s">
        <v>5075</v>
      </c>
      <c r="T5920" s="1" t="s">
        <v>5076</v>
      </c>
      <c r="U5920" s="2" t="s">
        <v>641</v>
      </c>
      <c r="V5920" s="2" t="s">
        <v>47</v>
      </c>
      <c r="W5920" s="2" t="s">
        <v>48</v>
      </c>
      <c r="X5920" s="2">
        <v>19.88</v>
      </c>
    </row>
    <row r="5921" spans="1:24" x14ac:dyDescent="0.3">
      <c r="A5921">
        <v>23742</v>
      </c>
      <c r="B5921" t="s">
        <v>12330</v>
      </c>
      <c r="C5921" s="3">
        <v>41821</v>
      </c>
      <c r="D5921" t="s">
        <v>50</v>
      </c>
      <c r="E5921">
        <v>7</v>
      </c>
      <c r="F5921" s="3">
        <f ca="1">41821+(RANDBETWEEN(1,10))</f>
        <v>41828</v>
      </c>
      <c r="G5921" t="s">
        <v>26</v>
      </c>
      <c r="H5921" t="s">
        <v>27</v>
      </c>
      <c r="I5921" t="s">
        <v>28</v>
      </c>
      <c r="J5921">
        <v>158.23500000000001</v>
      </c>
      <c r="K5921">
        <v>7.0000000000000007E-2</v>
      </c>
      <c r="L5921">
        <v>0.37</v>
      </c>
      <c r="M5921">
        <v>21.77</v>
      </c>
      <c r="N5921">
        <v>-179.23079999999999</v>
      </c>
      <c r="O5921" s="1" t="s">
        <v>87</v>
      </c>
      <c r="P5921" s="1" t="s">
        <v>12331</v>
      </c>
      <c r="Q5921" s="1" t="s">
        <v>12332</v>
      </c>
      <c r="R5921" s="1" t="s">
        <v>646</v>
      </c>
      <c r="S5921" s="1" t="s">
        <v>3194</v>
      </c>
      <c r="T5921" s="1" t="s">
        <v>3195</v>
      </c>
      <c r="U5921" s="2" t="s">
        <v>4158</v>
      </c>
      <c r="V5921" s="2" t="s">
        <v>47</v>
      </c>
      <c r="W5921" s="2" t="s">
        <v>74</v>
      </c>
      <c r="X5921" s="2">
        <v>22.68</v>
      </c>
    </row>
    <row r="5922" spans="1:24" x14ac:dyDescent="0.3">
      <c r="A5922">
        <v>23743</v>
      </c>
      <c r="B5922" t="s">
        <v>12333</v>
      </c>
      <c r="C5922" s="3">
        <v>41885</v>
      </c>
      <c r="D5922" t="s">
        <v>39</v>
      </c>
      <c r="E5922">
        <v>15</v>
      </c>
      <c r="F5922" s="3">
        <f ca="1">41886+(RANDBETWEEN(1,10))</f>
        <v>41887</v>
      </c>
      <c r="G5922" t="s">
        <v>76</v>
      </c>
      <c r="H5922" t="s">
        <v>77</v>
      </c>
      <c r="I5922" t="s">
        <v>52</v>
      </c>
      <c r="J5922">
        <v>6301.9250000000002</v>
      </c>
      <c r="K5922">
        <v>0.04</v>
      </c>
      <c r="L5922">
        <v>0.4</v>
      </c>
      <c r="M5922">
        <v>196.49</v>
      </c>
      <c r="N5922">
        <v>98.468999999999994</v>
      </c>
      <c r="O5922" s="1" t="s">
        <v>87</v>
      </c>
      <c r="P5922" s="1" t="s">
        <v>10931</v>
      </c>
      <c r="Q5922" s="1" t="s">
        <v>10932</v>
      </c>
      <c r="R5922" s="1" t="s">
        <v>90</v>
      </c>
      <c r="S5922" s="1" t="s">
        <v>700</v>
      </c>
      <c r="T5922" s="1" t="s">
        <v>701</v>
      </c>
      <c r="U5922" s="2" t="s">
        <v>898</v>
      </c>
      <c r="V5922" s="2" t="s">
        <v>36</v>
      </c>
      <c r="W5922" s="2" t="s">
        <v>142</v>
      </c>
      <c r="X5922" s="2">
        <v>405.96499999999997</v>
      </c>
    </row>
    <row r="5923" spans="1:24" x14ac:dyDescent="0.3">
      <c r="A5923">
        <v>23744</v>
      </c>
      <c r="B5923" t="s">
        <v>12334</v>
      </c>
      <c r="C5923" s="3">
        <v>41377</v>
      </c>
      <c r="D5923" t="s">
        <v>25</v>
      </c>
      <c r="E5923">
        <v>6</v>
      </c>
      <c r="F5923" s="3">
        <f ca="1">41382+(RANDBETWEEN(1,10))</f>
        <v>41387</v>
      </c>
      <c r="G5923" t="s">
        <v>26</v>
      </c>
      <c r="H5923" t="s">
        <v>27</v>
      </c>
      <c r="I5923" t="s">
        <v>86</v>
      </c>
      <c r="J5923">
        <v>79.239999999999995</v>
      </c>
      <c r="K5923">
        <v>0.08</v>
      </c>
      <c r="L5923">
        <v>0.38</v>
      </c>
      <c r="M5923">
        <v>5.2149999999999999</v>
      </c>
      <c r="N5923">
        <v>32.338250000000002</v>
      </c>
      <c r="O5923" s="1" t="s">
        <v>40</v>
      </c>
      <c r="P5923" s="1" t="s">
        <v>10625</v>
      </c>
      <c r="Q5923" s="1" t="s">
        <v>10626</v>
      </c>
      <c r="R5923" s="1" t="s">
        <v>43</v>
      </c>
      <c r="S5923" s="1" t="s">
        <v>5013</v>
      </c>
      <c r="T5923" s="1" t="s">
        <v>5014</v>
      </c>
      <c r="U5923" s="2" t="s">
        <v>1763</v>
      </c>
      <c r="V5923" s="2" t="s">
        <v>47</v>
      </c>
      <c r="W5923" s="2" t="s">
        <v>111</v>
      </c>
      <c r="X5923" s="2">
        <v>13.3</v>
      </c>
    </row>
    <row r="5924" spans="1:24" x14ac:dyDescent="0.3">
      <c r="A5924">
        <v>23745</v>
      </c>
      <c r="B5924" t="s">
        <v>12334</v>
      </c>
      <c r="C5924" s="3">
        <v>41377</v>
      </c>
      <c r="D5924" t="s">
        <v>25</v>
      </c>
      <c r="E5924">
        <v>10</v>
      </c>
      <c r="F5924" s="3">
        <f ca="1">41379+(RANDBETWEEN(1,10))</f>
        <v>41385</v>
      </c>
      <c r="G5924" t="s">
        <v>76</v>
      </c>
      <c r="H5924" t="s">
        <v>77</v>
      </c>
      <c r="I5924" t="s">
        <v>86</v>
      </c>
      <c r="J5924">
        <v>10278.799999999999</v>
      </c>
      <c r="K5924">
        <v>0.04</v>
      </c>
      <c r="L5924">
        <v>0.56000000000000005</v>
      </c>
      <c r="M5924">
        <v>226.55500000000001</v>
      </c>
      <c r="N5924">
        <v>5292.2449999999999</v>
      </c>
      <c r="O5924" s="1" t="s">
        <v>40</v>
      </c>
      <c r="P5924" s="1" t="s">
        <v>10625</v>
      </c>
      <c r="Q5924" s="1" t="s">
        <v>10626</v>
      </c>
      <c r="R5924" s="1" t="s">
        <v>43</v>
      </c>
      <c r="S5924" s="1" t="s">
        <v>5013</v>
      </c>
      <c r="T5924" s="1" t="s">
        <v>5014</v>
      </c>
      <c r="U5924" s="2" t="s">
        <v>3031</v>
      </c>
      <c r="V5924" s="2" t="s">
        <v>83</v>
      </c>
      <c r="W5924" s="2" t="s">
        <v>84</v>
      </c>
      <c r="X5924" s="2">
        <v>1053.43</v>
      </c>
    </row>
    <row r="5925" spans="1:24" x14ac:dyDescent="0.3">
      <c r="A5925">
        <v>23746</v>
      </c>
      <c r="B5925" t="s">
        <v>12335</v>
      </c>
      <c r="C5925" s="3">
        <v>41710</v>
      </c>
      <c r="D5925" t="s">
        <v>148</v>
      </c>
      <c r="E5925">
        <v>9</v>
      </c>
      <c r="F5925" s="3">
        <f ca="1">41712+(RANDBETWEEN(1,10))</f>
        <v>41715</v>
      </c>
      <c r="G5925" t="s">
        <v>76</v>
      </c>
      <c r="H5925" t="s">
        <v>77</v>
      </c>
      <c r="I5925" t="s">
        <v>52</v>
      </c>
      <c r="J5925">
        <v>3739.5749999999998</v>
      </c>
      <c r="K5925">
        <v>0.06</v>
      </c>
      <c r="L5925">
        <v>0.74</v>
      </c>
      <c r="M5925">
        <v>245.7</v>
      </c>
      <c r="N5925">
        <v>-6215.4049999999997</v>
      </c>
      <c r="O5925" s="1" t="s">
        <v>53</v>
      </c>
      <c r="P5925" s="1" t="s">
        <v>613</v>
      </c>
      <c r="Q5925" s="1" t="s">
        <v>614</v>
      </c>
      <c r="R5925" s="1" t="s">
        <v>56</v>
      </c>
      <c r="S5925" s="1" t="s">
        <v>615</v>
      </c>
      <c r="T5925" s="1" t="s">
        <v>616</v>
      </c>
      <c r="U5925" s="2" t="s">
        <v>358</v>
      </c>
      <c r="V5925" s="2" t="s">
        <v>83</v>
      </c>
      <c r="W5925" s="2" t="s">
        <v>84</v>
      </c>
      <c r="X5925" s="2">
        <v>430.46499999999997</v>
      </c>
    </row>
    <row r="5926" spans="1:24" x14ac:dyDescent="0.3">
      <c r="A5926">
        <v>23747</v>
      </c>
      <c r="B5926" t="s">
        <v>12336</v>
      </c>
      <c r="C5926" s="3">
        <v>41523</v>
      </c>
      <c r="D5926" t="s">
        <v>62</v>
      </c>
      <c r="E5926">
        <v>4</v>
      </c>
      <c r="F5926" s="3">
        <f ca="1">41524+(RANDBETWEEN(1,10))</f>
        <v>41529</v>
      </c>
      <c r="G5926" t="s">
        <v>26</v>
      </c>
      <c r="H5926" t="s">
        <v>27</v>
      </c>
      <c r="I5926" t="s">
        <v>86</v>
      </c>
      <c r="J5926">
        <v>92.995000000000005</v>
      </c>
      <c r="K5926">
        <v>0</v>
      </c>
      <c r="L5926">
        <v>0.37</v>
      </c>
      <c r="M5926">
        <v>27.23</v>
      </c>
      <c r="N5926">
        <v>-144.417</v>
      </c>
      <c r="O5926" s="1" t="s">
        <v>64</v>
      </c>
      <c r="P5926" s="1" t="s">
        <v>10946</v>
      </c>
      <c r="Q5926" s="1" t="s">
        <v>10947</v>
      </c>
      <c r="R5926" s="1" t="s">
        <v>67</v>
      </c>
      <c r="S5926" s="1" t="s">
        <v>10948</v>
      </c>
      <c r="T5926" s="1" t="s">
        <v>10949</v>
      </c>
      <c r="U5926" s="2" t="s">
        <v>599</v>
      </c>
      <c r="V5926" s="2" t="s">
        <v>47</v>
      </c>
      <c r="W5926" s="2" t="s">
        <v>111</v>
      </c>
      <c r="X5926" s="2">
        <v>18.899999999999999</v>
      </c>
    </row>
    <row r="5927" spans="1:24" x14ac:dyDescent="0.3">
      <c r="A5927">
        <v>23748</v>
      </c>
      <c r="B5927" t="s">
        <v>12337</v>
      </c>
      <c r="C5927" s="3">
        <v>41727</v>
      </c>
      <c r="D5927" t="s">
        <v>39</v>
      </c>
      <c r="E5927">
        <v>6</v>
      </c>
      <c r="F5927" s="3">
        <f ca="1">41728+(RANDBETWEEN(1,10))</f>
        <v>41737</v>
      </c>
      <c r="G5927" t="s">
        <v>26</v>
      </c>
      <c r="H5927" t="s">
        <v>51</v>
      </c>
      <c r="I5927" t="s">
        <v>86</v>
      </c>
      <c r="J5927">
        <v>426.89499999999998</v>
      </c>
      <c r="K5927">
        <v>0.03</v>
      </c>
      <c r="L5927">
        <v>0.49</v>
      </c>
      <c r="M5927">
        <v>23.344999999999999</v>
      </c>
      <c r="N5927">
        <v>104.349</v>
      </c>
      <c r="O5927" s="1" t="s">
        <v>29</v>
      </c>
      <c r="P5927" s="1" t="s">
        <v>9002</v>
      </c>
      <c r="Q5927" s="1" t="s">
        <v>9003</v>
      </c>
      <c r="R5927" s="1" t="s">
        <v>32</v>
      </c>
      <c r="S5927" s="1" t="s">
        <v>1166</v>
      </c>
      <c r="T5927" s="1" t="s">
        <v>1167</v>
      </c>
      <c r="U5927" s="2" t="s">
        <v>2831</v>
      </c>
      <c r="V5927" s="2" t="s">
        <v>83</v>
      </c>
      <c r="W5927" s="2" t="s">
        <v>178</v>
      </c>
      <c r="X5927" s="2">
        <v>70.84</v>
      </c>
    </row>
    <row r="5928" spans="1:24" x14ac:dyDescent="0.3">
      <c r="A5928">
        <v>23749</v>
      </c>
      <c r="B5928" t="s">
        <v>12338</v>
      </c>
      <c r="C5928" s="3">
        <v>41835</v>
      </c>
      <c r="D5928" t="s">
        <v>25</v>
      </c>
      <c r="E5928">
        <v>17</v>
      </c>
      <c r="F5928" s="3">
        <f ca="1">41844+(RANDBETWEEN(1,10))</f>
        <v>41851</v>
      </c>
      <c r="G5928" t="s">
        <v>26</v>
      </c>
      <c r="H5928" t="s">
        <v>27</v>
      </c>
      <c r="I5928" t="s">
        <v>97</v>
      </c>
      <c r="J5928">
        <v>3332.105</v>
      </c>
      <c r="K5928">
        <v>0.04</v>
      </c>
      <c r="L5928">
        <v>0.56000000000000005</v>
      </c>
      <c r="M5928">
        <v>8.75</v>
      </c>
      <c r="N5928">
        <v>2299.15245</v>
      </c>
      <c r="O5928" s="1" t="s">
        <v>29</v>
      </c>
      <c r="P5928" s="1" t="s">
        <v>11831</v>
      </c>
      <c r="Q5928" s="1" t="s">
        <v>11832</v>
      </c>
      <c r="R5928" s="1" t="s">
        <v>32</v>
      </c>
      <c r="S5928" s="1" t="s">
        <v>11833</v>
      </c>
      <c r="T5928" s="1" t="s">
        <v>11834</v>
      </c>
      <c r="U5928" s="2" t="s">
        <v>7353</v>
      </c>
      <c r="V5928" s="2" t="s">
        <v>36</v>
      </c>
      <c r="W5928" s="2" t="s">
        <v>37</v>
      </c>
      <c r="X5928" s="2">
        <v>230.965</v>
      </c>
    </row>
    <row r="5929" spans="1:24" x14ac:dyDescent="0.3">
      <c r="A5929">
        <v>23750</v>
      </c>
      <c r="B5929" t="s">
        <v>12339</v>
      </c>
      <c r="C5929" s="3">
        <v>40871</v>
      </c>
      <c r="D5929" t="s">
        <v>39</v>
      </c>
      <c r="E5929">
        <v>22</v>
      </c>
      <c r="F5929" s="3">
        <f ca="1">40873+(RANDBETWEEN(1,10))</f>
        <v>40878</v>
      </c>
      <c r="G5929" t="s">
        <v>26</v>
      </c>
      <c r="H5929" t="s">
        <v>27</v>
      </c>
      <c r="I5929" t="s">
        <v>86</v>
      </c>
      <c r="J5929">
        <v>1165.6400000000001</v>
      </c>
      <c r="K5929">
        <v>0.06</v>
      </c>
      <c r="L5929">
        <v>0.39</v>
      </c>
      <c r="M5929">
        <v>29.4</v>
      </c>
      <c r="N5929">
        <v>5.6591500000000003</v>
      </c>
      <c r="O5929" s="1" t="s">
        <v>87</v>
      </c>
      <c r="P5929" s="1" t="s">
        <v>4608</v>
      </c>
      <c r="Q5929" s="1" t="s">
        <v>4609</v>
      </c>
      <c r="R5929" s="1" t="s">
        <v>497</v>
      </c>
      <c r="S5929" s="1" t="s">
        <v>4610</v>
      </c>
      <c r="T5929" s="1" t="s">
        <v>4611</v>
      </c>
      <c r="U5929" s="2" t="s">
        <v>110</v>
      </c>
      <c r="V5929" s="2" t="s">
        <v>47</v>
      </c>
      <c r="W5929" s="2" t="s">
        <v>111</v>
      </c>
      <c r="X5929" s="2">
        <v>52.534999999999997</v>
      </c>
    </row>
    <row r="5930" spans="1:24" x14ac:dyDescent="0.3">
      <c r="A5930">
        <v>23751</v>
      </c>
      <c r="B5930" t="s">
        <v>12339</v>
      </c>
      <c r="C5930" s="3">
        <v>40871</v>
      </c>
      <c r="D5930" t="s">
        <v>39</v>
      </c>
      <c r="E5930">
        <v>12</v>
      </c>
      <c r="F5930" s="3">
        <f ca="1">40873+(RANDBETWEEN(1,10))</f>
        <v>40881</v>
      </c>
      <c r="G5930" t="s">
        <v>26</v>
      </c>
      <c r="H5930" t="s">
        <v>27</v>
      </c>
      <c r="I5930" t="s">
        <v>86</v>
      </c>
      <c r="J5930">
        <v>1653.54</v>
      </c>
      <c r="K5930">
        <v>0.09</v>
      </c>
      <c r="L5930">
        <v>0.77</v>
      </c>
      <c r="M5930">
        <v>69.965000000000003</v>
      </c>
      <c r="N5930">
        <v>228.87899999999999</v>
      </c>
      <c r="O5930" s="1" t="s">
        <v>87</v>
      </c>
      <c r="P5930" s="1" t="s">
        <v>4608</v>
      </c>
      <c r="Q5930" s="1" t="s">
        <v>4609</v>
      </c>
      <c r="R5930" s="1" t="s">
        <v>497</v>
      </c>
      <c r="S5930" s="1" t="s">
        <v>4610</v>
      </c>
      <c r="T5930" s="1" t="s">
        <v>4611</v>
      </c>
      <c r="U5930" s="2" t="s">
        <v>171</v>
      </c>
      <c r="V5930" s="2" t="s">
        <v>36</v>
      </c>
      <c r="W5930" s="2" t="s">
        <v>60</v>
      </c>
      <c r="X5930" s="2">
        <v>141.68</v>
      </c>
    </row>
    <row r="5931" spans="1:24" x14ac:dyDescent="0.3">
      <c r="A5931">
        <v>23752</v>
      </c>
      <c r="B5931" t="s">
        <v>12339</v>
      </c>
      <c r="C5931" s="3">
        <v>40871</v>
      </c>
      <c r="D5931" t="s">
        <v>39</v>
      </c>
      <c r="E5931">
        <v>1</v>
      </c>
      <c r="F5931" s="3">
        <f ca="1">40872+(RANDBETWEEN(1,10))</f>
        <v>40874</v>
      </c>
      <c r="G5931" t="s">
        <v>26</v>
      </c>
      <c r="H5931" t="s">
        <v>27</v>
      </c>
      <c r="I5931" t="s">
        <v>86</v>
      </c>
      <c r="J5931">
        <v>65.555000000000007</v>
      </c>
      <c r="K5931">
        <v>0.05</v>
      </c>
      <c r="L5931">
        <v>0.56999999999999995</v>
      </c>
      <c r="M5931">
        <v>21.454999999999998</v>
      </c>
      <c r="N5931">
        <v>4.6760000000000002</v>
      </c>
      <c r="O5931" s="1" t="s">
        <v>87</v>
      </c>
      <c r="P5931" s="1" t="s">
        <v>4608</v>
      </c>
      <c r="Q5931" s="1" t="s">
        <v>4609</v>
      </c>
      <c r="R5931" s="1" t="s">
        <v>497</v>
      </c>
      <c r="S5931" s="1" t="s">
        <v>4610</v>
      </c>
      <c r="T5931" s="1" t="s">
        <v>4611</v>
      </c>
      <c r="U5931" s="2" t="s">
        <v>5922</v>
      </c>
      <c r="V5931" s="2" t="s">
        <v>47</v>
      </c>
      <c r="W5931" s="2" t="s">
        <v>119</v>
      </c>
      <c r="X5931" s="2">
        <v>42.98</v>
      </c>
    </row>
    <row r="5932" spans="1:24" x14ac:dyDescent="0.3">
      <c r="A5932">
        <v>23753</v>
      </c>
      <c r="B5932" t="s">
        <v>12340</v>
      </c>
      <c r="C5932" s="3">
        <v>41969</v>
      </c>
      <c r="D5932" t="s">
        <v>50</v>
      </c>
      <c r="E5932">
        <v>36</v>
      </c>
      <c r="F5932" s="3">
        <f ca="1">41972+(RANDBETWEEN(1,10))</f>
        <v>41980</v>
      </c>
      <c r="G5932" t="s">
        <v>26</v>
      </c>
      <c r="H5932" t="s">
        <v>27</v>
      </c>
      <c r="I5932" t="s">
        <v>52</v>
      </c>
      <c r="J5932">
        <v>1020.46</v>
      </c>
      <c r="K5932">
        <v>7.0000000000000007E-2</v>
      </c>
      <c r="L5932">
        <v>0.49</v>
      </c>
      <c r="M5932">
        <v>27.86</v>
      </c>
      <c r="N5932">
        <v>222.19568000000001</v>
      </c>
      <c r="O5932" s="1" t="s">
        <v>53</v>
      </c>
      <c r="P5932" s="1" t="s">
        <v>10285</v>
      </c>
      <c r="Q5932" s="1" t="s">
        <v>10286</v>
      </c>
      <c r="R5932" s="1" t="s">
        <v>100</v>
      </c>
      <c r="S5932" s="1" t="s">
        <v>2539</v>
      </c>
      <c r="T5932" s="1" t="s">
        <v>2540</v>
      </c>
      <c r="U5932" s="2" t="s">
        <v>3533</v>
      </c>
      <c r="V5932" s="2" t="s">
        <v>83</v>
      </c>
      <c r="W5932" s="2" t="s">
        <v>178</v>
      </c>
      <c r="X5932" s="2">
        <v>28.315000000000001</v>
      </c>
    </row>
    <row r="5933" spans="1:24" x14ac:dyDescent="0.3">
      <c r="A5933">
        <v>23754</v>
      </c>
      <c r="B5933" t="s">
        <v>12340</v>
      </c>
      <c r="C5933" s="3">
        <v>41969</v>
      </c>
      <c r="D5933" t="s">
        <v>50</v>
      </c>
      <c r="E5933">
        <v>9</v>
      </c>
      <c r="F5933" s="3">
        <f ca="1">41970+(RANDBETWEEN(1,10))</f>
        <v>41974</v>
      </c>
      <c r="G5933" t="s">
        <v>26</v>
      </c>
      <c r="H5933" t="s">
        <v>51</v>
      </c>
      <c r="I5933" t="s">
        <v>52</v>
      </c>
      <c r="J5933">
        <v>553.94500000000005</v>
      </c>
      <c r="K5933">
        <v>0.03</v>
      </c>
      <c r="L5933">
        <v>0.83</v>
      </c>
      <c r="M5933">
        <v>4.375</v>
      </c>
      <c r="N5933">
        <v>151.45099200000001</v>
      </c>
      <c r="O5933" s="1" t="s">
        <v>53</v>
      </c>
      <c r="P5933" s="1" t="s">
        <v>10285</v>
      </c>
      <c r="Q5933" s="1" t="s">
        <v>10286</v>
      </c>
      <c r="R5933" s="1" t="s">
        <v>100</v>
      </c>
      <c r="S5933" s="1" t="s">
        <v>2539</v>
      </c>
      <c r="T5933" s="1" t="s">
        <v>2540</v>
      </c>
      <c r="U5933" s="2" t="s">
        <v>3952</v>
      </c>
      <c r="V5933" s="2" t="s">
        <v>36</v>
      </c>
      <c r="W5933" s="2" t="s">
        <v>37</v>
      </c>
      <c r="X5933" s="2">
        <v>73.465000000000003</v>
      </c>
    </row>
    <row r="5934" spans="1:24" x14ac:dyDescent="0.3">
      <c r="A5934">
        <v>23755</v>
      </c>
      <c r="B5934" t="s">
        <v>12341</v>
      </c>
      <c r="C5934" s="3">
        <v>41729</v>
      </c>
      <c r="D5934" t="s">
        <v>148</v>
      </c>
      <c r="E5934">
        <v>6</v>
      </c>
      <c r="F5934" s="3">
        <f ca="1">41730+(RANDBETWEEN(1,10))</f>
        <v>41739</v>
      </c>
      <c r="G5934" t="s">
        <v>76</v>
      </c>
      <c r="H5934" t="s">
        <v>258</v>
      </c>
      <c r="I5934" t="s">
        <v>28</v>
      </c>
      <c r="J5934">
        <v>2494.4499999999998</v>
      </c>
      <c r="K5934">
        <v>0.04</v>
      </c>
      <c r="L5934">
        <v>0.39</v>
      </c>
      <c r="M5934">
        <v>196.49</v>
      </c>
      <c r="N5934">
        <v>-351.63659999999999</v>
      </c>
      <c r="O5934" s="1" t="s">
        <v>53</v>
      </c>
      <c r="P5934" s="1" t="s">
        <v>11858</v>
      </c>
      <c r="Q5934" s="1" t="s">
        <v>11859</v>
      </c>
      <c r="R5934" s="1" t="s">
        <v>56</v>
      </c>
      <c r="S5934" s="1" t="s">
        <v>2459</v>
      </c>
      <c r="T5934" s="1" t="s">
        <v>2460</v>
      </c>
      <c r="U5934" s="2" t="s">
        <v>5088</v>
      </c>
      <c r="V5934" s="2" t="s">
        <v>36</v>
      </c>
      <c r="W5934" s="2" t="s">
        <v>142</v>
      </c>
      <c r="X5934" s="2">
        <v>419.96499999999997</v>
      </c>
    </row>
    <row r="5935" spans="1:24" x14ac:dyDescent="0.3">
      <c r="A5935">
        <v>23756</v>
      </c>
      <c r="B5935" t="s">
        <v>12342</v>
      </c>
      <c r="C5935" s="3">
        <v>41782</v>
      </c>
      <c r="D5935" t="s">
        <v>39</v>
      </c>
      <c r="E5935">
        <v>1</v>
      </c>
      <c r="F5935" s="3">
        <f ca="1">41783+(RANDBETWEEN(1,10))</f>
        <v>41790</v>
      </c>
      <c r="G5935" t="s">
        <v>26</v>
      </c>
      <c r="H5935" t="s">
        <v>63</v>
      </c>
      <c r="I5935" t="s">
        <v>28</v>
      </c>
      <c r="J5935">
        <v>1058.365</v>
      </c>
      <c r="K5935">
        <v>0.06</v>
      </c>
      <c r="L5935">
        <v>0.52</v>
      </c>
      <c r="M5935">
        <v>85.715000000000003</v>
      </c>
      <c r="N5935">
        <v>-828.1</v>
      </c>
      <c r="O5935" s="1" t="s">
        <v>87</v>
      </c>
      <c r="P5935" s="1" t="s">
        <v>12343</v>
      </c>
      <c r="Q5935" s="1" t="s">
        <v>12344</v>
      </c>
      <c r="R5935" s="1" t="s">
        <v>398</v>
      </c>
      <c r="S5935" s="1" t="s">
        <v>5864</v>
      </c>
      <c r="T5935" s="1" t="s">
        <v>5865</v>
      </c>
      <c r="U5935" s="2" t="s">
        <v>70</v>
      </c>
      <c r="V5935" s="2" t="s">
        <v>47</v>
      </c>
      <c r="W5935" s="2" t="s">
        <v>71</v>
      </c>
      <c r="X5935" s="2">
        <v>1052.2750000000001</v>
      </c>
    </row>
    <row r="5936" spans="1:24" x14ac:dyDescent="0.3">
      <c r="A5936">
        <v>23757</v>
      </c>
      <c r="B5936" t="s">
        <v>12345</v>
      </c>
      <c r="C5936" s="3">
        <v>41619</v>
      </c>
      <c r="D5936" t="s">
        <v>62</v>
      </c>
      <c r="E5936">
        <v>22</v>
      </c>
      <c r="F5936" s="3">
        <f ca="1">41619+(RANDBETWEEN(1,10))</f>
        <v>41624</v>
      </c>
      <c r="G5936" t="s">
        <v>26</v>
      </c>
      <c r="H5936" t="s">
        <v>27</v>
      </c>
      <c r="I5936" t="s">
        <v>28</v>
      </c>
      <c r="J5936">
        <v>23026.36</v>
      </c>
      <c r="K5936">
        <v>0.08</v>
      </c>
      <c r="L5936">
        <v>0.48</v>
      </c>
      <c r="M5936">
        <v>25.13</v>
      </c>
      <c r="N5936">
        <v>15888.188399999999</v>
      </c>
      <c r="O5936" s="1" t="s">
        <v>29</v>
      </c>
      <c r="P5936" s="1" t="s">
        <v>8570</v>
      </c>
      <c r="Q5936" s="1" t="s">
        <v>8571</v>
      </c>
      <c r="R5936" s="1" t="s">
        <v>32</v>
      </c>
      <c r="S5936" s="1" t="s">
        <v>8572</v>
      </c>
      <c r="T5936" s="1" t="s">
        <v>8573</v>
      </c>
      <c r="U5936" s="2" t="s">
        <v>2057</v>
      </c>
      <c r="V5936" s="2" t="s">
        <v>36</v>
      </c>
      <c r="W5936" s="2" t="s">
        <v>60</v>
      </c>
      <c r="X5936" s="2">
        <v>1053.395</v>
      </c>
    </row>
    <row r="5937" spans="1:24" x14ac:dyDescent="0.3">
      <c r="A5937">
        <v>23758</v>
      </c>
      <c r="B5937" t="s">
        <v>12345</v>
      </c>
      <c r="C5937" s="3">
        <v>41619</v>
      </c>
      <c r="D5937" t="s">
        <v>62</v>
      </c>
      <c r="E5937">
        <v>14</v>
      </c>
      <c r="F5937" s="3">
        <f ca="1">41621+(RANDBETWEEN(1,10))</f>
        <v>41622</v>
      </c>
      <c r="G5937" t="s">
        <v>26</v>
      </c>
      <c r="H5937" t="s">
        <v>27</v>
      </c>
      <c r="I5937" t="s">
        <v>28</v>
      </c>
      <c r="J5937">
        <v>256.72500000000002</v>
      </c>
      <c r="K5937">
        <v>0</v>
      </c>
      <c r="L5937">
        <v>0.41</v>
      </c>
      <c r="M5937">
        <v>18.62</v>
      </c>
      <c r="N5937">
        <v>-112.08750000000001</v>
      </c>
      <c r="O5937" s="1" t="s">
        <v>29</v>
      </c>
      <c r="P5937" s="1" t="s">
        <v>8570</v>
      </c>
      <c r="Q5937" s="1" t="s">
        <v>8571</v>
      </c>
      <c r="R5937" s="1" t="s">
        <v>32</v>
      </c>
      <c r="S5937" s="1" t="s">
        <v>8572</v>
      </c>
      <c r="T5937" s="1" t="s">
        <v>8573</v>
      </c>
      <c r="U5937" s="2" t="s">
        <v>5159</v>
      </c>
      <c r="V5937" s="2" t="s">
        <v>83</v>
      </c>
      <c r="W5937" s="2" t="s">
        <v>178</v>
      </c>
      <c r="X5937" s="2">
        <v>17.324999999999999</v>
      </c>
    </row>
    <row r="5938" spans="1:24" x14ac:dyDescent="0.3">
      <c r="A5938">
        <v>23759</v>
      </c>
      <c r="B5938" t="s">
        <v>12346</v>
      </c>
      <c r="C5938" s="3">
        <v>41530</v>
      </c>
      <c r="D5938" t="s">
        <v>50</v>
      </c>
      <c r="E5938">
        <v>16</v>
      </c>
      <c r="F5938" s="3">
        <f ca="1">41532+(RANDBETWEEN(1,10))</f>
        <v>41536</v>
      </c>
      <c r="G5938" t="s">
        <v>26</v>
      </c>
      <c r="H5938" t="s">
        <v>27</v>
      </c>
      <c r="I5938" t="s">
        <v>28</v>
      </c>
      <c r="J5938">
        <v>514.57000000000005</v>
      </c>
      <c r="K5938">
        <v>0.03</v>
      </c>
      <c r="L5938">
        <v>0.36</v>
      </c>
      <c r="M5938">
        <v>19.600000000000001</v>
      </c>
      <c r="N5938">
        <v>-19.360250000000001</v>
      </c>
      <c r="O5938" s="1" t="s">
        <v>87</v>
      </c>
      <c r="P5938" s="1" t="s">
        <v>10590</v>
      </c>
      <c r="Q5938" s="1" t="s">
        <v>10591</v>
      </c>
      <c r="R5938" s="1" t="s">
        <v>90</v>
      </c>
      <c r="S5938" s="1" t="s">
        <v>10592</v>
      </c>
      <c r="T5938" s="1" t="s">
        <v>10593</v>
      </c>
      <c r="U5938" s="2" t="s">
        <v>3792</v>
      </c>
      <c r="V5938" s="2" t="s">
        <v>47</v>
      </c>
      <c r="W5938" s="2" t="s">
        <v>111</v>
      </c>
      <c r="X5938" s="2">
        <v>30.975000000000001</v>
      </c>
    </row>
    <row r="5939" spans="1:24" x14ac:dyDescent="0.3">
      <c r="A5939">
        <v>23760</v>
      </c>
      <c r="B5939" t="s">
        <v>12346</v>
      </c>
      <c r="C5939" s="3">
        <v>41530</v>
      </c>
      <c r="D5939" t="s">
        <v>50</v>
      </c>
      <c r="E5939">
        <v>9</v>
      </c>
      <c r="F5939" s="3">
        <f ca="1">41532+(RANDBETWEEN(1,10))</f>
        <v>41541</v>
      </c>
      <c r="G5939" t="s">
        <v>76</v>
      </c>
      <c r="H5939" t="s">
        <v>77</v>
      </c>
      <c r="I5939" t="s">
        <v>28</v>
      </c>
      <c r="J5939">
        <v>3539.6550000000002</v>
      </c>
      <c r="K5939">
        <v>0.05</v>
      </c>
      <c r="L5939">
        <v>0.71</v>
      </c>
      <c r="M5939">
        <v>105</v>
      </c>
      <c r="N5939">
        <v>-551.70500000000004</v>
      </c>
      <c r="O5939" s="1" t="s">
        <v>87</v>
      </c>
      <c r="P5939" s="1" t="s">
        <v>10590</v>
      </c>
      <c r="Q5939" s="1" t="s">
        <v>10591</v>
      </c>
      <c r="R5939" s="1" t="s">
        <v>90</v>
      </c>
      <c r="S5939" s="1" t="s">
        <v>10592</v>
      </c>
      <c r="T5939" s="1" t="s">
        <v>10593</v>
      </c>
      <c r="U5939" s="2" t="s">
        <v>7057</v>
      </c>
      <c r="V5939" s="2" t="s">
        <v>83</v>
      </c>
      <c r="W5939" s="2" t="s">
        <v>84</v>
      </c>
      <c r="X5939" s="2">
        <v>388.43</v>
      </c>
    </row>
    <row r="5940" spans="1:24" x14ac:dyDescent="0.3">
      <c r="A5940">
        <v>23761</v>
      </c>
      <c r="B5940" t="s">
        <v>12347</v>
      </c>
      <c r="C5940" s="3">
        <v>41519</v>
      </c>
      <c r="D5940" t="s">
        <v>50</v>
      </c>
      <c r="E5940">
        <v>10</v>
      </c>
      <c r="F5940" s="3">
        <f ca="1">41520+(RANDBETWEEN(1,10))</f>
        <v>41530</v>
      </c>
      <c r="G5940" t="s">
        <v>156</v>
      </c>
      <c r="H5940" t="s">
        <v>96</v>
      </c>
      <c r="I5940" t="s">
        <v>28</v>
      </c>
      <c r="J5940">
        <v>259.56</v>
      </c>
      <c r="K5940">
        <v>0.03</v>
      </c>
      <c r="L5940">
        <v>0.4</v>
      </c>
      <c r="M5940">
        <v>5.9850000000000003</v>
      </c>
      <c r="N5940">
        <v>150.01</v>
      </c>
      <c r="O5940" s="1" t="s">
        <v>29</v>
      </c>
      <c r="P5940" s="1" t="s">
        <v>12348</v>
      </c>
      <c r="Q5940" s="1" t="s">
        <v>12349</v>
      </c>
      <c r="R5940" s="1" t="s">
        <v>675</v>
      </c>
      <c r="S5940" s="1" t="s">
        <v>1290</v>
      </c>
      <c r="T5940" s="1" t="s">
        <v>1291</v>
      </c>
      <c r="U5940" s="2" t="s">
        <v>5167</v>
      </c>
      <c r="V5940" s="2" t="s">
        <v>47</v>
      </c>
      <c r="W5940" s="2" t="s">
        <v>74</v>
      </c>
      <c r="X5940" s="2">
        <v>25.9</v>
      </c>
    </row>
    <row r="5941" spans="1:24" x14ac:dyDescent="0.3">
      <c r="A5941">
        <v>23762</v>
      </c>
      <c r="B5941" t="s">
        <v>12350</v>
      </c>
      <c r="C5941" s="3">
        <v>41849</v>
      </c>
      <c r="D5941" t="s">
        <v>148</v>
      </c>
      <c r="E5941">
        <v>14</v>
      </c>
      <c r="F5941" s="3">
        <f ca="1">41851+(RANDBETWEEN(1,10))</f>
        <v>41854</v>
      </c>
      <c r="G5941" t="s">
        <v>26</v>
      </c>
      <c r="H5941" t="s">
        <v>51</v>
      </c>
      <c r="I5941" t="s">
        <v>97</v>
      </c>
      <c r="J5941">
        <v>334.6</v>
      </c>
      <c r="K5941">
        <v>0.02</v>
      </c>
      <c r="L5941">
        <v>0.66</v>
      </c>
      <c r="M5941">
        <v>14.244999999999999</v>
      </c>
      <c r="N5941">
        <v>105.399</v>
      </c>
      <c r="O5941" s="1" t="s">
        <v>87</v>
      </c>
      <c r="P5941" s="1" t="s">
        <v>12351</v>
      </c>
      <c r="Q5941" s="1" t="s">
        <v>12352</v>
      </c>
      <c r="R5941" s="1" t="s">
        <v>497</v>
      </c>
      <c r="S5941" s="1" t="s">
        <v>12353</v>
      </c>
      <c r="T5941" s="1" t="s">
        <v>12354</v>
      </c>
      <c r="U5941" s="2" t="s">
        <v>5294</v>
      </c>
      <c r="V5941" s="2" t="s">
        <v>36</v>
      </c>
      <c r="W5941" s="2" t="s">
        <v>60</v>
      </c>
      <c r="X5941" s="2">
        <v>23.1</v>
      </c>
    </row>
    <row r="5942" spans="1:24" x14ac:dyDescent="0.3">
      <c r="A5942">
        <v>23763</v>
      </c>
      <c r="B5942" t="s">
        <v>12350</v>
      </c>
      <c r="C5942" s="3">
        <v>41849</v>
      </c>
      <c r="D5942" t="s">
        <v>148</v>
      </c>
      <c r="E5942">
        <v>8</v>
      </c>
      <c r="F5942" s="3">
        <f ca="1">41851+(RANDBETWEEN(1,10))</f>
        <v>41854</v>
      </c>
      <c r="G5942" t="s">
        <v>156</v>
      </c>
      <c r="H5942" t="s">
        <v>27</v>
      </c>
      <c r="I5942" t="s">
        <v>97</v>
      </c>
      <c r="J5942">
        <v>3945.585</v>
      </c>
      <c r="K5942">
        <v>0.02</v>
      </c>
      <c r="L5942">
        <v>0.6</v>
      </c>
      <c r="M5942">
        <v>28.28</v>
      </c>
      <c r="N5942">
        <v>252.02099999999999</v>
      </c>
      <c r="O5942" s="1" t="s">
        <v>87</v>
      </c>
      <c r="P5942" s="1" t="s">
        <v>12351</v>
      </c>
      <c r="Q5942" s="1" t="s">
        <v>12352</v>
      </c>
      <c r="R5942" s="1" t="s">
        <v>497</v>
      </c>
      <c r="S5942" s="1" t="s">
        <v>12353</v>
      </c>
      <c r="T5942" s="1" t="s">
        <v>12354</v>
      </c>
      <c r="U5942" s="2" t="s">
        <v>7517</v>
      </c>
      <c r="V5942" s="2" t="s">
        <v>36</v>
      </c>
      <c r="W5942" s="2" t="s">
        <v>37</v>
      </c>
      <c r="X5942" s="2">
        <v>545.96500000000003</v>
      </c>
    </row>
    <row r="5943" spans="1:24" x14ac:dyDescent="0.3">
      <c r="A5943">
        <v>23764</v>
      </c>
      <c r="B5943" t="s">
        <v>12355</v>
      </c>
      <c r="C5943" s="3">
        <v>40731</v>
      </c>
      <c r="D5943" t="s">
        <v>25</v>
      </c>
      <c r="E5943">
        <v>8</v>
      </c>
      <c r="F5943" s="3">
        <f ca="1">40733+(RANDBETWEEN(1,10))</f>
        <v>40740</v>
      </c>
      <c r="G5943" t="s">
        <v>26</v>
      </c>
      <c r="H5943" t="s">
        <v>27</v>
      </c>
      <c r="I5943" t="s">
        <v>97</v>
      </c>
      <c r="J5943">
        <v>215.25</v>
      </c>
      <c r="K5943">
        <v>0.02</v>
      </c>
      <c r="L5943">
        <v>0.39</v>
      </c>
      <c r="M5943">
        <v>21.175000000000001</v>
      </c>
      <c r="N5943">
        <v>-171.0625</v>
      </c>
      <c r="O5943" s="1" t="s">
        <v>64</v>
      </c>
      <c r="P5943" s="1" t="s">
        <v>10343</v>
      </c>
      <c r="Q5943" s="1" t="s">
        <v>10344</v>
      </c>
      <c r="R5943" s="1" t="s">
        <v>67</v>
      </c>
      <c r="S5943" s="1" t="s">
        <v>10345</v>
      </c>
      <c r="T5943" s="1" t="s">
        <v>10346</v>
      </c>
      <c r="U5943" s="2" t="s">
        <v>2669</v>
      </c>
      <c r="V5943" s="2" t="s">
        <v>47</v>
      </c>
      <c r="W5943" s="2" t="s">
        <v>111</v>
      </c>
      <c r="X5943" s="2">
        <v>24.85</v>
      </c>
    </row>
    <row r="5944" spans="1:24" x14ac:dyDescent="0.3">
      <c r="A5944">
        <v>23765</v>
      </c>
      <c r="B5944" t="s">
        <v>12356</v>
      </c>
      <c r="C5944" s="3">
        <v>40798</v>
      </c>
      <c r="D5944" t="s">
        <v>25</v>
      </c>
      <c r="E5944">
        <v>2</v>
      </c>
      <c r="F5944" s="3">
        <f ca="1">40803+(RANDBETWEEN(1,10))</f>
        <v>40813</v>
      </c>
      <c r="G5944" t="s">
        <v>26</v>
      </c>
      <c r="H5944" t="s">
        <v>96</v>
      </c>
      <c r="I5944" t="s">
        <v>28</v>
      </c>
      <c r="J5944">
        <v>511.59500000000003</v>
      </c>
      <c r="K5944">
        <v>0.01</v>
      </c>
      <c r="L5944">
        <v>0.85</v>
      </c>
      <c r="M5944">
        <v>3.4649999999999999</v>
      </c>
      <c r="N5944">
        <v>1091.0550000000001</v>
      </c>
      <c r="O5944" s="1" t="s">
        <v>64</v>
      </c>
      <c r="P5944" s="1" t="s">
        <v>4339</v>
      </c>
      <c r="Q5944" s="1" t="s">
        <v>4340</v>
      </c>
      <c r="R5944" s="1" t="s">
        <v>128</v>
      </c>
      <c r="S5944" s="1" t="s">
        <v>4341</v>
      </c>
      <c r="T5944" s="1" t="s">
        <v>4342</v>
      </c>
      <c r="U5944" s="2" t="s">
        <v>678</v>
      </c>
      <c r="V5944" s="2" t="s">
        <v>36</v>
      </c>
      <c r="W5944" s="2" t="s">
        <v>37</v>
      </c>
      <c r="X5944" s="2">
        <v>300.96499999999997</v>
      </c>
    </row>
    <row r="5945" spans="1:24" x14ac:dyDescent="0.3">
      <c r="A5945">
        <v>23766</v>
      </c>
      <c r="B5945" t="s">
        <v>12357</v>
      </c>
      <c r="C5945" s="3">
        <v>41786</v>
      </c>
      <c r="D5945" t="s">
        <v>39</v>
      </c>
      <c r="E5945">
        <v>12</v>
      </c>
      <c r="F5945" s="3">
        <f ca="1">41787+(RANDBETWEEN(1,10))</f>
        <v>41792</v>
      </c>
      <c r="G5945" t="s">
        <v>26</v>
      </c>
      <c r="H5945" t="s">
        <v>96</v>
      </c>
      <c r="I5945" t="s">
        <v>52</v>
      </c>
      <c r="J5945">
        <v>108.325</v>
      </c>
      <c r="K5945">
        <v>0.06</v>
      </c>
      <c r="L5945">
        <v>0.44</v>
      </c>
      <c r="M5945">
        <v>14.98</v>
      </c>
      <c r="N5945">
        <v>-363.86</v>
      </c>
      <c r="O5945" s="1" t="s">
        <v>87</v>
      </c>
      <c r="P5945" s="1" t="s">
        <v>9455</v>
      </c>
      <c r="Q5945" s="1" t="s">
        <v>9456</v>
      </c>
      <c r="R5945" s="1" t="s">
        <v>90</v>
      </c>
      <c r="S5945" s="1" t="s">
        <v>9457</v>
      </c>
      <c r="T5945" s="1" t="s">
        <v>9458</v>
      </c>
      <c r="U5945" s="2" t="s">
        <v>5200</v>
      </c>
      <c r="V5945" s="2" t="s">
        <v>47</v>
      </c>
      <c r="W5945" s="2" t="s">
        <v>104</v>
      </c>
      <c r="X5945" s="2">
        <v>8.82</v>
      </c>
    </row>
    <row r="5946" spans="1:24" x14ac:dyDescent="0.3">
      <c r="A5946">
        <v>23767</v>
      </c>
      <c r="B5946" t="s">
        <v>12358</v>
      </c>
      <c r="C5946" s="3">
        <v>41591</v>
      </c>
      <c r="D5946" t="s">
        <v>50</v>
      </c>
      <c r="E5946">
        <v>24</v>
      </c>
      <c r="F5946" s="3">
        <f ca="1">41592+(RANDBETWEEN(1,10))</f>
        <v>41595</v>
      </c>
      <c r="G5946" t="s">
        <v>26</v>
      </c>
      <c r="H5946" t="s">
        <v>96</v>
      </c>
      <c r="I5946" t="s">
        <v>97</v>
      </c>
      <c r="J5946">
        <v>148.47</v>
      </c>
      <c r="K5946">
        <v>0.01</v>
      </c>
      <c r="L5946">
        <v>0.56000000000000005</v>
      </c>
      <c r="M5946">
        <v>2.4500000000000002</v>
      </c>
      <c r="N5946">
        <v>0.86099999999999999</v>
      </c>
      <c r="O5946" s="1" t="s">
        <v>225</v>
      </c>
      <c r="P5946" s="1" t="s">
        <v>11038</v>
      </c>
      <c r="Q5946" s="1" t="s">
        <v>11039</v>
      </c>
      <c r="R5946" s="1" t="s">
        <v>228</v>
      </c>
      <c r="S5946" s="1" t="s">
        <v>11040</v>
      </c>
      <c r="T5946" s="1" t="s">
        <v>11041</v>
      </c>
      <c r="U5946" s="2" t="s">
        <v>873</v>
      </c>
      <c r="V5946" s="2" t="s">
        <v>47</v>
      </c>
      <c r="W5946" s="2" t="s">
        <v>104</v>
      </c>
      <c r="X5946" s="2">
        <v>6.16</v>
      </c>
    </row>
    <row r="5947" spans="1:24" x14ac:dyDescent="0.3">
      <c r="A5947">
        <v>23768</v>
      </c>
      <c r="B5947" t="s">
        <v>12358</v>
      </c>
      <c r="C5947" s="3">
        <v>41591</v>
      </c>
      <c r="D5947" t="s">
        <v>50</v>
      </c>
      <c r="E5947">
        <v>9</v>
      </c>
      <c r="F5947" s="3">
        <f ca="1">41593+(RANDBETWEEN(1,10))</f>
        <v>41603</v>
      </c>
      <c r="G5947" t="s">
        <v>26</v>
      </c>
      <c r="H5947" t="s">
        <v>27</v>
      </c>
      <c r="I5947" t="s">
        <v>97</v>
      </c>
      <c r="J5947">
        <v>1157.345</v>
      </c>
      <c r="K5947">
        <v>7.0000000000000007E-2</v>
      </c>
      <c r="L5947">
        <v>0.56999999999999995</v>
      </c>
      <c r="M5947">
        <v>17.465</v>
      </c>
      <c r="N5947">
        <v>75.252099999999999</v>
      </c>
      <c r="O5947" s="1" t="s">
        <v>225</v>
      </c>
      <c r="P5947" s="1" t="s">
        <v>11038</v>
      </c>
      <c r="Q5947" s="1" t="s">
        <v>11039</v>
      </c>
      <c r="R5947" s="1" t="s">
        <v>228</v>
      </c>
      <c r="S5947" s="1" t="s">
        <v>11040</v>
      </c>
      <c r="T5947" s="1" t="s">
        <v>11041</v>
      </c>
      <c r="U5947" s="2" t="s">
        <v>5082</v>
      </c>
      <c r="V5947" s="2" t="s">
        <v>36</v>
      </c>
      <c r="W5947" s="2" t="s">
        <v>37</v>
      </c>
      <c r="X5947" s="2">
        <v>160.965</v>
      </c>
    </row>
    <row r="5948" spans="1:24" x14ac:dyDescent="0.3">
      <c r="A5948">
        <v>23769</v>
      </c>
      <c r="B5948" t="s">
        <v>12359</v>
      </c>
      <c r="C5948" s="3">
        <v>41363</v>
      </c>
      <c r="D5948" t="s">
        <v>148</v>
      </c>
      <c r="E5948">
        <v>2</v>
      </c>
      <c r="F5948" s="3">
        <f ca="1">41364+(RANDBETWEEN(1,10))</f>
        <v>41374</v>
      </c>
      <c r="G5948" t="s">
        <v>26</v>
      </c>
      <c r="H5948" t="s">
        <v>27</v>
      </c>
      <c r="I5948" t="s">
        <v>28</v>
      </c>
      <c r="J5948">
        <v>23.835000000000001</v>
      </c>
      <c r="K5948">
        <v>0.02</v>
      </c>
      <c r="L5948">
        <v>0.37</v>
      </c>
      <c r="M5948">
        <v>1.75</v>
      </c>
      <c r="N5948">
        <v>16.446149999999999</v>
      </c>
      <c r="O5948" s="1" t="s">
        <v>40</v>
      </c>
      <c r="P5948" s="1" t="s">
        <v>9618</v>
      </c>
      <c r="Q5948" s="1" t="s">
        <v>9619</v>
      </c>
      <c r="R5948" s="1" t="s">
        <v>43</v>
      </c>
      <c r="S5948" s="1" t="s">
        <v>9620</v>
      </c>
      <c r="T5948" s="1" t="s">
        <v>9621</v>
      </c>
      <c r="U5948" s="2" t="s">
        <v>5970</v>
      </c>
      <c r="V5948" s="2" t="s">
        <v>47</v>
      </c>
      <c r="W5948" s="2" t="s">
        <v>203</v>
      </c>
      <c r="X5948" s="2">
        <v>11.025</v>
      </c>
    </row>
    <row r="5949" spans="1:24" x14ac:dyDescent="0.3">
      <c r="A5949">
        <v>23770</v>
      </c>
      <c r="B5949" t="s">
        <v>12360</v>
      </c>
      <c r="C5949" s="3">
        <v>41325</v>
      </c>
      <c r="D5949" t="s">
        <v>62</v>
      </c>
      <c r="E5949">
        <v>8</v>
      </c>
      <c r="F5949" s="3">
        <f ca="1">41326+(RANDBETWEEN(1,10))</f>
        <v>41327</v>
      </c>
      <c r="G5949" t="s">
        <v>26</v>
      </c>
      <c r="H5949" t="s">
        <v>27</v>
      </c>
      <c r="I5949" t="s">
        <v>28</v>
      </c>
      <c r="J5949">
        <v>1553.65</v>
      </c>
      <c r="K5949">
        <v>0.03</v>
      </c>
      <c r="L5949">
        <v>0.56999999999999995</v>
      </c>
      <c r="M5949">
        <v>3.4649999999999999</v>
      </c>
      <c r="N5949">
        <v>1072.0184999999999</v>
      </c>
      <c r="O5949" s="1" t="s">
        <v>64</v>
      </c>
      <c r="P5949" s="1" t="s">
        <v>8955</v>
      </c>
      <c r="Q5949" s="1" t="s">
        <v>8956</v>
      </c>
      <c r="R5949" s="1" t="s">
        <v>67</v>
      </c>
      <c r="S5949" s="1" t="s">
        <v>8957</v>
      </c>
      <c r="T5949" s="1" t="s">
        <v>8958</v>
      </c>
      <c r="U5949" s="2" t="s">
        <v>4274</v>
      </c>
      <c r="V5949" s="2" t="s">
        <v>47</v>
      </c>
      <c r="W5949" s="2" t="s">
        <v>71</v>
      </c>
      <c r="X5949" s="2">
        <v>190.68</v>
      </c>
    </row>
    <row r="5950" spans="1:24" x14ac:dyDescent="0.3">
      <c r="A5950">
        <v>23771</v>
      </c>
      <c r="B5950" t="s">
        <v>12360</v>
      </c>
      <c r="C5950" s="3">
        <v>41325</v>
      </c>
      <c r="D5950" t="s">
        <v>62</v>
      </c>
      <c r="E5950">
        <v>8</v>
      </c>
      <c r="F5950" s="3">
        <f ca="1">41326+(RANDBETWEEN(1,10))</f>
        <v>41329</v>
      </c>
      <c r="G5950" t="s">
        <v>26</v>
      </c>
      <c r="H5950" t="s">
        <v>27</v>
      </c>
      <c r="I5950" t="s">
        <v>28</v>
      </c>
      <c r="J5950">
        <v>3058.5450000000001</v>
      </c>
      <c r="K5950">
        <v>0</v>
      </c>
      <c r="L5950">
        <v>0.59</v>
      </c>
      <c r="M5950">
        <v>31.465</v>
      </c>
      <c r="N5950">
        <v>2110.3960499999998</v>
      </c>
      <c r="O5950" s="1" t="s">
        <v>64</v>
      </c>
      <c r="P5950" s="1" t="s">
        <v>8955</v>
      </c>
      <c r="Q5950" s="1" t="s">
        <v>8956</v>
      </c>
      <c r="R5950" s="1" t="s">
        <v>67</v>
      </c>
      <c r="S5950" s="1" t="s">
        <v>8957</v>
      </c>
      <c r="T5950" s="1" t="s">
        <v>8958</v>
      </c>
      <c r="U5950" s="2" t="s">
        <v>295</v>
      </c>
      <c r="V5950" s="2" t="s">
        <v>36</v>
      </c>
      <c r="W5950" s="2" t="s">
        <v>37</v>
      </c>
      <c r="X5950" s="2">
        <v>440.96499999999997</v>
      </c>
    </row>
    <row r="5951" spans="1:24" x14ac:dyDescent="0.3">
      <c r="A5951">
        <v>23772</v>
      </c>
      <c r="B5951" t="s">
        <v>12361</v>
      </c>
      <c r="C5951" s="3">
        <v>41417</v>
      </c>
      <c r="D5951" t="s">
        <v>62</v>
      </c>
      <c r="E5951">
        <v>16</v>
      </c>
      <c r="F5951" s="3">
        <f ca="1">41420+(RANDBETWEEN(1,10))</f>
        <v>41426</v>
      </c>
      <c r="G5951" t="s">
        <v>26</v>
      </c>
      <c r="H5951" t="s">
        <v>51</v>
      </c>
      <c r="I5951" t="s">
        <v>28</v>
      </c>
      <c r="J5951">
        <v>421.57499999999999</v>
      </c>
      <c r="K5951">
        <v>0</v>
      </c>
      <c r="L5951">
        <v>0.57999999999999996</v>
      </c>
      <c r="M5951">
        <v>29.295000000000002</v>
      </c>
      <c r="N5951">
        <v>8956.1219999999994</v>
      </c>
      <c r="O5951" s="1" t="s">
        <v>87</v>
      </c>
      <c r="P5951" s="1" t="s">
        <v>6417</v>
      </c>
      <c r="Q5951" s="1" t="s">
        <v>6418</v>
      </c>
      <c r="R5951" s="1" t="s">
        <v>90</v>
      </c>
      <c r="S5951" s="1" t="s">
        <v>6419</v>
      </c>
      <c r="T5951" s="1" t="s">
        <v>6420</v>
      </c>
      <c r="U5951" s="2" t="s">
        <v>3635</v>
      </c>
      <c r="V5951" s="2" t="s">
        <v>47</v>
      </c>
      <c r="W5951" s="2" t="s">
        <v>94</v>
      </c>
      <c r="X5951" s="2">
        <v>23.94</v>
      </c>
    </row>
    <row r="5952" spans="1:24" x14ac:dyDescent="0.3">
      <c r="A5952">
        <v>23773</v>
      </c>
      <c r="B5952" t="s">
        <v>12362</v>
      </c>
      <c r="C5952" s="3">
        <v>40867</v>
      </c>
      <c r="D5952" t="s">
        <v>148</v>
      </c>
      <c r="E5952">
        <v>41</v>
      </c>
      <c r="F5952" s="3">
        <f ca="1">40869+(RANDBETWEEN(1,10))</f>
        <v>40877</v>
      </c>
      <c r="G5952" t="s">
        <v>76</v>
      </c>
      <c r="H5952" t="s">
        <v>77</v>
      </c>
      <c r="I5952" t="s">
        <v>28</v>
      </c>
      <c r="J5952">
        <v>21606.97</v>
      </c>
      <c r="K5952">
        <v>0.09</v>
      </c>
      <c r="L5952">
        <v>0.55000000000000004</v>
      </c>
      <c r="M5952">
        <v>210</v>
      </c>
      <c r="N5952">
        <v>269.50313390000002</v>
      </c>
      <c r="O5952" s="1" t="s">
        <v>29</v>
      </c>
      <c r="P5952" s="1" t="s">
        <v>6995</v>
      </c>
      <c r="Q5952" s="1" t="s">
        <v>6996</v>
      </c>
      <c r="R5952" s="1" t="s">
        <v>32</v>
      </c>
      <c r="S5952" s="1" t="s">
        <v>6997</v>
      </c>
      <c r="T5952" s="1" t="s">
        <v>6998</v>
      </c>
      <c r="U5952" s="2" t="s">
        <v>1963</v>
      </c>
      <c r="V5952" s="2" t="s">
        <v>83</v>
      </c>
      <c r="W5952" s="2" t="s">
        <v>263</v>
      </c>
      <c r="X5952" s="2">
        <v>557.58500000000004</v>
      </c>
    </row>
    <row r="5953" spans="1:24" x14ac:dyDescent="0.3">
      <c r="A5953">
        <v>23774</v>
      </c>
      <c r="B5953" t="s">
        <v>12362</v>
      </c>
      <c r="C5953" s="3">
        <v>40867</v>
      </c>
      <c r="D5953" t="s">
        <v>148</v>
      </c>
      <c r="E5953">
        <v>33</v>
      </c>
      <c r="F5953" s="3">
        <f ca="1">40869+(RANDBETWEEN(1,10))</f>
        <v>40875</v>
      </c>
      <c r="G5953" t="s">
        <v>26</v>
      </c>
      <c r="H5953" t="s">
        <v>51</v>
      </c>
      <c r="I5953" t="s">
        <v>28</v>
      </c>
      <c r="J5953">
        <v>5437.95</v>
      </c>
      <c r="K5953">
        <v>0.06</v>
      </c>
      <c r="L5953">
        <v>0.83</v>
      </c>
      <c r="M5953">
        <v>17.5</v>
      </c>
      <c r="N5953">
        <v>97.890100000000004</v>
      </c>
      <c r="O5953" s="1" t="s">
        <v>29</v>
      </c>
      <c r="P5953" s="1" t="s">
        <v>6995</v>
      </c>
      <c r="Q5953" s="1" t="s">
        <v>6996</v>
      </c>
      <c r="R5953" s="1" t="s">
        <v>32</v>
      </c>
      <c r="S5953" s="1" t="s">
        <v>6997</v>
      </c>
      <c r="T5953" s="1" t="s">
        <v>6998</v>
      </c>
      <c r="U5953" s="2" t="s">
        <v>4376</v>
      </c>
      <c r="V5953" s="2" t="s">
        <v>36</v>
      </c>
      <c r="W5953" s="2" t="s">
        <v>37</v>
      </c>
      <c r="X5953" s="2">
        <v>195.965</v>
      </c>
    </row>
    <row r="5954" spans="1:24" x14ac:dyDescent="0.3">
      <c r="A5954">
        <v>23775</v>
      </c>
      <c r="B5954" t="s">
        <v>12362</v>
      </c>
      <c r="C5954" s="3">
        <v>40867</v>
      </c>
      <c r="D5954" t="s">
        <v>148</v>
      </c>
      <c r="E5954">
        <v>25</v>
      </c>
      <c r="F5954" s="3">
        <f ca="1">40868+(RANDBETWEEN(1,10))</f>
        <v>40875</v>
      </c>
      <c r="G5954" t="s">
        <v>26</v>
      </c>
      <c r="H5954" t="s">
        <v>27</v>
      </c>
      <c r="I5954" t="s">
        <v>28</v>
      </c>
      <c r="J5954">
        <v>2545.1999999999998</v>
      </c>
      <c r="K5954">
        <v>0.08</v>
      </c>
      <c r="L5954">
        <v>0.4</v>
      </c>
      <c r="M5954">
        <v>30.59</v>
      </c>
      <c r="N5954">
        <v>1299.452</v>
      </c>
      <c r="O5954" s="1" t="s">
        <v>29</v>
      </c>
      <c r="P5954" s="1" t="s">
        <v>10018</v>
      </c>
      <c r="Q5954" s="1" t="s">
        <v>10019</v>
      </c>
      <c r="R5954" s="1" t="s">
        <v>32</v>
      </c>
      <c r="S5954" s="1" t="s">
        <v>10020</v>
      </c>
      <c r="T5954" s="1" t="s">
        <v>7041</v>
      </c>
      <c r="U5954" s="2" t="s">
        <v>1346</v>
      </c>
      <c r="V5954" s="2" t="s">
        <v>47</v>
      </c>
      <c r="W5954" s="2" t="s">
        <v>74</v>
      </c>
      <c r="X5954" s="2">
        <v>108.43</v>
      </c>
    </row>
    <row r="5955" spans="1:24" x14ac:dyDescent="0.3">
      <c r="A5955">
        <v>23776</v>
      </c>
      <c r="B5955" t="s">
        <v>12363</v>
      </c>
      <c r="C5955" s="3">
        <v>41921</v>
      </c>
      <c r="D5955" t="s">
        <v>39</v>
      </c>
      <c r="E5955">
        <v>22</v>
      </c>
      <c r="F5955" s="3">
        <f ca="1">41923+(RANDBETWEEN(1,10))</f>
        <v>41924</v>
      </c>
      <c r="G5955" t="s">
        <v>26</v>
      </c>
      <c r="H5955" t="s">
        <v>27</v>
      </c>
      <c r="I5955" t="s">
        <v>86</v>
      </c>
      <c r="J5955">
        <v>1453.9</v>
      </c>
      <c r="K5955">
        <v>0.1</v>
      </c>
      <c r="L5955">
        <v>0.35</v>
      </c>
      <c r="M5955">
        <v>5.2149999999999999</v>
      </c>
      <c r="N5955">
        <v>1003.191</v>
      </c>
      <c r="O5955" s="1" t="s">
        <v>29</v>
      </c>
      <c r="P5955" s="1" t="s">
        <v>12364</v>
      </c>
      <c r="Q5955" s="1" t="s">
        <v>12365</v>
      </c>
      <c r="R5955" s="1" t="s">
        <v>32</v>
      </c>
      <c r="S5955" s="1" t="s">
        <v>12366</v>
      </c>
      <c r="T5955" s="1" t="s">
        <v>12367</v>
      </c>
      <c r="U5955" s="2" t="s">
        <v>3361</v>
      </c>
      <c r="V5955" s="2" t="s">
        <v>47</v>
      </c>
      <c r="W5955" s="2" t="s">
        <v>111</v>
      </c>
      <c r="X5955" s="2">
        <v>73.430000000000007</v>
      </c>
    </row>
    <row r="5956" spans="1:24" x14ac:dyDescent="0.3">
      <c r="A5956">
        <v>23777</v>
      </c>
      <c r="B5956" t="s">
        <v>12368</v>
      </c>
      <c r="C5956" s="3">
        <v>40654</v>
      </c>
      <c r="D5956" t="s">
        <v>25</v>
      </c>
      <c r="E5956">
        <v>3</v>
      </c>
      <c r="F5956" s="3">
        <f ca="1">40654+(RANDBETWEEN(1,10))</f>
        <v>40658</v>
      </c>
      <c r="G5956" t="s">
        <v>156</v>
      </c>
      <c r="H5956" t="s">
        <v>27</v>
      </c>
      <c r="I5956" t="s">
        <v>86</v>
      </c>
      <c r="J5956">
        <v>334.495</v>
      </c>
      <c r="K5956">
        <v>0.05</v>
      </c>
      <c r="L5956">
        <v>0.4</v>
      </c>
      <c r="M5956">
        <v>32.130000000000003</v>
      </c>
      <c r="N5956">
        <v>215.14500000000001</v>
      </c>
      <c r="O5956" s="1" t="s">
        <v>225</v>
      </c>
      <c r="P5956" s="1" t="s">
        <v>9486</v>
      </c>
      <c r="Q5956" s="1" t="s">
        <v>9487</v>
      </c>
      <c r="R5956" s="1" t="s">
        <v>228</v>
      </c>
      <c r="S5956" s="1" t="s">
        <v>9488</v>
      </c>
      <c r="T5956" s="1" t="s">
        <v>9489</v>
      </c>
      <c r="U5956" s="2" t="s">
        <v>7249</v>
      </c>
      <c r="V5956" s="2" t="s">
        <v>47</v>
      </c>
      <c r="W5956" s="2" t="s">
        <v>74</v>
      </c>
      <c r="X5956" s="2">
        <v>108.43</v>
      </c>
    </row>
    <row r="5957" spans="1:24" x14ac:dyDescent="0.3">
      <c r="A5957">
        <v>23778</v>
      </c>
      <c r="B5957" t="s">
        <v>12368</v>
      </c>
      <c r="C5957" s="3">
        <v>40654</v>
      </c>
      <c r="D5957" t="s">
        <v>25</v>
      </c>
      <c r="E5957">
        <v>9</v>
      </c>
      <c r="F5957" s="3">
        <f ca="1">40661+(RANDBETWEEN(1,10))</f>
        <v>40663</v>
      </c>
      <c r="G5957" t="s">
        <v>26</v>
      </c>
      <c r="H5957" t="s">
        <v>51</v>
      </c>
      <c r="I5957" t="s">
        <v>86</v>
      </c>
      <c r="J5957">
        <v>750.68</v>
      </c>
      <c r="K5957">
        <v>0.05</v>
      </c>
      <c r="L5957">
        <v>0.56999999999999995</v>
      </c>
      <c r="M5957">
        <v>31.465</v>
      </c>
      <c r="N5957">
        <v>63.945</v>
      </c>
      <c r="O5957" s="1" t="s">
        <v>225</v>
      </c>
      <c r="P5957" s="1" t="s">
        <v>9486</v>
      </c>
      <c r="Q5957" s="1" t="s">
        <v>9487</v>
      </c>
      <c r="R5957" s="1" t="s">
        <v>228</v>
      </c>
      <c r="S5957" s="1" t="s">
        <v>9488</v>
      </c>
      <c r="T5957" s="1" t="s">
        <v>9489</v>
      </c>
      <c r="U5957" s="2" t="s">
        <v>246</v>
      </c>
      <c r="V5957" s="2" t="s">
        <v>47</v>
      </c>
      <c r="W5957" s="2" t="s">
        <v>104</v>
      </c>
      <c r="X5957" s="2">
        <v>80.465000000000003</v>
      </c>
    </row>
    <row r="5958" spans="1:24" x14ac:dyDescent="0.3">
      <c r="A5958">
        <v>23779</v>
      </c>
      <c r="B5958" t="s">
        <v>12369</v>
      </c>
      <c r="C5958" s="3">
        <v>41750</v>
      </c>
      <c r="D5958" t="s">
        <v>25</v>
      </c>
      <c r="E5958">
        <v>1</v>
      </c>
      <c r="F5958" s="3">
        <f ca="1">41752+(RANDBETWEEN(1,10))</f>
        <v>41757</v>
      </c>
      <c r="G5958" t="s">
        <v>26</v>
      </c>
      <c r="H5958" t="s">
        <v>27</v>
      </c>
      <c r="I5958" t="s">
        <v>86</v>
      </c>
      <c r="J5958">
        <v>79.135000000000005</v>
      </c>
      <c r="K5958">
        <v>0.03</v>
      </c>
      <c r="L5958">
        <v>0.56999999999999995</v>
      </c>
      <c r="M5958">
        <v>26.285</v>
      </c>
      <c r="N5958">
        <v>-29.4</v>
      </c>
      <c r="O5958" s="1" t="s">
        <v>225</v>
      </c>
      <c r="P5958" s="1" t="s">
        <v>9486</v>
      </c>
      <c r="Q5958" s="1" t="s">
        <v>9487</v>
      </c>
      <c r="R5958" s="1" t="s">
        <v>228</v>
      </c>
      <c r="S5958" s="1" t="s">
        <v>9488</v>
      </c>
      <c r="T5958" s="1" t="s">
        <v>9489</v>
      </c>
      <c r="U5958" s="2" t="s">
        <v>5539</v>
      </c>
      <c r="V5958" s="2" t="s">
        <v>47</v>
      </c>
      <c r="W5958" s="2" t="s">
        <v>119</v>
      </c>
      <c r="X5958" s="2">
        <v>52.395000000000003</v>
      </c>
    </row>
    <row r="5959" spans="1:24" x14ac:dyDescent="0.3">
      <c r="A5959">
        <v>23780</v>
      </c>
      <c r="B5959" t="s">
        <v>12368</v>
      </c>
      <c r="C5959" s="3">
        <v>40654</v>
      </c>
      <c r="D5959" t="s">
        <v>25</v>
      </c>
      <c r="E5959">
        <v>8</v>
      </c>
      <c r="F5959" s="3">
        <f ca="1">40658+(RANDBETWEEN(1,10))</f>
        <v>40661</v>
      </c>
      <c r="G5959" t="s">
        <v>76</v>
      </c>
      <c r="H5959" t="s">
        <v>258</v>
      </c>
      <c r="I5959" t="s">
        <v>86</v>
      </c>
      <c r="J5959">
        <v>6265.35</v>
      </c>
      <c r="K5959">
        <v>0.04</v>
      </c>
      <c r="L5959">
        <v>0.73</v>
      </c>
      <c r="M5959">
        <v>385.7</v>
      </c>
      <c r="N5959">
        <v>-1798.26647</v>
      </c>
      <c r="O5959" s="1" t="s">
        <v>225</v>
      </c>
      <c r="P5959" s="1" t="s">
        <v>9486</v>
      </c>
      <c r="Q5959" s="1" t="s">
        <v>9487</v>
      </c>
      <c r="R5959" s="1" t="s">
        <v>228</v>
      </c>
      <c r="S5959" s="1" t="s">
        <v>9488</v>
      </c>
      <c r="T5959" s="1" t="s">
        <v>9489</v>
      </c>
      <c r="U5959" s="2" t="s">
        <v>1775</v>
      </c>
      <c r="V5959" s="2" t="s">
        <v>83</v>
      </c>
      <c r="W5959" s="2" t="s">
        <v>263</v>
      </c>
      <c r="X5959" s="2">
        <v>744.1</v>
      </c>
    </row>
    <row r="5960" spans="1:24" x14ac:dyDescent="0.3">
      <c r="A5960">
        <v>23781</v>
      </c>
      <c r="B5960" t="s">
        <v>12370</v>
      </c>
      <c r="C5960" s="3">
        <v>41761</v>
      </c>
      <c r="D5960" t="s">
        <v>148</v>
      </c>
      <c r="E5960">
        <v>14</v>
      </c>
      <c r="F5960" s="3">
        <f ca="1">41762+(RANDBETWEEN(1,10))</f>
        <v>41771</v>
      </c>
      <c r="G5960" t="s">
        <v>26</v>
      </c>
      <c r="H5960" t="s">
        <v>51</v>
      </c>
      <c r="I5960" t="s">
        <v>86</v>
      </c>
      <c r="J5960">
        <v>1405.2850000000001</v>
      </c>
      <c r="K5960">
        <v>0.05</v>
      </c>
      <c r="L5960">
        <v>0.5</v>
      </c>
      <c r="M5960">
        <v>6.9649999999999999</v>
      </c>
      <c r="N5960">
        <v>969.64665000000002</v>
      </c>
      <c r="O5960" s="1" t="s">
        <v>225</v>
      </c>
      <c r="P5960" s="1" t="s">
        <v>9556</v>
      </c>
      <c r="Q5960" s="1" t="s">
        <v>9557</v>
      </c>
      <c r="R5960" s="1" t="s">
        <v>228</v>
      </c>
      <c r="S5960" s="1" t="s">
        <v>6990</v>
      </c>
      <c r="T5960" s="1" t="s">
        <v>6991</v>
      </c>
      <c r="U5960" s="2" t="s">
        <v>124</v>
      </c>
      <c r="V5960" s="2" t="s">
        <v>36</v>
      </c>
      <c r="W5960" s="2" t="s">
        <v>60</v>
      </c>
      <c r="X5960" s="2">
        <v>104.61499999999999</v>
      </c>
    </row>
    <row r="5961" spans="1:24" x14ac:dyDescent="0.3">
      <c r="A5961">
        <v>23782</v>
      </c>
      <c r="B5961" t="s">
        <v>12371</v>
      </c>
      <c r="C5961" s="3">
        <v>40665</v>
      </c>
      <c r="D5961" t="s">
        <v>148</v>
      </c>
      <c r="E5961">
        <v>14</v>
      </c>
      <c r="F5961" s="3">
        <f ca="1">40667+(RANDBETWEEN(1,10))</f>
        <v>40677</v>
      </c>
      <c r="G5961" t="s">
        <v>26</v>
      </c>
      <c r="H5961" t="s">
        <v>96</v>
      </c>
      <c r="I5961" t="s">
        <v>86</v>
      </c>
      <c r="J5961">
        <v>181.965</v>
      </c>
      <c r="K5961">
        <v>0.08</v>
      </c>
      <c r="L5961">
        <v>0.37</v>
      </c>
      <c r="M5961">
        <v>4.55</v>
      </c>
      <c r="N5961">
        <v>99.4</v>
      </c>
      <c r="O5961" s="1" t="s">
        <v>225</v>
      </c>
      <c r="P5961" s="1" t="s">
        <v>9556</v>
      </c>
      <c r="Q5961" s="1" t="s">
        <v>9557</v>
      </c>
      <c r="R5961" s="1" t="s">
        <v>228</v>
      </c>
      <c r="S5961" s="1" t="s">
        <v>6990</v>
      </c>
      <c r="T5961" s="1" t="s">
        <v>6991</v>
      </c>
      <c r="U5961" s="2" t="s">
        <v>2823</v>
      </c>
      <c r="V5961" s="2" t="s">
        <v>47</v>
      </c>
      <c r="W5961" s="2" t="s">
        <v>74</v>
      </c>
      <c r="X5961" s="2">
        <v>14</v>
      </c>
    </row>
    <row r="5962" spans="1:24" x14ac:dyDescent="0.3">
      <c r="A5962">
        <v>23783</v>
      </c>
      <c r="B5962" t="s">
        <v>12372</v>
      </c>
      <c r="C5962" s="3">
        <v>41383</v>
      </c>
      <c r="D5962" t="s">
        <v>148</v>
      </c>
      <c r="E5962">
        <v>2</v>
      </c>
      <c r="F5962" s="3">
        <f ca="1">41384+(RANDBETWEEN(1,10))</f>
        <v>41386</v>
      </c>
      <c r="G5962" t="s">
        <v>76</v>
      </c>
      <c r="H5962" t="s">
        <v>77</v>
      </c>
      <c r="I5962" t="s">
        <v>97</v>
      </c>
      <c r="J5962">
        <v>620.69000000000005</v>
      </c>
      <c r="K5962">
        <v>0.1</v>
      </c>
      <c r="L5962">
        <v>0.66</v>
      </c>
      <c r="M5962">
        <v>147</v>
      </c>
      <c r="N5962">
        <v>-986.16</v>
      </c>
      <c r="O5962" s="1" t="s">
        <v>53</v>
      </c>
      <c r="P5962" s="1" t="s">
        <v>7055</v>
      </c>
      <c r="Q5962" s="1" t="s">
        <v>7056</v>
      </c>
      <c r="R5962" s="1" t="s">
        <v>440</v>
      </c>
      <c r="S5962" s="1" t="s">
        <v>3015</v>
      </c>
      <c r="T5962" s="1" t="s">
        <v>3016</v>
      </c>
      <c r="U5962" s="2" t="s">
        <v>2462</v>
      </c>
      <c r="V5962" s="2" t="s">
        <v>83</v>
      </c>
      <c r="W5962" s="2" t="s">
        <v>84</v>
      </c>
      <c r="X5962" s="2">
        <v>314.96499999999997</v>
      </c>
    </row>
    <row r="5963" spans="1:24" x14ac:dyDescent="0.3">
      <c r="A5963">
        <v>23784</v>
      </c>
      <c r="B5963" t="s">
        <v>12372</v>
      </c>
      <c r="C5963" s="3">
        <v>41383</v>
      </c>
      <c r="D5963" t="s">
        <v>148</v>
      </c>
      <c r="E5963">
        <v>5</v>
      </c>
      <c r="F5963" s="3">
        <f ca="1">41383+(RANDBETWEEN(1,10))</f>
        <v>41392</v>
      </c>
      <c r="G5963" t="s">
        <v>156</v>
      </c>
      <c r="H5963" t="s">
        <v>96</v>
      </c>
      <c r="I5963" t="s">
        <v>97</v>
      </c>
      <c r="J5963">
        <v>55.055</v>
      </c>
      <c r="K5963">
        <v>0.1</v>
      </c>
      <c r="L5963">
        <v>0.84</v>
      </c>
      <c r="M5963">
        <v>6.72</v>
      </c>
      <c r="N5963">
        <v>-115.88500000000001</v>
      </c>
      <c r="O5963" s="1" t="s">
        <v>53</v>
      </c>
      <c r="P5963" s="1" t="s">
        <v>7055</v>
      </c>
      <c r="Q5963" s="1" t="s">
        <v>7056</v>
      </c>
      <c r="R5963" s="1" t="s">
        <v>440</v>
      </c>
      <c r="S5963" s="1" t="s">
        <v>3015</v>
      </c>
      <c r="T5963" s="1" t="s">
        <v>3016</v>
      </c>
      <c r="U5963" s="2" t="s">
        <v>524</v>
      </c>
      <c r="V5963" s="2" t="s">
        <v>47</v>
      </c>
      <c r="W5963" s="2" t="s">
        <v>94</v>
      </c>
      <c r="X5963" s="2">
        <v>10.99</v>
      </c>
    </row>
    <row r="5964" spans="1:24" x14ac:dyDescent="0.3">
      <c r="A5964">
        <v>23785</v>
      </c>
      <c r="B5964" t="s">
        <v>12373</v>
      </c>
      <c r="C5964" s="3">
        <v>41724</v>
      </c>
      <c r="D5964" t="s">
        <v>62</v>
      </c>
      <c r="E5964">
        <v>1</v>
      </c>
      <c r="F5964" s="3">
        <f ca="1">41727+(RANDBETWEEN(1,10))</f>
        <v>41733</v>
      </c>
      <c r="G5964" t="s">
        <v>26</v>
      </c>
      <c r="H5964" t="s">
        <v>27</v>
      </c>
      <c r="I5964" t="s">
        <v>86</v>
      </c>
      <c r="J5964">
        <v>120.36499999999999</v>
      </c>
      <c r="K5964">
        <v>0.08</v>
      </c>
      <c r="L5964">
        <v>0.76</v>
      </c>
      <c r="M5964">
        <v>26.355</v>
      </c>
      <c r="N5964">
        <v>-485.94</v>
      </c>
      <c r="O5964" s="1" t="s">
        <v>64</v>
      </c>
      <c r="P5964" s="1" t="s">
        <v>637</v>
      </c>
      <c r="Q5964" s="1" t="s">
        <v>638</v>
      </c>
      <c r="R5964" s="1" t="s">
        <v>67</v>
      </c>
      <c r="S5964" s="1" t="s">
        <v>639</v>
      </c>
      <c r="T5964" s="1" t="s">
        <v>640</v>
      </c>
      <c r="U5964" s="2" t="s">
        <v>5838</v>
      </c>
      <c r="V5964" s="2" t="s">
        <v>36</v>
      </c>
      <c r="W5964" s="2" t="s">
        <v>60</v>
      </c>
      <c r="X5964" s="2">
        <v>122.43</v>
      </c>
    </row>
    <row r="5965" spans="1:24" x14ac:dyDescent="0.3">
      <c r="A5965">
        <v>23786</v>
      </c>
      <c r="B5965" t="s">
        <v>12374</v>
      </c>
      <c r="C5965" s="3">
        <v>41166</v>
      </c>
      <c r="D5965" t="s">
        <v>148</v>
      </c>
      <c r="E5965">
        <v>12</v>
      </c>
      <c r="F5965" s="3">
        <f ca="1">41166+(RANDBETWEEN(1,10))</f>
        <v>41169</v>
      </c>
      <c r="G5965" t="s">
        <v>156</v>
      </c>
      <c r="H5965" t="s">
        <v>27</v>
      </c>
      <c r="I5965" t="s">
        <v>28</v>
      </c>
      <c r="J5965">
        <v>586.63499999999999</v>
      </c>
      <c r="K5965">
        <v>0.08</v>
      </c>
      <c r="L5965">
        <v>0.38</v>
      </c>
      <c r="M5965">
        <v>25.445</v>
      </c>
      <c r="N5965">
        <v>13.71475</v>
      </c>
      <c r="O5965" s="1" t="s">
        <v>87</v>
      </c>
      <c r="P5965" s="1" t="s">
        <v>11915</v>
      </c>
      <c r="Q5965" s="1" t="s">
        <v>11916</v>
      </c>
      <c r="R5965" s="1" t="s">
        <v>90</v>
      </c>
      <c r="S5965" s="1" t="s">
        <v>11917</v>
      </c>
      <c r="T5965" s="1" t="s">
        <v>11918</v>
      </c>
      <c r="U5965" s="2" t="s">
        <v>3821</v>
      </c>
      <c r="V5965" s="2" t="s">
        <v>47</v>
      </c>
      <c r="W5965" s="2" t="s">
        <v>111</v>
      </c>
      <c r="X5965" s="2">
        <v>49.945</v>
      </c>
    </row>
    <row r="5966" spans="1:24" x14ac:dyDescent="0.3">
      <c r="A5966">
        <v>23787</v>
      </c>
      <c r="B5966" t="s">
        <v>12375</v>
      </c>
      <c r="C5966" s="3">
        <v>41896</v>
      </c>
      <c r="D5966" t="s">
        <v>148</v>
      </c>
      <c r="E5966">
        <v>24</v>
      </c>
      <c r="F5966" s="3">
        <f ca="1">41897+(RANDBETWEEN(1,10))</f>
        <v>41902</v>
      </c>
      <c r="G5966" t="s">
        <v>26</v>
      </c>
      <c r="H5966" t="s">
        <v>281</v>
      </c>
      <c r="I5966" t="s">
        <v>28</v>
      </c>
      <c r="J5966">
        <v>23467.044999999998</v>
      </c>
      <c r="K5966">
        <v>0.09</v>
      </c>
      <c r="L5966">
        <v>0.39</v>
      </c>
      <c r="M5966">
        <v>48.965000000000003</v>
      </c>
      <c r="N5966">
        <v>16192.261049999999</v>
      </c>
      <c r="O5966" s="1" t="s">
        <v>87</v>
      </c>
      <c r="P5966" s="1" t="s">
        <v>11915</v>
      </c>
      <c r="Q5966" s="1" t="s">
        <v>11916</v>
      </c>
      <c r="R5966" s="1" t="s">
        <v>90</v>
      </c>
      <c r="S5966" s="1" t="s">
        <v>11917</v>
      </c>
      <c r="T5966" s="1" t="s">
        <v>11918</v>
      </c>
      <c r="U5966" s="2" t="s">
        <v>6972</v>
      </c>
      <c r="V5966" s="2" t="s">
        <v>36</v>
      </c>
      <c r="W5966" s="2" t="s">
        <v>142</v>
      </c>
      <c r="X5966" s="2">
        <v>1053.43</v>
      </c>
    </row>
    <row r="5967" spans="1:24" x14ac:dyDescent="0.3">
      <c r="A5967">
        <v>23788</v>
      </c>
      <c r="B5967" t="s">
        <v>12375</v>
      </c>
      <c r="C5967" s="3">
        <v>41896</v>
      </c>
      <c r="D5967" t="s">
        <v>148</v>
      </c>
      <c r="E5967">
        <v>11</v>
      </c>
      <c r="F5967" s="3">
        <f ca="1">41898+(RANDBETWEEN(1,10))</f>
        <v>41900</v>
      </c>
      <c r="G5967" t="s">
        <v>156</v>
      </c>
      <c r="H5967" t="s">
        <v>96</v>
      </c>
      <c r="I5967" t="s">
        <v>28</v>
      </c>
      <c r="J5967">
        <v>236.25</v>
      </c>
      <c r="K5967">
        <v>0</v>
      </c>
      <c r="L5967">
        <v>0.55000000000000004</v>
      </c>
      <c r="M5967">
        <v>4.2</v>
      </c>
      <c r="N5967">
        <v>92.723399999999998</v>
      </c>
      <c r="O5967" s="1" t="s">
        <v>87</v>
      </c>
      <c r="P5967" s="1" t="s">
        <v>11915</v>
      </c>
      <c r="Q5967" s="1" t="s">
        <v>11916</v>
      </c>
      <c r="R5967" s="1" t="s">
        <v>90</v>
      </c>
      <c r="S5967" s="1" t="s">
        <v>11917</v>
      </c>
      <c r="T5967" s="1" t="s">
        <v>11918</v>
      </c>
      <c r="U5967" s="2" t="s">
        <v>4460</v>
      </c>
      <c r="V5967" s="2" t="s">
        <v>47</v>
      </c>
      <c r="W5967" s="2" t="s">
        <v>104</v>
      </c>
      <c r="X5967" s="2">
        <v>20.440000000000001</v>
      </c>
    </row>
    <row r="5968" spans="1:24" x14ac:dyDescent="0.3">
      <c r="A5968">
        <v>23789</v>
      </c>
      <c r="B5968" t="s">
        <v>12375</v>
      </c>
      <c r="C5968" s="3">
        <v>41896</v>
      </c>
      <c r="D5968" t="s">
        <v>148</v>
      </c>
      <c r="E5968">
        <v>24</v>
      </c>
      <c r="F5968" s="3">
        <f ca="1">41897+(RANDBETWEEN(1,10))</f>
        <v>41900</v>
      </c>
      <c r="G5968" t="s">
        <v>76</v>
      </c>
      <c r="H5968" t="s">
        <v>258</v>
      </c>
      <c r="I5968" t="s">
        <v>28</v>
      </c>
      <c r="J5968">
        <v>33384.47</v>
      </c>
      <c r="K5968">
        <v>0.04</v>
      </c>
      <c r="L5968">
        <v>0.71</v>
      </c>
      <c r="M5968">
        <v>148.82</v>
      </c>
      <c r="N5968">
        <v>8912.7108000000007</v>
      </c>
      <c r="O5968" s="1" t="s">
        <v>87</v>
      </c>
      <c r="P5968" s="1" t="s">
        <v>11915</v>
      </c>
      <c r="Q5968" s="1" t="s">
        <v>11916</v>
      </c>
      <c r="R5968" s="1" t="s">
        <v>90</v>
      </c>
      <c r="S5968" s="1" t="s">
        <v>11917</v>
      </c>
      <c r="T5968" s="1" t="s">
        <v>11918</v>
      </c>
      <c r="U5968" s="2" t="s">
        <v>2984</v>
      </c>
      <c r="V5968" s="2" t="s">
        <v>83</v>
      </c>
      <c r="W5968" s="2" t="s">
        <v>263</v>
      </c>
      <c r="X5968" s="2">
        <v>1403.43</v>
      </c>
    </row>
    <row r="5969" spans="1:24" x14ac:dyDescent="0.3">
      <c r="A5969">
        <v>23790</v>
      </c>
      <c r="B5969" t="s">
        <v>12376</v>
      </c>
      <c r="C5969" s="3">
        <v>41964</v>
      </c>
      <c r="D5969" t="s">
        <v>25</v>
      </c>
      <c r="E5969">
        <v>20</v>
      </c>
      <c r="F5969" s="3">
        <f ca="1">41966+(RANDBETWEEN(1,10))</f>
        <v>41968</v>
      </c>
      <c r="G5969" t="s">
        <v>26</v>
      </c>
      <c r="H5969" t="s">
        <v>51</v>
      </c>
      <c r="I5969" t="s">
        <v>97</v>
      </c>
      <c r="J5969">
        <v>1539.86</v>
      </c>
      <c r="K5969">
        <v>0.01</v>
      </c>
      <c r="L5969">
        <v>0.59</v>
      </c>
      <c r="M5969">
        <v>31.465</v>
      </c>
      <c r="N5969">
        <v>55.362160000000003</v>
      </c>
      <c r="O5969" s="1" t="s">
        <v>87</v>
      </c>
      <c r="P5969" s="1" t="s">
        <v>6280</v>
      </c>
      <c r="Q5969" s="1" t="s">
        <v>6281</v>
      </c>
      <c r="R5969" s="1" t="s">
        <v>398</v>
      </c>
      <c r="S5969" s="1" t="s">
        <v>6282</v>
      </c>
      <c r="T5969" s="1" t="s">
        <v>6283</v>
      </c>
      <c r="U5969" s="2" t="s">
        <v>2789</v>
      </c>
      <c r="V5969" s="2" t="s">
        <v>47</v>
      </c>
      <c r="W5969" s="2" t="s">
        <v>104</v>
      </c>
      <c r="X5969" s="2">
        <v>74.83</v>
      </c>
    </row>
    <row r="5970" spans="1:24" x14ac:dyDescent="0.3">
      <c r="A5970">
        <v>23791</v>
      </c>
      <c r="B5970" t="s">
        <v>12376</v>
      </c>
      <c r="C5970" s="3">
        <v>41964</v>
      </c>
      <c r="D5970" t="s">
        <v>25</v>
      </c>
      <c r="E5970">
        <v>9</v>
      </c>
      <c r="F5970" s="3">
        <f ca="1">41971+(RANDBETWEEN(1,10))</f>
        <v>41973</v>
      </c>
      <c r="G5970" t="s">
        <v>26</v>
      </c>
      <c r="H5970" t="s">
        <v>51</v>
      </c>
      <c r="I5970" t="s">
        <v>97</v>
      </c>
      <c r="J5970">
        <v>971.35500000000002</v>
      </c>
      <c r="K5970">
        <v>0.04</v>
      </c>
      <c r="L5970">
        <v>0.35</v>
      </c>
      <c r="M5970">
        <v>3.4649999999999999</v>
      </c>
      <c r="N5970">
        <v>364.56235199999998</v>
      </c>
      <c r="O5970" s="1" t="s">
        <v>87</v>
      </c>
      <c r="P5970" s="1" t="s">
        <v>6280</v>
      </c>
      <c r="Q5970" s="1" t="s">
        <v>6281</v>
      </c>
      <c r="R5970" s="1" t="s">
        <v>398</v>
      </c>
      <c r="S5970" s="1" t="s">
        <v>6282</v>
      </c>
      <c r="T5970" s="1" t="s">
        <v>6283</v>
      </c>
      <c r="U5970" s="2" t="s">
        <v>1868</v>
      </c>
      <c r="V5970" s="2" t="s">
        <v>36</v>
      </c>
      <c r="W5970" s="2" t="s">
        <v>37</v>
      </c>
      <c r="X5970" s="2">
        <v>125.965</v>
      </c>
    </row>
    <row r="5971" spans="1:24" x14ac:dyDescent="0.3">
      <c r="A5971">
        <v>23792</v>
      </c>
      <c r="B5971" t="s">
        <v>12376</v>
      </c>
      <c r="C5971" s="3">
        <v>41964</v>
      </c>
      <c r="D5971" t="s">
        <v>25</v>
      </c>
      <c r="E5971">
        <v>23</v>
      </c>
      <c r="F5971" s="3">
        <f ca="1">41971+(RANDBETWEEN(1,10))</f>
        <v>41974</v>
      </c>
      <c r="G5971" t="s">
        <v>26</v>
      </c>
      <c r="H5971" t="s">
        <v>51</v>
      </c>
      <c r="I5971" t="s">
        <v>97</v>
      </c>
      <c r="J5971">
        <v>5918.01</v>
      </c>
      <c r="K5971">
        <v>0.06</v>
      </c>
      <c r="L5971">
        <v>0.39</v>
      </c>
      <c r="M5971">
        <v>4.375</v>
      </c>
      <c r="N5971">
        <v>4083.4268999999999</v>
      </c>
      <c r="O5971" s="1" t="s">
        <v>87</v>
      </c>
      <c r="P5971" s="1" t="s">
        <v>6280</v>
      </c>
      <c r="Q5971" s="1" t="s">
        <v>6281</v>
      </c>
      <c r="R5971" s="1" t="s">
        <v>398</v>
      </c>
      <c r="S5971" s="1" t="s">
        <v>6282</v>
      </c>
      <c r="T5971" s="1" t="s">
        <v>6283</v>
      </c>
      <c r="U5971" s="2" t="s">
        <v>1978</v>
      </c>
      <c r="V5971" s="2" t="s">
        <v>36</v>
      </c>
      <c r="W5971" s="2" t="s">
        <v>37</v>
      </c>
      <c r="X5971" s="2">
        <v>300.96499999999997</v>
      </c>
    </row>
    <row r="5972" spans="1:24" x14ac:dyDescent="0.3">
      <c r="A5972">
        <v>23793</v>
      </c>
      <c r="B5972" t="s">
        <v>12377</v>
      </c>
      <c r="C5972" s="3">
        <v>40687</v>
      </c>
      <c r="D5972" t="s">
        <v>148</v>
      </c>
      <c r="E5972">
        <v>12</v>
      </c>
      <c r="F5972" s="3">
        <f ca="1">40688+(RANDBETWEEN(1,10))</f>
        <v>40690</v>
      </c>
      <c r="G5972" t="s">
        <v>156</v>
      </c>
      <c r="H5972" t="s">
        <v>63</v>
      </c>
      <c r="I5972" t="s">
        <v>52</v>
      </c>
      <c r="J5972">
        <v>8282.7849999999999</v>
      </c>
      <c r="K5972">
        <v>0.1</v>
      </c>
      <c r="L5972">
        <v>0.56999999999999995</v>
      </c>
      <c r="M5972">
        <v>63.21</v>
      </c>
      <c r="N5972">
        <v>4615.9049999999997</v>
      </c>
      <c r="O5972" s="1" t="s">
        <v>64</v>
      </c>
      <c r="P5972" s="1" t="s">
        <v>11448</v>
      </c>
      <c r="Q5972" s="1" t="s">
        <v>11449</v>
      </c>
      <c r="R5972" s="1" t="s">
        <v>67</v>
      </c>
      <c r="S5972" s="1" t="s">
        <v>11450</v>
      </c>
      <c r="T5972" s="1" t="s">
        <v>11451</v>
      </c>
      <c r="U5972" s="2" t="s">
        <v>773</v>
      </c>
      <c r="V5972" s="2" t="s">
        <v>83</v>
      </c>
      <c r="W5972" s="2" t="s">
        <v>84</v>
      </c>
      <c r="X5972" s="2">
        <v>763.28</v>
      </c>
    </row>
    <row r="5973" spans="1:24" x14ac:dyDescent="0.3">
      <c r="A5973">
        <v>23794</v>
      </c>
      <c r="B5973" t="s">
        <v>12378</v>
      </c>
      <c r="C5973" s="3">
        <v>41645</v>
      </c>
      <c r="D5973" t="s">
        <v>25</v>
      </c>
      <c r="E5973">
        <v>13</v>
      </c>
      <c r="F5973" s="3">
        <f ca="1">41647+(RANDBETWEEN(1,10))</f>
        <v>41655</v>
      </c>
      <c r="G5973" t="s">
        <v>26</v>
      </c>
      <c r="H5973" t="s">
        <v>27</v>
      </c>
      <c r="I5973" t="s">
        <v>28</v>
      </c>
      <c r="J5973">
        <v>295.71499999999997</v>
      </c>
      <c r="K5973">
        <v>0.09</v>
      </c>
      <c r="L5973">
        <v>0.37</v>
      </c>
      <c r="M5973">
        <v>30.555</v>
      </c>
      <c r="N5973">
        <v>890.12699999999995</v>
      </c>
      <c r="O5973" s="1" t="s">
        <v>53</v>
      </c>
      <c r="P5973" s="1" t="s">
        <v>1361</v>
      </c>
      <c r="Q5973" s="1" t="s">
        <v>1362</v>
      </c>
      <c r="R5973" s="1" t="s">
        <v>440</v>
      </c>
      <c r="S5973" s="1" t="s">
        <v>1363</v>
      </c>
      <c r="T5973" s="1" t="s">
        <v>1364</v>
      </c>
      <c r="U5973" s="2" t="s">
        <v>2564</v>
      </c>
      <c r="V5973" s="2" t="s">
        <v>47</v>
      </c>
      <c r="W5973" s="2" t="s">
        <v>74</v>
      </c>
      <c r="X5973" s="2">
        <v>22.68</v>
      </c>
    </row>
    <row r="5974" spans="1:24" x14ac:dyDescent="0.3">
      <c r="A5974">
        <v>23795</v>
      </c>
      <c r="B5974" t="s">
        <v>12379</v>
      </c>
      <c r="C5974" s="3">
        <v>40549</v>
      </c>
      <c r="D5974" t="s">
        <v>25</v>
      </c>
      <c r="E5974">
        <v>2</v>
      </c>
      <c r="F5974" s="3">
        <f ca="1">40553+(RANDBETWEEN(1,10))</f>
        <v>40556</v>
      </c>
      <c r="G5974" t="s">
        <v>26</v>
      </c>
      <c r="H5974" t="s">
        <v>63</v>
      </c>
      <c r="I5974" t="s">
        <v>28</v>
      </c>
      <c r="J5974">
        <v>185.57</v>
      </c>
      <c r="K5974">
        <v>0.05</v>
      </c>
      <c r="L5974">
        <v>0.84</v>
      </c>
      <c r="M5974">
        <v>122.5</v>
      </c>
      <c r="N5974">
        <v>184.71600000000001</v>
      </c>
      <c r="O5974" s="1" t="s">
        <v>53</v>
      </c>
      <c r="P5974" s="1" t="s">
        <v>1361</v>
      </c>
      <c r="Q5974" s="1" t="s">
        <v>1362</v>
      </c>
      <c r="R5974" s="1" t="s">
        <v>440</v>
      </c>
      <c r="S5974" s="1" t="s">
        <v>1363</v>
      </c>
      <c r="T5974" s="1" t="s">
        <v>1364</v>
      </c>
      <c r="U5974" s="2" t="s">
        <v>2742</v>
      </c>
      <c r="V5974" s="2" t="s">
        <v>47</v>
      </c>
      <c r="W5974" s="2" t="s">
        <v>119</v>
      </c>
      <c r="X5974" s="2">
        <v>71.19</v>
      </c>
    </row>
    <row r="5975" spans="1:24" x14ac:dyDescent="0.3">
      <c r="A5975">
        <v>23796</v>
      </c>
      <c r="B5975" t="s">
        <v>12380</v>
      </c>
      <c r="C5975" s="3">
        <v>41827</v>
      </c>
      <c r="D5975" t="s">
        <v>25</v>
      </c>
      <c r="E5975">
        <v>12</v>
      </c>
      <c r="F5975" s="3">
        <f ca="1">41829+(RANDBETWEEN(1,10))</f>
        <v>41839</v>
      </c>
      <c r="G5975" t="s">
        <v>26</v>
      </c>
      <c r="H5975" t="s">
        <v>281</v>
      </c>
      <c r="I5975" t="s">
        <v>52</v>
      </c>
      <c r="J5975">
        <v>1044.8900000000001</v>
      </c>
      <c r="K5975">
        <v>0.09</v>
      </c>
      <c r="L5975" t="s">
        <v>182</v>
      </c>
      <c r="M5975">
        <v>18.55</v>
      </c>
      <c r="N5975">
        <v>382.70400000000001</v>
      </c>
      <c r="O5975" s="1" t="s">
        <v>40</v>
      </c>
      <c r="P5975" s="1" t="s">
        <v>11091</v>
      </c>
      <c r="Q5975" s="1" t="s">
        <v>11092</v>
      </c>
      <c r="R5975" s="1" t="s">
        <v>43</v>
      </c>
      <c r="S5975" s="1" t="s">
        <v>11093</v>
      </c>
      <c r="T5975" s="1" t="s">
        <v>11094</v>
      </c>
      <c r="U5975" s="2" t="s">
        <v>9528</v>
      </c>
      <c r="V5975" s="2" t="s">
        <v>83</v>
      </c>
      <c r="W5975" s="2" t="s">
        <v>84</v>
      </c>
      <c r="X5975" s="2">
        <v>93.24</v>
      </c>
    </row>
    <row r="5976" spans="1:24" x14ac:dyDescent="0.3">
      <c r="A5976">
        <v>23797</v>
      </c>
      <c r="B5976" t="s">
        <v>12380</v>
      </c>
      <c r="C5976" s="3">
        <v>41827</v>
      </c>
      <c r="D5976" t="s">
        <v>25</v>
      </c>
      <c r="E5976">
        <v>5</v>
      </c>
      <c r="F5976" s="3">
        <f ca="1">41829+(RANDBETWEEN(1,10))</f>
        <v>41834</v>
      </c>
      <c r="G5976" t="s">
        <v>26</v>
      </c>
      <c r="H5976" t="s">
        <v>281</v>
      </c>
      <c r="I5976" t="s">
        <v>52</v>
      </c>
      <c r="J5976">
        <v>58.38</v>
      </c>
      <c r="K5976">
        <v>0.02</v>
      </c>
      <c r="L5976">
        <v>0.48</v>
      </c>
      <c r="M5976">
        <v>3.4649999999999999</v>
      </c>
      <c r="N5976">
        <v>36.290239999999997</v>
      </c>
      <c r="O5976" s="1" t="s">
        <v>40</v>
      </c>
      <c r="P5976" s="1" t="s">
        <v>11091</v>
      </c>
      <c r="Q5976" s="1" t="s">
        <v>11092</v>
      </c>
      <c r="R5976" s="1" t="s">
        <v>43</v>
      </c>
      <c r="S5976" s="1" t="s">
        <v>11093</v>
      </c>
      <c r="T5976" s="1" t="s">
        <v>11094</v>
      </c>
      <c r="U5976" s="2" t="s">
        <v>3578</v>
      </c>
      <c r="V5976" s="2" t="s">
        <v>83</v>
      </c>
      <c r="W5976" s="2" t="s">
        <v>178</v>
      </c>
      <c r="X5976" s="2">
        <v>10.78</v>
      </c>
    </row>
    <row r="5977" spans="1:24" x14ac:dyDescent="0.3">
      <c r="A5977">
        <v>23798</v>
      </c>
      <c r="B5977" t="s">
        <v>12381</v>
      </c>
      <c r="C5977" s="3">
        <v>40960</v>
      </c>
      <c r="D5977" t="s">
        <v>50</v>
      </c>
      <c r="E5977">
        <v>7</v>
      </c>
      <c r="F5977" s="3">
        <f ca="1">40962+(RANDBETWEEN(1,10))</f>
        <v>40969</v>
      </c>
      <c r="G5977" t="s">
        <v>156</v>
      </c>
      <c r="H5977" t="s">
        <v>51</v>
      </c>
      <c r="I5977" t="s">
        <v>97</v>
      </c>
      <c r="J5977">
        <v>51.73</v>
      </c>
      <c r="K5977">
        <v>0.06</v>
      </c>
      <c r="L5977">
        <v>0.53</v>
      </c>
      <c r="M5977">
        <v>14.28</v>
      </c>
      <c r="N5977">
        <v>-269.08</v>
      </c>
      <c r="O5977" s="1" t="s">
        <v>87</v>
      </c>
      <c r="P5977" s="1" t="s">
        <v>12382</v>
      </c>
      <c r="Q5977" s="1" t="s">
        <v>12383</v>
      </c>
      <c r="R5977" s="1" t="s">
        <v>646</v>
      </c>
      <c r="S5977" s="1" t="s">
        <v>12384</v>
      </c>
      <c r="T5977" s="1" t="s">
        <v>3195</v>
      </c>
      <c r="U5977" s="2" t="s">
        <v>2747</v>
      </c>
      <c r="V5977" s="2" t="s">
        <v>83</v>
      </c>
      <c r="W5977" s="2" t="s">
        <v>178</v>
      </c>
      <c r="X5977" s="2">
        <v>6.09</v>
      </c>
    </row>
    <row r="5978" spans="1:24" x14ac:dyDescent="0.3">
      <c r="A5978">
        <v>23799</v>
      </c>
      <c r="B5978" t="s">
        <v>12385</v>
      </c>
      <c r="C5978" s="3">
        <v>41979</v>
      </c>
      <c r="D5978" t="s">
        <v>25</v>
      </c>
      <c r="E5978">
        <v>14</v>
      </c>
      <c r="F5978" s="3">
        <f ca="1">41984+(RANDBETWEEN(1,10))</f>
        <v>41988</v>
      </c>
      <c r="G5978" t="s">
        <v>26</v>
      </c>
      <c r="H5978" t="s">
        <v>27</v>
      </c>
      <c r="I5978" t="s">
        <v>86</v>
      </c>
      <c r="J5978">
        <v>585.20000000000005</v>
      </c>
      <c r="K5978">
        <v>0.04</v>
      </c>
      <c r="L5978">
        <v>0.36</v>
      </c>
      <c r="M5978">
        <v>17.535</v>
      </c>
      <c r="N5978">
        <v>316.18495999999999</v>
      </c>
      <c r="O5978" s="1" t="s">
        <v>40</v>
      </c>
      <c r="P5978" s="1" t="s">
        <v>12386</v>
      </c>
      <c r="Q5978" s="1" t="s">
        <v>12387</v>
      </c>
      <c r="R5978" s="1" t="s">
        <v>43</v>
      </c>
      <c r="S5978" s="1" t="s">
        <v>1296</v>
      </c>
      <c r="T5978" s="1" t="s">
        <v>1297</v>
      </c>
      <c r="U5978" s="2" t="s">
        <v>4556</v>
      </c>
      <c r="V5978" s="2" t="s">
        <v>47</v>
      </c>
      <c r="W5978" s="2" t="s">
        <v>74</v>
      </c>
      <c r="X5978" s="2">
        <v>39.69</v>
      </c>
    </row>
    <row r="5979" spans="1:24" x14ac:dyDescent="0.3">
      <c r="A5979">
        <v>23800</v>
      </c>
      <c r="B5979" t="s">
        <v>12388</v>
      </c>
      <c r="C5979" s="3">
        <v>41520</v>
      </c>
      <c r="D5979" t="s">
        <v>39</v>
      </c>
      <c r="E5979">
        <v>24</v>
      </c>
      <c r="F5979" s="3">
        <f ca="1">41521+(RANDBETWEEN(1,10))</f>
        <v>41524</v>
      </c>
      <c r="G5979" t="s">
        <v>26</v>
      </c>
      <c r="H5979" t="s">
        <v>63</v>
      </c>
      <c r="I5979" t="s">
        <v>28</v>
      </c>
      <c r="J5979">
        <v>6347.88</v>
      </c>
      <c r="K5979">
        <v>0.03</v>
      </c>
      <c r="L5979">
        <v>0.54</v>
      </c>
      <c r="M5979">
        <v>69.825000000000003</v>
      </c>
      <c r="N5979">
        <v>1896.72</v>
      </c>
      <c r="O5979" s="1" t="s">
        <v>53</v>
      </c>
      <c r="P5979" s="1" t="s">
        <v>11473</v>
      </c>
      <c r="Q5979" s="1" t="s">
        <v>11474</v>
      </c>
      <c r="R5979" s="1" t="s">
        <v>56</v>
      </c>
      <c r="S5979" s="1" t="s">
        <v>11475</v>
      </c>
      <c r="T5979" s="1" t="s">
        <v>11476</v>
      </c>
      <c r="U5979" s="2" t="s">
        <v>3037</v>
      </c>
      <c r="V5979" s="2" t="s">
        <v>47</v>
      </c>
      <c r="W5979" s="2" t="s">
        <v>71</v>
      </c>
      <c r="X5979" s="2">
        <v>268.52</v>
      </c>
    </row>
    <row r="5980" spans="1:24" x14ac:dyDescent="0.3">
      <c r="A5980">
        <v>23801</v>
      </c>
      <c r="B5980" t="s">
        <v>12388</v>
      </c>
      <c r="C5980" s="3">
        <v>41520</v>
      </c>
      <c r="D5980" t="s">
        <v>39</v>
      </c>
      <c r="E5980">
        <v>14</v>
      </c>
      <c r="F5980" s="3">
        <f ca="1">41522+(RANDBETWEEN(1,10))</f>
        <v>41527</v>
      </c>
      <c r="G5980" t="s">
        <v>26</v>
      </c>
      <c r="H5980" t="s">
        <v>27</v>
      </c>
      <c r="I5980" t="s">
        <v>28</v>
      </c>
      <c r="J5980">
        <v>91.21</v>
      </c>
      <c r="K5980">
        <v>0.1</v>
      </c>
      <c r="L5980">
        <v>0.37</v>
      </c>
      <c r="M5980">
        <v>5.2149999999999999</v>
      </c>
      <c r="N5980">
        <v>-52.928750000000001</v>
      </c>
      <c r="O5980" s="1" t="s">
        <v>53</v>
      </c>
      <c r="P5980" s="1" t="s">
        <v>11473</v>
      </c>
      <c r="Q5980" s="1" t="s">
        <v>11474</v>
      </c>
      <c r="R5980" s="1" t="s">
        <v>56</v>
      </c>
      <c r="S5980" s="1" t="s">
        <v>11475</v>
      </c>
      <c r="T5980" s="1" t="s">
        <v>11476</v>
      </c>
      <c r="U5980" s="2" t="s">
        <v>4275</v>
      </c>
      <c r="V5980" s="2" t="s">
        <v>47</v>
      </c>
      <c r="W5980" s="2" t="s">
        <v>111</v>
      </c>
      <c r="X5980" s="2">
        <v>6.58</v>
      </c>
    </row>
    <row r="5981" spans="1:24" x14ac:dyDescent="0.3">
      <c r="A5981">
        <v>23802</v>
      </c>
      <c r="B5981" t="s">
        <v>12389</v>
      </c>
      <c r="C5981" s="3">
        <v>41700</v>
      </c>
      <c r="D5981" t="s">
        <v>148</v>
      </c>
      <c r="E5981">
        <v>7</v>
      </c>
      <c r="F5981" s="3">
        <f ca="1">41701+(RANDBETWEEN(1,10))</f>
        <v>41709</v>
      </c>
      <c r="G5981" t="s">
        <v>26</v>
      </c>
      <c r="H5981" t="s">
        <v>27</v>
      </c>
      <c r="I5981" t="s">
        <v>28</v>
      </c>
      <c r="J5981">
        <v>728.42</v>
      </c>
      <c r="K5981">
        <v>0.1</v>
      </c>
      <c r="L5981">
        <v>0.75</v>
      </c>
      <c r="M5981">
        <v>14</v>
      </c>
      <c r="N5981">
        <v>-157.85</v>
      </c>
      <c r="O5981" s="1" t="s">
        <v>40</v>
      </c>
      <c r="P5981" s="1" t="s">
        <v>7490</v>
      </c>
      <c r="Q5981" s="1" t="s">
        <v>7491</v>
      </c>
      <c r="R5981" s="1" t="s">
        <v>43</v>
      </c>
      <c r="S5981" s="1" t="s">
        <v>7492</v>
      </c>
      <c r="T5981" s="1" t="s">
        <v>7493</v>
      </c>
      <c r="U5981" s="2" t="s">
        <v>216</v>
      </c>
      <c r="V5981" s="2" t="s">
        <v>36</v>
      </c>
      <c r="W5981" s="2" t="s">
        <v>60</v>
      </c>
      <c r="X5981" s="2">
        <v>107.55500000000001</v>
      </c>
    </row>
    <row r="5982" spans="1:24" x14ac:dyDescent="0.3">
      <c r="A5982">
        <v>23803</v>
      </c>
      <c r="B5982" t="s">
        <v>12390</v>
      </c>
      <c r="C5982" s="3">
        <v>40663</v>
      </c>
      <c r="D5982" t="s">
        <v>25</v>
      </c>
      <c r="E5982">
        <v>11</v>
      </c>
      <c r="F5982" s="3">
        <f ca="1">40665+(RANDBETWEEN(1,10))</f>
        <v>40668</v>
      </c>
      <c r="G5982" t="s">
        <v>26</v>
      </c>
      <c r="H5982" t="s">
        <v>51</v>
      </c>
      <c r="I5982" t="s">
        <v>28</v>
      </c>
      <c r="J5982">
        <v>840.17499999999995</v>
      </c>
      <c r="K5982">
        <v>0.02</v>
      </c>
      <c r="L5982">
        <v>0.55000000000000004</v>
      </c>
      <c r="M5982">
        <v>10.045</v>
      </c>
      <c r="N5982">
        <v>579.72074999999995</v>
      </c>
      <c r="O5982" s="1" t="s">
        <v>53</v>
      </c>
      <c r="P5982" s="1" t="s">
        <v>12391</v>
      </c>
      <c r="Q5982" s="1" t="s">
        <v>12392</v>
      </c>
      <c r="R5982" s="1" t="s">
        <v>440</v>
      </c>
      <c r="S5982" s="1" t="s">
        <v>3710</v>
      </c>
      <c r="T5982" s="1" t="s">
        <v>3711</v>
      </c>
      <c r="U5982" s="2" t="s">
        <v>2051</v>
      </c>
      <c r="V5982" s="2" t="s">
        <v>47</v>
      </c>
      <c r="W5982" s="2" t="s">
        <v>104</v>
      </c>
      <c r="X5982" s="2">
        <v>76.930000000000007</v>
      </c>
    </row>
    <row r="5983" spans="1:24" x14ac:dyDescent="0.3">
      <c r="A5983">
        <v>23804</v>
      </c>
      <c r="B5983" t="s">
        <v>12393</v>
      </c>
      <c r="C5983" s="3">
        <v>41380</v>
      </c>
      <c r="D5983" t="s">
        <v>148</v>
      </c>
      <c r="E5983">
        <v>11</v>
      </c>
      <c r="F5983" s="3">
        <f ca="1">41382+(RANDBETWEEN(1,10))</f>
        <v>41384</v>
      </c>
      <c r="G5983" t="s">
        <v>26</v>
      </c>
      <c r="H5983" t="s">
        <v>281</v>
      </c>
      <c r="I5983" t="s">
        <v>97</v>
      </c>
      <c r="J5983">
        <v>3804.99</v>
      </c>
      <c r="K5983">
        <v>0.09</v>
      </c>
      <c r="L5983">
        <v>0.65</v>
      </c>
      <c r="M5983">
        <v>20.335000000000001</v>
      </c>
      <c r="N5983">
        <v>2625.4431</v>
      </c>
      <c r="O5983" s="1" t="s">
        <v>64</v>
      </c>
      <c r="P5983" s="1" t="s">
        <v>8588</v>
      </c>
      <c r="Q5983" s="1" t="s">
        <v>8589</v>
      </c>
      <c r="R5983" s="1" t="s">
        <v>67</v>
      </c>
      <c r="S5983" s="1" t="s">
        <v>8590</v>
      </c>
      <c r="T5983" s="1" t="s">
        <v>8591</v>
      </c>
      <c r="U5983" s="2" t="s">
        <v>351</v>
      </c>
      <c r="V5983" s="2" t="s">
        <v>83</v>
      </c>
      <c r="W5983" s="2" t="s">
        <v>178</v>
      </c>
      <c r="X5983" s="2">
        <v>376.35500000000002</v>
      </c>
    </row>
    <row r="5984" spans="1:24" x14ac:dyDescent="0.3">
      <c r="A5984">
        <v>23805</v>
      </c>
      <c r="B5984" t="s">
        <v>12394</v>
      </c>
      <c r="C5984" s="3">
        <v>41539</v>
      </c>
      <c r="D5984" t="s">
        <v>39</v>
      </c>
      <c r="E5984">
        <v>3</v>
      </c>
      <c r="F5984" s="3">
        <f ca="1">41541+(RANDBETWEEN(1,10))</f>
        <v>41546</v>
      </c>
      <c r="G5984" t="s">
        <v>26</v>
      </c>
      <c r="H5984" t="s">
        <v>27</v>
      </c>
      <c r="I5984" t="s">
        <v>97</v>
      </c>
      <c r="J5984">
        <v>180.04</v>
      </c>
      <c r="K5984">
        <v>0.02</v>
      </c>
      <c r="L5984">
        <v>0.6</v>
      </c>
      <c r="M5984">
        <v>39.375</v>
      </c>
      <c r="N5984">
        <v>-196.21</v>
      </c>
      <c r="O5984" s="1" t="s">
        <v>29</v>
      </c>
      <c r="P5984" s="1" t="s">
        <v>11082</v>
      </c>
      <c r="Q5984" s="1" t="s">
        <v>11083</v>
      </c>
      <c r="R5984" s="1" t="s">
        <v>32</v>
      </c>
      <c r="S5984" s="1" t="s">
        <v>4789</v>
      </c>
      <c r="T5984" s="1" t="s">
        <v>4790</v>
      </c>
      <c r="U5984" s="2" t="s">
        <v>742</v>
      </c>
      <c r="V5984" s="2" t="s">
        <v>47</v>
      </c>
      <c r="W5984" s="2" t="s">
        <v>119</v>
      </c>
      <c r="X5984" s="2">
        <v>54.95</v>
      </c>
    </row>
    <row r="5985" spans="1:24" x14ac:dyDescent="0.3">
      <c r="A5985">
        <v>23806</v>
      </c>
      <c r="B5985" t="s">
        <v>12395</v>
      </c>
      <c r="C5985" s="3">
        <v>41979</v>
      </c>
      <c r="D5985" t="s">
        <v>62</v>
      </c>
      <c r="E5985">
        <v>1</v>
      </c>
      <c r="F5985" s="3">
        <f ca="1">41980+(RANDBETWEEN(1,10))</f>
        <v>41983</v>
      </c>
      <c r="G5985" t="s">
        <v>26</v>
      </c>
      <c r="H5985" t="s">
        <v>27</v>
      </c>
      <c r="I5985" t="s">
        <v>28</v>
      </c>
      <c r="J5985">
        <v>32.935000000000002</v>
      </c>
      <c r="K5985">
        <v>0.08</v>
      </c>
      <c r="L5985">
        <v>0.36</v>
      </c>
      <c r="M5985">
        <v>27.86</v>
      </c>
      <c r="N5985">
        <v>-15.08808</v>
      </c>
      <c r="O5985" s="1" t="s">
        <v>64</v>
      </c>
      <c r="P5985" s="1" t="s">
        <v>12396</v>
      </c>
      <c r="Q5985" s="1" t="s">
        <v>12397</v>
      </c>
      <c r="R5985" s="1" t="s">
        <v>67</v>
      </c>
      <c r="S5985" s="1" t="s">
        <v>3675</v>
      </c>
      <c r="T5985" s="1" t="s">
        <v>3676</v>
      </c>
      <c r="U5985" s="2" t="s">
        <v>3042</v>
      </c>
      <c r="V5985" s="2" t="s">
        <v>47</v>
      </c>
      <c r="W5985" s="2" t="s">
        <v>74</v>
      </c>
      <c r="X5985" s="2">
        <v>20.23</v>
      </c>
    </row>
    <row r="5986" spans="1:24" x14ac:dyDescent="0.3">
      <c r="A5986">
        <v>23807</v>
      </c>
      <c r="B5986" t="s">
        <v>12398</v>
      </c>
      <c r="C5986" s="3">
        <v>41965</v>
      </c>
      <c r="D5986" t="s">
        <v>39</v>
      </c>
      <c r="E5986">
        <v>30</v>
      </c>
      <c r="F5986" s="3">
        <f ca="1">41966+(RANDBETWEEN(1,10))</f>
        <v>41968</v>
      </c>
      <c r="G5986" t="s">
        <v>26</v>
      </c>
      <c r="H5986" t="s">
        <v>51</v>
      </c>
      <c r="I5986" t="s">
        <v>28</v>
      </c>
      <c r="J5986">
        <v>1760.64</v>
      </c>
      <c r="K5986">
        <v>0.08</v>
      </c>
      <c r="L5986">
        <v>0.83</v>
      </c>
      <c r="M5986">
        <v>3.4649999999999999</v>
      </c>
      <c r="N5986">
        <v>-670.51599999999996</v>
      </c>
      <c r="O5986" s="1" t="s">
        <v>64</v>
      </c>
      <c r="P5986" s="1" t="s">
        <v>11286</v>
      </c>
      <c r="Q5986" s="1" t="s">
        <v>11287</v>
      </c>
      <c r="R5986" s="1" t="s">
        <v>128</v>
      </c>
      <c r="S5986" s="1" t="s">
        <v>11288</v>
      </c>
      <c r="T5986" s="1" t="s">
        <v>11289</v>
      </c>
      <c r="U5986" s="2" t="s">
        <v>6515</v>
      </c>
      <c r="V5986" s="2" t="s">
        <v>36</v>
      </c>
      <c r="W5986" s="2" t="s">
        <v>37</v>
      </c>
      <c r="X5986" s="2">
        <v>73.465000000000003</v>
      </c>
    </row>
    <row r="5987" spans="1:24" x14ac:dyDescent="0.3">
      <c r="A5987">
        <v>23808</v>
      </c>
      <c r="B5987" t="s">
        <v>12399</v>
      </c>
      <c r="C5987" s="3">
        <v>41235</v>
      </c>
      <c r="D5987" t="s">
        <v>39</v>
      </c>
      <c r="E5987">
        <v>11</v>
      </c>
      <c r="F5987" s="3">
        <f ca="1">41237+(RANDBETWEEN(1,10))</f>
        <v>41246</v>
      </c>
      <c r="G5987" t="s">
        <v>156</v>
      </c>
      <c r="H5987" t="s">
        <v>27</v>
      </c>
      <c r="I5987" t="s">
        <v>28</v>
      </c>
      <c r="J5987">
        <v>420.91</v>
      </c>
      <c r="K5987">
        <v>0.01</v>
      </c>
      <c r="L5987">
        <v>0.39</v>
      </c>
      <c r="M5987">
        <v>4.8650000000000002</v>
      </c>
      <c r="N5987">
        <v>14465.556</v>
      </c>
      <c r="O5987" s="1" t="s">
        <v>87</v>
      </c>
      <c r="P5987" s="1" t="s">
        <v>12400</v>
      </c>
      <c r="Q5987" s="1" t="s">
        <v>12401</v>
      </c>
      <c r="R5987" s="1" t="s">
        <v>90</v>
      </c>
      <c r="S5987" s="1" t="s">
        <v>6011</v>
      </c>
      <c r="T5987" s="1" t="s">
        <v>6012</v>
      </c>
      <c r="U5987" s="2" t="s">
        <v>2681</v>
      </c>
      <c r="V5987" s="2" t="s">
        <v>47</v>
      </c>
      <c r="W5987" s="2" t="s">
        <v>48</v>
      </c>
      <c r="X5987" s="2">
        <v>34.229999999999997</v>
      </c>
    </row>
    <row r="5988" spans="1:24" x14ac:dyDescent="0.3">
      <c r="A5988">
        <v>23809</v>
      </c>
      <c r="B5988" t="s">
        <v>12402</v>
      </c>
      <c r="C5988" s="3">
        <v>41182</v>
      </c>
      <c r="D5988" t="s">
        <v>25</v>
      </c>
      <c r="E5988">
        <v>4</v>
      </c>
      <c r="F5988" s="3">
        <f ca="1">41182+(RANDBETWEEN(1,10))</f>
        <v>41188</v>
      </c>
      <c r="G5988" t="s">
        <v>26</v>
      </c>
      <c r="H5988" t="s">
        <v>96</v>
      </c>
      <c r="I5988" t="s">
        <v>86</v>
      </c>
      <c r="J5988">
        <v>82.32</v>
      </c>
      <c r="K5988">
        <v>0</v>
      </c>
      <c r="L5988">
        <v>0.6</v>
      </c>
      <c r="M5988">
        <v>2.4500000000000002</v>
      </c>
      <c r="N5988">
        <v>18.690000000000001</v>
      </c>
      <c r="O5988" s="1" t="s">
        <v>87</v>
      </c>
      <c r="P5988" s="1" t="s">
        <v>9096</v>
      </c>
      <c r="Q5988" s="1" t="s">
        <v>9097</v>
      </c>
      <c r="R5988" s="1" t="s">
        <v>90</v>
      </c>
      <c r="S5988" s="1" t="s">
        <v>9098</v>
      </c>
      <c r="T5988" s="1" t="s">
        <v>9099</v>
      </c>
      <c r="U5988" s="2" t="s">
        <v>549</v>
      </c>
      <c r="V5988" s="2" t="s">
        <v>47</v>
      </c>
      <c r="W5988" s="2" t="s">
        <v>104</v>
      </c>
      <c r="X5988" s="2">
        <v>19.53</v>
      </c>
    </row>
    <row r="5989" spans="1:24" x14ac:dyDescent="0.3">
      <c r="A5989">
        <v>23810</v>
      </c>
      <c r="B5989" t="s">
        <v>12402</v>
      </c>
      <c r="C5989" s="3">
        <v>41182</v>
      </c>
      <c r="D5989" t="s">
        <v>25</v>
      </c>
      <c r="E5989">
        <v>11</v>
      </c>
      <c r="F5989" s="3">
        <f ca="1">41186+(RANDBETWEEN(1,10))</f>
        <v>41194</v>
      </c>
      <c r="G5989" t="s">
        <v>26</v>
      </c>
      <c r="H5989" t="s">
        <v>27</v>
      </c>
      <c r="I5989" t="s">
        <v>86</v>
      </c>
      <c r="J5989">
        <v>223.51</v>
      </c>
      <c r="K5989">
        <v>0.03</v>
      </c>
      <c r="L5989">
        <v>0.36</v>
      </c>
      <c r="M5989">
        <v>17.36</v>
      </c>
      <c r="N5989">
        <v>-148.57499999999999</v>
      </c>
      <c r="O5989" s="1" t="s">
        <v>29</v>
      </c>
      <c r="P5989" s="1" t="s">
        <v>12403</v>
      </c>
      <c r="Q5989" s="1" t="s">
        <v>12404</v>
      </c>
      <c r="R5989" s="1" t="s">
        <v>675</v>
      </c>
      <c r="S5989" s="1" t="s">
        <v>12405</v>
      </c>
      <c r="T5989" s="1" t="s">
        <v>12406</v>
      </c>
      <c r="U5989" s="2" t="s">
        <v>1834</v>
      </c>
      <c r="V5989" s="2" t="s">
        <v>47</v>
      </c>
      <c r="W5989" s="2" t="s">
        <v>74</v>
      </c>
      <c r="X5989" s="2">
        <v>20.23</v>
      </c>
    </row>
    <row r="5990" spans="1:24" x14ac:dyDescent="0.3">
      <c r="A5990">
        <v>23811</v>
      </c>
      <c r="B5990" t="s">
        <v>12407</v>
      </c>
      <c r="C5990" s="3">
        <v>40738</v>
      </c>
      <c r="D5990" t="s">
        <v>25</v>
      </c>
      <c r="E5990">
        <v>9</v>
      </c>
      <c r="F5990" s="3">
        <f ca="1">40743+(RANDBETWEEN(1,10))</f>
        <v>40744</v>
      </c>
      <c r="G5990" t="s">
        <v>26</v>
      </c>
      <c r="H5990" t="s">
        <v>96</v>
      </c>
      <c r="I5990" t="s">
        <v>52</v>
      </c>
      <c r="J5990">
        <v>198.48500000000001</v>
      </c>
      <c r="K5990">
        <v>0.03</v>
      </c>
      <c r="L5990">
        <v>0.36</v>
      </c>
      <c r="M5990">
        <v>4.6900000000000004</v>
      </c>
      <c r="N5990">
        <v>136.95464999999999</v>
      </c>
      <c r="O5990" s="1" t="s">
        <v>53</v>
      </c>
      <c r="P5990" s="1" t="s">
        <v>9739</v>
      </c>
      <c r="Q5990" s="1" t="s">
        <v>9740</v>
      </c>
      <c r="R5990" s="1" t="s">
        <v>440</v>
      </c>
      <c r="S5990" s="1" t="s">
        <v>4505</v>
      </c>
      <c r="T5990" s="1" t="s">
        <v>4506</v>
      </c>
      <c r="U5990" s="2" t="s">
        <v>7075</v>
      </c>
      <c r="V5990" s="2" t="s">
        <v>47</v>
      </c>
      <c r="W5990" s="2" t="s">
        <v>74</v>
      </c>
      <c r="X5990" s="2">
        <v>22.574999999999999</v>
      </c>
    </row>
    <row r="5991" spans="1:24" x14ac:dyDescent="0.3">
      <c r="A5991">
        <v>23812</v>
      </c>
      <c r="B5991" t="s">
        <v>12408</v>
      </c>
      <c r="C5991" s="3">
        <v>40725</v>
      </c>
      <c r="D5991" t="s">
        <v>50</v>
      </c>
      <c r="E5991">
        <v>2</v>
      </c>
      <c r="F5991" s="3">
        <f ca="1">40726+(RANDBETWEEN(1,10))</f>
        <v>40733</v>
      </c>
      <c r="G5991" t="s">
        <v>26</v>
      </c>
      <c r="H5991" t="s">
        <v>27</v>
      </c>
      <c r="I5991" t="s">
        <v>97</v>
      </c>
      <c r="J5991">
        <v>221.62</v>
      </c>
      <c r="K5991">
        <v>0.02</v>
      </c>
      <c r="L5991">
        <v>0.37</v>
      </c>
      <c r="M5991">
        <v>21.945</v>
      </c>
      <c r="N5991">
        <v>129.17099999999999</v>
      </c>
      <c r="O5991" s="1" t="s">
        <v>29</v>
      </c>
      <c r="P5991" s="1" t="s">
        <v>9310</v>
      </c>
      <c r="Q5991" s="1" t="s">
        <v>9311</v>
      </c>
      <c r="R5991" s="1" t="s">
        <v>32</v>
      </c>
      <c r="S5991" s="1" t="s">
        <v>2418</v>
      </c>
      <c r="T5991" s="1" t="s">
        <v>2419</v>
      </c>
      <c r="U5991" s="2" t="s">
        <v>3223</v>
      </c>
      <c r="V5991" s="2" t="s">
        <v>47</v>
      </c>
      <c r="W5991" s="2" t="s">
        <v>111</v>
      </c>
      <c r="X5991" s="2">
        <v>102.095</v>
      </c>
    </row>
    <row r="5992" spans="1:24" x14ac:dyDescent="0.3">
      <c r="A5992">
        <v>23813</v>
      </c>
      <c r="B5992" t="s">
        <v>12409</v>
      </c>
      <c r="C5992" s="3">
        <v>41821</v>
      </c>
      <c r="D5992" t="s">
        <v>50</v>
      </c>
      <c r="E5992">
        <v>16</v>
      </c>
      <c r="F5992" s="3">
        <f ca="1">41823+(RANDBETWEEN(1,10))</f>
        <v>41832</v>
      </c>
      <c r="G5992" t="s">
        <v>76</v>
      </c>
      <c r="H5992" t="s">
        <v>258</v>
      </c>
      <c r="I5992" t="s">
        <v>97</v>
      </c>
      <c r="J5992">
        <v>8543.1849999999995</v>
      </c>
      <c r="K5992">
        <v>0</v>
      </c>
      <c r="L5992">
        <v>0.74</v>
      </c>
      <c r="M5992">
        <v>102.235</v>
      </c>
      <c r="N5992">
        <v>-7733.4740000000002</v>
      </c>
      <c r="O5992" s="1" t="s">
        <v>29</v>
      </c>
      <c r="P5992" s="1" t="s">
        <v>9310</v>
      </c>
      <c r="Q5992" s="1" t="s">
        <v>9311</v>
      </c>
      <c r="R5992" s="1" t="s">
        <v>32</v>
      </c>
      <c r="S5992" s="1" t="s">
        <v>2418</v>
      </c>
      <c r="T5992" s="1" t="s">
        <v>2419</v>
      </c>
      <c r="U5992" s="2" t="s">
        <v>1724</v>
      </c>
      <c r="V5992" s="2" t="s">
        <v>83</v>
      </c>
      <c r="W5992" s="2" t="s">
        <v>263</v>
      </c>
      <c r="X5992" s="2">
        <v>627.51499999999999</v>
      </c>
    </row>
    <row r="5993" spans="1:24" x14ac:dyDescent="0.3">
      <c r="A5993">
        <v>23814</v>
      </c>
      <c r="B5993" t="s">
        <v>12410</v>
      </c>
      <c r="C5993" s="3">
        <v>41468</v>
      </c>
      <c r="D5993" t="s">
        <v>39</v>
      </c>
      <c r="E5993">
        <v>8</v>
      </c>
      <c r="F5993" s="3">
        <f ca="1">41470+(RANDBETWEEN(1,10))</f>
        <v>41475</v>
      </c>
      <c r="G5993" t="s">
        <v>156</v>
      </c>
      <c r="H5993" t="s">
        <v>27</v>
      </c>
      <c r="I5993" t="s">
        <v>52</v>
      </c>
      <c r="J5993">
        <v>1600.4449999999999</v>
      </c>
      <c r="K5993">
        <v>0.03</v>
      </c>
      <c r="L5993">
        <v>0.37</v>
      </c>
      <c r="M5993">
        <v>23.765000000000001</v>
      </c>
      <c r="N5993">
        <v>1104.3070499999999</v>
      </c>
      <c r="O5993" s="1" t="s">
        <v>29</v>
      </c>
      <c r="P5993" s="1" t="s">
        <v>1959</v>
      </c>
      <c r="Q5993" s="1" t="s">
        <v>1960</v>
      </c>
      <c r="R5993" s="1" t="s">
        <v>32</v>
      </c>
      <c r="S5993" s="1" t="s">
        <v>1961</v>
      </c>
      <c r="T5993" s="1" t="s">
        <v>1962</v>
      </c>
      <c r="U5993" s="2" t="s">
        <v>4840</v>
      </c>
      <c r="V5993" s="2" t="s">
        <v>47</v>
      </c>
      <c r="W5993" s="2" t="s">
        <v>74</v>
      </c>
      <c r="X5993" s="2">
        <v>194.18</v>
      </c>
    </row>
    <row r="5994" spans="1:24" x14ac:dyDescent="0.3">
      <c r="A5994">
        <v>23815</v>
      </c>
      <c r="B5994" t="s">
        <v>12411</v>
      </c>
      <c r="C5994" s="3">
        <v>40798</v>
      </c>
      <c r="D5994" t="s">
        <v>62</v>
      </c>
      <c r="E5994">
        <v>2</v>
      </c>
      <c r="F5994" s="3">
        <f ca="1">40799+(RANDBETWEEN(1,10))</f>
        <v>40806</v>
      </c>
      <c r="G5994" t="s">
        <v>26</v>
      </c>
      <c r="H5994" t="s">
        <v>63</v>
      </c>
      <c r="I5994" t="s">
        <v>97</v>
      </c>
      <c r="J5994">
        <v>604.76499999999999</v>
      </c>
      <c r="K5994">
        <v>0.06</v>
      </c>
      <c r="L5994">
        <v>0.81</v>
      </c>
      <c r="M5994">
        <v>122.5</v>
      </c>
      <c r="N5994">
        <v>-765.69500000000005</v>
      </c>
      <c r="O5994" s="1" t="s">
        <v>87</v>
      </c>
      <c r="P5994" s="1" t="s">
        <v>11932</v>
      </c>
      <c r="Q5994" s="1" t="s">
        <v>11933</v>
      </c>
      <c r="R5994" s="1" t="s">
        <v>646</v>
      </c>
      <c r="S5994" s="1" t="s">
        <v>11934</v>
      </c>
      <c r="T5994" s="1" t="s">
        <v>4332</v>
      </c>
      <c r="U5994" s="2" t="s">
        <v>166</v>
      </c>
      <c r="V5994" s="2" t="s">
        <v>47</v>
      </c>
      <c r="W5994" s="2" t="s">
        <v>119</v>
      </c>
      <c r="X5994" s="2">
        <v>283.43</v>
      </c>
    </row>
    <row r="5995" spans="1:24" x14ac:dyDescent="0.3">
      <c r="A5995">
        <v>23816</v>
      </c>
      <c r="B5995" t="s">
        <v>12412</v>
      </c>
      <c r="C5995" s="3">
        <v>40670</v>
      </c>
      <c r="D5995" t="s">
        <v>148</v>
      </c>
      <c r="E5995">
        <v>2</v>
      </c>
      <c r="F5995" s="3">
        <f ca="1">40672+(RANDBETWEEN(1,10))</f>
        <v>40673</v>
      </c>
      <c r="G5995" t="s">
        <v>26</v>
      </c>
      <c r="H5995" t="s">
        <v>27</v>
      </c>
      <c r="I5995" t="s">
        <v>86</v>
      </c>
      <c r="J5995">
        <v>2037.7</v>
      </c>
      <c r="K5995">
        <v>7.0000000000000007E-2</v>
      </c>
      <c r="L5995">
        <v>0.48</v>
      </c>
      <c r="M5995">
        <v>25.13</v>
      </c>
      <c r="N5995">
        <v>-2826.5650000000001</v>
      </c>
      <c r="O5995" s="1" t="s">
        <v>87</v>
      </c>
      <c r="P5995" s="1" t="s">
        <v>8263</v>
      </c>
      <c r="Q5995" s="1" t="s">
        <v>8264</v>
      </c>
      <c r="R5995" s="1" t="s">
        <v>646</v>
      </c>
      <c r="S5995" s="1" t="s">
        <v>8265</v>
      </c>
      <c r="T5995" s="1" t="s">
        <v>1527</v>
      </c>
      <c r="U5995" s="2" t="s">
        <v>2057</v>
      </c>
      <c r="V5995" s="2" t="s">
        <v>36</v>
      </c>
      <c r="W5995" s="2" t="s">
        <v>60</v>
      </c>
      <c r="X5995" s="2">
        <v>1053.395</v>
      </c>
    </row>
    <row r="5996" spans="1:24" x14ac:dyDescent="0.3">
      <c r="A5996">
        <v>23817</v>
      </c>
      <c r="B5996" t="s">
        <v>12413</v>
      </c>
      <c r="C5996" s="3">
        <v>41284</v>
      </c>
      <c r="D5996" t="s">
        <v>62</v>
      </c>
      <c r="E5996">
        <v>5</v>
      </c>
      <c r="F5996" s="3">
        <f ca="1">41286+(RANDBETWEEN(1,10))</f>
        <v>41293</v>
      </c>
      <c r="G5996" t="s">
        <v>26</v>
      </c>
      <c r="H5996" t="s">
        <v>281</v>
      </c>
      <c r="I5996" t="s">
        <v>28</v>
      </c>
      <c r="J5996">
        <v>1835.12</v>
      </c>
      <c r="K5996">
        <v>0.08</v>
      </c>
      <c r="L5996">
        <v>0.65</v>
      </c>
      <c r="M5996">
        <v>20.335000000000001</v>
      </c>
      <c r="N5996">
        <v>746.50239999999997</v>
      </c>
      <c r="O5996" s="1" t="s">
        <v>29</v>
      </c>
      <c r="P5996" s="1" t="s">
        <v>8778</v>
      </c>
      <c r="Q5996" s="1" t="s">
        <v>8779</v>
      </c>
      <c r="R5996" s="1" t="s">
        <v>675</v>
      </c>
      <c r="S5996" s="1" t="s">
        <v>908</v>
      </c>
      <c r="T5996" s="1" t="s">
        <v>909</v>
      </c>
      <c r="U5996" s="2" t="s">
        <v>351</v>
      </c>
      <c r="V5996" s="2" t="s">
        <v>83</v>
      </c>
      <c r="W5996" s="2" t="s">
        <v>178</v>
      </c>
      <c r="X5996" s="2">
        <v>376.35500000000002</v>
      </c>
    </row>
    <row r="5997" spans="1:24" x14ac:dyDescent="0.3">
      <c r="A5997">
        <v>23818</v>
      </c>
      <c r="B5997" t="s">
        <v>12414</v>
      </c>
      <c r="C5997" s="3">
        <v>41930</v>
      </c>
      <c r="D5997" t="s">
        <v>25</v>
      </c>
      <c r="E5997">
        <v>12</v>
      </c>
      <c r="F5997" s="3">
        <f ca="1">41937+(RANDBETWEEN(1,10))</f>
        <v>41941</v>
      </c>
      <c r="G5997" t="s">
        <v>26</v>
      </c>
      <c r="H5997" t="s">
        <v>281</v>
      </c>
      <c r="I5997" t="s">
        <v>28</v>
      </c>
      <c r="J5997">
        <v>2545.165</v>
      </c>
      <c r="K5997">
        <v>0.01</v>
      </c>
      <c r="L5997">
        <v>0.64</v>
      </c>
      <c r="M5997">
        <v>42.805</v>
      </c>
      <c r="N5997">
        <v>1160.18</v>
      </c>
      <c r="O5997" s="1" t="s">
        <v>53</v>
      </c>
      <c r="P5997" s="1" t="s">
        <v>12415</v>
      </c>
      <c r="Q5997" s="1" t="s">
        <v>12416</v>
      </c>
      <c r="R5997" s="1" t="s">
        <v>440</v>
      </c>
      <c r="S5997" s="1" t="s">
        <v>4552</v>
      </c>
      <c r="T5997" s="1" t="s">
        <v>4553</v>
      </c>
      <c r="U5997" s="2" t="s">
        <v>2775</v>
      </c>
      <c r="V5997" s="2" t="s">
        <v>83</v>
      </c>
      <c r="W5997" s="2" t="s">
        <v>178</v>
      </c>
      <c r="X5997" s="2">
        <v>212.27500000000001</v>
      </c>
    </row>
    <row r="5998" spans="1:24" x14ac:dyDescent="0.3">
      <c r="A5998">
        <v>23819</v>
      </c>
      <c r="B5998" t="s">
        <v>12417</v>
      </c>
      <c r="C5998" s="3">
        <v>41824</v>
      </c>
      <c r="D5998" t="s">
        <v>148</v>
      </c>
      <c r="E5998">
        <v>14</v>
      </c>
      <c r="F5998" s="3">
        <f ca="1">41826+(RANDBETWEEN(1,10))</f>
        <v>41836</v>
      </c>
      <c r="G5998" t="s">
        <v>26</v>
      </c>
      <c r="H5998" t="s">
        <v>27</v>
      </c>
      <c r="I5998" t="s">
        <v>52</v>
      </c>
      <c r="J5998">
        <v>1150.94</v>
      </c>
      <c r="K5998">
        <v>0.08</v>
      </c>
      <c r="L5998">
        <v>0.39</v>
      </c>
      <c r="M5998">
        <v>45.43</v>
      </c>
      <c r="N5998">
        <v>-69.892032</v>
      </c>
      <c r="O5998" s="1" t="s">
        <v>40</v>
      </c>
      <c r="P5998" s="1" t="s">
        <v>1941</v>
      </c>
      <c r="Q5998" s="1" t="s">
        <v>1942</v>
      </c>
      <c r="R5998" s="1" t="s">
        <v>43</v>
      </c>
      <c r="S5998" s="1" t="s">
        <v>1943</v>
      </c>
      <c r="T5998" s="1" t="s">
        <v>1944</v>
      </c>
      <c r="U5998" s="2" t="s">
        <v>559</v>
      </c>
      <c r="V5998" s="2" t="s">
        <v>47</v>
      </c>
      <c r="W5998" s="2" t="s">
        <v>111</v>
      </c>
      <c r="X5998" s="2">
        <v>87.22</v>
      </c>
    </row>
    <row r="5999" spans="1:24" x14ac:dyDescent="0.3">
      <c r="A5999">
        <v>23820</v>
      </c>
      <c r="B5999" t="s">
        <v>12418</v>
      </c>
      <c r="C5999" s="3">
        <v>41898</v>
      </c>
      <c r="D5999" t="s">
        <v>148</v>
      </c>
      <c r="E5999">
        <v>21</v>
      </c>
      <c r="F5999" s="3">
        <f ca="1">41899+(RANDBETWEEN(1,10))</f>
        <v>41902</v>
      </c>
      <c r="G5999" t="s">
        <v>26</v>
      </c>
      <c r="H5999" t="s">
        <v>27</v>
      </c>
      <c r="I5999" t="s">
        <v>97</v>
      </c>
      <c r="J5999">
        <v>479.5</v>
      </c>
      <c r="K5999">
        <v>0.09</v>
      </c>
      <c r="L5999">
        <v>0.37</v>
      </c>
      <c r="M5999">
        <v>21.77</v>
      </c>
      <c r="N5999">
        <v>-311.37400000000002</v>
      </c>
      <c r="O5999" s="1" t="s">
        <v>87</v>
      </c>
      <c r="P5999" s="1" t="s">
        <v>6220</v>
      </c>
      <c r="Q5999" s="1" t="s">
        <v>6221</v>
      </c>
      <c r="R5999" s="1" t="s">
        <v>646</v>
      </c>
      <c r="S5999" s="1" t="s">
        <v>2737</v>
      </c>
      <c r="T5999" s="1" t="s">
        <v>2738</v>
      </c>
      <c r="U5999" s="2" t="s">
        <v>4158</v>
      </c>
      <c r="V5999" s="2" t="s">
        <v>47</v>
      </c>
      <c r="W5999" s="2" t="s">
        <v>74</v>
      </c>
      <c r="X5999" s="2">
        <v>22.68</v>
      </c>
    </row>
    <row r="6000" spans="1:24" x14ac:dyDescent="0.3">
      <c r="A6000">
        <v>23821</v>
      </c>
      <c r="B6000" t="s">
        <v>12419</v>
      </c>
      <c r="C6000" s="3">
        <v>41670</v>
      </c>
      <c r="D6000" t="s">
        <v>50</v>
      </c>
      <c r="E6000">
        <v>6</v>
      </c>
      <c r="F6000" s="3">
        <f ca="1">41671+(RANDBETWEEN(1,10))</f>
        <v>41674</v>
      </c>
      <c r="G6000" t="s">
        <v>26</v>
      </c>
      <c r="H6000" t="s">
        <v>51</v>
      </c>
      <c r="I6000" t="s">
        <v>52</v>
      </c>
      <c r="J6000">
        <v>787.64</v>
      </c>
      <c r="K6000">
        <v>0.05</v>
      </c>
      <c r="L6000">
        <v>0.54</v>
      </c>
      <c r="M6000">
        <v>6.9649999999999999</v>
      </c>
      <c r="N6000">
        <v>372.98520000000002</v>
      </c>
      <c r="O6000" s="1" t="s">
        <v>64</v>
      </c>
      <c r="P6000" s="1" t="s">
        <v>12420</v>
      </c>
      <c r="Q6000" s="1" t="s">
        <v>12421</v>
      </c>
      <c r="R6000" s="1" t="s">
        <v>128</v>
      </c>
      <c r="S6000" s="1" t="s">
        <v>12422</v>
      </c>
      <c r="T6000" s="1" t="s">
        <v>12423</v>
      </c>
      <c r="U6000" s="2" t="s">
        <v>685</v>
      </c>
      <c r="V6000" s="2" t="s">
        <v>36</v>
      </c>
      <c r="W6000" s="2" t="s">
        <v>60</v>
      </c>
      <c r="X6000" s="2">
        <v>138.18</v>
      </c>
    </row>
    <row r="6001" spans="1:24" x14ac:dyDescent="0.3">
      <c r="A6001">
        <v>23822</v>
      </c>
      <c r="B6001" t="s">
        <v>12424</v>
      </c>
      <c r="C6001" s="3">
        <v>40745</v>
      </c>
      <c r="D6001" t="s">
        <v>50</v>
      </c>
      <c r="E6001">
        <v>2</v>
      </c>
      <c r="F6001" s="3">
        <f ca="1">40746+(RANDBETWEEN(1,10))</f>
        <v>40754</v>
      </c>
      <c r="G6001" t="s">
        <v>26</v>
      </c>
      <c r="H6001" t="s">
        <v>27</v>
      </c>
      <c r="I6001" t="s">
        <v>52</v>
      </c>
      <c r="J6001">
        <v>106.54</v>
      </c>
      <c r="K6001">
        <v>0.01</v>
      </c>
      <c r="L6001">
        <v>0.39</v>
      </c>
      <c r="M6001">
        <v>10.465</v>
      </c>
      <c r="N6001">
        <v>73.512249999999995</v>
      </c>
      <c r="O6001" s="1" t="s">
        <v>87</v>
      </c>
      <c r="P6001" s="1" t="s">
        <v>11904</v>
      </c>
      <c r="Q6001" s="1" t="s">
        <v>11905</v>
      </c>
      <c r="R6001" s="1" t="s">
        <v>90</v>
      </c>
      <c r="S6001" s="1" t="s">
        <v>11906</v>
      </c>
      <c r="T6001" s="1" t="s">
        <v>11907</v>
      </c>
      <c r="U6001" s="2" t="s">
        <v>10528</v>
      </c>
      <c r="V6001" s="2" t="s">
        <v>47</v>
      </c>
      <c r="W6001" s="2" t="s">
        <v>111</v>
      </c>
      <c r="X6001" s="2">
        <v>49.98</v>
      </c>
    </row>
    <row r="6002" spans="1:24" x14ac:dyDescent="0.3">
      <c r="A6002">
        <v>23823</v>
      </c>
      <c r="B6002" t="s">
        <v>12425</v>
      </c>
      <c r="C6002" s="3">
        <v>41841</v>
      </c>
      <c r="D6002" t="s">
        <v>50</v>
      </c>
      <c r="E6002">
        <v>1</v>
      </c>
      <c r="F6002" s="3">
        <f ca="1">41844+(RANDBETWEEN(1,10))</f>
        <v>41853</v>
      </c>
      <c r="G6002" t="s">
        <v>26</v>
      </c>
      <c r="H6002" t="s">
        <v>27</v>
      </c>
      <c r="I6002" t="s">
        <v>52</v>
      </c>
      <c r="J6002">
        <v>612.81500000000005</v>
      </c>
      <c r="K6002">
        <v>0</v>
      </c>
      <c r="L6002">
        <v>0.59</v>
      </c>
      <c r="M6002">
        <v>20.965</v>
      </c>
      <c r="N6002">
        <v>-2514.335208</v>
      </c>
      <c r="O6002" s="1" t="s">
        <v>87</v>
      </c>
      <c r="P6002" s="1" t="s">
        <v>11904</v>
      </c>
      <c r="Q6002" s="1" t="s">
        <v>11905</v>
      </c>
      <c r="R6002" s="1" t="s">
        <v>90</v>
      </c>
      <c r="S6002" s="1" t="s">
        <v>11906</v>
      </c>
      <c r="T6002" s="1" t="s">
        <v>11907</v>
      </c>
      <c r="U6002" s="2">
        <v>3285</v>
      </c>
      <c r="V6002" s="2" t="s">
        <v>36</v>
      </c>
      <c r="W6002" s="2" t="s">
        <v>37</v>
      </c>
      <c r="X6002" s="2">
        <v>720.96500000000003</v>
      </c>
    </row>
    <row r="6003" spans="1:24" x14ac:dyDescent="0.3">
      <c r="A6003">
        <v>23824</v>
      </c>
      <c r="B6003" t="s">
        <v>12426</v>
      </c>
      <c r="C6003" s="3">
        <v>41556</v>
      </c>
      <c r="D6003" t="s">
        <v>25</v>
      </c>
      <c r="E6003">
        <v>10</v>
      </c>
      <c r="F6003" s="3">
        <f ca="1">41565+(RANDBETWEEN(1,10))</f>
        <v>41572</v>
      </c>
      <c r="G6003" t="s">
        <v>156</v>
      </c>
      <c r="H6003" t="s">
        <v>27</v>
      </c>
      <c r="I6003" t="s">
        <v>52</v>
      </c>
      <c r="J6003">
        <v>2038.5050000000001</v>
      </c>
      <c r="K6003">
        <v>0</v>
      </c>
      <c r="L6003">
        <v>0.56000000000000005</v>
      </c>
      <c r="M6003">
        <v>46.27</v>
      </c>
      <c r="N6003">
        <v>520.73839999999996</v>
      </c>
      <c r="O6003" s="1" t="s">
        <v>87</v>
      </c>
      <c r="P6003" s="1" t="s">
        <v>8875</v>
      </c>
      <c r="Q6003" s="1" t="s">
        <v>8876</v>
      </c>
      <c r="R6003" s="1" t="s">
        <v>646</v>
      </c>
      <c r="S6003" s="1" t="s">
        <v>8877</v>
      </c>
      <c r="T6003" s="1" t="s">
        <v>8378</v>
      </c>
      <c r="U6003" s="2" t="s">
        <v>2644</v>
      </c>
      <c r="V6003" s="2" t="s">
        <v>47</v>
      </c>
      <c r="W6003" s="2" t="s">
        <v>71</v>
      </c>
      <c r="X6003" s="2">
        <v>199.36</v>
      </c>
    </row>
    <row r="6004" spans="1:24" x14ac:dyDescent="0.3">
      <c r="A6004">
        <v>23825</v>
      </c>
      <c r="B6004" t="s">
        <v>12427</v>
      </c>
      <c r="C6004" s="3">
        <v>41672</v>
      </c>
      <c r="D6004" t="s">
        <v>148</v>
      </c>
      <c r="E6004">
        <v>9</v>
      </c>
      <c r="F6004" s="3">
        <f ca="1">41672+(RANDBETWEEN(1,10))</f>
        <v>41675</v>
      </c>
      <c r="G6004" t="s">
        <v>26</v>
      </c>
      <c r="H6004" t="s">
        <v>96</v>
      </c>
      <c r="I6004" t="s">
        <v>97</v>
      </c>
      <c r="J6004">
        <v>58.1</v>
      </c>
      <c r="K6004">
        <v>0.04</v>
      </c>
      <c r="L6004">
        <v>0.5</v>
      </c>
      <c r="M6004">
        <v>2.7650000000000001</v>
      </c>
      <c r="N6004">
        <v>1.2949999999999999</v>
      </c>
      <c r="O6004" s="1" t="s">
        <v>29</v>
      </c>
      <c r="P6004" s="1" t="s">
        <v>7734</v>
      </c>
      <c r="Q6004" s="1" t="s">
        <v>7735</v>
      </c>
      <c r="R6004" s="1" t="s">
        <v>675</v>
      </c>
      <c r="S6004" s="1" t="s">
        <v>7736</v>
      </c>
      <c r="T6004" s="1" t="s">
        <v>7737</v>
      </c>
      <c r="U6004" s="2" t="s">
        <v>12428</v>
      </c>
      <c r="V6004" s="2" t="s">
        <v>47</v>
      </c>
      <c r="W6004" s="2" t="s">
        <v>176</v>
      </c>
      <c r="X6004" s="2">
        <v>6.58</v>
      </c>
    </row>
    <row r="6005" spans="1:24" x14ac:dyDescent="0.3">
      <c r="A6005">
        <v>23826</v>
      </c>
      <c r="B6005" t="s">
        <v>12429</v>
      </c>
      <c r="C6005" s="3">
        <v>41625</v>
      </c>
      <c r="D6005" t="s">
        <v>62</v>
      </c>
      <c r="E6005">
        <v>22</v>
      </c>
      <c r="F6005" s="3">
        <f ca="1">41626+(RANDBETWEEN(1,10))</f>
        <v>41627</v>
      </c>
      <c r="G6005" t="s">
        <v>156</v>
      </c>
      <c r="H6005" t="s">
        <v>27</v>
      </c>
      <c r="I6005" t="s">
        <v>97</v>
      </c>
      <c r="J6005">
        <v>605.85</v>
      </c>
      <c r="K6005">
        <v>0</v>
      </c>
      <c r="L6005">
        <v>0.36</v>
      </c>
      <c r="M6005">
        <v>40.284999999999997</v>
      </c>
      <c r="N6005">
        <v>-587.44875000000002</v>
      </c>
      <c r="O6005" s="1" t="s">
        <v>64</v>
      </c>
      <c r="P6005" s="1" t="s">
        <v>12179</v>
      </c>
      <c r="Q6005" s="1" t="s">
        <v>12180</v>
      </c>
      <c r="R6005" s="1" t="s">
        <v>67</v>
      </c>
      <c r="S6005" s="1" t="s">
        <v>12181</v>
      </c>
      <c r="T6005" s="1" t="s">
        <v>12182</v>
      </c>
      <c r="U6005" s="2" t="s">
        <v>5565</v>
      </c>
      <c r="V6005" s="2" t="s">
        <v>47</v>
      </c>
      <c r="W6005" s="2" t="s">
        <v>111</v>
      </c>
      <c r="X6005" s="2">
        <v>25.83</v>
      </c>
    </row>
    <row r="6006" spans="1:24" x14ac:dyDescent="0.3">
      <c r="A6006">
        <v>23827</v>
      </c>
      <c r="B6006" t="s">
        <v>12429</v>
      </c>
      <c r="C6006" s="3">
        <v>41625</v>
      </c>
      <c r="D6006" t="s">
        <v>62</v>
      </c>
      <c r="E6006">
        <v>2</v>
      </c>
      <c r="F6006" s="3">
        <f ca="1">41627+(RANDBETWEEN(1,10))</f>
        <v>41631</v>
      </c>
      <c r="G6006" t="s">
        <v>156</v>
      </c>
      <c r="H6006" t="s">
        <v>51</v>
      </c>
      <c r="I6006" t="s">
        <v>97</v>
      </c>
      <c r="J6006">
        <v>150.43</v>
      </c>
      <c r="K6006">
        <v>0.08</v>
      </c>
      <c r="L6006">
        <v>0.46</v>
      </c>
      <c r="M6006">
        <v>31.465</v>
      </c>
      <c r="N6006">
        <v>-13.09</v>
      </c>
      <c r="O6006" s="1" t="s">
        <v>64</v>
      </c>
      <c r="P6006" s="1" t="s">
        <v>12179</v>
      </c>
      <c r="Q6006" s="1" t="s">
        <v>12180</v>
      </c>
      <c r="R6006" s="1" t="s">
        <v>67</v>
      </c>
      <c r="S6006" s="1" t="s">
        <v>12181</v>
      </c>
      <c r="T6006" s="1" t="s">
        <v>12182</v>
      </c>
      <c r="U6006" s="2" t="s">
        <v>10613</v>
      </c>
      <c r="V6006" s="2" t="s">
        <v>83</v>
      </c>
      <c r="W6006" s="2" t="s">
        <v>178</v>
      </c>
      <c r="X6006" s="2">
        <v>70.84</v>
      </c>
    </row>
    <row r="6007" spans="1:24" x14ac:dyDescent="0.3">
      <c r="A6007">
        <v>23828</v>
      </c>
      <c r="B6007" t="s">
        <v>12429</v>
      </c>
      <c r="C6007" s="3">
        <v>41625</v>
      </c>
      <c r="D6007" t="s">
        <v>62</v>
      </c>
      <c r="E6007">
        <v>20</v>
      </c>
      <c r="F6007" s="3">
        <f ca="1">41627+(RANDBETWEEN(1,10))</f>
        <v>41628</v>
      </c>
      <c r="G6007" t="s">
        <v>26</v>
      </c>
      <c r="H6007" t="s">
        <v>281</v>
      </c>
      <c r="I6007" t="s">
        <v>97</v>
      </c>
      <c r="J6007">
        <v>853.51</v>
      </c>
      <c r="K6007">
        <v>7.0000000000000007E-2</v>
      </c>
      <c r="L6007">
        <v>0.56999999999999995</v>
      </c>
      <c r="M6007">
        <v>21.945</v>
      </c>
      <c r="N6007">
        <v>-123.2525</v>
      </c>
      <c r="O6007" s="1" t="s">
        <v>64</v>
      </c>
      <c r="P6007" s="1" t="s">
        <v>12179</v>
      </c>
      <c r="Q6007" s="1" t="s">
        <v>12180</v>
      </c>
      <c r="R6007" s="1" t="s">
        <v>67</v>
      </c>
      <c r="S6007" s="1" t="s">
        <v>12181</v>
      </c>
      <c r="T6007" s="1" t="s">
        <v>12182</v>
      </c>
      <c r="U6007" s="2" t="s">
        <v>517</v>
      </c>
      <c r="V6007" s="2" t="s">
        <v>47</v>
      </c>
      <c r="W6007" s="2" t="s">
        <v>119</v>
      </c>
      <c r="X6007" s="2">
        <v>43.54</v>
      </c>
    </row>
    <row r="6008" spans="1:24" x14ac:dyDescent="0.3">
      <c r="A6008">
        <v>23829</v>
      </c>
      <c r="B6008" t="s">
        <v>12430</v>
      </c>
      <c r="C6008" s="3">
        <v>41037</v>
      </c>
      <c r="D6008" t="s">
        <v>148</v>
      </c>
      <c r="E6008">
        <v>1</v>
      </c>
      <c r="F6008" s="3">
        <f ca="1">41038+(RANDBETWEEN(1,10))</f>
        <v>41042</v>
      </c>
      <c r="G6008" t="s">
        <v>26</v>
      </c>
      <c r="H6008" t="s">
        <v>27</v>
      </c>
      <c r="I6008" t="s">
        <v>86</v>
      </c>
      <c r="J6008">
        <v>1481.55</v>
      </c>
      <c r="K6008">
        <v>0.01</v>
      </c>
      <c r="L6008">
        <v>0.57999999999999996</v>
      </c>
      <c r="M6008">
        <v>69.965000000000003</v>
      </c>
      <c r="N6008">
        <v>-906.53499999999997</v>
      </c>
      <c r="O6008" s="1" t="s">
        <v>87</v>
      </c>
      <c r="P6008" s="1" t="s">
        <v>12431</v>
      </c>
      <c r="Q6008" s="1" t="s">
        <v>12432</v>
      </c>
      <c r="R6008" s="1" t="s">
        <v>646</v>
      </c>
      <c r="S6008" s="1" t="s">
        <v>2685</v>
      </c>
      <c r="T6008" s="1" t="s">
        <v>2686</v>
      </c>
      <c r="U6008" s="2" t="s">
        <v>3569</v>
      </c>
      <c r="V6008" s="2" t="s">
        <v>47</v>
      </c>
      <c r="W6008" s="2" t="s">
        <v>119</v>
      </c>
      <c r="X6008" s="2">
        <v>1467.165</v>
      </c>
    </row>
    <row r="6009" spans="1:24" x14ac:dyDescent="0.3">
      <c r="A6009">
        <v>23830</v>
      </c>
      <c r="B6009" t="s">
        <v>12433</v>
      </c>
      <c r="C6009" s="3">
        <v>41175</v>
      </c>
      <c r="D6009" t="s">
        <v>50</v>
      </c>
      <c r="E6009">
        <v>22</v>
      </c>
      <c r="F6009" s="3">
        <f ca="1">41176+(RANDBETWEEN(1,10))</f>
        <v>41185</v>
      </c>
      <c r="G6009" t="s">
        <v>26</v>
      </c>
      <c r="H6009" t="s">
        <v>27</v>
      </c>
      <c r="I6009" t="s">
        <v>52</v>
      </c>
      <c r="J6009">
        <v>13271.72</v>
      </c>
      <c r="K6009">
        <v>0.08</v>
      </c>
      <c r="L6009">
        <v>0.56000000000000005</v>
      </c>
      <c r="M6009">
        <v>31.465</v>
      </c>
      <c r="N6009">
        <v>-611.73559999999998</v>
      </c>
      <c r="O6009" s="1" t="s">
        <v>40</v>
      </c>
      <c r="P6009" s="1" t="s">
        <v>6669</v>
      </c>
      <c r="Q6009" s="1" t="s">
        <v>6670</v>
      </c>
      <c r="R6009" s="1" t="s">
        <v>43</v>
      </c>
      <c r="S6009" s="1" t="s">
        <v>6671</v>
      </c>
      <c r="T6009" s="1" t="s">
        <v>6672</v>
      </c>
      <c r="U6009" s="2" t="s">
        <v>4735</v>
      </c>
      <c r="V6009" s="2" t="s">
        <v>36</v>
      </c>
      <c r="W6009" s="2" t="s">
        <v>37</v>
      </c>
      <c r="X6009" s="2">
        <v>720.96500000000003</v>
      </c>
    </row>
    <row r="6010" spans="1:24" x14ac:dyDescent="0.3">
      <c r="A6010">
        <v>23831</v>
      </c>
      <c r="B6010" t="s">
        <v>12434</v>
      </c>
      <c r="C6010" s="3">
        <v>41941</v>
      </c>
      <c r="D6010" t="s">
        <v>50</v>
      </c>
      <c r="E6010">
        <v>16</v>
      </c>
      <c r="F6010" s="3">
        <f ca="1">41944+(RANDBETWEEN(1,10))</f>
        <v>41947</v>
      </c>
      <c r="G6010" t="s">
        <v>76</v>
      </c>
      <c r="H6010" t="s">
        <v>77</v>
      </c>
      <c r="I6010" t="s">
        <v>97</v>
      </c>
      <c r="J6010">
        <v>10181.745000000001</v>
      </c>
      <c r="K6010">
        <v>0.03</v>
      </c>
      <c r="L6010">
        <v>0.69</v>
      </c>
      <c r="M6010">
        <v>105</v>
      </c>
      <c r="N6010">
        <v>1561.91</v>
      </c>
      <c r="O6010" s="1" t="s">
        <v>87</v>
      </c>
      <c r="P6010" s="1" t="s">
        <v>10148</v>
      </c>
      <c r="Q6010" s="1" t="s">
        <v>10149</v>
      </c>
      <c r="R6010" s="1" t="s">
        <v>90</v>
      </c>
      <c r="S6010" s="1" t="s">
        <v>10150</v>
      </c>
      <c r="T6010" s="1" t="s">
        <v>4300</v>
      </c>
      <c r="U6010" s="2" t="s">
        <v>5090</v>
      </c>
      <c r="V6010" s="2" t="s">
        <v>83</v>
      </c>
      <c r="W6010" s="2" t="s">
        <v>84</v>
      </c>
      <c r="X6010" s="2">
        <v>633.42999999999995</v>
      </c>
    </row>
    <row r="6011" spans="1:24" x14ac:dyDescent="0.3">
      <c r="A6011">
        <v>23832</v>
      </c>
      <c r="B6011" t="s">
        <v>12434</v>
      </c>
      <c r="C6011" s="3">
        <v>41941</v>
      </c>
      <c r="D6011" t="s">
        <v>50</v>
      </c>
      <c r="E6011">
        <v>22</v>
      </c>
      <c r="F6011" s="3">
        <f ca="1">41943+(RANDBETWEEN(1,10))</f>
        <v>41953</v>
      </c>
      <c r="G6011" t="s">
        <v>26</v>
      </c>
      <c r="H6011" t="s">
        <v>51</v>
      </c>
      <c r="I6011" t="s">
        <v>97</v>
      </c>
      <c r="J6011">
        <v>2317.63</v>
      </c>
      <c r="K6011">
        <v>0.05</v>
      </c>
      <c r="L6011">
        <v>0.5</v>
      </c>
      <c r="M6011">
        <v>6.9649999999999999</v>
      </c>
      <c r="N6011">
        <v>1516.69</v>
      </c>
      <c r="O6011" s="1" t="s">
        <v>87</v>
      </c>
      <c r="P6011" s="1" t="s">
        <v>10148</v>
      </c>
      <c r="Q6011" s="1" t="s">
        <v>10149</v>
      </c>
      <c r="R6011" s="1" t="s">
        <v>90</v>
      </c>
      <c r="S6011" s="1" t="s">
        <v>10150</v>
      </c>
      <c r="T6011" s="1" t="s">
        <v>4300</v>
      </c>
      <c r="U6011" s="2" t="s">
        <v>124</v>
      </c>
      <c r="V6011" s="2" t="s">
        <v>36</v>
      </c>
      <c r="W6011" s="2" t="s">
        <v>60</v>
      </c>
      <c r="X6011" s="2">
        <v>104.61499999999999</v>
      </c>
    </row>
    <row r="6012" spans="1:24" x14ac:dyDescent="0.3">
      <c r="A6012">
        <v>23833</v>
      </c>
      <c r="B6012" t="s">
        <v>12435</v>
      </c>
      <c r="C6012" s="3">
        <v>41771</v>
      </c>
      <c r="D6012" t="s">
        <v>25</v>
      </c>
      <c r="E6012">
        <v>12</v>
      </c>
      <c r="F6012" s="3">
        <f ca="1">41778+(RANDBETWEEN(1,10))</f>
        <v>41781</v>
      </c>
      <c r="G6012" t="s">
        <v>26</v>
      </c>
      <c r="H6012" t="s">
        <v>27</v>
      </c>
      <c r="I6012" t="s">
        <v>86</v>
      </c>
      <c r="J6012">
        <v>1691.0250000000001</v>
      </c>
      <c r="K6012">
        <v>0.04</v>
      </c>
      <c r="L6012">
        <v>0.35</v>
      </c>
      <c r="M6012">
        <v>10.465</v>
      </c>
      <c r="N6012">
        <v>1166.8072500000001</v>
      </c>
      <c r="O6012" s="1" t="s">
        <v>87</v>
      </c>
      <c r="P6012" s="1" t="s">
        <v>12436</v>
      </c>
      <c r="Q6012" s="1" t="s">
        <v>12437</v>
      </c>
      <c r="R6012" s="1" t="s">
        <v>398</v>
      </c>
      <c r="S6012" s="1" t="s">
        <v>581</v>
      </c>
      <c r="T6012" s="1" t="s">
        <v>582</v>
      </c>
      <c r="U6012" s="2" t="s">
        <v>4761</v>
      </c>
      <c r="V6012" s="2" t="s">
        <v>47</v>
      </c>
      <c r="W6012" s="2" t="s">
        <v>111</v>
      </c>
      <c r="X6012" s="2">
        <v>146.79</v>
      </c>
    </row>
    <row r="6013" spans="1:24" x14ac:dyDescent="0.3">
      <c r="A6013">
        <v>23834</v>
      </c>
      <c r="B6013" t="s">
        <v>12438</v>
      </c>
      <c r="C6013" s="3">
        <v>41041</v>
      </c>
      <c r="D6013" t="s">
        <v>25</v>
      </c>
      <c r="E6013">
        <v>14</v>
      </c>
      <c r="F6013" s="3">
        <f ca="1">41045+(RANDBETWEEN(1,10))</f>
        <v>41046</v>
      </c>
      <c r="G6013" t="s">
        <v>76</v>
      </c>
      <c r="H6013" t="s">
        <v>77</v>
      </c>
      <c r="I6013" t="s">
        <v>86</v>
      </c>
      <c r="J6013">
        <v>3484.53</v>
      </c>
      <c r="K6013">
        <v>0.03</v>
      </c>
      <c r="L6013">
        <v>0.6</v>
      </c>
      <c r="M6013">
        <v>209.33500000000001</v>
      </c>
      <c r="N6013">
        <v>-4657.7299999999996</v>
      </c>
      <c r="O6013" s="1" t="s">
        <v>87</v>
      </c>
      <c r="P6013" s="1" t="s">
        <v>12439</v>
      </c>
      <c r="Q6013" s="1" t="s">
        <v>12440</v>
      </c>
      <c r="R6013" s="1" t="s">
        <v>398</v>
      </c>
      <c r="S6013" s="1" t="s">
        <v>12050</v>
      </c>
      <c r="T6013" s="1" t="s">
        <v>12051</v>
      </c>
      <c r="U6013" s="2" t="s">
        <v>11996</v>
      </c>
      <c r="V6013" s="2" t="s">
        <v>83</v>
      </c>
      <c r="W6013" s="2" t="s">
        <v>84</v>
      </c>
      <c r="X6013" s="2">
        <v>248.43</v>
      </c>
    </row>
    <row r="6014" spans="1:24" x14ac:dyDescent="0.3">
      <c r="A6014">
        <v>23835</v>
      </c>
      <c r="B6014" t="s">
        <v>12441</v>
      </c>
      <c r="C6014" s="3">
        <v>41476</v>
      </c>
      <c r="D6014" t="s">
        <v>50</v>
      </c>
      <c r="E6014">
        <v>1</v>
      </c>
      <c r="F6014" s="3">
        <f ca="1">41478+(RANDBETWEEN(1,10))</f>
        <v>41486</v>
      </c>
      <c r="G6014" t="s">
        <v>26</v>
      </c>
      <c r="H6014" t="s">
        <v>27</v>
      </c>
      <c r="I6014" t="s">
        <v>28</v>
      </c>
      <c r="J6014">
        <v>66.22</v>
      </c>
      <c r="K6014">
        <v>0</v>
      </c>
      <c r="L6014">
        <v>0.4</v>
      </c>
      <c r="M6014">
        <v>25.164999999999999</v>
      </c>
      <c r="N6014">
        <v>-63.876750000000001</v>
      </c>
      <c r="O6014" s="1" t="s">
        <v>225</v>
      </c>
      <c r="P6014" s="1" t="s">
        <v>10274</v>
      </c>
      <c r="Q6014" s="1" t="s">
        <v>10275</v>
      </c>
      <c r="R6014" s="1" t="s">
        <v>228</v>
      </c>
      <c r="S6014" s="1" t="s">
        <v>10276</v>
      </c>
      <c r="T6014" s="1" t="s">
        <v>10277</v>
      </c>
      <c r="U6014" s="2" t="s">
        <v>1736</v>
      </c>
      <c r="V6014" s="2" t="s">
        <v>47</v>
      </c>
      <c r="W6014" s="2" t="s">
        <v>111</v>
      </c>
      <c r="X6014" s="2">
        <v>40.25</v>
      </c>
    </row>
    <row r="6015" spans="1:24" x14ac:dyDescent="0.3">
      <c r="A6015">
        <v>23836</v>
      </c>
      <c r="B6015" t="s">
        <v>12442</v>
      </c>
      <c r="C6015" s="3">
        <v>40803</v>
      </c>
      <c r="D6015" t="s">
        <v>50</v>
      </c>
      <c r="E6015">
        <v>21</v>
      </c>
      <c r="F6015" s="3">
        <f ca="1">40805+(RANDBETWEEN(1,10))</f>
        <v>40811</v>
      </c>
      <c r="G6015" t="s">
        <v>26</v>
      </c>
      <c r="H6015" t="s">
        <v>27</v>
      </c>
      <c r="I6015" t="s">
        <v>52</v>
      </c>
      <c r="J6015">
        <v>412.54500000000002</v>
      </c>
      <c r="K6015">
        <v>0.03</v>
      </c>
      <c r="L6015">
        <v>0.37</v>
      </c>
      <c r="M6015">
        <v>27.23</v>
      </c>
      <c r="N6015">
        <v>-831.404</v>
      </c>
      <c r="O6015" s="1" t="s">
        <v>40</v>
      </c>
      <c r="P6015" s="1" t="s">
        <v>10396</v>
      </c>
      <c r="Q6015" s="1" t="s">
        <v>10397</v>
      </c>
      <c r="R6015" s="1" t="s">
        <v>220</v>
      </c>
      <c r="S6015" s="1" t="s">
        <v>1511</v>
      </c>
      <c r="T6015" s="1" t="s">
        <v>1512</v>
      </c>
      <c r="U6015" s="2" t="s">
        <v>599</v>
      </c>
      <c r="V6015" s="2" t="s">
        <v>47</v>
      </c>
      <c r="W6015" s="2" t="s">
        <v>111</v>
      </c>
      <c r="X6015" s="2">
        <v>18.899999999999999</v>
      </c>
    </row>
    <row r="6016" spans="1:24" x14ac:dyDescent="0.3">
      <c r="A6016">
        <v>23837</v>
      </c>
      <c r="B6016" t="s">
        <v>12443</v>
      </c>
      <c r="C6016" s="3">
        <v>41594</v>
      </c>
      <c r="D6016" t="s">
        <v>25</v>
      </c>
      <c r="E6016">
        <v>14</v>
      </c>
      <c r="F6016" s="3">
        <f ca="1">41601+(RANDBETWEEN(1,10))</f>
        <v>41606</v>
      </c>
      <c r="G6016" t="s">
        <v>26</v>
      </c>
      <c r="H6016" t="s">
        <v>63</v>
      </c>
      <c r="I6016" t="s">
        <v>28</v>
      </c>
      <c r="J6016">
        <v>29211.35</v>
      </c>
      <c r="K6016">
        <v>0.08</v>
      </c>
      <c r="L6016">
        <v>0.37</v>
      </c>
      <c r="M6016">
        <v>85.715000000000003</v>
      </c>
      <c r="N6016">
        <v>418.04700000000003</v>
      </c>
      <c r="O6016" s="1" t="s">
        <v>225</v>
      </c>
      <c r="P6016" s="1" t="s">
        <v>12444</v>
      </c>
      <c r="Q6016" s="1" t="s">
        <v>12445</v>
      </c>
      <c r="R6016" s="1" t="s">
        <v>228</v>
      </c>
      <c r="S6016" s="1" t="s">
        <v>12446</v>
      </c>
      <c r="T6016" s="1" t="s">
        <v>12447</v>
      </c>
      <c r="U6016" s="2" t="s">
        <v>1737</v>
      </c>
      <c r="V6016" s="2" t="s">
        <v>36</v>
      </c>
      <c r="W6016" s="2" t="s">
        <v>1327</v>
      </c>
      <c r="X6016" s="2">
        <v>2099.9650000000001</v>
      </c>
    </row>
    <row r="6017" spans="1:24" x14ac:dyDescent="0.3">
      <c r="A6017">
        <v>23838</v>
      </c>
      <c r="B6017" t="s">
        <v>12443</v>
      </c>
      <c r="C6017" s="3">
        <v>41594</v>
      </c>
      <c r="D6017" t="s">
        <v>25</v>
      </c>
      <c r="E6017">
        <v>39</v>
      </c>
      <c r="F6017" s="3">
        <f ca="1">41596+(RANDBETWEEN(1,10))</f>
        <v>41600</v>
      </c>
      <c r="G6017" t="s">
        <v>26</v>
      </c>
      <c r="H6017" t="s">
        <v>63</v>
      </c>
      <c r="I6017" t="s">
        <v>28</v>
      </c>
      <c r="J6017">
        <v>5239.3599999999997</v>
      </c>
      <c r="K6017">
        <v>0.08</v>
      </c>
      <c r="L6017">
        <v>0.56999999999999995</v>
      </c>
      <c r="M6017">
        <v>50.575000000000003</v>
      </c>
      <c r="N6017">
        <v>836.60500000000002</v>
      </c>
      <c r="O6017" s="1" t="s">
        <v>225</v>
      </c>
      <c r="P6017" s="1" t="s">
        <v>12444</v>
      </c>
      <c r="Q6017" s="1" t="s">
        <v>12445</v>
      </c>
      <c r="R6017" s="1" t="s">
        <v>228</v>
      </c>
      <c r="S6017" s="1" t="s">
        <v>12446</v>
      </c>
      <c r="T6017" s="1" t="s">
        <v>12447</v>
      </c>
      <c r="U6017" s="2" t="s">
        <v>1470</v>
      </c>
      <c r="V6017" s="2" t="s">
        <v>83</v>
      </c>
      <c r="W6017" s="2" t="s">
        <v>178</v>
      </c>
      <c r="X6017" s="2">
        <v>143.39500000000001</v>
      </c>
    </row>
    <row r="6018" spans="1:24" x14ac:dyDescent="0.3">
      <c r="A6018">
        <v>23839</v>
      </c>
      <c r="B6018" t="s">
        <v>12443</v>
      </c>
      <c r="C6018" s="3">
        <v>41594</v>
      </c>
      <c r="D6018" t="s">
        <v>25</v>
      </c>
      <c r="E6018">
        <v>20</v>
      </c>
      <c r="F6018" s="3">
        <f ca="1">41598+(RANDBETWEEN(1,10))</f>
        <v>41606</v>
      </c>
      <c r="G6018" t="s">
        <v>26</v>
      </c>
      <c r="H6018" t="s">
        <v>27</v>
      </c>
      <c r="I6018" t="s">
        <v>28</v>
      </c>
      <c r="J6018">
        <v>476.315</v>
      </c>
      <c r="K6018">
        <v>0.01</v>
      </c>
      <c r="L6018">
        <v>0.37</v>
      </c>
      <c r="M6018">
        <v>21</v>
      </c>
      <c r="N6018">
        <v>34.72</v>
      </c>
      <c r="O6018" s="1" t="s">
        <v>225</v>
      </c>
      <c r="P6018" s="1" t="s">
        <v>12444</v>
      </c>
      <c r="Q6018" s="1" t="s">
        <v>12445</v>
      </c>
      <c r="R6018" s="1" t="s">
        <v>228</v>
      </c>
      <c r="S6018" s="1" t="s">
        <v>12446</v>
      </c>
      <c r="T6018" s="1" t="s">
        <v>12447</v>
      </c>
      <c r="U6018" s="2" t="s">
        <v>2517</v>
      </c>
      <c r="V6018" s="2" t="s">
        <v>47</v>
      </c>
      <c r="W6018" s="2" t="s">
        <v>74</v>
      </c>
      <c r="X6018" s="2">
        <v>22.68</v>
      </c>
    </row>
    <row r="6019" spans="1:24" x14ac:dyDescent="0.3">
      <c r="A6019">
        <v>23840</v>
      </c>
      <c r="B6019" t="s">
        <v>12448</v>
      </c>
      <c r="C6019" s="3">
        <v>40857</v>
      </c>
      <c r="D6019" t="s">
        <v>25</v>
      </c>
      <c r="E6019">
        <v>9</v>
      </c>
      <c r="F6019" s="3">
        <f ca="1">40862+(RANDBETWEEN(1,10))</f>
        <v>40863</v>
      </c>
      <c r="G6019" t="s">
        <v>26</v>
      </c>
      <c r="H6019" t="s">
        <v>96</v>
      </c>
      <c r="I6019" t="s">
        <v>86</v>
      </c>
      <c r="J6019">
        <v>254.905</v>
      </c>
      <c r="K6019">
        <v>0.09</v>
      </c>
      <c r="L6019">
        <v>0.36</v>
      </c>
      <c r="M6019">
        <v>20.405000000000001</v>
      </c>
      <c r="N6019">
        <v>14.112</v>
      </c>
      <c r="O6019" s="1" t="s">
        <v>87</v>
      </c>
      <c r="P6019" s="1" t="s">
        <v>12449</v>
      </c>
      <c r="Q6019" s="1" t="s">
        <v>12450</v>
      </c>
      <c r="R6019" s="1" t="s">
        <v>90</v>
      </c>
      <c r="S6019" s="1" t="s">
        <v>2953</v>
      </c>
      <c r="T6019" s="1" t="s">
        <v>3586</v>
      </c>
      <c r="U6019" s="2" t="s">
        <v>605</v>
      </c>
      <c r="V6019" s="2" t="s">
        <v>47</v>
      </c>
      <c r="W6019" s="2" t="s">
        <v>74</v>
      </c>
      <c r="X6019" s="2">
        <v>26.74</v>
      </c>
    </row>
    <row r="6020" spans="1:24" x14ac:dyDescent="0.3">
      <c r="A6020">
        <v>23841</v>
      </c>
      <c r="B6020" t="s">
        <v>12451</v>
      </c>
      <c r="C6020" s="3">
        <v>40808</v>
      </c>
      <c r="D6020" t="s">
        <v>39</v>
      </c>
      <c r="E6020">
        <v>9</v>
      </c>
      <c r="F6020" s="3">
        <f ca="1">40809+(RANDBETWEEN(1,10))</f>
        <v>40815</v>
      </c>
      <c r="G6020" t="s">
        <v>26</v>
      </c>
      <c r="H6020" t="s">
        <v>27</v>
      </c>
      <c r="I6020" t="s">
        <v>28</v>
      </c>
      <c r="J6020">
        <v>146.37</v>
      </c>
      <c r="K6020">
        <v>0.09</v>
      </c>
      <c r="L6020">
        <v>0.36</v>
      </c>
      <c r="M6020">
        <v>1.75</v>
      </c>
      <c r="N6020">
        <v>100.9953</v>
      </c>
      <c r="O6020" s="1" t="s">
        <v>29</v>
      </c>
      <c r="P6020" s="1" t="s">
        <v>12452</v>
      </c>
      <c r="Q6020" s="1" t="s">
        <v>12453</v>
      </c>
      <c r="R6020" s="1" t="s">
        <v>460</v>
      </c>
      <c r="S6020" s="1" t="s">
        <v>1431</v>
      </c>
      <c r="T6020" s="1" t="s">
        <v>1432</v>
      </c>
      <c r="U6020" s="2" t="s">
        <v>1158</v>
      </c>
      <c r="V6020" s="2" t="s">
        <v>47</v>
      </c>
      <c r="W6020" s="2" t="s">
        <v>203</v>
      </c>
      <c r="X6020" s="2">
        <v>17.184999999999999</v>
      </c>
    </row>
    <row r="6021" spans="1:24" x14ac:dyDescent="0.3">
      <c r="A6021">
        <v>23842</v>
      </c>
      <c r="B6021" t="s">
        <v>12451</v>
      </c>
      <c r="C6021" s="3">
        <v>40808</v>
      </c>
      <c r="D6021" t="s">
        <v>39</v>
      </c>
      <c r="E6021">
        <v>9</v>
      </c>
      <c r="F6021" s="3">
        <f ca="1">40811+(RANDBETWEEN(1,10))</f>
        <v>40814</v>
      </c>
      <c r="G6021" t="s">
        <v>76</v>
      </c>
      <c r="H6021" t="s">
        <v>258</v>
      </c>
      <c r="I6021" t="s">
        <v>28</v>
      </c>
      <c r="J6021">
        <v>10065.02</v>
      </c>
      <c r="K6021">
        <v>0.01</v>
      </c>
      <c r="L6021">
        <v>0.76</v>
      </c>
      <c r="M6021">
        <v>189.42</v>
      </c>
      <c r="N6021">
        <v>607.17999999999995</v>
      </c>
      <c r="O6021" s="1" t="s">
        <v>29</v>
      </c>
      <c r="P6021" s="1" t="s">
        <v>12452</v>
      </c>
      <c r="Q6021" s="1" t="s">
        <v>12453</v>
      </c>
      <c r="R6021" s="1" t="s">
        <v>460</v>
      </c>
      <c r="S6021" s="1" t="s">
        <v>1431</v>
      </c>
      <c r="T6021" s="1" t="s">
        <v>1432</v>
      </c>
      <c r="U6021" s="2" t="s">
        <v>1007</v>
      </c>
      <c r="V6021" s="2" t="s">
        <v>83</v>
      </c>
      <c r="W6021" s="2" t="s">
        <v>263</v>
      </c>
      <c r="X6021" s="2">
        <v>1036.6300000000001</v>
      </c>
    </row>
    <row r="6022" spans="1:24" x14ac:dyDescent="0.3">
      <c r="A6022">
        <v>23843</v>
      </c>
      <c r="B6022" t="s">
        <v>12454</v>
      </c>
      <c r="C6022" s="3">
        <v>41662</v>
      </c>
      <c r="D6022" t="s">
        <v>148</v>
      </c>
      <c r="E6022">
        <v>11</v>
      </c>
      <c r="F6022" s="3">
        <f ca="1">41663+(RANDBETWEEN(1,10))</f>
        <v>41665</v>
      </c>
      <c r="G6022" t="s">
        <v>26</v>
      </c>
      <c r="H6022" t="s">
        <v>27</v>
      </c>
      <c r="I6022" t="s">
        <v>28</v>
      </c>
      <c r="J6022">
        <v>207.58500000000001</v>
      </c>
      <c r="K6022">
        <v>0</v>
      </c>
      <c r="L6022">
        <v>0.36</v>
      </c>
      <c r="M6022">
        <v>19.88</v>
      </c>
      <c r="N6022">
        <v>-469.60318999999998</v>
      </c>
      <c r="O6022" s="1" t="s">
        <v>29</v>
      </c>
      <c r="P6022" s="1" t="s">
        <v>12455</v>
      </c>
      <c r="Q6022" s="1" t="s">
        <v>12456</v>
      </c>
      <c r="R6022" s="1" t="s">
        <v>675</v>
      </c>
      <c r="S6022" s="1" t="s">
        <v>12457</v>
      </c>
      <c r="T6022" s="1" t="s">
        <v>12458</v>
      </c>
      <c r="U6022" s="2" t="s">
        <v>4013</v>
      </c>
      <c r="V6022" s="2" t="s">
        <v>47</v>
      </c>
      <c r="W6022" s="2" t="s">
        <v>111</v>
      </c>
      <c r="X6022" s="2">
        <v>17.184999999999999</v>
      </c>
    </row>
    <row r="6023" spans="1:24" x14ac:dyDescent="0.3">
      <c r="A6023">
        <v>23844</v>
      </c>
      <c r="B6023" t="s">
        <v>12459</v>
      </c>
      <c r="C6023" s="3">
        <v>41662</v>
      </c>
      <c r="D6023" t="s">
        <v>25</v>
      </c>
      <c r="E6023">
        <v>13</v>
      </c>
      <c r="F6023" s="3">
        <f ca="1">41669+(RANDBETWEEN(1,10))</f>
        <v>41672</v>
      </c>
      <c r="G6023" t="s">
        <v>156</v>
      </c>
      <c r="H6023" t="s">
        <v>27</v>
      </c>
      <c r="I6023" t="s">
        <v>97</v>
      </c>
      <c r="J6023">
        <v>266.245</v>
      </c>
      <c r="K6023">
        <v>0.01</v>
      </c>
      <c r="L6023">
        <v>0.36</v>
      </c>
      <c r="M6023">
        <v>26.495000000000001</v>
      </c>
      <c r="N6023">
        <v>-929.42402000000004</v>
      </c>
      <c r="O6023" s="1" t="s">
        <v>40</v>
      </c>
      <c r="P6023" s="1" t="s">
        <v>7650</v>
      </c>
      <c r="Q6023" s="1" t="s">
        <v>7651</v>
      </c>
      <c r="R6023" s="1" t="s">
        <v>220</v>
      </c>
      <c r="S6023" s="1" t="s">
        <v>7652</v>
      </c>
      <c r="T6023" s="1" t="s">
        <v>7653</v>
      </c>
      <c r="U6023" s="2" t="s">
        <v>8401</v>
      </c>
      <c r="V6023" s="2" t="s">
        <v>47</v>
      </c>
      <c r="W6023" s="2" t="s">
        <v>111</v>
      </c>
      <c r="X6023" s="2">
        <v>18.829999999999998</v>
      </c>
    </row>
    <row r="6024" spans="1:24" x14ac:dyDescent="0.3">
      <c r="A6024">
        <v>23845</v>
      </c>
      <c r="B6024" t="s">
        <v>12460</v>
      </c>
      <c r="C6024" s="3">
        <v>41749</v>
      </c>
      <c r="D6024" t="s">
        <v>50</v>
      </c>
      <c r="E6024">
        <v>9</v>
      </c>
      <c r="F6024" s="3">
        <f ca="1">41751+(RANDBETWEEN(1,10))</f>
        <v>41758</v>
      </c>
      <c r="G6024" t="s">
        <v>76</v>
      </c>
      <c r="H6024" t="s">
        <v>258</v>
      </c>
      <c r="I6024" t="s">
        <v>28</v>
      </c>
      <c r="J6024">
        <v>3276.7350000000001</v>
      </c>
      <c r="K6024">
        <v>0</v>
      </c>
      <c r="L6024">
        <v>0.62</v>
      </c>
      <c r="M6024">
        <v>125.44</v>
      </c>
      <c r="N6024">
        <v>-23.8</v>
      </c>
      <c r="O6024" s="1" t="s">
        <v>40</v>
      </c>
      <c r="P6024" s="1" t="s">
        <v>12020</v>
      </c>
      <c r="Q6024" s="1" t="s">
        <v>12021</v>
      </c>
      <c r="R6024" s="1" t="s">
        <v>220</v>
      </c>
      <c r="S6024" s="1" t="s">
        <v>4765</v>
      </c>
      <c r="T6024" s="1" t="s">
        <v>4766</v>
      </c>
      <c r="U6024" s="2" t="s">
        <v>1271</v>
      </c>
      <c r="V6024" s="2" t="s">
        <v>83</v>
      </c>
      <c r="W6024" s="2" t="s">
        <v>298</v>
      </c>
      <c r="X6024" s="2">
        <v>353.43</v>
      </c>
    </row>
    <row r="6025" spans="1:24" x14ac:dyDescent="0.3">
      <c r="A6025">
        <v>23846</v>
      </c>
      <c r="B6025" t="s">
        <v>12460</v>
      </c>
      <c r="C6025" s="3">
        <v>41749</v>
      </c>
      <c r="D6025" t="s">
        <v>50</v>
      </c>
      <c r="E6025">
        <v>13</v>
      </c>
      <c r="F6025" s="3">
        <f ca="1">41751+(RANDBETWEEN(1,10))</f>
        <v>41758</v>
      </c>
      <c r="G6025" t="s">
        <v>26</v>
      </c>
      <c r="H6025" t="s">
        <v>51</v>
      </c>
      <c r="I6025" t="s">
        <v>28</v>
      </c>
      <c r="J6025">
        <v>205.59</v>
      </c>
      <c r="K6025">
        <v>0.09</v>
      </c>
      <c r="L6025">
        <v>0.72</v>
      </c>
      <c r="M6025">
        <v>8.3650000000000002</v>
      </c>
      <c r="N6025">
        <v>-311.95499999999998</v>
      </c>
      <c r="O6025" s="1" t="s">
        <v>40</v>
      </c>
      <c r="P6025" s="1" t="s">
        <v>12020</v>
      </c>
      <c r="Q6025" s="1" t="s">
        <v>12021</v>
      </c>
      <c r="R6025" s="1" t="s">
        <v>220</v>
      </c>
      <c r="S6025" s="1" t="s">
        <v>4765</v>
      </c>
      <c r="T6025" s="1" t="s">
        <v>4766</v>
      </c>
      <c r="U6025" s="2" t="s">
        <v>4176</v>
      </c>
      <c r="V6025" s="2" t="s">
        <v>36</v>
      </c>
      <c r="W6025" s="2" t="s">
        <v>60</v>
      </c>
      <c r="X6025" s="2">
        <v>16.695</v>
      </c>
    </row>
    <row r="6026" spans="1:24" x14ac:dyDescent="0.3">
      <c r="A6026">
        <v>23847</v>
      </c>
      <c r="B6026" t="s">
        <v>12461</v>
      </c>
      <c r="C6026" s="3">
        <v>41790</v>
      </c>
      <c r="D6026" t="s">
        <v>39</v>
      </c>
      <c r="E6026">
        <v>16</v>
      </c>
      <c r="F6026" s="3">
        <f ca="1">41791+(RANDBETWEEN(1,10))</f>
        <v>41800</v>
      </c>
      <c r="G6026" t="s">
        <v>26</v>
      </c>
      <c r="H6026" t="s">
        <v>96</v>
      </c>
      <c r="I6026" t="s">
        <v>28</v>
      </c>
      <c r="J6026">
        <v>107.625</v>
      </c>
      <c r="K6026">
        <v>7.0000000000000007E-2</v>
      </c>
      <c r="L6026">
        <v>0.82</v>
      </c>
      <c r="M6026">
        <v>9.0299999999999994</v>
      </c>
      <c r="N6026">
        <v>-366.8</v>
      </c>
      <c r="O6026" s="1" t="s">
        <v>29</v>
      </c>
      <c r="P6026" s="1" t="s">
        <v>6995</v>
      </c>
      <c r="Q6026" s="1" t="s">
        <v>6996</v>
      </c>
      <c r="R6026" s="1" t="s">
        <v>32</v>
      </c>
      <c r="S6026" s="1" t="s">
        <v>6997</v>
      </c>
      <c r="T6026" s="1" t="s">
        <v>6998</v>
      </c>
      <c r="U6026" s="2" t="s">
        <v>456</v>
      </c>
      <c r="V6026" s="2" t="s">
        <v>47</v>
      </c>
      <c r="W6026" s="2" t="s">
        <v>176</v>
      </c>
      <c r="X6026" s="2">
        <v>6.51</v>
      </c>
    </row>
    <row r="6027" spans="1:24" x14ac:dyDescent="0.3">
      <c r="A6027">
        <v>23848</v>
      </c>
      <c r="B6027" t="s">
        <v>12462</v>
      </c>
      <c r="C6027" s="3">
        <v>41940</v>
      </c>
      <c r="D6027" t="s">
        <v>62</v>
      </c>
      <c r="E6027">
        <v>11</v>
      </c>
      <c r="F6027" s="3">
        <f ca="1">41942+(RANDBETWEEN(1,10))</f>
        <v>41945</v>
      </c>
      <c r="G6027" t="s">
        <v>26</v>
      </c>
      <c r="H6027" t="s">
        <v>27</v>
      </c>
      <c r="I6027" t="s">
        <v>28</v>
      </c>
      <c r="J6027">
        <v>583.16999999999996</v>
      </c>
      <c r="K6027">
        <v>7.0000000000000007E-2</v>
      </c>
      <c r="L6027">
        <v>0.6</v>
      </c>
      <c r="M6027">
        <v>20.3</v>
      </c>
      <c r="N6027">
        <v>-105.7</v>
      </c>
      <c r="O6027" s="1" t="s">
        <v>53</v>
      </c>
      <c r="P6027" s="1" t="s">
        <v>12463</v>
      </c>
      <c r="Q6027" s="1" t="s">
        <v>12464</v>
      </c>
      <c r="R6027" s="1" t="s">
        <v>100</v>
      </c>
      <c r="S6027" s="1" t="s">
        <v>3040</v>
      </c>
      <c r="T6027" s="1" t="s">
        <v>3041</v>
      </c>
      <c r="U6027" s="2" t="s">
        <v>10742</v>
      </c>
      <c r="V6027" s="2" t="s">
        <v>47</v>
      </c>
      <c r="W6027" s="2" t="s">
        <v>119</v>
      </c>
      <c r="X6027" s="2">
        <v>54.284999999999997</v>
      </c>
    </row>
    <row r="6028" spans="1:24" x14ac:dyDescent="0.3">
      <c r="A6028">
        <v>23849</v>
      </c>
      <c r="B6028" t="s">
        <v>12465</v>
      </c>
      <c r="C6028" s="3">
        <v>41176</v>
      </c>
      <c r="D6028" t="s">
        <v>39</v>
      </c>
      <c r="E6028">
        <v>18</v>
      </c>
      <c r="F6028" s="3">
        <f ca="1">41178+(RANDBETWEEN(1,10))</f>
        <v>41180</v>
      </c>
      <c r="G6028" t="s">
        <v>76</v>
      </c>
      <c r="H6028" t="s">
        <v>77</v>
      </c>
      <c r="I6028" t="s">
        <v>97</v>
      </c>
      <c r="J6028">
        <v>29983.66</v>
      </c>
      <c r="K6028">
        <v>0.05</v>
      </c>
      <c r="L6028">
        <v>0.6</v>
      </c>
      <c r="M6028">
        <v>91</v>
      </c>
      <c r="N6028">
        <v>16878.47</v>
      </c>
      <c r="O6028" s="1" t="s">
        <v>87</v>
      </c>
      <c r="P6028" s="1" t="s">
        <v>2947</v>
      </c>
      <c r="Q6028" s="1" t="s">
        <v>2948</v>
      </c>
      <c r="R6028" s="1" t="s">
        <v>646</v>
      </c>
      <c r="S6028" s="1" t="s">
        <v>2949</v>
      </c>
      <c r="T6028" s="1" t="s">
        <v>2950</v>
      </c>
      <c r="U6028" s="2" t="s">
        <v>1670</v>
      </c>
      <c r="V6028" s="2" t="s">
        <v>83</v>
      </c>
      <c r="W6028" s="2" t="s">
        <v>84</v>
      </c>
      <c r="X6028" s="2">
        <v>1753.43</v>
      </c>
    </row>
    <row r="6029" spans="1:24" x14ac:dyDescent="0.3">
      <c r="A6029">
        <v>23850</v>
      </c>
      <c r="B6029" t="s">
        <v>12466</v>
      </c>
      <c r="C6029" s="3">
        <v>41397</v>
      </c>
      <c r="D6029" t="s">
        <v>39</v>
      </c>
      <c r="E6029">
        <v>9</v>
      </c>
      <c r="F6029" s="3">
        <f ca="1">41399+(RANDBETWEEN(1,10))</f>
        <v>41403</v>
      </c>
      <c r="G6029" t="s">
        <v>156</v>
      </c>
      <c r="H6029" t="s">
        <v>96</v>
      </c>
      <c r="I6029" t="s">
        <v>52</v>
      </c>
      <c r="J6029">
        <v>54.914999999999999</v>
      </c>
      <c r="K6029">
        <v>0.04</v>
      </c>
      <c r="L6029">
        <v>0.42</v>
      </c>
      <c r="M6029">
        <v>4.5149999999999997</v>
      </c>
      <c r="N6029">
        <v>-29.54</v>
      </c>
      <c r="O6029" s="1" t="s">
        <v>225</v>
      </c>
      <c r="P6029" s="1" t="s">
        <v>12467</v>
      </c>
      <c r="Q6029" s="1" t="s">
        <v>12468</v>
      </c>
      <c r="R6029" s="1" t="s">
        <v>228</v>
      </c>
      <c r="S6029" s="1" t="s">
        <v>12469</v>
      </c>
      <c r="T6029" s="1" t="s">
        <v>12470</v>
      </c>
      <c r="U6029" s="2" t="s">
        <v>9221</v>
      </c>
      <c r="V6029" s="2" t="s">
        <v>47</v>
      </c>
      <c r="W6029" s="2" t="s">
        <v>104</v>
      </c>
      <c r="X6029" s="2">
        <v>5.6</v>
      </c>
    </row>
    <row r="6030" spans="1:24" x14ac:dyDescent="0.3">
      <c r="A6030">
        <v>23851</v>
      </c>
      <c r="B6030" t="s">
        <v>12466</v>
      </c>
      <c r="C6030" s="3">
        <v>41397</v>
      </c>
      <c r="D6030" t="s">
        <v>39</v>
      </c>
      <c r="E6030">
        <v>16</v>
      </c>
      <c r="F6030" s="3">
        <f ca="1">41398+(RANDBETWEEN(1,10))</f>
        <v>41401</v>
      </c>
      <c r="G6030" t="s">
        <v>26</v>
      </c>
      <c r="H6030" t="s">
        <v>27</v>
      </c>
      <c r="I6030" t="s">
        <v>52</v>
      </c>
      <c r="J6030">
        <v>3146.5349999999999</v>
      </c>
      <c r="K6030">
        <v>0.04</v>
      </c>
      <c r="L6030">
        <v>0.57999999999999996</v>
      </c>
      <c r="M6030">
        <v>31.465</v>
      </c>
      <c r="N6030">
        <v>1393.7805000000001</v>
      </c>
      <c r="O6030" s="1" t="s">
        <v>225</v>
      </c>
      <c r="P6030" s="1" t="s">
        <v>12467</v>
      </c>
      <c r="Q6030" s="1" t="s">
        <v>12468</v>
      </c>
      <c r="R6030" s="1" t="s">
        <v>228</v>
      </c>
      <c r="S6030" s="1" t="s">
        <v>12469</v>
      </c>
      <c r="T6030" s="1" t="s">
        <v>12470</v>
      </c>
      <c r="U6030" s="2" t="s">
        <v>4501</v>
      </c>
      <c r="V6030" s="2" t="s">
        <v>36</v>
      </c>
      <c r="W6030" s="2" t="s">
        <v>37</v>
      </c>
      <c r="X6030" s="2">
        <v>230.965</v>
      </c>
    </row>
    <row r="6031" spans="1:24" x14ac:dyDescent="0.3">
      <c r="A6031">
        <v>23852</v>
      </c>
      <c r="B6031" t="s">
        <v>12471</v>
      </c>
      <c r="C6031" s="3">
        <v>40812</v>
      </c>
      <c r="D6031" t="s">
        <v>39</v>
      </c>
      <c r="E6031">
        <v>21</v>
      </c>
      <c r="F6031" s="3">
        <f ca="1">40813+(RANDBETWEEN(1,10))</f>
        <v>40814</v>
      </c>
      <c r="G6031" t="s">
        <v>76</v>
      </c>
      <c r="H6031" t="s">
        <v>258</v>
      </c>
      <c r="I6031" t="s">
        <v>28</v>
      </c>
      <c r="J6031">
        <v>9666.7900000000009</v>
      </c>
      <c r="K6031">
        <v>0.03</v>
      </c>
      <c r="L6031">
        <v>0.63</v>
      </c>
      <c r="M6031">
        <v>181.79</v>
      </c>
      <c r="N6031">
        <v>63.609000000000002</v>
      </c>
      <c r="O6031" s="1" t="s">
        <v>87</v>
      </c>
      <c r="P6031" s="1" t="s">
        <v>12472</v>
      </c>
      <c r="Q6031" s="1" t="s">
        <v>12473</v>
      </c>
      <c r="R6031" s="1" t="s">
        <v>90</v>
      </c>
      <c r="S6031" s="1" t="s">
        <v>12474</v>
      </c>
      <c r="T6031" s="1" t="s">
        <v>12475</v>
      </c>
      <c r="U6031" s="2" t="s">
        <v>360</v>
      </c>
      <c r="V6031" s="2" t="s">
        <v>83</v>
      </c>
      <c r="W6031" s="2" t="s">
        <v>263</v>
      </c>
      <c r="X6031" s="2">
        <v>435.71499999999997</v>
      </c>
    </row>
    <row r="6032" spans="1:24" x14ac:dyDescent="0.3">
      <c r="A6032">
        <v>23853</v>
      </c>
      <c r="B6032" t="s">
        <v>12476</v>
      </c>
      <c r="C6032" s="3">
        <v>40580</v>
      </c>
      <c r="D6032" t="s">
        <v>25</v>
      </c>
      <c r="E6032">
        <v>11</v>
      </c>
      <c r="F6032" s="3">
        <f ca="1">40584+(RANDBETWEEN(1,10))</f>
        <v>40588</v>
      </c>
      <c r="G6032" t="s">
        <v>76</v>
      </c>
      <c r="H6032" t="s">
        <v>77</v>
      </c>
      <c r="I6032" t="s">
        <v>28</v>
      </c>
      <c r="J6032">
        <v>6458.3050000000003</v>
      </c>
      <c r="K6032">
        <v>0.03</v>
      </c>
      <c r="L6032">
        <v>0.62</v>
      </c>
      <c r="M6032">
        <v>105</v>
      </c>
      <c r="N6032">
        <v>4456.23045</v>
      </c>
      <c r="O6032" s="1" t="s">
        <v>87</v>
      </c>
      <c r="P6032" s="1" t="s">
        <v>12477</v>
      </c>
      <c r="Q6032" s="1" t="s">
        <v>12478</v>
      </c>
      <c r="R6032" s="1" t="s">
        <v>398</v>
      </c>
      <c r="S6032" s="1" t="s">
        <v>2629</v>
      </c>
      <c r="T6032" s="1" t="s">
        <v>2630</v>
      </c>
      <c r="U6032" s="2" t="s">
        <v>2089</v>
      </c>
      <c r="V6032" s="2" t="s">
        <v>83</v>
      </c>
      <c r="W6032" s="2" t="s">
        <v>84</v>
      </c>
      <c r="X6032" s="2">
        <v>563.42999999999995</v>
      </c>
    </row>
    <row r="6033" spans="1:24" x14ac:dyDescent="0.3">
      <c r="A6033">
        <v>23854</v>
      </c>
      <c r="B6033" t="s">
        <v>12479</v>
      </c>
      <c r="C6033" s="3">
        <v>41676</v>
      </c>
      <c r="D6033" t="s">
        <v>25</v>
      </c>
      <c r="E6033">
        <v>6</v>
      </c>
      <c r="F6033" s="3">
        <f ca="1">41680+(RANDBETWEEN(1,10))</f>
        <v>41687</v>
      </c>
      <c r="G6033" t="s">
        <v>26</v>
      </c>
      <c r="H6033" t="s">
        <v>27</v>
      </c>
      <c r="I6033" t="s">
        <v>28</v>
      </c>
      <c r="J6033">
        <v>1154.02</v>
      </c>
      <c r="K6033">
        <v>0.03</v>
      </c>
      <c r="L6033">
        <v>0.59</v>
      </c>
      <c r="M6033">
        <v>13.965</v>
      </c>
      <c r="N6033">
        <v>603.16200000000003</v>
      </c>
      <c r="O6033" s="1" t="s">
        <v>87</v>
      </c>
      <c r="P6033" s="1" t="s">
        <v>12477</v>
      </c>
      <c r="Q6033" s="1" t="s">
        <v>12478</v>
      </c>
      <c r="R6033" s="1" t="s">
        <v>398</v>
      </c>
      <c r="S6033" s="1" t="s">
        <v>2629</v>
      </c>
      <c r="T6033" s="1" t="s">
        <v>2630</v>
      </c>
      <c r="U6033" s="2" t="s">
        <v>1991</v>
      </c>
      <c r="V6033" s="2" t="s">
        <v>36</v>
      </c>
      <c r="W6033" s="2" t="s">
        <v>37</v>
      </c>
      <c r="X6033" s="2">
        <v>230.965</v>
      </c>
    </row>
    <row r="6034" spans="1:24" x14ac:dyDescent="0.3">
      <c r="A6034">
        <v>23855</v>
      </c>
      <c r="B6034" t="s">
        <v>12480</v>
      </c>
      <c r="C6034" s="3">
        <v>41111</v>
      </c>
      <c r="D6034" t="s">
        <v>62</v>
      </c>
      <c r="E6034">
        <v>15</v>
      </c>
      <c r="F6034" s="3">
        <f ca="1">41112+(RANDBETWEEN(1,10))</f>
        <v>41115</v>
      </c>
      <c r="G6034" t="s">
        <v>26</v>
      </c>
      <c r="H6034" t="s">
        <v>27</v>
      </c>
      <c r="I6034" t="s">
        <v>28</v>
      </c>
      <c r="J6034">
        <v>661.43</v>
      </c>
      <c r="K6034">
        <v>0.06</v>
      </c>
      <c r="L6034">
        <v>0.38</v>
      </c>
      <c r="M6034">
        <v>22.645</v>
      </c>
      <c r="N6034">
        <v>164.85</v>
      </c>
      <c r="O6034" s="1" t="s">
        <v>40</v>
      </c>
      <c r="P6034" s="1" t="s">
        <v>10152</v>
      </c>
      <c r="Q6034" s="1" t="s">
        <v>10153</v>
      </c>
      <c r="R6034" s="1" t="s">
        <v>43</v>
      </c>
      <c r="S6034" s="1" t="s">
        <v>7165</v>
      </c>
      <c r="T6034" s="1" t="s">
        <v>7166</v>
      </c>
      <c r="U6034" s="2" t="s">
        <v>2420</v>
      </c>
      <c r="V6034" s="2" t="s">
        <v>47</v>
      </c>
      <c r="W6034" s="2" t="s">
        <v>74</v>
      </c>
      <c r="X6034" s="2">
        <v>42.98</v>
      </c>
    </row>
    <row r="6035" spans="1:24" x14ac:dyDescent="0.3">
      <c r="A6035">
        <v>23856</v>
      </c>
      <c r="B6035" t="s">
        <v>12481</v>
      </c>
      <c r="C6035" s="3">
        <v>41111</v>
      </c>
      <c r="D6035" t="s">
        <v>62</v>
      </c>
      <c r="E6035">
        <v>5</v>
      </c>
      <c r="F6035" s="3">
        <f ca="1">41113+(RANDBETWEEN(1,10))</f>
        <v>41117</v>
      </c>
      <c r="G6035" t="s">
        <v>26</v>
      </c>
      <c r="H6035" t="s">
        <v>96</v>
      </c>
      <c r="I6035" t="s">
        <v>28</v>
      </c>
      <c r="J6035">
        <v>66.465000000000003</v>
      </c>
      <c r="K6035">
        <v>0.03</v>
      </c>
      <c r="L6035">
        <v>0.44</v>
      </c>
      <c r="M6035">
        <v>5.6349999999999998</v>
      </c>
      <c r="N6035">
        <v>18.375</v>
      </c>
      <c r="O6035" s="1" t="s">
        <v>40</v>
      </c>
      <c r="P6035" s="1" t="s">
        <v>11726</v>
      </c>
      <c r="Q6035" s="1" t="s">
        <v>11727</v>
      </c>
      <c r="R6035" s="1" t="s">
        <v>220</v>
      </c>
      <c r="S6035" s="1" t="s">
        <v>11728</v>
      </c>
      <c r="T6035" s="1" t="s">
        <v>11729</v>
      </c>
      <c r="U6035" s="2" t="s">
        <v>6529</v>
      </c>
      <c r="V6035" s="2" t="s">
        <v>83</v>
      </c>
      <c r="W6035" s="2" t="s">
        <v>178</v>
      </c>
      <c r="X6035" s="2">
        <v>12.95</v>
      </c>
    </row>
    <row r="6036" spans="1:24" x14ac:dyDescent="0.3">
      <c r="A6036">
        <v>23857</v>
      </c>
      <c r="B6036" t="s">
        <v>12482</v>
      </c>
      <c r="C6036" s="3">
        <v>41246</v>
      </c>
      <c r="D6036" t="s">
        <v>50</v>
      </c>
      <c r="E6036">
        <v>11</v>
      </c>
      <c r="F6036" s="3">
        <f ca="1">41248+(RANDBETWEEN(1,10))</f>
        <v>41251</v>
      </c>
      <c r="G6036" t="s">
        <v>26</v>
      </c>
      <c r="H6036" t="s">
        <v>27</v>
      </c>
      <c r="I6036" t="s">
        <v>52</v>
      </c>
      <c r="J6036">
        <v>3673.4250000000002</v>
      </c>
      <c r="K6036">
        <v>0.09</v>
      </c>
      <c r="L6036">
        <v>0.37</v>
      </c>
      <c r="M6036">
        <v>16.274999999999999</v>
      </c>
      <c r="N6036">
        <v>2534.6632500000001</v>
      </c>
      <c r="O6036" s="1" t="s">
        <v>53</v>
      </c>
      <c r="P6036" s="1" t="s">
        <v>9865</v>
      </c>
      <c r="Q6036" s="1" t="s">
        <v>9866</v>
      </c>
      <c r="R6036" s="1" t="s">
        <v>56</v>
      </c>
      <c r="S6036" s="1" t="s">
        <v>9867</v>
      </c>
      <c r="T6036" s="1" t="s">
        <v>9868</v>
      </c>
      <c r="U6036" s="2" t="s">
        <v>73</v>
      </c>
      <c r="V6036" s="2" t="s">
        <v>47</v>
      </c>
      <c r="W6036" s="2" t="s">
        <v>74</v>
      </c>
      <c r="X6036" s="2">
        <v>366.97500000000002</v>
      </c>
    </row>
    <row r="6037" spans="1:24" x14ac:dyDescent="0.3">
      <c r="A6037">
        <v>23858</v>
      </c>
      <c r="B6037" t="s">
        <v>12483</v>
      </c>
      <c r="C6037" s="3">
        <v>41431</v>
      </c>
      <c r="D6037" t="s">
        <v>25</v>
      </c>
      <c r="E6037">
        <v>17</v>
      </c>
      <c r="F6037" s="3">
        <f ca="1">41440+(RANDBETWEEN(1,10))</f>
        <v>41449</v>
      </c>
      <c r="G6037" t="s">
        <v>26</v>
      </c>
      <c r="H6037" t="s">
        <v>51</v>
      </c>
      <c r="I6037" t="s">
        <v>28</v>
      </c>
      <c r="J6037">
        <v>1283.5899999999999</v>
      </c>
      <c r="K6037">
        <v>0</v>
      </c>
      <c r="L6037">
        <v>0.57999999999999996</v>
      </c>
      <c r="M6037">
        <v>31.465</v>
      </c>
      <c r="N6037">
        <v>-7.4480000000000004</v>
      </c>
      <c r="O6037" s="1" t="s">
        <v>64</v>
      </c>
      <c r="P6037" s="1" t="s">
        <v>12484</v>
      </c>
      <c r="Q6037" s="1" t="s">
        <v>12485</v>
      </c>
      <c r="R6037" s="1" t="s">
        <v>128</v>
      </c>
      <c r="S6037" s="1" t="s">
        <v>939</v>
      </c>
      <c r="T6037" s="1" t="s">
        <v>940</v>
      </c>
      <c r="U6037" s="2" t="s">
        <v>2615</v>
      </c>
      <c r="V6037" s="2" t="s">
        <v>47</v>
      </c>
      <c r="W6037" s="2" t="s">
        <v>104</v>
      </c>
      <c r="X6037" s="2">
        <v>70.525000000000006</v>
      </c>
    </row>
    <row r="6038" spans="1:24" x14ac:dyDescent="0.3">
      <c r="A6038">
        <v>23859</v>
      </c>
      <c r="B6038" t="s">
        <v>12486</v>
      </c>
      <c r="C6038" s="3">
        <v>41172</v>
      </c>
      <c r="D6038" t="s">
        <v>39</v>
      </c>
      <c r="E6038">
        <v>10</v>
      </c>
      <c r="F6038" s="3">
        <f ca="1">41174+(RANDBETWEEN(1,10))</f>
        <v>41184</v>
      </c>
      <c r="G6038" t="s">
        <v>26</v>
      </c>
      <c r="H6038" t="s">
        <v>51</v>
      </c>
      <c r="I6038" t="s">
        <v>28</v>
      </c>
      <c r="J6038">
        <v>431.9</v>
      </c>
      <c r="K6038">
        <v>0.01</v>
      </c>
      <c r="L6038">
        <v>0.6</v>
      </c>
      <c r="M6038">
        <v>20.335000000000001</v>
      </c>
      <c r="N6038">
        <v>-136.29</v>
      </c>
      <c r="O6038" s="1" t="s">
        <v>225</v>
      </c>
      <c r="P6038" s="1" t="s">
        <v>12149</v>
      </c>
      <c r="Q6038" s="1" t="s">
        <v>12150</v>
      </c>
      <c r="R6038" s="1" t="s">
        <v>391</v>
      </c>
      <c r="S6038" s="1" t="s">
        <v>4320</v>
      </c>
      <c r="T6038" s="1" t="s">
        <v>4321</v>
      </c>
      <c r="U6038" s="2" t="s">
        <v>1353</v>
      </c>
      <c r="V6038" s="2" t="s">
        <v>47</v>
      </c>
      <c r="W6038" s="2" t="s">
        <v>104</v>
      </c>
      <c r="X6038" s="2">
        <v>41.895000000000003</v>
      </c>
    </row>
    <row r="6039" spans="1:24" x14ac:dyDescent="0.3">
      <c r="A6039">
        <v>23860</v>
      </c>
      <c r="B6039" t="s">
        <v>12487</v>
      </c>
      <c r="C6039" s="3">
        <v>40584</v>
      </c>
      <c r="D6039" t="s">
        <v>148</v>
      </c>
      <c r="E6039">
        <v>6</v>
      </c>
      <c r="F6039" s="3">
        <f ca="1">40585+(RANDBETWEEN(1,10))</f>
        <v>40595</v>
      </c>
      <c r="G6039" t="s">
        <v>26</v>
      </c>
      <c r="H6039" t="s">
        <v>27</v>
      </c>
      <c r="I6039" t="s">
        <v>28</v>
      </c>
      <c r="J6039">
        <v>131.94999999999999</v>
      </c>
      <c r="K6039">
        <v>0.06</v>
      </c>
      <c r="L6039">
        <v>0.38</v>
      </c>
      <c r="M6039">
        <v>18.164999999999999</v>
      </c>
      <c r="N6039">
        <v>-168.76824999999999</v>
      </c>
      <c r="O6039" s="1" t="s">
        <v>53</v>
      </c>
      <c r="P6039" s="1" t="s">
        <v>10416</v>
      </c>
      <c r="Q6039" s="1" t="s">
        <v>10417</v>
      </c>
      <c r="R6039" s="1" t="s">
        <v>440</v>
      </c>
      <c r="S6039" s="1" t="s">
        <v>10418</v>
      </c>
      <c r="T6039" s="1" t="s">
        <v>10419</v>
      </c>
      <c r="U6039" s="2" t="s">
        <v>1111</v>
      </c>
      <c r="V6039" s="2" t="s">
        <v>47</v>
      </c>
      <c r="W6039" s="2" t="s">
        <v>111</v>
      </c>
      <c r="X6039" s="2">
        <v>22.295000000000002</v>
      </c>
    </row>
    <row r="6040" spans="1:24" x14ac:dyDescent="0.3">
      <c r="A6040">
        <v>23861</v>
      </c>
      <c r="B6040" t="s">
        <v>12488</v>
      </c>
      <c r="C6040" s="3">
        <v>41998</v>
      </c>
      <c r="D6040" t="s">
        <v>148</v>
      </c>
      <c r="E6040">
        <v>2</v>
      </c>
      <c r="F6040" s="3">
        <f ca="1">41999+(RANDBETWEEN(1,10))</f>
        <v>42008</v>
      </c>
      <c r="G6040" t="s">
        <v>26</v>
      </c>
      <c r="H6040" t="s">
        <v>27</v>
      </c>
      <c r="I6040" t="s">
        <v>86</v>
      </c>
      <c r="J6040">
        <v>200.51499999999999</v>
      </c>
      <c r="K6040">
        <v>0.02</v>
      </c>
      <c r="L6040">
        <v>0.39</v>
      </c>
      <c r="M6040">
        <v>45.43</v>
      </c>
      <c r="N6040">
        <v>-1277.92</v>
      </c>
      <c r="O6040" s="1" t="s">
        <v>29</v>
      </c>
      <c r="P6040" s="1" t="s">
        <v>11949</v>
      </c>
      <c r="Q6040" s="1" t="s">
        <v>11950</v>
      </c>
      <c r="R6040" s="1" t="s">
        <v>32</v>
      </c>
      <c r="S6040" s="1" t="s">
        <v>11951</v>
      </c>
      <c r="T6040" s="1" t="s">
        <v>11952</v>
      </c>
      <c r="U6040" s="2" t="s">
        <v>559</v>
      </c>
      <c r="V6040" s="2" t="s">
        <v>47</v>
      </c>
      <c r="W6040" s="2" t="s">
        <v>111</v>
      </c>
      <c r="X6040" s="2">
        <v>87.22</v>
      </c>
    </row>
    <row r="6041" spans="1:24" x14ac:dyDescent="0.3">
      <c r="A6041">
        <v>23862</v>
      </c>
      <c r="B6041" t="s">
        <v>12489</v>
      </c>
      <c r="C6041" s="3">
        <v>40717</v>
      </c>
      <c r="D6041" t="s">
        <v>39</v>
      </c>
      <c r="E6041">
        <v>9</v>
      </c>
      <c r="F6041" s="3">
        <f ca="1">40718+(RANDBETWEEN(1,10))</f>
        <v>40719</v>
      </c>
      <c r="G6041" t="s">
        <v>76</v>
      </c>
      <c r="H6041" t="s">
        <v>258</v>
      </c>
      <c r="I6041" t="s">
        <v>86</v>
      </c>
      <c r="J6041">
        <v>6183.38</v>
      </c>
      <c r="K6041">
        <v>0.09</v>
      </c>
      <c r="L6041">
        <v>0.75</v>
      </c>
      <c r="M6041">
        <v>195.86</v>
      </c>
      <c r="N6041">
        <v>-1795.0519999999999</v>
      </c>
      <c r="O6041" s="1" t="s">
        <v>225</v>
      </c>
      <c r="P6041" s="1" t="s">
        <v>11243</v>
      </c>
      <c r="Q6041" s="1" t="s">
        <v>11244</v>
      </c>
      <c r="R6041" s="1" t="s">
        <v>228</v>
      </c>
      <c r="S6041" s="1" t="s">
        <v>11245</v>
      </c>
      <c r="T6041" s="1" t="s">
        <v>5837</v>
      </c>
      <c r="U6041" s="2" t="s">
        <v>8671</v>
      </c>
      <c r="V6041" s="2" t="s">
        <v>83</v>
      </c>
      <c r="W6041" s="2" t="s">
        <v>298</v>
      </c>
      <c r="X6041" s="2">
        <v>703.43</v>
      </c>
    </row>
    <row r="6042" spans="1:24" x14ac:dyDescent="0.3">
      <c r="A6042">
        <v>23863</v>
      </c>
      <c r="B6042" t="s">
        <v>12489</v>
      </c>
      <c r="C6042" s="3">
        <v>40717</v>
      </c>
      <c r="D6042" t="s">
        <v>39</v>
      </c>
      <c r="E6042">
        <v>11</v>
      </c>
      <c r="F6042" s="3">
        <f ca="1">40718+(RANDBETWEEN(1,10))</f>
        <v>40725</v>
      </c>
      <c r="G6042" t="s">
        <v>26</v>
      </c>
      <c r="H6042" t="s">
        <v>96</v>
      </c>
      <c r="I6042" t="s">
        <v>86</v>
      </c>
      <c r="J6042">
        <v>101.57</v>
      </c>
      <c r="K6042">
        <v>0.09</v>
      </c>
      <c r="L6042">
        <v>0.59</v>
      </c>
      <c r="M6042">
        <v>3.395</v>
      </c>
      <c r="N6042">
        <v>-13.244</v>
      </c>
      <c r="O6042" s="1" t="s">
        <v>225</v>
      </c>
      <c r="P6042" s="1" t="s">
        <v>11243</v>
      </c>
      <c r="Q6042" s="1" t="s">
        <v>11244</v>
      </c>
      <c r="R6042" s="1" t="s">
        <v>228</v>
      </c>
      <c r="S6042" s="1" t="s">
        <v>11245</v>
      </c>
      <c r="T6042" s="1" t="s">
        <v>5837</v>
      </c>
      <c r="U6042" s="2" t="s">
        <v>12490</v>
      </c>
      <c r="V6042" s="2" t="s">
        <v>47</v>
      </c>
      <c r="W6042" s="2" t="s">
        <v>104</v>
      </c>
      <c r="X6042" s="2">
        <v>9.73</v>
      </c>
    </row>
    <row r="6043" spans="1:24" x14ac:dyDescent="0.3">
      <c r="A6043">
        <v>23864</v>
      </c>
      <c r="B6043" t="s">
        <v>12491</v>
      </c>
      <c r="C6043" s="3">
        <v>41992</v>
      </c>
      <c r="D6043" t="s">
        <v>148</v>
      </c>
      <c r="E6043">
        <v>18</v>
      </c>
      <c r="F6043" s="3">
        <f ca="1">41994+(RANDBETWEEN(1,10))</f>
        <v>41997</v>
      </c>
      <c r="G6043" t="s">
        <v>26</v>
      </c>
      <c r="H6043" t="s">
        <v>27</v>
      </c>
      <c r="I6043" t="s">
        <v>28</v>
      </c>
      <c r="J6043">
        <v>7202.5450000000001</v>
      </c>
      <c r="K6043">
        <v>0.1</v>
      </c>
      <c r="L6043">
        <v>0.35</v>
      </c>
      <c r="M6043">
        <v>31.745000000000001</v>
      </c>
      <c r="N6043">
        <v>4969.75605</v>
      </c>
      <c r="O6043" s="1" t="s">
        <v>53</v>
      </c>
      <c r="P6043" s="1" t="s">
        <v>12492</v>
      </c>
      <c r="Q6043" s="1" t="s">
        <v>12493</v>
      </c>
      <c r="R6043" s="1" t="s">
        <v>440</v>
      </c>
      <c r="S6043" s="1" t="s">
        <v>12494</v>
      </c>
      <c r="T6043" s="1" t="s">
        <v>12495</v>
      </c>
      <c r="U6043" s="2" t="s">
        <v>4646</v>
      </c>
      <c r="V6043" s="2" t="s">
        <v>47</v>
      </c>
      <c r="W6043" s="2" t="s">
        <v>111</v>
      </c>
      <c r="X6043" s="2">
        <v>423.43</v>
      </c>
    </row>
    <row r="6044" spans="1:24" x14ac:dyDescent="0.3">
      <c r="A6044">
        <v>23865</v>
      </c>
      <c r="B6044" t="s">
        <v>12496</v>
      </c>
      <c r="C6044" s="3">
        <v>41244</v>
      </c>
      <c r="D6044" t="s">
        <v>25</v>
      </c>
      <c r="E6044">
        <v>16</v>
      </c>
      <c r="F6044" s="3">
        <f ca="1">41251+(RANDBETWEEN(1,10))</f>
        <v>41252</v>
      </c>
      <c r="G6044" t="s">
        <v>26</v>
      </c>
      <c r="H6044" t="s">
        <v>51</v>
      </c>
      <c r="I6044" t="s">
        <v>97</v>
      </c>
      <c r="J6044">
        <v>2538.8649999999998</v>
      </c>
      <c r="K6044">
        <v>0.05</v>
      </c>
      <c r="L6044">
        <v>0.83</v>
      </c>
      <c r="M6044">
        <v>17.5</v>
      </c>
      <c r="N6044">
        <v>-7135.9189999999999</v>
      </c>
      <c r="O6044" s="1" t="s">
        <v>87</v>
      </c>
      <c r="P6044" s="1" t="s">
        <v>8141</v>
      </c>
      <c r="Q6044" s="1" t="s">
        <v>8142</v>
      </c>
      <c r="R6044" s="1" t="s">
        <v>90</v>
      </c>
      <c r="S6044" s="1" t="s">
        <v>8143</v>
      </c>
      <c r="T6044" s="1" t="s">
        <v>8144</v>
      </c>
      <c r="U6044" s="2" t="s">
        <v>4376</v>
      </c>
      <c r="V6044" s="2" t="s">
        <v>36</v>
      </c>
      <c r="W6044" s="2" t="s">
        <v>37</v>
      </c>
      <c r="X6044" s="2">
        <v>195.965</v>
      </c>
    </row>
    <row r="6045" spans="1:24" x14ac:dyDescent="0.3">
      <c r="A6045">
        <v>23866</v>
      </c>
      <c r="B6045" t="s">
        <v>12497</v>
      </c>
      <c r="C6045" s="3">
        <v>41222</v>
      </c>
      <c r="D6045" t="s">
        <v>25</v>
      </c>
      <c r="E6045">
        <v>25</v>
      </c>
      <c r="F6045" s="3">
        <f ca="1">41222+(RANDBETWEEN(1,10))</f>
        <v>41223</v>
      </c>
      <c r="G6045" t="s">
        <v>76</v>
      </c>
      <c r="H6045" t="s">
        <v>77</v>
      </c>
      <c r="I6045" t="s">
        <v>28</v>
      </c>
      <c r="J6045">
        <v>10973.445</v>
      </c>
      <c r="K6045">
        <v>0</v>
      </c>
      <c r="L6045">
        <v>0.74</v>
      </c>
      <c r="M6045">
        <v>245.7</v>
      </c>
      <c r="N6045">
        <v>898.96799999999996</v>
      </c>
      <c r="O6045" s="1" t="s">
        <v>29</v>
      </c>
      <c r="P6045" s="1" t="s">
        <v>12297</v>
      </c>
      <c r="Q6045" s="1" t="s">
        <v>12298</v>
      </c>
      <c r="R6045" s="1" t="s">
        <v>32</v>
      </c>
      <c r="S6045" s="1" t="s">
        <v>12299</v>
      </c>
      <c r="T6045" s="1" t="s">
        <v>12300</v>
      </c>
      <c r="U6045" s="2" t="s">
        <v>358</v>
      </c>
      <c r="V6045" s="2" t="s">
        <v>83</v>
      </c>
      <c r="W6045" s="2" t="s">
        <v>84</v>
      </c>
      <c r="X6045" s="2">
        <v>430.46499999999997</v>
      </c>
    </row>
    <row r="6046" spans="1:24" x14ac:dyDescent="0.3">
      <c r="A6046">
        <v>23867</v>
      </c>
      <c r="B6046" t="s">
        <v>12498</v>
      </c>
      <c r="C6046" s="3">
        <v>41981</v>
      </c>
      <c r="D6046" t="s">
        <v>50</v>
      </c>
      <c r="E6046">
        <v>4</v>
      </c>
      <c r="F6046" s="3">
        <f ca="1">41982+(RANDBETWEEN(1,10))</f>
        <v>41992</v>
      </c>
      <c r="G6046" t="s">
        <v>26</v>
      </c>
      <c r="H6046" t="s">
        <v>51</v>
      </c>
      <c r="I6046" t="s">
        <v>97</v>
      </c>
      <c r="J6046">
        <v>114.69499999999999</v>
      </c>
      <c r="K6046">
        <v>0.06</v>
      </c>
      <c r="L6046">
        <v>0.52</v>
      </c>
      <c r="M6046">
        <v>6.9649999999999999</v>
      </c>
      <c r="N6046">
        <v>-435.86725000000001</v>
      </c>
      <c r="O6046" s="1" t="s">
        <v>87</v>
      </c>
      <c r="P6046" s="1" t="s">
        <v>12351</v>
      </c>
      <c r="Q6046" s="1" t="s">
        <v>12352</v>
      </c>
      <c r="R6046" s="1" t="s">
        <v>497</v>
      </c>
      <c r="S6046" s="1" t="s">
        <v>12353</v>
      </c>
      <c r="T6046" s="1" t="s">
        <v>12354</v>
      </c>
      <c r="U6046" s="2" t="s">
        <v>2853</v>
      </c>
      <c r="V6046" s="2" t="s">
        <v>36</v>
      </c>
      <c r="W6046" s="2" t="s">
        <v>60</v>
      </c>
      <c r="X6046" s="2">
        <v>29.155000000000001</v>
      </c>
    </row>
    <row r="6047" spans="1:24" x14ac:dyDescent="0.3">
      <c r="A6047">
        <v>23868</v>
      </c>
      <c r="B6047" t="s">
        <v>12498</v>
      </c>
      <c r="C6047" s="3">
        <v>41981</v>
      </c>
      <c r="D6047" t="s">
        <v>50</v>
      </c>
      <c r="E6047">
        <v>5</v>
      </c>
      <c r="F6047" s="3">
        <f ca="1">41983+(RANDBETWEEN(1,10))</f>
        <v>41984</v>
      </c>
      <c r="G6047" t="s">
        <v>26</v>
      </c>
      <c r="H6047" t="s">
        <v>27</v>
      </c>
      <c r="I6047" t="s">
        <v>97</v>
      </c>
      <c r="J6047">
        <v>650.05499999999995</v>
      </c>
      <c r="K6047">
        <v>0.01</v>
      </c>
      <c r="L6047">
        <v>0.59</v>
      </c>
      <c r="M6047">
        <v>27.055</v>
      </c>
      <c r="N6047">
        <v>-186.5479</v>
      </c>
      <c r="O6047" s="1" t="s">
        <v>87</v>
      </c>
      <c r="P6047" s="1" t="s">
        <v>12351</v>
      </c>
      <c r="Q6047" s="1" t="s">
        <v>12352</v>
      </c>
      <c r="R6047" s="1" t="s">
        <v>497</v>
      </c>
      <c r="S6047" s="1" t="s">
        <v>12353</v>
      </c>
      <c r="T6047" s="1" t="s">
        <v>12354</v>
      </c>
      <c r="U6047" s="2" t="s">
        <v>9353</v>
      </c>
      <c r="V6047" s="2" t="s">
        <v>47</v>
      </c>
      <c r="W6047" s="2" t="s">
        <v>104</v>
      </c>
      <c r="X6047" s="2">
        <v>122.465</v>
      </c>
    </row>
    <row r="6048" spans="1:24" x14ac:dyDescent="0.3">
      <c r="A6048">
        <v>23869</v>
      </c>
      <c r="B6048" t="s">
        <v>12499</v>
      </c>
      <c r="C6048" s="3">
        <v>41865</v>
      </c>
      <c r="D6048" t="s">
        <v>62</v>
      </c>
      <c r="E6048">
        <v>24</v>
      </c>
      <c r="F6048" s="3">
        <f ca="1">41866+(RANDBETWEEN(1,10))</f>
        <v>41875</v>
      </c>
      <c r="G6048" t="s">
        <v>26</v>
      </c>
      <c r="H6048" t="s">
        <v>281</v>
      </c>
      <c r="I6048" t="s">
        <v>97</v>
      </c>
      <c r="J6048">
        <v>9462.4599999999991</v>
      </c>
      <c r="K6048">
        <v>0.03</v>
      </c>
      <c r="L6048">
        <v>0.65</v>
      </c>
      <c r="M6048">
        <v>20.335000000000001</v>
      </c>
      <c r="N6048">
        <v>18.164999999999999</v>
      </c>
      <c r="O6048" s="1" t="s">
        <v>29</v>
      </c>
      <c r="P6048" s="1" t="s">
        <v>6039</v>
      </c>
      <c r="Q6048" s="1" t="s">
        <v>6040</v>
      </c>
      <c r="R6048" s="1" t="s">
        <v>460</v>
      </c>
      <c r="S6048" s="1" t="s">
        <v>6041</v>
      </c>
      <c r="T6048" s="1" t="s">
        <v>6042</v>
      </c>
      <c r="U6048" s="2" t="s">
        <v>351</v>
      </c>
      <c r="V6048" s="2" t="s">
        <v>83</v>
      </c>
      <c r="W6048" s="2" t="s">
        <v>178</v>
      </c>
      <c r="X6048" s="2">
        <v>376.35500000000002</v>
      </c>
    </row>
    <row r="6049" spans="1:24" x14ac:dyDescent="0.3">
      <c r="A6049">
        <v>23870</v>
      </c>
      <c r="B6049" t="s">
        <v>12500</v>
      </c>
      <c r="C6049" s="3">
        <v>40769</v>
      </c>
      <c r="D6049" t="s">
        <v>62</v>
      </c>
      <c r="E6049">
        <v>11</v>
      </c>
      <c r="F6049" s="3">
        <f ca="1">40771+(RANDBETWEEN(1,10))</f>
        <v>40780</v>
      </c>
      <c r="G6049" t="s">
        <v>26</v>
      </c>
      <c r="H6049" t="s">
        <v>51</v>
      </c>
      <c r="I6049" t="s">
        <v>97</v>
      </c>
      <c r="J6049">
        <v>651.66499999999996</v>
      </c>
      <c r="K6049">
        <v>0.05</v>
      </c>
      <c r="L6049">
        <v>0.56999999999999995</v>
      </c>
      <c r="M6049">
        <v>27.23</v>
      </c>
      <c r="N6049">
        <v>-563.5</v>
      </c>
      <c r="O6049" s="1" t="s">
        <v>64</v>
      </c>
      <c r="P6049" s="1" t="s">
        <v>12501</v>
      </c>
      <c r="Q6049" s="1" t="s">
        <v>12502</v>
      </c>
      <c r="R6049" s="1" t="s">
        <v>67</v>
      </c>
      <c r="S6049" s="1" t="s">
        <v>2142</v>
      </c>
      <c r="T6049" s="1" t="s">
        <v>2143</v>
      </c>
      <c r="U6049" s="2" t="s">
        <v>12503</v>
      </c>
      <c r="V6049" s="2" t="s">
        <v>47</v>
      </c>
      <c r="W6049" s="2" t="s">
        <v>104</v>
      </c>
      <c r="X6049" s="2">
        <v>59.43</v>
      </c>
    </row>
    <row r="6050" spans="1:24" x14ac:dyDescent="0.3">
      <c r="A6050">
        <v>23871</v>
      </c>
      <c r="B6050" t="s">
        <v>12500</v>
      </c>
      <c r="C6050" s="3">
        <v>40769</v>
      </c>
      <c r="D6050" t="s">
        <v>62</v>
      </c>
      <c r="E6050">
        <v>12</v>
      </c>
      <c r="F6050" s="3">
        <f ca="1">40771+(RANDBETWEEN(1,10))</f>
        <v>40778</v>
      </c>
      <c r="G6050" t="s">
        <v>26</v>
      </c>
      <c r="H6050" t="s">
        <v>27</v>
      </c>
      <c r="I6050" t="s">
        <v>97</v>
      </c>
      <c r="J6050">
        <v>4297.79</v>
      </c>
      <c r="K6050">
        <v>0.03</v>
      </c>
      <c r="L6050">
        <v>0.56000000000000005</v>
      </c>
      <c r="M6050">
        <v>14.805</v>
      </c>
      <c r="N6050">
        <v>2969.2761</v>
      </c>
      <c r="O6050" s="1" t="s">
        <v>64</v>
      </c>
      <c r="P6050" s="1" t="s">
        <v>12501</v>
      </c>
      <c r="Q6050" s="1" t="s">
        <v>12502</v>
      </c>
      <c r="R6050" s="1" t="s">
        <v>67</v>
      </c>
      <c r="S6050" s="1" t="s">
        <v>2142</v>
      </c>
      <c r="T6050" s="1" t="s">
        <v>2143</v>
      </c>
      <c r="U6050" s="2">
        <v>282</v>
      </c>
      <c r="V6050" s="2" t="s">
        <v>36</v>
      </c>
      <c r="W6050" s="2" t="s">
        <v>37</v>
      </c>
      <c r="X6050" s="2">
        <v>405.96499999999997</v>
      </c>
    </row>
    <row r="6051" spans="1:24" x14ac:dyDescent="0.3">
      <c r="A6051">
        <v>23872</v>
      </c>
      <c r="B6051" t="s">
        <v>12504</v>
      </c>
      <c r="C6051" s="3">
        <v>41612</v>
      </c>
      <c r="D6051" t="s">
        <v>62</v>
      </c>
      <c r="E6051">
        <v>3</v>
      </c>
      <c r="F6051" s="3">
        <f ca="1">41612+(RANDBETWEEN(1,10))</f>
        <v>41616</v>
      </c>
      <c r="G6051" t="s">
        <v>26</v>
      </c>
      <c r="H6051" t="s">
        <v>51</v>
      </c>
      <c r="I6051" t="s">
        <v>28</v>
      </c>
      <c r="J6051">
        <v>115.08</v>
      </c>
      <c r="K6051">
        <v>0</v>
      </c>
      <c r="L6051">
        <v>0.43</v>
      </c>
      <c r="M6051">
        <v>6.9649999999999999</v>
      </c>
      <c r="N6051">
        <v>-26.774999999999999</v>
      </c>
      <c r="O6051" s="1" t="s">
        <v>40</v>
      </c>
      <c r="P6051" s="1" t="s">
        <v>12505</v>
      </c>
      <c r="Q6051" s="1" t="s">
        <v>12506</v>
      </c>
      <c r="R6051" s="1" t="s">
        <v>220</v>
      </c>
      <c r="S6051" s="1" t="s">
        <v>7423</v>
      </c>
      <c r="T6051" s="1" t="s">
        <v>7424</v>
      </c>
      <c r="U6051" s="2" t="s">
        <v>237</v>
      </c>
      <c r="V6051" s="2" t="s">
        <v>36</v>
      </c>
      <c r="W6051" s="2" t="s">
        <v>60</v>
      </c>
      <c r="X6051" s="2">
        <v>34.229999999999997</v>
      </c>
    </row>
    <row r="6052" spans="1:24" x14ac:dyDescent="0.3">
      <c r="A6052">
        <v>23873</v>
      </c>
      <c r="B6052" t="s">
        <v>12504</v>
      </c>
      <c r="C6052" s="3">
        <v>41612</v>
      </c>
      <c r="D6052" t="s">
        <v>62</v>
      </c>
      <c r="E6052">
        <v>20</v>
      </c>
      <c r="F6052" s="3">
        <f ca="1">41614+(RANDBETWEEN(1,10))</f>
        <v>41619</v>
      </c>
      <c r="G6052" t="s">
        <v>26</v>
      </c>
      <c r="H6052" t="s">
        <v>51</v>
      </c>
      <c r="I6052" t="s">
        <v>28</v>
      </c>
      <c r="J6052">
        <v>1816.85</v>
      </c>
      <c r="K6052">
        <v>7.0000000000000007E-2</v>
      </c>
      <c r="L6052">
        <v>0.56999999999999995</v>
      </c>
      <c r="M6052">
        <v>14.28</v>
      </c>
      <c r="N6052">
        <v>1211.1224999999999</v>
      </c>
      <c r="O6052" s="1" t="s">
        <v>40</v>
      </c>
      <c r="P6052" s="1" t="s">
        <v>12505</v>
      </c>
      <c r="Q6052" s="1" t="s">
        <v>12506</v>
      </c>
      <c r="R6052" s="1" t="s">
        <v>220</v>
      </c>
      <c r="S6052" s="1" t="s">
        <v>7423</v>
      </c>
      <c r="T6052" s="1" t="s">
        <v>7424</v>
      </c>
      <c r="U6052" s="2" t="s">
        <v>12507</v>
      </c>
      <c r="V6052" s="2" t="s">
        <v>47</v>
      </c>
      <c r="W6052" s="2" t="s">
        <v>104</v>
      </c>
      <c r="X6052" s="2">
        <v>90.93</v>
      </c>
    </row>
    <row r="6053" spans="1:24" x14ac:dyDescent="0.3">
      <c r="A6053">
        <v>23874</v>
      </c>
      <c r="B6053" t="s">
        <v>12508</v>
      </c>
      <c r="C6053" s="3">
        <v>41701</v>
      </c>
      <c r="D6053" t="s">
        <v>148</v>
      </c>
      <c r="E6053">
        <v>7</v>
      </c>
      <c r="F6053" s="3">
        <f ca="1">41702+(RANDBETWEEN(1,10))</f>
        <v>41705</v>
      </c>
      <c r="G6053" t="s">
        <v>156</v>
      </c>
      <c r="H6053" t="s">
        <v>281</v>
      </c>
      <c r="I6053" t="s">
        <v>86</v>
      </c>
      <c r="J6053">
        <v>561.75</v>
      </c>
      <c r="K6053">
        <v>0.1</v>
      </c>
      <c r="L6053">
        <v>0.56000000000000005</v>
      </c>
      <c r="M6053">
        <v>30.065000000000001</v>
      </c>
      <c r="N6053">
        <v>-342.72699999999998</v>
      </c>
      <c r="O6053" s="1" t="s">
        <v>225</v>
      </c>
      <c r="P6053" s="1" t="s">
        <v>12509</v>
      </c>
      <c r="Q6053" s="1" t="s">
        <v>12510</v>
      </c>
      <c r="R6053" s="1" t="s">
        <v>228</v>
      </c>
      <c r="S6053" s="1" t="s">
        <v>12511</v>
      </c>
      <c r="T6053" s="1" t="s">
        <v>12512</v>
      </c>
      <c r="U6053" s="2" t="s">
        <v>5362</v>
      </c>
      <c r="V6053" s="2" t="s">
        <v>36</v>
      </c>
      <c r="W6053" s="2" t="s">
        <v>37</v>
      </c>
      <c r="X6053" s="2">
        <v>101.465</v>
      </c>
    </row>
    <row r="6054" spans="1:24" x14ac:dyDescent="0.3">
      <c r="A6054">
        <v>23875</v>
      </c>
      <c r="B6054" t="s">
        <v>12513</v>
      </c>
      <c r="C6054" s="3">
        <v>41810</v>
      </c>
      <c r="D6054" t="s">
        <v>39</v>
      </c>
      <c r="E6054">
        <v>7</v>
      </c>
      <c r="F6054" s="3">
        <f ca="1">41813+(RANDBETWEEN(1,10))</f>
        <v>41823</v>
      </c>
      <c r="G6054" t="s">
        <v>26</v>
      </c>
      <c r="H6054" t="s">
        <v>27</v>
      </c>
      <c r="I6054" t="s">
        <v>86</v>
      </c>
      <c r="J6054">
        <v>1445.8150000000001</v>
      </c>
      <c r="K6054">
        <v>0.03</v>
      </c>
      <c r="L6054">
        <v>0.56999999999999995</v>
      </c>
      <c r="M6054">
        <v>18.585000000000001</v>
      </c>
      <c r="N6054">
        <v>0.77700000000000002</v>
      </c>
      <c r="O6054" s="1" t="s">
        <v>29</v>
      </c>
      <c r="P6054" s="1" t="s">
        <v>9879</v>
      </c>
      <c r="Q6054" s="1" t="s">
        <v>9880</v>
      </c>
      <c r="R6054" s="1" t="s">
        <v>460</v>
      </c>
      <c r="S6054" s="1" t="s">
        <v>9881</v>
      </c>
      <c r="T6054" s="1" t="s">
        <v>9882</v>
      </c>
      <c r="U6054" s="2">
        <v>3390</v>
      </c>
      <c r="V6054" s="2" t="s">
        <v>36</v>
      </c>
      <c r="W6054" s="2" t="s">
        <v>37</v>
      </c>
      <c r="X6054" s="2">
        <v>230.965</v>
      </c>
    </row>
    <row r="6055" spans="1:24" x14ac:dyDescent="0.3">
      <c r="A6055">
        <v>23876</v>
      </c>
      <c r="B6055" t="s">
        <v>12514</v>
      </c>
      <c r="C6055" s="3">
        <v>41976</v>
      </c>
      <c r="D6055" t="s">
        <v>62</v>
      </c>
      <c r="E6055">
        <v>25</v>
      </c>
      <c r="F6055" s="3">
        <f ca="1">41978+(RANDBETWEEN(1,10))</f>
        <v>41984</v>
      </c>
      <c r="G6055" t="s">
        <v>26</v>
      </c>
      <c r="H6055" t="s">
        <v>51</v>
      </c>
      <c r="I6055" t="s">
        <v>28</v>
      </c>
      <c r="J6055">
        <v>1140.895</v>
      </c>
      <c r="K6055">
        <v>0.02</v>
      </c>
      <c r="L6055">
        <v>0.6</v>
      </c>
      <c r="M6055">
        <v>10.99</v>
      </c>
      <c r="N6055">
        <v>451.24351999999999</v>
      </c>
      <c r="O6055" s="1" t="s">
        <v>29</v>
      </c>
      <c r="P6055" s="1" t="s">
        <v>11002</v>
      </c>
      <c r="Q6055" s="1" t="s">
        <v>11003</v>
      </c>
      <c r="R6055" s="1" t="s">
        <v>460</v>
      </c>
      <c r="S6055" s="1" t="s">
        <v>5492</v>
      </c>
      <c r="T6055" s="1" t="s">
        <v>5493</v>
      </c>
      <c r="U6055" s="2" t="s">
        <v>536</v>
      </c>
      <c r="V6055" s="2" t="s">
        <v>47</v>
      </c>
      <c r="W6055" s="2" t="s">
        <v>94</v>
      </c>
      <c r="X6055" s="2">
        <v>45.43</v>
      </c>
    </row>
    <row r="6056" spans="1:24" x14ac:dyDescent="0.3">
      <c r="A6056">
        <v>23877</v>
      </c>
      <c r="B6056" t="s">
        <v>12515</v>
      </c>
      <c r="C6056" s="3">
        <v>41833</v>
      </c>
      <c r="D6056" t="s">
        <v>50</v>
      </c>
      <c r="E6056">
        <v>16</v>
      </c>
      <c r="F6056" s="3">
        <f ca="1">41835+(RANDBETWEEN(1,10))</f>
        <v>41840</v>
      </c>
      <c r="G6056" t="s">
        <v>156</v>
      </c>
      <c r="H6056" t="s">
        <v>63</v>
      </c>
      <c r="I6056" t="s">
        <v>86</v>
      </c>
      <c r="J6056">
        <v>295.29500000000002</v>
      </c>
      <c r="K6056">
        <v>0.03</v>
      </c>
      <c r="L6056">
        <v>0.6</v>
      </c>
      <c r="M6056">
        <v>171.5</v>
      </c>
      <c r="N6056">
        <v>-6667.0665600000002</v>
      </c>
      <c r="O6056" s="1" t="s">
        <v>64</v>
      </c>
      <c r="P6056" s="1" t="s">
        <v>7688</v>
      </c>
      <c r="Q6056" s="1" t="s">
        <v>7689</v>
      </c>
      <c r="R6056" s="1" t="s">
        <v>67</v>
      </c>
      <c r="S6056" s="1" t="s">
        <v>7690</v>
      </c>
      <c r="T6056" s="1" t="s">
        <v>7691</v>
      </c>
      <c r="U6056" s="2" t="s">
        <v>919</v>
      </c>
      <c r="V6056" s="2" t="s">
        <v>47</v>
      </c>
      <c r="W6056" s="2" t="s">
        <v>71</v>
      </c>
      <c r="X6056" s="2">
        <v>15.68</v>
      </c>
    </row>
    <row r="6057" spans="1:24" x14ac:dyDescent="0.3">
      <c r="A6057">
        <v>23878</v>
      </c>
      <c r="B6057" t="s">
        <v>12516</v>
      </c>
      <c r="C6057" s="3">
        <v>41265</v>
      </c>
      <c r="D6057" t="s">
        <v>50</v>
      </c>
      <c r="E6057">
        <v>10</v>
      </c>
      <c r="F6057" s="3">
        <f ca="1">41266+(RANDBETWEEN(1,10))</f>
        <v>41269</v>
      </c>
      <c r="G6057" t="s">
        <v>26</v>
      </c>
      <c r="H6057" t="s">
        <v>27</v>
      </c>
      <c r="I6057" t="s">
        <v>28</v>
      </c>
      <c r="J6057">
        <v>5539.0649999999996</v>
      </c>
      <c r="K6057">
        <v>0.03</v>
      </c>
      <c r="L6057">
        <v>0.79</v>
      </c>
      <c r="M6057">
        <v>14</v>
      </c>
      <c r="N6057">
        <v>524.37</v>
      </c>
      <c r="O6057" s="1" t="s">
        <v>225</v>
      </c>
      <c r="P6057" s="1" t="s">
        <v>12517</v>
      </c>
      <c r="Q6057" s="1" t="s">
        <v>12518</v>
      </c>
      <c r="R6057" s="1" t="s">
        <v>228</v>
      </c>
      <c r="S6057" s="1" t="s">
        <v>9407</v>
      </c>
      <c r="T6057" s="1" t="s">
        <v>1880</v>
      </c>
      <c r="U6057" s="2" t="s">
        <v>192</v>
      </c>
      <c r="V6057" s="2" t="s">
        <v>36</v>
      </c>
      <c r="W6057" s="2" t="s">
        <v>60</v>
      </c>
      <c r="X6057" s="2">
        <v>533.67999999999995</v>
      </c>
    </row>
    <row r="6058" spans="1:24" x14ac:dyDescent="0.3">
      <c r="A6058">
        <v>23879</v>
      </c>
      <c r="B6058" t="s">
        <v>12519</v>
      </c>
      <c r="C6058" s="3">
        <v>41995</v>
      </c>
      <c r="D6058" t="s">
        <v>50</v>
      </c>
      <c r="E6058">
        <v>3</v>
      </c>
      <c r="F6058" s="3">
        <f ca="1">41997+(RANDBETWEEN(1,10))</f>
        <v>42004</v>
      </c>
      <c r="G6058" t="s">
        <v>26</v>
      </c>
      <c r="H6058" t="s">
        <v>27</v>
      </c>
      <c r="I6058" t="s">
        <v>28</v>
      </c>
      <c r="J6058">
        <v>58.59</v>
      </c>
      <c r="K6058">
        <v>0.02</v>
      </c>
      <c r="L6058">
        <v>0.4</v>
      </c>
      <c r="M6058">
        <v>23.52</v>
      </c>
      <c r="N6058">
        <v>-26.836320000000001</v>
      </c>
      <c r="O6058" s="1" t="s">
        <v>225</v>
      </c>
      <c r="P6058" s="1" t="s">
        <v>12517</v>
      </c>
      <c r="Q6058" s="1" t="s">
        <v>12518</v>
      </c>
      <c r="R6058" s="1" t="s">
        <v>228</v>
      </c>
      <c r="S6058" s="1" t="s">
        <v>9407</v>
      </c>
      <c r="T6058" s="1" t="s">
        <v>1880</v>
      </c>
      <c r="U6058" s="2" t="s">
        <v>2298</v>
      </c>
      <c r="V6058" s="2" t="s">
        <v>47</v>
      </c>
      <c r="W6058" s="2" t="s">
        <v>74</v>
      </c>
      <c r="X6058" s="2">
        <v>14.98</v>
      </c>
    </row>
    <row r="6059" spans="1:24" x14ac:dyDescent="0.3">
      <c r="A6059">
        <v>23880</v>
      </c>
      <c r="B6059" t="s">
        <v>12520</v>
      </c>
      <c r="C6059" s="3">
        <v>40816</v>
      </c>
      <c r="D6059" t="s">
        <v>39</v>
      </c>
      <c r="E6059">
        <v>13</v>
      </c>
      <c r="F6059" s="3">
        <f ca="1">40818+(RANDBETWEEN(1,10))</f>
        <v>40819</v>
      </c>
      <c r="G6059" t="s">
        <v>26</v>
      </c>
      <c r="H6059" t="s">
        <v>27</v>
      </c>
      <c r="I6059" t="s">
        <v>28</v>
      </c>
      <c r="J6059">
        <v>37548</v>
      </c>
      <c r="K6059">
        <v>0.08</v>
      </c>
      <c r="L6059">
        <v>0.38</v>
      </c>
      <c r="M6059">
        <v>69.965000000000003</v>
      </c>
      <c r="N6059">
        <v>25908.12</v>
      </c>
      <c r="O6059" s="1" t="s">
        <v>40</v>
      </c>
      <c r="P6059" s="1" t="s">
        <v>11634</v>
      </c>
      <c r="Q6059" s="1" t="s">
        <v>11635</v>
      </c>
      <c r="R6059" s="1" t="s">
        <v>220</v>
      </c>
      <c r="S6059" s="1" t="s">
        <v>11636</v>
      </c>
      <c r="T6059" s="1" t="s">
        <v>11637</v>
      </c>
      <c r="U6059" s="2" t="s">
        <v>1207</v>
      </c>
      <c r="V6059" s="2" t="s">
        <v>47</v>
      </c>
      <c r="W6059" s="2" t="s">
        <v>111</v>
      </c>
      <c r="X6059" s="2">
        <v>3139.4650000000001</v>
      </c>
    </row>
    <row r="6060" spans="1:24" x14ac:dyDescent="0.3">
      <c r="A6060">
        <v>23881</v>
      </c>
      <c r="B6060" t="s">
        <v>12521</v>
      </c>
      <c r="C6060" s="3">
        <v>41912</v>
      </c>
      <c r="D6060" t="s">
        <v>39</v>
      </c>
      <c r="E6060">
        <v>5</v>
      </c>
      <c r="F6060" s="3">
        <f ca="1">41913+(RANDBETWEEN(1,10))</f>
        <v>41922</v>
      </c>
      <c r="G6060" t="s">
        <v>76</v>
      </c>
      <c r="H6060" t="s">
        <v>77</v>
      </c>
      <c r="I6060" t="s">
        <v>28</v>
      </c>
      <c r="J6060">
        <v>4461.7650000000003</v>
      </c>
      <c r="K6060">
        <v>0.02</v>
      </c>
      <c r="L6060">
        <v>0.56999999999999995</v>
      </c>
      <c r="M6060">
        <v>220.29</v>
      </c>
      <c r="N6060">
        <v>156.98339999999999</v>
      </c>
      <c r="O6060" s="1" t="s">
        <v>40</v>
      </c>
      <c r="P6060" s="1" t="s">
        <v>11634</v>
      </c>
      <c r="Q6060" s="1" t="s">
        <v>11635</v>
      </c>
      <c r="R6060" s="1" t="s">
        <v>220</v>
      </c>
      <c r="S6060" s="1" t="s">
        <v>11636</v>
      </c>
      <c r="T6060" s="1" t="s">
        <v>11637</v>
      </c>
      <c r="U6060" s="2" t="s">
        <v>4113</v>
      </c>
      <c r="V6060" s="2" t="s">
        <v>83</v>
      </c>
      <c r="W6060" s="2" t="s">
        <v>84</v>
      </c>
      <c r="X6060" s="2">
        <v>853.93</v>
      </c>
    </row>
    <row r="6061" spans="1:24" x14ac:dyDescent="0.3">
      <c r="A6061">
        <v>23882</v>
      </c>
      <c r="B6061" t="s">
        <v>12522</v>
      </c>
      <c r="C6061" s="3">
        <v>41666</v>
      </c>
      <c r="D6061" t="s">
        <v>25</v>
      </c>
      <c r="E6061">
        <v>6</v>
      </c>
      <c r="F6061" s="3">
        <f ca="1">41671+(RANDBETWEEN(1,10))</f>
        <v>41681</v>
      </c>
      <c r="G6061" t="s">
        <v>26</v>
      </c>
      <c r="H6061" t="s">
        <v>27</v>
      </c>
      <c r="I6061" t="s">
        <v>86</v>
      </c>
      <c r="J6061">
        <v>6688.6750000000002</v>
      </c>
      <c r="K6061">
        <v>0.04</v>
      </c>
      <c r="L6061">
        <v>0.38</v>
      </c>
      <c r="M6061">
        <v>69.965000000000003</v>
      </c>
      <c r="N6061">
        <v>4615.1857499999996</v>
      </c>
      <c r="O6061" s="1" t="s">
        <v>87</v>
      </c>
      <c r="P6061" s="1" t="s">
        <v>11390</v>
      </c>
      <c r="Q6061" s="1" t="s">
        <v>11391</v>
      </c>
      <c r="R6061" s="1" t="s">
        <v>90</v>
      </c>
      <c r="S6061" s="1" t="s">
        <v>11392</v>
      </c>
      <c r="T6061" s="1" t="s">
        <v>11393</v>
      </c>
      <c r="U6061" s="2" t="s">
        <v>1457</v>
      </c>
      <c r="V6061" s="2" t="s">
        <v>47</v>
      </c>
      <c r="W6061" s="2" t="s">
        <v>111</v>
      </c>
      <c r="X6061" s="2">
        <v>1105.93</v>
      </c>
    </row>
    <row r="6062" spans="1:24" x14ac:dyDescent="0.3">
      <c r="A6062">
        <v>23883</v>
      </c>
      <c r="B6062" t="s">
        <v>12522</v>
      </c>
      <c r="C6062" s="3">
        <v>41666</v>
      </c>
      <c r="D6062" t="s">
        <v>25</v>
      </c>
      <c r="E6062">
        <v>6</v>
      </c>
      <c r="F6062" s="3">
        <f ca="1">41673+(RANDBETWEEN(1,10))</f>
        <v>41680</v>
      </c>
      <c r="G6062" t="s">
        <v>26</v>
      </c>
      <c r="H6062" t="s">
        <v>27</v>
      </c>
      <c r="I6062" t="s">
        <v>86</v>
      </c>
      <c r="J6062">
        <v>236.215</v>
      </c>
      <c r="K6062">
        <v>0</v>
      </c>
      <c r="L6062">
        <v>0.56999999999999995</v>
      </c>
      <c r="M6062">
        <v>43.82</v>
      </c>
      <c r="N6062">
        <v>-578.00120000000004</v>
      </c>
      <c r="O6062" s="1" t="s">
        <v>87</v>
      </c>
      <c r="P6062" s="1" t="s">
        <v>11390</v>
      </c>
      <c r="Q6062" s="1" t="s">
        <v>11391</v>
      </c>
      <c r="R6062" s="1" t="s">
        <v>90</v>
      </c>
      <c r="S6062" s="1" t="s">
        <v>11392</v>
      </c>
      <c r="T6062" s="1" t="s">
        <v>11393</v>
      </c>
      <c r="U6062" s="2" t="s">
        <v>8087</v>
      </c>
      <c r="V6062" s="2" t="s">
        <v>83</v>
      </c>
      <c r="W6062" s="2" t="s">
        <v>178</v>
      </c>
      <c r="X6062" s="2">
        <v>34.93</v>
      </c>
    </row>
    <row r="6063" spans="1:24" x14ac:dyDescent="0.3">
      <c r="A6063">
        <v>23884</v>
      </c>
      <c r="B6063" t="s">
        <v>12522</v>
      </c>
      <c r="C6063" s="3">
        <v>41666</v>
      </c>
      <c r="D6063" t="s">
        <v>25</v>
      </c>
      <c r="E6063">
        <v>2</v>
      </c>
      <c r="F6063" s="3">
        <f ca="1">41671+(RANDBETWEEN(1,10))</f>
        <v>41679</v>
      </c>
      <c r="G6063" t="s">
        <v>26</v>
      </c>
      <c r="H6063" t="s">
        <v>27</v>
      </c>
      <c r="I6063" t="s">
        <v>86</v>
      </c>
      <c r="J6063">
        <v>685.72</v>
      </c>
      <c r="K6063">
        <v>0.08</v>
      </c>
      <c r="L6063">
        <v>0.56999999999999995</v>
      </c>
      <c r="M6063">
        <v>8.75</v>
      </c>
      <c r="N6063">
        <v>-1210.30448</v>
      </c>
      <c r="O6063" s="1" t="s">
        <v>87</v>
      </c>
      <c r="P6063" s="1" t="s">
        <v>11390</v>
      </c>
      <c r="Q6063" s="1" t="s">
        <v>11391</v>
      </c>
      <c r="R6063" s="1" t="s">
        <v>90</v>
      </c>
      <c r="S6063" s="1" t="s">
        <v>11392</v>
      </c>
      <c r="T6063" s="1" t="s">
        <v>11393</v>
      </c>
      <c r="U6063" s="2">
        <v>6160</v>
      </c>
      <c r="V6063" s="2" t="s">
        <v>36</v>
      </c>
      <c r="W6063" s="2" t="s">
        <v>37</v>
      </c>
      <c r="X6063" s="2">
        <v>405.96499999999997</v>
      </c>
    </row>
    <row r="6064" spans="1:24" x14ac:dyDescent="0.3">
      <c r="A6064">
        <v>23885</v>
      </c>
      <c r="B6064" t="s">
        <v>12522</v>
      </c>
      <c r="C6064" s="3">
        <v>41666</v>
      </c>
      <c r="D6064" t="s">
        <v>25</v>
      </c>
      <c r="E6064">
        <v>11</v>
      </c>
      <c r="F6064" s="3">
        <f ca="1">41671+(RANDBETWEEN(1,10))</f>
        <v>41680</v>
      </c>
      <c r="G6064" t="s">
        <v>26</v>
      </c>
      <c r="H6064" t="s">
        <v>27</v>
      </c>
      <c r="I6064" t="s">
        <v>86</v>
      </c>
      <c r="J6064">
        <v>3110.94</v>
      </c>
      <c r="K6064">
        <v>0.05</v>
      </c>
      <c r="L6064">
        <v>0.56999999999999995</v>
      </c>
      <c r="M6064">
        <v>31.465</v>
      </c>
      <c r="N6064">
        <v>1853.88966</v>
      </c>
      <c r="O6064" s="1" t="s">
        <v>87</v>
      </c>
      <c r="P6064" s="1" t="s">
        <v>11390</v>
      </c>
      <c r="Q6064" s="1" t="s">
        <v>11391</v>
      </c>
      <c r="R6064" s="1" t="s">
        <v>90</v>
      </c>
      <c r="S6064" s="1" t="s">
        <v>11392</v>
      </c>
      <c r="T6064" s="1" t="s">
        <v>11393</v>
      </c>
      <c r="U6064" s="2" t="s">
        <v>5003</v>
      </c>
      <c r="V6064" s="2" t="s">
        <v>36</v>
      </c>
      <c r="W6064" s="2" t="s">
        <v>37</v>
      </c>
      <c r="X6064" s="2">
        <v>335.96499999999997</v>
      </c>
    </row>
    <row r="6065" spans="1:24" x14ac:dyDescent="0.3">
      <c r="A6065">
        <v>23886</v>
      </c>
      <c r="B6065" t="s">
        <v>12523</v>
      </c>
      <c r="C6065" s="3">
        <v>40821</v>
      </c>
      <c r="D6065" t="s">
        <v>50</v>
      </c>
      <c r="E6065">
        <v>7</v>
      </c>
      <c r="F6065" s="3">
        <f ca="1">40823+(RANDBETWEEN(1,10))</f>
        <v>40833</v>
      </c>
      <c r="G6065" t="s">
        <v>76</v>
      </c>
      <c r="H6065" t="s">
        <v>258</v>
      </c>
      <c r="I6065" t="s">
        <v>97</v>
      </c>
      <c r="J6065">
        <v>7817.11</v>
      </c>
      <c r="K6065">
        <v>0.03</v>
      </c>
      <c r="L6065">
        <v>0.66</v>
      </c>
      <c r="M6065">
        <v>102.2</v>
      </c>
      <c r="N6065">
        <v>1504.1402459999999</v>
      </c>
      <c r="O6065" s="1" t="s">
        <v>64</v>
      </c>
      <c r="P6065" s="1" t="s">
        <v>12484</v>
      </c>
      <c r="Q6065" s="1" t="s">
        <v>12485</v>
      </c>
      <c r="R6065" s="1" t="s">
        <v>128</v>
      </c>
      <c r="S6065" s="1" t="s">
        <v>939</v>
      </c>
      <c r="T6065" s="1" t="s">
        <v>940</v>
      </c>
      <c r="U6065" s="2" t="s">
        <v>3999</v>
      </c>
      <c r="V6065" s="2" t="s">
        <v>83</v>
      </c>
      <c r="W6065" s="2" t="s">
        <v>263</v>
      </c>
      <c r="X6065" s="2">
        <v>1122.24</v>
      </c>
    </row>
    <row r="6066" spans="1:24" x14ac:dyDescent="0.3">
      <c r="A6066">
        <v>23887</v>
      </c>
      <c r="B6066" t="s">
        <v>12524</v>
      </c>
      <c r="C6066" s="3">
        <v>40886</v>
      </c>
      <c r="D6066" t="s">
        <v>148</v>
      </c>
      <c r="E6066">
        <v>19</v>
      </c>
      <c r="F6066" s="3">
        <f ca="1">40888+(RANDBETWEEN(1,10))</f>
        <v>40893</v>
      </c>
      <c r="G6066" t="s">
        <v>26</v>
      </c>
      <c r="H6066" t="s">
        <v>27</v>
      </c>
      <c r="I6066" t="s">
        <v>97</v>
      </c>
      <c r="J6066">
        <v>332.5</v>
      </c>
      <c r="K6066">
        <v>0.03</v>
      </c>
      <c r="L6066">
        <v>0.37</v>
      </c>
      <c r="M6066">
        <v>17.324999999999999</v>
      </c>
      <c r="N6066">
        <v>-167.983375</v>
      </c>
      <c r="O6066" s="1" t="s">
        <v>225</v>
      </c>
      <c r="P6066" s="1" t="s">
        <v>11748</v>
      </c>
      <c r="Q6066" s="1" t="s">
        <v>11749</v>
      </c>
      <c r="R6066" s="1" t="s">
        <v>228</v>
      </c>
      <c r="S6066" s="1" t="s">
        <v>11750</v>
      </c>
      <c r="T6066" s="1" t="s">
        <v>11751</v>
      </c>
      <c r="U6066" s="2" t="s">
        <v>5209</v>
      </c>
      <c r="V6066" s="2" t="s">
        <v>47</v>
      </c>
      <c r="W6066" s="2" t="s">
        <v>111</v>
      </c>
      <c r="X6066" s="2">
        <v>17.43</v>
      </c>
    </row>
    <row r="6067" spans="1:24" x14ac:dyDescent="0.3">
      <c r="A6067">
        <v>23888</v>
      </c>
      <c r="B6067" t="s">
        <v>12525</v>
      </c>
      <c r="C6067" s="3">
        <v>41893</v>
      </c>
      <c r="D6067" t="s">
        <v>62</v>
      </c>
      <c r="E6067">
        <v>4</v>
      </c>
      <c r="F6067" s="3">
        <f ca="1">41894+(RANDBETWEEN(1,10))</f>
        <v>41901</v>
      </c>
      <c r="G6067" t="s">
        <v>26</v>
      </c>
      <c r="H6067" t="s">
        <v>27</v>
      </c>
      <c r="I6067" t="s">
        <v>28</v>
      </c>
      <c r="J6067">
        <v>546.84</v>
      </c>
      <c r="K6067">
        <v>0</v>
      </c>
      <c r="L6067">
        <v>0.37</v>
      </c>
      <c r="M6067">
        <v>51.52</v>
      </c>
      <c r="N6067">
        <v>38.041919999999998</v>
      </c>
      <c r="O6067" s="1" t="s">
        <v>53</v>
      </c>
      <c r="P6067" s="1" t="s">
        <v>12526</v>
      </c>
      <c r="Q6067" s="1" t="s">
        <v>12527</v>
      </c>
      <c r="R6067" s="1" t="s">
        <v>56</v>
      </c>
      <c r="S6067" s="1" t="s">
        <v>12528</v>
      </c>
      <c r="T6067" s="1" t="s">
        <v>12529</v>
      </c>
      <c r="U6067" s="2" t="s">
        <v>4073</v>
      </c>
      <c r="V6067" s="2" t="s">
        <v>47</v>
      </c>
      <c r="W6067" s="2" t="s">
        <v>111</v>
      </c>
      <c r="X6067" s="2">
        <v>120.89</v>
      </c>
    </row>
    <row r="6068" spans="1:24" x14ac:dyDescent="0.3">
      <c r="A6068">
        <v>23889</v>
      </c>
      <c r="B6068" t="s">
        <v>12525</v>
      </c>
      <c r="C6068" s="3">
        <v>41893</v>
      </c>
      <c r="D6068" t="s">
        <v>62</v>
      </c>
      <c r="E6068">
        <v>5</v>
      </c>
      <c r="F6068" s="3">
        <f ca="1">41894+(RANDBETWEEN(1,10))</f>
        <v>41902</v>
      </c>
      <c r="G6068" t="s">
        <v>76</v>
      </c>
      <c r="H6068" t="s">
        <v>77</v>
      </c>
      <c r="I6068" t="s">
        <v>28</v>
      </c>
      <c r="J6068">
        <v>9026.6749999999993</v>
      </c>
      <c r="K6068">
        <v>0.01</v>
      </c>
      <c r="L6068">
        <v>0.38</v>
      </c>
      <c r="M6068">
        <v>98.49</v>
      </c>
      <c r="N6068">
        <v>-2137.527</v>
      </c>
      <c r="O6068" s="1" t="s">
        <v>40</v>
      </c>
      <c r="P6068" s="1" t="s">
        <v>12530</v>
      </c>
      <c r="Q6068" s="1" t="s">
        <v>12531</v>
      </c>
      <c r="R6068" s="1" t="s">
        <v>43</v>
      </c>
      <c r="S6068" s="1" t="s">
        <v>794</v>
      </c>
      <c r="T6068" s="1" t="s">
        <v>795</v>
      </c>
      <c r="U6068" s="2" t="s">
        <v>720</v>
      </c>
      <c r="V6068" s="2" t="s">
        <v>36</v>
      </c>
      <c r="W6068" s="2" t="s">
        <v>142</v>
      </c>
      <c r="X6068" s="2">
        <v>1753.43</v>
      </c>
    </row>
    <row r="6069" spans="1:24" x14ac:dyDescent="0.3">
      <c r="A6069">
        <v>23890</v>
      </c>
      <c r="B6069" t="s">
        <v>12532</v>
      </c>
      <c r="C6069" s="3">
        <v>40678</v>
      </c>
      <c r="D6069" t="s">
        <v>39</v>
      </c>
      <c r="E6069">
        <v>17</v>
      </c>
      <c r="F6069" s="3">
        <f ca="1">40679+(RANDBETWEEN(1,10))</f>
        <v>40680</v>
      </c>
      <c r="G6069" t="s">
        <v>26</v>
      </c>
      <c r="H6069" t="s">
        <v>27</v>
      </c>
      <c r="I6069" t="s">
        <v>86</v>
      </c>
      <c r="J6069">
        <v>1595.1949999999999</v>
      </c>
      <c r="K6069">
        <v>0.05</v>
      </c>
      <c r="L6069">
        <v>0.49</v>
      </c>
      <c r="M6069">
        <v>24.254999999999999</v>
      </c>
      <c r="N6069">
        <v>1100.6845499999999</v>
      </c>
      <c r="O6069" s="1" t="s">
        <v>40</v>
      </c>
      <c r="P6069" s="1" t="s">
        <v>7211</v>
      </c>
      <c r="Q6069" s="1" t="s">
        <v>7212</v>
      </c>
      <c r="R6069" s="1" t="s">
        <v>43</v>
      </c>
      <c r="S6069" s="1" t="s">
        <v>7213</v>
      </c>
      <c r="T6069" s="1" t="s">
        <v>7214</v>
      </c>
      <c r="U6069" s="2" t="s">
        <v>3900</v>
      </c>
      <c r="V6069" s="2" t="s">
        <v>83</v>
      </c>
      <c r="W6069" s="2" t="s">
        <v>178</v>
      </c>
      <c r="X6069" s="2">
        <v>92.68</v>
      </c>
    </row>
    <row r="6070" spans="1:24" x14ac:dyDescent="0.3">
      <c r="A6070">
        <v>23891</v>
      </c>
      <c r="B6070" t="s">
        <v>12533</v>
      </c>
      <c r="C6070" s="3">
        <v>41421</v>
      </c>
      <c r="D6070" t="s">
        <v>62</v>
      </c>
      <c r="E6070">
        <v>19</v>
      </c>
      <c r="F6070" s="3">
        <f ca="1">41422+(RANDBETWEEN(1,10))</f>
        <v>41428</v>
      </c>
      <c r="G6070" t="s">
        <v>26</v>
      </c>
      <c r="H6070" t="s">
        <v>27</v>
      </c>
      <c r="I6070" t="s">
        <v>97</v>
      </c>
      <c r="J6070">
        <v>1159.0250000000001</v>
      </c>
      <c r="K6070">
        <v>0.06</v>
      </c>
      <c r="L6070">
        <v>0.56999999999999995</v>
      </c>
      <c r="M6070">
        <v>30.274999999999999</v>
      </c>
      <c r="N6070">
        <v>-373.8</v>
      </c>
      <c r="O6070" s="1" t="s">
        <v>53</v>
      </c>
      <c r="P6070" s="1" t="s">
        <v>12534</v>
      </c>
      <c r="Q6070" s="1" t="s">
        <v>12535</v>
      </c>
      <c r="R6070" s="1" t="s">
        <v>56</v>
      </c>
      <c r="S6070" s="1" t="s">
        <v>12536</v>
      </c>
      <c r="T6070" s="1" t="s">
        <v>12537</v>
      </c>
      <c r="U6070" s="2" t="s">
        <v>10259</v>
      </c>
      <c r="V6070" s="2" t="s">
        <v>47</v>
      </c>
      <c r="W6070" s="2" t="s">
        <v>104</v>
      </c>
      <c r="X6070" s="2">
        <v>62.965000000000003</v>
      </c>
    </row>
    <row r="6071" spans="1:24" x14ac:dyDescent="0.3">
      <c r="A6071">
        <v>23892</v>
      </c>
      <c r="B6071" t="s">
        <v>12533</v>
      </c>
      <c r="C6071" s="3">
        <v>41421</v>
      </c>
      <c r="D6071" t="s">
        <v>62</v>
      </c>
      <c r="E6071">
        <v>8</v>
      </c>
      <c r="F6071" s="3">
        <f ca="1">41423+(RANDBETWEEN(1,10))</f>
        <v>41430</v>
      </c>
      <c r="G6071" t="s">
        <v>26</v>
      </c>
      <c r="H6071" t="s">
        <v>96</v>
      </c>
      <c r="I6071" t="s">
        <v>97</v>
      </c>
      <c r="J6071">
        <v>77.525000000000006</v>
      </c>
      <c r="K6071">
        <v>0.04</v>
      </c>
      <c r="L6071">
        <v>0.59</v>
      </c>
      <c r="M6071">
        <v>3.395</v>
      </c>
      <c r="N6071">
        <v>-7.8049999999999997</v>
      </c>
      <c r="O6071" s="1" t="s">
        <v>53</v>
      </c>
      <c r="P6071" s="1" t="s">
        <v>12534</v>
      </c>
      <c r="Q6071" s="1" t="s">
        <v>12535</v>
      </c>
      <c r="R6071" s="1" t="s">
        <v>56</v>
      </c>
      <c r="S6071" s="1" t="s">
        <v>12536</v>
      </c>
      <c r="T6071" s="1" t="s">
        <v>12537</v>
      </c>
      <c r="U6071" s="2" t="s">
        <v>12490</v>
      </c>
      <c r="V6071" s="2" t="s">
        <v>47</v>
      </c>
      <c r="W6071" s="2" t="s">
        <v>104</v>
      </c>
      <c r="X6071" s="2">
        <v>9.73</v>
      </c>
    </row>
    <row r="6072" spans="1:24" x14ac:dyDescent="0.3">
      <c r="A6072">
        <v>23893</v>
      </c>
      <c r="B6072" t="s">
        <v>12533</v>
      </c>
      <c r="C6072" s="3">
        <v>41421</v>
      </c>
      <c r="D6072" t="s">
        <v>62</v>
      </c>
      <c r="E6072">
        <v>19</v>
      </c>
      <c r="F6072" s="3">
        <f ca="1">41423+(RANDBETWEEN(1,10))</f>
        <v>41429</v>
      </c>
      <c r="G6072" t="s">
        <v>26</v>
      </c>
      <c r="H6072" t="s">
        <v>281</v>
      </c>
      <c r="I6072" t="s">
        <v>97</v>
      </c>
      <c r="J6072">
        <v>1210.0550000000001</v>
      </c>
      <c r="K6072">
        <v>0.06</v>
      </c>
      <c r="L6072">
        <v>0.57999999999999996</v>
      </c>
      <c r="M6072">
        <v>16.835000000000001</v>
      </c>
      <c r="N6072">
        <v>352.07549999999998</v>
      </c>
      <c r="O6072" s="1" t="s">
        <v>53</v>
      </c>
      <c r="P6072" s="1" t="s">
        <v>12534</v>
      </c>
      <c r="Q6072" s="1" t="s">
        <v>12535</v>
      </c>
      <c r="R6072" s="1" t="s">
        <v>56</v>
      </c>
      <c r="S6072" s="1" t="s">
        <v>12536</v>
      </c>
      <c r="T6072" s="1" t="s">
        <v>12537</v>
      </c>
      <c r="U6072" s="2" t="s">
        <v>1890</v>
      </c>
      <c r="V6072" s="2" t="s">
        <v>36</v>
      </c>
      <c r="W6072" s="2" t="s">
        <v>37</v>
      </c>
      <c r="X6072" s="2">
        <v>73.465000000000003</v>
      </c>
    </row>
    <row r="6073" spans="1:24" x14ac:dyDescent="0.3">
      <c r="A6073">
        <v>23894</v>
      </c>
      <c r="B6073" t="s">
        <v>12538</v>
      </c>
      <c r="C6073" s="3">
        <v>41813</v>
      </c>
      <c r="D6073" t="s">
        <v>39</v>
      </c>
      <c r="E6073">
        <v>8</v>
      </c>
      <c r="F6073" s="3">
        <f ca="1">41814+(RANDBETWEEN(1,10))</f>
        <v>41815</v>
      </c>
      <c r="G6073" t="s">
        <v>26</v>
      </c>
      <c r="H6073" t="s">
        <v>27</v>
      </c>
      <c r="I6073" t="s">
        <v>28</v>
      </c>
      <c r="J6073">
        <v>1507.73</v>
      </c>
      <c r="K6073">
        <v>0.04</v>
      </c>
      <c r="L6073">
        <v>0.56999999999999995</v>
      </c>
      <c r="M6073">
        <v>17.465</v>
      </c>
      <c r="N6073">
        <v>2494.38</v>
      </c>
      <c r="O6073" s="1" t="s">
        <v>87</v>
      </c>
      <c r="P6073" s="1" t="s">
        <v>10783</v>
      </c>
      <c r="Q6073" s="1" t="s">
        <v>10784</v>
      </c>
      <c r="R6073" s="1" t="s">
        <v>90</v>
      </c>
      <c r="S6073" s="1" t="s">
        <v>10785</v>
      </c>
      <c r="T6073" s="1" t="s">
        <v>10786</v>
      </c>
      <c r="U6073" s="2" t="s">
        <v>5920</v>
      </c>
      <c r="V6073" s="2" t="s">
        <v>36</v>
      </c>
      <c r="W6073" s="2" t="s">
        <v>37</v>
      </c>
      <c r="X6073" s="2">
        <v>230.965</v>
      </c>
    </row>
    <row r="6074" spans="1:24" x14ac:dyDescent="0.3">
      <c r="A6074">
        <v>23895</v>
      </c>
      <c r="B6074" t="s">
        <v>12539</v>
      </c>
      <c r="C6074" s="3">
        <v>41094</v>
      </c>
      <c r="D6074" t="s">
        <v>50</v>
      </c>
      <c r="E6074">
        <v>2</v>
      </c>
      <c r="F6074" s="3">
        <f ca="1">41095+(RANDBETWEEN(1,10))</f>
        <v>41096</v>
      </c>
      <c r="G6074" t="s">
        <v>26</v>
      </c>
      <c r="H6074" t="s">
        <v>27</v>
      </c>
      <c r="I6074" t="s">
        <v>28</v>
      </c>
      <c r="J6074">
        <v>137.83000000000001</v>
      </c>
      <c r="K6074">
        <v>0.01</v>
      </c>
      <c r="L6074">
        <v>0.35</v>
      </c>
      <c r="M6074">
        <v>5.2149999999999999</v>
      </c>
      <c r="N6074">
        <v>95.102699999999999</v>
      </c>
      <c r="O6074" s="1" t="s">
        <v>225</v>
      </c>
      <c r="P6074" s="1" t="s">
        <v>12444</v>
      </c>
      <c r="Q6074" s="1" t="s">
        <v>12445</v>
      </c>
      <c r="R6074" s="1" t="s">
        <v>228</v>
      </c>
      <c r="S6074" s="1" t="s">
        <v>12446</v>
      </c>
      <c r="T6074" s="1" t="s">
        <v>12447</v>
      </c>
      <c r="U6074" s="2" t="s">
        <v>292</v>
      </c>
      <c r="V6074" s="2" t="s">
        <v>47</v>
      </c>
      <c r="W6074" s="2" t="s">
        <v>111</v>
      </c>
      <c r="X6074" s="2">
        <v>66.290000000000006</v>
      </c>
    </row>
    <row r="6075" spans="1:24" x14ac:dyDescent="0.3">
      <c r="A6075">
        <v>23896</v>
      </c>
      <c r="B6075" t="s">
        <v>12539</v>
      </c>
      <c r="C6075" s="3">
        <v>41094</v>
      </c>
      <c r="D6075" t="s">
        <v>50</v>
      </c>
      <c r="E6075">
        <v>10</v>
      </c>
      <c r="F6075" s="3">
        <f ca="1">41096+(RANDBETWEEN(1,10))</f>
        <v>41102</v>
      </c>
      <c r="G6075" t="s">
        <v>26</v>
      </c>
      <c r="H6075" t="s">
        <v>96</v>
      </c>
      <c r="I6075" t="s">
        <v>28</v>
      </c>
      <c r="J6075">
        <v>103.705</v>
      </c>
      <c r="K6075">
        <v>0.09</v>
      </c>
      <c r="L6075">
        <v>0.56999999999999995</v>
      </c>
      <c r="M6075">
        <v>7.1050000000000004</v>
      </c>
      <c r="N6075">
        <v>-109.27</v>
      </c>
      <c r="O6075" s="1" t="s">
        <v>64</v>
      </c>
      <c r="P6075" s="1" t="s">
        <v>12540</v>
      </c>
      <c r="Q6075" s="1" t="s">
        <v>12541</v>
      </c>
      <c r="R6075" s="1" t="s">
        <v>128</v>
      </c>
      <c r="S6075" s="1" t="s">
        <v>6519</v>
      </c>
      <c r="T6075" s="1" t="s">
        <v>6520</v>
      </c>
      <c r="U6075" s="2" t="s">
        <v>7905</v>
      </c>
      <c r="V6075" s="2" t="s">
        <v>47</v>
      </c>
      <c r="W6075" s="2" t="s">
        <v>104</v>
      </c>
      <c r="X6075" s="2">
        <v>10.43</v>
      </c>
    </row>
    <row r="6076" spans="1:24" x14ac:dyDescent="0.3">
      <c r="A6076">
        <v>23897</v>
      </c>
      <c r="B6076" t="s">
        <v>12542</v>
      </c>
      <c r="C6076" s="3">
        <v>41873</v>
      </c>
      <c r="D6076" t="s">
        <v>62</v>
      </c>
      <c r="E6076">
        <v>22</v>
      </c>
      <c r="F6076" s="3">
        <f ca="1">41874+(RANDBETWEEN(1,10))</f>
        <v>41884</v>
      </c>
      <c r="G6076" t="s">
        <v>26</v>
      </c>
      <c r="H6076" t="s">
        <v>27</v>
      </c>
      <c r="I6076" t="s">
        <v>52</v>
      </c>
      <c r="J6076">
        <v>5868.8</v>
      </c>
      <c r="K6076">
        <v>0.02</v>
      </c>
      <c r="L6076">
        <v>0.77</v>
      </c>
      <c r="M6076">
        <v>14</v>
      </c>
      <c r="N6076">
        <v>703.66589999999997</v>
      </c>
      <c r="O6076" s="1" t="s">
        <v>29</v>
      </c>
      <c r="P6076" s="1" t="s">
        <v>4850</v>
      </c>
      <c r="Q6076" s="1" t="s">
        <v>4851</v>
      </c>
      <c r="R6076" s="1" t="s">
        <v>460</v>
      </c>
      <c r="S6076" s="1" t="s">
        <v>4852</v>
      </c>
      <c r="T6076" s="1" t="s">
        <v>4853</v>
      </c>
      <c r="U6076" s="2" t="s">
        <v>1651</v>
      </c>
      <c r="V6076" s="2" t="s">
        <v>36</v>
      </c>
      <c r="W6076" s="2" t="s">
        <v>60</v>
      </c>
      <c r="X6076" s="2">
        <v>258.93</v>
      </c>
    </row>
    <row r="6077" spans="1:24" x14ac:dyDescent="0.3">
      <c r="A6077">
        <v>23898</v>
      </c>
      <c r="B6077" t="s">
        <v>12543</v>
      </c>
      <c r="C6077" s="3">
        <v>40777</v>
      </c>
      <c r="D6077" t="s">
        <v>62</v>
      </c>
      <c r="E6077">
        <v>23</v>
      </c>
      <c r="F6077" s="3">
        <f ca="1">40777+(RANDBETWEEN(1,10))</f>
        <v>40782</v>
      </c>
      <c r="G6077" t="s">
        <v>76</v>
      </c>
      <c r="H6077" t="s">
        <v>77</v>
      </c>
      <c r="I6077" t="s">
        <v>52</v>
      </c>
      <c r="J6077">
        <v>12586.105</v>
      </c>
      <c r="K6077">
        <v>0.03</v>
      </c>
      <c r="L6077">
        <v>0.77</v>
      </c>
      <c r="M6077">
        <v>210.7</v>
      </c>
      <c r="N6077">
        <v>-2372.5520000000001</v>
      </c>
      <c r="O6077" s="1" t="s">
        <v>87</v>
      </c>
      <c r="P6077" s="1" t="s">
        <v>12544</v>
      </c>
      <c r="Q6077" s="1" t="s">
        <v>12545</v>
      </c>
      <c r="R6077" s="1" t="s">
        <v>90</v>
      </c>
      <c r="S6077" s="1" t="s">
        <v>653</v>
      </c>
      <c r="T6077" s="1" t="s">
        <v>654</v>
      </c>
      <c r="U6077" s="2" t="s">
        <v>779</v>
      </c>
      <c r="V6077" s="2" t="s">
        <v>83</v>
      </c>
      <c r="W6077" s="2" t="s">
        <v>84</v>
      </c>
      <c r="X6077" s="2">
        <v>528.11500000000001</v>
      </c>
    </row>
    <row r="6078" spans="1:24" x14ac:dyDescent="0.3">
      <c r="A6078">
        <v>23899</v>
      </c>
      <c r="B6078" t="s">
        <v>12546</v>
      </c>
      <c r="C6078" s="3">
        <v>41198</v>
      </c>
      <c r="D6078" t="s">
        <v>148</v>
      </c>
      <c r="E6078">
        <v>2</v>
      </c>
      <c r="F6078" s="3">
        <f ca="1">41200+(RANDBETWEEN(1,10))</f>
        <v>41206</v>
      </c>
      <c r="G6078" t="s">
        <v>156</v>
      </c>
      <c r="H6078" t="s">
        <v>281</v>
      </c>
      <c r="I6078" t="s">
        <v>52</v>
      </c>
      <c r="J6078">
        <v>111.895</v>
      </c>
      <c r="K6078">
        <v>0.03</v>
      </c>
      <c r="L6078">
        <v>0.48</v>
      </c>
      <c r="M6078">
        <v>21.07</v>
      </c>
      <c r="N6078">
        <v>77.207549999999998</v>
      </c>
      <c r="O6078" s="1" t="s">
        <v>64</v>
      </c>
      <c r="P6078" s="1" t="s">
        <v>12547</v>
      </c>
      <c r="Q6078" s="1" t="s">
        <v>12548</v>
      </c>
      <c r="R6078" s="1" t="s">
        <v>128</v>
      </c>
      <c r="S6078" s="1" t="s">
        <v>2332</v>
      </c>
      <c r="T6078" s="1" t="s">
        <v>2333</v>
      </c>
      <c r="U6078" s="2" t="s">
        <v>3578</v>
      </c>
      <c r="V6078" s="2" t="s">
        <v>83</v>
      </c>
      <c r="W6078" s="2" t="s">
        <v>178</v>
      </c>
      <c r="X6078" s="2">
        <v>34.195</v>
      </c>
    </row>
    <row r="6079" spans="1:24" x14ac:dyDescent="0.3">
      <c r="A6079">
        <v>23900</v>
      </c>
      <c r="B6079" t="s">
        <v>12546</v>
      </c>
      <c r="C6079" s="3">
        <v>41198</v>
      </c>
      <c r="D6079" t="s">
        <v>148</v>
      </c>
      <c r="E6079">
        <v>1</v>
      </c>
      <c r="F6079" s="3">
        <f ca="1">41200+(RANDBETWEEN(1,10))</f>
        <v>41208</v>
      </c>
      <c r="G6079" t="s">
        <v>76</v>
      </c>
      <c r="H6079" t="s">
        <v>77</v>
      </c>
      <c r="I6079" t="s">
        <v>52</v>
      </c>
      <c r="J6079">
        <v>999.21500000000003</v>
      </c>
      <c r="K6079">
        <v>0.05</v>
      </c>
      <c r="L6079">
        <v>0.55000000000000004</v>
      </c>
      <c r="M6079">
        <v>190.08500000000001</v>
      </c>
      <c r="N6079">
        <v>-1287.0144</v>
      </c>
      <c r="O6079" s="1" t="s">
        <v>29</v>
      </c>
      <c r="P6079" s="1" t="s">
        <v>12549</v>
      </c>
      <c r="Q6079" s="1" t="s">
        <v>12550</v>
      </c>
      <c r="R6079" s="1" t="s">
        <v>32</v>
      </c>
      <c r="S6079" s="1" t="s">
        <v>12551</v>
      </c>
      <c r="T6079" s="1" t="s">
        <v>12552</v>
      </c>
      <c r="U6079" s="2" t="s">
        <v>5999</v>
      </c>
      <c r="V6079" s="2" t="s">
        <v>83</v>
      </c>
      <c r="W6079" s="2" t="s">
        <v>84</v>
      </c>
      <c r="X6079" s="2">
        <v>906.43</v>
      </c>
    </row>
    <row r="6080" spans="1:24" x14ac:dyDescent="0.3">
      <c r="A6080">
        <v>23901</v>
      </c>
      <c r="B6080" t="s">
        <v>12553</v>
      </c>
      <c r="C6080" s="3">
        <v>41687</v>
      </c>
      <c r="D6080" t="s">
        <v>25</v>
      </c>
      <c r="E6080">
        <v>11</v>
      </c>
      <c r="F6080" s="3">
        <f ca="1">41694+(RANDBETWEEN(1,10))</f>
        <v>41699</v>
      </c>
      <c r="G6080" t="s">
        <v>76</v>
      </c>
      <c r="H6080" t="s">
        <v>77</v>
      </c>
      <c r="I6080" t="s">
        <v>97</v>
      </c>
      <c r="J6080">
        <v>4914.3149999999996</v>
      </c>
      <c r="K6080">
        <v>0</v>
      </c>
      <c r="L6080">
        <v>0.38</v>
      </c>
      <c r="M6080">
        <v>92.05</v>
      </c>
      <c r="N6080">
        <v>3390.8773500000002</v>
      </c>
      <c r="O6080" s="1" t="s">
        <v>53</v>
      </c>
      <c r="P6080" s="1" t="s">
        <v>12554</v>
      </c>
      <c r="Q6080" s="1" t="s">
        <v>12555</v>
      </c>
      <c r="R6080" s="1" t="s">
        <v>56</v>
      </c>
      <c r="S6080" s="1" t="s">
        <v>3271</v>
      </c>
      <c r="T6080" s="1" t="s">
        <v>3272</v>
      </c>
      <c r="U6080" s="2" t="s">
        <v>7068</v>
      </c>
      <c r="V6080" s="2" t="s">
        <v>36</v>
      </c>
      <c r="W6080" s="2" t="s">
        <v>142</v>
      </c>
      <c r="X6080" s="2">
        <v>423.39499999999998</v>
      </c>
    </row>
    <row r="6081" spans="1:24" x14ac:dyDescent="0.3">
      <c r="A6081">
        <v>23902</v>
      </c>
      <c r="B6081" t="s">
        <v>12556</v>
      </c>
      <c r="C6081" s="3">
        <v>41841</v>
      </c>
      <c r="D6081" t="s">
        <v>50</v>
      </c>
      <c r="E6081">
        <v>15</v>
      </c>
      <c r="F6081" s="3">
        <f ca="1">41843+(RANDBETWEEN(1,10))</f>
        <v>41848</v>
      </c>
      <c r="G6081" t="s">
        <v>76</v>
      </c>
      <c r="H6081" t="s">
        <v>258</v>
      </c>
      <c r="I6081" t="s">
        <v>28</v>
      </c>
      <c r="J6081">
        <v>4201.33</v>
      </c>
      <c r="K6081">
        <v>0.03</v>
      </c>
      <c r="L6081">
        <v>0.4</v>
      </c>
      <c r="M6081">
        <v>105.21</v>
      </c>
      <c r="N6081">
        <v>1644.8656000000001</v>
      </c>
      <c r="O6081" s="1" t="s">
        <v>87</v>
      </c>
      <c r="P6081" s="1" t="s">
        <v>6241</v>
      </c>
      <c r="Q6081" s="1" t="s">
        <v>6242</v>
      </c>
      <c r="R6081" s="1" t="s">
        <v>497</v>
      </c>
      <c r="S6081" s="1" t="s">
        <v>6243</v>
      </c>
      <c r="T6081" s="1" t="s">
        <v>6244</v>
      </c>
      <c r="U6081" s="2" t="s">
        <v>286</v>
      </c>
      <c r="V6081" s="2" t="s">
        <v>36</v>
      </c>
      <c r="W6081" s="2" t="s">
        <v>142</v>
      </c>
      <c r="X6081" s="2">
        <v>283.39499999999998</v>
      </c>
    </row>
    <row r="6082" spans="1:24" x14ac:dyDescent="0.3">
      <c r="A6082">
        <v>23903</v>
      </c>
      <c r="B6082" t="s">
        <v>12556</v>
      </c>
      <c r="C6082" s="3">
        <v>41841</v>
      </c>
      <c r="D6082" t="s">
        <v>50</v>
      </c>
      <c r="E6082">
        <v>13</v>
      </c>
      <c r="F6082" s="3">
        <f ca="1">41842+(RANDBETWEEN(1,10))</f>
        <v>41844</v>
      </c>
      <c r="G6082" t="s">
        <v>26</v>
      </c>
      <c r="H6082" t="s">
        <v>27</v>
      </c>
      <c r="I6082" t="s">
        <v>28</v>
      </c>
      <c r="J6082">
        <v>250.98500000000001</v>
      </c>
      <c r="K6082">
        <v>0.05</v>
      </c>
      <c r="L6082">
        <v>0.4</v>
      </c>
      <c r="M6082">
        <v>19.809999999999999</v>
      </c>
      <c r="N6082">
        <v>-307.35768000000002</v>
      </c>
      <c r="O6082" s="1" t="s">
        <v>87</v>
      </c>
      <c r="P6082" s="1" t="s">
        <v>6241</v>
      </c>
      <c r="Q6082" s="1" t="s">
        <v>6242</v>
      </c>
      <c r="R6082" s="1" t="s">
        <v>497</v>
      </c>
      <c r="S6082" s="1" t="s">
        <v>6243</v>
      </c>
      <c r="T6082" s="1" t="s">
        <v>6244</v>
      </c>
      <c r="U6082" s="2" t="s">
        <v>9988</v>
      </c>
      <c r="V6082" s="2" t="s">
        <v>47</v>
      </c>
      <c r="W6082" s="2" t="s">
        <v>74</v>
      </c>
      <c r="X6082" s="2">
        <v>18.48</v>
      </c>
    </row>
    <row r="6083" spans="1:24" x14ac:dyDescent="0.3">
      <c r="A6083">
        <v>23904</v>
      </c>
      <c r="B6083" t="s">
        <v>12557</v>
      </c>
      <c r="C6083" s="3">
        <v>41400</v>
      </c>
      <c r="D6083" t="s">
        <v>25</v>
      </c>
      <c r="E6083">
        <v>18</v>
      </c>
      <c r="F6083" s="3">
        <f ca="1">41405+(RANDBETWEEN(1,10))</f>
        <v>41411</v>
      </c>
      <c r="G6083" t="s">
        <v>156</v>
      </c>
      <c r="H6083" t="s">
        <v>27</v>
      </c>
      <c r="I6083" t="s">
        <v>97</v>
      </c>
      <c r="J6083">
        <v>645.47</v>
      </c>
      <c r="K6083">
        <v>0.04</v>
      </c>
      <c r="L6083">
        <v>0.55000000000000004</v>
      </c>
      <c r="M6083">
        <v>21.77</v>
      </c>
      <c r="N6083">
        <v>2363.1089999999999</v>
      </c>
      <c r="O6083" s="1" t="s">
        <v>87</v>
      </c>
      <c r="P6083" s="1" t="s">
        <v>12558</v>
      </c>
      <c r="Q6083" s="1" t="s">
        <v>12559</v>
      </c>
      <c r="R6083" s="1" t="s">
        <v>497</v>
      </c>
      <c r="S6083" s="1" t="s">
        <v>6037</v>
      </c>
      <c r="T6083" s="1" t="s">
        <v>6038</v>
      </c>
      <c r="U6083" s="2" t="s">
        <v>1422</v>
      </c>
      <c r="V6083" s="2" t="s">
        <v>83</v>
      </c>
      <c r="W6083" s="2" t="s">
        <v>178</v>
      </c>
      <c r="X6083" s="2">
        <v>33.774999999999999</v>
      </c>
    </row>
    <row r="6084" spans="1:24" x14ac:dyDescent="0.3">
      <c r="A6084">
        <v>23905</v>
      </c>
      <c r="B6084" t="s">
        <v>12560</v>
      </c>
      <c r="C6084" s="3">
        <v>41239</v>
      </c>
      <c r="D6084" t="s">
        <v>25</v>
      </c>
      <c r="E6084">
        <v>20</v>
      </c>
      <c r="F6084" s="3">
        <f ca="1">41241+(RANDBETWEEN(1,10))</f>
        <v>41250</v>
      </c>
      <c r="G6084" t="s">
        <v>26</v>
      </c>
      <c r="H6084" t="s">
        <v>27</v>
      </c>
      <c r="I6084" t="s">
        <v>28</v>
      </c>
      <c r="J6084">
        <v>1388.03</v>
      </c>
      <c r="K6084">
        <v>0.02</v>
      </c>
      <c r="L6084">
        <v>0.38</v>
      </c>
      <c r="M6084">
        <v>20.895</v>
      </c>
      <c r="N6084">
        <v>850.38800000000003</v>
      </c>
      <c r="O6084" s="1" t="s">
        <v>40</v>
      </c>
      <c r="P6084" s="1" t="s">
        <v>5197</v>
      </c>
      <c r="Q6084" s="1" t="s">
        <v>5198</v>
      </c>
      <c r="R6084" s="1" t="s">
        <v>43</v>
      </c>
      <c r="S6084" s="1" t="s">
        <v>802</v>
      </c>
      <c r="T6084" s="1" t="s">
        <v>803</v>
      </c>
      <c r="U6084" s="2" t="s">
        <v>161</v>
      </c>
      <c r="V6084" s="2" t="s">
        <v>47</v>
      </c>
      <c r="W6084" s="2" t="s">
        <v>74</v>
      </c>
      <c r="X6084" s="2">
        <v>69.930000000000007</v>
      </c>
    </row>
    <row r="6085" spans="1:24" x14ac:dyDescent="0.3">
      <c r="A6085">
        <v>23906</v>
      </c>
      <c r="B6085" t="s">
        <v>12561</v>
      </c>
      <c r="C6085" s="3">
        <v>40602</v>
      </c>
      <c r="D6085" t="s">
        <v>25</v>
      </c>
      <c r="E6085">
        <v>5</v>
      </c>
      <c r="F6085" s="3">
        <f ca="1">40611+(RANDBETWEEN(1,10))</f>
        <v>40615</v>
      </c>
      <c r="G6085" t="s">
        <v>26</v>
      </c>
      <c r="H6085" t="s">
        <v>27</v>
      </c>
      <c r="I6085" t="s">
        <v>28</v>
      </c>
      <c r="J6085">
        <v>1924.4749999999999</v>
      </c>
      <c r="K6085">
        <v>0.1</v>
      </c>
      <c r="L6085">
        <v>0.35</v>
      </c>
      <c r="M6085">
        <v>31.745000000000001</v>
      </c>
      <c r="N6085">
        <v>1327.8877500000001</v>
      </c>
      <c r="O6085" s="1" t="s">
        <v>64</v>
      </c>
      <c r="P6085" s="1" t="s">
        <v>11057</v>
      </c>
      <c r="Q6085" s="1" t="s">
        <v>11058</v>
      </c>
      <c r="R6085" s="1" t="s">
        <v>128</v>
      </c>
      <c r="S6085" s="1" t="s">
        <v>11059</v>
      </c>
      <c r="T6085" s="1" t="s">
        <v>11060</v>
      </c>
      <c r="U6085" s="2" t="s">
        <v>4646</v>
      </c>
      <c r="V6085" s="2" t="s">
        <v>47</v>
      </c>
      <c r="W6085" s="2" t="s">
        <v>111</v>
      </c>
      <c r="X6085" s="2">
        <v>423.43</v>
      </c>
    </row>
    <row r="6086" spans="1:24" x14ac:dyDescent="0.3">
      <c r="A6086">
        <v>23907</v>
      </c>
      <c r="B6086" t="s">
        <v>12561</v>
      </c>
      <c r="C6086" s="3">
        <v>40602</v>
      </c>
      <c r="D6086" t="s">
        <v>25</v>
      </c>
      <c r="E6086">
        <v>6</v>
      </c>
      <c r="F6086" s="3">
        <f ca="1">40606+(RANDBETWEEN(1,10))</f>
        <v>40608</v>
      </c>
      <c r="G6086" t="s">
        <v>156</v>
      </c>
      <c r="H6086" t="s">
        <v>51</v>
      </c>
      <c r="I6086" t="s">
        <v>28</v>
      </c>
      <c r="J6086">
        <v>171.465</v>
      </c>
      <c r="K6086">
        <v>0.08</v>
      </c>
      <c r="L6086">
        <v>0.74</v>
      </c>
      <c r="M6086">
        <v>8.33</v>
      </c>
      <c r="N6086">
        <v>-146.405</v>
      </c>
      <c r="O6086" s="1" t="s">
        <v>64</v>
      </c>
      <c r="P6086" s="1" t="s">
        <v>11057</v>
      </c>
      <c r="Q6086" s="1" t="s">
        <v>11058</v>
      </c>
      <c r="R6086" s="1" t="s">
        <v>128</v>
      </c>
      <c r="S6086" s="1" t="s">
        <v>11059</v>
      </c>
      <c r="T6086" s="1" t="s">
        <v>11060</v>
      </c>
      <c r="U6086" s="2" t="s">
        <v>152</v>
      </c>
      <c r="V6086" s="2" t="s">
        <v>36</v>
      </c>
      <c r="W6086" s="2" t="s">
        <v>60</v>
      </c>
      <c r="X6086" s="2">
        <v>29.12</v>
      </c>
    </row>
    <row r="6087" spans="1:24" x14ac:dyDescent="0.3">
      <c r="A6087">
        <v>23908</v>
      </c>
      <c r="B6087" t="s">
        <v>12561</v>
      </c>
      <c r="C6087" s="3">
        <v>40602</v>
      </c>
      <c r="D6087" t="s">
        <v>25</v>
      </c>
      <c r="E6087">
        <v>7</v>
      </c>
      <c r="F6087" s="3">
        <f ca="1">40602+(RANDBETWEEN(1,10))</f>
        <v>40607</v>
      </c>
      <c r="G6087" t="s">
        <v>26</v>
      </c>
      <c r="H6087" t="s">
        <v>27</v>
      </c>
      <c r="I6087" t="s">
        <v>28</v>
      </c>
      <c r="J6087">
        <v>2384.9699999999998</v>
      </c>
      <c r="K6087">
        <v>0.1</v>
      </c>
      <c r="L6087">
        <v>0.59</v>
      </c>
      <c r="M6087">
        <v>14.7</v>
      </c>
      <c r="N6087">
        <v>1303.4069999999999</v>
      </c>
      <c r="O6087" s="1" t="s">
        <v>64</v>
      </c>
      <c r="P6087" s="1" t="s">
        <v>11057</v>
      </c>
      <c r="Q6087" s="1" t="s">
        <v>11058</v>
      </c>
      <c r="R6087" s="1" t="s">
        <v>128</v>
      </c>
      <c r="S6087" s="1" t="s">
        <v>11059</v>
      </c>
      <c r="T6087" s="1" t="s">
        <v>11060</v>
      </c>
      <c r="U6087" s="2" t="s">
        <v>798</v>
      </c>
      <c r="V6087" s="2" t="s">
        <v>36</v>
      </c>
      <c r="W6087" s="2" t="s">
        <v>37</v>
      </c>
      <c r="X6087" s="2">
        <v>440.96499999999997</v>
      </c>
    </row>
    <row r="6088" spans="1:24" x14ac:dyDescent="0.3">
      <c r="A6088">
        <v>23909</v>
      </c>
      <c r="B6088" t="s">
        <v>12562</v>
      </c>
      <c r="C6088" s="3">
        <v>41416</v>
      </c>
      <c r="D6088" t="s">
        <v>39</v>
      </c>
      <c r="E6088">
        <v>9</v>
      </c>
      <c r="F6088" s="3">
        <f ca="1">41417+(RANDBETWEEN(1,10))</f>
        <v>41420</v>
      </c>
      <c r="G6088" t="s">
        <v>26</v>
      </c>
      <c r="H6088" t="s">
        <v>27</v>
      </c>
      <c r="I6088" t="s">
        <v>28</v>
      </c>
      <c r="J6088">
        <v>1212.155</v>
      </c>
      <c r="K6088">
        <v>0.08</v>
      </c>
      <c r="L6088">
        <v>0.56999999999999995</v>
      </c>
      <c r="M6088">
        <v>66.430000000000007</v>
      </c>
      <c r="N6088">
        <v>-6.8250000000000002</v>
      </c>
      <c r="O6088" s="1" t="s">
        <v>87</v>
      </c>
      <c r="P6088" s="1" t="s">
        <v>4371</v>
      </c>
      <c r="Q6088" s="1" t="s">
        <v>4372</v>
      </c>
      <c r="R6088" s="1" t="s">
        <v>398</v>
      </c>
      <c r="S6088" s="1" t="s">
        <v>1380</v>
      </c>
      <c r="T6088" s="1" t="s">
        <v>1381</v>
      </c>
      <c r="U6088" s="2" t="s">
        <v>1823</v>
      </c>
      <c r="V6088" s="2" t="s">
        <v>83</v>
      </c>
      <c r="W6088" s="2" t="s">
        <v>178</v>
      </c>
      <c r="X6088" s="2">
        <v>143.11500000000001</v>
      </c>
    </row>
    <row r="6089" spans="1:24" x14ac:dyDescent="0.3">
      <c r="A6089">
        <v>23910</v>
      </c>
      <c r="B6089" t="s">
        <v>12563</v>
      </c>
      <c r="C6089" s="3">
        <v>41284</v>
      </c>
      <c r="D6089" t="s">
        <v>62</v>
      </c>
      <c r="E6089">
        <v>2</v>
      </c>
      <c r="F6089" s="3">
        <f ca="1">41286+(RANDBETWEEN(1,10))</f>
        <v>41287</v>
      </c>
      <c r="G6089" t="s">
        <v>26</v>
      </c>
      <c r="H6089" t="s">
        <v>63</v>
      </c>
      <c r="I6089" t="s">
        <v>52</v>
      </c>
      <c r="J6089">
        <v>24205.93</v>
      </c>
      <c r="K6089">
        <v>0.05</v>
      </c>
      <c r="L6089">
        <v>0.37</v>
      </c>
      <c r="M6089">
        <v>85.715000000000003</v>
      </c>
      <c r="N6089">
        <v>-1700.9328</v>
      </c>
      <c r="O6089" s="1" t="s">
        <v>40</v>
      </c>
      <c r="P6089" s="1" t="s">
        <v>5226</v>
      </c>
      <c r="Q6089" s="1" t="s">
        <v>5227</v>
      </c>
      <c r="R6089" s="1" t="s">
        <v>43</v>
      </c>
      <c r="S6089" s="1" t="s">
        <v>5228</v>
      </c>
      <c r="T6089" s="1" t="s">
        <v>5229</v>
      </c>
      <c r="U6089" s="2" t="s">
        <v>6194</v>
      </c>
      <c r="V6089" s="2" t="s">
        <v>36</v>
      </c>
      <c r="W6089" s="2" t="s">
        <v>1327</v>
      </c>
      <c r="X6089" s="2">
        <v>12249.965</v>
      </c>
    </row>
    <row r="6090" spans="1:24" x14ac:dyDescent="0.3">
      <c r="A6090">
        <v>23911</v>
      </c>
      <c r="B6090" t="s">
        <v>12564</v>
      </c>
      <c r="C6090" s="3">
        <v>41693</v>
      </c>
      <c r="D6090" t="s">
        <v>148</v>
      </c>
      <c r="E6090">
        <v>8</v>
      </c>
      <c r="F6090" s="3">
        <f ca="1">41696+(RANDBETWEEN(1,10))</f>
        <v>41698</v>
      </c>
      <c r="G6090" t="s">
        <v>76</v>
      </c>
      <c r="H6090" t="s">
        <v>77</v>
      </c>
      <c r="I6090" t="s">
        <v>52</v>
      </c>
      <c r="J6090">
        <v>14274.33</v>
      </c>
      <c r="K6090">
        <v>0.04</v>
      </c>
      <c r="L6090">
        <v>0.6</v>
      </c>
      <c r="M6090">
        <v>91</v>
      </c>
      <c r="N6090">
        <v>9849.2877000000008</v>
      </c>
      <c r="O6090" s="1" t="s">
        <v>87</v>
      </c>
      <c r="P6090" s="1" t="s">
        <v>3529</v>
      </c>
      <c r="Q6090" s="1" t="s">
        <v>3530</v>
      </c>
      <c r="R6090" s="1" t="s">
        <v>398</v>
      </c>
      <c r="S6090" s="1" t="s">
        <v>3531</v>
      </c>
      <c r="T6090" s="1" t="s">
        <v>3532</v>
      </c>
      <c r="U6090" s="2" t="s">
        <v>1670</v>
      </c>
      <c r="V6090" s="2" t="s">
        <v>83</v>
      </c>
      <c r="W6090" s="2" t="s">
        <v>84</v>
      </c>
      <c r="X6090" s="2">
        <v>1753.43</v>
      </c>
    </row>
    <row r="6091" spans="1:24" x14ac:dyDescent="0.3">
      <c r="A6091">
        <v>23912</v>
      </c>
      <c r="B6091" t="s">
        <v>12564</v>
      </c>
      <c r="C6091" s="3">
        <v>41693</v>
      </c>
      <c r="D6091" t="s">
        <v>148</v>
      </c>
      <c r="E6091">
        <v>7</v>
      </c>
      <c r="F6091" s="3">
        <f ca="1">41694+(RANDBETWEEN(1,10))</f>
        <v>41698</v>
      </c>
      <c r="G6091" t="s">
        <v>156</v>
      </c>
      <c r="H6091" t="s">
        <v>27</v>
      </c>
      <c r="I6091" t="s">
        <v>52</v>
      </c>
      <c r="J6091">
        <v>285.04000000000002</v>
      </c>
      <c r="K6091">
        <v>0.04</v>
      </c>
      <c r="L6091">
        <v>0.35</v>
      </c>
      <c r="M6091">
        <v>24.395</v>
      </c>
      <c r="N6091">
        <v>-19.074999999999999</v>
      </c>
      <c r="O6091" s="1" t="s">
        <v>87</v>
      </c>
      <c r="P6091" s="1" t="s">
        <v>3529</v>
      </c>
      <c r="Q6091" s="1" t="s">
        <v>3530</v>
      </c>
      <c r="R6091" s="1" t="s">
        <v>398</v>
      </c>
      <c r="S6091" s="1" t="s">
        <v>3531</v>
      </c>
      <c r="T6091" s="1" t="s">
        <v>3532</v>
      </c>
      <c r="U6091" s="2" t="s">
        <v>2886</v>
      </c>
      <c r="V6091" s="2" t="s">
        <v>47</v>
      </c>
      <c r="W6091" s="2" t="s">
        <v>48</v>
      </c>
      <c r="X6091" s="2">
        <v>40.53</v>
      </c>
    </row>
    <row r="6092" spans="1:24" x14ac:dyDescent="0.3">
      <c r="A6092">
        <v>23913</v>
      </c>
      <c r="B6092" t="s">
        <v>12565</v>
      </c>
      <c r="C6092" s="3">
        <v>41310</v>
      </c>
      <c r="D6092" t="s">
        <v>39</v>
      </c>
      <c r="E6092">
        <v>5</v>
      </c>
      <c r="F6092" s="3">
        <f ca="1">41311+(RANDBETWEEN(1,10))</f>
        <v>41319</v>
      </c>
      <c r="G6092" t="s">
        <v>26</v>
      </c>
      <c r="H6092" t="s">
        <v>27</v>
      </c>
      <c r="I6092" t="s">
        <v>86</v>
      </c>
      <c r="J6092">
        <v>115.88500000000001</v>
      </c>
      <c r="K6092">
        <v>0.08</v>
      </c>
      <c r="L6092">
        <v>0.37</v>
      </c>
      <c r="M6092">
        <v>17.989999999999998</v>
      </c>
      <c r="N6092">
        <v>-99.855000000000004</v>
      </c>
      <c r="O6092" s="1" t="s">
        <v>40</v>
      </c>
      <c r="P6092" s="1" t="s">
        <v>12313</v>
      </c>
      <c r="Q6092" s="1" t="s">
        <v>12314</v>
      </c>
      <c r="R6092" s="1" t="s">
        <v>43</v>
      </c>
      <c r="S6092" s="1" t="s">
        <v>12315</v>
      </c>
      <c r="T6092" s="1" t="s">
        <v>12316</v>
      </c>
      <c r="U6092" s="2" t="s">
        <v>146</v>
      </c>
      <c r="V6092" s="2" t="s">
        <v>47</v>
      </c>
      <c r="W6092" s="2" t="s">
        <v>74</v>
      </c>
      <c r="X6092" s="2">
        <v>22.68</v>
      </c>
    </row>
    <row r="6093" spans="1:24" x14ac:dyDescent="0.3">
      <c r="A6093">
        <v>23914</v>
      </c>
      <c r="B6093" t="s">
        <v>12565</v>
      </c>
      <c r="C6093" s="3">
        <v>41310</v>
      </c>
      <c r="D6093" t="s">
        <v>39</v>
      </c>
      <c r="E6093">
        <v>12</v>
      </c>
      <c r="F6093" s="3">
        <f ca="1">41310+(RANDBETWEEN(1,10))</f>
        <v>41311</v>
      </c>
      <c r="G6093" t="s">
        <v>26</v>
      </c>
      <c r="H6093" t="s">
        <v>27</v>
      </c>
      <c r="I6093" t="s">
        <v>86</v>
      </c>
      <c r="J6093">
        <v>1526.35</v>
      </c>
      <c r="K6093">
        <v>0</v>
      </c>
      <c r="L6093">
        <v>0.56999999999999995</v>
      </c>
      <c r="M6093">
        <v>28.77</v>
      </c>
      <c r="N6093">
        <v>1007.09</v>
      </c>
      <c r="O6093" s="1" t="s">
        <v>40</v>
      </c>
      <c r="P6093" s="1" t="s">
        <v>12313</v>
      </c>
      <c r="Q6093" s="1" t="s">
        <v>12314</v>
      </c>
      <c r="R6093" s="1" t="s">
        <v>43</v>
      </c>
      <c r="S6093" s="1" t="s">
        <v>12315</v>
      </c>
      <c r="T6093" s="1" t="s">
        <v>12316</v>
      </c>
      <c r="U6093" s="2" t="s">
        <v>2001</v>
      </c>
      <c r="V6093" s="2" t="s">
        <v>47</v>
      </c>
      <c r="W6093" s="2" t="s">
        <v>119</v>
      </c>
      <c r="X6093" s="2">
        <v>121.66</v>
      </c>
    </row>
    <row r="6094" spans="1:24" x14ac:dyDescent="0.3">
      <c r="A6094">
        <v>23915</v>
      </c>
      <c r="B6094" t="s">
        <v>12566</v>
      </c>
      <c r="C6094" s="3">
        <v>41833</v>
      </c>
      <c r="D6094" t="s">
        <v>50</v>
      </c>
      <c r="E6094">
        <v>16</v>
      </c>
      <c r="F6094" s="3">
        <f ca="1">41836+(RANDBETWEEN(1,10))</f>
        <v>41838</v>
      </c>
      <c r="G6094" t="s">
        <v>156</v>
      </c>
      <c r="H6094" t="s">
        <v>27</v>
      </c>
      <c r="I6094" t="s">
        <v>97</v>
      </c>
      <c r="J6094">
        <v>2839.2350000000001</v>
      </c>
      <c r="K6094">
        <v>0.02</v>
      </c>
      <c r="L6094">
        <v>0.37</v>
      </c>
      <c r="M6094">
        <v>25.305</v>
      </c>
      <c r="N6094">
        <v>1959.07215</v>
      </c>
      <c r="O6094" s="1" t="s">
        <v>225</v>
      </c>
      <c r="P6094" s="1" t="s">
        <v>10595</v>
      </c>
      <c r="Q6094" s="1" t="s">
        <v>10596</v>
      </c>
      <c r="R6094" s="1" t="s">
        <v>228</v>
      </c>
      <c r="S6094" s="1" t="s">
        <v>10597</v>
      </c>
      <c r="T6094" s="1" t="s">
        <v>10598</v>
      </c>
      <c r="U6094" s="2" t="s">
        <v>2593</v>
      </c>
      <c r="V6094" s="2" t="s">
        <v>47</v>
      </c>
      <c r="W6094" s="2" t="s">
        <v>74</v>
      </c>
      <c r="X6094" s="2">
        <v>168.14</v>
      </c>
    </row>
    <row r="6095" spans="1:24" x14ac:dyDescent="0.3">
      <c r="A6095">
        <v>23916</v>
      </c>
      <c r="B6095" t="s">
        <v>12567</v>
      </c>
      <c r="C6095" s="3">
        <v>41620</v>
      </c>
      <c r="D6095" t="s">
        <v>148</v>
      </c>
      <c r="E6095">
        <v>11</v>
      </c>
      <c r="F6095" s="3">
        <f ca="1">41621+(RANDBETWEEN(1,10))</f>
        <v>41623</v>
      </c>
      <c r="G6095" t="s">
        <v>156</v>
      </c>
      <c r="H6095" t="s">
        <v>27</v>
      </c>
      <c r="I6095" t="s">
        <v>97</v>
      </c>
      <c r="J6095">
        <v>638.22500000000002</v>
      </c>
      <c r="K6095">
        <v>0.06</v>
      </c>
      <c r="L6095">
        <v>0.57999999999999996</v>
      </c>
      <c r="M6095">
        <v>21.875</v>
      </c>
      <c r="N6095">
        <v>-3327.3173934000001</v>
      </c>
      <c r="O6095" s="1" t="s">
        <v>225</v>
      </c>
      <c r="P6095" s="1" t="s">
        <v>12568</v>
      </c>
      <c r="Q6095" s="1" t="s">
        <v>12569</v>
      </c>
      <c r="R6095" s="1" t="s">
        <v>228</v>
      </c>
      <c r="S6095" s="1" t="s">
        <v>11075</v>
      </c>
      <c r="T6095" s="1" t="s">
        <v>12570</v>
      </c>
      <c r="U6095" s="2" t="s">
        <v>306</v>
      </c>
      <c r="V6095" s="2" t="s">
        <v>47</v>
      </c>
      <c r="W6095" s="2" t="s">
        <v>119</v>
      </c>
      <c r="X6095" s="2">
        <v>59.185000000000002</v>
      </c>
    </row>
    <row r="6096" spans="1:24" x14ac:dyDescent="0.3">
      <c r="A6096">
        <v>23917</v>
      </c>
      <c r="B6096" t="s">
        <v>12567</v>
      </c>
      <c r="C6096" s="3">
        <v>41620</v>
      </c>
      <c r="D6096" t="s">
        <v>148</v>
      </c>
      <c r="E6096">
        <v>8</v>
      </c>
      <c r="F6096" s="3">
        <f ca="1">41622+(RANDBETWEEN(1,10))</f>
        <v>41631</v>
      </c>
      <c r="G6096" t="s">
        <v>26</v>
      </c>
      <c r="H6096" t="s">
        <v>51</v>
      </c>
      <c r="I6096" t="s">
        <v>97</v>
      </c>
      <c r="J6096">
        <v>151.02500000000001</v>
      </c>
      <c r="K6096">
        <v>0</v>
      </c>
      <c r="L6096">
        <v>0.66</v>
      </c>
      <c r="M6096">
        <v>17.254999999999999</v>
      </c>
      <c r="N6096">
        <v>875.6748</v>
      </c>
      <c r="O6096" s="1" t="s">
        <v>225</v>
      </c>
      <c r="P6096" s="1" t="s">
        <v>12571</v>
      </c>
      <c r="Q6096" s="1" t="s">
        <v>12572</v>
      </c>
      <c r="R6096" s="1" t="s">
        <v>228</v>
      </c>
      <c r="S6096" s="1" t="s">
        <v>3618</v>
      </c>
      <c r="T6096" s="1" t="s">
        <v>3619</v>
      </c>
      <c r="U6096" s="2" t="s">
        <v>1387</v>
      </c>
      <c r="V6096" s="2" t="s">
        <v>36</v>
      </c>
      <c r="W6096" s="2" t="s">
        <v>60</v>
      </c>
      <c r="X6096" s="2">
        <v>17.114999999999998</v>
      </c>
    </row>
    <row r="6097" spans="1:24" x14ac:dyDescent="0.3">
      <c r="A6097">
        <v>23918</v>
      </c>
      <c r="B6097" t="s">
        <v>12573</v>
      </c>
      <c r="C6097" s="3">
        <v>41568</v>
      </c>
      <c r="D6097" t="s">
        <v>50</v>
      </c>
      <c r="E6097">
        <v>12</v>
      </c>
      <c r="F6097" s="3">
        <f ca="1">41569+(RANDBETWEEN(1,10))</f>
        <v>41573</v>
      </c>
      <c r="G6097" t="s">
        <v>76</v>
      </c>
      <c r="H6097" t="s">
        <v>258</v>
      </c>
      <c r="I6097" t="s">
        <v>28</v>
      </c>
      <c r="J6097">
        <v>10888.15</v>
      </c>
      <c r="K6097">
        <v>0.05</v>
      </c>
      <c r="L6097">
        <v>0.66</v>
      </c>
      <c r="M6097">
        <v>102.2</v>
      </c>
      <c r="N6097">
        <v>5667.5541999999996</v>
      </c>
      <c r="O6097" s="1" t="s">
        <v>40</v>
      </c>
      <c r="P6097" s="1" t="s">
        <v>12574</v>
      </c>
      <c r="Q6097" s="1" t="s">
        <v>12575</v>
      </c>
      <c r="R6097" s="1" t="s">
        <v>220</v>
      </c>
      <c r="S6097" s="1" t="s">
        <v>12576</v>
      </c>
      <c r="T6097" s="1" t="s">
        <v>12577</v>
      </c>
      <c r="U6097" s="2" t="s">
        <v>3999</v>
      </c>
      <c r="V6097" s="2" t="s">
        <v>83</v>
      </c>
      <c r="W6097" s="2" t="s">
        <v>263</v>
      </c>
      <c r="X6097" s="2">
        <v>1122.24</v>
      </c>
    </row>
    <row r="6098" spans="1:24" x14ac:dyDescent="0.3">
      <c r="A6098">
        <v>23919</v>
      </c>
      <c r="B6098" t="s">
        <v>12578</v>
      </c>
      <c r="C6098" s="3">
        <v>40578</v>
      </c>
      <c r="D6098" t="s">
        <v>25</v>
      </c>
      <c r="E6098">
        <v>8</v>
      </c>
      <c r="F6098" s="3">
        <f ca="1">40578+(RANDBETWEEN(1,10))</f>
        <v>40584</v>
      </c>
      <c r="G6098" t="s">
        <v>76</v>
      </c>
      <c r="H6098" t="s">
        <v>77</v>
      </c>
      <c r="I6098" t="s">
        <v>97</v>
      </c>
      <c r="J6098">
        <v>3911.81</v>
      </c>
      <c r="K6098">
        <v>0.08</v>
      </c>
      <c r="L6098">
        <v>0.56000000000000005</v>
      </c>
      <c r="M6098">
        <v>62.475000000000001</v>
      </c>
      <c r="N6098">
        <v>2630.53</v>
      </c>
      <c r="O6098" s="1" t="s">
        <v>225</v>
      </c>
      <c r="P6098" s="1" t="s">
        <v>10595</v>
      </c>
      <c r="Q6098" s="1" t="s">
        <v>10596</v>
      </c>
      <c r="R6098" s="1" t="s">
        <v>228</v>
      </c>
      <c r="S6098" s="1" t="s">
        <v>10597</v>
      </c>
      <c r="T6098" s="1" t="s">
        <v>10598</v>
      </c>
      <c r="U6098" s="2" t="s">
        <v>881</v>
      </c>
      <c r="V6098" s="2" t="s">
        <v>36</v>
      </c>
      <c r="W6098" s="2" t="s">
        <v>142</v>
      </c>
      <c r="X6098" s="2">
        <v>509.07499999999999</v>
      </c>
    </row>
    <row r="6099" spans="1:24" x14ac:dyDescent="0.3">
      <c r="A6099">
        <v>2392</v>
      </c>
      <c r="B6099" t="s">
        <v>12579</v>
      </c>
      <c r="C6099" s="3">
        <v>41976</v>
      </c>
      <c r="D6099" t="s">
        <v>50</v>
      </c>
      <c r="E6099">
        <v>14</v>
      </c>
      <c r="F6099" s="3">
        <f ca="1">41978+(RANDBETWEEN(1,10))</f>
        <v>41981</v>
      </c>
      <c r="G6099" t="s">
        <v>26</v>
      </c>
      <c r="H6099" t="s">
        <v>27</v>
      </c>
      <c r="I6099" t="s">
        <v>28</v>
      </c>
      <c r="J6099">
        <v>242.62</v>
      </c>
      <c r="K6099">
        <v>0.06</v>
      </c>
      <c r="L6099">
        <v>0.38</v>
      </c>
      <c r="M6099">
        <v>17.465</v>
      </c>
      <c r="N6099">
        <v>-73.045000000000002</v>
      </c>
      <c r="O6099" s="1" t="s">
        <v>225</v>
      </c>
      <c r="P6099" s="1" t="s">
        <v>427</v>
      </c>
      <c r="Q6099" s="1" t="s">
        <v>428</v>
      </c>
      <c r="R6099" s="1" t="s">
        <v>228</v>
      </c>
      <c r="S6099" s="1" t="s">
        <v>229</v>
      </c>
      <c r="T6099" s="1" t="s">
        <v>429</v>
      </c>
      <c r="U6099" s="2" t="s">
        <v>1179</v>
      </c>
      <c r="V6099" s="2" t="s">
        <v>47</v>
      </c>
      <c r="W6099" s="2" t="s">
        <v>48</v>
      </c>
      <c r="X6099" s="2">
        <v>15.47</v>
      </c>
    </row>
    <row r="6100" spans="1:24" x14ac:dyDescent="0.3">
      <c r="A6100">
        <v>23920</v>
      </c>
      <c r="B6100" t="s">
        <v>12578</v>
      </c>
      <c r="C6100" s="3">
        <v>40578</v>
      </c>
      <c r="D6100" t="s">
        <v>25</v>
      </c>
      <c r="E6100">
        <v>5</v>
      </c>
      <c r="F6100" s="3">
        <f ca="1">40582+(RANDBETWEEN(1,10))</f>
        <v>40587</v>
      </c>
      <c r="G6100" t="s">
        <v>76</v>
      </c>
      <c r="H6100" t="s">
        <v>77</v>
      </c>
      <c r="I6100" t="s">
        <v>97</v>
      </c>
      <c r="J6100">
        <v>593.11</v>
      </c>
      <c r="K6100">
        <v>7.0000000000000007E-2</v>
      </c>
      <c r="L6100">
        <v>0.57999999999999996</v>
      </c>
      <c r="M6100">
        <v>67.165000000000006</v>
      </c>
      <c r="N6100">
        <v>-551.46</v>
      </c>
      <c r="O6100" s="1" t="s">
        <v>29</v>
      </c>
      <c r="P6100" s="1" t="s">
        <v>12580</v>
      </c>
      <c r="Q6100" s="1" t="s">
        <v>12581</v>
      </c>
      <c r="R6100" s="1" t="s">
        <v>32</v>
      </c>
      <c r="S6100" s="1" t="s">
        <v>2296</v>
      </c>
      <c r="T6100" s="1" t="s">
        <v>2297</v>
      </c>
      <c r="U6100" s="2" t="s">
        <v>8686</v>
      </c>
      <c r="V6100" s="2" t="s">
        <v>83</v>
      </c>
      <c r="W6100" s="2" t="s">
        <v>84</v>
      </c>
      <c r="X6100" s="2">
        <v>118.79</v>
      </c>
    </row>
    <row r="6101" spans="1:24" x14ac:dyDescent="0.3">
      <c r="A6101">
        <v>23921</v>
      </c>
      <c r="B6101" t="s">
        <v>12582</v>
      </c>
      <c r="C6101" s="3">
        <v>41674</v>
      </c>
      <c r="D6101" t="s">
        <v>25</v>
      </c>
      <c r="E6101">
        <v>4</v>
      </c>
      <c r="F6101" s="3">
        <f ca="1">41678+(RANDBETWEEN(1,10))</f>
        <v>41682</v>
      </c>
      <c r="G6101" t="s">
        <v>26</v>
      </c>
      <c r="H6101" t="s">
        <v>27</v>
      </c>
      <c r="I6101" t="s">
        <v>97</v>
      </c>
      <c r="J6101">
        <v>181.47499999999999</v>
      </c>
      <c r="K6101">
        <v>0.1</v>
      </c>
      <c r="L6101">
        <v>0.56999999999999995</v>
      </c>
      <c r="M6101">
        <v>19.25</v>
      </c>
      <c r="N6101">
        <v>-103.39</v>
      </c>
      <c r="O6101" s="1" t="s">
        <v>29</v>
      </c>
      <c r="P6101" s="1" t="s">
        <v>12580</v>
      </c>
      <c r="Q6101" s="1" t="s">
        <v>12581</v>
      </c>
      <c r="R6101" s="1" t="s">
        <v>32</v>
      </c>
      <c r="S6101" s="1" t="s">
        <v>2296</v>
      </c>
      <c r="T6101" s="1" t="s">
        <v>2297</v>
      </c>
      <c r="U6101" s="2" t="s">
        <v>3384</v>
      </c>
      <c r="V6101" s="2" t="s">
        <v>47</v>
      </c>
      <c r="W6101" s="2" t="s">
        <v>119</v>
      </c>
      <c r="X6101" s="2">
        <v>47.005000000000003</v>
      </c>
    </row>
    <row r="6102" spans="1:24" x14ac:dyDescent="0.3">
      <c r="A6102">
        <v>23922</v>
      </c>
      <c r="B6102" t="s">
        <v>12583</v>
      </c>
      <c r="C6102" s="3">
        <v>41626</v>
      </c>
      <c r="D6102" t="s">
        <v>25</v>
      </c>
      <c r="E6102">
        <v>18</v>
      </c>
      <c r="F6102" s="3">
        <f ca="1">41631+(RANDBETWEEN(1,10))</f>
        <v>41641</v>
      </c>
      <c r="G6102" t="s">
        <v>76</v>
      </c>
      <c r="H6102" t="s">
        <v>77</v>
      </c>
      <c r="I6102" t="s">
        <v>28</v>
      </c>
      <c r="J6102">
        <v>3104.2550000000001</v>
      </c>
      <c r="K6102">
        <v>0.06</v>
      </c>
      <c r="L6102">
        <v>0.56000000000000005</v>
      </c>
      <c r="M6102">
        <v>49.664999999999999</v>
      </c>
      <c r="N6102">
        <v>699.82500000000005</v>
      </c>
      <c r="O6102" s="1" t="s">
        <v>64</v>
      </c>
      <c r="P6102" s="1" t="s">
        <v>9933</v>
      </c>
      <c r="Q6102" s="1" t="s">
        <v>9934</v>
      </c>
      <c r="R6102" s="1" t="s">
        <v>67</v>
      </c>
      <c r="S6102" s="1" t="s">
        <v>9935</v>
      </c>
      <c r="T6102" s="1" t="s">
        <v>9936</v>
      </c>
      <c r="U6102" s="2" t="s">
        <v>3412</v>
      </c>
      <c r="V6102" s="2" t="s">
        <v>83</v>
      </c>
      <c r="W6102" s="2" t="s">
        <v>84</v>
      </c>
      <c r="X6102" s="2">
        <v>178.43</v>
      </c>
    </row>
    <row r="6103" spans="1:24" x14ac:dyDescent="0.3">
      <c r="A6103">
        <v>23923</v>
      </c>
      <c r="B6103" t="s">
        <v>12583</v>
      </c>
      <c r="C6103" s="3">
        <v>41626</v>
      </c>
      <c r="D6103" t="s">
        <v>25</v>
      </c>
      <c r="E6103">
        <v>18</v>
      </c>
      <c r="F6103" s="3">
        <f ca="1">41630+(RANDBETWEEN(1,10))</f>
        <v>41639</v>
      </c>
      <c r="G6103" t="s">
        <v>26</v>
      </c>
      <c r="H6103" t="s">
        <v>27</v>
      </c>
      <c r="I6103" t="s">
        <v>28</v>
      </c>
      <c r="J6103">
        <v>977.79499999999996</v>
      </c>
      <c r="K6103">
        <v>0</v>
      </c>
      <c r="L6103">
        <v>0.48</v>
      </c>
      <c r="M6103">
        <v>25.9</v>
      </c>
      <c r="N6103">
        <v>359.31</v>
      </c>
      <c r="O6103" s="1" t="s">
        <v>64</v>
      </c>
      <c r="P6103" s="1" t="s">
        <v>9933</v>
      </c>
      <c r="Q6103" s="1" t="s">
        <v>9934</v>
      </c>
      <c r="R6103" s="1" t="s">
        <v>67</v>
      </c>
      <c r="S6103" s="1" t="s">
        <v>9935</v>
      </c>
      <c r="T6103" s="1" t="s">
        <v>9936</v>
      </c>
      <c r="U6103" s="2" t="s">
        <v>1025</v>
      </c>
      <c r="V6103" s="2" t="s">
        <v>83</v>
      </c>
      <c r="W6103" s="2" t="s">
        <v>178</v>
      </c>
      <c r="X6103" s="2">
        <v>51.03</v>
      </c>
    </row>
    <row r="6104" spans="1:24" x14ac:dyDescent="0.3">
      <c r="A6104">
        <v>23924</v>
      </c>
      <c r="B6104" t="s">
        <v>12583</v>
      </c>
      <c r="C6104" s="3">
        <v>41626</v>
      </c>
      <c r="D6104" t="s">
        <v>25</v>
      </c>
      <c r="E6104">
        <v>9</v>
      </c>
      <c r="F6104" s="3">
        <f ca="1">41630+(RANDBETWEEN(1,10))</f>
        <v>41638</v>
      </c>
      <c r="G6104" t="s">
        <v>26</v>
      </c>
      <c r="H6104" t="s">
        <v>96</v>
      </c>
      <c r="I6104" t="s">
        <v>28</v>
      </c>
      <c r="J6104">
        <v>1424.325</v>
      </c>
      <c r="K6104">
        <v>0.06</v>
      </c>
      <c r="L6104">
        <v>0.68</v>
      </c>
      <c r="M6104">
        <v>16.8</v>
      </c>
      <c r="N6104">
        <v>982.78425000000004</v>
      </c>
      <c r="O6104" s="1" t="s">
        <v>64</v>
      </c>
      <c r="P6104" s="1" t="s">
        <v>9933</v>
      </c>
      <c r="Q6104" s="1" t="s">
        <v>9934</v>
      </c>
      <c r="R6104" s="1" t="s">
        <v>67</v>
      </c>
      <c r="S6104" s="1" t="s">
        <v>9935</v>
      </c>
      <c r="T6104" s="1" t="s">
        <v>9936</v>
      </c>
      <c r="U6104" s="2" t="s">
        <v>4047</v>
      </c>
      <c r="V6104" s="2" t="s">
        <v>83</v>
      </c>
      <c r="W6104" s="2" t="s">
        <v>178</v>
      </c>
      <c r="X6104" s="2">
        <v>160.93</v>
      </c>
    </row>
    <row r="6105" spans="1:24" x14ac:dyDescent="0.3">
      <c r="A6105">
        <v>23925</v>
      </c>
      <c r="B6105" t="s">
        <v>12584</v>
      </c>
      <c r="C6105" s="3">
        <v>41906</v>
      </c>
      <c r="D6105" t="s">
        <v>148</v>
      </c>
      <c r="E6105">
        <v>24</v>
      </c>
      <c r="F6105" s="3">
        <f ca="1">41907+(RANDBETWEEN(1,10))</f>
        <v>41916</v>
      </c>
      <c r="G6105" t="s">
        <v>26</v>
      </c>
      <c r="H6105" t="s">
        <v>27</v>
      </c>
      <c r="I6105" t="s">
        <v>97</v>
      </c>
      <c r="J6105">
        <v>632.52</v>
      </c>
      <c r="K6105">
        <v>0.04</v>
      </c>
      <c r="L6105">
        <v>0.38</v>
      </c>
      <c r="M6105">
        <v>27.02</v>
      </c>
      <c r="N6105">
        <v>-547.96993999999995</v>
      </c>
      <c r="O6105" s="1" t="s">
        <v>87</v>
      </c>
      <c r="P6105" s="1" t="s">
        <v>11932</v>
      </c>
      <c r="Q6105" s="1" t="s">
        <v>11933</v>
      </c>
      <c r="R6105" s="1" t="s">
        <v>646</v>
      </c>
      <c r="S6105" s="1" t="s">
        <v>11934</v>
      </c>
      <c r="T6105" s="1" t="s">
        <v>4332</v>
      </c>
      <c r="U6105" s="2" t="s">
        <v>823</v>
      </c>
      <c r="V6105" s="2" t="s">
        <v>47</v>
      </c>
      <c r="W6105" s="2" t="s">
        <v>111</v>
      </c>
      <c r="X6105" s="2">
        <v>25.55</v>
      </c>
    </row>
    <row r="6106" spans="1:24" x14ac:dyDescent="0.3">
      <c r="A6106">
        <v>23926</v>
      </c>
      <c r="B6106" t="s">
        <v>12585</v>
      </c>
      <c r="C6106" s="3">
        <v>40810</v>
      </c>
      <c r="D6106" t="s">
        <v>148</v>
      </c>
      <c r="E6106">
        <v>5</v>
      </c>
      <c r="F6106" s="3">
        <f ca="1">40811+(RANDBETWEEN(1,10))</f>
        <v>40818</v>
      </c>
      <c r="G6106" t="s">
        <v>26</v>
      </c>
      <c r="H6106" t="s">
        <v>96</v>
      </c>
      <c r="I6106" t="s">
        <v>97</v>
      </c>
      <c r="J6106">
        <v>68.81</v>
      </c>
      <c r="K6106">
        <v>0.06</v>
      </c>
      <c r="L6106">
        <v>0.53</v>
      </c>
      <c r="M6106">
        <v>7</v>
      </c>
      <c r="N6106">
        <v>-33.880000000000003</v>
      </c>
      <c r="O6106" s="1" t="s">
        <v>87</v>
      </c>
      <c r="P6106" s="1" t="s">
        <v>11932</v>
      </c>
      <c r="Q6106" s="1" t="s">
        <v>11933</v>
      </c>
      <c r="R6106" s="1" t="s">
        <v>646</v>
      </c>
      <c r="S6106" s="1" t="s">
        <v>11934</v>
      </c>
      <c r="T6106" s="1" t="s">
        <v>4332</v>
      </c>
      <c r="U6106" s="2" t="s">
        <v>955</v>
      </c>
      <c r="V6106" s="2" t="s">
        <v>47</v>
      </c>
      <c r="W6106" s="2" t="s">
        <v>176</v>
      </c>
      <c r="X6106" s="2">
        <v>13.824999999999999</v>
      </c>
    </row>
    <row r="6107" spans="1:24" x14ac:dyDescent="0.3">
      <c r="A6107">
        <v>23927</v>
      </c>
      <c r="B6107" t="s">
        <v>12586</v>
      </c>
      <c r="C6107" s="3">
        <v>41896</v>
      </c>
      <c r="D6107" t="s">
        <v>148</v>
      </c>
      <c r="E6107">
        <v>17</v>
      </c>
      <c r="F6107" s="3">
        <f ca="1">41898+(RANDBETWEEN(1,10))</f>
        <v>41905</v>
      </c>
      <c r="G6107" t="s">
        <v>26</v>
      </c>
      <c r="H6107" t="s">
        <v>27</v>
      </c>
      <c r="I6107" t="s">
        <v>52</v>
      </c>
      <c r="J6107">
        <v>175.80500000000001</v>
      </c>
      <c r="K6107">
        <v>0.01</v>
      </c>
      <c r="L6107">
        <v>0.36</v>
      </c>
      <c r="M6107">
        <v>5.2149999999999999</v>
      </c>
      <c r="N6107">
        <v>25.479089999999999</v>
      </c>
      <c r="O6107" s="1" t="s">
        <v>225</v>
      </c>
      <c r="P6107" s="1" t="s">
        <v>12587</v>
      </c>
      <c r="Q6107" s="1" t="s">
        <v>12588</v>
      </c>
      <c r="R6107" s="1" t="s">
        <v>228</v>
      </c>
      <c r="S6107" s="1" t="s">
        <v>597</v>
      </c>
      <c r="T6107" s="1" t="s">
        <v>598</v>
      </c>
      <c r="U6107" s="2" t="s">
        <v>2339</v>
      </c>
      <c r="V6107" s="2" t="s">
        <v>47</v>
      </c>
      <c r="W6107" s="2" t="s">
        <v>111</v>
      </c>
      <c r="X6107" s="2">
        <v>10.08</v>
      </c>
    </row>
    <row r="6108" spans="1:24" x14ac:dyDescent="0.3">
      <c r="A6108">
        <v>23928</v>
      </c>
      <c r="B6108" t="s">
        <v>12589</v>
      </c>
      <c r="C6108" s="3">
        <v>41284</v>
      </c>
      <c r="D6108" t="s">
        <v>25</v>
      </c>
      <c r="E6108">
        <v>10</v>
      </c>
      <c r="F6108" s="3">
        <f ca="1">41289+(RANDBETWEEN(1,10))</f>
        <v>41291</v>
      </c>
      <c r="G6108" t="s">
        <v>26</v>
      </c>
      <c r="H6108" t="s">
        <v>27</v>
      </c>
      <c r="I6108" t="s">
        <v>86</v>
      </c>
      <c r="J6108">
        <v>183.12</v>
      </c>
      <c r="K6108">
        <v>0.04</v>
      </c>
      <c r="L6108">
        <v>0.36</v>
      </c>
      <c r="M6108">
        <v>20.09</v>
      </c>
      <c r="N6108">
        <v>-478.08789000000002</v>
      </c>
      <c r="O6108" s="1" t="s">
        <v>53</v>
      </c>
      <c r="P6108" s="1" t="s">
        <v>12590</v>
      </c>
      <c r="Q6108" s="1" t="s">
        <v>12591</v>
      </c>
      <c r="R6108" s="1" t="s">
        <v>56</v>
      </c>
      <c r="S6108" s="1" t="s">
        <v>12592</v>
      </c>
      <c r="T6108" s="1" t="s">
        <v>12593</v>
      </c>
      <c r="U6108" s="2" t="s">
        <v>1239</v>
      </c>
      <c r="V6108" s="2" t="s">
        <v>47</v>
      </c>
      <c r="W6108" s="2" t="s">
        <v>111</v>
      </c>
      <c r="X6108" s="2">
        <v>18.13</v>
      </c>
    </row>
    <row r="6109" spans="1:24" x14ac:dyDescent="0.3">
      <c r="A6109">
        <v>23929</v>
      </c>
      <c r="B6109" t="s">
        <v>12589</v>
      </c>
      <c r="C6109" s="3">
        <v>41284</v>
      </c>
      <c r="D6109" t="s">
        <v>25</v>
      </c>
      <c r="E6109">
        <v>1</v>
      </c>
      <c r="F6109" s="3">
        <f ca="1">41286+(RANDBETWEEN(1,10))</f>
        <v>41290</v>
      </c>
      <c r="G6109" t="s">
        <v>26</v>
      </c>
      <c r="H6109" t="s">
        <v>27</v>
      </c>
      <c r="I6109" t="s">
        <v>86</v>
      </c>
      <c r="J6109">
        <v>37.905000000000001</v>
      </c>
      <c r="K6109">
        <v>0.08</v>
      </c>
      <c r="L6109">
        <v>0.35</v>
      </c>
      <c r="M6109">
        <v>4.8650000000000002</v>
      </c>
      <c r="N6109">
        <v>-21.917000000000002</v>
      </c>
      <c r="O6109" s="1" t="s">
        <v>53</v>
      </c>
      <c r="P6109" s="1" t="s">
        <v>12590</v>
      </c>
      <c r="Q6109" s="1" t="s">
        <v>12591</v>
      </c>
      <c r="R6109" s="1" t="s">
        <v>56</v>
      </c>
      <c r="S6109" s="1" t="s">
        <v>12592</v>
      </c>
      <c r="T6109" s="1" t="s">
        <v>12593</v>
      </c>
      <c r="U6109" s="2" t="s">
        <v>9325</v>
      </c>
      <c r="V6109" s="2" t="s">
        <v>47</v>
      </c>
      <c r="W6109" s="2" t="s">
        <v>48</v>
      </c>
      <c r="X6109" s="2">
        <v>38.29</v>
      </c>
    </row>
    <row r="6110" spans="1:24" x14ac:dyDescent="0.3">
      <c r="A6110">
        <v>23930</v>
      </c>
      <c r="B6110" t="s">
        <v>12589</v>
      </c>
      <c r="C6110" s="3">
        <v>41284</v>
      </c>
      <c r="D6110" t="s">
        <v>25</v>
      </c>
      <c r="E6110">
        <v>7</v>
      </c>
      <c r="F6110" s="3">
        <f ca="1">41289+(RANDBETWEEN(1,10))</f>
        <v>41291</v>
      </c>
      <c r="G6110" t="s">
        <v>26</v>
      </c>
      <c r="H6110" t="s">
        <v>27</v>
      </c>
      <c r="I6110" t="s">
        <v>86</v>
      </c>
      <c r="J6110">
        <v>1407.665</v>
      </c>
      <c r="K6110">
        <v>0.02</v>
      </c>
      <c r="L6110">
        <v>0.57999999999999996</v>
      </c>
      <c r="M6110">
        <v>30.8</v>
      </c>
      <c r="N6110">
        <v>487.41840000000002</v>
      </c>
      <c r="O6110" s="1" t="s">
        <v>53</v>
      </c>
      <c r="P6110" s="1" t="s">
        <v>12590</v>
      </c>
      <c r="Q6110" s="1" t="s">
        <v>12591</v>
      </c>
      <c r="R6110" s="1" t="s">
        <v>56</v>
      </c>
      <c r="S6110" s="1" t="s">
        <v>12592</v>
      </c>
      <c r="T6110" s="1" t="s">
        <v>12593</v>
      </c>
      <c r="U6110" s="2">
        <v>6120</v>
      </c>
      <c r="V6110" s="2" t="s">
        <v>36</v>
      </c>
      <c r="W6110" s="2" t="s">
        <v>37</v>
      </c>
      <c r="X6110" s="2">
        <v>230.965</v>
      </c>
    </row>
    <row r="6111" spans="1:24" x14ac:dyDescent="0.3">
      <c r="A6111">
        <v>23931</v>
      </c>
      <c r="B6111" t="s">
        <v>12594</v>
      </c>
      <c r="C6111" s="3">
        <v>41626</v>
      </c>
      <c r="D6111" t="s">
        <v>62</v>
      </c>
      <c r="E6111">
        <v>8</v>
      </c>
      <c r="F6111" s="3">
        <f ca="1">41628+(RANDBETWEEN(1,10))</f>
        <v>41634</v>
      </c>
      <c r="G6111" t="s">
        <v>26</v>
      </c>
      <c r="H6111" t="s">
        <v>96</v>
      </c>
      <c r="I6111" t="s">
        <v>86</v>
      </c>
      <c r="J6111">
        <v>142.66</v>
      </c>
      <c r="K6111">
        <v>0.03</v>
      </c>
      <c r="L6111">
        <v>0.36</v>
      </c>
      <c r="M6111">
        <v>10.535</v>
      </c>
      <c r="N6111">
        <v>-6.9124999999999996</v>
      </c>
      <c r="O6111" s="1" t="s">
        <v>40</v>
      </c>
      <c r="P6111" s="1" t="s">
        <v>10152</v>
      </c>
      <c r="Q6111" s="1" t="s">
        <v>10153</v>
      </c>
      <c r="R6111" s="1" t="s">
        <v>43</v>
      </c>
      <c r="S6111" s="1" t="s">
        <v>7165</v>
      </c>
      <c r="T6111" s="1" t="s">
        <v>7166</v>
      </c>
      <c r="U6111" s="2" t="s">
        <v>4183</v>
      </c>
      <c r="V6111" s="2" t="s">
        <v>47</v>
      </c>
      <c r="W6111" s="2" t="s">
        <v>74</v>
      </c>
      <c r="X6111" s="2">
        <v>16.66</v>
      </c>
    </row>
    <row r="6112" spans="1:24" x14ac:dyDescent="0.3">
      <c r="A6112">
        <v>23932</v>
      </c>
      <c r="B6112" t="s">
        <v>12595</v>
      </c>
      <c r="C6112" s="3">
        <v>41619</v>
      </c>
      <c r="D6112" t="s">
        <v>62</v>
      </c>
      <c r="E6112">
        <v>19</v>
      </c>
      <c r="F6112" s="3">
        <f ca="1">41621+(RANDBETWEEN(1,10))</f>
        <v>41628</v>
      </c>
      <c r="G6112" t="s">
        <v>26</v>
      </c>
      <c r="H6112" t="s">
        <v>63</v>
      </c>
      <c r="I6112" t="s">
        <v>52</v>
      </c>
      <c r="J6112">
        <v>9670.7800000000007</v>
      </c>
      <c r="K6112">
        <v>0.03</v>
      </c>
      <c r="L6112">
        <v>0.56999999999999995</v>
      </c>
      <c r="M6112">
        <v>85.715000000000003</v>
      </c>
      <c r="N6112">
        <v>6635.8950000000004</v>
      </c>
      <c r="O6112" s="1" t="s">
        <v>29</v>
      </c>
      <c r="P6112" s="1" t="s">
        <v>6823</v>
      </c>
      <c r="Q6112" s="1" t="s">
        <v>6824</v>
      </c>
      <c r="R6112" s="1" t="s">
        <v>32</v>
      </c>
      <c r="S6112" s="1" t="s">
        <v>6109</v>
      </c>
      <c r="T6112" s="1" t="s">
        <v>6825</v>
      </c>
      <c r="U6112" s="2" t="s">
        <v>4440</v>
      </c>
      <c r="V6112" s="2" t="s">
        <v>83</v>
      </c>
      <c r="W6112" s="2" t="s">
        <v>84</v>
      </c>
      <c r="X6112" s="2">
        <v>492.83499999999998</v>
      </c>
    </row>
    <row r="6113" spans="1:24" x14ac:dyDescent="0.3">
      <c r="A6113">
        <v>23933</v>
      </c>
      <c r="B6113" t="s">
        <v>12595</v>
      </c>
      <c r="C6113" s="3">
        <v>41619</v>
      </c>
      <c r="D6113" t="s">
        <v>62</v>
      </c>
      <c r="E6113">
        <v>18</v>
      </c>
      <c r="F6113" s="3">
        <f ca="1">41621+(RANDBETWEEN(1,10))</f>
        <v>41623</v>
      </c>
      <c r="G6113" t="s">
        <v>26</v>
      </c>
      <c r="H6113" t="s">
        <v>27</v>
      </c>
      <c r="I6113" t="s">
        <v>52</v>
      </c>
      <c r="J6113">
        <v>414.57499999999999</v>
      </c>
      <c r="K6113">
        <v>0.04</v>
      </c>
      <c r="L6113">
        <v>0.37</v>
      </c>
      <c r="M6113">
        <v>21.77</v>
      </c>
      <c r="N6113">
        <v>-151.02500000000001</v>
      </c>
      <c r="O6113" s="1" t="s">
        <v>29</v>
      </c>
      <c r="P6113" s="1" t="s">
        <v>6823</v>
      </c>
      <c r="Q6113" s="1" t="s">
        <v>6824</v>
      </c>
      <c r="R6113" s="1" t="s">
        <v>32</v>
      </c>
      <c r="S6113" s="1" t="s">
        <v>6109</v>
      </c>
      <c r="T6113" s="1" t="s">
        <v>6825</v>
      </c>
      <c r="U6113" s="2" t="s">
        <v>4158</v>
      </c>
      <c r="V6113" s="2" t="s">
        <v>47</v>
      </c>
      <c r="W6113" s="2" t="s">
        <v>74</v>
      </c>
      <c r="X6113" s="2">
        <v>22.68</v>
      </c>
    </row>
    <row r="6114" spans="1:24" x14ac:dyDescent="0.3">
      <c r="A6114">
        <v>23934</v>
      </c>
      <c r="B6114" t="s">
        <v>12595</v>
      </c>
      <c r="C6114" s="3">
        <v>41619</v>
      </c>
      <c r="D6114" t="s">
        <v>62</v>
      </c>
      <c r="E6114">
        <v>17</v>
      </c>
      <c r="F6114" s="3">
        <f ca="1">41619+(RANDBETWEEN(1,10))</f>
        <v>41624</v>
      </c>
      <c r="G6114" t="s">
        <v>26</v>
      </c>
      <c r="H6114" t="s">
        <v>51</v>
      </c>
      <c r="I6114" t="s">
        <v>52</v>
      </c>
      <c r="J6114">
        <v>123.375</v>
      </c>
      <c r="K6114">
        <v>0.05</v>
      </c>
      <c r="L6114">
        <v>0.55000000000000004</v>
      </c>
      <c r="M6114">
        <v>8.9600000000000009</v>
      </c>
      <c r="N6114">
        <v>-101.44750000000001</v>
      </c>
      <c r="O6114" s="1" t="s">
        <v>29</v>
      </c>
      <c r="P6114" s="1" t="s">
        <v>6823</v>
      </c>
      <c r="Q6114" s="1" t="s">
        <v>6824</v>
      </c>
      <c r="R6114" s="1" t="s">
        <v>32</v>
      </c>
      <c r="S6114" s="1" t="s">
        <v>6109</v>
      </c>
      <c r="T6114" s="1" t="s">
        <v>6825</v>
      </c>
      <c r="U6114" s="2" t="s">
        <v>401</v>
      </c>
      <c r="V6114" s="2" t="s">
        <v>47</v>
      </c>
      <c r="W6114" s="2" t="s">
        <v>94</v>
      </c>
      <c r="X6114" s="2">
        <v>7.28</v>
      </c>
    </row>
    <row r="6115" spans="1:24" x14ac:dyDescent="0.3">
      <c r="A6115">
        <v>23935</v>
      </c>
      <c r="B6115" t="s">
        <v>12596</v>
      </c>
      <c r="C6115" s="3">
        <v>41112</v>
      </c>
      <c r="D6115" t="s">
        <v>39</v>
      </c>
      <c r="E6115">
        <v>5</v>
      </c>
      <c r="F6115" s="3">
        <f ca="1">41113+(RANDBETWEEN(1,10))</f>
        <v>41119</v>
      </c>
      <c r="G6115" t="s">
        <v>26</v>
      </c>
      <c r="H6115" t="s">
        <v>96</v>
      </c>
      <c r="I6115" t="s">
        <v>97</v>
      </c>
      <c r="J6115">
        <v>48.755000000000003</v>
      </c>
      <c r="K6115">
        <v>0.09</v>
      </c>
      <c r="L6115">
        <v>0.59</v>
      </c>
      <c r="M6115">
        <v>3.395</v>
      </c>
      <c r="N6115">
        <v>-8.3650000000000002</v>
      </c>
      <c r="O6115" s="1" t="s">
        <v>87</v>
      </c>
      <c r="P6115" s="1" t="s">
        <v>2531</v>
      </c>
      <c r="Q6115" s="1" t="s">
        <v>2532</v>
      </c>
      <c r="R6115" s="1" t="s">
        <v>90</v>
      </c>
      <c r="S6115" s="1" t="s">
        <v>2533</v>
      </c>
      <c r="T6115" s="1" t="s">
        <v>2534</v>
      </c>
      <c r="U6115" s="2" t="s">
        <v>4579</v>
      </c>
      <c r="V6115" s="2" t="s">
        <v>47</v>
      </c>
      <c r="W6115" s="2" t="s">
        <v>104</v>
      </c>
      <c r="X6115" s="2">
        <v>9.73</v>
      </c>
    </row>
    <row r="6116" spans="1:24" x14ac:dyDescent="0.3">
      <c r="A6116">
        <v>23936</v>
      </c>
      <c r="B6116" t="s">
        <v>12597</v>
      </c>
      <c r="C6116" s="3">
        <v>41267</v>
      </c>
      <c r="D6116" t="s">
        <v>50</v>
      </c>
      <c r="E6116">
        <v>7</v>
      </c>
      <c r="F6116" s="3">
        <f ca="1">41269+(RANDBETWEEN(1,10))</f>
        <v>41275</v>
      </c>
      <c r="G6116" t="s">
        <v>26</v>
      </c>
      <c r="H6116" t="s">
        <v>27</v>
      </c>
      <c r="I6116" t="s">
        <v>28</v>
      </c>
      <c r="J6116">
        <v>4202.3100000000004</v>
      </c>
      <c r="K6116">
        <v>0.01</v>
      </c>
      <c r="L6116">
        <v>0.6</v>
      </c>
      <c r="M6116">
        <v>31.465</v>
      </c>
      <c r="N6116">
        <v>1055.4232500000001</v>
      </c>
      <c r="O6116" s="1" t="s">
        <v>29</v>
      </c>
      <c r="P6116" s="1" t="s">
        <v>12297</v>
      </c>
      <c r="Q6116" s="1" t="s">
        <v>12298</v>
      </c>
      <c r="R6116" s="1" t="s">
        <v>32</v>
      </c>
      <c r="S6116" s="1" t="s">
        <v>12299</v>
      </c>
      <c r="T6116" s="1" t="s">
        <v>12300</v>
      </c>
      <c r="U6116" s="2" t="s">
        <v>1123</v>
      </c>
      <c r="V6116" s="2" t="s">
        <v>36</v>
      </c>
      <c r="W6116" s="2" t="s">
        <v>37</v>
      </c>
      <c r="X6116" s="2">
        <v>685.96500000000003</v>
      </c>
    </row>
    <row r="6117" spans="1:24" x14ac:dyDescent="0.3">
      <c r="A6117">
        <v>23937</v>
      </c>
      <c r="B6117" t="s">
        <v>5556</v>
      </c>
      <c r="C6117" s="3">
        <v>41688</v>
      </c>
      <c r="D6117" t="s">
        <v>62</v>
      </c>
      <c r="E6117">
        <v>5</v>
      </c>
      <c r="F6117" s="3">
        <f ca="1">41688+(RANDBETWEEN(1,10))</f>
        <v>41697</v>
      </c>
      <c r="G6117" t="s">
        <v>26</v>
      </c>
      <c r="H6117" t="s">
        <v>51</v>
      </c>
      <c r="I6117" t="s">
        <v>97</v>
      </c>
      <c r="J6117">
        <v>561.61</v>
      </c>
      <c r="K6117">
        <v>0.01</v>
      </c>
      <c r="L6117">
        <v>0.42</v>
      </c>
      <c r="M6117">
        <v>6.9649999999999999</v>
      </c>
      <c r="N6117">
        <v>387.51089999999999</v>
      </c>
      <c r="O6117" s="1" t="s">
        <v>225</v>
      </c>
      <c r="P6117" s="1" t="s">
        <v>12032</v>
      </c>
      <c r="Q6117" s="1" t="s">
        <v>12033</v>
      </c>
      <c r="R6117" s="1" t="s">
        <v>228</v>
      </c>
      <c r="S6117" s="1" t="s">
        <v>12034</v>
      </c>
      <c r="T6117" s="1" t="s">
        <v>12035</v>
      </c>
      <c r="U6117" s="2" t="s">
        <v>1226</v>
      </c>
      <c r="V6117" s="2" t="s">
        <v>36</v>
      </c>
      <c r="W6117" s="2" t="s">
        <v>60</v>
      </c>
      <c r="X6117" s="2">
        <v>111.23</v>
      </c>
    </row>
    <row r="6118" spans="1:24" x14ac:dyDescent="0.3">
      <c r="A6118">
        <v>23938</v>
      </c>
      <c r="B6118" t="s">
        <v>5556</v>
      </c>
      <c r="C6118" s="3">
        <v>41688</v>
      </c>
      <c r="D6118" t="s">
        <v>62</v>
      </c>
      <c r="E6118">
        <v>5</v>
      </c>
      <c r="F6118" s="3">
        <f ca="1">41689+(RANDBETWEEN(1,10))</f>
        <v>41691</v>
      </c>
      <c r="G6118" t="s">
        <v>26</v>
      </c>
      <c r="H6118" t="s">
        <v>281</v>
      </c>
      <c r="I6118" t="s">
        <v>97</v>
      </c>
      <c r="J6118">
        <v>497.875</v>
      </c>
      <c r="K6118">
        <v>0.02</v>
      </c>
      <c r="L6118">
        <v>0.57999999999999996</v>
      </c>
      <c r="M6118">
        <v>48.965000000000003</v>
      </c>
      <c r="N6118">
        <v>-327.11</v>
      </c>
      <c r="O6118" s="1" t="s">
        <v>225</v>
      </c>
      <c r="P6118" s="1" t="s">
        <v>12032</v>
      </c>
      <c r="Q6118" s="1" t="s">
        <v>12033</v>
      </c>
      <c r="R6118" s="1" t="s">
        <v>228</v>
      </c>
      <c r="S6118" s="1" t="s">
        <v>12034</v>
      </c>
      <c r="T6118" s="1" t="s">
        <v>12035</v>
      </c>
      <c r="U6118" s="2" t="s">
        <v>2573</v>
      </c>
      <c r="V6118" s="2" t="s">
        <v>47</v>
      </c>
      <c r="W6118" s="2" t="s">
        <v>119</v>
      </c>
      <c r="X6118" s="2">
        <v>98.98</v>
      </c>
    </row>
    <row r="6119" spans="1:24" x14ac:dyDescent="0.3">
      <c r="A6119">
        <v>23939</v>
      </c>
      <c r="B6119" t="s">
        <v>12598</v>
      </c>
      <c r="C6119" s="3">
        <v>41955</v>
      </c>
      <c r="D6119" t="s">
        <v>148</v>
      </c>
      <c r="E6119">
        <v>9</v>
      </c>
      <c r="F6119" s="3">
        <f ca="1">41957+(RANDBETWEEN(1,10))</f>
        <v>41960</v>
      </c>
      <c r="G6119" t="s">
        <v>156</v>
      </c>
      <c r="H6119" t="s">
        <v>63</v>
      </c>
      <c r="I6119" t="s">
        <v>52</v>
      </c>
      <c r="J6119">
        <v>2110.605</v>
      </c>
      <c r="K6119">
        <v>0.01</v>
      </c>
      <c r="L6119">
        <v>0.8</v>
      </c>
      <c r="M6119">
        <v>122.5</v>
      </c>
      <c r="N6119">
        <v>530.18727999999999</v>
      </c>
      <c r="O6119" s="1" t="s">
        <v>87</v>
      </c>
      <c r="P6119" s="1" t="s">
        <v>11348</v>
      </c>
      <c r="Q6119" s="1" t="s">
        <v>11349</v>
      </c>
      <c r="R6119" s="1" t="s">
        <v>398</v>
      </c>
      <c r="S6119" s="1" t="s">
        <v>11350</v>
      </c>
      <c r="T6119" s="1" t="s">
        <v>11351</v>
      </c>
      <c r="U6119" s="2" t="s">
        <v>3893</v>
      </c>
      <c r="V6119" s="2" t="s">
        <v>47</v>
      </c>
      <c r="W6119" s="2" t="s">
        <v>119</v>
      </c>
      <c r="X6119" s="2">
        <v>226.27500000000001</v>
      </c>
    </row>
    <row r="6120" spans="1:24" x14ac:dyDescent="0.3">
      <c r="A6120">
        <v>23940</v>
      </c>
      <c r="B6120" t="s">
        <v>12599</v>
      </c>
      <c r="C6120" s="3">
        <v>41567</v>
      </c>
      <c r="D6120" t="s">
        <v>62</v>
      </c>
      <c r="E6120">
        <v>5</v>
      </c>
      <c r="F6120" s="3">
        <f ca="1">41570+(RANDBETWEEN(1,10))</f>
        <v>41574</v>
      </c>
      <c r="G6120" t="s">
        <v>26</v>
      </c>
      <c r="H6120" t="s">
        <v>96</v>
      </c>
      <c r="I6120" t="s">
        <v>28</v>
      </c>
      <c r="J6120">
        <v>72.099999999999994</v>
      </c>
      <c r="K6120">
        <v>7.0000000000000007E-2</v>
      </c>
      <c r="L6120">
        <v>0.35</v>
      </c>
      <c r="M6120">
        <v>10.395</v>
      </c>
      <c r="N6120">
        <v>-40.219200000000001</v>
      </c>
      <c r="O6120" s="1" t="s">
        <v>87</v>
      </c>
      <c r="P6120" s="1" t="s">
        <v>12600</v>
      </c>
      <c r="Q6120" s="1" t="s">
        <v>12601</v>
      </c>
      <c r="R6120" s="1" t="s">
        <v>90</v>
      </c>
      <c r="S6120" s="1" t="s">
        <v>5001</v>
      </c>
      <c r="T6120" s="1" t="s">
        <v>5002</v>
      </c>
      <c r="U6120" s="2" t="s">
        <v>3164</v>
      </c>
      <c r="V6120" s="2" t="s">
        <v>47</v>
      </c>
      <c r="W6120" s="2" t="s">
        <v>74</v>
      </c>
      <c r="X6120" s="2">
        <v>13.93</v>
      </c>
    </row>
    <row r="6121" spans="1:24" x14ac:dyDescent="0.3">
      <c r="A6121">
        <v>23941</v>
      </c>
      <c r="B6121" t="s">
        <v>12602</v>
      </c>
      <c r="C6121" s="3">
        <v>41258</v>
      </c>
      <c r="D6121" t="s">
        <v>39</v>
      </c>
      <c r="E6121">
        <v>16</v>
      </c>
      <c r="F6121" s="3">
        <f ca="1">41261+(RANDBETWEEN(1,10))</f>
        <v>41262</v>
      </c>
      <c r="G6121" t="s">
        <v>26</v>
      </c>
      <c r="H6121" t="s">
        <v>27</v>
      </c>
      <c r="I6121" t="s">
        <v>52</v>
      </c>
      <c r="J6121">
        <v>7053.8649999999998</v>
      </c>
      <c r="K6121">
        <v>0.05</v>
      </c>
      <c r="L6121">
        <v>0.55000000000000004</v>
      </c>
      <c r="M6121">
        <v>13.65</v>
      </c>
      <c r="N6121">
        <v>4867.1668499999996</v>
      </c>
      <c r="O6121" s="1" t="s">
        <v>40</v>
      </c>
      <c r="P6121" s="1" t="s">
        <v>2107</v>
      </c>
      <c r="Q6121" s="1" t="s">
        <v>2108</v>
      </c>
      <c r="R6121" s="1" t="s">
        <v>43</v>
      </c>
      <c r="S6121" s="1" t="s">
        <v>2109</v>
      </c>
      <c r="T6121" s="1" t="s">
        <v>2110</v>
      </c>
      <c r="U6121" s="2" t="s">
        <v>1983</v>
      </c>
      <c r="V6121" s="2" t="s">
        <v>36</v>
      </c>
      <c r="W6121" s="2" t="s">
        <v>37</v>
      </c>
      <c r="X6121" s="2">
        <v>545.96500000000003</v>
      </c>
    </row>
    <row r="6122" spans="1:24" x14ac:dyDescent="0.3">
      <c r="A6122">
        <v>23942</v>
      </c>
      <c r="B6122" t="s">
        <v>12603</v>
      </c>
      <c r="C6122" s="3">
        <v>41789</v>
      </c>
      <c r="D6122" t="s">
        <v>50</v>
      </c>
      <c r="E6122">
        <v>16</v>
      </c>
      <c r="F6122" s="3">
        <f ca="1">41790+(RANDBETWEEN(1,10))</f>
        <v>41791</v>
      </c>
      <c r="G6122" t="s">
        <v>26</v>
      </c>
      <c r="H6122" t="s">
        <v>281</v>
      </c>
      <c r="I6122" t="s">
        <v>86</v>
      </c>
      <c r="J6122">
        <v>1373.645</v>
      </c>
      <c r="K6122">
        <v>0.03</v>
      </c>
      <c r="L6122">
        <v>0.56000000000000005</v>
      </c>
      <c r="M6122">
        <v>30.065000000000001</v>
      </c>
      <c r="N6122">
        <v>165.9735</v>
      </c>
      <c r="O6122" s="1" t="s">
        <v>87</v>
      </c>
      <c r="P6122" s="1" t="s">
        <v>6318</v>
      </c>
      <c r="Q6122" s="1" t="s">
        <v>6319</v>
      </c>
      <c r="R6122" s="1" t="s">
        <v>646</v>
      </c>
      <c r="S6122" s="1" t="s">
        <v>6320</v>
      </c>
      <c r="T6122" s="1" t="s">
        <v>6321</v>
      </c>
      <c r="U6122" s="2" t="s">
        <v>5362</v>
      </c>
      <c r="V6122" s="2" t="s">
        <v>36</v>
      </c>
      <c r="W6122" s="2" t="s">
        <v>37</v>
      </c>
      <c r="X6122" s="2">
        <v>101.465</v>
      </c>
    </row>
    <row r="6123" spans="1:24" x14ac:dyDescent="0.3">
      <c r="A6123">
        <v>23943</v>
      </c>
      <c r="B6123" t="s">
        <v>12603</v>
      </c>
      <c r="C6123" s="3">
        <v>41789</v>
      </c>
      <c r="D6123" t="s">
        <v>50</v>
      </c>
      <c r="E6123">
        <v>12</v>
      </c>
      <c r="F6123" s="3">
        <f ca="1">41792+(RANDBETWEEN(1,10))</f>
        <v>41802</v>
      </c>
      <c r="G6123" t="s">
        <v>26</v>
      </c>
      <c r="H6123" t="s">
        <v>281</v>
      </c>
      <c r="I6123" t="s">
        <v>86</v>
      </c>
      <c r="J6123">
        <v>437.5</v>
      </c>
      <c r="K6123">
        <v>0</v>
      </c>
      <c r="L6123">
        <v>0.48</v>
      </c>
      <c r="M6123">
        <v>21.07</v>
      </c>
      <c r="N6123">
        <v>29.47</v>
      </c>
      <c r="O6123" s="1" t="s">
        <v>40</v>
      </c>
      <c r="P6123" s="1" t="s">
        <v>12604</v>
      </c>
      <c r="Q6123" s="1" t="s">
        <v>12605</v>
      </c>
      <c r="R6123" s="1" t="s">
        <v>220</v>
      </c>
      <c r="S6123" s="1" t="s">
        <v>1350</v>
      </c>
      <c r="T6123" s="1" t="s">
        <v>1351</v>
      </c>
      <c r="U6123" s="2" t="s">
        <v>3578</v>
      </c>
      <c r="V6123" s="2" t="s">
        <v>83</v>
      </c>
      <c r="W6123" s="2" t="s">
        <v>178</v>
      </c>
      <c r="X6123" s="2">
        <v>34.195</v>
      </c>
    </row>
    <row r="6124" spans="1:24" x14ac:dyDescent="0.3">
      <c r="A6124">
        <v>23944</v>
      </c>
      <c r="B6124" t="s">
        <v>12606</v>
      </c>
      <c r="C6124" s="3">
        <v>40997</v>
      </c>
      <c r="D6124" t="s">
        <v>39</v>
      </c>
      <c r="E6124">
        <v>1</v>
      </c>
      <c r="F6124" s="3">
        <f ca="1">40997+(RANDBETWEEN(1,10))</f>
        <v>40999</v>
      </c>
      <c r="G6124" t="s">
        <v>26</v>
      </c>
      <c r="H6124" t="s">
        <v>27</v>
      </c>
      <c r="I6124" t="s">
        <v>28</v>
      </c>
      <c r="J6124">
        <v>227.185</v>
      </c>
      <c r="K6124">
        <v>0.08</v>
      </c>
      <c r="L6124">
        <v>0.57999999999999996</v>
      </c>
      <c r="M6124">
        <v>3.4649999999999999</v>
      </c>
      <c r="N6124">
        <v>-44.87</v>
      </c>
      <c r="O6124" s="1" t="s">
        <v>40</v>
      </c>
      <c r="P6124" s="1" t="s">
        <v>7490</v>
      </c>
      <c r="Q6124" s="1" t="s">
        <v>7491</v>
      </c>
      <c r="R6124" s="1" t="s">
        <v>43</v>
      </c>
      <c r="S6124" s="1" t="s">
        <v>7492</v>
      </c>
      <c r="T6124" s="1" t="s">
        <v>7493</v>
      </c>
      <c r="U6124" s="2" t="s">
        <v>8304</v>
      </c>
      <c r="V6124" s="2" t="s">
        <v>47</v>
      </c>
      <c r="W6124" s="2" t="s">
        <v>71</v>
      </c>
      <c r="X6124" s="2">
        <v>237.44</v>
      </c>
    </row>
    <row r="6125" spans="1:24" x14ac:dyDescent="0.3">
      <c r="A6125">
        <v>23945</v>
      </c>
      <c r="B6125" t="s">
        <v>12606</v>
      </c>
      <c r="C6125" s="3">
        <v>40997</v>
      </c>
      <c r="D6125" t="s">
        <v>39</v>
      </c>
      <c r="E6125">
        <v>8</v>
      </c>
      <c r="F6125" s="3">
        <f ca="1">41000+(RANDBETWEEN(1,10))</f>
        <v>41007</v>
      </c>
      <c r="G6125" t="s">
        <v>26</v>
      </c>
      <c r="H6125" t="s">
        <v>63</v>
      </c>
      <c r="I6125" t="s">
        <v>28</v>
      </c>
      <c r="J6125">
        <v>8040.3050000000003</v>
      </c>
      <c r="K6125">
        <v>0.04</v>
      </c>
      <c r="L6125" t="s">
        <v>182</v>
      </c>
      <c r="M6125">
        <v>85.715000000000003</v>
      </c>
      <c r="N6125">
        <v>5547.8104499999999</v>
      </c>
      <c r="O6125" s="1" t="s">
        <v>53</v>
      </c>
      <c r="P6125" s="1" t="s">
        <v>12607</v>
      </c>
      <c r="Q6125" s="1" t="s">
        <v>12608</v>
      </c>
      <c r="R6125" s="1" t="s">
        <v>56</v>
      </c>
      <c r="S6125" s="1" t="s">
        <v>615</v>
      </c>
      <c r="T6125" s="1" t="s">
        <v>616</v>
      </c>
      <c r="U6125" s="2" t="s">
        <v>1520</v>
      </c>
      <c r="V6125" s="2" t="s">
        <v>83</v>
      </c>
      <c r="W6125" s="2" t="s">
        <v>84</v>
      </c>
      <c r="X6125" s="2">
        <v>966.7</v>
      </c>
    </row>
    <row r="6126" spans="1:24" x14ac:dyDescent="0.3">
      <c r="A6126">
        <v>23946</v>
      </c>
      <c r="B6126" t="s">
        <v>12609</v>
      </c>
      <c r="C6126" s="3">
        <v>41354</v>
      </c>
      <c r="D6126" t="s">
        <v>62</v>
      </c>
      <c r="E6126">
        <v>13</v>
      </c>
      <c r="F6126" s="3">
        <f ca="1">41356+(RANDBETWEEN(1,10))</f>
        <v>41359</v>
      </c>
      <c r="G6126" t="s">
        <v>26</v>
      </c>
      <c r="H6126" t="s">
        <v>27</v>
      </c>
      <c r="I6126" t="s">
        <v>86</v>
      </c>
      <c r="J6126">
        <v>109.76</v>
      </c>
      <c r="K6126">
        <v>0.08</v>
      </c>
      <c r="L6126">
        <v>0.39</v>
      </c>
      <c r="M6126">
        <v>1.75</v>
      </c>
      <c r="N6126">
        <v>75.734399999999994</v>
      </c>
      <c r="O6126" s="1" t="s">
        <v>87</v>
      </c>
      <c r="P6126" s="1" t="s">
        <v>12610</v>
      </c>
      <c r="Q6126" s="1" t="s">
        <v>12611</v>
      </c>
      <c r="R6126" s="1" t="s">
        <v>398</v>
      </c>
      <c r="S6126" s="1" t="s">
        <v>581</v>
      </c>
      <c r="T6126" s="1" t="s">
        <v>582</v>
      </c>
      <c r="U6126" s="2" t="s">
        <v>1726</v>
      </c>
      <c r="V6126" s="2" t="s">
        <v>47</v>
      </c>
      <c r="W6126" s="2" t="s">
        <v>203</v>
      </c>
      <c r="X6126" s="2">
        <v>9.1349999999999998</v>
      </c>
    </row>
    <row r="6127" spans="1:24" x14ac:dyDescent="0.3">
      <c r="A6127">
        <v>23947</v>
      </c>
      <c r="B6127" t="s">
        <v>12612</v>
      </c>
      <c r="C6127" s="3">
        <v>41418</v>
      </c>
      <c r="D6127" t="s">
        <v>25</v>
      </c>
      <c r="E6127">
        <v>18</v>
      </c>
      <c r="F6127" s="3">
        <f ca="1">41425+(RANDBETWEEN(1,10))</f>
        <v>41431</v>
      </c>
      <c r="G6127" t="s">
        <v>26</v>
      </c>
      <c r="H6127" t="s">
        <v>51</v>
      </c>
      <c r="I6127" t="s">
        <v>97</v>
      </c>
      <c r="J6127">
        <v>780.53499999999997</v>
      </c>
      <c r="K6127">
        <v>0.03</v>
      </c>
      <c r="L6127">
        <v>0.55000000000000004</v>
      </c>
      <c r="M6127">
        <v>9.9749999999999996</v>
      </c>
      <c r="N6127">
        <v>-581.82600000000002</v>
      </c>
      <c r="O6127" s="1" t="s">
        <v>29</v>
      </c>
      <c r="P6127" s="1" t="s">
        <v>10618</v>
      </c>
      <c r="Q6127" s="1" t="s">
        <v>10619</v>
      </c>
      <c r="R6127" s="1" t="s">
        <v>32</v>
      </c>
      <c r="S6127" s="1" t="s">
        <v>3101</v>
      </c>
      <c r="T6127" s="1" t="s">
        <v>3102</v>
      </c>
      <c r="U6127" s="2" t="s">
        <v>3256</v>
      </c>
      <c r="V6127" s="2" t="s">
        <v>83</v>
      </c>
      <c r="W6127" s="2" t="s">
        <v>178</v>
      </c>
      <c r="X6127" s="2">
        <v>42.77</v>
      </c>
    </row>
    <row r="6128" spans="1:24" x14ac:dyDescent="0.3">
      <c r="A6128">
        <v>23948</v>
      </c>
      <c r="B6128" t="s">
        <v>12612</v>
      </c>
      <c r="C6128" s="3">
        <v>41418</v>
      </c>
      <c r="D6128" t="s">
        <v>25</v>
      </c>
      <c r="E6128">
        <v>11</v>
      </c>
      <c r="F6128" s="3">
        <f ca="1">41425+(RANDBETWEEN(1,10))</f>
        <v>41431</v>
      </c>
      <c r="G6128" t="s">
        <v>26</v>
      </c>
      <c r="H6128" t="s">
        <v>27</v>
      </c>
      <c r="I6128" t="s">
        <v>97</v>
      </c>
      <c r="J6128">
        <v>252.52500000000001</v>
      </c>
      <c r="K6128">
        <v>0.02</v>
      </c>
      <c r="L6128">
        <v>0.37</v>
      </c>
      <c r="M6128">
        <v>20.440000000000001</v>
      </c>
      <c r="N6128">
        <v>-328.95170000000002</v>
      </c>
      <c r="O6128" s="1" t="s">
        <v>29</v>
      </c>
      <c r="P6128" s="1" t="s">
        <v>10618</v>
      </c>
      <c r="Q6128" s="1" t="s">
        <v>10619</v>
      </c>
      <c r="R6128" s="1" t="s">
        <v>32</v>
      </c>
      <c r="S6128" s="1" t="s">
        <v>3101</v>
      </c>
      <c r="T6128" s="1" t="s">
        <v>3102</v>
      </c>
      <c r="U6128" s="2" t="s">
        <v>8568</v>
      </c>
      <c r="V6128" s="2" t="s">
        <v>47</v>
      </c>
      <c r="W6128" s="2" t="s">
        <v>74</v>
      </c>
      <c r="X6128" s="2">
        <v>22.68</v>
      </c>
    </row>
    <row r="6129" spans="1:24" x14ac:dyDescent="0.3">
      <c r="A6129">
        <v>23949</v>
      </c>
      <c r="B6129" t="s">
        <v>12613</v>
      </c>
      <c r="C6129" s="3">
        <v>41730</v>
      </c>
      <c r="D6129" t="s">
        <v>50</v>
      </c>
      <c r="E6129">
        <v>6</v>
      </c>
      <c r="F6129" s="3">
        <f ca="1">41731+(RANDBETWEEN(1,10))</f>
        <v>41739</v>
      </c>
      <c r="G6129" t="s">
        <v>156</v>
      </c>
      <c r="H6129" t="s">
        <v>27</v>
      </c>
      <c r="I6129" t="s">
        <v>28</v>
      </c>
      <c r="J6129">
        <v>242.23500000000001</v>
      </c>
      <c r="K6129">
        <v>0.09</v>
      </c>
      <c r="L6129">
        <v>0.4</v>
      </c>
      <c r="M6129">
        <v>25.164999999999999</v>
      </c>
      <c r="N6129">
        <v>-116.1615</v>
      </c>
      <c r="O6129" s="1" t="s">
        <v>29</v>
      </c>
      <c r="P6129" s="1" t="s">
        <v>11067</v>
      </c>
      <c r="Q6129" s="1" t="s">
        <v>11068</v>
      </c>
      <c r="R6129" s="1" t="s">
        <v>32</v>
      </c>
      <c r="S6129" s="1" t="s">
        <v>1668</v>
      </c>
      <c r="T6129" s="1" t="s">
        <v>1669</v>
      </c>
      <c r="U6129" s="2" t="s">
        <v>1736</v>
      </c>
      <c r="V6129" s="2" t="s">
        <v>47</v>
      </c>
      <c r="W6129" s="2" t="s">
        <v>111</v>
      </c>
      <c r="X6129" s="2">
        <v>40.25</v>
      </c>
    </row>
    <row r="6130" spans="1:24" x14ac:dyDescent="0.3">
      <c r="A6130">
        <v>23950</v>
      </c>
      <c r="B6130" t="s">
        <v>12613</v>
      </c>
      <c r="C6130" s="3">
        <v>41730</v>
      </c>
      <c r="D6130" t="s">
        <v>50</v>
      </c>
      <c r="E6130">
        <v>4</v>
      </c>
      <c r="F6130" s="3">
        <f ca="1">41731+(RANDBETWEEN(1,10))</f>
        <v>41740</v>
      </c>
      <c r="G6130" t="s">
        <v>26</v>
      </c>
      <c r="H6130" t="s">
        <v>27</v>
      </c>
      <c r="I6130" t="s">
        <v>28</v>
      </c>
      <c r="J6130">
        <v>1348.55</v>
      </c>
      <c r="K6130">
        <v>0.1</v>
      </c>
      <c r="L6130">
        <v>0.46</v>
      </c>
      <c r="M6130">
        <v>25.13</v>
      </c>
      <c r="N6130">
        <v>828.13499999999999</v>
      </c>
      <c r="O6130" s="1" t="s">
        <v>29</v>
      </c>
      <c r="P6130" s="1" t="s">
        <v>11067</v>
      </c>
      <c r="Q6130" s="1" t="s">
        <v>11068</v>
      </c>
      <c r="R6130" s="1" t="s">
        <v>32</v>
      </c>
      <c r="S6130" s="1" t="s">
        <v>1668</v>
      </c>
      <c r="T6130" s="1" t="s">
        <v>1669</v>
      </c>
      <c r="U6130" s="2" t="s">
        <v>8699</v>
      </c>
      <c r="V6130" s="2" t="s">
        <v>36</v>
      </c>
      <c r="W6130" s="2" t="s">
        <v>60</v>
      </c>
      <c r="X6130" s="2">
        <v>353.39499999999998</v>
      </c>
    </row>
    <row r="6131" spans="1:24" x14ac:dyDescent="0.3">
      <c r="A6131">
        <v>23951</v>
      </c>
      <c r="B6131" t="s">
        <v>12613</v>
      </c>
      <c r="C6131" s="3">
        <v>41730</v>
      </c>
      <c r="D6131" t="s">
        <v>50</v>
      </c>
      <c r="E6131">
        <v>6</v>
      </c>
      <c r="F6131" s="3">
        <f ca="1">41731+(RANDBETWEEN(1,10))</f>
        <v>41741</v>
      </c>
      <c r="G6131" t="s">
        <v>26</v>
      </c>
      <c r="H6131" t="s">
        <v>27</v>
      </c>
      <c r="I6131" t="s">
        <v>28</v>
      </c>
      <c r="J6131">
        <v>2088.2049999999999</v>
      </c>
      <c r="K6131">
        <v>7.0000000000000007E-2</v>
      </c>
      <c r="L6131">
        <v>0.52</v>
      </c>
      <c r="M6131">
        <v>69.965000000000003</v>
      </c>
      <c r="N6131">
        <v>810.21500000000003</v>
      </c>
      <c r="O6131" s="1" t="s">
        <v>29</v>
      </c>
      <c r="P6131" s="1" t="s">
        <v>11067</v>
      </c>
      <c r="Q6131" s="1" t="s">
        <v>11068</v>
      </c>
      <c r="R6131" s="1" t="s">
        <v>32</v>
      </c>
      <c r="S6131" s="1" t="s">
        <v>1668</v>
      </c>
      <c r="T6131" s="1" t="s">
        <v>1669</v>
      </c>
      <c r="U6131" s="2" t="s">
        <v>4088</v>
      </c>
      <c r="V6131" s="2" t="s">
        <v>36</v>
      </c>
      <c r="W6131" s="2" t="s">
        <v>142</v>
      </c>
      <c r="X6131" s="2">
        <v>349.96499999999997</v>
      </c>
    </row>
    <row r="6132" spans="1:24" x14ac:dyDescent="0.3">
      <c r="A6132">
        <v>23952</v>
      </c>
      <c r="B6132" t="s">
        <v>12614</v>
      </c>
      <c r="C6132" s="3">
        <v>41709</v>
      </c>
      <c r="D6132" t="s">
        <v>148</v>
      </c>
      <c r="E6132">
        <v>11</v>
      </c>
      <c r="F6132" s="3">
        <f ca="1">41711+(RANDBETWEEN(1,10))</f>
        <v>41716</v>
      </c>
      <c r="G6132" t="s">
        <v>26</v>
      </c>
      <c r="H6132" t="s">
        <v>27</v>
      </c>
      <c r="I6132" t="s">
        <v>86</v>
      </c>
      <c r="J6132">
        <v>1719.76</v>
      </c>
      <c r="K6132">
        <v>0.02</v>
      </c>
      <c r="L6132">
        <v>0.39</v>
      </c>
      <c r="M6132">
        <v>10.465</v>
      </c>
      <c r="N6132">
        <v>-4711.36715</v>
      </c>
      <c r="O6132" s="1" t="s">
        <v>40</v>
      </c>
      <c r="P6132" s="1" t="s">
        <v>10957</v>
      </c>
      <c r="Q6132" s="1" t="s">
        <v>10958</v>
      </c>
      <c r="R6132" s="1" t="s">
        <v>220</v>
      </c>
      <c r="S6132" s="1" t="s">
        <v>7623</v>
      </c>
      <c r="T6132" s="1" t="s">
        <v>7624</v>
      </c>
      <c r="U6132" s="2" t="s">
        <v>2837</v>
      </c>
      <c r="V6132" s="2" t="s">
        <v>47</v>
      </c>
      <c r="W6132" s="2" t="s">
        <v>111</v>
      </c>
      <c r="X6132" s="2">
        <v>151.935</v>
      </c>
    </row>
    <row r="6133" spans="1:24" x14ac:dyDescent="0.3">
      <c r="A6133">
        <v>23953</v>
      </c>
      <c r="B6133" t="s">
        <v>12614</v>
      </c>
      <c r="C6133" s="3">
        <v>41709</v>
      </c>
      <c r="D6133" t="s">
        <v>148</v>
      </c>
      <c r="E6133">
        <v>5</v>
      </c>
      <c r="F6133" s="3">
        <f ca="1">41711+(RANDBETWEEN(1,10))</f>
        <v>41719</v>
      </c>
      <c r="G6133" t="s">
        <v>26</v>
      </c>
      <c r="H6133" t="s">
        <v>27</v>
      </c>
      <c r="I6133" t="s">
        <v>86</v>
      </c>
      <c r="J6133">
        <v>133.80500000000001</v>
      </c>
      <c r="K6133">
        <v>0.05</v>
      </c>
      <c r="L6133">
        <v>0.38</v>
      </c>
      <c r="M6133">
        <v>20.86</v>
      </c>
      <c r="N6133">
        <v>76.082999999999998</v>
      </c>
      <c r="O6133" s="1" t="s">
        <v>40</v>
      </c>
      <c r="P6133" s="1" t="s">
        <v>10957</v>
      </c>
      <c r="Q6133" s="1" t="s">
        <v>10958</v>
      </c>
      <c r="R6133" s="1" t="s">
        <v>220</v>
      </c>
      <c r="S6133" s="1" t="s">
        <v>7623</v>
      </c>
      <c r="T6133" s="1" t="s">
        <v>7624</v>
      </c>
      <c r="U6133" s="2" t="s">
        <v>2322</v>
      </c>
      <c r="V6133" s="2" t="s">
        <v>47</v>
      </c>
      <c r="W6133" s="2" t="s">
        <v>74</v>
      </c>
      <c r="X6133" s="2">
        <v>25.725000000000001</v>
      </c>
    </row>
    <row r="6134" spans="1:24" x14ac:dyDescent="0.3">
      <c r="A6134">
        <v>23954</v>
      </c>
      <c r="B6134" t="s">
        <v>12615</v>
      </c>
      <c r="C6134" s="3">
        <v>41755</v>
      </c>
      <c r="D6134" t="s">
        <v>50</v>
      </c>
      <c r="E6134">
        <v>10</v>
      </c>
      <c r="F6134" s="3">
        <f ca="1">41756+(RANDBETWEEN(1,10))</f>
        <v>41758</v>
      </c>
      <c r="G6134" t="s">
        <v>26</v>
      </c>
      <c r="H6134" t="s">
        <v>27</v>
      </c>
      <c r="I6134" t="s">
        <v>28</v>
      </c>
      <c r="J6134">
        <v>2677.8150000000001</v>
      </c>
      <c r="K6134">
        <v>7.0000000000000007E-2</v>
      </c>
      <c r="L6134">
        <v>0.76</v>
      </c>
      <c r="M6134">
        <v>14</v>
      </c>
      <c r="N6134">
        <v>819.10500000000002</v>
      </c>
      <c r="O6134" s="1" t="s">
        <v>29</v>
      </c>
      <c r="P6134" s="1" t="s">
        <v>6343</v>
      </c>
      <c r="Q6134" s="1" t="s">
        <v>6344</v>
      </c>
      <c r="R6134" s="1" t="s">
        <v>32</v>
      </c>
      <c r="S6134" s="1" t="s">
        <v>6103</v>
      </c>
      <c r="T6134" s="1" t="s">
        <v>6104</v>
      </c>
      <c r="U6134" s="2" t="s">
        <v>8145</v>
      </c>
      <c r="V6134" s="2" t="s">
        <v>36</v>
      </c>
      <c r="W6134" s="2" t="s">
        <v>60</v>
      </c>
      <c r="X6134" s="2">
        <v>271.28500000000003</v>
      </c>
    </row>
    <row r="6135" spans="1:24" x14ac:dyDescent="0.3">
      <c r="A6135">
        <v>23955</v>
      </c>
      <c r="B6135" t="s">
        <v>12615</v>
      </c>
      <c r="C6135" s="3">
        <v>41755</v>
      </c>
      <c r="D6135" t="s">
        <v>50</v>
      </c>
      <c r="E6135">
        <v>1</v>
      </c>
      <c r="F6135" s="3">
        <f ca="1">41757+(RANDBETWEEN(1,10))</f>
        <v>41765</v>
      </c>
      <c r="G6135" t="s">
        <v>26</v>
      </c>
      <c r="H6135" t="s">
        <v>96</v>
      </c>
      <c r="I6135" t="s">
        <v>28</v>
      </c>
      <c r="J6135">
        <v>17.71</v>
      </c>
      <c r="K6135">
        <v>0.05</v>
      </c>
      <c r="L6135">
        <v>0.52</v>
      </c>
      <c r="M6135">
        <v>2.4849999999999999</v>
      </c>
      <c r="N6135">
        <v>-1.75</v>
      </c>
      <c r="O6135" s="1" t="s">
        <v>29</v>
      </c>
      <c r="P6135" s="1" t="s">
        <v>6343</v>
      </c>
      <c r="Q6135" s="1" t="s">
        <v>6344</v>
      </c>
      <c r="R6135" s="1" t="s">
        <v>32</v>
      </c>
      <c r="S6135" s="1" t="s">
        <v>6103</v>
      </c>
      <c r="T6135" s="1" t="s">
        <v>6104</v>
      </c>
      <c r="U6135" s="2" t="s">
        <v>2636</v>
      </c>
      <c r="V6135" s="2" t="s">
        <v>47</v>
      </c>
      <c r="W6135" s="2" t="s">
        <v>104</v>
      </c>
      <c r="X6135" s="2">
        <v>16.940000000000001</v>
      </c>
    </row>
    <row r="6136" spans="1:24" x14ac:dyDescent="0.3">
      <c r="A6136">
        <v>23956</v>
      </c>
      <c r="B6136" t="s">
        <v>12616</v>
      </c>
      <c r="C6136" s="3">
        <v>41520</v>
      </c>
      <c r="D6136" t="s">
        <v>39</v>
      </c>
      <c r="E6136">
        <v>11</v>
      </c>
      <c r="F6136" s="3">
        <f ca="1">41522+(RANDBETWEEN(1,10))</f>
        <v>41524</v>
      </c>
      <c r="G6136" t="s">
        <v>26</v>
      </c>
      <c r="H6136" t="s">
        <v>27</v>
      </c>
      <c r="I6136" t="s">
        <v>97</v>
      </c>
      <c r="J6136">
        <v>3844.5749999999998</v>
      </c>
      <c r="K6136">
        <v>0.01</v>
      </c>
      <c r="L6136">
        <v>0.52</v>
      </c>
      <c r="M6136">
        <v>69.965000000000003</v>
      </c>
      <c r="N6136">
        <v>844.02499999999998</v>
      </c>
      <c r="O6136" s="1" t="s">
        <v>29</v>
      </c>
      <c r="P6136" s="1" t="s">
        <v>9335</v>
      </c>
      <c r="Q6136" s="1" t="s">
        <v>9336</v>
      </c>
      <c r="R6136" s="1" t="s">
        <v>32</v>
      </c>
      <c r="S6136" s="1" t="s">
        <v>33</v>
      </c>
      <c r="T6136" s="1" t="s">
        <v>9337</v>
      </c>
      <c r="U6136" s="2" t="s">
        <v>1438</v>
      </c>
      <c r="V6136" s="2" t="s">
        <v>36</v>
      </c>
      <c r="W6136" s="2" t="s">
        <v>60</v>
      </c>
      <c r="X6136" s="2">
        <v>349.96499999999997</v>
      </c>
    </row>
    <row r="6137" spans="1:24" x14ac:dyDescent="0.3">
      <c r="A6137">
        <v>23957</v>
      </c>
      <c r="B6137" t="s">
        <v>12616</v>
      </c>
      <c r="C6137" s="3">
        <v>41520</v>
      </c>
      <c r="D6137" t="s">
        <v>39</v>
      </c>
      <c r="E6137">
        <v>22</v>
      </c>
      <c r="F6137" s="3">
        <f ca="1">41522+(RANDBETWEEN(1,10))</f>
        <v>41530</v>
      </c>
      <c r="G6137" t="s">
        <v>156</v>
      </c>
      <c r="H6137" t="s">
        <v>96</v>
      </c>
      <c r="I6137" t="s">
        <v>97</v>
      </c>
      <c r="J6137">
        <v>870.1</v>
      </c>
      <c r="K6137">
        <v>0.1</v>
      </c>
      <c r="L6137">
        <v>0.52</v>
      </c>
      <c r="M6137">
        <v>21.7</v>
      </c>
      <c r="N6137">
        <v>-100.83499999999999</v>
      </c>
      <c r="O6137" s="1" t="s">
        <v>29</v>
      </c>
      <c r="P6137" s="1" t="s">
        <v>9335</v>
      </c>
      <c r="Q6137" s="1" t="s">
        <v>9336</v>
      </c>
      <c r="R6137" s="1" t="s">
        <v>32</v>
      </c>
      <c r="S6137" s="1" t="s">
        <v>33</v>
      </c>
      <c r="T6137" s="1" t="s">
        <v>9337</v>
      </c>
      <c r="U6137" s="2" t="s">
        <v>2413</v>
      </c>
      <c r="V6137" s="2" t="s">
        <v>83</v>
      </c>
      <c r="W6137" s="2" t="s">
        <v>178</v>
      </c>
      <c r="X6137" s="2">
        <v>42.244999999999997</v>
      </c>
    </row>
    <row r="6138" spans="1:24" x14ac:dyDescent="0.3">
      <c r="A6138">
        <v>23958</v>
      </c>
      <c r="B6138" t="s">
        <v>12617</v>
      </c>
      <c r="C6138" s="3">
        <v>40724</v>
      </c>
      <c r="D6138" t="s">
        <v>50</v>
      </c>
      <c r="E6138">
        <v>17</v>
      </c>
      <c r="F6138" s="3">
        <f ca="1">40725+(RANDBETWEEN(1,10))</f>
        <v>40731</v>
      </c>
      <c r="G6138" t="s">
        <v>156</v>
      </c>
      <c r="H6138" t="s">
        <v>27</v>
      </c>
      <c r="I6138" t="s">
        <v>97</v>
      </c>
      <c r="J6138">
        <v>1935.115</v>
      </c>
      <c r="K6138">
        <v>0.02</v>
      </c>
      <c r="L6138">
        <v>0.79</v>
      </c>
      <c r="M6138">
        <v>22.75</v>
      </c>
      <c r="N6138">
        <v>-156.184</v>
      </c>
      <c r="O6138" s="1" t="s">
        <v>87</v>
      </c>
      <c r="P6138" s="1" t="s">
        <v>10148</v>
      </c>
      <c r="Q6138" s="1" t="s">
        <v>10149</v>
      </c>
      <c r="R6138" s="1" t="s">
        <v>90</v>
      </c>
      <c r="S6138" s="1" t="s">
        <v>10150</v>
      </c>
      <c r="T6138" s="1" t="s">
        <v>4300</v>
      </c>
      <c r="U6138" s="2" t="s">
        <v>4252</v>
      </c>
      <c r="V6138" s="2" t="s">
        <v>36</v>
      </c>
      <c r="W6138" s="2" t="s">
        <v>60</v>
      </c>
      <c r="X6138" s="2">
        <v>108.43</v>
      </c>
    </row>
    <row r="6139" spans="1:24" x14ac:dyDescent="0.3">
      <c r="A6139">
        <v>23959</v>
      </c>
      <c r="B6139" t="s">
        <v>12618</v>
      </c>
      <c r="C6139" s="3">
        <v>41896</v>
      </c>
      <c r="D6139" t="s">
        <v>39</v>
      </c>
      <c r="E6139">
        <v>2</v>
      </c>
      <c r="F6139" s="3">
        <f ca="1">41898+(RANDBETWEEN(1,10))</f>
        <v>41905</v>
      </c>
      <c r="G6139" t="s">
        <v>26</v>
      </c>
      <c r="H6139" t="s">
        <v>27</v>
      </c>
      <c r="I6139" t="s">
        <v>52</v>
      </c>
      <c r="J6139">
        <v>63.805</v>
      </c>
      <c r="K6139">
        <v>0.1</v>
      </c>
      <c r="L6139">
        <v>0.39</v>
      </c>
      <c r="M6139">
        <v>10.465</v>
      </c>
      <c r="N6139">
        <v>-23.84732</v>
      </c>
      <c r="O6139" s="1" t="s">
        <v>40</v>
      </c>
      <c r="P6139" s="1" t="s">
        <v>4125</v>
      </c>
      <c r="Q6139" s="1" t="s">
        <v>4126</v>
      </c>
      <c r="R6139" s="1" t="s">
        <v>220</v>
      </c>
      <c r="S6139" s="1" t="s">
        <v>4127</v>
      </c>
      <c r="T6139" s="1" t="s">
        <v>4128</v>
      </c>
      <c r="U6139" s="2" t="s">
        <v>618</v>
      </c>
      <c r="V6139" s="2" t="s">
        <v>47</v>
      </c>
      <c r="W6139" s="2" t="s">
        <v>111</v>
      </c>
      <c r="X6139" s="2">
        <v>30.414999999999999</v>
      </c>
    </row>
    <row r="6140" spans="1:24" x14ac:dyDescent="0.3">
      <c r="A6140">
        <v>23960</v>
      </c>
      <c r="B6140" t="s">
        <v>12618</v>
      </c>
      <c r="C6140" s="3">
        <v>41896</v>
      </c>
      <c r="D6140" t="s">
        <v>39</v>
      </c>
      <c r="E6140">
        <v>10</v>
      </c>
      <c r="F6140" s="3">
        <f ca="1">41898+(RANDBETWEEN(1,10))</f>
        <v>41899</v>
      </c>
      <c r="G6140" t="s">
        <v>26</v>
      </c>
      <c r="H6140" t="s">
        <v>27</v>
      </c>
      <c r="I6140" t="s">
        <v>52</v>
      </c>
      <c r="J6140">
        <v>1425.48</v>
      </c>
      <c r="K6140">
        <v>0.06</v>
      </c>
      <c r="L6140">
        <v>0.56999999999999995</v>
      </c>
      <c r="M6140">
        <v>18.655000000000001</v>
      </c>
      <c r="N6140">
        <v>554.86620000000005</v>
      </c>
      <c r="O6140" s="1" t="s">
        <v>225</v>
      </c>
      <c r="P6140" s="1" t="s">
        <v>12619</v>
      </c>
      <c r="Q6140" s="1" t="s">
        <v>12620</v>
      </c>
      <c r="R6140" s="1" t="s">
        <v>228</v>
      </c>
      <c r="S6140" s="1" t="s">
        <v>12621</v>
      </c>
      <c r="T6140" s="1" t="s">
        <v>3996</v>
      </c>
      <c r="U6140" s="2" t="s">
        <v>1712</v>
      </c>
      <c r="V6140" s="2" t="s">
        <v>47</v>
      </c>
      <c r="W6140" s="2" t="s">
        <v>71</v>
      </c>
      <c r="X6140" s="2">
        <v>143.43</v>
      </c>
    </row>
    <row r="6141" spans="1:24" x14ac:dyDescent="0.3">
      <c r="A6141">
        <v>23961</v>
      </c>
      <c r="B6141" t="s">
        <v>12618</v>
      </c>
      <c r="C6141" s="3">
        <v>41896</v>
      </c>
      <c r="D6141" t="s">
        <v>39</v>
      </c>
      <c r="E6141">
        <v>9</v>
      </c>
      <c r="F6141" s="3">
        <f ca="1">41898+(RANDBETWEEN(1,10))</f>
        <v>41904</v>
      </c>
      <c r="G6141" t="s">
        <v>26</v>
      </c>
      <c r="H6141" t="s">
        <v>96</v>
      </c>
      <c r="I6141" t="s">
        <v>52</v>
      </c>
      <c r="J6141">
        <v>82.95</v>
      </c>
      <c r="K6141">
        <v>0.03</v>
      </c>
      <c r="L6141">
        <v>0.41</v>
      </c>
      <c r="M6141">
        <v>18.2</v>
      </c>
      <c r="N6141">
        <v>-202.95660000000001</v>
      </c>
      <c r="O6141" s="1" t="s">
        <v>225</v>
      </c>
      <c r="P6141" s="1" t="s">
        <v>12622</v>
      </c>
      <c r="Q6141" s="1" t="s">
        <v>12623</v>
      </c>
      <c r="R6141" s="1" t="s">
        <v>228</v>
      </c>
      <c r="S6141" s="1" t="s">
        <v>1285</v>
      </c>
      <c r="T6141" s="1" t="s">
        <v>1286</v>
      </c>
      <c r="U6141" s="2" t="s">
        <v>4780</v>
      </c>
      <c r="V6141" s="2" t="s">
        <v>47</v>
      </c>
      <c r="W6141" s="2" t="s">
        <v>104</v>
      </c>
      <c r="X6141" s="2">
        <v>7.98</v>
      </c>
    </row>
    <row r="6142" spans="1:24" x14ac:dyDescent="0.3">
      <c r="A6142">
        <v>23962</v>
      </c>
      <c r="B6142" t="s">
        <v>12624</v>
      </c>
      <c r="C6142" s="3">
        <v>41802</v>
      </c>
      <c r="D6142" t="s">
        <v>148</v>
      </c>
      <c r="E6142">
        <v>6</v>
      </c>
      <c r="F6142" s="3">
        <f ca="1">41805+(RANDBETWEEN(1,10))</f>
        <v>41807</v>
      </c>
      <c r="G6142" t="s">
        <v>26</v>
      </c>
      <c r="H6142" t="s">
        <v>27</v>
      </c>
      <c r="I6142" t="s">
        <v>86</v>
      </c>
      <c r="J6142">
        <v>104.965</v>
      </c>
      <c r="K6142">
        <v>0.09</v>
      </c>
      <c r="L6142">
        <v>0.42</v>
      </c>
      <c r="M6142">
        <v>24.85</v>
      </c>
      <c r="N6142">
        <v>-158.36799999999999</v>
      </c>
      <c r="O6142" s="1" t="s">
        <v>29</v>
      </c>
      <c r="P6142" s="1" t="s">
        <v>1606</v>
      </c>
      <c r="Q6142" s="1" t="s">
        <v>1607</v>
      </c>
      <c r="R6142" s="1" t="s">
        <v>675</v>
      </c>
      <c r="S6142" s="1" t="s">
        <v>1608</v>
      </c>
      <c r="T6142" s="1" t="s">
        <v>1609</v>
      </c>
      <c r="U6142" s="2" t="s">
        <v>12625</v>
      </c>
      <c r="V6142" s="2" t="s">
        <v>83</v>
      </c>
      <c r="W6142" s="2" t="s">
        <v>178</v>
      </c>
      <c r="X6142" s="2">
        <v>17.010000000000002</v>
      </c>
    </row>
    <row r="6143" spans="1:24" x14ac:dyDescent="0.3">
      <c r="A6143">
        <v>23963</v>
      </c>
      <c r="B6143" t="s">
        <v>12626</v>
      </c>
      <c r="C6143" s="3">
        <v>40761</v>
      </c>
      <c r="D6143" t="s">
        <v>25</v>
      </c>
      <c r="E6143">
        <v>18</v>
      </c>
      <c r="F6143" s="3">
        <f ca="1">40763+(RANDBETWEEN(1,10))</f>
        <v>40765</v>
      </c>
      <c r="G6143" t="s">
        <v>26</v>
      </c>
      <c r="H6143" t="s">
        <v>27</v>
      </c>
      <c r="I6143" t="s">
        <v>86</v>
      </c>
      <c r="J6143">
        <v>1312.605</v>
      </c>
      <c r="K6143">
        <v>0.01</v>
      </c>
      <c r="L6143">
        <v>0.57999999999999996</v>
      </c>
      <c r="M6143">
        <v>22.12</v>
      </c>
      <c r="N6143">
        <v>2489.3568</v>
      </c>
      <c r="O6143" s="1" t="s">
        <v>40</v>
      </c>
      <c r="P6143" s="1" t="s">
        <v>10177</v>
      </c>
      <c r="Q6143" s="1" t="s">
        <v>10178</v>
      </c>
      <c r="R6143" s="1" t="s">
        <v>220</v>
      </c>
      <c r="S6143" s="1" t="s">
        <v>10179</v>
      </c>
      <c r="T6143" s="1" t="s">
        <v>10180</v>
      </c>
      <c r="U6143" s="2" t="s">
        <v>3298</v>
      </c>
      <c r="V6143" s="2" t="s">
        <v>47</v>
      </c>
      <c r="W6143" s="2" t="s">
        <v>71</v>
      </c>
      <c r="X6143" s="2">
        <v>71.680000000000007</v>
      </c>
    </row>
    <row r="6144" spans="1:24" x14ac:dyDescent="0.3">
      <c r="A6144">
        <v>23964</v>
      </c>
      <c r="B6144" t="s">
        <v>12626</v>
      </c>
      <c r="C6144" s="3">
        <v>40761</v>
      </c>
      <c r="D6144" t="s">
        <v>25</v>
      </c>
      <c r="E6144">
        <v>12</v>
      </c>
      <c r="F6144" s="3">
        <f ca="1">40766+(RANDBETWEEN(1,10))</f>
        <v>40768</v>
      </c>
      <c r="G6144" t="s">
        <v>26</v>
      </c>
      <c r="H6144" t="s">
        <v>96</v>
      </c>
      <c r="I6144" t="s">
        <v>86</v>
      </c>
      <c r="J6144">
        <v>77.385000000000005</v>
      </c>
      <c r="K6144">
        <v>0.09</v>
      </c>
      <c r="L6144">
        <v>0.82</v>
      </c>
      <c r="M6144">
        <v>9.0299999999999994</v>
      </c>
      <c r="N6144">
        <v>-3796.9643704999999</v>
      </c>
      <c r="O6144" s="1" t="s">
        <v>40</v>
      </c>
      <c r="P6144" s="1" t="s">
        <v>10177</v>
      </c>
      <c r="Q6144" s="1" t="s">
        <v>10178</v>
      </c>
      <c r="R6144" s="1" t="s">
        <v>220</v>
      </c>
      <c r="S6144" s="1" t="s">
        <v>10179</v>
      </c>
      <c r="T6144" s="1" t="s">
        <v>10180</v>
      </c>
      <c r="U6144" s="2" t="s">
        <v>456</v>
      </c>
      <c r="V6144" s="2" t="s">
        <v>47</v>
      </c>
      <c r="W6144" s="2" t="s">
        <v>176</v>
      </c>
      <c r="X6144" s="2">
        <v>6.51</v>
      </c>
    </row>
    <row r="6145" spans="1:24" x14ac:dyDescent="0.3">
      <c r="A6145">
        <v>23965</v>
      </c>
      <c r="B6145" t="s">
        <v>12626</v>
      </c>
      <c r="C6145" s="3">
        <v>40761</v>
      </c>
      <c r="D6145" t="s">
        <v>25</v>
      </c>
      <c r="E6145">
        <v>17</v>
      </c>
      <c r="F6145" s="3">
        <f ca="1">40766+(RANDBETWEEN(1,10))</f>
        <v>40773</v>
      </c>
      <c r="G6145" t="s">
        <v>26</v>
      </c>
      <c r="H6145" t="s">
        <v>27</v>
      </c>
      <c r="I6145" t="s">
        <v>86</v>
      </c>
      <c r="J6145">
        <v>10063.725</v>
      </c>
      <c r="K6145">
        <v>0.08</v>
      </c>
      <c r="L6145">
        <v>0.59</v>
      </c>
      <c r="M6145">
        <v>8.75</v>
      </c>
      <c r="N6145">
        <v>-548.702</v>
      </c>
      <c r="O6145" s="1" t="s">
        <v>40</v>
      </c>
      <c r="P6145" s="1" t="s">
        <v>10177</v>
      </c>
      <c r="Q6145" s="1" t="s">
        <v>10178</v>
      </c>
      <c r="R6145" s="1" t="s">
        <v>220</v>
      </c>
      <c r="S6145" s="1" t="s">
        <v>10179</v>
      </c>
      <c r="T6145" s="1" t="s">
        <v>10180</v>
      </c>
      <c r="U6145" s="2" t="s">
        <v>5038</v>
      </c>
      <c r="V6145" s="2" t="s">
        <v>36</v>
      </c>
      <c r="W6145" s="2" t="s">
        <v>37</v>
      </c>
      <c r="X6145" s="2">
        <v>720.96500000000003</v>
      </c>
    </row>
    <row r="6146" spans="1:24" x14ac:dyDescent="0.3">
      <c r="A6146">
        <v>23966</v>
      </c>
      <c r="B6146" t="s">
        <v>12627</v>
      </c>
      <c r="C6146" s="3">
        <v>40745</v>
      </c>
      <c r="D6146" t="s">
        <v>62</v>
      </c>
      <c r="E6146">
        <v>6</v>
      </c>
      <c r="F6146" s="3">
        <f ca="1">40746+(RANDBETWEEN(1,10))</f>
        <v>40751</v>
      </c>
      <c r="G6146" t="s">
        <v>26</v>
      </c>
      <c r="H6146" t="s">
        <v>27</v>
      </c>
      <c r="I6146" t="s">
        <v>52</v>
      </c>
      <c r="J6146">
        <v>3529.855</v>
      </c>
      <c r="K6146">
        <v>0.04</v>
      </c>
      <c r="L6146">
        <v>0.56000000000000005</v>
      </c>
      <c r="M6146">
        <v>31.465</v>
      </c>
      <c r="N6146">
        <v>3363.444</v>
      </c>
      <c r="O6146" s="1" t="s">
        <v>53</v>
      </c>
      <c r="P6146" s="1" t="s">
        <v>9481</v>
      </c>
      <c r="Q6146" s="1" t="s">
        <v>9482</v>
      </c>
      <c r="R6146" s="1" t="s">
        <v>440</v>
      </c>
      <c r="S6146" s="1" t="s">
        <v>9483</v>
      </c>
      <c r="T6146" s="1" t="s">
        <v>9484</v>
      </c>
      <c r="U6146" s="2" t="s">
        <v>4735</v>
      </c>
      <c r="V6146" s="2" t="s">
        <v>36</v>
      </c>
      <c r="W6146" s="2" t="s">
        <v>37</v>
      </c>
      <c r="X6146" s="2">
        <v>720.96500000000003</v>
      </c>
    </row>
    <row r="6147" spans="1:24" x14ac:dyDescent="0.3">
      <c r="A6147">
        <v>23967</v>
      </c>
      <c r="B6147" t="s">
        <v>12628</v>
      </c>
      <c r="C6147" s="3">
        <v>40849</v>
      </c>
      <c r="D6147" t="s">
        <v>50</v>
      </c>
      <c r="E6147">
        <v>12</v>
      </c>
      <c r="F6147" s="3">
        <f ca="1">40851+(RANDBETWEEN(1,10))</f>
        <v>40852</v>
      </c>
      <c r="G6147" t="s">
        <v>26</v>
      </c>
      <c r="H6147" t="s">
        <v>27</v>
      </c>
      <c r="I6147" t="s">
        <v>28</v>
      </c>
      <c r="J6147">
        <v>191.73</v>
      </c>
      <c r="K6147">
        <v>0.04</v>
      </c>
      <c r="L6147">
        <v>0.49</v>
      </c>
      <c r="M6147">
        <v>23.1</v>
      </c>
      <c r="N6147">
        <v>31.129000000000001</v>
      </c>
      <c r="O6147" s="1" t="s">
        <v>64</v>
      </c>
      <c r="P6147" s="1" t="s">
        <v>12007</v>
      </c>
      <c r="Q6147" s="1" t="s">
        <v>12008</v>
      </c>
      <c r="R6147" s="1" t="s">
        <v>128</v>
      </c>
      <c r="S6147" s="1" t="s">
        <v>12009</v>
      </c>
      <c r="T6147" s="1" t="s">
        <v>12010</v>
      </c>
      <c r="U6147" s="2" t="s">
        <v>5685</v>
      </c>
      <c r="V6147" s="2" t="s">
        <v>83</v>
      </c>
      <c r="W6147" s="2" t="s">
        <v>178</v>
      </c>
      <c r="X6147" s="2">
        <v>14.49</v>
      </c>
    </row>
    <row r="6148" spans="1:24" x14ac:dyDescent="0.3">
      <c r="A6148">
        <v>23968</v>
      </c>
      <c r="B6148" t="s">
        <v>12629</v>
      </c>
      <c r="C6148" s="3">
        <v>41945</v>
      </c>
      <c r="D6148" t="s">
        <v>50</v>
      </c>
      <c r="E6148">
        <v>29</v>
      </c>
      <c r="F6148" s="3">
        <f ca="1">41947+(RANDBETWEEN(1,10))</f>
        <v>41950</v>
      </c>
      <c r="G6148" t="s">
        <v>26</v>
      </c>
      <c r="H6148" t="s">
        <v>27</v>
      </c>
      <c r="I6148" t="s">
        <v>28</v>
      </c>
      <c r="J6148">
        <v>6055.14</v>
      </c>
      <c r="K6148">
        <v>0.01</v>
      </c>
      <c r="L6148">
        <v>0.59</v>
      </c>
      <c r="M6148">
        <v>31.465</v>
      </c>
      <c r="N6148">
        <v>2967.8029919999999</v>
      </c>
      <c r="O6148" s="1" t="s">
        <v>64</v>
      </c>
      <c r="P6148" s="1" t="s">
        <v>12007</v>
      </c>
      <c r="Q6148" s="1" t="s">
        <v>12008</v>
      </c>
      <c r="R6148" s="1" t="s">
        <v>128</v>
      </c>
      <c r="S6148" s="1" t="s">
        <v>12009</v>
      </c>
      <c r="T6148" s="1" t="s">
        <v>12010</v>
      </c>
      <c r="U6148" s="2" t="s">
        <v>1359</v>
      </c>
      <c r="V6148" s="2" t="s">
        <v>36</v>
      </c>
      <c r="W6148" s="2" t="s">
        <v>37</v>
      </c>
      <c r="X6148" s="2">
        <v>230.965</v>
      </c>
    </row>
    <row r="6149" spans="1:24" x14ac:dyDescent="0.3">
      <c r="A6149">
        <v>23969</v>
      </c>
      <c r="B6149" t="s">
        <v>12630</v>
      </c>
      <c r="C6149" s="3">
        <v>41682</v>
      </c>
      <c r="D6149" t="s">
        <v>62</v>
      </c>
      <c r="E6149">
        <v>8</v>
      </c>
      <c r="F6149" s="3">
        <f ca="1">41682+(RANDBETWEEN(1,10))</f>
        <v>41688</v>
      </c>
      <c r="G6149" t="s">
        <v>26</v>
      </c>
      <c r="H6149" t="s">
        <v>27</v>
      </c>
      <c r="I6149" t="s">
        <v>52</v>
      </c>
      <c r="J6149">
        <v>186.55</v>
      </c>
      <c r="K6149">
        <v>0.02</v>
      </c>
      <c r="L6149">
        <v>0.36</v>
      </c>
      <c r="M6149">
        <v>33.880000000000003</v>
      </c>
      <c r="N6149">
        <v>-625.87</v>
      </c>
      <c r="O6149" s="1" t="s">
        <v>40</v>
      </c>
      <c r="P6149" s="1" t="s">
        <v>10009</v>
      </c>
      <c r="Q6149" s="1" t="s">
        <v>10010</v>
      </c>
      <c r="R6149" s="1" t="s">
        <v>43</v>
      </c>
      <c r="S6149" s="1" t="s">
        <v>1989</v>
      </c>
      <c r="T6149" s="1" t="s">
        <v>10011</v>
      </c>
      <c r="U6149" s="2" t="s">
        <v>6485</v>
      </c>
      <c r="V6149" s="2" t="s">
        <v>47</v>
      </c>
      <c r="W6149" s="2" t="s">
        <v>74</v>
      </c>
      <c r="X6149" s="2">
        <v>22.68</v>
      </c>
    </row>
    <row r="6150" spans="1:24" x14ac:dyDescent="0.3">
      <c r="A6150">
        <v>23970</v>
      </c>
      <c r="B6150" t="s">
        <v>12631</v>
      </c>
      <c r="C6150" s="3">
        <v>41886</v>
      </c>
      <c r="D6150" t="s">
        <v>50</v>
      </c>
      <c r="E6150">
        <v>23</v>
      </c>
      <c r="F6150" s="3">
        <f ca="1">41888+(RANDBETWEEN(1,10))</f>
        <v>41898</v>
      </c>
      <c r="G6150" t="s">
        <v>76</v>
      </c>
      <c r="H6150" t="s">
        <v>258</v>
      </c>
      <c r="I6150" t="s">
        <v>28</v>
      </c>
      <c r="J6150">
        <v>17787.91</v>
      </c>
      <c r="K6150">
        <v>7.0000000000000007E-2</v>
      </c>
      <c r="L6150">
        <v>0.78</v>
      </c>
      <c r="M6150">
        <v>216.16</v>
      </c>
      <c r="N6150">
        <v>-113.68</v>
      </c>
      <c r="O6150" s="1" t="s">
        <v>87</v>
      </c>
      <c r="P6150" s="1" t="s">
        <v>12632</v>
      </c>
      <c r="Q6150" s="1" t="s">
        <v>12633</v>
      </c>
      <c r="R6150" s="1" t="s">
        <v>90</v>
      </c>
      <c r="S6150" s="1" t="s">
        <v>12634</v>
      </c>
      <c r="T6150" s="1" t="s">
        <v>12635</v>
      </c>
      <c r="U6150" s="2" t="s">
        <v>3683</v>
      </c>
      <c r="V6150" s="2" t="s">
        <v>83</v>
      </c>
      <c r="W6150" s="2" t="s">
        <v>263</v>
      </c>
      <c r="X6150" s="2">
        <v>1003.975</v>
      </c>
    </row>
    <row r="6151" spans="1:24" x14ac:dyDescent="0.3">
      <c r="A6151">
        <v>23971</v>
      </c>
      <c r="B6151" t="s">
        <v>12631</v>
      </c>
      <c r="C6151" s="3">
        <v>41886</v>
      </c>
      <c r="D6151" t="s">
        <v>50</v>
      </c>
      <c r="E6151">
        <v>13</v>
      </c>
      <c r="F6151" s="3">
        <f ca="1">41887+(RANDBETWEEN(1,10))</f>
        <v>41893</v>
      </c>
      <c r="G6151" t="s">
        <v>26</v>
      </c>
      <c r="H6151" t="s">
        <v>27</v>
      </c>
      <c r="I6151" t="s">
        <v>28</v>
      </c>
      <c r="J6151">
        <v>579.005</v>
      </c>
      <c r="K6151">
        <v>0.01</v>
      </c>
      <c r="L6151">
        <v>0.38</v>
      </c>
      <c r="M6151">
        <v>17.815000000000001</v>
      </c>
      <c r="N6151">
        <v>187.7526</v>
      </c>
      <c r="O6151" s="1" t="s">
        <v>29</v>
      </c>
      <c r="P6151" s="1" t="s">
        <v>12297</v>
      </c>
      <c r="Q6151" s="1" t="s">
        <v>12298</v>
      </c>
      <c r="R6151" s="1" t="s">
        <v>32</v>
      </c>
      <c r="S6151" s="1" t="s">
        <v>12299</v>
      </c>
      <c r="T6151" s="1" t="s">
        <v>12300</v>
      </c>
      <c r="U6151" s="2" t="s">
        <v>7756</v>
      </c>
      <c r="V6151" s="2" t="s">
        <v>47</v>
      </c>
      <c r="W6151" s="2" t="s">
        <v>74</v>
      </c>
      <c r="X6151" s="2">
        <v>42.98</v>
      </c>
    </row>
    <row r="6152" spans="1:24" x14ac:dyDescent="0.3">
      <c r="A6152">
        <v>23972</v>
      </c>
      <c r="B6152" t="s">
        <v>12636</v>
      </c>
      <c r="C6152" s="3">
        <v>41865</v>
      </c>
      <c r="D6152" t="s">
        <v>62</v>
      </c>
      <c r="E6152">
        <v>23</v>
      </c>
      <c r="F6152" s="3">
        <f ca="1">41867+(RANDBETWEEN(1,10))</f>
        <v>41872</v>
      </c>
      <c r="G6152" t="s">
        <v>76</v>
      </c>
      <c r="H6152" t="s">
        <v>258</v>
      </c>
      <c r="I6152" t="s">
        <v>28</v>
      </c>
      <c r="J6152">
        <v>5971.14</v>
      </c>
      <c r="K6152">
        <v>0.04</v>
      </c>
      <c r="L6152" t="s">
        <v>182</v>
      </c>
      <c r="M6152">
        <v>93.974999999999994</v>
      </c>
      <c r="N6152">
        <v>1319.59268</v>
      </c>
      <c r="O6152" s="1" t="s">
        <v>64</v>
      </c>
      <c r="P6152" s="1" t="s">
        <v>12637</v>
      </c>
      <c r="Q6152" s="1" t="s">
        <v>12638</v>
      </c>
      <c r="R6152" s="1" t="s">
        <v>128</v>
      </c>
      <c r="S6152" s="1" t="s">
        <v>2082</v>
      </c>
      <c r="T6152" s="1" t="s">
        <v>2083</v>
      </c>
      <c r="U6152" s="2" t="s">
        <v>9883</v>
      </c>
      <c r="V6152" s="2" t="s">
        <v>83</v>
      </c>
      <c r="W6152" s="2" t="s">
        <v>298</v>
      </c>
      <c r="X6152" s="2">
        <v>248.43</v>
      </c>
    </row>
    <row r="6153" spans="1:24" x14ac:dyDescent="0.3">
      <c r="A6153">
        <v>23973</v>
      </c>
      <c r="B6153" t="s">
        <v>12636</v>
      </c>
      <c r="C6153" s="3">
        <v>41865</v>
      </c>
      <c r="D6153" t="s">
        <v>62</v>
      </c>
      <c r="E6153">
        <v>16</v>
      </c>
      <c r="F6153" s="3">
        <f ca="1">41866+(RANDBETWEEN(1,10))</f>
        <v>41868</v>
      </c>
      <c r="G6153" t="s">
        <v>26</v>
      </c>
      <c r="H6153" t="s">
        <v>27</v>
      </c>
      <c r="I6153" t="s">
        <v>28</v>
      </c>
      <c r="J6153">
        <v>2369.5</v>
      </c>
      <c r="K6153">
        <v>0.03</v>
      </c>
      <c r="L6153">
        <v>0.36</v>
      </c>
      <c r="M6153">
        <v>61.18</v>
      </c>
      <c r="N6153">
        <v>1270.72092</v>
      </c>
      <c r="O6153" s="1" t="s">
        <v>64</v>
      </c>
      <c r="P6153" s="1" t="s">
        <v>12637</v>
      </c>
      <c r="Q6153" s="1" t="s">
        <v>12638</v>
      </c>
      <c r="R6153" s="1" t="s">
        <v>128</v>
      </c>
      <c r="S6153" s="1" t="s">
        <v>2082</v>
      </c>
      <c r="T6153" s="1" t="s">
        <v>2083</v>
      </c>
      <c r="U6153" s="2" t="s">
        <v>1688</v>
      </c>
      <c r="V6153" s="2" t="s">
        <v>47</v>
      </c>
      <c r="W6153" s="2" t="s">
        <v>74</v>
      </c>
      <c r="X6153" s="2">
        <v>143.465</v>
      </c>
    </row>
    <row r="6154" spans="1:24" x14ac:dyDescent="0.3">
      <c r="A6154">
        <v>23974</v>
      </c>
      <c r="B6154" t="s">
        <v>12639</v>
      </c>
      <c r="C6154" s="3">
        <v>41126</v>
      </c>
      <c r="D6154" t="s">
        <v>62</v>
      </c>
      <c r="E6154">
        <v>20</v>
      </c>
      <c r="F6154" s="3">
        <f ca="1">41127+(RANDBETWEEN(1,10))</f>
        <v>41133</v>
      </c>
      <c r="G6154" t="s">
        <v>26</v>
      </c>
      <c r="H6154" t="s">
        <v>51</v>
      </c>
      <c r="I6154" t="s">
        <v>97</v>
      </c>
      <c r="J6154">
        <v>1250.865</v>
      </c>
      <c r="K6154">
        <v>0.01</v>
      </c>
      <c r="L6154">
        <v>0.46</v>
      </c>
      <c r="M6154">
        <v>6.9649999999999999</v>
      </c>
      <c r="N6154">
        <v>863.09685000000002</v>
      </c>
      <c r="O6154" s="1" t="s">
        <v>40</v>
      </c>
      <c r="P6154" s="1" t="s">
        <v>6611</v>
      </c>
      <c r="Q6154" s="1" t="s">
        <v>6612</v>
      </c>
      <c r="R6154" s="1" t="s">
        <v>220</v>
      </c>
      <c r="S6154" s="1" t="s">
        <v>3762</v>
      </c>
      <c r="T6154" s="1" t="s">
        <v>3763</v>
      </c>
      <c r="U6154" s="2" t="s">
        <v>8044</v>
      </c>
      <c r="V6154" s="2" t="s">
        <v>36</v>
      </c>
      <c r="W6154" s="2" t="s">
        <v>60</v>
      </c>
      <c r="X6154" s="2">
        <v>61.18</v>
      </c>
    </row>
    <row r="6155" spans="1:24" x14ac:dyDescent="0.3">
      <c r="A6155">
        <v>23975</v>
      </c>
      <c r="B6155" t="s">
        <v>12640</v>
      </c>
      <c r="C6155" s="3">
        <v>41599</v>
      </c>
      <c r="D6155" t="s">
        <v>39</v>
      </c>
      <c r="E6155">
        <v>28</v>
      </c>
      <c r="F6155" s="3">
        <f ca="1">41601+(RANDBETWEEN(1,10))</f>
        <v>41603</v>
      </c>
      <c r="G6155" t="s">
        <v>26</v>
      </c>
      <c r="H6155" t="s">
        <v>27</v>
      </c>
      <c r="I6155" t="s">
        <v>97</v>
      </c>
      <c r="J6155">
        <v>372.01499999999999</v>
      </c>
      <c r="K6155">
        <v>7.0000000000000007E-2</v>
      </c>
      <c r="L6155">
        <v>0.4</v>
      </c>
      <c r="M6155">
        <v>16.905000000000001</v>
      </c>
      <c r="N6155">
        <v>74.084149999999994</v>
      </c>
      <c r="O6155" s="1" t="s">
        <v>53</v>
      </c>
      <c r="P6155" s="1" t="s">
        <v>10843</v>
      </c>
      <c r="Q6155" s="1" t="s">
        <v>10844</v>
      </c>
      <c r="R6155" s="1" t="s">
        <v>440</v>
      </c>
      <c r="S6155" s="1" t="s">
        <v>10845</v>
      </c>
      <c r="T6155" s="1" t="s">
        <v>10846</v>
      </c>
      <c r="U6155" s="2" t="s">
        <v>12641</v>
      </c>
      <c r="V6155" s="2" t="s">
        <v>47</v>
      </c>
      <c r="W6155" s="2" t="s">
        <v>111</v>
      </c>
      <c r="X6155" s="2">
        <v>13.335000000000001</v>
      </c>
    </row>
    <row r="6156" spans="1:24" x14ac:dyDescent="0.3">
      <c r="A6156">
        <v>23976</v>
      </c>
      <c r="B6156" t="s">
        <v>12642</v>
      </c>
      <c r="C6156" s="3">
        <v>41503</v>
      </c>
      <c r="D6156" t="s">
        <v>50</v>
      </c>
      <c r="E6156">
        <v>5</v>
      </c>
      <c r="F6156" s="3">
        <f ca="1">41504+(RANDBETWEEN(1,10))</f>
        <v>41512</v>
      </c>
      <c r="G6156" t="s">
        <v>156</v>
      </c>
      <c r="H6156" t="s">
        <v>27</v>
      </c>
      <c r="I6156" t="s">
        <v>52</v>
      </c>
      <c r="J6156">
        <v>202.54499999999999</v>
      </c>
      <c r="K6156">
        <v>0.1</v>
      </c>
      <c r="L6156">
        <v>0.38</v>
      </c>
      <c r="M6156">
        <v>10.465</v>
      </c>
      <c r="N6156">
        <v>-84.084000000000003</v>
      </c>
      <c r="O6156" s="1" t="s">
        <v>29</v>
      </c>
      <c r="P6156" s="1" t="s">
        <v>7567</v>
      </c>
      <c r="Q6156" s="1" t="s">
        <v>7568</v>
      </c>
      <c r="R6156" s="1" t="s">
        <v>675</v>
      </c>
      <c r="S6156" s="1" t="s">
        <v>7569</v>
      </c>
      <c r="T6156" s="1" t="s">
        <v>7570</v>
      </c>
      <c r="U6156" s="2" t="s">
        <v>1610</v>
      </c>
      <c r="V6156" s="2" t="s">
        <v>47</v>
      </c>
      <c r="W6156" s="2" t="s">
        <v>111</v>
      </c>
      <c r="X6156" s="2">
        <v>38.185000000000002</v>
      </c>
    </row>
    <row r="6157" spans="1:24" x14ac:dyDescent="0.3">
      <c r="A6157">
        <v>23977</v>
      </c>
      <c r="B6157" t="s">
        <v>12643</v>
      </c>
      <c r="C6157" s="3">
        <v>41837</v>
      </c>
      <c r="D6157" t="s">
        <v>62</v>
      </c>
      <c r="E6157">
        <v>7</v>
      </c>
      <c r="F6157" s="3">
        <f ca="1">41837+(RANDBETWEEN(1,10))</f>
        <v>41841</v>
      </c>
      <c r="G6157" t="s">
        <v>156</v>
      </c>
      <c r="H6157" t="s">
        <v>51</v>
      </c>
      <c r="I6157" t="s">
        <v>28</v>
      </c>
      <c r="J6157">
        <v>239.54</v>
      </c>
      <c r="K6157">
        <v>0.08</v>
      </c>
      <c r="L6157">
        <v>0.41</v>
      </c>
      <c r="M6157">
        <v>6.9649999999999999</v>
      </c>
      <c r="N6157">
        <v>9.7230000000000008</v>
      </c>
      <c r="O6157" s="1" t="s">
        <v>29</v>
      </c>
      <c r="P6157" s="1" t="s">
        <v>11777</v>
      </c>
      <c r="Q6157" s="1" t="s">
        <v>11778</v>
      </c>
      <c r="R6157" s="1" t="s">
        <v>32</v>
      </c>
      <c r="S6157" s="1" t="s">
        <v>11779</v>
      </c>
      <c r="T6157" s="1" t="s">
        <v>1167</v>
      </c>
      <c r="U6157" s="2" t="s">
        <v>1365</v>
      </c>
      <c r="V6157" s="2" t="s">
        <v>36</v>
      </c>
      <c r="W6157" s="2" t="s">
        <v>60</v>
      </c>
      <c r="X6157" s="2">
        <v>35.034999999999997</v>
      </c>
    </row>
    <row r="6158" spans="1:24" x14ac:dyDescent="0.3">
      <c r="A6158">
        <v>23978</v>
      </c>
      <c r="B6158" t="s">
        <v>12643</v>
      </c>
      <c r="C6158" s="3">
        <v>41837</v>
      </c>
      <c r="D6158" t="s">
        <v>62</v>
      </c>
      <c r="E6158">
        <v>16</v>
      </c>
      <c r="F6158" s="3">
        <f ca="1">41838+(RANDBETWEEN(1,10))</f>
        <v>41839</v>
      </c>
      <c r="G6158" t="s">
        <v>26</v>
      </c>
      <c r="H6158" t="s">
        <v>27</v>
      </c>
      <c r="I6158" t="s">
        <v>28</v>
      </c>
      <c r="J6158">
        <v>962.255</v>
      </c>
      <c r="K6158">
        <v>0</v>
      </c>
      <c r="L6158">
        <v>0.36</v>
      </c>
      <c r="M6158">
        <v>17.78</v>
      </c>
      <c r="N6158">
        <v>85.091999999999999</v>
      </c>
      <c r="O6158" s="1" t="s">
        <v>53</v>
      </c>
      <c r="P6158" s="1" t="s">
        <v>12644</v>
      </c>
      <c r="Q6158" s="1" t="s">
        <v>12645</v>
      </c>
      <c r="R6158" s="1" t="s">
        <v>100</v>
      </c>
      <c r="S6158" s="1" t="s">
        <v>12646</v>
      </c>
      <c r="T6158" s="1" t="s">
        <v>12647</v>
      </c>
      <c r="U6158" s="2" t="s">
        <v>8826</v>
      </c>
      <c r="V6158" s="2" t="s">
        <v>47</v>
      </c>
      <c r="W6158" s="2" t="s">
        <v>111</v>
      </c>
      <c r="X6158" s="2">
        <v>58.59</v>
      </c>
    </row>
    <row r="6159" spans="1:24" x14ac:dyDescent="0.3">
      <c r="A6159">
        <v>23979</v>
      </c>
      <c r="B6159" t="s">
        <v>12643</v>
      </c>
      <c r="C6159" s="3">
        <v>41837</v>
      </c>
      <c r="D6159" t="s">
        <v>62</v>
      </c>
      <c r="E6159">
        <v>4</v>
      </c>
      <c r="F6159" s="3">
        <f ca="1">41839+(RANDBETWEEN(1,10))</f>
        <v>41848</v>
      </c>
      <c r="G6159" t="s">
        <v>26</v>
      </c>
      <c r="H6159" t="s">
        <v>27</v>
      </c>
      <c r="I6159" t="s">
        <v>28</v>
      </c>
      <c r="J6159">
        <v>883.505</v>
      </c>
      <c r="K6159">
        <v>0</v>
      </c>
      <c r="L6159">
        <v>0.39</v>
      </c>
      <c r="M6159">
        <v>36.015000000000001</v>
      </c>
      <c r="N6159">
        <v>139.58699999999999</v>
      </c>
      <c r="O6159" s="1" t="s">
        <v>53</v>
      </c>
      <c r="P6159" s="1" t="s">
        <v>12644</v>
      </c>
      <c r="Q6159" s="1" t="s">
        <v>12645</v>
      </c>
      <c r="R6159" s="1" t="s">
        <v>100</v>
      </c>
      <c r="S6159" s="1" t="s">
        <v>12646</v>
      </c>
      <c r="T6159" s="1" t="s">
        <v>12647</v>
      </c>
      <c r="U6159" s="2" t="s">
        <v>4193</v>
      </c>
      <c r="V6159" s="2" t="s">
        <v>47</v>
      </c>
      <c r="W6159" s="2" t="s">
        <v>111</v>
      </c>
      <c r="X6159" s="2">
        <v>209.23</v>
      </c>
    </row>
    <row r="6160" spans="1:24" x14ac:dyDescent="0.3">
      <c r="A6160">
        <v>23980</v>
      </c>
      <c r="B6160" t="s">
        <v>12648</v>
      </c>
      <c r="C6160" s="3">
        <v>41183</v>
      </c>
      <c r="D6160" t="s">
        <v>39</v>
      </c>
      <c r="E6160">
        <v>20</v>
      </c>
      <c r="F6160" s="3">
        <f ca="1">41184+(RANDBETWEEN(1,10))</f>
        <v>41186</v>
      </c>
      <c r="G6160" t="s">
        <v>156</v>
      </c>
      <c r="H6160" t="s">
        <v>96</v>
      </c>
      <c r="I6160" t="s">
        <v>97</v>
      </c>
      <c r="J6160">
        <v>215.35499999999999</v>
      </c>
      <c r="K6160">
        <v>0.03</v>
      </c>
      <c r="L6160">
        <v>0.57999999999999996</v>
      </c>
      <c r="M6160">
        <v>2.4500000000000002</v>
      </c>
      <c r="N6160">
        <v>78.374799999999993</v>
      </c>
      <c r="O6160" s="1" t="s">
        <v>225</v>
      </c>
      <c r="P6160" s="1" t="s">
        <v>9848</v>
      </c>
      <c r="Q6160" s="1" t="s">
        <v>9849</v>
      </c>
      <c r="R6160" s="1" t="s">
        <v>391</v>
      </c>
      <c r="S6160" s="1" t="s">
        <v>9850</v>
      </c>
      <c r="T6160" s="1" t="s">
        <v>1131</v>
      </c>
      <c r="U6160" s="2" t="s">
        <v>2921</v>
      </c>
      <c r="V6160" s="2" t="s">
        <v>47</v>
      </c>
      <c r="W6160" s="2" t="s">
        <v>104</v>
      </c>
      <c r="X6160" s="2">
        <v>10.29</v>
      </c>
    </row>
    <row r="6161" spans="1:24" x14ac:dyDescent="0.3">
      <c r="A6161">
        <v>23981</v>
      </c>
      <c r="B6161" t="s">
        <v>12649</v>
      </c>
      <c r="C6161" s="3">
        <v>41860</v>
      </c>
      <c r="D6161" t="s">
        <v>25</v>
      </c>
      <c r="E6161">
        <v>22</v>
      </c>
      <c r="F6161" s="3">
        <f ca="1">41862+(RANDBETWEEN(1,10))</f>
        <v>41865</v>
      </c>
      <c r="G6161" t="s">
        <v>26</v>
      </c>
      <c r="H6161" t="s">
        <v>27</v>
      </c>
      <c r="I6161" t="s">
        <v>97</v>
      </c>
      <c r="J6161">
        <v>1514.24</v>
      </c>
      <c r="K6161">
        <v>0.03</v>
      </c>
      <c r="L6161">
        <v>0.68</v>
      </c>
      <c r="M6161">
        <v>14</v>
      </c>
      <c r="N6161">
        <v>63.709800000000001</v>
      </c>
      <c r="O6161" s="1" t="s">
        <v>40</v>
      </c>
      <c r="P6161" s="1" t="s">
        <v>2393</v>
      </c>
      <c r="Q6161" s="1" t="s">
        <v>2394</v>
      </c>
      <c r="R6161" s="1" t="s">
        <v>43</v>
      </c>
      <c r="S6161" s="1" t="s">
        <v>2395</v>
      </c>
      <c r="T6161" s="1" t="s">
        <v>2396</v>
      </c>
      <c r="U6161" s="2" t="s">
        <v>2334</v>
      </c>
      <c r="V6161" s="2" t="s">
        <v>36</v>
      </c>
      <c r="W6161" s="2" t="s">
        <v>60</v>
      </c>
      <c r="X6161" s="2">
        <v>69.930000000000007</v>
      </c>
    </row>
    <row r="6162" spans="1:24" x14ac:dyDescent="0.3">
      <c r="A6162">
        <v>23982</v>
      </c>
      <c r="B6162" t="s">
        <v>12649</v>
      </c>
      <c r="C6162" s="3">
        <v>41860</v>
      </c>
      <c r="D6162" t="s">
        <v>25</v>
      </c>
      <c r="E6162">
        <v>21</v>
      </c>
      <c r="F6162" s="3">
        <f ca="1">41865+(RANDBETWEEN(1,10))</f>
        <v>41872</v>
      </c>
      <c r="G6162" t="s">
        <v>26</v>
      </c>
      <c r="H6162" t="s">
        <v>27</v>
      </c>
      <c r="I6162" t="s">
        <v>97</v>
      </c>
      <c r="J6162">
        <v>769.58</v>
      </c>
      <c r="K6162">
        <v>0.06</v>
      </c>
      <c r="L6162">
        <v>0.64</v>
      </c>
      <c r="M6162">
        <v>22.75</v>
      </c>
      <c r="N6162">
        <v>-250.7218</v>
      </c>
      <c r="O6162" s="1" t="s">
        <v>53</v>
      </c>
      <c r="P6162" s="1" t="s">
        <v>12650</v>
      </c>
      <c r="Q6162" s="1" t="s">
        <v>12651</v>
      </c>
      <c r="R6162" s="1" t="s">
        <v>440</v>
      </c>
      <c r="S6162" s="1" t="s">
        <v>1172</v>
      </c>
      <c r="T6162" s="1" t="s">
        <v>12652</v>
      </c>
      <c r="U6162" s="2" t="s">
        <v>337</v>
      </c>
      <c r="V6162" s="2" t="s">
        <v>36</v>
      </c>
      <c r="W6162" s="2" t="s">
        <v>60</v>
      </c>
      <c r="X6162" s="2">
        <v>38.395000000000003</v>
      </c>
    </row>
    <row r="6163" spans="1:24" x14ac:dyDescent="0.3">
      <c r="A6163">
        <v>23983</v>
      </c>
      <c r="B6163" t="s">
        <v>12653</v>
      </c>
      <c r="C6163" s="3">
        <v>40714</v>
      </c>
      <c r="D6163" t="s">
        <v>50</v>
      </c>
      <c r="E6163">
        <v>14</v>
      </c>
      <c r="F6163" s="3">
        <f ca="1">40715+(RANDBETWEEN(1,10))</f>
        <v>40718</v>
      </c>
      <c r="G6163" t="s">
        <v>26</v>
      </c>
      <c r="H6163" t="s">
        <v>27</v>
      </c>
      <c r="I6163" t="s">
        <v>86</v>
      </c>
      <c r="J6163">
        <v>151.935</v>
      </c>
      <c r="K6163">
        <v>0.04</v>
      </c>
      <c r="L6163">
        <v>0.37</v>
      </c>
      <c r="M6163">
        <v>3.4649999999999999</v>
      </c>
      <c r="N6163">
        <v>899.7912</v>
      </c>
      <c r="O6163" s="1" t="s">
        <v>53</v>
      </c>
      <c r="P6163" s="1" t="s">
        <v>12654</v>
      </c>
      <c r="Q6163" s="1" t="s">
        <v>12655</v>
      </c>
      <c r="R6163" s="1" t="s">
        <v>56</v>
      </c>
      <c r="S6163" s="1" t="s">
        <v>12656</v>
      </c>
      <c r="T6163" s="1" t="s">
        <v>12657</v>
      </c>
      <c r="U6163" s="2" t="s">
        <v>796</v>
      </c>
      <c r="V6163" s="2" t="s">
        <v>47</v>
      </c>
      <c r="W6163" s="2" t="s">
        <v>203</v>
      </c>
      <c r="X6163" s="2">
        <v>10.78</v>
      </c>
    </row>
    <row r="6164" spans="1:24" x14ac:dyDescent="0.3">
      <c r="A6164">
        <v>23984</v>
      </c>
      <c r="B6164" t="s">
        <v>12653</v>
      </c>
      <c r="C6164" s="3">
        <v>40714</v>
      </c>
      <c r="D6164" t="s">
        <v>50</v>
      </c>
      <c r="E6164">
        <v>18</v>
      </c>
      <c r="F6164" s="3">
        <f ca="1">40715+(RANDBETWEEN(1,10))</f>
        <v>40724</v>
      </c>
      <c r="G6164" t="s">
        <v>26</v>
      </c>
      <c r="H6164" t="s">
        <v>96</v>
      </c>
      <c r="I6164" t="s">
        <v>86</v>
      </c>
      <c r="J6164">
        <v>162.47</v>
      </c>
      <c r="K6164">
        <v>0.1</v>
      </c>
      <c r="L6164">
        <v>0.59</v>
      </c>
      <c r="M6164">
        <v>4.375</v>
      </c>
      <c r="N6164">
        <v>2.7488999999999999</v>
      </c>
      <c r="O6164" s="1" t="s">
        <v>53</v>
      </c>
      <c r="P6164" s="1" t="s">
        <v>12654</v>
      </c>
      <c r="Q6164" s="1" t="s">
        <v>12655</v>
      </c>
      <c r="R6164" s="1" t="s">
        <v>56</v>
      </c>
      <c r="S6164" s="1" t="s">
        <v>12656</v>
      </c>
      <c r="T6164" s="1" t="s">
        <v>12657</v>
      </c>
      <c r="U6164" s="2" t="s">
        <v>2386</v>
      </c>
      <c r="V6164" s="2" t="s">
        <v>47</v>
      </c>
      <c r="W6164" s="2" t="s">
        <v>104</v>
      </c>
      <c r="X6164" s="2">
        <v>9.73</v>
      </c>
    </row>
    <row r="6165" spans="1:24" x14ac:dyDescent="0.3">
      <c r="A6165">
        <v>23985</v>
      </c>
      <c r="B6165" t="s">
        <v>12658</v>
      </c>
      <c r="C6165" s="3">
        <v>40929</v>
      </c>
      <c r="D6165" t="s">
        <v>39</v>
      </c>
      <c r="E6165">
        <v>3</v>
      </c>
      <c r="F6165" s="3">
        <f ca="1">40931+(RANDBETWEEN(1,10))</f>
        <v>40939</v>
      </c>
      <c r="G6165" t="s">
        <v>26</v>
      </c>
      <c r="H6165" t="s">
        <v>27</v>
      </c>
      <c r="I6165" t="s">
        <v>97</v>
      </c>
      <c r="J6165">
        <v>65.974999999999994</v>
      </c>
      <c r="K6165">
        <v>0.08</v>
      </c>
      <c r="L6165">
        <v>0.36</v>
      </c>
      <c r="M6165">
        <v>18.024999999999999</v>
      </c>
      <c r="N6165">
        <v>-109.45480000000001</v>
      </c>
      <c r="O6165" s="1" t="s">
        <v>87</v>
      </c>
      <c r="P6165" s="1" t="s">
        <v>5851</v>
      </c>
      <c r="Q6165" s="1" t="s">
        <v>5852</v>
      </c>
      <c r="R6165" s="1" t="s">
        <v>646</v>
      </c>
      <c r="S6165" s="1" t="s">
        <v>1526</v>
      </c>
      <c r="T6165" s="1" t="s">
        <v>3151</v>
      </c>
      <c r="U6165" s="2" t="s">
        <v>542</v>
      </c>
      <c r="V6165" s="2" t="s">
        <v>47</v>
      </c>
      <c r="W6165" s="2" t="s">
        <v>74</v>
      </c>
      <c r="X6165" s="2">
        <v>20.93</v>
      </c>
    </row>
    <row r="6166" spans="1:24" x14ac:dyDescent="0.3">
      <c r="A6166">
        <v>23986</v>
      </c>
      <c r="B6166" t="s">
        <v>12659</v>
      </c>
      <c r="C6166" s="3">
        <v>41860</v>
      </c>
      <c r="D6166" t="s">
        <v>62</v>
      </c>
      <c r="E6166">
        <v>15</v>
      </c>
      <c r="F6166" s="3">
        <f ca="1">41861+(RANDBETWEEN(1,10))</f>
        <v>41864</v>
      </c>
      <c r="G6166" t="s">
        <v>76</v>
      </c>
      <c r="H6166" t="s">
        <v>258</v>
      </c>
      <c r="I6166" t="s">
        <v>28</v>
      </c>
      <c r="J6166">
        <v>19240.794999999998</v>
      </c>
      <c r="K6166">
        <v>0.09</v>
      </c>
      <c r="L6166">
        <v>0.36</v>
      </c>
      <c r="M6166">
        <v>168.91</v>
      </c>
      <c r="N6166">
        <v>13276.14855</v>
      </c>
      <c r="O6166" s="1" t="s">
        <v>29</v>
      </c>
      <c r="P6166" s="1" t="s">
        <v>12660</v>
      </c>
      <c r="Q6166" s="1" t="s">
        <v>12661</v>
      </c>
      <c r="R6166" s="1" t="s">
        <v>675</v>
      </c>
      <c r="S6166" s="1" t="s">
        <v>3681</v>
      </c>
      <c r="T6166" s="1" t="s">
        <v>3682</v>
      </c>
      <c r="U6166" s="2" t="s">
        <v>7536</v>
      </c>
      <c r="V6166" s="2" t="s">
        <v>36</v>
      </c>
      <c r="W6166" s="2" t="s">
        <v>142</v>
      </c>
      <c r="X6166" s="2">
        <v>1403.395</v>
      </c>
    </row>
    <row r="6167" spans="1:24" x14ac:dyDescent="0.3">
      <c r="A6167">
        <v>23987</v>
      </c>
      <c r="B6167" t="s">
        <v>12662</v>
      </c>
      <c r="C6167" s="3">
        <v>41703</v>
      </c>
      <c r="D6167" t="s">
        <v>62</v>
      </c>
      <c r="E6167">
        <v>11</v>
      </c>
      <c r="F6167" s="3">
        <f ca="1">41705+(RANDBETWEEN(1,10))</f>
        <v>41712</v>
      </c>
      <c r="G6167" t="s">
        <v>76</v>
      </c>
      <c r="H6167" t="s">
        <v>77</v>
      </c>
      <c r="I6167" t="s">
        <v>28</v>
      </c>
      <c r="J6167">
        <v>17425.099999999999</v>
      </c>
      <c r="K6167">
        <v>0.06</v>
      </c>
      <c r="L6167">
        <v>0.38</v>
      </c>
      <c r="M6167">
        <v>171.5</v>
      </c>
      <c r="N6167">
        <v>13073.255999999999</v>
      </c>
      <c r="O6167" s="1" t="s">
        <v>53</v>
      </c>
      <c r="P6167" s="1" t="s">
        <v>5965</v>
      </c>
      <c r="Q6167" s="1" t="s">
        <v>5966</v>
      </c>
      <c r="R6167" s="1" t="s">
        <v>440</v>
      </c>
      <c r="S6167" s="1" t="s">
        <v>5967</v>
      </c>
      <c r="T6167" s="1" t="s">
        <v>5968</v>
      </c>
      <c r="U6167" s="2" t="s">
        <v>1480</v>
      </c>
      <c r="V6167" s="2" t="s">
        <v>36</v>
      </c>
      <c r="W6167" s="2" t="s">
        <v>1327</v>
      </c>
      <c r="X6167" s="2">
        <v>1574.9649999999999</v>
      </c>
    </row>
    <row r="6168" spans="1:24" x14ac:dyDescent="0.3">
      <c r="A6168">
        <v>23988</v>
      </c>
      <c r="B6168" t="s">
        <v>12662</v>
      </c>
      <c r="C6168" s="3">
        <v>41703</v>
      </c>
      <c r="D6168" t="s">
        <v>62</v>
      </c>
      <c r="E6168">
        <v>4</v>
      </c>
      <c r="F6168" s="3">
        <f ca="1">41704+(RANDBETWEEN(1,10))</f>
        <v>41712</v>
      </c>
      <c r="G6168" t="s">
        <v>26</v>
      </c>
      <c r="H6168" t="s">
        <v>51</v>
      </c>
      <c r="I6168" t="s">
        <v>28</v>
      </c>
      <c r="J6168">
        <v>313.84500000000003</v>
      </c>
      <c r="K6168">
        <v>0.03</v>
      </c>
      <c r="L6168">
        <v>0.59</v>
      </c>
      <c r="M6168">
        <v>31.465</v>
      </c>
      <c r="N6168">
        <v>-267.0745</v>
      </c>
      <c r="O6168" s="1" t="s">
        <v>53</v>
      </c>
      <c r="P6168" s="1" t="s">
        <v>5965</v>
      </c>
      <c r="Q6168" s="1" t="s">
        <v>5966</v>
      </c>
      <c r="R6168" s="1" t="s">
        <v>440</v>
      </c>
      <c r="S6168" s="1" t="s">
        <v>5967</v>
      </c>
      <c r="T6168" s="1" t="s">
        <v>5968</v>
      </c>
      <c r="U6168" s="2" t="s">
        <v>2789</v>
      </c>
      <c r="V6168" s="2" t="s">
        <v>47</v>
      </c>
      <c r="W6168" s="2" t="s">
        <v>104</v>
      </c>
      <c r="X6168" s="2">
        <v>74.83</v>
      </c>
    </row>
    <row r="6169" spans="1:24" x14ac:dyDescent="0.3">
      <c r="A6169">
        <v>23989</v>
      </c>
      <c r="B6169" t="s">
        <v>12663</v>
      </c>
      <c r="C6169" s="3">
        <v>41079</v>
      </c>
      <c r="D6169" t="s">
        <v>50</v>
      </c>
      <c r="E6169">
        <v>11</v>
      </c>
      <c r="F6169" s="3">
        <f ca="1">41080+(RANDBETWEEN(1,10))</f>
        <v>41085</v>
      </c>
      <c r="G6169" t="s">
        <v>26</v>
      </c>
      <c r="H6169" t="s">
        <v>96</v>
      </c>
      <c r="I6169" t="s">
        <v>52</v>
      </c>
      <c r="J6169">
        <v>226.20500000000001</v>
      </c>
      <c r="K6169">
        <v>0.01</v>
      </c>
      <c r="L6169">
        <v>0.38</v>
      </c>
      <c r="M6169">
        <v>3.5</v>
      </c>
      <c r="N6169">
        <v>156.08144999999999</v>
      </c>
      <c r="O6169" s="1" t="s">
        <v>87</v>
      </c>
      <c r="P6169" s="1" t="s">
        <v>12664</v>
      </c>
      <c r="Q6169" s="1" t="s">
        <v>12665</v>
      </c>
      <c r="R6169" s="1" t="s">
        <v>646</v>
      </c>
      <c r="S6169" s="1" t="s">
        <v>3446</v>
      </c>
      <c r="T6169" s="1" t="s">
        <v>12666</v>
      </c>
      <c r="U6169" s="2" t="s">
        <v>3510</v>
      </c>
      <c r="V6169" s="2" t="s">
        <v>47</v>
      </c>
      <c r="W6169" s="2" t="s">
        <v>104</v>
      </c>
      <c r="X6169" s="2">
        <v>20.440000000000001</v>
      </c>
    </row>
    <row r="6170" spans="1:24" x14ac:dyDescent="0.3">
      <c r="A6170">
        <v>23990</v>
      </c>
      <c r="B6170" t="s">
        <v>12667</v>
      </c>
      <c r="C6170" s="3">
        <v>41264</v>
      </c>
      <c r="D6170" t="s">
        <v>148</v>
      </c>
      <c r="E6170">
        <v>7</v>
      </c>
      <c r="F6170" s="3">
        <f ca="1">41265+(RANDBETWEEN(1,10))</f>
        <v>41275</v>
      </c>
      <c r="G6170" t="s">
        <v>26</v>
      </c>
      <c r="H6170" t="s">
        <v>27</v>
      </c>
      <c r="I6170" t="s">
        <v>28</v>
      </c>
      <c r="J6170">
        <v>167.125</v>
      </c>
      <c r="K6170">
        <v>0.08</v>
      </c>
      <c r="L6170">
        <v>0.37</v>
      </c>
      <c r="M6170">
        <v>20.09</v>
      </c>
      <c r="N6170">
        <v>-57.225000000000001</v>
      </c>
      <c r="O6170" s="1" t="s">
        <v>87</v>
      </c>
      <c r="P6170" s="1" t="s">
        <v>4371</v>
      </c>
      <c r="Q6170" s="1" t="s">
        <v>4372</v>
      </c>
      <c r="R6170" s="1" t="s">
        <v>398</v>
      </c>
      <c r="S6170" s="1" t="s">
        <v>1380</v>
      </c>
      <c r="T6170" s="1" t="s">
        <v>1381</v>
      </c>
      <c r="U6170" s="2" t="s">
        <v>5165</v>
      </c>
      <c r="V6170" s="2" t="s">
        <v>47</v>
      </c>
      <c r="W6170" s="2" t="s">
        <v>74</v>
      </c>
      <c r="X6170" s="2">
        <v>22.68</v>
      </c>
    </row>
    <row r="6171" spans="1:24" x14ac:dyDescent="0.3">
      <c r="A6171">
        <v>23991</v>
      </c>
      <c r="B6171" t="s">
        <v>12668</v>
      </c>
      <c r="C6171" s="3">
        <v>41926</v>
      </c>
      <c r="D6171" t="s">
        <v>39</v>
      </c>
      <c r="E6171">
        <v>5</v>
      </c>
      <c r="F6171" s="3">
        <f ca="1">41926+(RANDBETWEEN(1,10))</f>
        <v>41930</v>
      </c>
      <c r="G6171" t="s">
        <v>26</v>
      </c>
      <c r="H6171" t="s">
        <v>27</v>
      </c>
      <c r="I6171" t="s">
        <v>97</v>
      </c>
      <c r="J6171">
        <v>418.04</v>
      </c>
      <c r="K6171">
        <v>0.01</v>
      </c>
      <c r="L6171">
        <v>0.38</v>
      </c>
      <c r="M6171">
        <v>52.85</v>
      </c>
      <c r="N6171">
        <v>-168.72800000000001</v>
      </c>
      <c r="O6171" s="1" t="s">
        <v>53</v>
      </c>
      <c r="P6171" s="1" t="s">
        <v>12669</v>
      </c>
      <c r="Q6171" s="1" t="s">
        <v>12670</v>
      </c>
      <c r="R6171" s="1" t="s">
        <v>56</v>
      </c>
      <c r="S6171" s="1" t="s">
        <v>159</v>
      </c>
      <c r="T6171" s="1" t="s">
        <v>12671</v>
      </c>
      <c r="U6171" s="2" t="s">
        <v>2602</v>
      </c>
      <c r="V6171" s="2" t="s">
        <v>47</v>
      </c>
      <c r="W6171" s="2" t="s">
        <v>111</v>
      </c>
      <c r="X6171" s="2">
        <v>78.33</v>
      </c>
    </row>
    <row r="6172" spans="1:24" x14ac:dyDescent="0.3">
      <c r="A6172">
        <v>23992</v>
      </c>
      <c r="B6172" t="s">
        <v>12672</v>
      </c>
      <c r="C6172" s="3">
        <v>41196</v>
      </c>
      <c r="D6172" t="s">
        <v>39</v>
      </c>
      <c r="E6172">
        <v>18</v>
      </c>
      <c r="F6172" s="3">
        <f ca="1">41198+(RANDBETWEEN(1,10))</f>
        <v>41201</v>
      </c>
      <c r="G6172" t="s">
        <v>156</v>
      </c>
      <c r="H6172" t="s">
        <v>27</v>
      </c>
      <c r="I6172" t="s">
        <v>97</v>
      </c>
      <c r="J6172">
        <v>1995.4549999999999</v>
      </c>
      <c r="K6172">
        <v>0</v>
      </c>
      <c r="L6172">
        <v>0.64</v>
      </c>
      <c r="M6172">
        <v>22.75</v>
      </c>
      <c r="N6172">
        <v>172.68860000000001</v>
      </c>
      <c r="O6172" s="1" t="s">
        <v>53</v>
      </c>
      <c r="P6172" s="1" t="s">
        <v>12669</v>
      </c>
      <c r="Q6172" s="1" t="s">
        <v>12670</v>
      </c>
      <c r="R6172" s="1" t="s">
        <v>56</v>
      </c>
      <c r="S6172" s="1" t="s">
        <v>159</v>
      </c>
      <c r="T6172" s="1" t="s">
        <v>12671</v>
      </c>
      <c r="U6172" s="2" t="s">
        <v>2033</v>
      </c>
      <c r="V6172" s="2" t="s">
        <v>36</v>
      </c>
      <c r="W6172" s="2" t="s">
        <v>60</v>
      </c>
      <c r="X6172" s="2">
        <v>108.43</v>
      </c>
    </row>
    <row r="6173" spans="1:24" x14ac:dyDescent="0.3">
      <c r="A6173">
        <v>23993</v>
      </c>
      <c r="B6173" t="s">
        <v>12672</v>
      </c>
      <c r="C6173" s="3">
        <v>41196</v>
      </c>
      <c r="D6173" t="s">
        <v>39</v>
      </c>
      <c r="E6173">
        <v>5</v>
      </c>
      <c r="F6173" s="3">
        <f ca="1">41198+(RANDBETWEEN(1,10))</f>
        <v>41199</v>
      </c>
      <c r="G6173" t="s">
        <v>26</v>
      </c>
      <c r="H6173" t="s">
        <v>27</v>
      </c>
      <c r="I6173" t="s">
        <v>97</v>
      </c>
      <c r="J6173">
        <v>2812.145</v>
      </c>
      <c r="K6173">
        <v>0.09</v>
      </c>
      <c r="L6173">
        <v>0.6</v>
      </c>
      <c r="M6173">
        <v>31.465</v>
      </c>
      <c r="N6173">
        <v>-957.75372000000004</v>
      </c>
      <c r="O6173" s="1" t="s">
        <v>53</v>
      </c>
      <c r="P6173" s="1" t="s">
        <v>12669</v>
      </c>
      <c r="Q6173" s="1" t="s">
        <v>12670</v>
      </c>
      <c r="R6173" s="1" t="s">
        <v>56</v>
      </c>
      <c r="S6173" s="1" t="s">
        <v>159</v>
      </c>
      <c r="T6173" s="1" t="s">
        <v>12671</v>
      </c>
      <c r="U6173" s="2" t="s">
        <v>1123</v>
      </c>
      <c r="V6173" s="2" t="s">
        <v>36</v>
      </c>
      <c r="W6173" s="2" t="s">
        <v>37</v>
      </c>
      <c r="X6173" s="2">
        <v>685.96500000000003</v>
      </c>
    </row>
    <row r="6174" spans="1:24" x14ac:dyDescent="0.3">
      <c r="A6174">
        <v>23994</v>
      </c>
      <c r="B6174" t="s">
        <v>12673</v>
      </c>
      <c r="C6174" s="3">
        <v>41951</v>
      </c>
      <c r="D6174" t="s">
        <v>50</v>
      </c>
      <c r="E6174">
        <v>28</v>
      </c>
      <c r="F6174" s="3">
        <f ca="1">41952+(RANDBETWEEN(1,10))</f>
        <v>41958</v>
      </c>
      <c r="G6174" t="s">
        <v>26</v>
      </c>
      <c r="H6174" t="s">
        <v>27</v>
      </c>
      <c r="I6174" t="s">
        <v>52</v>
      </c>
      <c r="J6174">
        <v>2955.4</v>
      </c>
      <c r="K6174">
        <v>0.09</v>
      </c>
      <c r="L6174">
        <v>0.37</v>
      </c>
      <c r="M6174">
        <v>44.17</v>
      </c>
      <c r="N6174">
        <v>851.132744</v>
      </c>
      <c r="O6174" s="1" t="s">
        <v>225</v>
      </c>
      <c r="P6174" s="1" t="s">
        <v>12674</v>
      </c>
      <c r="Q6174" s="1" t="s">
        <v>12675</v>
      </c>
      <c r="R6174" s="1" t="s">
        <v>228</v>
      </c>
      <c r="S6174" s="1" t="s">
        <v>6525</v>
      </c>
      <c r="T6174" s="1" t="s">
        <v>6526</v>
      </c>
      <c r="U6174" s="2" t="s">
        <v>4243</v>
      </c>
      <c r="V6174" s="2" t="s">
        <v>47</v>
      </c>
      <c r="W6174" s="2" t="s">
        <v>111</v>
      </c>
      <c r="X6174" s="2">
        <v>111.09</v>
      </c>
    </row>
    <row r="6175" spans="1:24" x14ac:dyDescent="0.3">
      <c r="A6175">
        <v>23995</v>
      </c>
      <c r="B6175" t="s">
        <v>12673</v>
      </c>
      <c r="C6175" s="3">
        <v>41951</v>
      </c>
      <c r="D6175" t="s">
        <v>50</v>
      </c>
      <c r="E6175">
        <v>16</v>
      </c>
      <c r="F6175" s="3">
        <f ca="1">41952+(RANDBETWEEN(1,10))</f>
        <v>41961</v>
      </c>
      <c r="G6175" t="s">
        <v>26</v>
      </c>
      <c r="H6175" t="s">
        <v>27</v>
      </c>
      <c r="I6175" t="s">
        <v>52</v>
      </c>
      <c r="J6175">
        <v>6629.21</v>
      </c>
      <c r="K6175">
        <v>0.05</v>
      </c>
      <c r="L6175">
        <v>0.35</v>
      </c>
      <c r="M6175">
        <v>31.745000000000001</v>
      </c>
      <c r="N6175">
        <v>4574.1549000000005</v>
      </c>
      <c r="O6175" s="1" t="s">
        <v>87</v>
      </c>
      <c r="P6175" s="1" t="s">
        <v>12676</v>
      </c>
      <c r="Q6175" s="1" t="s">
        <v>12677</v>
      </c>
      <c r="R6175" s="1" t="s">
        <v>90</v>
      </c>
      <c r="S6175" s="1" t="s">
        <v>653</v>
      </c>
      <c r="T6175" s="1" t="s">
        <v>654</v>
      </c>
      <c r="U6175" s="2" t="s">
        <v>4646</v>
      </c>
      <c r="V6175" s="2" t="s">
        <v>47</v>
      </c>
      <c r="W6175" s="2" t="s">
        <v>111</v>
      </c>
      <c r="X6175" s="2">
        <v>423.43</v>
      </c>
    </row>
    <row r="6176" spans="1:24" x14ac:dyDescent="0.3">
      <c r="A6176">
        <v>23996</v>
      </c>
      <c r="B6176" t="s">
        <v>12678</v>
      </c>
      <c r="C6176" s="3">
        <v>41707</v>
      </c>
      <c r="D6176" t="s">
        <v>25</v>
      </c>
      <c r="E6176">
        <v>6</v>
      </c>
      <c r="F6176" s="3">
        <f ca="1">41709+(RANDBETWEEN(1,10))</f>
        <v>41713</v>
      </c>
      <c r="G6176" t="s">
        <v>26</v>
      </c>
      <c r="H6176" t="s">
        <v>96</v>
      </c>
      <c r="I6176" t="s">
        <v>52</v>
      </c>
      <c r="J6176">
        <v>40.984999999999999</v>
      </c>
      <c r="K6176">
        <v>0.09</v>
      </c>
      <c r="L6176">
        <v>0.46</v>
      </c>
      <c r="M6176">
        <v>5.7050000000000001</v>
      </c>
      <c r="N6176">
        <v>-59.954999999999998</v>
      </c>
      <c r="O6176" s="1" t="s">
        <v>29</v>
      </c>
      <c r="P6176" s="1" t="s">
        <v>12679</v>
      </c>
      <c r="Q6176" s="1" t="s">
        <v>12680</v>
      </c>
      <c r="R6176" s="1" t="s">
        <v>32</v>
      </c>
      <c r="S6176" s="1" t="s">
        <v>11594</v>
      </c>
      <c r="T6176" s="1" t="s">
        <v>11595</v>
      </c>
      <c r="U6176" s="2" t="s">
        <v>3593</v>
      </c>
      <c r="V6176" s="2" t="s">
        <v>47</v>
      </c>
      <c r="W6176" s="2" t="s">
        <v>104</v>
      </c>
      <c r="X6176" s="2">
        <v>6.8250000000000002</v>
      </c>
    </row>
    <row r="6177" spans="1:24" x14ac:dyDescent="0.3">
      <c r="A6177">
        <v>23997</v>
      </c>
      <c r="B6177" t="s">
        <v>12681</v>
      </c>
      <c r="C6177" s="3">
        <v>40944</v>
      </c>
      <c r="D6177" t="s">
        <v>50</v>
      </c>
      <c r="E6177">
        <v>10</v>
      </c>
      <c r="F6177" s="3">
        <f ca="1">40946+(RANDBETWEEN(1,10))</f>
        <v>40948</v>
      </c>
      <c r="G6177" t="s">
        <v>26</v>
      </c>
      <c r="H6177" t="s">
        <v>27</v>
      </c>
      <c r="I6177" t="s">
        <v>97</v>
      </c>
      <c r="J6177">
        <v>1647.73</v>
      </c>
      <c r="K6177">
        <v>0.04</v>
      </c>
      <c r="L6177">
        <v>0.59</v>
      </c>
      <c r="M6177">
        <v>15.75</v>
      </c>
      <c r="N6177">
        <v>1136.9337</v>
      </c>
      <c r="O6177" s="1" t="s">
        <v>29</v>
      </c>
      <c r="P6177" s="1" t="s">
        <v>7017</v>
      </c>
      <c r="Q6177" s="1" t="s">
        <v>7018</v>
      </c>
      <c r="R6177" s="1" t="s">
        <v>460</v>
      </c>
      <c r="S6177" s="1" t="s">
        <v>4527</v>
      </c>
      <c r="T6177" s="1" t="s">
        <v>4528</v>
      </c>
      <c r="U6177" s="2" t="s">
        <v>4713</v>
      </c>
      <c r="V6177" s="2" t="s">
        <v>47</v>
      </c>
      <c r="W6177" s="2" t="s">
        <v>71</v>
      </c>
      <c r="X6177" s="2">
        <v>171.22</v>
      </c>
    </row>
    <row r="6178" spans="1:24" x14ac:dyDescent="0.3">
      <c r="A6178">
        <v>23998</v>
      </c>
      <c r="B6178" t="s">
        <v>12681</v>
      </c>
      <c r="C6178" s="3">
        <v>40944</v>
      </c>
      <c r="D6178" t="s">
        <v>50</v>
      </c>
      <c r="E6178">
        <v>1</v>
      </c>
      <c r="F6178" s="3">
        <f ca="1">40946+(RANDBETWEEN(1,10))</f>
        <v>40954</v>
      </c>
      <c r="G6178" t="s">
        <v>26</v>
      </c>
      <c r="H6178" t="s">
        <v>27</v>
      </c>
      <c r="I6178" t="s">
        <v>97</v>
      </c>
      <c r="J6178">
        <v>36.82</v>
      </c>
      <c r="K6178">
        <v>0.03</v>
      </c>
      <c r="L6178">
        <v>0.39</v>
      </c>
      <c r="M6178">
        <v>10.465</v>
      </c>
      <c r="N6178">
        <v>-36.667749999999998</v>
      </c>
      <c r="O6178" s="1" t="s">
        <v>29</v>
      </c>
      <c r="P6178" s="1" t="s">
        <v>7017</v>
      </c>
      <c r="Q6178" s="1" t="s">
        <v>7018</v>
      </c>
      <c r="R6178" s="1" t="s">
        <v>460</v>
      </c>
      <c r="S6178" s="1" t="s">
        <v>4527</v>
      </c>
      <c r="T6178" s="1" t="s">
        <v>4528</v>
      </c>
      <c r="U6178" s="2" t="s">
        <v>618</v>
      </c>
      <c r="V6178" s="2" t="s">
        <v>47</v>
      </c>
      <c r="W6178" s="2" t="s">
        <v>111</v>
      </c>
      <c r="X6178" s="2">
        <v>30.414999999999999</v>
      </c>
    </row>
    <row r="6179" spans="1:24" x14ac:dyDescent="0.3">
      <c r="A6179">
        <v>23999</v>
      </c>
      <c r="B6179" t="s">
        <v>12682</v>
      </c>
      <c r="C6179" s="3">
        <v>40962</v>
      </c>
      <c r="D6179" t="s">
        <v>148</v>
      </c>
      <c r="E6179">
        <v>9</v>
      </c>
      <c r="F6179" s="3">
        <f ca="1">40964+(RANDBETWEEN(1,10))</f>
        <v>40972</v>
      </c>
      <c r="G6179" t="s">
        <v>26</v>
      </c>
      <c r="H6179" t="s">
        <v>27</v>
      </c>
      <c r="I6179" t="s">
        <v>52</v>
      </c>
      <c r="J6179">
        <v>1154.825</v>
      </c>
      <c r="K6179">
        <v>0.02</v>
      </c>
      <c r="L6179">
        <v>0.38</v>
      </c>
      <c r="M6179">
        <v>69.965000000000003</v>
      </c>
      <c r="N6179">
        <v>166.77500000000001</v>
      </c>
      <c r="O6179" s="1" t="s">
        <v>29</v>
      </c>
      <c r="P6179" s="1" t="s">
        <v>12683</v>
      </c>
      <c r="Q6179" s="1" t="s">
        <v>12684</v>
      </c>
      <c r="R6179" s="1" t="s">
        <v>675</v>
      </c>
      <c r="S6179" s="1" t="s">
        <v>12685</v>
      </c>
      <c r="T6179" s="1" t="s">
        <v>5053</v>
      </c>
      <c r="U6179" s="2" t="s">
        <v>3329</v>
      </c>
      <c r="V6179" s="2" t="s">
        <v>47</v>
      </c>
      <c r="W6179" s="2" t="s">
        <v>74</v>
      </c>
      <c r="X6179" s="2">
        <v>124.04</v>
      </c>
    </row>
    <row r="6180" spans="1:24" x14ac:dyDescent="0.3">
      <c r="A6180">
        <v>24000</v>
      </c>
      <c r="B6180" t="s">
        <v>12682</v>
      </c>
      <c r="C6180" s="3">
        <v>40962</v>
      </c>
      <c r="D6180" t="s">
        <v>148</v>
      </c>
      <c r="E6180">
        <v>3</v>
      </c>
      <c r="F6180" s="3">
        <f ca="1">40963+(RANDBETWEEN(1,10))</f>
        <v>40973</v>
      </c>
      <c r="G6180" t="s">
        <v>26</v>
      </c>
      <c r="H6180" t="s">
        <v>27</v>
      </c>
      <c r="I6180" t="s">
        <v>52</v>
      </c>
      <c r="J6180">
        <v>202.54499999999999</v>
      </c>
      <c r="K6180">
        <v>0.02</v>
      </c>
      <c r="L6180">
        <v>0.59</v>
      </c>
      <c r="M6180">
        <v>33.145000000000003</v>
      </c>
      <c r="N6180">
        <v>-152.32</v>
      </c>
      <c r="O6180" s="1" t="s">
        <v>29</v>
      </c>
      <c r="P6180" s="1" t="s">
        <v>12686</v>
      </c>
      <c r="Q6180" s="1" t="s">
        <v>12687</v>
      </c>
      <c r="R6180" s="1" t="s">
        <v>32</v>
      </c>
      <c r="S6180" s="1" t="s">
        <v>12688</v>
      </c>
      <c r="T6180" s="1" t="s">
        <v>12689</v>
      </c>
      <c r="U6180" s="2" t="s">
        <v>811</v>
      </c>
      <c r="V6180" s="2" t="s">
        <v>47</v>
      </c>
      <c r="W6180" s="2" t="s">
        <v>119</v>
      </c>
      <c r="X6180" s="2">
        <v>61.95</v>
      </c>
    </row>
    <row r="6181" spans="1:24" x14ac:dyDescent="0.3">
      <c r="A6181">
        <v>24001</v>
      </c>
      <c r="B6181" t="s">
        <v>12690</v>
      </c>
      <c r="C6181" s="3">
        <v>41693</v>
      </c>
      <c r="D6181" t="s">
        <v>148</v>
      </c>
      <c r="E6181">
        <v>8</v>
      </c>
      <c r="F6181" s="3">
        <f ca="1">41694+(RANDBETWEEN(1,10))</f>
        <v>41696</v>
      </c>
      <c r="G6181" t="s">
        <v>156</v>
      </c>
      <c r="H6181" t="s">
        <v>51</v>
      </c>
      <c r="I6181" t="s">
        <v>52</v>
      </c>
      <c r="J6181">
        <v>282.76499999999999</v>
      </c>
      <c r="K6181">
        <v>0.02</v>
      </c>
      <c r="L6181">
        <v>0.43</v>
      </c>
      <c r="M6181">
        <v>6.9649999999999999</v>
      </c>
      <c r="N6181">
        <v>195.10785000000001</v>
      </c>
      <c r="O6181" s="1" t="s">
        <v>64</v>
      </c>
      <c r="P6181" s="1" t="s">
        <v>12691</v>
      </c>
      <c r="Q6181" s="1" t="s">
        <v>12692</v>
      </c>
      <c r="R6181" s="1" t="s">
        <v>128</v>
      </c>
      <c r="S6181" s="1" t="s">
        <v>12693</v>
      </c>
      <c r="T6181" s="1" t="s">
        <v>12694</v>
      </c>
      <c r="U6181" s="2" t="s">
        <v>237</v>
      </c>
      <c r="V6181" s="2" t="s">
        <v>36</v>
      </c>
      <c r="W6181" s="2" t="s">
        <v>60</v>
      </c>
      <c r="X6181" s="2">
        <v>34.229999999999997</v>
      </c>
    </row>
    <row r="6182" spans="1:24" x14ac:dyDescent="0.3">
      <c r="A6182">
        <v>24002</v>
      </c>
      <c r="B6182" t="s">
        <v>12682</v>
      </c>
      <c r="C6182" s="3">
        <v>40962</v>
      </c>
      <c r="D6182" t="s">
        <v>148</v>
      </c>
      <c r="E6182">
        <v>12</v>
      </c>
      <c r="F6182" s="3">
        <f ca="1">40964+(RANDBETWEEN(1,10))</f>
        <v>40967</v>
      </c>
      <c r="G6182" t="s">
        <v>26</v>
      </c>
      <c r="H6182" t="s">
        <v>96</v>
      </c>
      <c r="I6182" t="s">
        <v>52</v>
      </c>
      <c r="J6182">
        <v>147.245</v>
      </c>
      <c r="K6182">
        <v>0.01</v>
      </c>
      <c r="L6182">
        <v>0.39</v>
      </c>
      <c r="M6182">
        <v>2.66</v>
      </c>
      <c r="N6182">
        <v>101.59905000000001</v>
      </c>
      <c r="O6182" s="1" t="s">
        <v>40</v>
      </c>
      <c r="P6182" s="1" t="s">
        <v>12695</v>
      </c>
      <c r="Q6182" s="1" t="s">
        <v>12696</v>
      </c>
      <c r="R6182" s="1" t="s">
        <v>43</v>
      </c>
      <c r="S6182" s="1" t="s">
        <v>12697</v>
      </c>
      <c r="T6182" s="1" t="s">
        <v>12698</v>
      </c>
      <c r="U6182" s="2" t="s">
        <v>1730</v>
      </c>
      <c r="V6182" s="2" t="s">
        <v>47</v>
      </c>
      <c r="W6182" s="2" t="s">
        <v>176</v>
      </c>
      <c r="X6182" s="2">
        <v>12.215</v>
      </c>
    </row>
    <row r="6183" spans="1:24" x14ac:dyDescent="0.3">
      <c r="A6183">
        <v>24003</v>
      </c>
      <c r="B6183" t="s">
        <v>12682</v>
      </c>
      <c r="C6183" s="3">
        <v>40962</v>
      </c>
      <c r="D6183" t="s">
        <v>148</v>
      </c>
      <c r="E6183">
        <v>7</v>
      </c>
      <c r="F6183" s="3">
        <f ca="1">40963+(RANDBETWEEN(1,10))</f>
        <v>40965</v>
      </c>
      <c r="G6183" t="s">
        <v>26</v>
      </c>
      <c r="H6183" t="s">
        <v>27</v>
      </c>
      <c r="I6183" t="s">
        <v>52</v>
      </c>
      <c r="J6183">
        <v>169.54</v>
      </c>
      <c r="K6183">
        <v>0.02</v>
      </c>
      <c r="L6183">
        <v>0.37</v>
      </c>
      <c r="M6183">
        <v>32.094999999999999</v>
      </c>
      <c r="N6183">
        <v>-517.02</v>
      </c>
      <c r="O6183" s="1" t="s">
        <v>40</v>
      </c>
      <c r="P6183" s="1" t="s">
        <v>12699</v>
      </c>
      <c r="Q6183" s="1" t="s">
        <v>12700</v>
      </c>
      <c r="R6183" s="1" t="s">
        <v>220</v>
      </c>
      <c r="S6183" s="1" t="s">
        <v>10792</v>
      </c>
      <c r="T6183" s="1" t="s">
        <v>10793</v>
      </c>
      <c r="U6183" s="2" t="s">
        <v>4991</v>
      </c>
      <c r="V6183" s="2" t="s">
        <v>47</v>
      </c>
      <c r="W6183" s="2" t="s">
        <v>74</v>
      </c>
      <c r="X6183" s="2">
        <v>22.68</v>
      </c>
    </row>
    <row r="6184" spans="1:24" x14ac:dyDescent="0.3">
      <c r="A6184">
        <v>24004</v>
      </c>
      <c r="B6184" t="s">
        <v>12701</v>
      </c>
      <c r="C6184" s="3">
        <v>41922</v>
      </c>
      <c r="D6184" t="s">
        <v>25</v>
      </c>
      <c r="E6184">
        <v>1</v>
      </c>
      <c r="F6184" s="3">
        <f ca="1">41926+(RANDBETWEEN(1,10))</f>
        <v>41928</v>
      </c>
      <c r="G6184" t="s">
        <v>26</v>
      </c>
      <c r="H6184" t="s">
        <v>96</v>
      </c>
      <c r="I6184" t="s">
        <v>86</v>
      </c>
      <c r="J6184">
        <v>11.095000000000001</v>
      </c>
      <c r="K6184">
        <v>0.08</v>
      </c>
      <c r="L6184">
        <v>0.59</v>
      </c>
      <c r="M6184">
        <v>3.395</v>
      </c>
      <c r="N6184">
        <v>-15.54</v>
      </c>
      <c r="O6184" s="1" t="s">
        <v>225</v>
      </c>
      <c r="P6184" s="1" t="s">
        <v>12702</v>
      </c>
      <c r="Q6184" s="1" t="s">
        <v>12703</v>
      </c>
      <c r="R6184" s="1" t="s">
        <v>391</v>
      </c>
      <c r="S6184" s="1" t="s">
        <v>12704</v>
      </c>
      <c r="T6184" s="1" t="s">
        <v>12705</v>
      </c>
      <c r="U6184" s="2" t="s">
        <v>4579</v>
      </c>
      <c r="V6184" s="2" t="s">
        <v>47</v>
      </c>
      <c r="W6184" s="2" t="s">
        <v>104</v>
      </c>
      <c r="X6184" s="2">
        <v>9.73</v>
      </c>
    </row>
    <row r="6185" spans="1:24" x14ac:dyDescent="0.3">
      <c r="A6185">
        <v>24005</v>
      </c>
      <c r="B6185" t="s">
        <v>12706</v>
      </c>
      <c r="C6185" s="3">
        <v>41192</v>
      </c>
      <c r="D6185" t="s">
        <v>25</v>
      </c>
      <c r="E6185">
        <v>4</v>
      </c>
      <c r="F6185" s="3">
        <f ca="1">41197+(RANDBETWEEN(1,10))</f>
        <v>41204</v>
      </c>
      <c r="G6185" t="s">
        <v>26</v>
      </c>
      <c r="H6185" t="s">
        <v>27</v>
      </c>
      <c r="I6185" t="s">
        <v>86</v>
      </c>
      <c r="J6185">
        <v>100.03</v>
      </c>
      <c r="K6185">
        <v>0.03</v>
      </c>
      <c r="L6185">
        <v>0.4</v>
      </c>
      <c r="M6185">
        <v>26.25</v>
      </c>
      <c r="N6185">
        <v>-128.33099999999999</v>
      </c>
      <c r="O6185" s="1" t="s">
        <v>225</v>
      </c>
      <c r="P6185" s="1" t="s">
        <v>12707</v>
      </c>
      <c r="Q6185" s="1" t="s">
        <v>12708</v>
      </c>
      <c r="R6185" s="1" t="s">
        <v>228</v>
      </c>
      <c r="S6185" s="1" t="s">
        <v>12709</v>
      </c>
      <c r="T6185" s="1" t="s">
        <v>12710</v>
      </c>
      <c r="U6185" s="2" t="s">
        <v>6464</v>
      </c>
      <c r="V6185" s="2" t="s">
        <v>47</v>
      </c>
      <c r="W6185" s="2" t="s">
        <v>74</v>
      </c>
      <c r="X6185" s="2">
        <v>20.93</v>
      </c>
    </row>
    <row r="6186" spans="1:24" x14ac:dyDescent="0.3">
      <c r="A6186">
        <v>24006</v>
      </c>
      <c r="B6186" t="s">
        <v>12706</v>
      </c>
      <c r="C6186" s="3">
        <v>41192</v>
      </c>
      <c r="D6186" t="s">
        <v>25</v>
      </c>
      <c r="E6186">
        <v>22</v>
      </c>
      <c r="F6186" s="3">
        <f ca="1">41196+(RANDBETWEEN(1,10))</f>
        <v>41201</v>
      </c>
      <c r="G6186" t="s">
        <v>26</v>
      </c>
      <c r="H6186" t="s">
        <v>27</v>
      </c>
      <c r="I6186" t="s">
        <v>86</v>
      </c>
      <c r="J6186">
        <v>4807.5649999999996</v>
      </c>
      <c r="K6186">
        <v>0.04</v>
      </c>
      <c r="L6186">
        <v>0.56999999999999995</v>
      </c>
      <c r="M6186">
        <v>12.25</v>
      </c>
      <c r="N6186">
        <v>3317.21985</v>
      </c>
      <c r="O6186" s="1" t="s">
        <v>53</v>
      </c>
      <c r="P6186" s="1" t="s">
        <v>12711</v>
      </c>
      <c r="Q6186" s="1" t="s">
        <v>12712</v>
      </c>
      <c r="R6186" s="1" t="s">
        <v>100</v>
      </c>
      <c r="S6186" s="1" t="s">
        <v>12713</v>
      </c>
      <c r="T6186" s="1" t="s">
        <v>12714</v>
      </c>
      <c r="U6186" s="2" t="s">
        <v>6491</v>
      </c>
      <c r="V6186" s="2" t="s">
        <v>47</v>
      </c>
      <c r="W6186" s="2" t="s">
        <v>71</v>
      </c>
      <c r="X6186" s="2">
        <v>210.77</v>
      </c>
    </row>
    <row r="6187" spans="1:24" x14ac:dyDescent="0.3">
      <c r="A6187">
        <v>24007</v>
      </c>
      <c r="B6187" t="s">
        <v>12715</v>
      </c>
      <c r="C6187" s="3">
        <v>41676</v>
      </c>
      <c r="D6187" t="s">
        <v>25</v>
      </c>
      <c r="E6187">
        <v>4</v>
      </c>
      <c r="F6187" s="3">
        <f ca="1">41678+(RANDBETWEEN(1,10))</f>
        <v>41681</v>
      </c>
      <c r="G6187" t="s">
        <v>156</v>
      </c>
      <c r="H6187" t="s">
        <v>27</v>
      </c>
      <c r="I6187" t="s">
        <v>52</v>
      </c>
      <c r="J6187">
        <v>992.11</v>
      </c>
      <c r="K6187">
        <v>7.0000000000000007E-2</v>
      </c>
      <c r="L6187">
        <v>0.35</v>
      </c>
      <c r="M6187">
        <v>8.75</v>
      </c>
      <c r="N6187">
        <v>684.55589999999995</v>
      </c>
      <c r="O6187" s="1" t="s">
        <v>29</v>
      </c>
      <c r="P6187" s="1" t="s">
        <v>4452</v>
      </c>
      <c r="Q6187" s="1" t="s">
        <v>4453</v>
      </c>
      <c r="R6187" s="1" t="s">
        <v>32</v>
      </c>
      <c r="S6187" s="1" t="s">
        <v>4454</v>
      </c>
      <c r="T6187" s="1" t="s">
        <v>4455</v>
      </c>
      <c r="U6187" s="2" t="s">
        <v>8893</v>
      </c>
      <c r="V6187" s="2" t="s">
        <v>36</v>
      </c>
      <c r="W6187" s="2" t="s">
        <v>37</v>
      </c>
      <c r="X6187" s="2">
        <v>300.96499999999997</v>
      </c>
    </row>
    <row r="6188" spans="1:24" x14ac:dyDescent="0.3">
      <c r="A6188">
        <v>24008</v>
      </c>
      <c r="B6188" t="s">
        <v>12716</v>
      </c>
      <c r="C6188" s="3">
        <v>41863</v>
      </c>
      <c r="D6188" t="s">
        <v>148</v>
      </c>
      <c r="E6188">
        <v>4</v>
      </c>
      <c r="F6188" s="3">
        <f ca="1">41863+(RANDBETWEEN(1,10))</f>
        <v>41870</v>
      </c>
      <c r="G6188" t="s">
        <v>156</v>
      </c>
      <c r="H6188" t="s">
        <v>27</v>
      </c>
      <c r="I6188" t="s">
        <v>28</v>
      </c>
      <c r="J6188">
        <v>88.515000000000001</v>
      </c>
      <c r="K6188">
        <v>7.0000000000000007E-2</v>
      </c>
      <c r="L6188">
        <v>0.35</v>
      </c>
      <c r="M6188">
        <v>18.934999999999999</v>
      </c>
      <c r="N6188">
        <v>-21.315434</v>
      </c>
      <c r="O6188" s="1" t="s">
        <v>87</v>
      </c>
      <c r="P6188" s="1" t="s">
        <v>12600</v>
      </c>
      <c r="Q6188" s="1" t="s">
        <v>12601</v>
      </c>
      <c r="R6188" s="1" t="s">
        <v>90</v>
      </c>
      <c r="S6188" s="1" t="s">
        <v>5001</v>
      </c>
      <c r="T6188" s="1" t="s">
        <v>5002</v>
      </c>
      <c r="U6188" s="2" t="s">
        <v>231</v>
      </c>
      <c r="V6188" s="2" t="s">
        <v>47</v>
      </c>
      <c r="W6188" s="2" t="s">
        <v>111</v>
      </c>
      <c r="X6188" s="2">
        <v>14.84</v>
      </c>
    </row>
    <row r="6189" spans="1:24" x14ac:dyDescent="0.3">
      <c r="A6189">
        <v>24009</v>
      </c>
      <c r="B6189" t="s">
        <v>12717</v>
      </c>
      <c r="C6189" s="3">
        <v>41894</v>
      </c>
      <c r="D6189" t="s">
        <v>25</v>
      </c>
      <c r="E6189">
        <v>18</v>
      </c>
      <c r="F6189" s="3">
        <f ca="1">41901+(RANDBETWEEN(1,10))</f>
        <v>41902</v>
      </c>
      <c r="G6189" t="s">
        <v>76</v>
      </c>
      <c r="H6189" t="s">
        <v>77</v>
      </c>
      <c r="I6189" t="s">
        <v>86</v>
      </c>
      <c r="J6189">
        <v>13443.955</v>
      </c>
      <c r="K6189">
        <v>0.02</v>
      </c>
      <c r="L6189">
        <v>0.57999999999999996</v>
      </c>
      <c r="M6189">
        <v>83.16</v>
      </c>
      <c r="N6189">
        <v>8147.4498000000003</v>
      </c>
      <c r="O6189" s="1" t="s">
        <v>29</v>
      </c>
      <c r="P6189" s="1" t="s">
        <v>11691</v>
      </c>
      <c r="Q6189" s="1" t="s">
        <v>11692</v>
      </c>
      <c r="R6189" s="1" t="s">
        <v>32</v>
      </c>
      <c r="S6189" s="1" t="s">
        <v>842</v>
      </c>
      <c r="T6189" s="1" t="s">
        <v>11693</v>
      </c>
      <c r="U6189" s="2" t="s">
        <v>3990</v>
      </c>
      <c r="V6189" s="2" t="s">
        <v>83</v>
      </c>
      <c r="W6189" s="2" t="s">
        <v>84</v>
      </c>
      <c r="X6189" s="2">
        <v>703.43</v>
      </c>
    </row>
    <row r="6190" spans="1:24" x14ac:dyDescent="0.3">
      <c r="A6190">
        <v>24010</v>
      </c>
      <c r="B6190" t="s">
        <v>12718</v>
      </c>
      <c r="C6190" s="3">
        <v>41904</v>
      </c>
      <c r="D6190" t="s">
        <v>25</v>
      </c>
      <c r="E6190">
        <v>17</v>
      </c>
      <c r="F6190" s="3">
        <f ca="1">41911+(RANDBETWEEN(1,10))</f>
        <v>41912</v>
      </c>
      <c r="G6190" t="s">
        <v>26</v>
      </c>
      <c r="H6190" t="s">
        <v>27</v>
      </c>
      <c r="I6190" t="s">
        <v>97</v>
      </c>
      <c r="J6190">
        <v>511.7</v>
      </c>
      <c r="K6190">
        <v>0.04</v>
      </c>
      <c r="L6190">
        <v>0.39</v>
      </c>
      <c r="M6190">
        <v>10.465</v>
      </c>
      <c r="N6190">
        <v>8.8409999999999993</v>
      </c>
      <c r="O6190" s="1" t="s">
        <v>53</v>
      </c>
      <c r="P6190" s="1" t="s">
        <v>11102</v>
      </c>
      <c r="Q6190" s="1" t="s">
        <v>11103</v>
      </c>
      <c r="R6190" s="1" t="s">
        <v>56</v>
      </c>
      <c r="S6190" s="1" t="s">
        <v>11104</v>
      </c>
      <c r="T6190" s="1" t="s">
        <v>11105</v>
      </c>
      <c r="U6190" s="2" t="s">
        <v>618</v>
      </c>
      <c r="V6190" s="2" t="s">
        <v>47</v>
      </c>
      <c r="W6190" s="2" t="s">
        <v>111</v>
      </c>
      <c r="X6190" s="2">
        <v>30.414999999999999</v>
      </c>
    </row>
    <row r="6191" spans="1:24" x14ac:dyDescent="0.3">
      <c r="A6191">
        <v>24011</v>
      </c>
      <c r="B6191" t="s">
        <v>12719</v>
      </c>
      <c r="C6191" s="3">
        <v>41650</v>
      </c>
      <c r="D6191" t="s">
        <v>62</v>
      </c>
      <c r="E6191">
        <v>3</v>
      </c>
      <c r="F6191" s="3">
        <f ca="1">41652+(RANDBETWEEN(1,10))</f>
        <v>41653</v>
      </c>
      <c r="G6191" t="s">
        <v>76</v>
      </c>
      <c r="H6191" t="s">
        <v>258</v>
      </c>
      <c r="I6191" t="s">
        <v>86</v>
      </c>
      <c r="J6191">
        <v>1697.78</v>
      </c>
      <c r="K6191">
        <v>0</v>
      </c>
      <c r="L6191">
        <v>0.65</v>
      </c>
      <c r="M6191">
        <v>153.125</v>
      </c>
      <c r="N6191">
        <v>-81.635400000000004</v>
      </c>
      <c r="O6191" s="1" t="s">
        <v>40</v>
      </c>
      <c r="P6191" s="1" t="s">
        <v>11601</v>
      </c>
      <c r="Q6191" s="1" t="s">
        <v>11602</v>
      </c>
      <c r="R6191" s="1" t="s">
        <v>43</v>
      </c>
      <c r="S6191" s="1" t="s">
        <v>11603</v>
      </c>
      <c r="T6191" s="1" t="s">
        <v>11604</v>
      </c>
      <c r="U6191" s="2" t="s">
        <v>262</v>
      </c>
      <c r="V6191" s="2" t="s">
        <v>83</v>
      </c>
      <c r="W6191" s="2" t="s">
        <v>263</v>
      </c>
      <c r="X6191" s="2">
        <v>512.19000000000005</v>
      </c>
    </row>
    <row r="6192" spans="1:24" x14ac:dyDescent="0.3">
      <c r="A6192">
        <v>24012</v>
      </c>
      <c r="B6192" t="s">
        <v>12720</v>
      </c>
      <c r="C6192" s="3">
        <v>41865</v>
      </c>
      <c r="D6192" t="s">
        <v>148</v>
      </c>
      <c r="E6192">
        <v>5</v>
      </c>
      <c r="F6192" s="3">
        <f ca="1">41867+(RANDBETWEEN(1,10))</f>
        <v>41874</v>
      </c>
      <c r="G6192" t="s">
        <v>26</v>
      </c>
      <c r="H6192" t="s">
        <v>96</v>
      </c>
      <c r="I6192" t="s">
        <v>28</v>
      </c>
      <c r="J6192">
        <v>100.625</v>
      </c>
      <c r="K6192">
        <v>0.05</v>
      </c>
      <c r="L6192">
        <v>0.6</v>
      </c>
      <c r="M6192">
        <v>2.4500000000000002</v>
      </c>
      <c r="N6192">
        <v>22.946560000000002</v>
      </c>
      <c r="O6192" s="1" t="s">
        <v>29</v>
      </c>
      <c r="P6192" s="1" t="s">
        <v>1803</v>
      </c>
      <c r="Q6192" s="1" t="s">
        <v>1804</v>
      </c>
      <c r="R6192" s="1" t="s">
        <v>675</v>
      </c>
      <c r="S6192" s="1" t="s">
        <v>1805</v>
      </c>
      <c r="T6192" s="1" t="s">
        <v>1806</v>
      </c>
      <c r="U6192" s="2" t="s">
        <v>549</v>
      </c>
      <c r="V6192" s="2" t="s">
        <v>47</v>
      </c>
      <c r="W6192" s="2" t="s">
        <v>104</v>
      </c>
      <c r="X6192" s="2">
        <v>19.53</v>
      </c>
    </row>
    <row r="6193" spans="1:24" x14ac:dyDescent="0.3">
      <c r="A6193">
        <v>24013</v>
      </c>
      <c r="B6193" t="s">
        <v>12721</v>
      </c>
      <c r="C6193" s="3">
        <v>41723</v>
      </c>
      <c r="D6193" t="s">
        <v>148</v>
      </c>
      <c r="E6193">
        <v>1</v>
      </c>
      <c r="F6193" s="3">
        <f ca="1">41725+(RANDBETWEEN(1,10))</f>
        <v>41728</v>
      </c>
      <c r="G6193" t="s">
        <v>26</v>
      </c>
      <c r="H6193" t="s">
        <v>51</v>
      </c>
      <c r="I6193" t="s">
        <v>28</v>
      </c>
      <c r="J6193">
        <v>20.754999999999999</v>
      </c>
      <c r="K6193">
        <v>0.04</v>
      </c>
      <c r="L6193">
        <v>0.64</v>
      </c>
      <c r="M6193">
        <v>15.12</v>
      </c>
      <c r="N6193">
        <v>-114.73</v>
      </c>
      <c r="O6193" s="1" t="s">
        <v>87</v>
      </c>
      <c r="P6193" s="1" t="s">
        <v>2198</v>
      </c>
      <c r="Q6193" s="1" t="s">
        <v>2199</v>
      </c>
      <c r="R6193" s="1" t="s">
        <v>398</v>
      </c>
      <c r="S6193" s="1" t="s">
        <v>2200</v>
      </c>
      <c r="T6193" s="1" t="s">
        <v>2201</v>
      </c>
      <c r="U6193" s="2" t="s">
        <v>6443</v>
      </c>
      <c r="V6193" s="2" t="s">
        <v>36</v>
      </c>
      <c r="W6193" s="2" t="s">
        <v>60</v>
      </c>
      <c r="X6193" s="2">
        <v>17.43</v>
      </c>
    </row>
    <row r="6194" spans="1:24" x14ac:dyDescent="0.3">
      <c r="A6194">
        <v>24014</v>
      </c>
      <c r="B6194" t="s">
        <v>12722</v>
      </c>
      <c r="C6194" s="3">
        <v>40639</v>
      </c>
      <c r="D6194" t="s">
        <v>148</v>
      </c>
      <c r="E6194">
        <v>8</v>
      </c>
      <c r="F6194" s="3">
        <f ca="1">40640+(RANDBETWEEN(1,10))</f>
        <v>40643</v>
      </c>
      <c r="G6194" t="s">
        <v>76</v>
      </c>
      <c r="H6194" t="s">
        <v>258</v>
      </c>
      <c r="I6194" t="s">
        <v>52</v>
      </c>
      <c r="J6194">
        <v>8544.4449999999997</v>
      </c>
      <c r="K6194">
        <v>0.04</v>
      </c>
      <c r="L6194">
        <v>0.55000000000000004</v>
      </c>
      <c r="M6194">
        <v>192.22</v>
      </c>
      <c r="N6194">
        <v>5895.66705</v>
      </c>
      <c r="O6194" s="1" t="s">
        <v>87</v>
      </c>
      <c r="P6194" s="1" t="s">
        <v>12723</v>
      </c>
      <c r="Q6194" s="1" t="s">
        <v>12724</v>
      </c>
      <c r="R6194" s="1" t="s">
        <v>497</v>
      </c>
      <c r="S6194" s="1" t="s">
        <v>11150</v>
      </c>
      <c r="T6194" s="1" t="s">
        <v>11151</v>
      </c>
      <c r="U6194" s="2" t="s">
        <v>5085</v>
      </c>
      <c r="V6194" s="2" t="s">
        <v>83</v>
      </c>
      <c r="W6194" s="2" t="s">
        <v>298</v>
      </c>
      <c r="X6194" s="2">
        <v>1053.43</v>
      </c>
    </row>
    <row r="6195" spans="1:24" x14ac:dyDescent="0.3">
      <c r="A6195">
        <v>24015</v>
      </c>
      <c r="B6195" t="s">
        <v>12725</v>
      </c>
      <c r="C6195" s="3">
        <v>41399</v>
      </c>
      <c r="D6195" t="s">
        <v>50</v>
      </c>
      <c r="E6195">
        <v>2</v>
      </c>
      <c r="F6195" s="3">
        <f ca="1">41401+(RANDBETWEEN(1,10))</f>
        <v>41408</v>
      </c>
      <c r="G6195" t="s">
        <v>76</v>
      </c>
      <c r="H6195" t="s">
        <v>77</v>
      </c>
      <c r="I6195" t="s">
        <v>52</v>
      </c>
      <c r="J6195">
        <v>2098.8449999999998</v>
      </c>
      <c r="K6195">
        <v>0.01</v>
      </c>
      <c r="L6195" t="s">
        <v>182</v>
      </c>
      <c r="M6195">
        <v>210</v>
      </c>
      <c r="N6195">
        <v>786.8</v>
      </c>
      <c r="O6195" s="1" t="s">
        <v>53</v>
      </c>
      <c r="P6195" s="1" t="s">
        <v>11781</v>
      </c>
      <c r="Q6195" s="1" t="s">
        <v>11782</v>
      </c>
      <c r="R6195" s="1" t="s">
        <v>56</v>
      </c>
      <c r="S6195" s="1" t="s">
        <v>2786</v>
      </c>
      <c r="T6195" s="1" t="s">
        <v>11783</v>
      </c>
      <c r="U6195" s="2" t="s">
        <v>3108</v>
      </c>
      <c r="V6195" s="2" t="s">
        <v>83</v>
      </c>
      <c r="W6195" s="2" t="s">
        <v>263</v>
      </c>
      <c r="X6195" s="2">
        <v>1223.075</v>
      </c>
    </row>
    <row r="6196" spans="1:24" x14ac:dyDescent="0.3">
      <c r="A6196">
        <v>24016</v>
      </c>
      <c r="B6196" t="s">
        <v>12726</v>
      </c>
      <c r="C6196" s="3">
        <v>40672</v>
      </c>
      <c r="D6196" t="s">
        <v>39</v>
      </c>
      <c r="E6196">
        <v>15</v>
      </c>
      <c r="F6196" s="3">
        <f ca="1">40672+(RANDBETWEEN(1,10))</f>
        <v>40682</v>
      </c>
      <c r="G6196" t="s">
        <v>26</v>
      </c>
      <c r="H6196" t="s">
        <v>51</v>
      </c>
      <c r="I6196" t="s">
        <v>28</v>
      </c>
      <c r="J6196">
        <v>329.94499999999999</v>
      </c>
      <c r="K6196">
        <v>0.05</v>
      </c>
      <c r="L6196">
        <v>0.71</v>
      </c>
      <c r="M6196">
        <v>9.59</v>
      </c>
      <c r="N6196">
        <v>52.835999999999999</v>
      </c>
      <c r="O6196" s="1" t="s">
        <v>29</v>
      </c>
      <c r="P6196" s="1" t="s">
        <v>12727</v>
      </c>
      <c r="Q6196" s="1" t="s">
        <v>12728</v>
      </c>
      <c r="R6196" s="1" t="s">
        <v>32</v>
      </c>
      <c r="S6196" s="1" t="s">
        <v>12729</v>
      </c>
      <c r="T6196" s="1" t="s">
        <v>12730</v>
      </c>
      <c r="U6196" s="2" t="s">
        <v>3887</v>
      </c>
      <c r="V6196" s="2" t="s">
        <v>36</v>
      </c>
      <c r="W6196" s="2" t="s">
        <v>60</v>
      </c>
      <c r="X6196" s="2">
        <v>22.68</v>
      </c>
    </row>
    <row r="6197" spans="1:24" x14ac:dyDescent="0.3">
      <c r="A6197">
        <v>24017</v>
      </c>
      <c r="B6197" t="s">
        <v>12726</v>
      </c>
      <c r="C6197" s="3">
        <v>40672</v>
      </c>
      <c r="D6197" t="s">
        <v>39</v>
      </c>
      <c r="E6197">
        <v>7</v>
      </c>
      <c r="F6197" s="3">
        <f ca="1">40673+(RANDBETWEEN(1,10))</f>
        <v>40678</v>
      </c>
      <c r="G6197" t="s">
        <v>26</v>
      </c>
      <c r="H6197" t="s">
        <v>27</v>
      </c>
      <c r="I6197" t="s">
        <v>28</v>
      </c>
      <c r="J6197">
        <v>287.73500000000001</v>
      </c>
      <c r="K6197">
        <v>0.09</v>
      </c>
      <c r="L6197">
        <v>0.38</v>
      </c>
      <c r="M6197">
        <v>1.75</v>
      </c>
      <c r="N6197">
        <v>52.193399999999997</v>
      </c>
      <c r="O6197" s="1" t="s">
        <v>29</v>
      </c>
      <c r="P6197" s="1" t="s">
        <v>12727</v>
      </c>
      <c r="Q6197" s="1" t="s">
        <v>12728</v>
      </c>
      <c r="R6197" s="1" t="s">
        <v>32</v>
      </c>
      <c r="S6197" s="1" t="s">
        <v>12729</v>
      </c>
      <c r="T6197" s="1" t="s">
        <v>12730</v>
      </c>
      <c r="U6197" s="2" t="s">
        <v>7215</v>
      </c>
      <c r="V6197" s="2" t="s">
        <v>47</v>
      </c>
      <c r="W6197" s="2" t="s">
        <v>203</v>
      </c>
      <c r="X6197" s="2">
        <v>43.854999999999997</v>
      </c>
    </row>
    <row r="6198" spans="1:24" x14ac:dyDescent="0.3">
      <c r="A6198">
        <v>24018</v>
      </c>
      <c r="B6198" t="s">
        <v>12731</v>
      </c>
      <c r="C6198" s="3">
        <v>41768</v>
      </c>
      <c r="D6198" t="s">
        <v>39</v>
      </c>
      <c r="E6198">
        <v>14</v>
      </c>
      <c r="F6198" s="3">
        <f ca="1">41769+(RANDBETWEEN(1,10))</f>
        <v>41773</v>
      </c>
      <c r="G6198" t="s">
        <v>26</v>
      </c>
      <c r="H6198" t="s">
        <v>27</v>
      </c>
      <c r="I6198" t="s">
        <v>28</v>
      </c>
      <c r="J6198">
        <v>319.86500000000001</v>
      </c>
      <c r="K6198">
        <v>0.06</v>
      </c>
      <c r="L6198">
        <v>0.37</v>
      </c>
      <c r="M6198">
        <v>18.934999999999999</v>
      </c>
      <c r="N6198">
        <v>202.31399999999999</v>
      </c>
      <c r="O6198" s="1" t="s">
        <v>29</v>
      </c>
      <c r="P6198" s="1" t="s">
        <v>12727</v>
      </c>
      <c r="Q6198" s="1" t="s">
        <v>12728</v>
      </c>
      <c r="R6198" s="1" t="s">
        <v>32</v>
      </c>
      <c r="S6198" s="1" t="s">
        <v>12729</v>
      </c>
      <c r="T6198" s="1" t="s">
        <v>12730</v>
      </c>
      <c r="U6198" s="2" t="s">
        <v>809</v>
      </c>
      <c r="V6198" s="2" t="s">
        <v>47</v>
      </c>
      <c r="W6198" s="2" t="s">
        <v>74</v>
      </c>
      <c r="X6198" s="2">
        <v>23.38</v>
      </c>
    </row>
    <row r="6199" spans="1:24" x14ac:dyDescent="0.3">
      <c r="A6199">
        <v>24019</v>
      </c>
      <c r="B6199" t="s">
        <v>12726</v>
      </c>
      <c r="C6199" s="3">
        <v>40672</v>
      </c>
      <c r="D6199" t="s">
        <v>39</v>
      </c>
      <c r="E6199">
        <v>8</v>
      </c>
      <c r="F6199" s="3">
        <f ca="1">40674+(RANDBETWEEN(1,10))</f>
        <v>40675</v>
      </c>
      <c r="G6199" t="s">
        <v>156</v>
      </c>
      <c r="H6199" t="s">
        <v>27</v>
      </c>
      <c r="I6199" t="s">
        <v>28</v>
      </c>
      <c r="J6199">
        <v>1461.145</v>
      </c>
      <c r="K6199">
        <v>0.08</v>
      </c>
      <c r="L6199">
        <v>0.55000000000000004</v>
      </c>
      <c r="M6199">
        <v>31.465</v>
      </c>
      <c r="N6199">
        <v>-473.291</v>
      </c>
      <c r="O6199" s="1" t="s">
        <v>29</v>
      </c>
      <c r="P6199" s="1" t="s">
        <v>12727</v>
      </c>
      <c r="Q6199" s="1" t="s">
        <v>12728</v>
      </c>
      <c r="R6199" s="1" t="s">
        <v>32</v>
      </c>
      <c r="S6199" s="1" t="s">
        <v>12729</v>
      </c>
      <c r="T6199" s="1" t="s">
        <v>12730</v>
      </c>
      <c r="U6199" s="2" t="s">
        <v>511</v>
      </c>
      <c r="V6199" s="2" t="s">
        <v>36</v>
      </c>
      <c r="W6199" s="2" t="s">
        <v>37</v>
      </c>
      <c r="X6199" s="2">
        <v>230.965</v>
      </c>
    </row>
    <row r="6200" spans="1:24" x14ac:dyDescent="0.3">
      <c r="A6200">
        <v>24020</v>
      </c>
      <c r="B6200" t="s">
        <v>12732</v>
      </c>
      <c r="C6200" s="3">
        <v>41550</v>
      </c>
      <c r="D6200" t="s">
        <v>25</v>
      </c>
      <c r="E6200">
        <v>24</v>
      </c>
      <c r="F6200" s="3">
        <f ca="1">41552+(RANDBETWEEN(1,10))</f>
        <v>41555</v>
      </c>
      <c r="G6200" t="s">
        <v>26</v>
      </c>
      <c r="H6200" t="s">
        <v>27</v>
      </c>
      <c r="I6200" t="s">
        <v>52</v>
      </c>
      <c r="J6200">
        <v>1654.6949999999999</v>
      </c>
      <c r="K6200">
        <v>0.03</v>
      </c>
      <c r="L6200">
        <v>0.38</v>
      </c>
      <c r="M6200">
        <v>20.895</v>
      </c>
      <c r="N6200">
        <v>819.74760000000003</v>
      </c>
      <c r="O6200" s="1" t="s">
        <v>40</v>
      </c>
      <c r="P6200" s="1" t="s">
        <v>12733</v>
      </c>
      <c r="Q6200" s="1" t="s">
        <v>12734</v>
      </c>
      <c r="R6200" s="1" t="s">
        <v>43</v>
      </c>
      <c r="S6200" s="1" t="s">
        <v>7810</v>
      </c>
      <c r="T6200" s="1" t="s">
        <v>7811</v>
      </c>
      <c r="U6200" s="2" t="s">
        <v>161</v>
      </c>
      <c r="V6200" s="2" t="s">
        <v>47</v>
      </c>
      <c r="W6200" s="2" t="s">
        <v>74</v>
      </c>
      <c r="X6200" s="2">
        <v>69.930000000000007</v>
      </c>
    </row>
    <row r="6201" spans="1:24" x14ac:dyDescent="0.3">
      <c r="A6201">
        <v>24021</v>
      </c>
      <c r="B6201" t="s">
        <v>12735</v>
      </c>
      <c r="C6201" s="3">
        <v>41805</v>
      </c>
      <c r="D6201" t="s">
        <v>148</v>
      </c>
      <c r="E6201">
        <v>11</v>
      </c>
      <c r="F6201" s="3">
        <f ca="1">41805+(RANDBETWEEN(1,10))</f>
        <v>41811</v>
      </c>
      <c r="G6201" t="s">
        <v>26</v>
      </c>
      <c r="H6201" t="s">
        <v>27</v>
      </c>
      <c r="I6201" t="s">
        <v>97</v>
      </c>
      <c r="J6201">
        <v>194.74</v>
      </c>
      <c r="K6201">
        <v>0.08</v>
      </c>
      <c r="L6201">
        <v>0.37</v>
      </c>
      <c r="M6201">
        <v>10.465</v>
      </c>
      <c r="N6201">
        <v>-23.312799999999999</v>
      </c>
      <c r="O6201" s="1" t="s">
        <v>40</v>
      </c>
      <c r="P6201" s="1" t="s">
        <v>12736</v>
      </c>
      <c r="Q6201" s="1" t="s">
        <v>12737</v>
      </c>
      <c r="R6201" s="1" t="s">
        <v>220</v>
      </c>
      <c r="S6201" s="1" t="s">
        <v>1558</v>
      </c>
      <c r="T6201" s="1" t="s">
        <v>1559</v>
      </c>
      <c r="U6201" s="2" t="s">
        <v>1041</v>
      </c>
      <c r="V6201" s="2" t="s">
        <v>47</v>
      </c>
      <c r="W6201" s="2" t="s">
        <v>111</v>
      </c>
      <c r="X6201" s="2">
        <v>18.48</v>
      </c>
    </row>
    <row r="6202" spans="1:24" x14ac:dyDescent="0.3">
      <c r="A6202">
        <v>24022</v>
      </c>
      <c r="B6202" t="s">
        <v>12738</v>
      </c>
      <c r="C6202" s="3">
        <v>41180</v>
      </c>
      <c r="D6202" t="s">
        <v>25</v>
      </c>
      <c r="E6202">
        <v>20</v>
      </c>
      <c r="F6202" s="3">
        <f ca="1">41184+(RANDBETWEEN(1,10))</f>
        <v>41193</v>
      </c>
      <c r="G6202" t="s">
        <v>26</v>
      </c>
      <c r="H6202" t="s">
        <v>27</v>
      </c>
      <c r="I6202" t="s">
        <v>97</v>
      </c>
      <c r="J6202">
        <v>29745.625</v>
      </c>
      <c r="K6202">
        <v>0.02</v>
      </c>
      <c r="L6202">
        <v>0.35</v>
      </c>
      <c r="M6202">
        <v>69.965000000000003</v>
      </c>
      <c r="N6202">
        <v>20524.481250000001</v>
      </c>
      <c r="O6202" s="1" t="s">
        <v>40</v>
      </c>
      <c r="P6202" s="1" t="s">
        <v>5339</v>
      </c>
      <c r="Q6202" s="1" t="s">
        <v>5340</v>
      </c>
      <c r="R6202" s="1" t="s">
        <v>43</v>
      </c>
      <c r="S6202" s="1" t="s">
        <v>5341</v>
      </c>
      <c r="T6202" s="1" t="s">
        <v>5342</v>
      </c>
      <c r="U6202" s="2" t="s">
        <v>1352</v>
      </c>
      <c r="V6202" s="2" t="s">
        <v>47</v>
      </c>
      <c r="W6202" s="2" t="s">
        <v>111</v>
      </c>
      <c r="X6202" s="2">
        <v>1473.43</v>
      </c>
    </row>
    <row r="6203" spans="1:24" x14ac:dyDescent="0.3">
      <c r="A6203">
        <v>24023</v>
      </c>
      <c r="B6203" t="s">
        <v>12738</v>
      </c>
      <c r="C6203" s="3">
        <v>41180</v>
      </c>
      <c r="D6203" t="s">
        <v>25</v>
      </c>
      <c r="E6203">
        <v>22</v>
      </c>
      <c r="F6203" s="3">
        <f ca="1">41184+(RANDBETWEEN(1,10))</f>
        <v>41189</v>
      </c>
      <c r="G6203" t="s">
        <v>26</v>
      </c>
      <c r="H6203" t="s">
        <v>27</v>
      </c>
      <c r="I6203" t="s">
        <v>97</v>
      </c>
      <c r="J6203">
        <v>1261.085</v>
      </c>
      <c r="K6203">
        <v>0.04</v>
      </c>
      <c r="L6203">
        <v>0.81</v>
      </c>
      <c r="M6203">
        <v>24.64</v>
      </c>
      <c r="N6203">
        <v>-826.42</v>
      </c>
      <c r="O6203" s="1" t="s">
        <v>40</v>
      </c>
      <c r="P6203" s="1" t="s">
        <v>5339</v>
      </c>
      <c r="Q6203" s="1" t="s">
        <v>5340</v>
      </c>
      <c r="R6203" s="1" t="s">
        <v>43</v>
      </c>
      <c r="S6203" s="1" t="s">
        <v>5341</v>
      </c>
      <c r="T6203" s="1" t="s">
        <v>5342</v>
      </c>
      <c r="U6203" s="2" t="s">
        <v>5325</v>
      </c>
      <c r="V6203" s="2" t="s">
        <v>47</v>
      </c>
      <c r="W6203" s="2" t="s">
        <v>119</v>
      </c>
      <c r="X6203" s="2">
        <v>58.59</v>
      </c>
    </row>
    <row r="6204" spans="1:24" x14ac:dyDescent="0.3">
      <c r="A6204">
        <v>24024</v>
      </c>
      <c r="B6204" t="s">
        <v>12739</v>
      </c>
      <c r="C6204" s="3">
        <v>41053</v>
      </c>
      <c r="D6204" t="s">
        <v>25</v>
      </c>
      <c r="E6204">
        <v>18</v>
      </c>
      <c r="F6204" s="3">
        <f ca="1">41062+(RANDBETWEEN(1,10))</f>
        <v>41072</v>
      </c>
      <c r="G6204" t="s">
        <v>26</v>
      </c>
      <c r="H6204" t="s">
        <v>27</v>
      </c>
      <c r="I6204" t="s">
        <v>97</v>
      </c>
      <c r="J6204">
        <v>3084.0250000000001</v>
      </c>
      <c r="K6204">
        <v>0</v>
      </c>
      <c r="L6204">
        <v>0.44</v>
      </c>
      <c r="M6204">
        <v>23.695</v>
      </c>
      <c r="N6204">
        <v>2127.9772499999999</v>
      </c>
      <c r="O6204" s="1" t="s">
        <v>40</v>
      </c>
      <c r="P6204" s="1" t="s">
        <v>12740</v>
      </c>
      <c r="Q6204" s="1" t="s">
        <v>12741</v>
      </c>
      <c r="R6204" s="1" t="s">
        <v>43</v>
      </c>
      <c r="S6204" s="1" t="s">
        <v>12742</v>
      </c>
      <c r="T6204" s="1" t="s">
        <v>726</v>
      </c>
      <c r="U6204" s="2" t="s">
        <v>4573</v>
      </c>
      <c r="V6204" s="2" t="s">
        <v>83</v>
      </c>
      <c r="W6204" s="2" t="s">
        <v>178</v>
      </c>
      <c r="X6204" s="2">
        <v>164.29</v>
      </c>
    </row>
    <row r="6205" spans="1:24" x14ac:dyDescent="0.3">
      <c r="A6205">
        <v>24025</v>
      </c>
      <c r="B6205" t="s">
        <v>12739</v>
      </c>
      <c r="C6205" s="3">
        <v>41053</v>
      </c>
      <c r="D6205" t="s">
        <v>25</v>
      </c>
      <c r="E6205">
        <v>3</v>
      </c>
      <c r="F6205" s="3">
        <f ca="1">41057+(RANDBETWEEN(1,10))</f>
        <v>41060</v>
      </c>
      <c r="G6205" t="s">
        <v>26</v>
      </c>
      <c r="H6205" t="s">
        <v>27</v>
      </c>
      <c r="I6205" t="s">
        <v>97</v>
      </c>
      <c r="J6205">
        <v>1604.47</v>
      </c>
      <c r="K6205">
        <v>0.09</v>
      </c>
      <c r="L6205">
        <v>0.66</v>
      </c>
      <c r="M6205">
        <v>69.965000000000003</v>
      </c>
      <c r="N6205">
        <v>-489.125</v>
      </c>
      <c r="O6205" s="1" t="s">
        <v>40</v>
      </c>
      <c r="P6205" s="1" t="s">
        <v>12740</v>
      </c>
      <c r="Q6205" s="1" t="s">
        <v>12741</v>
      </c>
      <c r="R6205" s="1" t="s">
        <v>43</v>
      </c>
      <c r="S6205" s="1" t="s">
        <v>12742</v>
      </c>
      <c r="T6205" s="1" t="s">
        <v>726</v>
      </c>
      <c r="U6205" s="2" t="s">
        <v>6421</v>
      </c>
      <c r="V6205" s="2" t="s">
        <v>47</v>
      </c>
      <c r="W6205" s="2" t="s">
        <v>119</v>
      </c>
      <c r="X6205" s="2">
        <v>565.42499999999995</v>
      </c>
    </row>
    <row r="6206" spans="1:24" x14ac:dyDescent="0.3">
      <c r="A6206">
        <v>24026</v>
      </c>
      <c r="B6206" t="s">
        <v>12743</v>
      </c>
      <c r="C6206" s="3">
        <v>41628</v>
      </c>
      <c r="D6206" t="s">
        <v>148</v>
      </c>
      <c r="E6206">
        <v>21</v>
      </c>
      <c r="F6206" s="3">
        <f ca="1">41630+(RANDBETWEEN(1,10))</f>
        <v>41631</v>
      </c>
      <c r="G6206" t="s">
        <v>26</v>
      </c>
      <c r="H6206" t="s">
        <v>27</v>
      </c>
      <c r="I6206" t="s">
        <v>86</v>
      </c>
      <c r="J6206">
        <v>446.11</v>
      </c>
      <c r="K6206">
        <v>0.08</v>
      </c>
      <c r="L6206">
        <v>0.4</v>
      </c>
      <c r="M6206">
        <v>26.25</v>
      </c>
      <c r="N6206">
        <v>-295.17250000000001</v>
      </c>
      <c r="O6206" s="1" t="s">
        <v>225</v>
      </c>
      <c r="P6206" s="1" t="s">
        <v>2803</v>
      </c>
      <c r="Q6206" s="1" t="s">
        <v>2804</v>
      </c>
      <c r="R6206" s="1" t="s">
        <v>228</v>
      </c>
      <c r="S6206" s="1" t="s">
        <v>2805</v>
      </c>
      <c r="T6206" s="1" t="s">
        <v>2806</v>
      </c>
      <c r="U6206" s="2" t="s">
        <v>6464</v>
      </c>
      <c r="V6206" s="2" t="s">
        <v>47</v>
      </c>
      <c r="W6206" s="2" t="s">
        <v>74</v>
      </c>
      <c r="X6206" s="2">
        <v>20.93</v>
      </c>
    </row>
    <row r="6207" spans="1:24" x14ac:dyDescent="0.3">
      <c r="A6207">
        <v>24027</v>
      </c>
      <c r="B6207" t="s">
        <v>12743</v>
      </c>
      <c r="C6207" s="3">
        <v>41628</v>
      </c>
      <c r="D6207" t="s">
        <v>148</v>
      </c>
      <c r="E6207">
        <v>21</v>
      </c>
      <c r="F6207" s="3">
        <f ca="1">41629+(RANDBETWEEN(1,10))</f>
        <v>41639</v>
      </c>
      <c r="G6207" t="s">
        <v>26</v>
      </c>
      <c r="H6207" t="s">
        <v>27</v>
      </c>
      <c r="I6207" t="s">
        <v>86</v>
      </c>
      <c r="J6207">
        <v>486.53500000000003</v>
      </c>
      <c r="K6207">
        <v>0.03</v>
      </c>
      <c r="L6207">
        <v>0.37</v>
      </c>
      <c r="M6207">
        <v>30.555</v>
      </c>
      <c r="N6207">
        <v>-354.04250000000002</v>
      </c>
      <c r="O6207" s="1" t="s">
        <v>225</v>
      </c>
      <c r="P6207" s="1" t="s">
        <v>2803</v>
      </c>
      <c r="Q6207" s="1" t="s">
        <v>2804</v>
      </c>
      <c r="R6207" s="1" t="s">
        <v>228</v>
      </c>
      <c r="S6207" s="1" t="s">
        <v>2805</v>
      </c>
      <c r="T6207" s="1" t="s">
        <v>2806</v>
      </c>
      <c r="U6207" s="2" t="s">
        <v>2564</v>
      </c>
      <c r="V6207" s="2" t="s">
        <v>47</v>
      </c>
      <c r="W6207" s="2" t="s">
        <v>74</v>
      </c>
      <c r="X6207" s="2">
        <v>22.68</v>
      </c>
    </row>
    <row r="6208" spans="1:24" x14ac:dyDescent="0.3">
      <c r="A6208">
        <v>24028</v>
      </c>
      <c r="B6208" t="s">
        <v>12744</v>
      </c>
      <c r="C6208" s="3">
        <v>40637</v>
      </c>
      <c r="D6208" t="s">
        <v>39</v>
      </c>
      <c r="E6208">
        <v>8</v>
      </c>
      <c r="F6208" s="3">
        <f ca="1">40639+(RANDBETWEEN(1,10))</f>
        <v>40641</v>
      </c>
      <c r="G6208" t="s">
        <v>26</v>
      </c>
      <c r="H6208" t="s">
        <v>27</v>
      </c>
      <c r="I6208" t="s">
        <v>28</v>
      </c>
      <c r="J6208">
        <v>1797.32</v>
      </c>
      <c r="K6208">
        <v>0.01</v>
      </c>
      <c r="L6208">
        <v>0.56999999999999995</v>
      </c>
      <c r="M6208">
        <v>33.984999999999999</v>
      </c>
      <c r="N6208">
        <v>1240.1507999999999</v>
      </c>
      <c r="O6208" s="1" t="s">
        <v>53</v>
      </c>
      <c r="P6208" s="1" t="s">
        <v>9977</v>
      </c>
      <c r="Q6208" s="1" t="s">
        <v>9978</v>
      </c>
      <c r="R6208" s="1" t="s">
        <v>440</v>
      </c>
      <c r="S6208" s="1" t="s">
        <v>9979</v>
      </c>
      <c r="T6208" s="1" t="s">
        <v>9980</v>
      </c>
      <c r="U6208" s="2" t="s">
        <v>5588</v>
      </c>
      <c r="V6208" s="2" t="s">
        <v>47</v>
      </c>
      <c r="W6208" s="2" t="s">
        <v>119</v>
      </c>
      <c r="X6208" s="2">
        <v>209.16</v>
      </c>
    </row>
    <row r="6209" spans="1:24" x14ac:dyDescent="0.3">
      <c r="A6209">
        <v>24029</v>
      </c>
      <c r="B6209" t="s">
        <v>12745</v>
      </c>
      <c r="C6209" s="3">
        <v>41995</v>
      </c>
      <c r="D6209" t="s">
        <v>50</v>
      </c>
      <c r="E6209">
        <v>6</v>
      </c>
      <c r="F6209" s="3">
        <f ca="1">41997+(RANDBETWEEN(1,10))</f>
        <v>42004</v>
      </c>
      <c r="G6209" t="s">
        <v>26</v>
      </c>
      <c r="H6209" t="s">
        <v>27</v>
      </c>
      <c r="I6209" t="s">
        <v>86</v>
      </c>
      <c r="J6209">
        <v>1243.06</v>
      </c>
      <c r="K6209">
        <v>0.02</v>
      </c>
      <c r="L6209">
        <v>0.56999999999999995</v>
      </c>
      <c r="M6209">
        <v>18.585000000000001</v>
      </c>
      <c r="N6209">
        <v>-12.108096</v>
      </c>
      <c r="O6209" s="1" t="s">
        <v>64</v>
      </c>
      <c r="P6209" s="1" t="s">
        <v>9436</v>
      </c>
      <c r="Q6209" s="1" t="s">
        <v>9437</v>
      </c>
      <c r="R6209" s="1" t="s">
        <v>128</v>
      </c>
      <c r="S6209" s="1" t="s">
        <v>3162</v>
      </c>
      <c r="T6209" s="1" t="s">
        <v>3163</v>
      </c>
      <c r="U6209" s="2">
        <v>3390</v>
      </c>
      <c r="V6209" s="2" t="s">
        <v>36</v>
      </c>
      <c r="W6209" s="2" t="s">
        <v>37</v>
      </c>
      <c r="X6209" s="2">
        <v>230.965</v>
      </c>
    </row>
    <row r="6210" spans="1:24" x14ac:dyDescent="0.3">
      <c r="A6210">
        <v>24030</v>
      </c>
      <c r="B6210" t="s">
        <v>12746</v>
      </c>
      <c r="C6210" s="3">
        <v>41919</v>
      </c>
      <c r="D6210" t="s">
        <v>50</v>
      </c>
      <c r="E6210">
        <v>12</v>
      </c>
      <c r="F6210" s="3">
        <f ca="1">41920+(RANDBETWEEN(1,10))</f>
        <v>41925</v>
      </c>
      <c r="G6210" t="s">
        <v>26</v>
      </c>
      <c r="H6210" t="s">
        <v>27</v>
      </c>
      <c r="I6210" t="s">
        <v>97</v>
      </c>
      <c r="J6210">
        <v>2103.9549999999999</v>
      </c>
      <c r="K6210">
        <v>0</v>
      </c>
      <c r="L6210">
        <v>0.59</v>
      </c>
      <c r="M6210">
        <v>15.75</v>
      </c>
      <c r="N6210">
        <v>1004.43</v>
      </c>
      <c r="O6210" s="1" t="s">
        <v>64</v>
      </c>
      <c r="P6210" s="1" t="s">
        <v>10578</v>
      </c>
      <c r="Q6210" s="1" t="s">
        <v>10579</v>
      </c>
      <c r="R6210" s="1" t="s">
        <v>67</v>
      </c>
      <c r="S6210" s="1" t="s">
        <v>10580</v>
      </c>
      <c r="T6210" s="1" t="s">
        <v>10581</v>
      </c>
      <c r="U6210" s="2" t="s">
        <v>4713</v>
      </c>
      <c r="V6210" s="2" t="s">
        <v>47</v>
      </c>
      <c r="W6210" s="2" t="s">
        <v>71</v>
      </c>
      <c r="X6210" s="2">
        <v>171.22</v>
      </c>
    </row>
    <row r="6211" spans="1:24" x14ac:dyDescent="0.3">
      <c r="A6211">
        <v>24031</v>
      </c>
      <c r="B6211" t="s">
        <v>12746</v>
      </c>
      <c r="C6211" s="3">
        <v>41919</v>
      </c>
      <c r="D6211" t="s">
        <v>50</v>
      </c>
      <c r="E6211">
        <v>1</v>
      </c>
      <c r="F6211" s="3">
        <f ca="1">41921+(RANDBETWEEN(1,10))</f>
        <v>41924</v>
      </c>
      <c r="G6211" t="s">
        <v>26</v>
      </c>
      <c r="H6211" t="s">
        <v>27</v>
      </c>
      <c r="I6211" t="s">
        <v>97</v>
      </c>
      <c r="J6211">
        <v>34.825000000000003</v>
      </c>
      <c r="K6211">
        <v>7.0000000000000007E-2</v>
      </c>
      <c r="L6211">
        <v>0.56000000000000005</v>
      </c>
      <c r="M6211">
        <v>18.234999999999999</v>
      </c>
      <c r="N6211">
        <v>24.029250000000001</v>
      </c>
      <c r="O6211" s="1" t="s">
        <v>64</v>
      </c>
      <c r="P6211" s="1" t="s">
        <v>10578</v>
      </c>
      <c r="Q6211" s="1" t="s">
        <v>10579</v>
      </c>
      <c r="R6211" s="1" t="s">
        <v>67</v>
      </c>
      <c r="S6211" s="1" t="s">
        <v>10580</v>
      </c>
      <c r="T6211" s="1" t="s">
        <v>10581</v>
      </c>
      <c r="U6211" s="2" t="s">
        <v>256</v>
      </c>
      <c r="V6211" s="2" t="s">
        <v>83</v>
      </c>
      <c r="W6211" s="2" t="s">
        <v>178</v>
      </c>
      <c r="X6211" s="2">
        <v>25.83</v>
      </c>
    </row>
    <row r="6212" spans="1:24" x14ac:dyDescent="0.3">
      <c r="A6212">
        <v>24032</v>
      </c>
      <c r="B6212" t="s">
        <v>12747</v>
      </c>
      <c r="C6212" s="3">
        <v>41396</v>
      </c>
      <c r="D6212" t="s">
        <v>148</v>
      </c>
      <c r="E6212">
        <v>7</v>
      </c>
      <c r="F6212" s="3">
        <f ca="1">41397+(RANDBETWEEN(1,10))</f>
        <v>41407</v>
      </c>
      <c r="G6212" t="s">
        <v>26</v>
      </c>
      <c r="H6212" t="s">
        <v>27</v>
      </c>
      <c r="I6212" t="s">
        <v>28</v>
      </c>
      <c r="J6212">
        <v>314.51</v>
      </c>
      <c r="K6212">
        <v>0.04</v>
      </c>
      <c r="L6212">
        <v>0.56999999999999995</v>
      </c>
      <c r="M6212">
        <v>21.454999999999998</v>
      </c>
      <c r="N6212">
        <v>-104.405</v>
      </c>
      <c r="O6212" s="1" t="s">
        <v>40</v>
      </c>
      <c r="P6212" s="1" t="s">
        <v>11527</v>
      </c>
      <c r="Q6212" s="1" t="s">
        <v>11528</v>
      </c>
      <c r="R6212" s="1" t="s">
        <v>43</v>
      </c>
      <c r="S6212" s="1" t="s">
        <v>11529</v>
      </c>
      <c r="T6212" s="1" t="s">
        <v>11530</v>
      </c>
      <c r="U6212" s="2" t="s">
        <v>5922</v>
      </c>
      <c r="V6212" s="2" t="s">
        <v>47</v>
      </c>
      <c r="W6212" s="2" t="s">
        <v>119</v>
      </c>
      <c r="X6212" s="2">
        <v>42.98</v>
      </c>
    </row>
    <row r="6213" spans="1:24" x14ac:dyDescent="0.3">
      <c r="A6213">
        <v>24033</v>
      </c>
      <c r="B6213" t="s">
        <v>12748</v>
      </c>
      <c r="C6213" s="3">
        <v>41393</v>
      </c>
      <c r="D6213" t="s">
        <v>50</v>
      </c>
      <c r="E6213">
        <v>3</v>
      </c>
      <c r="F6213" s="3">
        <f ca="1">41394+(RANDBETWEEN(1,10))</f>
        <v>41400</v>
      </c>
      <c r="G6213" t="s">
        <v>76</v>
      </c>
      <c r="H6213" t="s">
        <v>77</v>
      </c>
      <c r="I6213" t="s">
        <v>52</v>
      </c>
      <c r="J6213">
        <v>5259.7650000000003</v>
      </c>
      <c r="K6213">
        <v>0.01</v>
      </c>
      <c r="L6213">
        <v>0.6</v>
      </c>
      <c r="M6213">
        <v>91</v>
      </c>
      <c r="N6213">
        <v>4845.5820000000003</v>
      </c>
      <c r="O6213" s="1" t="s">
        <v>87</v>
      </c>
      <c r="P6213" s="1" t="s">
        <v>9732</v>
      </c>
      <c r="Q6213" s="1" t="s">
        <v>9733</v>
      </c>
      <c r="R6213" s="1" t="s">
        <v>90</v>
      </c>
      <c r="S6213" s="1" t="s">
        <v>2642</v>
      </c>
      <c r="T6213" s="1" t="s">
        <v>2643</v>
      </c>
      <c r="U6213" s="2" t="s">
        <v>1670</v>
      </c>
      <c r="V6213" s="2" t="s">
        <v>83</v>
      </c>
      <c r="W6213" s="2" t="s">
        <v>84</v>
      </c>
      <c r="X6213" s="2">
        <v>1753.43</v>
      </c>
    </row>
    <row r="6214" spans="1:24" x14ac:dyDescent="0.3">
      <c r="A6214">
        <v>24034</v>
      </c>
      <c r="B6214" t="s">
        <v>12748</v>
      </c>
      <c r="C6214" s="3">
        <v>41393</v>
      </c>
      <c r="D6214" t="s">
        <v>50</v>
      </c>
      <c r="E6214">
        <v>6</v>
      </c>
      <c r="F6214" s="3">
        <f ca="1">41394+(RANDBETWEEN(1,10))</f>
        <v>41397</v>
      </c>
      <c r="G6214" t="s">
        <v>26</v>
      </c>
      <c r="H6214" t="s">
        <v>51</v>
      </c>
      <c r="I6214" t="s">
        <v>52</v>
      </c>
      <c r="J6214">
        <v>177.065</v>
      </c>
      <c r="K6214">
        <v>0.1</v>
      </c>
      <c r="L6214">
        <v>0.55000000000000004</v>
      </c>
      <c r="M6214">
        <v>27.195</v>
      </c>
      <c r="N6214">
        <v>-29.596</v>
      </c>
      <c r="O6214" s="1" t="s">
        <v>87</v>
      </c>
      <c r="P6214" s="1" t="s">
        <v>9732</v>
      </c>
      <c r="Q6214" s="1" t="s">
        <v>9733</v>
      </c>
      <c r="R6214" s="1" t="s">
        <v>90</v>
      </c>
      <c r="S6214" s="1" t="s">
        <v>2642</v>
      </c>
      <c r="T6214" s="1" t="s">
        <v>2643</v>
      </c>
      <c r="U6214" s="2" t="s">
        <v>6938</v>
      </c>
      <c r="V6214" s="2" t="s">
        <v>47</v>
      </c>
      <c r="W6214" s="2" t="s">
        <v>94</v>
      </c>
      <c r="X6214" s="2">
        <v>29.574999999999999</v>
      </c>
    </row>
    <row r="6215" spans="1:24" x14ac:dyDescent="0.3">
      <c r="A6215">
        <v>24035</v>
      </c>
      <c r="B6215" t="s">
        <v>12749</v>
      </c>
      <c r="C6215" s="3">
        <v>41657</v>
      </c>
      <c r="D6215" t="s">
        <v>148</v>
      </c>
      <c r="E6215">
        <v>12</v>
      </c>
      <c r="F6215" s="3">
        <f ca="1">41659+(RANDBETWEEN(1,10))</f>
        <v>41663</v>
      </c>
      <c r="G6215" t="s">
        <v>26</v>
      </c>
      <c r="H6215" t="s">
        <v>27</v>
      </c>
      <c r="I6215" t="s">
        <v>86</v>
      </c>
      <c r="J6215">
        <v>3801.28</v>
      </c>
      <c r="K6215">
        <v>0.1</v>
      </c>
      <c r="L6215">
        <v>0.59</v>
      </c>
      <c r="M6215">
        <v>10.5</v>
      </c>
      <c r="N6215">
        <v>2386.98558</v>
      </c>
      <c r="O6215" s="1" t="s">
        <v>87</v>
      </c>
      <c r="P6215" s="1" t="s">
        <v>5568</v>
      </c>
      <c r="Q6215" s="1" t="s">
        <v>5569</v>
      </c>
      <c r="R6215" s="1" t="s">
        <v>646</v>
      </c>
      <c r="S6215" s="1" t="s">
        <v>5570</v>
      </c>
      <c r="T6215" s="1" t="s">
        <v>5571</v>
      </c>
      <c r="U6215" s="2" t="s">
        <v>12750</v>
      </c>
      <c r="V6215" s="2" t="s">
        <v>36</v>
      </c>
      <c r="W6215" s="2" t="s">
        <v>37</v>
      </c>
      <c r="X6215" s="2">
        <v>405.96499999999997</v>
      </c>
    </row>
    <row r="6216" spans="1:24" x14ac:dyDescent="0.3">
      <c r="A6216">
        <v>24036</v>
      </c>
      <c r="B6216" t="s">
        <v>12751</v>
      </c>
      <c r="C6216" s="3">
        <v>41875</v>
      </c>
      <c r="D6216" t="s">
        <v>62</v>
      </c>
      <c r="E6216">
        <v>16</v>
      </c>
      <c r="F6216" s="3">
        <f ca="1">41876+(RANDBETWEEN(1,10))</f>
        <v>41883</v>
      </c>
      <c r="G6216" t="s">
        <v>26</v>
      </c>
      <c r="H6216" t="s">
        <v>27</v>
      </c>
      <c r="I6216" t="s">
        <v>28</v>
      </c>
      <c r="J6216">
        <v>617.29499999999996</v>
      </c>
      <c r="K6216">
        <v>0.04</v>
      </c>
      <c r="L6216">
        <v>0.36</v>
      </c>
      <c r="M6216">
        <v>17.989999999999998</v>
      </c>
      <c r="N6216">
        <v>177.55728199999999</v>
      </c>
      <c r="O6216" s="1" t="s">
        <v>53</v>
      </c>
      <c r="P6216" s="1" t="s">
        <v>6618</v>
      </c>
      <c r="Q6216" s="1" t="s">
        <v>6619</v>
      </c>
      <c r="R6216" s="1" t="s">
        <v>56</v>
      </c>
      <c r="S6216" s="1" t="s">
        <v>896</v>
      </c>
      <c r="T6216" s="1" t="s">
        <v>897</v>
      </c>
      <c r="U6216" s="2" t="s">
        <v>5285</v>
      </c>
      <c r="V6216" s="2" t="s">
        <v>47</v>
      </c>
      <c r="W6216" s="2" t="s">
        <v>111</v>
      </c>
      <c r="X6216" s="2">
        <v>38.43</v>
      </c>
    </row>
    <row r="6217" spans="1:24" x14ac:dyDescent="0.3">
      <c r="A6217">
        <v>24037</v>
      </c>
      <c r="B6217" t="s">
        <v>12752</v>
      </c>
      <c r="C6217" s="3">
        <v>41953</v>
      </c>
      <c r="D6217" t="s">
        <v>62</v>
      </c>
      <c r="E6217">
        <v>11</v>
      </c>
      <c r="F6217" s="3">
        <f ca="1">41955+(RANDBETWEEN(1,10))</f>
        <v>41961</v>
      </c>
      <c r="G6217" t="s">
        <v>26</v>
      </c>
      <c r="H6217" t="s">
        <v>27</v>
      </c>
      <c r="I6217" t="s">
        <v>97</v>
      </c>
      <c r="J6217">
        <v>5677.91</v>
      </c>
      <c r="K6217">
        <v>7.0000000000000007E-2</v>
      </c>
      <c r="L6217">
        <v>0.79</v>
      </c>
      <c r="M6217">
        <v>14</v>
      </c>
      <c r="N6217">
        <v>541.91255999999998</v>
      </c>
      <c r="O6217" s="1" t="s">
        <v>64</v>
      </c>
      <c r="P6217" s="1" t="s">
        <v>12753</v>
      </c>
      <c r="Q6217" s="1" t="s">
        <v>12754</v>
      </c>
      <c r="R6217" s="1" t="s">
        <v>128</v>
      </c>
      <c r="S6217" s="1" t="s">
        <v>12755</v>
      </c>
      <c r="T6217" s="1" t="s">
        <v>12756</v>
      </c>
      <c r="U6217" s="2" t="s">
        <v>192</v>
      </c>
      <c r="V6217" s="2" t="s">
        <v>36</v>
      </c>
      <c r="W6217" s="2" t="s">
        <v>60</v>
      </c>
      <c r="X6217" s="2">
        <v>533.67999999999995</v>
      </c>
    </row>
    <row r="6218" spans="1:24" x14ac:dyDescent="0.3">
      <c r="A6218">
        <v>24038</v>
      </c>
      <c r="B6218" t="s">
        <v>12752</v>
      </c>
      <c r="C6218" s="3">
        <v>41953</v>
      </c>
      <c r="D6218" t="s">
        <v>62</v>
      </c>
      <c r="E6218">
        <v>38</v>
      </c>
      <c r="F6218" s="3">
        <f ca="1">41954+(RANDBETWEEN(1,10))</f>
        <v>41964</v>
      </c>
      <c r="G6218" t="s">
        <v>26</v>
      </c>
      <c r="H6218" t="s">
        <v>96</v>
      </c>
      <c r="I6218" t="s">
        <v>97</v>
      </c>
      <c r="J6218">
        <v>2020.55</v>
      </c>
      <c r="K6218">
        <v>0.05</v>
      </c>
      <c r="L6218">
        <v>0.39</v>
      </c>
      <c r="M6218">
        <v>6.8949999999999996</v>
      </c>
      <c r="N6218">
        <v>1394.1795</v>
      </c>
      <c r="O6218" s="1" t="s">
        <v>64</v>
      </c>
      <c r="P6218" s="1" t="s">
        <v>12753</v>
      </c>
      <c r="Q6218" s="1" t="s">
        <v>12754</v>
      </c>
      <c r="R6218" s="1" t="s">
        <v>128</v>
      </c>
      <c r="S6218" s="1" t="s">
        <v>12755</v>
      </c>
      <c r="T6218" s="1" t="s">
        <v>12756</v>
      </c>
      <c r="U6218" s="2" t="s">
        <v>372</v>
      </c>
      <c r="V6218" s="2" t="s">
        <v>47</v>
      </c>
      <c r="W6218" s="2" t="s">
        <v>74</v>
      </c>
      <c r="X6218" s="2">
        <v>52.64</v>
      </c>
    </row>
    <row r="6219" spans="1:24" x14ac:dyDescent="0.3">
      <c r="A6219">
        <v>24039</v>
      </c>
      <c r="B6219" t="s">
        <v>12757</v>
      </c>
      <c r="C6219" s="3">
        <v>41560</v>
      </c>
      <c r="D6219" t="s">
        <v>62</v>
      </c>
      <c r="E6219">
        <v>13</v>
      </c>
      <c r="F6219" s="3">
        <f ca="1">41562+(RANDBETWEEN(1,10))</f>
        <v>41569</v>
      </c>
      <c r="G6219" t="s">
        <v>26</v>
      </c>
      <c r="H6219" t="s">
        <v>96</v>
      </c>
      <c r="I6219" t="s">
        <v>86</v>
      </c>
      <c r="J6219">
        <v>423.36</v>
      </c>
      <c r="K6219">
        <v>0.1</v>
      </c>
      <c r="L6219">
        <v>0.36</v>
      </c>
      <c r="M6219">
        <v>7.9450000000000003</v>
      </c>
      <c r="N6219">
        <v>107.583</v>
      </c>
      <c r="O6219" s="1" t="s">
        <v>53</v>
      </c>
      <c r="P6219" s="1" t="s">
        <v>11674</v>
      </c>
      <c r="Q6219" s="1" t="s">
        <v>11675</v>
      </c>
      <c r="R6219" s="1" t="s">
        <v>56</v>
      </c>
      <c r="S6219" s="1" t="s">
        <v>11676</v>
      </c>
      <c r="T6219" s="1" t="s">
        <v>11677</v>
      </c>
      <c r="U6219" s="2" t="s">
        <v>4659</v>
      </c>
      <c r="V6219" s="2" t="s">
        <v>47</v>
      </c>
      <c r="W6219" s="2" t="s">
        <v>74</v>
      </c>
      <c r="X6219" s="2">
        <v>35.49</v>
      </c>
    </row>
    <row r="6220" spans="1:24" x14ac:dyDescent="0.3">
      <c r="A6220">
        <v>24040</v>
      </c>
      <c r="B6220" t="s">
        <v>12758</v>
      </c>
      <c r="C6220" s="3">
        <v>41686</v>
      </c>
      <c r="D6220" t="s">
        <v>25</v>
      </c>
      <c r="E6220">
        <v>7</v>
      </c>
      <c r="F6220" s="3">
        <f ca="1">41693+(RANDBETWEEN(1,10))</f>
        <v>41700</v>
      </c>
      <c r="G6220" t="s">
        <v>26</v>
      </c>
      <c r="H6220" t="s">
        <v>27</v>
      </c>
      <c r="I6220" t="s">
        <v>28</v>
      </c>
      <c r="J6220">
        <v>128.44999999999999</v>
      </c>
      <c r="K6220">
        <v>0.1</v>
      </c>
      <c r="L6220">
        <v>0.37</v>
      </c>
      <c r="M6220">
        <v>10.465</v>
      </c>
      <c r="N6220">
        <v>-9.9819999999999993</v>
      </c>
      <c r="O6220" s="1" t="s">
        <v>29</v>
      </c>
      <c r="P6220" s="1" t="s">
        <v>6343</v>
      </c>
      <c r="Q6220" s="1" t="s">
        <v>6344</v>
      </c>
      <c r="R6220" s="1" t="s">
        <v>32</v>
      </c>
      <c r="S6220" s="1" t="s">
        <v>6103</v>
      </c>
      <c r="T6220" s="1" t="s">
        <v>6104</v>
      </c>
      <c r="U6220" s="2" t="s">
        <v>1041</v>
      </c>
      <c r="V6220" s="2" t="s">
        <v>47</v>
      </c>
      <c r="W6220" s="2" t="s">
        <v>111</v>
      </c>
      <c r="X6220" s="2">
        <v>18.48</v>
      </c>
    </row>
    <row r="6221" spans="1:24" x14ac:dyDescent="0.3">
      <c r="A6221">
        <v>24041</v>
      </c>
      <c r="B6221" t="s">
        <v>12759</v>
      </c>
      <c r="C6221" s="3">
        <v>41085</v>
      </c>
      <c r="D6221" t="s">
        <v>148</v>
      </c>
      <c r="E6221">
        <v>3</v>
      </c>
      <c r="F6221" s="3">
        <f ca="1">41087+(RANDBETWEEN(1,10))</f>
        <v>41089</v>
      </c>
      <c r="G6221" t="s">
        <v>156</v>
      </c>
      <c r="H6221" t="s">
        <v>27</v>
      </c>
      <c r="I6221" t="s">
        <v>28</v>
      </c>
      <c r="J6221">
        <v>64.504999999999995</v>
      </c>
      <c r="K6221">
        <v>0.05</v>
      </c>
      <c r="L6221">
        <v>0.4</v>
      </c>
      <c r="M6221">
        <v>21.63</v>
      </c>
      <c r="N6221">
        <v>-40.572000000000003</v>
      </c>
      <c r="O6221" s="1" t="s">
        <v>225</v>
      </c>
      <c r="P6221" s="1" t="s">
        <v>11539</v>
      </c>
      <c r="Q6221" s="1" t="s">
        <v>11540</v>
      </c>
      <c r="R6221" s="1" t="s">
        <v>228</v>
      </c>
      <c r="S6221" s="1" t="s">
        <v>807</v>
      </c>
      <c r="T6221" s="1" t="s">
        <v>808</v>
      </c>
      <c r="U6221" s="2" t="s">
        <v>954</v>
      </c>
      <c r="V6221" s="2" t="s">
        <v>47</v>
      </c>
      <c r="W6221" s="2" t="s">
        <v>74</v>
      </c>
      <c r="X6221" s="2">
        <v>14.98</v>
      </c>
    </row>
    <row r="6222" spans="1:24" x14ac:dyDescent="0.3">
      <c r="A6222">
        <v>24042</v>
      </c>
      <c r="B6222" t="s">
        <v>12760</v>
      </c>
      <c r="C6222" s="3">
        <v>41918</v>
      </c>
      <c r="D6222" t="s">
        <v>50</v>
      </c>
      <c r="E6222">
        <v>26</v>
      </c>
      <c r="F6222" s="3">
        <f ca="1">41920+(RANDBETWEEN(1,10))</f>
        <v>41925</v>
      </c>
      <c r="G6222" t="s">
        <v>26</v>
      </c>
      <c r="H6222" t="s">
        <v>96</v>
      </c>
      <c r="I6222" t="s">
        <v>52</v>
      </c>
      <c r="J6222">
        <v>705.77499999999998</v>
      </c>
      <c r="K6222">
        <v>0.01</v>
      </c>
      <c r="L6222">
        <v>0.36</v>
      </c>
      <c r="M6222">
        <v>20.405000000000001</v>
      </c>
      <c r="N6222">
        <v>-197.785</v>
      </c>
      <c r="O6222" s="1" t="s">
        <v>40</v>
      </c>
      <c r="P6222" s="1" t="s">
        <v>10470</v>
      </c>
      <c r="Q6222" s="1" t="s">
        <v>10471</v>
      </c>
      <c r="R6222" s="1" t="s">
        <v>220</v>
      </c>
      <c r="S6222" s="1" t="s">
        <v>6003</v>
      </c>
      <c r="T6222" s="1" t="s">
        <v>6004</v>
      </c>
      <c r="U6222" s="2" t="s">
        <v>605</v>
      </c>
      <c r="V6222" s="2" t="s">
        <v>47</v>
      </c>
      <c r="W6222" s="2" t="s">
        <v>74</v>
      </c>
      <c r="X6222" s="2">
        <v>26.74</v>
      </c>
    </row>
    <row r="6223" spans="1:24" x14ac:dyDescent="0.3">
      <c r="A6223">
        <v>24043</v>
      </c>
      <c r="B6223" t="s">
        <v>12761</v>
      </c>
      <c r="C6223" s="3">
        <v>41446</v>
      </c>
      <c r="D6223" t="s">
        <v>148</v>
      </c>
      <c r="E6223">
        <v>11</v>
      </c>
      <c r="F6223" s="3">
        <f ca="1">41447+(RANDBETWEEN(1,10))</f>
        <v>41457</v>
      </c>
      <c r="G6223" t="s">
        <v>156</v>
      </c>
      <c r="H6223" t="s">
        <v>27</v>
      </c>
      <c r="I6223" t="s">
        <v>97</v>
      </c>
      <c r="J6223">
        <v>1173.095</v>
      </c>
      <c r="K6223">
        <v>0.05</v>
      </c>
      <c r="L6223">
        <v>0.51</v>
      </c>
      <c r="M6223">
        <v>19.25</v>
      </c>
      <c r="N6223">
        <v>593.37599999999998</v>
      </c>
      <c r="O6223" s="1" t="s">
        <v>87</v>
      </c>
      <c r="P6223" s="1" t="s">
        <v>3588</v>
      </c>
      <c r="Q6223" s="1" t="s">
        <v>3589</v>
      </c>
      <c r="R6223" s="1" t="s">
        <v>398</v>
      </c>
      <c r="S6223" s="1" t="s">
        <v>3590</v>
      </c>
      <c r="T6223" s="1" t="s">
        <v>3591</v>
      </c>
      <c r="U6223" s="2" t="s">
        <v>2603</v>
      </c>
      <c r="V6223" s="2" t="s">
        <v>36</v>
      </c>
      <c r="W6223" s="2" t="s">
        <v>60</v>
      </c>
      <c r="X6223" s="2">
        <v>104.965</v>
      </c>
    </row>
    <row r="6224" spans="1:24" x14ac:dyDescent="0.3">
      <c r="A6224">
        <v>24044</v>
      </c>
      <c r="B6224" t="s">
        <v>12762</v>
      </c>
      <c r="C6224" s="3">
        <v>40695</v>
      </c>
      <c r="D6224" t="s">
        <v>39</v>
      </c>
      <c r="E6224">
        <v>2</v>
      </c>
      <c r="F6224" s="3">
        <f ca="1">40696+(RANDBETWEEN(1,10))</f>
        <v>40698</v>
      </c>
      <c r="G6224" t="s">
        <v>156</v>
      </c>
      <c r="H6224" t="s">
        <v>96</v>
      </c>
      <c r="I6224" t="s">
        <v>28</v>
      </c>
      <c r="J6224">
        <v>42.56</v>
      </c>
      <c r="K6224">
        <v>0.05</v>
      </c>
      <c r="L6224">
        <v>0.8</v>
      </c>
      <c r="M6224">
        <v>2.4500000000000002</v>
      </c>
      <c r="N6224">
        <v>-8.3160000000000007</v>
      </c>
      <c r="O6224" s="1" t="s">
        <v>225</v>
      </c>
      <c r="P6224" s="1" t="s">
        <v>11365</v>
      </c>
      <c r="Q6224" s="1" t="s">
        <v>11366</v>
      </c>
      <c r="R6224" s="1" t="s">
        <v>228</v>
      </c>
      <c r="S6224" s="1" t="s">
        <v>11367</v>
      </c>
      <c r="T6224" s="1" t="s">
        <v>11368</v>
      </c>
      <c r="U6224" s="2" t="s">
        <v>1308</v>
      </c>
      <c r="V6224" s="2" t="s">
        <v>47</v>
      </c>
      <c r="W6224" s="2" t="s">
        <v>176</v>
      </c>
      <c r="X6224" s="2">
        <v>16.484999999999999</v>
      </c>
    </row>
    <row r="6225" spans="1:24" x14ac:dyDescent="0.3">
      <c r="A6225">
        <v>24045</v>
      </c>
      <c r="B6225" t="s">
        <v>12762</v>
      </c>
      <c r="C6225" s="3">
        <v>40695</v>
      </c>
      <c r="D6225" t="s">
        <v>39</v>
      </c>
      <c r="E6225">
        <v>3</v>
      </c>
      <c r="F6225" s="3">
        <f ca="1">40696+(RANDBETWEEN(1,10))</f>
        <v>40704</v>
      </c>
      <c r="G6225" t="s">
        <v>156</v>
      </c>
      <c r="H6225" t="s">
        <v>51</v>
      </c>
      <c r="I6225" t="s">
        <v>28</v>
      </c>
      <c r="J6225">
        <v>516.46</v>
      </c>
      <c r="K6225">
        <v>0.04</v>
      </c>
      <c r="L6225">
        <v>0.35</v>
      </c>
      <c r="M6225">
        <v>4.375</v>
      </c>
      <c r="N6225">
        <v>-64.125600000000006</v>
      </c>
      <c r="O6225" s="1" t="s">
        <v>225</v>
      </c>
      <c r="P6225" s="1" t="s">
        <v>11365</v>
      </c>
      <c r="Q6225" s="1" t="s">
        <v>11366</v>
      </c>
      <c r="R6225" s="1" t="s">
        <v>228</v>
      </c>
      <c r="S6225" s="1" t="s">
        <v>11367</v>
      </c>
      <c r="T6225" s="1" t="s">
        <v>11368</v>
      </c>
      <c r="U6225" s="2" t="s">
        <v>2368</v>
      </c>
      <c r="V6225" s="2" t="s">
        <v>36</v>
      </c>
      <c r="W6225" s="2" t="s">
        <v>37</v>
      </c>
      <c r="X6225" s="2">
        <v>195.965</v>
      </c>
    </row>
    <row r="6226" spans="1:24" x14ac:dyDescent="0.3">
      <c r="A6226">
        <v>24046</v>
      </c>
      <c r="B6226" t="s">
        <v>3624</v>
      </c>
      <c r="C6226" s="3">
        <v>40897</v>
      </c>
      <c r="D6226" t="s">
        <v>50</v>
      </c>
      <c r="E6226">
        <v>6</v>
      </c>
      <c r="F6226" s="3">
        <f ca="1">40899+(RANDBETWEEN(1,10))</f>
        <v>40906</v>
      </c>
      <c r="G6226" t="s">
        <v>26</v>
      </c>
      <c r="H6226" t="s">
        <v>27</v>
      </c>
      <c r="I6226" t="s">
        <v>52</v>
      </c>
      <c r="J6226">
        <v>209.82499999999999</v>
      </c>
      <c r="K6226">
        <v>0.02</v>
      </c>
      <c r="L6226">
        <v>0.4</v>
      </c>
      <c r="M6226">
        <v>34.51</v>
      </c>
      <c r="N6226">
        <v>-111.1425</v>
      </c>
      <c r="O6226" s="1" t="s">
        <v>53</v>
      </c>
      <c r="P6226" s="1" t="s">
        <v>3625</v>
      </c>
      <c r="Q6226" s="1" t="s">
        <v>3626</v>
      </c>
      <c r="R6226" s="1" t="s">
        <v>100</v>
      </c>
      <c r="S6226" s="1" t="s">
        <v>101</v>
      </c>
      <c r="T6226" s="1" t="s">
        <v>3627</v>
      </c>
      <c r="U6226" s="2" t="s">
        <v>7950</v>
      </c>
      <c r="V6226" s="2" t="s">
        <v>47</v>
      </c>
      <c r="W6226" s="2" t="s">
        <v>74</v>
      </c>
      <c r="X6226" s="2">
        <v>31.71</v>
      </c>
    </row>
    <row r="6227" spans="1:24" x14ac:dyDescent="0.3">
      <c r="A6227">
        <v>24047</v>
      </c>
      <c r="B6227" t="s">
        <v>12763</v>
      </c>
      <c r="C6227" s="3">
        <v>41463</v>
      </c>
      <c r="D6227" t="s">
        <v>50</v>
      </c>
      <c r="E6227">
        <v>6</v>
      </c>
      <c r="F6227" s="3">
        <f ca="1">41465+(RANDBETWEEN(1,10))</f>
        <v>41467</v>
      </c>
      <c r="G6227" t="s">
        <v>26</v>
      </c>
      <c r="H6227" t="s">
        <v>281</v>
      </c>
      <c r="I6227" t="s">
        <v>28</v>
      </c>
      <c r="J6227">
        <v>167.23</v>
      </c>
      <c r="K6227">
        <v>0.05</v>
      </c>
      <c r="L6227">
        <v>0.59</v>
      </c>
      <c r="M6227">
        <v>22.75</v>
      </c>
      <c r="N6227">
        <v>-248.92</v>
      </c>
      <c r="O6227" s="1" t="s">
        <v>64</v>
      </c>
      <c r="P6227" s="1" t="s">
        <v>10928</v>
      </c>
      <c r="Q6227" s="1" t="s">
        <v>10929</v>
      </c>
      <c r="R6227" s="1" t="s">
        <v>128</v>
      </c>
      <c r="S6227" s="1" t="s">
        <v>4024</v>
      </c>
      <c r="T6227" s="1" t="s">
        <v>4025</v>
      </c>
      <c r="U6227" s="2" t="s">
        <v>2913</v>
      </c>
      <c r="V6227" s="2" t="s">
        <v>47</v>
      </c>
      <c r="W6227" s="2" t="s">
        <v>119</v>
      </c>
      <c r="X6227" s="2">
        <v>27.93</v>
      </c>
    </row>
    <row r="6228" spans="1:24" x14ac:dyDescent="0.3">
      <c r="A6228">
        <v>24048</v>
      </c>
      <c r="B6228" t="s">
        <v>12764</v>
      </c>
      <c r="C6228" s="3">
        <v>41209</v>
      </c>
      <c r="D6228" t="s">
        <v>25</v>
      </c>
      <c r="E6228">
        <v>8</v>
      </c>
      <c r="F6228" s="3">
        <f ca="1">41211+(RANDBETWEEN(1,10))</f>
        <v>41220</v>
      </c>
      <c r="G6228" t="s">
        <v>156</v>
      </c>
      <c r="H6228" t="s">
        <v>27</v>
      </c>
      <c r="I6228" t="s">
        <v>97</v>
      </c>
      <c r="J6228">
        <v>336.10500000000002</v>
      </c>
      <c r="K6228">
        <v>0.08</v>
      </c>
      <c r="L6228">
        <v>0.57999999999999996</v>
      </c>
      <c r="M6228">
        <v>17.43</v>
      </c>
      <c r="N6228">
        <v>-85.239000000000004</v>
      </c>
      <c r="O6228" s="1" t="s">
        <v>53</v>
      </c>
      <c r="P6228" s="1" t="s">
        <v>11085</v>
      </c>
      <c r="Q6228" s="1" t="s">
        <v>11086</v>
      </c>
      <c r="R6228" s="1" t="s">
        <v>440</v>
      </c>
      <c r="S6228" s="1" t="s">
        <v>11087</v>
      </c>
      <c r="T6228" s="1" t="s">
        <v>11088</v>
      </c>
      <c r="U6228" s="2" t="s">
        <v>5213</v>
      </c>
      <c r="V6228" s="2" t="s">
        <v>47</v>
      </c>
      <c r="W6228" s="2" t="s">
        <v>71</v>
      </c>
      <c r="X6228" s="2">
        <v>41.895000000000003</v>
      </c>
    </row>
    <row r="6229" spans="1:24" x14ac:dyDescent="0.3">
      <c r="A6229">
        <v>24049</v>
      </c>
      <c r="B6229" t="s">
        <v>12765</v>
      </c>
      <c r="C6229" s="3">
        <v>40980</v>
      </c>
      <c r="D6229" t="s">
        <v>50</v>
      </c>
      <c r="E6229">
        <v>7</v>
      </c>
      <c r="F6229" s="3">
        <f ca="1">40980+(RANDBETWEEN(1,10))</f>
        <v>40986</v>
      </c>
      <c r="G6229" t="s">
        <v>76</v>
      </c>
      <c r="H6229" t="s">
        <v>258</v>
      </c>
      <c r="I6229" t="s">
        <v>52</v>
      </c>
      <c r="J6229">
        <v>10221.469999999999</v>
      </c>
      <c r="K6229">
        <v>0.04</v>
      </c>
      <c r="L6229">
        <v>0.71</v>
      </c>
      <c r="M6229">
        <v>148.82</v>
      </c>
      <c r="N6229">
        <v>-3391.669281</v>
      </c>
      <c r="O6229" s="1" t="s">
        <v>87</v>
      </c>
      <c r="P6229" s="1" t="s">
        <v>12766</v>
      </c>
      <c r="Q6229" s="1" t="s">
        <v>12767</v>
      </c>
      <c r="R6229" s="1" t="s">
        <v>90</v>
      </c>
      <c r="S6229" s="1" t="s">
        <v>12768</v>
      </c>
      <c r="T6229" s="1" t="s">
        <v>12769</v>
      </c>
      <c r="U6229" s="2" t="s">
        <v>2984</v>
      </c>
      <c r="V6229" s="2" t="s">
        <v>83</v>
      </c>
      <c r="W6229" s="2" t="s">
        <v>263</v>
      </c>
      <c r="X6229" s="2">
        <v>1403.43</v>
      </c>
    </row>
    <row r="6230" spans="1:24" x14ac:dyDescent="0.3">
      <c r="A6230">
        <v>24050</v>
      </c>
      <c r="B6230" t="s">
        <v>12770</v>
      </c>
      <c r="C6230" s="3">
        <v>41647</v>
      </c>
      <c r="D6230" t="s">
        <v>148</v>
      </c>
      <c r="E6230">
        <v>12</v>
      </c>
      <c r="F6230" s="3">
        <f ca="1">41649+(RANDBETWEEN(1,10))</f>
        <v>41651</v>
      </c>
      <c r="G6230" t="s">
        <v>26</v>
      </c>
      <c r="H6230" t="s">
        <v>27</v>
      </c>
      <c r="I6230" t="s">
        <v>28</v>
      </c>
      <c r="J6230">
        <v>162.57499999999999</v>
      </c>
      <c r="K6230">
        <v>0.02</v>
      </c>
      <c r="L6230">
        <v>0.37</v>
      </c>
      <c r="M6230">
        <v>1.75</v>
      </c>
      <c r="N6230">
        <v>44.150399999999998</v>
      </c>
      <c r="O6230" s="1" t="s">
        <v>87</v>
      </c>
      <c r="P6230" s="1" t="s">
        <v>11252</v>
      </c>
      <c r="Q6230" s="1" t="s">
        <v>11253</v>
      </c>
      <c r="R6230" s="1" t="s">
        <v>646</v>
      </c>
      <c r="S6230" s="1" t="s">
        <v>11254</v>
      </c>
      <c r="T6230" s="1" t="s">
        <v>11255</v>
      </c>
      <c r="U6230" s="2" t="s">
        <v>2907</v>
      </c>
      <c r="V6230" s="2" t="s">
        <v>47</v>
      </c>
      <c r="W6230" s="2" t="s">
        <v>203</v>
      </c>
      <c r="X6230" s="2">
        <v>13.125</v>
      </c>
    </row>
    <row r="6231" spans="1:24" x14ac:dyDescent="0.3">
      <c r="A6231">
        <v>24051</v>
      </c>
      <c r="B6231" t="s">
        <v>12771</v>
      </c>
      <c r="C6231" s="3">
        <v>41800</v>
      </c>
      <c r="D6231" t="s">
        <v>148</v>
      </c>
      <c r="E6231">
        <v>1</v>
      </c>
      <c r="F6231" s="3">
        <f ca="1">41801+(RANDBETWEEN(1,10))</f>
        <v>41809</v>
      </c>
      <c r="G6231" t="s">
        <v>26</v>
      </c>
      <c r="H6231" t="s">
        <v>27</v>
      </c>
      <c r="I6231" t="s">
        <v>52</v>
      </c>
      <c r="J6231">
        <v>41.615000000000002</v>
      </c>
      <c r="K6231">
        <v>0.01</v>
      </c>
      <c r="L6231">
        <v>0.35</v>
      </c>
      <c r="M6231">
        <v>20.16</v>
      </c>
      <c r="N6231">
        <v>2313.9899999999998</v>
      </c>
      <c r="O6231" s="1" t="s">
        <v>87</v>
      </c>
      <c r="P6231" s="1" t="s">
        <v>12772</v>
      </c>
      <c r="Q6231" s="1" t="s">
        <v>12773</v>
      </c>
      <c r="R6231" s="1" t="s">
        <v>398</v>
      </c>
      <c r="S6231" s="1" t="s">
        <v>1968</v>
      </c>
      <c r="T6231" s="1" t="s">
        <v>1969</v>
      </c>
      <c r="U6231" s="2" t="s">
        <v>2681</v>
      </c>
      <c r="V6231" s="2" t="s">
        <v>47</v>
      </c>
      <c r="W6231" s="2" t="s">
        <v>48</v>
      </c>
      <c r="X6231" s="2">
        <v>34.229999999999997</v>
      </c>
    </row>
    <row r="6232" spans="1:24" x14ac:dyDescent="0.3">
      <c r="A6232">
        <v>24052</v>
      </c>
      <c r="B6232" t="s">
        <v>12771</v>
      </c>
      <c r="C6232" s="3">
        <v>41800</v>
      </c>
      <c r="D6232" t="s">
        <v>148</v>
      </c>
      <c r="E6232">
        <v>4</v>
      </c>
      <c r="F6232" s="3">
        <f ca="1">41802+(RANDBETWEEN(1,10))</f>
        <v>41812</v>
      </c>
      <c r="G6232" t="s">
        <v>26</v>
      </c>
      <c r="H6232" t="s">
        <v>51</v>
      </c>
      <c r="I6232" t="s">
        <v>52</v>
      </c>
      <c r="J6232">
        <v>298.79500000000002</v>
      </c>
      <c r="K6232">
        <v>0.04</v>
      </c>
      <c r="L6232">
        <v>0.59</v>
      </c>
      <c r="M6232">
        <v>31.465</v>
      </c>
      <c r="N6232">
        <v>-2123.1217007</v>
      </c>
      <c r="O6232" s="1" t="s">
        <v>87</v>
      </c>
      <c r="P6232" s="1" t="s">
        <v>12772</v>
      </c>
      <c r="Q6232" s="1" t="s">
        <v>12773</v>
      </c>
      <c r="R6232" s="1" t="s">
        <v>398</v>
      </c>
      <c r="S6232" s="1" t="s">
        <v>1968</v>
      </c>
      <c r="T6232" s="1" t="s">
        <v>1969</v>
      </c>
      <c r="U6232" s="2" t="s">
        <v>2789</v>
      </c>
      <c r="V6232" s="2" t="s">
        <v>47</v>
      </c>
      <c r="W6232" s="2" t="s">
        <v>104</v>
      </c>
      <c r="X6232" s="2">
        <v>74.83</v>
      </c>
    </row>
    <row r="6233" spans="1:24" x14ac:dyDescent="0.3">
      <c r="A6233">
        <v>24053</v>
      </c>
      <c r="B6233" t="s">
        <v>12771</v>
      </c>
      <c r="C6233" s="3">
        <v>41800</v>
      </c>
      <c r="D6233" t="s">
        <v>148</v>
      </c>
      <c r="E6233">
        <v>1</v>
      </c>
      <c r="F6233" s="3">
        <f ca="1">41802+(RANDBETWEEN(1,10))</f>
        <v>41806</v>
      </c>
      <c r="G6233" t="s">
        <v>76</v>
      </c>
      <c r="H6233" t="s">
        <v>258</v>
      </c>
      <c r="I6233" t="s">
        <v>52</v>
      </c>
      <c r="J6233">
        <v>581.55999999999995</v>
      </c>
      <c r="K6233">
        <v>0.01</v>
      </c>
      <c r="L6233">
        <v>0.69</v>
      </c>
      <c r="M6233">
        <v>181.72</v>
      </c>
      <c r="N6233">
        <v>617.84100000000001</v>
      </c>
      <c r="O6233" s="1" t="s">
        <v>87</v>
      </c>
      <c r="P6233" s="1" t="s">
        <v>12772</v>
      </c>
      <c r="Q6233" s="1" t="s">
        <v>12773</v>
      </c>
      <c r="R6233" s="1" t="s">
        <v>398</v>
      </c>
      <c r="S6233" s="1" t="s">
        <v>1968</v>
      </c>
      <c r="T6233" s="1" t="s">
        <v>1969</v>
      </c>
      <c r="U6233" s="2" t="s">
        <v>2661</v>
      </c>
      <c r="V6233" s="2" t="s">
        <v>83</v>
      </c>
      <c r="W6233" s="2" t="s">
        <v>263</v>
      </c>
      <c r="X6233" s="2">
        <v>510.93</v>
      </c>
    </row>
    <row r="6234" spans="1:24" x14ac:dyDescent="0.3">
      <c r="A6234">
        <v>24054</v>
      </c>
      <c r="B6234" t="s">
        <v>12774</v>
      </c>
      <c r="C6234" s="3">
        <v>41033</v>
      </c>
      <c r="D6234" t="s">
        <v>50</v>
      </c>
      <c r="E6234">
        <v>1</v>
      </c>
      <c r="F6234" s="3">
        <f ca="1">41035+(RANDBETWEEN(1,10))</f>
        <v>41041</v>
      </c>
      <c r="G6234" t="s">
        <v>26</v>
      </c>
      <c r="H6234" t="s">
        <v>27</v>
      </c>
      <c r="I6234" t="s">
        <v>86</v>
      </c>
      <c r="J6234">
        <v>46.024999999999999</v>
      </c>
      <c r="K6234">
        <v>0.05</v>
      </c>
      <c r="L6234">
        <v>0.56999999999999995</v>
      </c>
      <c r="M6234">
        <v>30.1</v>
      </c>
      <c r="N6234">
        <v>-307.37700000000001</v>
      </c>
      <c r="O6234" s="1" t="s">
        <v>87</v>
      </c>
      <c r="P6234" s="1" t="s">
        <v>12775</v>
      </c>
      <c r="Q6234" s="1" t="s">
        <v>12776</v>
      </c>
      <c r="R6234" s="1" t="s">
        <v>90</v>
      </c>
      <c r="S6234" s="1" t="s">
        <v>3603</v>
      </c>
      <c r="T6234" s="1" t="s">
        <v>3604</v>
      </c>
      <c r="U6234" s="2" t="s">
        <v>5550</v>
      </c>
      <c r="V6234" s="2" t="s">
        <v>47</v>
      </c>
      <c r="W6234" s="2" t="s">
        <v>119</v>
      </c>
      <c r="X6234" s="2">
        <v>39.725000000000001</v>
      </c>
    </row>
    <row r="6235" spans="1:24" x14ac:dyDescent="0.3">
      <c r="A6235">
        <v>24055</v>
      </c>
      <c r="B6235" t="s">
        <v>12777</v>
      </c>
      <c r="C6235" s="3">
        <v>41416</v>
      </c>
      <c r="D6235" t="s">
        <v>39</v>
      </c>
      <c r="E6235">
        <v>18</v>
      </c>
      <c r="F6235" s="3">
        <f ca="1">41418+(RANDBETWEEN(1,10))</f>
        <v>41419</v>
      </c>
      <c r="G6235" t="s">
        <v>26</v>
      </c>
      <c r="H6235" t="s">
        <v>27</v>
      </c>
      <c r="I6235" t="s">
        <v>28</v>
      </c>
      <c r="J6235">
        <v>887.84500000000003</v>
      </c>
      <c r="K6235">
        <v>7.0000000000000007E-2</v>
      </c>
      <c r="L6235">
        <v>0.38</v>
      </c>
      <c r="M6235">
        <v>25.445</v>
      </c>
      <c r="N6235">
        <v>106.6835</v>
      </c>
      <c r="O6235" s="1" t="s">
        <v>87</v>
      </c>
      <c r="P6235" s="1" t="s">
        <v>12778</v>
      </c>
      <c r="Q6235" s="1" t="s">
        <v>12779</v>
      </c>
      <c r="R6235" s="1" t="s">
        <v>90</v>
      </c>
      <c r="S6235" s="1" t="s">
        <v>12780</v>
      </c>
      <c r="T6235" s="1" t="s">
        <v>12781</v>
      </c>
      <c r="U6235" s="2" t="s">
        <v>3821</v>
      </c>
      <c r="V6235" s="2" t="s">
        <v>47</v>
      </c>
      <c r="W6235" s="2" t="s">
        <v>111</v>
      </c>
      <c r="X6235" s="2">
        <v>49.945</v>
      </c>
    </row>
    <row r="6236" spans="1:24" x14ac:dyDescent="0.3">
      <c r="A6236">
        <v>24056</v>
      </c>
      <c r="B6236" t="s">
        <v>12777</v>
      </c>
      <c r="C6236" s="3">
        <v>41416</v>
      </c>
      <c r="D6236" t="s">
        <v>39</v>
      </c>
      <c r="E6236">
        <v>18</v>
      </c>
      <c r="F6236" s="3">
        <f ca="1">41418+(RANDBETWEEN(1,10))</f>
        <v>41420</v>
      </c>
      <c r="G6236" t="s">
        <v>26</v>
      </c>
      <c r="H6236" t="s">
        <v>281</v>
      </c>
      <c r="I6236" t="s">
        <v>28</v>
      </c>
      <c r="J6236">
        <v>562.1</v>
      </c>
      <c r="K6236">
        <v>0.1</v>
      </c>
      <c r="L6236">
        <v>0.39</v>
      </c>
      <c r="M6236">
        <v>20.16</v>
      </c>
      <c r="N6236">
        <v>-191.04329999999999</v>
      </c>
      <c r="O6236" s="1" t="s">
        <v>87</v>
      </c>
      <c r="P6236" s="1" t="s">
        <v>12778</v>
      </c>
      <c r="Q6236" s="1" t="s">
        <v>12779</v>
      </c>
      <c r="R6236" s="1" t="s">
        <v>90</v>
      </c>
      <c r="S6236" s="1" t="s">
        <v>12780</v>
      </c>
      <c r="T6236" s="1" t="s">
        <v>12781</v>
      </c>
      <c r="U6236" s="2" t="s">
        <v>7988</v>
      </c>
      <c r="V6236" s="2" t="s">
        <v>36</v>
      </c>
      <c r="W6236" s="2" t="s">
        <v>142</v>
      </c>
      <c r="X6236" s="2">
        <v>33.215000000000003</v>
      </c>
    </row>
    <row r="6237" spans="1:24" x14ac:dyDescent="0.3">
      <c r="A6237">
        <v>24057</v>
      </c>
      <c r="B6237" t="s">
        <v>12777</v>
      </c>
      <c r="C6237" s="3">
        <v>41416</v>
      </c>
      <c r="D6237" t="s">
        <v>39</v>
      </c>
      <c r="E6237">
        <v>15</v>
      </c>
      <c r="F6237" s="3">
        <f ca="1">41418+(RANDBETWEEN(1,10))</f>
        <v>41420</v>
      </c>
      <c r="G6237" t="s">
        <v>156</v>
      </c>
      <c r="H6237" t="s">
        <v>27</v>
      </c>
      <c r="I6237" t="s">
        <v>28</v>
      </c>
      <c r="J6237">
        <v>647.88499999999999</v>
      </c>
      <c r="K6237">
        <v>0.02</v>
      </c>
      <c r="L6237">
        <v>0.4</v>
      </c>
      <c r="M6237">
        <v>25.164999999999999</v>
      </c>
      <c r="N6237">
        <v>-8.3317499999999995</v>
      </c>
      <c r="O6237" s="1" t="s">
        <v>29</v>
      </c>
      <c r="P6237" s="1" t="s">
        <v>9788</v>
      </c>
      <c r="Q6237" s="1" t="s">
        <v>9789</v>
      </c>
      <c r="R6237" s="1" t="s">
        <v>32</v>
      </c>
      <c r="S6237" s="1" t="s">
        <v>9790</v>
      </c>
      <c r="T6237" s="1" t="s">
        <v>9791</v>
      </c>
      <c r="U6237" s="2" t="s">
        <v>1736</v>
      </c>
      <c r="V6237" s="2" t="s">
        <v>47</v>
      </c>
      <c r="W6237" s="2" t="s">
        <v>111</v>
      </c>
      <c r="X6237" s="2">
        <v>40.25</v>
      </c>
    </row>
    <row r="6238" spans="1:24" x14ac:dyDescent="0.3">
      <c r="A6238">
        <v>24058</v>
      </c>
      <c r="B6238" t="s">
        <v>12782</v>
      </c>
      <c r="C6238" s="3">
        <v>41553</v>
      </c>
      <c r="D6238" t="s">
        <v>148</v>
      </c>
      <c r="E6238">
        <v>3</v>
      </c>
      <c r="F6238" s="3">
        <f ca="1">41554+(RANDBETWEEN(1,10))</f>
        <v>41563</v>
      </c>
      <c r="G6238" t="s">
        <v>156</v>
      </c>
      <c r="H6238" t="s">
        <v>27</v>
      </c>
      <c r="I6238" t="s">
        <v>28</v>
      </c>
      <c r="J6238">
        <v>1715.14</v>
      </c>
      <c r="K6238">
        <v>0.04</v>
      </c>
      <c r="L6238">
        <v>0.56000000000000005</v>
      </c>
      <c r="M6238">
        <v>14.7</v>
      </c>
      <c r="N6238">
        <v>-1798.00236</v>
      </c>
      <c r="O6238" s="1" t="s">
        <v>29</v>
      </c>
      <c r="P6238" s="1" t="s">
        <v>12287</v>
      </c>
      <c r="Q6238" s="1" t="s">
        <v>12288</v>
      </c>
      <c r="R6238" s="1" t="s">
        <v>32</v>
      </c>
      <c r="S6238" s="1" t="s">
        <v>3788</v>
      </c>
      <c r="T6238" s="1" t="s">
        <v>3789</v>
      </c>
      <c r="U6238" s="2" t="s">
        <v>3784</v>
      </c>
      <c r="V6238" s="2" t="s">
        <v>36</v>
      </c>
      <c r="W6238" s="2" t="s">
        <v>37</v>
      </c>
      <c r="X6238" s="2">
        <v>685.96500000000003</v>
      </c>
    </row>
    <row r="6239" spans="1:24" x14ac:dyDescent="0.3">
      <c r="A6239">
        <v>24059</v>
      </c>
      <c r="B6239" t="s">
        <v>12783</v>
      </c>
      <c r="C6239" s="3">
        <v>41961</v>
      </c>
      <c r="D6239" t="s">
        <v>62</v>
      </c>
      <c r="E6239">
        <v>39</v>
      </c>
      <c r="F6239" s="3">
        <f ca="1">41962+(RANDBETWEEN(1,10))</f>
        <v>41963</v>
      </c>
      <c r="G6239" t="s">
        <v>76</v>
      </c>
      <c r="H6239" t="s">
        <v>77</v>
      </c>
      <c r="I6239" t="s">
        <v>86</v>
      </c>
      <c r="J6239">
        <v>30952.32</v>
      </c>
      <c r="K6239">
        <v>0</v>
      </c>
      <c r="L6239">
        <v>0.59</v>
      </c>
      <c r="M6239">
        <v>224.7</v>
      </c>
      <c r="N6239">
        <v>9155.3246400000007</v>
      </c>
      <c r="O6239" s="1" t="s">
        <v>225</v>
      </c>
      <c r="P6239" s="1" t="s">
        <v>6705</v>
      </c>
      <c r="Q6239" s="1" t="s">
        <v>6706</v>
      </c>
      <c r="R6239" s="1" t="s">
        <v>228</v>
      </c>
      <c r="S6239" s="1" t="s">
        <v>6707</v>
      </c>
      <c r="T6239" s="1" t="s">
        <v>6708</v>
      </c>
      <c r="U6239" s="2" t="s">
        <v>2488</v>
      </c>
      <c r="V6239" s="2" t="s">
        <v>83</v>
      </c>
      <c r="W6239" s="2" t="s">
        <v>84</v>
      </c>
      <c r="X6239" s="2">
        <v>758.1</v>
      </c>
    </row>
    <row r="6240" spans="1:24" x14ac:dyDescent="0.3">
      <c r="A6240">
        <v>24060</v>
      </c>
      <c r="B6240" t="s">
        <v>12784</v>
      </c>
      <c r="C6240" s="3">
        <v>42002</v>
      </c>
      <c r="D6240" t="s">
        <v>50</v>
      </c>
      <c r="E6240">
        <v>23</v>
      </c>
      <c r="F6240" s="3">
        <f ca="1">42002+(RANDBETWEEN(1,10))</f>
        <v>42003</v>
      </c>
      <c r="G6240" t="s">
        <v>26</v>
      </c>
      <c r="H6240" t="s">
        <v>27</v>
      </c>
      <c r="I6240" t="s">
        <v>28</v>
      </c>
      <c r="J6240">
        <v>319.69</v>
      </c>
      <c r="K6240">
        <v>7.0000000000000007E-2</v>
      </c>
      <c r="L6240">
        <v>0.59</v>
      </c>
      <c r="M6240">
        <v>17.954999999999998</v>
      </c>
      <c r="N6240">
        <v>-193.94592</v>
      </c>
      <c r="O6240" s="1" t="s">
        <v>87</v>
      </c>
      <c r="P6240" s="1" t="s">
        <v>10169</v>
      </c>
      <c r="Q6240" s="1" t="s">
        <v>10170</v>
      </c>
      <c r="R6240" s="1" t="s">
        <v>497</v>
      </c>
      <c r="S6240" s="1" t="s">
        <v>5554</v>
      </c>
      <c r="T6240" s="1" t="s">
        <v>5555</v>
      </c>
      <c r="U6240" s="2" t="s">
        <v>1645</v>
      </c>
      <c r="V6240" s="2" t="s">
        <v>47</v>
      </c>
      <c r="W6240" s="2" t="s">
        <v>71</v>
      </c>
      <c r="X6240" s="2">
        <v>13.824999999999999</v>
      </c>
    </row>
    <row r="6241" spans="1:24" x14ac:dyDescent="0.3">
      <c r="A6241">
        <v>24061</v>
      </c>
      <c r="B6241" t="s">
        <v>12785</v>
      </c>
      <c r="C6241" s="3">
        <v>41147</v>
      </c>
      <c r="D6241" t="s">
        <v>25</v>
      </c>
      <c r="E6241">
        <v>2</v>
      </c>
      <c r="F6241" s="3">
        <f ca="1">41149+(RANDBETWEEN(1,10))</f>
        <v>41153</v>
      </c>
      <c r="G6241" t="s">
        <v>26</v>
      </c>
      <c r="H6241" t="s">
        <v>51</v>
      </c>
      <c r="I6241" t="s">
        <v>97</v>
      </c>
      <c r="J6241">
        <v>247.87</v>
      </c>
      <c r="K6241">
        <v>0</v>
      </c>
      <c r="L6241">
        <v>0.43</v>
      </c>
      <c r="M6241">
        <v>6.9649999999999999</v>
      </c>
      <c r="N6241">
        <v>-92.219399999999993</v>
      </c>
      <c r="O6241" s="1" t="s">
        <v>87</v>
      </c>
      <c r="P6241" s="1" t="s">
        <v>4196</v>
      </c>
      <c r="Q6241" s="1" t="s">
        <v>4197</v>
      </c>
      <c r="R6241" s="1" t="s">
        <v>497</v>
      </c>
      <c r="S6241" s="1" t="s">
        <v>4198</v>
      </c>
      <c r="T6241" s="1" t="s">
        <v>4199</v>
      </c>
      <c r="U6241" s="2" t="s">
        <v>2995</v>
      </c>
      <c r="V6241" s="2" t="s">
        <v>36</v>
      </c>
      <c r="W6241" s="2" t="s">
        <v>60</v>
      </c>
      <c r="X6241" s="2">
        <v>123.935</v>
      </c>
    </row>
    <row r="6242" spans="1:24" x14ac:dyDescent="0.3">
      <c r="A6242">
        <v>24062</v>
      </c>
      <c r="B6242" t="s">
        <v>12786</v>
      </c>
      <c r="C6242" s="3">
        <v>41780</v>
      </c>
      <c r="D6242" t="s">
        <v>50</v>
      </c>
      <c r="E6242">
        <v>13</v>
      </c>
      <c r="F6242" s="3">
        <f ca="1">41781+(RANDBETWEEN(1,10))</f>
        <v>41785</v>
      </c>
      <c r="G6242" t="s">
        <v>26</v>
      </c>
      <c r="H6242" t="s">
        <v>96</v>
      </c>
      <c r="I6242" t="s">
        <v>86</v>
      </c>
      <c r="J6242">
        <v>229.91499999999999</v>
      </c>
      <c r="K6242">
        <v>0.08</v>
      </c>
      <c r="L6242">
        <v>0.37</v>
      </c>
      <c r="M6242">
        <v>11.865</v>
      </c>
      <c r="N6242">
        <v>-61.215000000000003</v>
      </c>
      <c r="O6242" s="1" t="s">
        <v>40</v>
      </c>
      <c r="P6242" s="1" t="s">
        <v>7211</v>
      </c>
      <c r="Q6242" s="1" t="s">
        <v>7212</v>
      </c>
      <c r="R6242" s="1" t="s">
        <v>43</v>
      </c>
      <c r="S6242" s="1" t="s">
        <v>7213</v>
      </c>
      <c r="T6242" s="1" t="s">
        <v>7214</v>
      </c>
      <c r="U6242" s="2" t="s">
        <v>12787</v>
      </c>
      <c r="V6242" s="2" t="s">
        <v>47</v>
      </c>
      <c r="W6242" s="2" t="s">
        <v>176</v>
      </c>
      <c r="X6242" s="2">
        <v>17.5</v>
      </c>
    </row>
    <row r="6243" spans="1:24" x14ac:dyDescent="0.3">
      <c r="A6243">
        <v>24063</v>
      </c>
      <c r="B6243" t="s">
        <v>12788</v>
      </c>
      <c r="C6243" s="3">
        <v>40684</v>
      </c>
      <c r="D6243" t="s">
        <v>50</v>
      </c>
      <c r="E6243">
        <v>18</v>
      </c>
      <c r="F6243" s="3">
        <f ca="1">40686+(RANDBETWEEN(1,10))</f>
        <v>40693</v>
      </c>
      <c r="G6243" t="s">
        <v>26</v>
      </c>
      <c r="H6243" t="s">
        <v>281</v>
      </c>
      <c r="I6243" t="s">
        <v>86</v>
      </c>
      <c r="J6243">
        <v>811.26499999999999</v>
      </c>
      <c r="K6243">
        <v>7.0000000000000007E-2</v>
      </c>
      <c r="L6243">
        <v>0.39</v>
      </c>
      <c r="M6243">
        <v>33.04</v>
      </c>
      <c r="N6243">
        <v>-401.23964999999998</v>
      </c>
      <c r="O6243" s="1" t="s">
        <v>53</v>
      </c>
      <c r="P6243" s="1" t="s">
        <v>12789</v>
      </c>
      <c r="Q6243" s="1" t="s">
        <v>12790</v>
      </c>
      <c r="R6243" s="1" t="s">
        <v>440</v>
      </c>
      <c r="S6243" s="1" t="s">
        <v>12791</v>
      </c>
      <c r="T6243" s="1" t="s">
        <v>12792</v>
      </c>
      <c r="U6243" s="2" t="s">
        <v>11440</v>
      </c>
      <c r="V6243" s="2" t="s">
        <v>36</v>
      </c>
      <c r="W6243" s="2" t="s">
        <v>142</v>
      </c>
      <c r="X6243" s="2">
        <v>45.465000000000003</v>
      </c>
    </row>
    <row r="6244" spans="1:24" x14ac:dyDescent="0.3">
      <c r="A6244">
        <v>24064</v>
      </c>
      <c r="B6244" t="s">
        <v>12793</v>
      </c>
      <c r="C6244" s="3">
        <v>41873</v>
      </c>
      <c r="D6244" t="s">
        <v>39</v>
      </c>
      <c r="E6244">
        <v>19</v>
      </c>
      <c r="F6244" s="3">
        <f ca="1">41874+(RANDBETWEEN(1,10))</f>
        <v>41884</v>
      </c>
      <c r="G6244" t="s">
        <v>26</v>
      </c>
      <c r="H6244" t="s">
        <v>51</v>
      </c>
      <c r="I6244" t="s">
        <v>86</v>
      </c>
      <c r="J6244">
        <v>1999.34</v>
      </c>
      <c r="K6244">
        <v>0.09</v>
      </c>
      <c r="L6244">
        <v>0.56999999999999995</v>
      </c>
      <c r="M6244">
        <v>4.375</v>
      </c>
      <c r="N6244">
        <v>1379.5445999999999</v>
      </c>
      <c r="O6244" s="1" t="s">
        <v>87</v>
      </c>
      <c r="P6244" s="1" t="s">
        <v>5916</v>
      </c>
      <c r="Q6244" s="1" t="s">
        <v>5917</v>
      </c>
      <c r="R6244" s="1" t="s">
        <v>90</v>
      </c>
      <c r="S6244" s="1" t="s">
        <v>5918</v>
      </c>
      <c r="T6244" s="1" t="s">
        <v>5919</v>
      </c>
      <c r="U6244" s="2" t="s">
        <v>1964</v>
      </c>
      <c r="V6244" s="2" t="s">
        <v>36</v>
      </c>
      <c r="W6244" s="2" t="s">
        <v>37</v>
      </c>
      <c r="X6244" s="2">
        <v>125.965</v>
      </c>
    </row>
    <row r="6245" spans="1:24" x14ac:dyDescent="0.3">
      <c r="A6245">
        <v>24065</v>
      </c>
      <c r="B6245" t="s">
        <v>12794</v>
      </c>
      <c r="C6245" s="3">
        <v>41898</v>
      </c>
      <c r="D6245" t="s">
        <v>62</v>
      </c>
      <c r="E6245">
        <v>11</v>
      </c>
      <c r="F6245" s="3">
        <f ca="1">41900+(RANDBETWEEN(1,10))</f>
        <v>41907</v>
      </c>
      <c r="G6245" t="s">
        <v>26</v>
      </c>
      <c r="H6245" t="s">
        <v>27</v>
      </c>
      <c r="I6245" t="s">
        <v>97</v>
      </c>
      <c r="J6245">
        <v>4052.125</v>
      </c>
      <c r="K6245">
        <v>0.09</v>
      </c>
      <c r="L6245">
        <v>0.59</v>
      </c>
      <c r="M6245">
        <v>30.8</v>
      </c>
      <c r="N6245">
        <v>625.38966000000005</v>
      </c>
      <c r="O6245" s="1" t="s">
        <v>29</v>
      </c>
      <c r="P6245" s="1" t="s">
        <v>11483</v>
      </c>
      <c r="Q6245" s="1" t="s">
        <v>11484</v>
      </c>
      <c r="R6245" s="1" t="s">
        <v>32</v>
      </c>
      <c r="S6245" s="1" t="s">
        <v>8276</v>
      </c>
      <c r="T6245" s="1" t="s">
        <v>8277</v>
      </c>
      <c r="U6245" s="2" t="s">
        <v>1548</v>
      </c>
      <c r="V6245" s="2" t="s">
        <v>36</v>
      </c>
      <c r="W6245" s="2" t="s">
        <v>37</v>
      </c>
      <c r="X6245" s="2">
        <v>440.96499999999997</v>
      </c>
    </row>
    <row r="6246" spans="1:24" x14ac:dyDescent="0.3">
      <c r="A6246">
        <v>24066</v>
      </c>
      <c r="B6246" t="s">
        <v>12795</v>
      </c>
      <c r="C6246" s="3">
        <v>41395</v>
      </c>
      <c r="D6246" t="s">
        <v>50</v>
      </c>
      <c r="E6246">
        <v>11</v>
      </c>
      <c r="F6246" s="3">
        <f ca="1">41397+(RANDBETWEEN(1,10))</f>
        <v>41405</v>
      </c>
      <c r="G6246" t="s">
        <v>76</v>
      </c>
      <c r="H6246" t="s">
        <v>77</v>
      </c>
      <c r="I6246" t="s">
        <v>28</v>
      </c>
      <c r="J6246">
        <v>3678.4650000000001</v>
      </c>
      <c r="K6246">
        <v>0.02</v>
      </c>
      <c r="L6246">
        <v>0.61</v>
      </c>
      <c r="M6246">
        <v>105</v>
      </c>
      <c r="N6246">
        <v>82.382999999999996</v>
      </c>
      <c r="O6246" s="1" t="s">
        <v>64</v>
      </c>
      <c r="P6246" s="1" t="s">
        <v>9546</v>
      </c>
      <c r="Q6246" s="1" t="s">
        <v>9547</v>
      </c>
      <c r="R6246" s="1" t="s">
        <v>67</v>
      </c>
      <c r="S6246" s="1" t="s">
        <v>9548</v>
      </c>
      <c r="T6246" s="1" t="s">
        <v>9549</v>
      </c>
      <c r="U6246" s="2" t="s">
        <v>1790</v>
      </c>
      <c r="V6246" s="2" t="s">
        <v>83</v>
      </c>
      <c r="W6246" s="2" t="s">
        <v>84</v>
      </c>
      <c r="X6246" s="2">
        <v>318.43</v>
      </c>
    </row>
    <row r="6247" spans="1:24" x14ac:dyDescent="0.3">
      <c r="A6247">
        <v>24067</v>
      </c>
      <c r="B6247" t="s">
        <v>12796</v>
      </c>
      <c r="C6247" s="3">
        <v>41789</v>
      </c>
      <c r="D6247" t="s">
        <v>62</v>
      </c>
      <c r="E6247">
        <v>1</v>
      </c>
      <c r="F6247" s="3">
        <f ca="1">41791+(RANDBETWEEN(1,10))</f>
        <v>41796</v>
      </c>
      <c r="G6247" t="s">
        <v>26</v>
      </c>
      <c r="H6247" t="s">
        <v>27</v>
      </c>
      <c r="I6247" t="s">
        <v>97</v>
      </c>
      <c r="J6247">
        <v>3071.9850000000001</v>
      </c>
      <c r="K6247">
        <v>0.05</v>
      </c>
      <c r="L6247">
        <v>0.38</v>
      </c>
      <c r="M6247">
        <v>69.965000000000003</v>
      </c>
      <c r="N6247">
        <v>813.54349999999999</v>
      </c>
      <c r="O6247" s="1" t="s">
        <v>64</v>
      </c>
      <c r="P6247" s="1" t="s">
        <v>10343</v>
      </c>
      <c r="Q6247" s="1" t="s">
        <v>10344</v>
      </c>
      <c r="R6247" s="1" t="s">
        <v>67</v>
      </c>
      <c r="S6247" s="1" t="s">
        <v>10345</v>
      </c>
      <c r="T6247" s="1" t="s">
        <v>10346</v>
      </c>
      <c r="U6247" s="2" t="s">
        <v>1207</v>
      </c>
      <c r="V6247" s="2" t="s">
        <v>47</v>
      </c>
      <c r="W6247" s="2" t="s">
        <v>111</v>
      </c>
      <c r="X6247" s="2">
        <v>3139.4650000000001</v>
      </c>
    </row>
    <row r="6248" spans="1:24" x14ac:dyDescent="0.3">
      <c r="A6248">
        <v>24068</v>
      </c>
      <c r="B6248" t="s">
        <v>12797</v>
      </c>
      <c r="C6248" s="3">
        <v>41847</v>
      </c>
      <c r="D6248" t="s">
        <v>25</v>
      </c>
      <c r="E6248">
        <v>4</v>
      </c>
      <c r="F6248" s="3">
        <f ca="1">41856+(RANDBETWEEN(1,10))</f>
        <v>41864</v>
      </c>
      <c r="G6248" t="s">
        <v>156</v>
      </c>
      <c r="H6248" t="s">
        <v>63</v>
      </c>
      <c r="I6248" t="s">
        <v>52</v>
      </c>
      <c r="J6248">
        <v>1538.075</v>
      </c>
      <c r="K6248">
        <v>0.02</v>
      </c>
      <c r="L6248">
        <v>0.61</v>
      </c>
      <c r="M6248">
        <v>85.715000000000003</v>
      </c>
      <c r="N6248">
        <v>-8922.116</v>
      </c>
      <c r="O6248" s="1" t="s">
        <v>40</v>
      </c>
      <c r="P6248" s="1" t="s">
        <v>12798</v>
      </c>
      <c r="Q6248" s="1" t="s">
        <v>12799</v>
      </c>
      <c r="R6248" s="1" t="s">
        <v>43</v>
      </c>
      <c r="S6248" s="1" t="s">
        <v>1505</v>
      </c>
      <c r="T6248" s="1" t="s">
        <v>2374</v>
      </c>
      <c r="U6248" s="2" t="s">
        <v>4335</v>
      </c>
      <c r="V6248" s="2" t="s">
        <v>83</v>
      </c>
      <c r="W6248" s="2" t="s">
        <v>178</v>
      </c>
      <c r="X6248" s="2">
        <v>368.69</v>
      </c>
    </row>
    <row r="6249" spans="1:24" x14ac:dyDescent="0.3">
      <c r="A6249">
        <v>24069</v>
      </c>
      <c r="B6249" t="s">
        <v>12797</v>
      </c>
      <c r="C6249" s="3">
        <v>41847</v>
      </c>
      <c r="D6249" t="s">
        <v>25</v>
      </c>
      <c r="E6249">
        <v>15</v>
      </c>
      <c r="F6249" s="3">
        <f ca="1">41852+(RANDBETWEEN(1,10))</f>
        <v>41862</v>
      </c>
      <c r="G6249" t="s">
        <v>26</v>
      </c>
      <c r="H6249" t="s">
        <v>96</v>
      </c>
      <c r="I6249" t="s">
        <v>52</v>
      </c>
      <c r="J6249">
        <v>1984.5</v>
      </c>
      <c r="K6249">
        <v>0.08</v>
      </c>
      <c r="L6249">
        <v>0.53</v>
      </c>
      <c r="M6249">
        <v>10.64</v>
      </c>
      <c r="N6249">
        <v>1369.3050000000001</v>
      </c>
      <c r="O6249" s="1" t="s">
        <v>53</v>
      </c>
      <c r="P6249" s="1" t="s">
        <v>3625</v>
      </c>
      <c r="Q6249" s="1" t="s">
        <v>3626</v>
      </c>
      <c r="R6249" s="1" t="s">
        <v>100</v>
      </c>
      <c r="S6249" s="1" t="s">
        <v>101</v>
      </c>
      <c r="T6249" s="1" t="s">
        <v>3627</v>
      </c>
      <c r="U6249" s="2" t="s">
        <v>1089</v>
      </c>
      <c r="V6249" s="2" t="s">
        <v>83</v>
      </c>
      <c r="W6249" s="2" t="s">
        <v>178</v>
      </c>
      <c r="X6249" s="2">
        <v>139.61500000000001</v>
      </c>
    </row>
    <row r="6250" spans="1:24" x14ac:dyDescent="0.3">
      <c r="A6250">
        <v>24070</v>
      </c>
      <c r="B6250" t="s">
        <v>12800</v>
      </c>
      <c r="C6250" s="3">
        <v>41921</v>
      </c>
      <c r="D6250" t="s">
        <v>62</v>
      </c>
      <c r="E6250">
        <v>21</v>
      </c>
      <c r="F6250" s="3">
        <f ca="1">41921+(RANDBETWEEN(1,10))</f>
        <v>41929</v>
      </c>
      <c r="G6250" t="s">
        <v>26</v>
      </c>
      <c r="H6250" t="s">
        <v>96</v>
      </c>
      <c r="I6250" t="s">
        <v>97</v>
      </c>
      <c r="J6250">
        <v>428.505</v>
      </c>
      <c r="K6250">
        <v>0</v>
      </c>
      <c r="L6250">
        <v>0.39</v>
      </c>
      <c r="M6250">
        <v>5.1100000000000003</v>
      </c>
      <c r="N6250">
        <v>261.90499999999997</v>
      </c>
      <c r="O6250" s="1" t="s">
        <v>29</v>
      </c>
      <c r="P6250" s="1" t="s">
        <v>11609</v>
      </c>
      <c r="Q6250" s="1" t="s">
        <v>11610</v>
      </c>
      <c r="R6250" s="1" t="s">
        <v>32</v>
      </c>
      <c r="S6250" s="1" t="s">
        <v>2137</v>
      </c>
      <c r="T6250" s="1" t="s">
        <v>2138</v>
      </c>
      <c r="U6250" s="2" t="s">
        <v>8262</v>
      </c>
      <c r="V6250" s="2" t="s">
        <v>47</v>
      </c>
      <c r="W6250" s="2" t="s">
        <v>74</v>
      </c>
      <c r="X6250" s="2">
        <v>19.88</v>
      </c>
    </row>
    <row r="6251" spans="1:24" x14ac:dyDescent="0.3">
      <c r="A6251">
        <v>24071</v>
      </c>
      <c r="B6251" t="s">
        <v>12800</v>
      </c>
      <c r="C6251" s="3">
        <v>41921</v>
      </c>
      <c r="D6251" t="s">
        <v>62</v>
      </c>
      <c r="E6251">
        <v>13</v>
      </c>
      <c r="F6251" s="3">
        <f ca="1">41923+(RANDBETWEEN(1,10))</f>
        <v>41930</v>
      </c>
      <c r="G6251" t="s">
        <v>26</v>
      </c>
      <c r="H6251" t="s">
        <v>96</v>
      </c>
      <c r="I6251" t="s">
        <v>97</v>
      </c>
      <c r="J6251">
        <v>465.5</v>
      </c>
      <c r="K6251">
        <v>0.02</v>
      </c>
      <c r="L6251">
        <v>0.36</v>
      </c>
      <c r="M6251">
        <v>7.9450000000000003</v>
      </c>
      <c r="N6251">
        <v>291.06</v>
      </c>
      <c r="O6251" s="1" t="s">
        <v>29</v>
      </c>
      <c r="P6251" s="1" t="s">
        <v>11609</v>
      </c>
      <c r="Q6251" s="1" t="s">
        <v>11610</v>
      </c>
      <c r="R6251" s="1" t="s">
        <v>32</v>
      </c>
      <c r="S6251" s="1" t="s">
        <v>2137</v>
      </c>
      <c r="T6251" s="1" t="s">
        <v>2138</v>
      </c>
      <c r="U6251" s="2" t="s">
        <v>4659</v>
      </c>
      <c r="V6251" s="2" t="s">
        <v>47</v>
      </c>
      <c r="W6251" s="2" t="s">
        <v>74</v>
      </c>
      <c r="X6251" s="2">
        <v>35.49</v>
      </c>
    </row>
    <row r="6252" spans="1:24" x14ac:dyDescent="0.3">
      <c r="A6252">
        <v>24072</v>
      </c>
      <c r="B6252" t="s">
        <v>12801</v>
      </c>
      <c r="C6252" s="3">
        <v>41386</v>
      </c>
      <c r="D6252" t="s">
        <v>25</v>
      </c>
      <c r="E6252">
        <v>14</v>
      </c>
      <c r="F6252" s="3">
        <f ca="1">41390+(RANDBETWEEN(1,10))</f>
        <v>41391</v>
      </c>
      <c r="G6252" t="s">
        <v>26</v>
      </c>
      <c r="H6252" t="s">
        <v>63</v>
      </c>
      <c r="I6252" t="s">
        <v>97</v>
      </c>
      <c r="J6252">
        <v>2388.9250000000002</v>
      </c>
      <c r="K6252">
        <v>0.08</v>
      </c>
      <c r="L6252">
        <v>0.55000000000000004</v>
      </c>
      <c r="M6252">
        <v>77.84</v>
      </c>
      <c r="N6252">
        <v>89.88</v>
      </c>
      <c r="O6252" s="1" t="s">
        <v>225</v>
      </c>
      <c r="P6252" s="1" t="s">
        <v>6236</v>
      </c>
      <c r="Q6252" s="1" t="s">
        <v>6237</v>
      </c>
      <c r="R6252" s="1" t="s">
        <v>391</v>
      </c>
      <c r="S6252" s="1" t="s">
        <v>1484</v>
      </c>
      <c r="T6252" s="1" t="s">
        <v>6238</v>
      </c>
      <c r="U6252" s="2" t="s">
        <v>5109</v>
      </c>
      <c r="V6252" s="2" t="s">
        <v>83</v>
      </c>
      <c r="W6252" s="2" t="s">
        <v>178</v>
      </c>
      <c r="X6252" s="2">
        <v>178.43</v>
      </c>
    </row>
    <row r="6253" spans="1:24" x14ac:dyDescent="0.3">
      <c r="A6253">
        <v>24073</v>
      </c>
      <c r="B6253" t="s">
        <v>12801</v>
      </c>
      <c r="C6253" s="3">
        <v>41386</v>
      </c>
      <c r="D6253" t="s">
        <v>25</v>
      </c>
      <c r="E6253">
        <v>12</v>
      </c>
      <c r="F6253" s="3">
        <f ca="1">41391+(RANDBETWEEN(1,10))</f>
        <v>41392</v>
      </c>
      <c r="G6253" t="s">
        <v>26</v>
      </c>
      <c r="H6253" t="s">
        <v>27</v>
      </c>
      <c r="I6253" t="s">
        <v>97</v>
      </c>
      <c r="J6253">
        <v>1404.865</v>
      </c>
      <c r="K6253">
        <v>0.08</v>
      </c>
      <c r="L6253">
        <v>0.56999999999999995</v>
      </c>
      <c r="M6253">
        <v>28.77</v>
      </c>
      <c r="N6253">
        <v>571.83000000000004</v>
      </c>
      <c r="O6253" s="1" t="s">
        <v>225</v>
      </c>
      <c r="P6253" s="1" t="s">
        <v>3072</v>
      </c>
      <c r="Q6253" s="1" t="s">
        <v>3073</v>
      </c>
      <c r="R6253" s="1" t="s">
        <v>228</v>
      </c>
      <c r="S6253" s="1" t="s">
        <v>1794</v>
      </c>
      <c r="T6253" s="1" t="s">
        <v>548</v>
      </c>
      <c r="U6253" s="2" t="s">
        <v>2001</v>
      </c>
      <c r="V6253" s="2" t="s">
        <v>47</v>
      </c>
      <c r="W6253" s="2" t="s">
        <v>119</v>
      </c>
      <c r="X6253" s="2">
        <v>121.66</v>
      </c>
    </row>
    <row r="6254" spans="1:24" x14ac:dyDescent="0.3">
      <c r="A6254">
        <v>24074</v>
      </c>
      <c r="B6254" t="s">
        <v>12802</v>
      </c>
      <c r="C6254" s="3">
        <v>41743</v>
      </c>
      <c r="D6254" t="s">
        <v>62</v>
      </c>
      <c r="E6254">
        <v>1</v>
      </c>
      <c r="F6254" s="3">
        <f ca="1">41745+(RANDBETWEEN(1,10))</f>
        <v>41748</v>
      </c>
      <c r="G6254" t="s">
        <v>26</v>
      </c>
      <c r="H6254" t="s">
        <v>281</v>
      </c>
      <c r="I6254" t="s">
        <v>28</v>
      </c>
      <c r="J6254">
        <v>791.10500000000002</v>
      </c>
      <c r="K6254">
        <v>7.0000000000000007E-2</v>
      </c>
      <c r="L6254">
        <v>0.42</v>
      </c>
      <c r="M6254">
        <v>41.265000000000001</v>
      </c>
      <c r="N6254">
        <v>100.83499999999999</v>
      </c>
      <c r="O6254" s="1" t="s">
        <v>225</v>
      </c>
      <c r="P6254" s="1" t="s">
        <v>12803</v>
      </c>
      <c r="Q6254" s="1" t="s">
        <v>12804</v>
      </c>
      <c r="R6254" s="1" t="s">
        <v>228</v>
      </c>
      <c r="S6254" s="1" t="s">
        <v>12805</v>
      </c>
      <c r="T6254" s="1" t="s">
        <v>12806</v>
      </c>
      <c r="U6254" s="2" t="s">
        <v>8918</v>
      </c>
      <c r="V6254" s="2" t="s">
        <v>47</v>
      </c>
      <c r="W6254" s="2" t="s">
        <v>71</v>
      </c>
      <c r="X6254" s="2">
        <v>787.64</v>
      </c>
    </row>
    <row r="6255" spans="1:24" x14ac:dyDescent="0.3">
      <c r="A6255">
        <v>24075</v>
      </c>
      <c r="B6255" t="s">
        <v>12807</v>
      </c>
      <c r="C6255" s="3">
        <v>40833</v>
      </c>
      <c r="D6255" t="s">
        <v>148</v>
      </c>
      <c r="E6255">
        <v>10</v>
      </c>
      <c r="F6255" s="3">
        <f ca="1">40835+(RANDBETWEEN(1,10))</f>
        <v>40842</v>
      </c>
      <c r="G6255" t="s">
        <v>26</v>
      </c>
      <c r="H6255" t="s">
        <v>27</v>
      </c>
      <c r="I6255" t="s">
        <v>97</v>
      </c>
      <c r="J6255">
        <v>157.5</v>
      </c>
      <c r="K6255">
        <v>0.06</v>
      </c>
      <c r="L6255">
        <v>0.35</v>
      </c>
      <c r="M6255">
        <v>18.934999999999999</v>
      </c>
      <c r="N6255">
        <v>-276.20837999999998</v>
      </c>
      <c r="O6255" s="1" t="s">
        <v>29</v>
      </c>
      <c r="P6255" s="1" t="s">
        <v>8287</v>
      </c>
      <c r="Q6255" s="1" t="s">
        <v>8288</v>
      </c>
      <c r="R6255" s="1" t="s">
        <v>32</v>
      </c>
      <c r="S6255" s="1" t="s">
        <v>3689</v>
      </c>
      <c r="T6255" s="1" t="s">
        <v>3690</v>
      </c>
      <c r="U6255" s="2" t="s">
        <v>231</v>
      </c>
      <c r="V6255" s="2" t="s">
        <v>47</v>
      </c>
      <c r="W6255" s="2" t="s">
        <v>111</v>
      </c>
      <c r="X6255" s="2">
        <v>14.84</v>
      </c>
    </row>
    <row r="6256" spans="1:24" x14ac:dyDescent="0.3">
      <c r="A6256">
        <v>24076</v>
      </c>
      <c r="B6256" t="s">
        <v>12807</v>
      </c>
      <c r="C6256" s="3">
        <v>40833</v>
      </c>
      <c r="D6256" t="s">
        <v>148</v>
      </c>
      <c r="E6256">
        <v>1</v>
      </c>
      <c r="F6256" s="3">
        <f ca="1">40835+(RANDBETWEEN(1,10))</f>
        <v>40841</v>
      </c>
      <c r="G6256" t="s">
        <v>26</v>
      </c>
      <c r="H6256" t="s">
        <v>63</v>
      </c>
      <c r="I6256" t="s">
        <v>97</v>
      </c>
      <c r="J6256">
        <v>22991.744999999999</v>
      </c>
      <c r="K6256">
        <v>0.04</v>
      </c>
      <c r="L6256">
        <v>0.39</v>
      </c>
      <c r="M6256">
        <v>85.715000000000003</v>
      </c>
      <c r="N6256">
        <v>-47469.230935</v>
      </c>
      <c r="O6256" s="1" t="s">
        <v>29</v>
      </c>
      <c r="P6256" s="1" t="s">
        <v>8287</v>
      </c>
      <c r="Q6256" s="1" t="s">
        <v>8288</v>
      </c>
      <c r="R6256" s="1" t="s">
        <v>32</v>
      </c>
      <c r="S6256" s="1" t="s">
        <v>3689</v>
      </c>
      <c r="T6256" s="1" t="s">
        <v>3690</v>
      </c>
      <c r="U6256" s="2" t="s">
        <v>2167</v>
      </c>
      <c r="V6256" s="2" t="s">
        <v>36</v>
      </c>
      <c r="W6256" s="2" t="s">
        <v>142</v>
      </c>
      <c r="X6256" s="2">
        <v>23740.57</v>
      </c>
    </row>
    <row r="6257" spans="1:24" x14ac:dyDescent="0.3">
      <c r="A6257">
        <v>24077</v>
      </c>
      <c r="B6257" t="s">
        <v>12808</v>
      </c>
      <c r="C6257" s="3">
        <v>41804</v>
      </c>
      <c r="D6257" t="s">
        <v>148</v>
      </c>
      <c r="E6257">
        <v>18</v>
      </c>
      <c r="F6257" s="3">
        <f ca="1">41806+(RANDBETWEEN(1,10))</f>
        <v>41812</v>
      </c>
      <c r="G6257" t="s">
        <v>26</v>
      </c>
      <c r="H6257" t="s">
        <v>63</v>
      </c>
      <c r="I6257" t="s">
        <v>28</v>
      </c>
      <c r="J6257">
        <v>7105.875</v>
      </c>
      <c r="K6257">
        <v>0.01</v>
      </c>
      <c r="L6257">
        <v>0.79</v>
      </c>
      <c r="M6257">
        <v>35.42</v>
      </c>
      <c r="N6257">
        <v>-127.20399999999999</v>
      </c>
      <c r="O6257" s="1" t="s">
        <v>87</v>
      </c>
      <c r="P6257" s="1" t="s">
        <v>12184</v>
      </c>
      <c r="Q6257" s="1" t="s">
        <v>12185</v>
      </c>
      <c r="R6257" s="1" t="s">
        <v>398</v>
      </c>
      <c r="S6257" s="1" t="s">
        <v>12186</v>
      </c>
      <c r="T6257" s="1" t="s">
        <v>12187</v>
      </c>
      <c r="U6257" s="2" t="s">
        <v>1246</v>
      </c>
      <c r="V6257" s="2" t="s">
        <v>83</v>
      </c>
      <c r="W6257" s="2" t="s">
        <v>178</v>
      </c>
      <c r="X6257" s="2">
        <v>368.51499999999999</v>
      </c>
    </row>
    <row r="6258" spans="1:24" x14ac:dyDescent="0.3">
      <c r="A6258">
        <v>24078</v>
      </c>
      <c r="B6258" t="s">
        <v>12808</v>
      </c>
      <c r="C6258" s="3">
        <v>41804</v>
      </c>
      <c r="D6258" t="s">
        <v>148</v>
      </c>
      <c r="E6258">
        <v>5</v>
      </c>
      <c r="F6258" s="3">
        <f ca="1">41804+(RANDBETWEEN(1,10))</f>
        <v>41808</v>
      </c>
      <c r="G6258" t="s">
        <v>76</v>
      </c>
      <c r="H6258" t="s">
        <v>258</v>
      </c>
      <c r="I6258" t="s">
        <v>28</v>
      </c>
      <c r="J6258">
        <v>610.22500000000002</v>
      </c>
      <c r="K6258">
        <v>0.05</v>
      </c>
      <c r="L6258">
        <v>0.65</v>
      </c>
      <c r="M6258">
        <v>159.285</v>
      </c>
      <c r="N6258">
        <v>46.116</v>
      </c>
      <c r="O6258" s="1" t="s">
        <v>87</v>
      </c>
      <c r="P6258" s="1" t="s">
        <v>12184</v>
      </c>
      <c r="Q6258" s="1" t="s">
        <v>12185</v>
      </c>
      <c r="R6258" s="1" t="s">
        <v>398</v>
      </c>
      <c r="S6258" s="1" t="s">
        <v>12186</v>
      </c>
      <c r="T6258" s="1" t="s">
        <v>12187</v>
      </c>
      <c r="U6258" s="2" t="s">
        <v>1566</v>
      </c>
      <c r="V6258" s="2" t="s">
        <v>83</v>
      </c>
      <c r="W6258" s="2" t="s">
        <v>263</v>
      </c>
      <c r="X6258" s="2">
        <v>111.16</v>
      </c>
    </row>
    <row r="6259" spans="1:24" x14ac:dyDescent="0.3">
      <c r="A6259">
        <v>24079</v>
      </c>
      <c r="B6259" t="s">
        <v>12809</v>
      </c>
      <c r="C6259" s="3">
        <v>41076</v>
      </c>
      <c r="D6259" t="s">
        <v>50</v>
      </c>
      <c r="E6259">
        <v>12</v>
      </c>
      <c r="F6259" s="3">
        <f ca="1">41076+(RANDBETWEEN(1,10))</f>
        <v>41082</v>
      </c>
      <c r="G6259" t="s">
        <v>76</v>
      </c>
      <c r="H6259" t="s">
        <v>77</v>
      </c>
      <c r="I6259" t="s">
        <v>97</v>
      </c>
      <c r="J6259">
        <v>4628.12</v>
      </c>
      <c r="K6259">
        <v>0.06</v>
      </c>
      <c r="L6259">
        <v>0.69</v>
      </c>
      <c r="M6259">
        <v>105</v>
      </c>
      <c r="N6259">
        <v>-495.34800000000001</v>
      </c>
      <c r="O6259" s="1" t="s">
        <v>64</v>
      </c>
      <c r="P6259" s="1" t="s">
        <v>10441</v>
      </c>
      <c r="Q6259" s="1" t="s">
        <v>10442</v>
      </c>
      <c r="R6259" s="1" t="s">
        <v>67</v>
      </c>
      <c r="S6259" s="1" t="s">
        <v>10443</v>
      </c>
      <c r="T6259" s="1" t="s">
        <v>10444</v>
      </c>
      <c r="U6259" s="2" t="s">
        <v>1513</v>
      </c>
      <c r="V6259" s="2" t="s">
        <v>83</v>
      </c>
      <c r="W6259" s="2" t="s">
        <v>84</v>
      </c>
      <c r="X6259" s="2">
        <v>398.93</v>
      </c>
    </row>
    <row r="6260" spans="1:24" x14ac:dyDescent="0.3">
      <c r="A6260">
        <v>2408</v>
      </c>
      <c r="B6260" t="s">
        <v>12810</v>
      </c>
      <c r="C6260" s="3">
        <v>40703</v>
      </c>
      <c r="D6260" t="s">
        <v>62</v>
      </c>
      <c r="E6260">
        <v>23</v>
      </c>
      <c r="F6260" s="3">
        <f ca="1">40705+(RANDBETWEEN(1,10))</f>
        <v>40714</v>
      </c>
      <c r="G6260" t="s">
        <v>156</v>
      </c>
      <c r="H6260" t="s">
        <v>51</v>
      </c>
      <c r="I6260" t="s">
        <v>97</v>
      </c>
      <c r="J6260">
        <v>745.11500000000001</v>
      </c>
      <c r="K6260">
        <v>0</v>
      </c>
      <c r="L6260">
        <v>0.59</v>
      </c>
      <c r="M6260">
        <v>9.24</v>
      </c>
      <c r="N6260">
        <v>20.518750000000001</v>
      </c>
      <c r="O6260" s="1" t="s">
        <v>64</v>
      </c>
      <c r="P6260" s="1" t="s">
        <v>314</v>
      </c>
      <c r="Q6260" s="1" t="s">
        <v>315</v>
      </c>
      <c r="R6260" s="1" t="s">
        <v>67</v>
      </c>
      <c r="S6260" s="1" t="s">
        <v>254</v>
      </c>
      <c r="T6260" s="1" t="s">
        <v>316</v>
      </c>
      <c r="U6260" s="2" t="s">
        <v>6942</v>
      </c>
      <c r="V6260" s="2" t="s">
        <v>47</v>
      </c>
      <c r="W6260" s="2" t="s">
        <v>94</v>
      </c>
      <c r="X6260" s="2">
        <v>29.19</v>
      </c>
    </row>
    <row r="6261" spans="1:24" x14ac:dyDescent="0.3">
      <c r="A6261">
        <v>24080</v>
      </c>
      <c r="B6261" t="s">
        <v>12811</v>
      </c>
      <c r="C6261" s="3">
        <v>40745</v>
      </c>
      <c r="D6261" t="s">
        <v>148</v>
      </c>
      <c r="E6261">
        <v>12</v>
      </c>
      <c r="F6261" s="3">
        <f ca="1">40746+(RANDBETWEEN(1,10))</f>
        <v>40754</v>
      </c>
      <c r="G6261" t="s">
        <v>26</v>
      </c>
      <c r="H6261" t="s">
        <v>27</v>
      </c>
      <c r="I6261" t="s">
        <v>97</v>
      </c>
      <c r="J6261">
        <v>1243.2349999999999</v>
      </c>
      <c r="K6261">
        <v>0.04</v>
      </c>
      <c r="L6261">
        <v>0.75</v>
      </c>
      <c r="M6261">
        <v>14</v>
      </c>
      <c r="N6261">
        <v>-72.765000000000001</v>
      </c>
      <c r="O6261" s="1" t="s">
        <v>29</v>
      </c>
      <c r="P6261" s="1" t="s">
        <v>11644</v>
      </c>
      <c r="Q6261" s="1" t="s">
        <v>11645</v>
      </c>
      <c r="R6261" s="1" t="s">
        <v>32</v>
      </c>
      <c r="S6261" s="1" t="s">
        <v>11646</v>
      </c>
      <c r="T6261" s="1" t="s">
        <v>11647</v>
      </c>
      <c r="U6261" s="2" t="s">
        <v>216</v>
      </c>
      <c r="V6261" s="2" t="s">
        <v>36</v>
      </c>
      <c r="W6261" s="2" t="s">
        <v>60</v>
      </c>
      <c r="X6261" s="2">
        <v>107.55500000000001</v>
      </c>
    </row>
    <row r="6262" spans="1:24" x14ac:dyDescent="0.3">
      <c r="A6262">
        <v>24081</v>
      </c>
      <c r="B6262" t="s">
        <v>12812</v>
      </c>
      <c r="C6262" s="3">
        <v>41940</v>
      </c>
      <c r="D6262" t="s">
        <v>39</v>
      </c>
      <c r="E6262">
        <v>26</v>
      </c>
      <c r="F6262" s="3">
        <f ca="1">41943+(RANDBETWEEN(1,10))</f>
        <v>41945</v>
      </c>
      <c r="G6262" t="s">
        <v>76</v>
      </c>
      <c r="H6262" t="s">
        <v>77</v>
      </c>
      <c r="I6262" t="s">
        <v>86</v>
      </c>
      <c r="J6262">
        <v>8460.3050000000003</v>
      </c>
      <c r="K6262">
        <v>0.1</v>
      </c>
      <c r="L6262">
        <v>0.37</v>
      </c>
      <c r="M6262">
        <v>49</v>
      </c>
      <c r="N6262">
        <v>5837.6104500000001</v>
      </c>
      <c r="O6262" s="1" t="s">
        <v>40</v>
      </c>
      <c r="P6262" s="1" t="s">
        <v>9476</v>
      </c>
      <c r="Q6262" s="1" t="s">
        <v>9477</v>
      </c>
      <c r="R6262" s="1" t="s">
        <v>220</v>
      </c>
      <c r="S6262" s="1" t="s">
        <v>1544</v>
      </c>
      <c r="T6262" s="1" t="s">
        <v>1545</v>
      </c>
      <c r="U6262" s="2" t="s">
        <v>5419</v>
      </c>
      <c r="V6262" s="2" t="s">
        <v>36</v>
      </c>
      <c r="W6262" s="2" t="s">
        <v>142</v>
      </c>
      <c r="X6262" s="2">
        <v>353.39499999999998</v>
      </c>
    </row>
    <row r="6263" spans="1:24" x14ac:dyDescent="0.3">
      <c r="A6263">
        <v>24082</v>
      </c>
      <c r="B6263" t="s">
        <v>12813</v>
      </c>
      <c r="C6263" s="3">
        <v>41994</v>
      </c>
      <c r="D6263" t="s">
        <v>62</v>
      </c>
      <c r="E6263">
        <v>10</v>
      </c>
      <c r="F6263" s="3">
        <f ca="1">41995+(RANDBETWEEN(1,10))</f>
        <v>42003</v>
      </c>
      <c r="G6263" t="s">
        <v>26</v>
      </c>
      <c r="H6263" t="s">
        <v>27</v>
      </c>
      <c r="I6263" t="s">
        <v>28</v>
      </c>
      <c r="J6263">
        <v>519.19000000000005</v>
      </c>
      <c r="K6263">
        <v>0.06</v>
      </c>
      <c r="L6263">
        <v>0.39</v>
      </c>
      <c r="M6263">
        <v>29.4</v>
      </c>
      <c r="N6263">
        <v>-25.695599999999999</v>
      </c>
      <c r="O6263" s="1" t="s">
        <v>29</v>
      </c>
      <c r="P6263" s="1" t="s">
        <v>12814</v>
      </c>
      <c r="Q6263" s="1" t="s">
        <v>12815</v>
      </c>
      <c r="R6263" s="1" t="s">
        <v>32</v>
      </c>
      <c r="S6263" s="1" t="s">
        <v>12816</v>
      </c>
      <c r="T6263" s="1" t="s">
        <v>12817</v>
      </c>
      <c r="U6263" s="2" t="s">
        <v>110</v>
      </c>
      <c r="V6263" s="2" t="s">
        <v>47</v>
      </c>
      <c r="W6263" s="2" t="s">
        <v>111</v>
      </c>
      <c r="X6263" s="2">
        <v>52.534999999999997</v>
      </c>
    </row>
    <row r="6264" spans="1:24" x14ac:dyDescent="0.3">
      <c r="A6264">
        <v>24083</v>
      </c>
      <c r="B6264" t="s">
        <v>12813</v>
      </c>
      <c r="C6264" s="3">
        <v>41994</v>
      </c>
      <c r="D6264" t="s">
        <v>62</v>
      </c>
      <c r="E6264">
        <v>13</v>
      </c>
      <c r="F6264" s="3">
        <f ca="1">41995+(RANDBETWEEN(1,10))</f>
        <v>42002</v>
      </c>
      <c r="G6264" t="s">
        <v>26</v>
      </c>
      <c r="H6264" t="s">
        <v>27</v>
      </c>
      <c r="I6264" t="s">
        <v>28</v>
      </c>
      <c r="J6264">
        <v>927.32500000000005</v>
      </c>
      <c r="K6264">
        <v>0.05</v>
      </c>
      <c r="L6264">
        <v>0.78</v>
      </c>
      <c r="M6264">
        <v>22.75</v>
      </c>
      <c r="N6264">
        <v>-171.43727999999999</v>
      </c>
      <c r="O6264" s="1" t="s">
        <v>29</v>
      </c>
      <c r="P6264" s="1" t="s">
        <v>12814</v>
      </c>
      <c r="Q6264" s="1" t="s">
        <v>12815</v>
      </c>
      <c r="R6264" s="1" t="s">
        <v>32</v>
      </c>
      <c r="S6264" s="1" t="s">
        <v>12816</v>
      </c>
      <c r="T6264" s="1" t="s">
        <v>12817</v>
      </c>
      <c r="U6264" s="2" t="s">
        <v>1138</v>
      </c>
      <c r="V6264" s="2" t="s">
        <v>36</v>
      </c>
      <c r="W6264" s="2" t="s">
        <v>60</v>
      </c>
      <c r="X6264" s="2">
        <v>73.394999999999996</v>
      </c>
    </row>
    <row r="6265" spans="1:24" x14ac:dyDescent="0.3">
      <c r="A6265">
        <v>24084</v>
      </c>
      <c r="B6265" t="s">
        <v>12813</v>
      </c>
      <c r="C6265" s="3">
        <v>41994</v>
      </c>
      <c r="D6265" t="s">
        <v>62</v>
      </c>
      <c r="E6265">
        <v>5</v>
      </c>
      <c r="F6265" s="3">
        <f ca="1">41995+(RANDBETWEEN(1,10))</f>
        <v>42000</v>
      </c>
      <c r="G6265" t="s">
        <v>26</v>
      </c>
      <c r="H6265" t="s">
        <v>51</v>
      </c>
      <c r="I6265" t="s">
        <v>28</v>
      </c>
      <c r="J6265">
        <v>169.785</v>
      </c>
      <c r="K6265">
        <v>0.06</v>
      </c>
      <c r="L6265">
        <v>0.41</v>
      </c>
      <c r="M6265">
        <v>6.9649999999999999</v>
      </c>
      <c r="N6265">
        <v>-4.6569599999999998</v>
      </c>
      <c r="O6265" s="1" t="s">
        <v>29</v>
      </c>
      <c r="P6265" s="1" t="s">
        <v>12814</v>
      </c>
      <c r="Q6265" s="1" t="s">
        <v>12815</v>
      </c>
      <c r="R6265" s="1" t="s">
        <v>32</v>
      </c>
      <c r="S6265" s="1" t="s">
        <v>12816</v>
      </c>
      <c r="T6265" s="1" t="s">
        <v>12817</v>
      </c>
      <c r="U6265" s="2" t="s">
        <v>1365</v>
      </c>
      <c r="V6265" s="2" t="s">
        <v>36</v>
      </c>
      <c r="W6265" s="2" t="s">
        <v>60</v>
      </c>
      <c r="X6265" s="2">
        <v>35.034999999999997</v>
      </c>
    </row>
    <row r="6266" spans="1:24" x14ac:dyDescent="0.3">
      <c r="A6266">
        <v>24085</v>
      </c>
      <c r="B6266" t="s">
        <v>12818</v>
      </c>
      <c r="C6266" s="3">
        <v>41311</v>
      </c>
      <c r="D6266" t="s">
        <v>39</v>
      </c>
      <c r="E6266">
        <v>1</v>
      </c>
      <c r="F6266" s="3">
        <f ca="1">41311+(RANDBETWEEN(1,10))</f>
        <v>41318</v>
      </c>
      <c r="G6266" t="s">
        <v>26</v>
      </c>
      <c r="H6266" t="s">
        <v>27</v>
      </c>
      <c r="I6266" t="s">
        <v>28</v>
      </c>
      <c r="J6266">
        <v>24.5</v>
      </c>
      <c r="K6266">
        <v>0</v>
      </c>
      <c r="L6266">
        <v>0.38</v>
      </c>
      <c r="M6266">
        <v>17.57</v>
      </c>
      <c r="N6266">
        <v>15.057</v>
      </c>
      <c r="O6266" s="1" t="s">
        <v>64</v>
      </c>
      <c r="P6266" s="1" t="s">
        <v>9546</v>
      </c>
      <c r="Q6266" s="1" t="s">
        <v>9547</v>
      </c>
      <c r="R6266" s="1" t="s">
        <v>67</v>
      </c>
      <c r="S6266" s="1" t="s">
        <v>9548</v>
      </c>
      <c r="T6266" s="1" t="s">
        <v>9549</v>
      </c>
      <c r="U6266" s="2" t="s">
        <v>10244</v>
      </c>
      <c r="V6266" s="2" t="s">
        <v>47</v>
      </c>
      <c r="W6266" s="2" t="s">
        <v>74</v>
      </c>
      <c r="X6266" s="2">
        <v>17.43</v>
      </c>
    </row>
    <row r="6267" spans="1:24" x14ac:dyDescent="0.3">
      <c r="A6267">
        <v>24086</v>
      </c>
      <c r="B6267" t="s">
        <v>12818</v>
      </c>
      <c r="C6267" s="3">
        <v>41311</v>
      </c>
      <c r="D6267" t="s">
        <v>39</v>
      </c>
      <c r="E6267">
        <v>1</v>
      </c>
      <c r="F6267" s="3">
        <f ca="1">41313+(RANDBETWEEN(1,10))</f>
        <v>41314</v>
      </c>
      <c r="G6267" t="s">
        <v>26</v>
      </c>
      <c r="H6267" t="s">
        <v>63</v>
      </c>
      <c r="I6267" t="s">
        <v>28</v>
      </c>
      <c r="J6267">
        <v>12102.965</v>
      </c>
      <c r="K6267">
        <v>0.05</v>
      </c>
      <c r="L6267">
        <v>0.37</v>
      </c>
      <c r="M6267">
        <v>85.715000000000003</v>
      </c>
      <c r="N6267">
        <v>-364.75355000000002</v>
      </c>
      <c r="O6267" s="1" t="s">
        <v>29</v>
      </c>
      <c r="P6267" s="1" t="s">
        <v>12819</v>
      </c>
      <c r="Q6267" s="1" t="s">
        <v>12820</v>
      </c>
      <c r="R6267" s="1" t="s">
        <v>32</v>
      </c>
      <c r="S6267" s="1" t="s">
        <v>2279</v>
      </c>
      <c r="T6267" s="1" t="s">
        <v>2280</v>
      </c>
      <c r="U6267" s="2" t="s">
        <v>6194</v>
      </c>
      <c r="V6267" s="2" t="s">
        <v>36</v>
      </c>
      <c r="W6267" s="2" t="s">
        <v>1327</v>
      </c>
      <c r="X6267" s="2">
        <v>12249.965</v>
      </c>
    </row>
    <row r="6268" spans="1:24" x14ac:dyDescent="0.3">
      <c r="A6268">
        <v>24087</v>
      </c>
      <c r="B6268" t="s">
        <v>12821</v>
      </c>
      <c r="C6268" s="3">
        <v>41529</v>
      </c>
      <c r="D6268" t="s">
        <v>39</v>
      </c>
      <c r="E6268">
        <v>13</v>
      </c>
      <c r="F6268" s="3">
        <f ca="1">41530+(RANDBETWEEN(1,10))</f>
        <v>41532</v>
      </c>
      <c r="G6268" t="s">
        <v>26</v>
      </c>
      <c r="H6268" t="s">
        <v>27</v>
      </c>
      <c r="I6268" t="s">
        <v>52</v>
      </c>
      <c r="J6268">
        <v>7958.86</v>
      </c>
      <c r="K6268">
        <v>0.01</v>
      </c>
      <c r="L6268">
        <v>0.4</v>
      </c>
      <c r="M6268">
        <v>69.965000000000003</v>
      </c>
      <c r="N6268">
        <v>5491.6134000000002</v>
      </c>
      <c r="O6268" s="1" t="s">
        <v>87</v>
      </c>
      <c r="P6268" s="1" t="s">
        <v>8814</v>
      </c>
      <c r="Q6268" s="1" t="s">
        <v>8815</v>
      </c>
      <c r="R6268" s="1" t="s">
        <v>90</v>
      </c>
      <c r="S6268" s="1" t="s">
        <v>5875</v>
      </c>
      <c r="T6268" s="1" t="s">
        <v>5876</v>
      </c>
      <c r="U6268" s="2" t="s">
        <v>2782</v>
      </c>
      <c r="V6268" s="2" t="s">
        <v>47</v>
      </c>
      <c r="W6268" s="2" t="s">
        <v>111</v>
      </c>
      <c r="X6268" s="2">
        <v>580.92999999999995</v>
      </c>
    </row>
    <row r="6269" spans="1:24" x14ac:dyDescent="0.3">
      <c r="A6269">
        <v>24088</v>
      </c>
      <c r="B6269" t="s">
        <v>12822</v>
      </c>
      <c r="C6269" s="3">
        <v>41331</v>
      </c>
      <c r="D6269" t="s">
        <v>39</v>
      </c>
      <c r="E6269">
        <v>11</v>
      </c>
      <c r="F6269" s="3">
        <f ca="1">41332+(RANDBETWEEN(1,10))</f>
        <v>41337</v>
      </c>
      <c r="G6269" t="s">
        <v>26</v>
      </c>
      <c r="H6269" t="s">
        <v>27</v>
      </c>
      <c r="I6269" t="s">
        <v>52</v>
      </c>
      <c r="J6269">
        <v>5841.4650000000001</v>
      </c>
      <c r="K6269">
        <v>0.05</v>
      </c>
      <c r="L6269">
        <v>0.59</v>
      </c>
      <c r="M6269">
        <v>24.745000000000001</v>
      </c>
      <c r="N6269">
        <v>1170.79935</v>
      </c>
      <c r="O6269" s="1" t="s">
        <v>64</v>
      </c>
      <c r="P6269" s="1" t="s">
        <v>10187</v>
      </c>
      <c r="Q6269" s="1" t="s">
        <v>10188</v>
      </c>
      <c r="R6269" s="1" t="s">
        <v>128</v>
      </c>
      <c r="S6269" s="1" t="s">
        <v>10189</v>
      </c>
      <c r="T6269" s="1" t="s">
        <v>10190</v>
      </c>
      <c r="U6269" s="2" t="s">
        <v>3378</v>
      </c>
      <c r="V6269" s="2" t="s">
        <v>47</v>
      </c>
      <c r="W6269" s="2" t="s">
        <v>119</v>
      </c>
      <c r="X6269" s="2">
        <v>542.71</v>
      </c>
    </row>
    <row r="6270" spans="1:24" x14ac:dyDescent="0.3">
      <c r="A6270">
        <v>24089</v>
      </c>
      <c r="B6270" t="s">
        <v>12823</v>
      </c>
      <c r="C6270" s="3">
        <v>41712</v>
      </c>
      <c r="D6270" t="s">
        <v>25</v>
      </c>
      <c r="E6270">
        <v>11</v>
      </c>
      <c r="F6270" s="3">
        <f ca="1">41716+(RANDBETWEEN(1,10))</f>
        <v>41717</v>
      </c>
      <c r="G6270" t="s">
        <v>26</v>
      </c>
      <c r="H6270" t="s">
        <v>27</v>
      </c>
      <c r="I6270" t="s">
        <v>97</v>
      </c>
      <c r="J6270">
        <v>1194.4449999999999</v>
      </c>
      <c r="K6270">
        <v>0.06</v>
      </c>
      <c r="L6270">
        <v>0.35</v>
      </c>
      <c r="M6270">
        <v>10.465</v>
      </c>
      <c r="N6270">
        <v>1723.9739999999999</v>
      </c>
      <c r="O6270" s="1" t="s">
        <v>40</v>
      </c>
      <c r="P6270" s="1" t="s">
        <v>9302</v>
      </c>
      <c r="Q6270" s="1" t="s">
        <v>9303</v>
      </c>
      <c r="R6270" s="1" t="s">
        <v>43</v>
      </c>
      <c r="S6270" s="1" t="s">
        <v>9304</v>
      </c>
      <c r="T6270" s="1" t="s">
        <v>9305</v>
      </c>
      <c r="U6270" s="2" t="s">
        <v>4393</v>
      </c>
      <c r="V6270" s="2" t="s">
        <v>47</v>
      </c>
      <c r="W6270" s="2" t="s">
        <v>111</v>
      </c>
      <c r="X6270" s="2">
        <v>106.96</v>
      </c>
    </row>
    <row r="6271" spans="1:24" x14ac:dyDescent="0.3">
      <c r="A6271">
        <v>24090</v>
      </c>
      <c r="B6271" t="s">
        <v>12823</v>
      </c>
      <c r="C6271" s="3">
        <v>41712</v>
      </c>
      <c r="D6271" t="s">
        <v>25</v>
      </c>
      <c r="E6271">
        <v>13</v>
      </c>
      <c r="F6271" s="3">
        <f ca="1">41714+(RANDBETWEEN(1,10))</f>
        <v>41719</v>
      </c>
      <c r="G6271" t="s">
        <v>76</v>
      </c>
      <c r="H6271" t="s">
        <v>258</v>
      </c>
      <c r="I6271" t="s">
        <v>97</v>
      </c>
      <c r="J6271">
        <v>5963.09</v>
      </c>
      <c r="K6271">
        <v>7.0000000000000007E-2</v>
      </c>
      <c r="L6271">
        <v>0.78</v>
      </c>
      <c r="M6271">
        <v>112.63</v>
      </c>
      <c r="N6271">
        <v>-119.70699999999999</v>
      </c>
      <c r="O6271" s="1" t="s">
        <v>40</v>
      </c>
      <c r="P6271" s="1" t="s">
        <v>9302</v>
      </c>
      <c r="Q6271" s="1" t="s">
        <v>9303</v>
      </c>
      <c r="R6271" s="1" t="s">
        <v>43</v>
      </c>
      <c r="S6271" s="1" t="s">
        <v>9304</v>
      </c>
      <c r="T6271" s="1" t="s">
        <v>9305</v>
      </c>
      <c r="U6271" s="2" t="s">
        <v>370</v>
      </c>
      <c r="V6271" s="2" t="s">
        <v>83</v>
      </c>
      <c r="W6271" s="2" t="s">
        <v>298</v>
      </c>
      <c r="X6271" s="2">
        <v>481.18</v>
      </c>
    </row>
    <row r="6272" spans="1:24" x14ac:dyDescent="0.3">
      <c r="A6272">
        <v>24091</v>
      </c>
      <c r="B6272" t="s">
        <v>12824</v>
      </c>
      <c r="C6272" s="3">
        <v>40620</v>
      </c>
      <c r="D6272" t="s">
        <v>62</v>
      </c>
      <c r="E6272">
        <v>6</v>
      </c>
      <c r="F6272" s="3">
        <f ca="1">40622+(RANDBETWEEN(1,10))</f>
        <v>40624</v>
      </c>
      <c r="G6272" t="s">
        <v>26</v>
      </c>
      <c r="H6272" t="s">
        <v>27</v>
      </c>
      <c r="I6272" t="s">
        <v>97</v>
      </c>
      <c r="J6272">
        <v>118.825</v>
      </c>
      <c r="K6272">
        <v>0.1</v>
      </c>
      <c r="L6272">
        <v>0.36</v>
      </c>
      <c r="M6272">
        <v>17.989999999999998</v>
      </c>
      <c r="N6272">
        <v>-173.35499999999999</v>
      </c>
      <c r="O6272" s="1" t="s">
        <v>64</v>
      </c>
      <c r="P6272" s="1" t="s">
        <v>2525</v>
      </c>
      <c r="Q6272" s="1" t="s">
        <v>2526</v>
      </c>
      <c r="R6272" s="1" t="s">
        <v>128</v>
      </c>
      <c r="S6272" s="1" t="s">
        <v>2527</v>
      </c>
      <c r="T6272" s="1" t="s">
        <v>2528</v>
      </c>
      <c r="U6272" s="2" t="s">
        <v>9153</v>
      </c>
      <c r="V6272" s="2" t="s">
        <v>47</v>
      </c>
      <c r="W6272" s="2" t="s">
        <v>74</v>
      </c>
      <c r="X6272" s="2">
        <v>20.93</v>
      </c>
    </row>
    <row r="6273" spans="1:24" x14ac:dyDescent="0.3">
      <c r="A6273">
        <v>24092</v>
      </c>
      <c r="B6273" t="s">
        <v>12825</v>
      </c>
      <c r="C6273" s="3">
        <v>41042</v>
      </c>
      <c r="D6273" t="s">
        <v>25</v>
      </c>
      <c r="E6273">
        <v>9</v>
      </c>
      <c r="F6273" s="3">
        <f ca="1">41049+(RANDBETWEEN(1,10))</f>
        <v>41050</v>
      </c>
      <c r="G6273" t="s">
        <v>76</v>
      </c>
      <c r="H6273" t="s">
        <v>77</v>
      </c>
      <c r="I6273" t="s">
        <v>86</v>
      </c>
      <c r="J6273">
        <v>9661.4</v>
      </c>
      <c r="K6273">
        <v>0.04</v>
      </c>
      <c r="L6273">
        <v>0.56000000000000005</v>
      </c>
      <c r="M6273">
        <v>92.855000000000004</v>
      </c>
      <c r="N6273">
        <v>5229.0349999999999</v>
      </c>
      <c r="O6273" s="1" t="s">
        <v>225</v>
      </c>
      <c r="P6273" s="1" t="s">
        <v>12707</v>
      </c>
      <c r="Q6273" s="1" t="s">
        <v>12708</v>
      </c>
      <c r="R6273" s="1" t="s">
        <v>228</v>
      </c>
      <c r="S6273" s="1" t="s">
        <v>12709</v>
      </c>
      <c r="T6273" s="1" t="s">
        <v>12710</v>
      </c>
      <c r="U6273" s="2" t="s">
        <v>481</v>
      </c>
      <c r="V6273" s="2" t="s">
        <v>36</v>
      </c>
      <c r="W6273" s="2" t="s">
        <v>142</v>
      </c>
      <c r="X6273" s="2">
        <v>1071.49</v>
      </c>
    </row>
    <row r="6274" spans="1:24" x14ac:dyDescent="0.3">
      <c r="A6274">
        <v>24093</v>
      </c>
      <c r="B6274" t="s">
        <v>12825</v>
      </c>
      <c r="C6274" s="3">
        <v>41042</v>
      </c>
      <c r="D6274" t="s">
        <v>25</v>
      </c>
      <c r="E6274">
        <v>15</v>
      </c>
      <c r="F6274" s="3">
        <f ca="1">41046+(RANDBETWEEN(1,10))</f>
        <v>41048</v>
      </c>
      <c r="G6274" t="s">
        <v>26</v>
      </c>
      <c r="H6274" t="s">
        <v>27</v>
      </c>
      <c r="I6274" t="s">
        <v>86</v>
      </c>
      <c r="J6274">
        <v>1713.915</v>
      </c>
      <c r="K6274">
        <v>0</v>
      </c>
      <c r="L6274">
        <v>0.4</v>
      </c>
      <c r="M6274">
        <v>59.78</v>
      </c>
      <c r="N6274">
        <v>227.535</v>
      </c>
      <c r="O6274" s="1" t="s">
        <v>225</v>
      </c>
      <c r="P6274" s="1" t="s">
        <v>12707</v>
      </c>
      <c r="Q6274" s="1" t="s">
        <v>12708</v>
      </c>
      <c r="R6274" s="1" t="s">
        <v>228</v>
      </c>
      <c r="S6274" s="1" t="s">
        <v>12709</v>
      </c>
      <c r="T6274" s="1" t="s">
        <v>12710</v>
      </c>
      <c r="U6274" s="2" t="s">
        <v>6956</v>
      </c>
      <c r="V6274" s="2" t="s">
        <v>47</v>
      </c>
      <c r="W6274" s="2" t="s">
        <v>74</v>
      </c>
      <c r="X6274" s="2">
        <v>108.43</v>
      </c>
    </row>
    <row r="6275" spans="1:24" x14ac:dyDescent="0.3">
      <c r="A6275">
        <v>24094</v>
      </c>
      <c r="B6275" t="s">
        <v>12826</v>
      </c>
      <c r="C6275" s="3">
        <v>40727</v>
      </c>
      <c r="D6275" t="s">
        <v>25</v>
      </c>
      <c r="E6275">
        <v>6</v>
      </c>
      <c r="F6275" s="3">
        <f ca="1">40729+(RANDBETWEEN(1,10))</f>
        <v>40737</v>
      </c>
      <c r="G6275" t="s">
        <v>26</v>
      </c>
      <c r="H6275" t="s">
        <v>96</v>
      </c>
      <c r="I6275" t="s">
        <v>28</v>
      </c>
      <c r="J6275">
        <v>31.324999999999999</v>
      </c>
      <c r="K6275">
        <v>0.09</v>
      </c>
      <c r="L6275">
        <v>0.37</v>
      </c>
      <c r="M6275">
        <v>2.4500000000000002</v>
      </c>
      <c r="N6275">
        <v>5.88</v>
      </c>
      <c r="O6275" s="1" t="s">
        <v>87</v>
      </c>
      <c r="P6275" s="1" t="s">
        <v>12827</v>
      </c>
      <c r="Q6275" s="1" t="s">
        <v>12828</v>
      </c>
      <c r="R6275" s="1" t="s">
        <v>646</v>
      </c>
      <c r="S6275" s="1" t="s">
        <v>3486</v>
      </c>
      <c r="T6275" s="1" t="s">
        <v>3487</v>
      </c>
      <c r="U6275" s="2" t="s">
        <v>3561</v>
      </c>
      <c r="V6275" s="2" t="s">
        <v>47</v>
      </c>
      <c r="W6275" s="2" t="s">
        <v>176</v>
      </c>
      <c r="X6275" s="2">
        <v>5.18</v>
      </c>
    </row>
    <row r="6276" spans="1:24" x14ac:dyDescent="0.3">
      <c r="A6276">
        <v>24095</v>
      </c>
      <c r="B6276" t="s">
        <v>12829</v>
      </c>
      <c r="C6276" s="3">
        <v>41121</v>
      </c>
      <c r="D6276" t="s">
        <v>50</v>
      </c>
      <c r="E6276">
        <v>1</v>
      </c>
      <c r="F6276" s="3">
        <f ca="1">41122+(RANDBETWEEN(1,10))</f>
        <v>41130</v>
      </c>
      <c r="G6276" t="s">
        <v>26</v>
      </c>
      <c r="H6276" t="s">
        <v>27</v>
      </c>
      <c r="I6276" t="s">
        <v>86</v>
      </c>
      <c r="J6276">
        <v>646.69500000000005</v>
      </c>
      <c r="K6276">
        <v>0.01</v>
      </c>
      <c r="L6276">
        <v>0.39</v>
      </c>
      <c r="M6276">
        <v>69.965000000000003</v>
      </c>
      <c r="N6276">
        <v>-217.47075000000001</v>
      </c>
      <c r="O6276" s="1" t="s">
        <v>87</v>
      </c>
      <c r="P6276" s="1" t="s">
        <v>12830</v>
      </c>
      <c r="Q6276" s="1" t="s">
        <v>12831</v>
      </c>
      <c r="R6276" s="1" t="s">
        <v>90</v>
      </c>
      <c r="S6276" s="1" t="s">
        <v>10921</v>
      </c>
      <c r="T6276" s="1" t="s">
        <v>10922</v>
      </c>
      <c r="U6276" s="2" t="s">
        <v>3970</v>
      </c>
      <c r="V6276" s="2" t="s">
        <v>47</v>
      </c>
      <c r="W6276" s="2" t="s">
        <v>111</v>
      </c>
      <c r="X6276" s="2">
        <v>605.46500000000003</v>
      </c>
    </row>
    <row r="6277" spans="1:24" x14ac:dyDescent="0.3">
      <c r="A6277">
        <v>24096</v>
      </c>
      <c r="B6277" t="s">
        <v>12829</v>
      </c>
      <c r="C6277" s="3">
        <v>41121</v>
      </c>
      <c r="D6277" t="s">
        <v>50</v>
      </c>
      <c r="E6277">
        <v>5</v>
      </c>
      <c r="F6277" s="3">
        <f ca="1">41122+(RANDBETWEEN(1,10))</f>
        <v>41127</v>
      </c>
      <c r="G6277" t="s">
        <v>26</v>
      </c>
      <c r="H6277" t="s">
        <v>96</v>
      </c>
      <c r="I6277" t="s">
        <v>86</v>
      </c>
      <c r="J6277">
        <v>1252.51</v>
      </c>
      <c r="K6277">
        <v>0.04</v>
      </c>
      <c r="L6277">
        <v>0.85</v>
      </c>
      <c r="M6277">
        <v>3.4649999999999999</v>
      </c>
      <c r="N6277">
        <v>-1070.8775000000001</v>
      </c>
      <c r="O6277" s="1" t="s">
        <v>225</v>
      </c>
      <c r="P6277" s="1" t="s">
        <v>12832</v>
      </c>
      <c r="Q6277" s="1" t="s">
        <v>12833</v>
      </c>
      <c r="R6277" s="1" t="s">
        <v>228</v>
      </c>
      <c r="S6277" s="1" t="s">
        <v>10995</v>
      </c>
      <c r="T6277" s="1" t="s">
        <v>10598</v>
      </c>
      <c r="U6277" s="2" t="s">
        <v>678</v>
      </c>
      <c r="V6277" s="2" t="s">
        <v>36</v>
      </c>
      <c r="W6277" s="2" t="s">
        <v>37</v>
      </c>
      <c r="X6277" s="2">
        <v>300.96499999999997</v>
      </c>
    </row>
    <row r="6278" spans="1:24" x14ac:dyDescent="0.3">
      <c r="A6278">
        <v>24097</v>
      </c>
      <c r="B6278" t="s">
        <v>12834</v>
      </c>
      <c r="C6278" s="3">
        <v>41684</v>
      </c>
      <c r="D6278" t="s">
        <v>50</v>
      </c>
      <c r="E6278">
        <v>8</v>
      </c>
      <c r="F6278" s="3">
        <f ca="1">41686+(RANDBETWEEN(1,10))</f>
        <v>41691</v>
      </c>
      <c r="G6278" t="s">
        <v>26</v>
      </c>
      <c r="H6278" t="s">
        <v>27</v>
      </c>
      <c r="I6278" t="s">
        <v>97</v>
      </c>
      <c r="J6278">
        <v>197.01499999999999</v>
      </c>
      <c r="K6278">
        <v>0.02</v>
      </c>
      <c r="L6278">
        <v>0.37</v>
      </c>
      <c r="M6278">
        <v>18.2</v>
      </c>
      <c r="N6278">
        <v>-117.91500000000001</v>
      </c>
      <c r="O6278" s="1" t="s">
        <v>64</v>
      </c>
      <c r="P6278" s="1" t="s">
        <v>10343</v>
      </c>
      <c r="Q6278" s="1" t="s">
        <v>10344</v>
      </c>
      <c r="R6278" s="1" t="s">
        <v>67</v>
      </c>
      <c r="S6278" s="1" t="s">
        <v>10345</v>
      </c>
      <c r="T6278" s="1" t="s">
        <v>10346</v>
      </c>
      <c r="U6278" s="2" t="s">
        <v>4079</v>
      </c>
      <c r="V6278" s="2" t="s">
        <v>47</v>
      </c>
      <c r="W6278" s="2" t="s">
        <v>74</v>
      </c>
      <c r="X6278" s="2">
        <v>23.38</v>
      </c>
    </row>
    <row r="6279" spans="1:24" x14ac:dyDescent="0.3">
      <c r="A6279">
        <v>24098</v>
      </c>
      <c r="B6279" t="s">
        <v>12835</v>
      </c>
      <c r="C6279" s="3">
        <v>41874</v>
      </c>
      <c r="D6279" t="s">
        <v>148</v>
      </c>
      <c r="E6279">
        <v>8</v>
      </c>
      <c r="F6279" s="3">
        <f ca="1">41875+(RANDBETWEEN(1,10))</f>
        <v>41876</v>
      </c>
      <c r="G6279" t="s">
        <v>156</v>
      </c>
      <c r="H6279" t="s">
        <v>51</v>
      </c>
      <c r="I6279" t="s">
        <v>28</v>
      </c>
      <c r="J6279">
        <v>1028.79</v>
      </c>
      <c r="K6279">
        <v>0</v>
      </c>
      <c r="L6279">
        <v>0.43</v>
      </c>
      <c r="M6279">
        <v>6.9649999999999999</v>
      </c>
      <c r="N6279">
        <v>272.601</v>
      </c>
      <c r="O6279" s="1" t="s">
        <v>40</v>
      </c>
      <c r="P6279" s="1" t="s">
        <v>8882</v>
      </c>
      <c r="Q6279" s="1" t="s">
        <v>8883</v>
      </c>
      <c r="R6279" s="1" t="s">
        <v>43</v>
      </c>
      <c r="S6279" s="1" t="s">
        <v>8884</v>
      </c>
      <c r="T6279" s="1" t="s">
        <v>8885</v>
      </c>
      <c r="U6279" s="2" t="s">
        <v>2995</v>
      </c>
      <c r="V6279" s="2" t="s">
        <v>36</v>
      </c>
      <c r="W6279" s="2" t="s">
        <v>60</v>
      </c>
      <c r="X6279" s="2">
        <v>123.935</v>
      </c>
    </row>
    <row r="6280" spans="1:24" x14ac:dyDescent="0.3">
      <c r="A6280">
        <v>24099</v>
      </c>
      <c r="B6280" t="s">
        <v>12836</v>
      </c>
      <c r="C6280" s="3">
        <v>41069</v>
      </c>
      <c r="D6280" t="s">
        <v>25</v>
      </c>
      <c r="E6280">
        <v>17</v>
      </c>
      <c r="F6280" s="3">
        <f ca="1">41073+(RANDBETWEEN(1,10))</f>
        <v>41080</v>
      </c>
      <c r="G6280" t="s">
        <v>26</v>
      </c>
      <c r="H6280" t="s">
        <v>63</v>
      </c>
      <c r="I6280" t="s">
        <v>52</v>
      </c>
      <c r="J6280">
        <v>2919.35</v>
      </c>
      <c r="K6280">
        <v>0.02</v>
      </c>
      <c r="L6280">
        <v>0.56999999999999995</v>
      </c>
      <c r="M6280">
        <v>35.875</v>
      </c>
      <c r="N6280">
        <v>34.607999999999997</v>
      </c>
      <c r="O6280" s="1" t="s">
        <v>53</v>
      </c>
      <c r="P6280" s="1" t="s">
        <v>9481</v>
      </c>
      <c r="Q6280" s="1" t="s">
        <v>9482</v>
      </c>
      <c r="R6280" s="1" t="s">
        <v>440</v>
      </c>
      <c r="S6280" s="1" t="s">
        <v>9483</v>
      </c>
      <c r="T6280" s="1" t="s">
        <v>9484</v>
      </c>
      <c r="U6280" s="2" t="s">
        <v>4011</v>
      </c>
      <c r="V6280" s="2" t="s">
        <v>83</v>
      </c>
      <c r="W6280" s="2" t="s">
        <v>178</v>
      </c>
      <c r="X6280" s="2">
        <v>172.69</v>
      </c>
    </row>
    <row r="6281" spans="1:24" x14ac:dyDescent="0.3">
      <c r="A6281">
        <v>24100</v>
      </c>
      <c r="B6281" t="s">
        <v>12836</v>
      </c>
      <c r="C6281" s="3">
        <v>41069</v>
      </c>
      <c r="D6281" t="s">
        <v>25</v>
      </c>
      <c r="E6281">
        <v>15</v>
      </c>
      <c r="F6281" s="3">
        <f ca="1">41076+(RANDBETWEEN(1,10))</f>
        <v>41083</v>
      </c>
      <c r="G6281" t="s">
        <v>26</v>
      </c>
      <c r="H6281" t="s">
        <v>96</v>
      </c>
      <c r="I6281" t="s">
        <v>52</v>
      </c>
      <c r="J6281">
        <v>179.16499999999999</v>
      </c>
      <c r="K6281">
        <v>0.05</v>
      </c>
      <c r="L6281">
        <v>0.42</v>
      </c>
      <c r="M6281">
        <v>6.8250000000000002</v>
      </c>
      <c r="N6281">
        <v>-108.38800000000001</v>
      </c>
      <c r="O6281" s="1" t="s">
        <v>53</v>
      </c>
      <c r="P6281" s="1" t="s">
        <v>9481</v>
      </c>
      <c r="Q6281" s="1" t="s">
        <v>9482</v>
      </c>
      <c r="R6281" s="1" t="s">
        <v>440</v>
      </c>
      <c r="S6281" s="1" t="s">
        <v>9483</v>
      </c>
      <c r="T6281" s="1" t="s">
        <v>9484</v>
      </c>
      <c r="U6281" s="2" t="s">
        <v>12837</v>
      </c>
      <c r="V6281" s="2" t="s">
        <v>47</v>
      </c>
      <c r="W6281" s="2" t="s">
        <v>104</v>
      </c>
      <c r="X6281" s="2">
        <v>11.48</v>
      </c>
    </row>
    <row r="6282" spans="1:24" x14ac:dyDescent="0.3">
      <c r="A6282">
        <v>24101</v>
      </c>
      <c r="B6282" t="s">
        <v>12836</v>
      </c>
      <c r="C6282" s="3">
        <v>41069</v>
      </c>
      <c r="D6282" t="s">
        <v>25</v>
      </c>
      <c r="E6282">
        <v>3</v>
      </c>
      <c r="F6282" s="3">
        <f ca="1">41071+(RANDBETWEEN(1,10))</f>
        <v>41072</v>
      </c>
      <c r="G6282" t="s">
        <v>26</v>
      </c>
      <c r="H6282" t="s">
        <v>96</v>
      </c>
      <c r="I6282" t="s">
        <v>52</v>
      </c>
      <c r="J6282">
        <v>20.265000000000001</v>
      </c>
      <c r="K6282">
        <v>0.05</v>
      </c>
      <c r="L6282">
        <v>0.49</v>
      </c>
      <c r="M6282">
        <v>5.46</v>
      </c>
      <c r="N6282">
        <v>-2208.4299999999998</v>
      </c>
      <c r="O6282" s="1" t="s">
        <v>53</v>
      </c>
      <c r="P6282" s="1" t="s">
        <v>9481</v>
      </c>
      <c r="Q6282" s="1" t="s">
        <v>9482</v>
      </c>
      <c r="R6282" s="1" t="s">
        <v>440</v>
      </c>
      <c r="S6282" s="1" t="s">
        <v>9483</v>
      </c>
      <c r="T6282" s="1" t="s">
        <v>9484</v>
      </c>
      <c r="U6282" s="2" t="s">
        <v>12838</v>
      </c>
      <c r="V6282" s="2" t="s">
        <v>47</v>
      </c>
      <c r="W6282" s="2" t="s">
        <v>176</v>
      </c>
      <c r="X6282" s="2">
        <v>6.335</v>
      </c>
    </row>
    <row r="6283" spans="1:24" x14ac:dyDescent="0.3">
      <c r="A6283">
        <v>24102</v>
      </c>
      <c r="B6283" t="s">
        <v>12839</v>
      </c>
      <c r="C6283" s="3">
        <v>41809</v>
      </c>
      <c r="D6283" t="s">
        <v>62</v>
      </c>
      <c r="E6283">
        <v>11</v>
      </c>
      <c r="F6283" s="3">
        <f ca="1">41811+(RANDBETWEEN(1,10))</f>
        <v>41821</v>
      </c>
      <c r="G6283" t="s">
        <v>156</v>
      </c>
      <c r="H6283" t="s">
        <v>27</v>
      </c>
      <c r="I6283" t="s">
        <v>97</v>
      </c>
      <c r="J6283">
        <v>261.13499999999999</v>
      </c>
      <c r="K6283">
        <v>0.04</v>
      </c>
      <c r="L6283">
        <v>0.37</v>
      </c>
      <c r="M6283">
        <v>22.225000000000001</v>
      </c>
      <c r="N6283">
        <v>-201.34800000000001</v>
      </c>
      <c r="O6283" s="1" t="s">
        <v>29</v>
      </c>
      <c r="P6283" s="1" t="s">
        <v>5050</v>
      </c>
      <c r="Q6283" s="1" t="s">
        <v>5051</v>
      </c>
      <c r="R6283" s="1" t="s">
        <v>675</v>
      </c>
      <c r="S6283" s="1" t="s">
        <v>5052</v>
      </c>
      <c r="T6283" s="1" t="s">
        <v>5053</v>
      </c>
      <c r="U6283" s="2" t="s">
        <v>3424</v>
      </c>
      <c r="V6283" s="2" t="s">
        <v>47</v>
      </c>
      <c r="W6283" s="2" t="s">
        <v>74</v>
      </c>
      <c r="X6283" s="2">
        <v>22.68</v>
      </c>
    </row>
    <row r="6284" spans="1:24" x14ac:dyDescent="0.3">
      <c r="A6284">
        <v>24103</v>
      </c>
      <c r="B6284" t="s">
        <v>12840</v>
      </c>
      <c r="C6284" s="3">
        <v>41093</v>
      </c>
      <c r="D6284" t="s">
        <v>50</v>
      </c>
      <c r="E6284">
        <v>6</v>
      </c>
      <c r="F6284" s="3">
        <f ca="1">41095+(RANDBETWEEN(1,10))</f>
        <v>41100</v>
      </c>
      <c r="G6284" t="s">
        <v>26</v>
      </c>
      <c r="H6284" t="s">
        <v>281</v>
      </c>
      <c r="I6284" t="s">
        <v>28</v>
      </c>
      <c r="J6284">
        <v>215.6</v>
      </c>
      <c r="K6284">
        <v>0</v>
      </c>
      <c r="L6284">
        <v>0.48</v>
      </c>
      <c r="M6284">
        <v>21.07</v>
      </c>
      <c r="N6284">
        <v>37.380000000000003</v>
      </c>
      <c r="O6284" s="1" t="s">
        <v>87</v>
      </c>
      <c r="P6284" s="1" t="s">
        <v>12083</v>
      </c>
      <c r="Q6284" s="1" t="s">
        <v>12084</v>
      </c>
      <c r="R6284" s="1" t="s">
        <v>497</v>
      </c>
      <c r="S6284" s="1" t="s">
        <v>1263</v>
      </c>
      <c r="T6284" s="1" t="s">
        <v>3297</v>
      </c>
      <c r="U6284" s="2" t="s">
        <v>3578</v>
      </c>
      <c r="V6284" s="2" t="s">
        <v>83</v>
      </c>
      <c r="W6284" s="2" t="s">
        <v>178</v>
      </c>
      <c r="X6284" s="2">
        <v>34.195</v>
      </c>
    </row>
    <row r="6285" spans="1:24" x14ac:dyDescent="0.3">
      <c r="A6285">
        <v>24104</v>
      </c>
      <c r="B6285" t="s">
        <v>12841</v>
      </c>
      <c r="C6285" s="3">
        <v>41349</v>
      </c>
      <c r="D6285" t="s">
        <v>50</v>
      </c>
      <c r="E6285">
        <v>4</v>
      </c>
      <c r="F6285" s="3">
        <f ca="1">41351+(RANDBETWEEN(1,10))</f>
        <v>41352</v>
      </c>
      <c r="G6285" t="s">
        <v>26</v>
      </c>
      <c r="H6285" t="s">
        <v>27</v>
      </c>
      <c r="I6285" t="s">
        <v>97</v>
      </c>
      <c r="J6285">
        <v>270.23500000000001</v>
      </c>
      <c r="K6285">
        <v>0.02</v>
      </c>
      <c r="L6285">
        <v>0.35</v>
      </c>
      <c r="M6285">
        <v>5.2149999999999999</v>
      </c>
      <c r="N6285">
        <v>16279.221</v>
      </c>
      <c r="O6285" s="1" t="s">
        <v>87</v>
      </c>
      <c r="P6285" s="1" t="s">
        <v>12558</v>
      </c>
      <c r="Q6285" s="1" t="s">
        <v>12559</v>
      </c>
      <c r="R6285" s="1" t="s">
        <v>497</v>
      </c>
      <c r="S6285" s="1" t="s">
        <v>6037</v>
      </c>
      <c r="T6285" s="1" t="s">
        <v>6038</v>
      </c>
      <c r="U6285" s="2" t="s">
        <v>292</v>
      </c>
      <c r="V6285" s="2" t="s">
        <v>47</v>
      </c>
      <c r="W6285" s="2" t="s">
        <v>111</v>
      </c>
      <c r="X6285" s="2">
        <v>66.290000000000006</v>
      </c>
    </row>
    <row r="6286" spans="1:24" x14ac:dyDescent="0.3">
      <c r="A6286">
        <v>24105</v>
      </c>
      <c r="B6286" t="s">
        <v>12842</v>
      </c>
      <c r="C6286" s="3">
        <v>41410</v>
      </c>
      <c r="D6286" t="s">
        <v>62</v>
      </c>
      <c r="E6286">
        <v>7</v>
      </c>
      <c r="F6286" s="3">
        <f ca="1">41412+(RANDBETWEEN(1,10))</f>
        <v>41415</v>
      </c>
      <c r="G6286" t="s">
        <v>156</v>
      </c>
      <c r="H6286" t="s">
        <v>63</v>
      </c>
      <c r="I6286" t="s">
        <v>97</v>
      </c>
      <c r="J6286">
        <v>1971.7249999999999</v>
      </c>
      <c r="K6286">
        <v>0.05</v>
      </c>
      <c r="L6286">
        <v>0.54</v>
      </c>
      <c r="M6286">
        <v>69.825000000000003</v>
      </c>
      <c r="N6286">
        <v>599.41</v>
      </c>
      <c r="O6286" s="1" t="s">
        <v>87</v>
      </c>
      <c r="P6286" s="1" t="s">
        <v>9167</v>
      </c>
      <c r="Q6286" s="1" t="s">
        <v>9168</v>
      </c>
      <c r="R6286" s="1" t="s">
        <v>398</v>
      </c>
      <c r="S6286" s="1" t="s">
        <v>9169</v>
      </c>
      <c r="T6286" s="1" t="s">
        <v>9170</v>
      </c>
      <c r="U6286" s="2" t="s">
        <v>3037</v>
      </c>
      <c r="V6286" s="2" t="s">
        <v>47</v>
      </c>
      <c r="W6286" s="2" t="s">
        <v>71</v>
      </c>
      <c r="X6286" s="2">
        <v>268.52</v>
      </c>
    </row>
    <row r="6287" spans="1:24" x14ac:dyDescent="0.3">
      <c r="A6287">
        <v>24106</v>
      </c>
      <c r="B6287" t="s">
        <v>12843</v>
      </c>
      <c r="C6287" s="3">
        <v>41739</v>
      </c>
      <c r="D6287" t="s">
        <v>62</v>
      </c>
      <c r="E6287">
        <v>4</v>
      </c>
      <c r="F6287" s="3">
        <f ca="1">41741+(RANDBETWEEN(1,10))</f>
        <v>41743</v>
      </c>
      <c r="G6287" t="s">
        <v>26</v>
      </c>
      <c r="H6287" t="s">
        <v>27</v>
      </c>
      <c r="I6287" t="s">
        <v>28</v>
      </c>
      <c r="J6287">
        <v>737.76499999999999</v>
      </c>
      <c r="K6287">
        <v>0</v>
      </c>
      <c r="L6287">
        <v>0.38</v>
      </c>
      <c r="M6287">
        <v>20.335000000000001</v>
      </c>
      <c r="N6287">
        <v>509.05784999999997</v>
      </c>
      <c r="O6287" s="1" t="s">
        <v>53</v>
      </c>
      <c r="P6287" s="1" t="s">
        <v>7636</v>
      </c>
      <c r="Q6287" s="1" t="s">
        <v>7637</v>
      </c>
      <c r="R6287" s="1" t="s">
        <v>100</v>
      </c>
      <c r="S6287" s="1" t="s">
        <v>7638</v>
      </c>
      <c r="T6287" s="1" t="s">
        <v>7639</v>
      </c>
      <c r="U6287" s="2" t="s">
        <v>1912</v>
      </c>
      <c r="V6287" s="2" t="s">
        <v>47</v>
      </c>
      <c r="W6287" s="2" t="s">
        <v>74</v>
      </c>
      <c r="X6287" s="2">
        <v>171.185</v>
      </c>
    </row>
    <row r="6288" spans="1:24" x14ac:dyDescent="0.3">
      <c r="A6288">
        <v>24107</v>
      </c>
      <c r="B6288" t="s">
        <v>12843</v>
      </c>
      <c r="C6288" s="3">
        <v>41739</v>
      </c>
      <c r="D6288" t="s">
        <v>62</v>
      </c>
      <c r="E6288">
        <v>6</v>
      </c>
      <c r="F6288" s="3">
        <f ca="1">41741+(RANDBETWEEN(1,10))</f>
        <v>41749</v>
      </c>
      <c r="G6288" t="s">
        <v>26</v>
      </c>
      <c r="H6288" t="s">
        <v>27</v>
      </c>
      <c r="I6288" t="s">
        <v>28</v>
      </c>
      <c r="J6288">
        <v>3480.7849999999999</v>
      </c>
      <c r="K6288">
        <v>0.08</v>
      </c>
      <c r="L6288">
        <v>0.4</v>
      </c>
      <c r="M6288">
        <v>69.965000000000003</v>
      </c>
      <c r="N6288">
        <v>2401.7416499999999</v>
      </c>
      <c r="O6288" s="1" t="s">
        <v>40</v>
      </c>
      <c r="P6288" s="1" t="s">
        <v>12844</v>
      </c>
      <c r="Q6288" s="1" t="s">
        <v>12845</v>
      </c>
      <c r="R6288" s="1" t="s">
        <v>220</v>
      </c>
      <c r="S6288" s="1" t="s">
        <v>4952</v>
      </c>
      <c r="T6288" s="1" t="s">
        <v>12846</v>
      </c>
      <c r="U6288" s="2" t="s">
        <v>2782</v>
      </c>
      <c r="V6288" s="2" t="s">
        <v>47</v>
      </c>
      <c r="W6288" s="2" t="s">
        <v>111</v>
      </c>
      <c r="X6288" s="2">
        <v>580.92999999999995</v>
      </c>
    </row>
    <row r="6289" spans="1:24" x14ac:dyDescent="0.3">
      <c r="A6289">
        <v>24108</v>
      </c>
      <c r="B6289" t="s">
        <v>12847</v>
      </c>
      <c r="C6289" s="3">
        <v>41883</v>
      </c>
      <c r="D6289" t="s">
        <v>62</v>
      </c>
      <c r="E6289">
        <v>18</v>
      </c>
      <c r="F6289" s="3">
        <f ca="1">41885+(RANDBETWEEN(1,10))</f>
        <v>41890</v>
      </c>
      <c r="G6289" t="s">
        <v>26</v>
      </c>
      <c r="H6289" t="s">
        <v>27</v>
      </c>
      <c r="I6289" t="s">
        <v>52</v>
      </c>
      <c r="J6289">
        <v>619.04499999999996</v>
      </c>
      <c r="K6289">
        <v>0.06</v>
      </c>
      <c r="L6289">
        <v>0.37</v>
      </c>
      <c r="M6289">
        <v>3.4649999999999999</v>
      </c>
      <c r="N6289">
        <v>427.14105000000001</v>
      </c>
      <c r="O6289" s="1" t="s">
        <v>29</v>
      </c>
      <c r="P6289" s="1" t="s">
        <v>8274</v>
      </c>
      <c r="Q6289" s="1" t="s">
        <v>8275</v>
      </c>
      <c r="R6289" s="1" t="s">
        <v>32</v>
      </c>
      <c r="S6289" s="1" t="s">
        <v>8276</v>
      </c>
      <c r="T6289" s="1" t="s">
        <v>8277</v>
      </c>
      <c r="U6289" s="2" t="s">
        <v>4343</v>
      </c>
      <c r="V6289" s="2" t="s">
        <v>47</v>
      </c>
      <c r="W6289" s="2" t="s">
        <v>203</v>
      </c>
      <c r="X6289" s="2">
        <v>36.225000000000001</v>
      </c>
    </row>
    <row r="6290" spans="1:24" x14ac:dyDescent="0.3">
      <c r="A6290">
        <v>24109</v>
      </c>
      <c r="B6290" t="s">
        <v>12848</v>
      </c>
      <c r="C6290" s="3">
        <v>40971</v>
      </c>
      <c r="D6290" t="s">
        <v>148</v>
      </c>
      <c r="E6290">
        <v>1</v>
      </c>
      <c r="F6290" s="3">
        <f ca="1">40972+(RANDBETWEEN(1,10))</f>
        <v>40979</v>
      </c>
      <c r="G6290" t="s">
        <v>26</v>
      </c>
      <c r="H6290" t="s">
        <v>96</v>
      </c>
      <c r="I6290" t="s">
        <v>86</v>
      </c>
      <c r="J6290">
        <v>13.58</v>
      </c>
      <c r="K6290">
        <v>0.03</v>
      </c>
      <c r="L6290">
        <v>0.57999999999999996</v>
      </c>
      <c r="M6290">
        <v>8.4</v>
      </c>
      <c r="N6290">
        <v>-18.445</v>
      </c>
      <c r="O6290" s="1" t="s">
        <v>87</v>
      </c>
      <c r="P6290" s="1" t="s">
        <v>3807</v>
      </c>
      <c r="Q6290" s="1" t="s">
        <v>3808</v>
      </c>
      <c r="R6290" s="1" t="s">
        <v>398</v>
      </c>
      <c r="S6290" s="1" t="s">
        <v>3809</v>
      </c>
      <c r="T6290" s="1" t="s">
        <v>3810</v>
      </c>
      <c r="U6290" s="2" t="s">
        <v>6328</v>
      </c>
      <c r="V6290" s="2" t="s">
        <v>47</v>
      </c>
      <c r="W6290" s="2" t="s">
        <v>104</v>
      </c>
      <c r="X6290" s="2">
        <v>9.1</v>
      </c>
    </row>
    <row r="6291" spans="1:24" x14ac:dyDescent="0.3">
      <c r="A6291">
        <v>24110</v>
      </c>
      <c r="B6291" t="s">
        <v>12849</v>
      </c>
      <c r="C6291" s="3">
        <v>41701</v>
      </c>
      <c r="D6291" t="s">
        <v>148</v>
      </c>
      <c r="E6291">
        <v>10</v>
      </c>
      <c r="F6291" s="3">
        <f ca="1">41702+(RANDBETWEEN(1,10))</f>
        <v>41704</v>
      </c>
      <c r="G6291" t="s">
        <v>26</v>
      </c>
      <c r="H6291" t="s">
        <v>27</v>
      </c>
      <c r="I6291" t="s">
        <v>28</v>
      </c>
      <c r="J6291">
        <v>1422.05</v>
      </c>
      <c r="K6291">
        <v>0.06</v>
      </c>
      <c r="L6291">
        <v>0.37</v>
      </c>
      <c r="M6291">
        <v>26.145</v>
      </c>
      <c r="N6291">
        <v>981.21450000000004</v>
      </c>
      <c r="O6291" s="1" t="s">
        <v>53</v>
      </c>
      <c r="P6291" s="1" t="s">
        <v>12534</v>
      </c>
      <c r="Q6291" s="1" t="s">
        <v>12535</v>
      </c>
      <c r="R6291" s="1" t="s">
        <v>56</v>
      </c>
      <c r="S6291" s="1" t="s">
        <v>12536</v>
      </c>
      <c r="T6291" s="1" t="s">
        <v>12537</v>
      </c>
      <c r="U6291" s="2" t="s">
        <v>1126</v>
      </c>
      <c r="V6291" s="2" t="s">
        <v>47</v>
      </c>
      <c r="W6291" s="2" t="s">
        <v>111</v>
      </c>
      <c r="X6291" s="2">
        <v>143.43</v>
      </c>
    </row>
    <row r="6292" spans="1:24" x14ac:dyDescent="0.3">
      <c r="A6292">
        <v>24111</v>
      </c>
      <c r="B6292" t="s">
        <v>12850</v>
      </c>
      <c r="C6292" s="3">
        <v>41465</v>
      </c>
      <c r="D6292" t="s">
        <v>50</v>
      </c>
      <c r="E6292">
        <v>11</v>
      </c>
      <c r="F6292" s="3">
        <f ca="1">41467+(RANDBETWEEN(1,10))</f>
        <v>41469</v>
      </c>
      <c r="G6292" t="s">
        <v>26</v>
      </c>
      <c r="H6292" t="s">
        <v>63</v>
      </c>
      <c r="I6292" t="s">
        <v>52</v>
      </c>
      <c r="J6292">
        <v>6958.21</v>
      </c>
      <c r="K6292">
        <v>0.1</v>
      </c>
      <c r="L6292">
        <v>0.46</v>
      </c>
      <c r="M6292">
        <v>85.715000000000003</v>
      </c>
      <c r="N6292">
        <v>3458.6965</v>
      </c>
      <c r="O6292" s="1" t="s">
        <v>64</v>
      </c>
      <c r="P6292" s="1" t="s">
        <v>10410</v>
      </c>
      <c r="Q6292" s="1" t="s">
        <v>10411</v>
      </c>
      <c r="R6292" s="1" t="s">
        <v>67</v>
      </c>
      <c r="S6292" s="1" t="s">
        <v>10412</v>
      </c>
      <c r="T6292" s="1" t="s">
        <v>10413</v>
      </c>
      <c r="U6292" s="2" t="s">
        <v>7870</v>
      </c>
      <c r="V6292" s="2" t="s">
        <v>36</v>
      </c>
      <c r="W6292" s="2" t="s">
        <v>1327</v>
      </c>
      <c r="X6292" s="2">
        <v>699.96500000000003</v>
      </c>
    </row>
    <row r="6293" spans="1:24" x14ac:dyDescent="0.3">
      <c r="A6293">
        <v>24112</v>
      </c>
      <c r="B6293" t="s">
        <v>12850</v>
      </c>
      <c r="C6293" s="3">
        <v>41465</v>
      </c>
      <c r="D6293" t="s">
        <v>50</v>
      </c>
      <c r="E6293">
        <v>5</v>
      </c>
      <c r="F6293" s="3">
        <f ca="1">41467+(RANDBETWEEN(1,10))</f>
        <v>41470</v>
      </c>
      <c r="G6293" t="s">
        <v>26</v>
      </c>
      <c r="H6293" t="s">
        <v>27</v>
      </c>
      <c r="I6293" t="s">
        <v>52</v>
      </c>
      <c r="J6293">
        <v>127.4</v>
      </c>
      <c r="K6293">
        <v>0.03</v>
      </c>
      <c r="L6293">
        <v>0.37</v>
      </c>
      <c r="M6293">
        <v>25.795000000000002</v>
      </c>
      <c r="N6293">
        <v>-175.94499999999999</v>
      </c>
      <c r="O6293" s="1" t="s">
        <v>64</v>
      </c>
      <c r="P6293" s="1" t="s">
        <v>10410</v>
      </c>
      <c r="Q6293" s="1" t="s">
        <v>10411</v>
      </c>
      <c r="R6293" s="1" t="s">
        <v>67</v>
      </c>
      <c r="S6293" s="1" t="s">
        <v>10412</v>
      </c>
      <c r="T6293" s="1" t="s">
        <v>10413</v>
      </c>
      <c r="U6293" s="2" t="s">
        <v>2975</v>
      </c>
      <c r="V6293" s="2" t="s">
        <v>47</v>
      </c>
      <c r="W6293" s="2" t="s">
        <v>74</v>
      </c>
      <c r="X6293" s="2">
        <v>22.68</v>
      </c>
    </row>
    <row r="6294" spans="1:24" x14ac:dyDescent="0.3">
      <c r="A6294">
        <v>24113</v>
      </c>
      <c r="B6294" t="s">
        <v>12851</v>
      </c>
      <c r="C6294" s="3">
        <v>40776</v>
      </c>
      <c r="D6294" t="s">
        <v>62</v>
      </c>
      <c r="E6294">
        <v>15</v>
      </c>
      <c r="F6294" s="3">
        <f ca="1">40777+(RANDBETWEEN(1,10))</f>
        <v>40778</v>
      </c>
      <c r="G6294" t="s">
        <v>76</v>
      </c>
      <c r="H6294" t="s">
        <v>77</v>
      </c>
      <c r="I6294" t="s">
        <v>86</v>
      </c>
      <c r="J6294">
        <v>5628.3850000000002</v>
      </c>
      <c r="K6294">
        <v>0</v>
      </c>
      <c r="L6294">
        <v>0.61</v>
      </c>
      <c r="M6294">
        <v>147</v>
      </c>
      <c r="N6294">
        <v>-147.1652</v>
      </c>
      <c r="O6294" s="1" t="s">
        <v>40</v>
      </c>
      <c r="P6294" s="1" t="s">
        <v>9476</v>
      </c>
      <c r="Q6294" s="1" t="s">
        <v>9477</v>
      </c>
      <c r="R6294" s="1" t="s">
        <v>220</v>
      </c>
      <c r="S6294" s="1" t="s">
        <v>1544</v>
      </c>
      <c r="T6294" s="1" t="s">
        <v>1545</v>
      </c>
      <c r="U6294" s="2" t="s">
        <v>10308</v>
      </c>
      <c r="V6294" s="2" t="s">
        <v>83</v>
      </c>
      <c r="W6294" s="2" t="s">
        <v>84</v>
      </c>
      <c r="X6294" s="2">
        <v>353.11500000000001</v>
      </c>
    </row>
    <row r="6295" spans="1:24" x14ac:dyDescent="0.3">
      <c r="A6295">
        <v>24114</v>
      </c>
      <c r="B6295" t="s">
        <v>12852</v>
      </c>
      <c r="C6295" s="3">
        <v>41872</v>
      </c>
      <c r="D6295" t="s">
        <v>62</v>
      </c>
      <c r="E6295">
        <v>22</v>
      </c>
      <c r="F6295" s="3">
        <f ca="1">41874+(RANDBETWEEN(1,10))</f>
        <v>41879</v>
      </c>
      <c r="G6295" t="s">
        <v>26</v>
      </c>
      <c r="H6295" t="s">
        <v>63</v>
      </c>
      <c r="I6295" t="s">
        <v>86</v>
      </c>
      <c r="J6295">
        <v>3977.5050000000001</v>
      </c>
      <c r="K6295">
        <v>0.01</v>
      </c>
      <c r="L6295">
        <v>0.83</v>
      </c>
      <c r="M6295">
        <v>122.5</v>
      </c>
      <c r="N6295">
        <v>-1672.79448</v>
      </c>
      <c r="O6295" s="1" t="s">
        <v>40</v>
      </c>
      <c r="P6295" s="1" t="s">
        <v>9476</v>
      </c>
      <c r="Q6295" s="1" t="s">
        <v>9477</v>
      </c>
      <c r="R6295" s="1" t="s">
        <v>220</v>
      </c>
      <c r="S6295" s="1" t="s">
        <v>1544</v>
      </c>
      <c r="T6295" s="1" t="s">
        <v>1545</v>
      </c>
      <c r="U6295" s="2" t="s">
        <v>279</v>
      </c>
      <c r="V6295" s="2" t="s">
        <v>47</v>
      </c>
      <c r="W6295" s="2" t="s">
        <v>119</v>
      </c>
      <c r="X6295" s="2">
        <v>171.185</v>
      </c>
    </row>
    <row r="6296" spans="1:24" x14ac:dyDescent="0.3">
      <c r="A6296">
        <v>24115</v>
      </c>
      <c r="B6296" t="s">
        <v>12853</v>
      </c>
      <c r="C6296" s="3">
        <v>41509</v>
      </c>
      <c r="D6296" t="s">
        <v>25</v>
      </c>
      <c r="E6296">
        <v>19</v>
      </c>
      <c r="F6296" s="3">
        <f ca="1">41516+(RANDBETWEEN(1,10))</f>
        <v>41521</v>
      </c>
      <c r="G6296" t="s">
        <v>26</v>
      </c>
      <c r="H6296" t="s">
        <v>27</v>
      </c>
      <c r="I6296" t="s">
        <v>28</v>
      </c>
      <c r="J6296">
        <v>11746.07</v>
      </c>
      <c r="K6296">
        <v>0.03</v>
      </c>
      <c r="L6296">
        <v>0.59</v>
      </c>
      <c r="M6296">
        <v>17.5</v>
      </c>
      <c r="N6296">
        <v>8104.7883000000002</v>
      </c>
      <c r="O6296" s="1" t="s">
        <v>225</v>
      </c>
      <c r="P6296" s="1" t="s">
        <v>12854</v>
      </c>
      <c r="Q6296" s="1" t="s">
        <v>632</v>
      </c>
      <c r="R6296" s="1" t="s">
        <v>228</v>
      </c>
      <c r="S6296" s="1" t="s">
        <v>12855</v>
      </c>
      <c r="T6296" s="1" t="s">
        <v>12856</v>
      </c>
      <c r="U6296" s="2" t="s">
        <v>6973</v>
      </c>
      <c r="V6296" s="2" t="s">
        <v>36</v>
      </c>
      <c r="W6296" s="2" t="s">
        <v>37</v>
      </c>
      <c r="X6296" s="2">
        <v>720.96500000000003</v>
      </c>
    </row>
    <row r="6297" spans="1:24" x14ac:dyDescent="0.3">
      <c r="A6297">
        <v>24116</v>
      </c>
      <c r="B6297" t="s">
        <v>12853</v>
      </c>
      <c r="C6297" s="3">
        <v>41509</v>
      </c>
      <c r="D6297" t="s">
        <v>25</v>
      </c>
      <c r="E6297">
        <v>2</v>
      </c>
      <c r="F6297" s="3">
        <f ca="1">41518+(RANDBETWEEN(1,10))</f>
        <v>41525</v>
      </c>
      <c r="G6297" t="s">
        <v>26</v>
      </c>
      <c r="H6297" t="s">
        <v>96</v>
      </c>
      <c r="I6297" t="s">
        <v>28</v>
      </c>
      <c r="J6297">
        <v>15.54</v>
      </c>
      <c r="K6297">
        <v>0.09</v>
      </c>
      <c r="L6297">
        <v>0.46</v>
      </c>
      <c r="M6297">
        <v>5.7050000000000001</v>
      </c>
      <c r="N6297">
        <v>-9.3547999999999991</v>
      </c>
      <c r="O6297" s="1" t="s">
        <v>225</v>
      </c>
      <c r="P6297" s="1" t="s">
        <v>12857</v>
      </c>
      <c r="Q6297" s="1" t="s">
        <v>12858</v>
      </c>
      <c r="R6297" s="1" t="s">
        <v>228</v>
      </c>
      <c r="S6297" s="1" t="s">
        <v>11828</v>
      </c>
      <c r="T6297" s="1" t="s">
        <v>7832</v>
      </c>
      <c r="U6297" s="2" t="s">
        <v>3593</v>
      </c>
      <c r="V6297" s="2" t="s">
        <v>47</v>
      </c>
      <c r="W6297" s="2" t="s">
        <v>104</v>
      </c>
      <c r="X6297" s="2">
        <v>6.8250000000000002</v>
      </c>
    </row>
    <row r="6298" spans="1:24" x14ac:dyDescent="0.3">
      <c r="A6298">
        <v>24117</v>
      </c>
      <c r="B6298" t="s">
        <v>12853</v>
      </c>
      <c r="C6298" s="3">
        <v>41509</v>
      </c>
      <c r="D6298" t="s">
        <v>25</v>
      </c>
      <c r="E6298">
        <v>21</v>
      </c>
      <c r="F6298" s="3">
        <f ca="1">41518+(RANDBETWEEN(1,10))</f>
        <v>41528</v>
      </c>
      <c r="G6298" t="s">
        <v>26</v>
      </c>
      <c r="H6298" t="s">
        <v>96</v>
      </c>
      <c r="I6298" t="s">
        <v>28</v>
      </c>
      <c r="J6298">
        <v>1231.7550000000001</v>
      </c>
      <c r="K6298">
        <v>7.0000000000000007E-2</v>
      </c>
      <c r="L6298">
        <v>0.37</v>
      </c>
      <c r="M6298">
        <v>3.4649999999999999</v>
      </c>
      <c r="N6298">
        <v>849.91094999999996</v>
      </c>
      <c r="O6298" s="1" t="s">
        <v>64</v>
      </c>
      <c r="P6298" s="1" t="s">
        <v>12859</v>
      </c>
      <c r="Q6298" s="1" t="s">
        <v>12860</v>
      </c>
      <c r="R6298" s="1" t="s">
        <v>128</v>
      </c>
      <c r="S6298" s="1" t="s">
        <v>1686</v>
      </c>
      <c r="T6298" s="1" t="s">
        <v>1687</v>
      </c>
      <c r="U6298" s="2" t="s">
        <v>3359</v>
      </c>
      <c r="V6298" s="2" t="s">
        <v>36</v>
      </c>
      <c r="W6298" s="2" t="s">
        <v>37</v>
      </c>
      <c r="X6298" s="2">
        <v>73.465000000000003</v>
      </c>
    </row>
    <row r="6299" spans="1:24" x14ac:dyDescent="0.3">
      <c r="A6299">
        <v>24118</v>
      </c>
      <c r="B6299" t="s">
        <v>12861</v>
      </c>
      <c r="C6299" s="3">
        <v>40975</v>
      </c>
      <c r="D6299" t="s">
        <v>148</v>
      </c>
      <c r="E6299">
        <v>11</v>
      </c>
      <c r="F6299" s="3">
        <f ca="1">40978+(RANDBETWEEN(1,10))</f>
        <v>40983</v>
      </c>
      <c r="G6299" t="s">
        <v>26</v>
      </c>
      <c r="H6299" t="s">
        <v>27</v>
      </c>
      <c r="I6299" t="s">
        <v>28</v>
      </c>
      <c r="J6299">
        <v>2269.5050000000001</v>
      </c>
      <c r="K6299">
        <v>0.09</v>
      </c>
      <c r="L6299">
        <v>0.56999999999999995</v>
      </c>
      <c r="M6299">
        <v>13.965</v>
      </c>
      <c r="N6299">
        <v>1565.9584500000001</v>
      </c>
      <c r="O6299" s="1" t="s">
        <v>29</v>
      </c>
      <c r="P6299" s="1" t="s">
        <v>10835</v>
      </c>
      <c r="Q6299" s="1" t="s">
        <v>10836</v>
      </c>
      <c r="R6299" s="1" t="s">
        <v>460</v>
      </c>
      <c r="S6299" s="1" t="s">
        <v>3781</v>
      </c>
      <c r="T6299" s="1" t="s">
        <v>10837</v>
      </c>
      <c r="U6299" s="2" t="s">
        <v>1024</v>
      </c>
      <c r="V6299" s="2" t="s">
        <v>47</v>
      </c>
      <c r="W6299" s="2" t="s">
        <v>71</v>
      </c>
      <c r="X6299" s="2">
        <v>209.93</v>
      </c>
    </row>
    <row r="6300" spans="1:24" x14ac:dyDescent="0.3">
      <c r="A6300">
        <v>24119</v>
      </c>
      <c r="B6300" t="s">
        <v>12862</v>
      </c>
      <c r="C6300" s="3">
        <v>41756</v>
      </c>
      <c r="D6300" t="s">
        <v>50</v>
      </c>
      <c r="E6300">
        <v>10</v>
      </c>
      <c r="F6300" s="3">
        <f ca="1">41757+(RANDBETWEEN(1,10))</f>
        <v>41760</v>
      </c>
      <c r="G6300" t="s">
        <v>26</v>
      </c>
      <c r="H6300" t="s">
        <v>27</v>
      </c>
      <c r="I6300" t="s">
        <v>97</v>
      </c>
      <c r="J6300">
        <v>1930.04</v>
      </c>
      <c r="K6300">
        <v>0.03</v>
      </c>
      <c r="L6300">
        <v>0.57999999999999996</v>
      </c>
      <c r="M6300">
        <v>31.465</v>
      </c>
      <c r="N6300">
        <v>1179.6434999999999</v>
      </c>
      <c r="O6300" s="1" t="s">
        <v>87</v>
      </c>
      <c r="P6300" s="1" t="s">
        <v>9167</v>
      </c>
      <c r="Q6300" s="1" t="s">
        <v>9168</v>
      </c>
      <c r="R6300" s="1" t="s">
        <v>398</v>
      </c>
      <c r="S6300" s="1" t="s">
        <v>9169</v>
      </c>
      <c r="T6300" s="1" t="s">
        <v>9170</v>
      </c>
      <c r="U6300" s="2">
        <v>8260</v>
      </c>
      <c r="V6300" s="2" t="s">
        <v>36</v>
      </c>
      <c r="W6300" s="2" t="s">
        <v>37</v>
      </c>
      <c r="X6300" s="2">
        <v>230.965</v>
      </c>
    </row>
    <row r="6301" spans="1:24" x14ac:dyDescent="0.3">
      <c r="A6301">
        <v>24120</v>
      </c>
      <c r="B6301" t="s">
        <v>12863</v>
      </c>
      <c r="C6301" s="3">
        <v>41892</v>
      </c>
      <c r="D6301" t="s">
        <v>39</v>
      </c>
      <c r="E6301">
        <v>16</v>
      </c>
      <c r="F6301" s="3">
        <f ca="1">41892+(RANDBETWEEN(1,10))</f>
        <v>41895</v>
      </c>
      <c r="G6301" t="s">
        <v>156</v>
      </c>
      <c r="H6301" t="s">
        <v>27</v>
      </c>
      <c r="I6301" t="s">
        <v>97</v>
      </c>
      <c r="J6301">
        <v>3161.3049999999998</v>
      </c>
      <c r="K6301">
        <v>0.03</v>
      </c>
      <c r="L6301">
        <v>0.37</v>
      </c>
      <c r="M6301">
        <v>50.05</v>
      </c>
      <c r="N6301">
        <v>2114.4564</v>
      </c>
      <c r="O6301" s="1" t="s">
        <v>87</v>
      </c>
      <c r="P6301" s="1" t="s">
        <v>10544</v>
      </c>
      <c r="Q6301" s="1" t="s">
        <v>10545</v>
      </c>
      <c r="R6301" s="1" t="s">
        <v>90</v>
      </c>
      <c r="S6301" s="1" t="s">
        <v>10546</v>
      </c>
      <c r="T6301" s="1" t="s">
        <v>10547</v>
      </c>
      <c r="U6301" s="2" t="s">
        <v>1168</v>
      </c>
      <c r="V6301" s="2" t="s">
        <v>47</v>
      </c>
      <c r="W6301" s="2" t="s">
        <v>74</v>
      </c>
      <c r="X6301" s="2">
        <v>194.18</v>
      </c>
    </row>
    <row r="6302" spans="1:24" x14ac:dyDescent="0.3">
      <c r="A6302">
        <v>24121</v>
      </c>
      <c r="B6302" t="s">
        <v>12864</v>
      </c>
      <c r="C6302" s="3">
        <v>40829</v>
      </c>
      <c r="D6302" t="s">
        <v>25</v>
      </c>
      <c r="E6302">
        <v>22</v>
      </c>
      <c r="F6302" s="3">
        <f ca="1">40836+(RANDBETWEEN(1,10))</f>
        <v>40843</v>
      </c>
      <c r="G6302" t="s">
        <v>26</v>
      </c>
      <c r="H6302" t="s">
        <v>27</v>
      </c>
      <c r="I6302" t="s">
        <v>97</v>
      </c>
      <c r="J6302">
        <v>179.935</v>
      </c>
      <c r="K6302">
        <v>0</v>
      </c>
      <c r="L6302">
        <v>0.43</v>
      </c>
      <c r="M6302">
        <v>18.655000000000001</v>
      </c>
      <c r="N6302">
        <v>-673.93619999999999</v>
      </c>
      <c r="O6302" s="1" t="s">
        <v>87</v>
      </c>
      <c r="P6302" s="1" t="s">
        <v>10302</v>
      </c>
      <c r="Q6302" s="1" t="s">
        <v>10303</v>
      </c>
      <c r="R6302" s="1" t="s">
        <v>90</v>
      </c>
      <c r="S6302" s="1" t="s">
        <v>10304</v>
      </c>
      <c r="T6302" s="1" t="s">
        <v>10305</v>
      </c>
      <c r="U6302" s="2" t="s">
        <v>2500</v>
      </c>
      <c r="V6302" s="2" t="s">
        <v>83</v>
      </c>
      <c r="W6302" s="2" t="s">
        <v>178</v>
      </c>
      <c r="X6302" s="2">
        <v>7.28</v>
      </c>
    </row>
    <row r="6303" spans="1:24" x14ac:dyDescent="0.3">
      <c r="A6303">
        <v>24122</v>
      </c>
      <c r="B6303" t="s">
        <v>12865</v>
      </c>
      <c r="C6303" s="3">
        <v>40555</v>
      </c>
      <c r="D6303" t="s">
        <v>62</v>
      </c>
      <c r="E6303">
        <v>11</v>
      </c>
      <c r="F6303" s="3">
        <f ca="1">40558+(RANDBETWEEN(1,10))</f>
        <v>40568</v>
      </c>
      <c r="G6303" t="s">
        <v>76</v>
      </c>
      <c r="H6303" t="s">
        <v>77</v>
      </c>
      <c r="I6303" t="s">
        <v>52</v>
      </c>
      <c r="J6303">
        <v>13657.315000000001</v>
      </c>
      <c r="K6303">
        <v>0.03</v>
      </c>
      <c r="L6303">
        <v>0.61</v>
      </c>
      <c r="M6303">
        <v>105</v>
      </c>
      <c r="N6303">
        <v>9423.5473500000007</v>
      </c>
      <c r="O6303" s="1" t="s">
        <v>29</v>
      </c>
      <c r="P6303" s="1" t="s">
        <v>12866</v>
      </c>
      <c r="Q6303" s="1" t="s">
        <v>12867</v>
      </c>
      <c r="R6303" s="1" t="s">
        <v>460</v>
      </c>
      <c r="S6303" s="1" t="s">
        <v>12868</v>
      </c>
      <c r="T6303" s="1" t="s">
        <v>12869</v>
      </c>
      <c r="U6303" s="2" t="s">
        <v>8147</v>
      </c>
      <c r="V6303" s="2" t="s">
        <v>83</v>
      </c>
      <c r="W6303" s="2" t="s">
        <v>84</v>
      </c>
      <c r="X6303" s="2">
        <v>1228.43</v>
      </c>
    </row>
    <row r="6304" spans="1:24" x14ac:dyDescent="0.3">
      <c r="A6304">
        <v>24123</v>
      </c>
      <c r="B6304" t="s">
        <v>12865</v>
      </c>
      <c r="C6304" s="3">
        <v>40555</v>
      </c>
      <c r="D6304" t="s">
        <v>62</v>
      </c>
      <c r="E6304">
        <v>8</v>
      </c>
      <c r="F6304" s="3">
        <f ca="1">40557+(RANDBETWEEN(1,10))</f>
        <v>40559</v>
      </c>
      <c r="G6304" t="s">
        <v>26</v>
      </c>
      <c r="H6304" t="s">
        <v>96</v>
      </c>
      <c r="I6304" t="s">
        <v>52</v>
      </c>
      <c r="J6304">
        <v>49.63</v>
      </c>
      <c r="K6304">
        <v>0.04</v>
      </c>
      <c r="L6304">
        <v>0.35</v>
      </c>
      <c r="M6304">
        <v>3.5</v>
      </c>
      <c r="N6304">
        <v>7.2351999999999999</v>
      </c>
      <c r="O6304" s="1" t="s">
        <v>29</v>
      </c>
      <c r="P6304" s="1" t="s">
        <v>12866</v>
      </c>
      <c r="Q6304" s="1" t="s">
        <v>12867</v>
      </c>
      <c r="R6304" s="1" t="s">
        <v>460</v>
      </c>
      <c r="S6304" s="1" t="s">
        <v>12868</v>
      </c>
      <c r="T6304" s="1" t="s">
        <v>12869</v>
      </c>
      <c r="U6304" s="2" t="s">
        <v>6252</v>
      </c>
      <c r="V6304" s="2" t="s">
        <v>47</v>
      </c>
      <c r="W6304" s="2" t="s">
        <v>104</v>
      </c>
      <c r="X6304" s="2">
        <v>5.88</v>
      </c>
    </row>
    <row r="6305" spans="1:24" x14ac:dyDescent="0.3">
      <c r="A6305">
        <v>24124</v>
      </c>
      <c r="B6305" t="s">
        <v>12870</v>
      </c>
      <c r="C6305" s="3">
        <v>41522</v>
      </c>
      <c r="D6305" t="s">
        <v>62</v>
      </c>
      <c r="E6305">
        <v>17</v>
      </c>
      <c r="F6305" s="3">
        <f ca="1">41524+(RANDBETWEEN(1,10))</f>
        <v>41529</v>
      </c>
      <c r="G6305" t="s">
        <v>76</v>
      </c>
      <c r="H6305" t="s">
        <v>77</v>
      </c>
      <c r="I6305" t="s">
        <v>97</v>
      </c>
      <c r="J6305">
        <v>21944.264999999999</v>
      </c>
      <c r="K6305">
        <v>0.03</v>
      </c>
      <c r="L6305">
        <v>0.55000000000000004</v>
      </c>
      <c r="M6305">
        <v>206.5</v>
      </c>
      <c r="N6305">
        <v>-12.494999999999999</v>
      </c>
      <c r="O6305" s="1" t="s">
        <v>87</v>
      </c>
      <c r="P6305" s="1" t="s">
        <v>12012</v>
      </c>
      <c r="Q6305" s="1" t="s">
        <v>12013</v>
      </c>
      <c r="R6305" s="1" t="s">
        <v>646</v>
      </c>
      <c r="S6305" s="1" t="s">
        <v>12014</v>
      </c>
      <c r="T6305" s="1" t="s">
        <v>12015</v>
      </c>
      <c r="U6305" s="2" t="s">
        <v>3927</v>
      </c>
      <c r="V6305" s="2" t="s">
        <v>83</v>
      </c>
      <c r="W6305" s="2" t="s">
        <v>84</v>
      </c>
      <c r="X6305" s="2">
        <v>1228.4649999999999</v>
      </c>
    </row>
    <row r="6306" spans="1:24" x14ac:dyDescent="0.3">
      <c r="A6306">
        <v>24125</v>
      </c>
      <c r="B6306" t="s">
        <v>12871</v>
      </c>
      <c r="C6306" s="3">
        <v>41736</v>
      </c>
      <c r="D6306" t="s">
        <v>39</v>
      </c>
      <c r="E6306">
        <v>5</v>
      </c>
      <c r="F6306" s="3">
        <f ca="1">41739+(RANDBETWEEN(1,10))</f>
        <v>41744</v>
      </c>
      <c r="G6306" t="s">
        <v>26</v>
      </c>
      <c r="H6306" t="s">
        <v>27</v>
      </c>
      <c r="I6306" t="s">
        <v>28</v>
      </c>
      <c r="J6306">
        <v>436.83499999999998</v>
      </c>
      <c r="K6306">
        <v>0.04</v>
      </c>
      <c r="L6306">
        <v>0.35</v>
      </c>
      <c r="M6306">
        <v>23.484999999999999</v>
      </c>
      <c r="N6306">
        <v>301.41615000000002</v>
      </c>
      <c r="O6306" s="1" t="s">
        <v>225</v>
      </c>
      <c r="P6306" s="1" t="s">
        <v>12872</v>
      </c>
      <c r="Q6306" s="1" t="s">
        <v>12873</v>
      </c>
      <c r="R6306" s="1" t="s">
        <v>228</v>
      </c>
      <c r="S6306" s="1" t="s">
        <v>12874</v>
      </c>
      <c r="T6306" s="1" t="s">
        <v>12875</v>
      </c>
      <c r="U6306" s="2" t="s">
        <v>5144</v>
      </c>
      <c r="V6306" s="2" t="s">
        <v>47</v>
      </c>
      <c r="W6306" s="2" t="s">
        <v>48</v>
      </c>
      <c r="X6306" s="2">
        <v>83.965000000000003</v>
      </c>
    </row>
    <row r="6307" spans="1:24" x14ac:dyDescent="0.3">
      <c r="A6307">
        <v>24126</v>
      </c>
      <c r="B6307" t="s">
        <v>12876</v>
      </c>
      <c r="C6307" s="3">
        <v>40977</v>
      </c>
      <c r="D6307" t="s">
        <v>62</v>
      </c>
      <c r="E6307">
        <v>1</v>
      </c>
      <c r="F6307" s="3">
        <f ca="1">40980+(RANDBETWEEN(1,10))</f>
        <v>40984</v>
      </c>
      <c r="G6307" t="s">
        <v>26</v>
      </c>
      <c r="H6307" t="s">
        <v>27</v>
      </c>
      <c r="I6307" t="s">
        <v>86</v>
      </c>
      <c r="J6307">
        <v>27.265000000000001</v>
      </c>
      <c r="K6307">
        <v>0.08</v>
      </c>
      <c r="L6307">
        <v>0.37</v>
      </c>
      <c r="M6307">
        <v>17.989999999999998</v>
      </c>
      <c r="N6307">
        <v>-42.664999999999999</v>
      </c>
      <c r="O6307" s="1" t="s">
        <v>64</v>
      </c>
      <c r="P6307" s="1" t="s">
        <v>12877</v>
      </c>
      <c r="Q6307" s="1" t="s">
        <v>12878</v>
      </c>
      <c r="R6307" s="1" t="s">
        <v>67</v>
      </c>
      <c r="S6307" s="1" t="s">
        <v>12879</v>
      </c>
      <c r="T6307" s="1" t="s">
        <v>12880</v>
      </c>
      <c r="U6307" s="2" t="s">
        <v>146</v>
      </c>
      <c r="V6307" s="2" t="s">
        <v>47</v>
      </c>
      <c r="W6307" s="2" t="s">
        <v>74</v>
      </c>
      <c r="X6307" s="2">
        <v>22.68</v>
      </c>
    </row>
    <row r="6308" spans="1:24" x14ac:dyDescent="0.3">
      <c r="A6308">
        <v>24127</v>
      </c>
      <c r="B6308" t="s">
        <v>12876</v>
      </c>
      <c r="C6308" s="3">
        <v>40977</v>
      </c>
      <c r="D6308" t="s">
        <v>62</v>
      </c>
      <c r="E6308">
        <v>4</v>
      </c>
      <c r="F6308" s="3">
        <f ca="1">40978+(RANDBETWEEN(1,10))</f>
        <v>40987</v>
      </c>
      <c r="G6308" t="s">
        <v>156</v>
      </c>
      <c r="H6308" t="s">
        <v>51</v>
      </c>
      <c r="I6308" t="s">
        <v>86</v>
      </c>
      <c r="J6308">
        <v>121.94</v>
      </c>
      <c r="K6308">
        <v>0.04</v>
      </c>
      <c r="L6308">
        <v>0.59</v>
      </c>
      <c r="M6308">
        <v>9.24</v>
      </c>
      <c r="N6308">
        <v>6.02</v>
      </c>
      <c r="O6308" s="1" t="s">
        <v>64</v>
      </c>
      <c r="P6308" s="1" t="s">
        <v>12877</v>
      </c>
      <c r="Q6308" s="1" t="s">
        <v>12878</v>
      </c>
      <c r="R6308" s="1" t="s">
        <v>67</v>
      </c>
      <c r="S6308" s="1" t="s">
        <v>12879</v>
      </c>
      <c r="T6308" s="1" t="s">
        <v>12880</v>
      </c>
      <c r="U6308" s="2" t="s">
        <v>6942</v>
      </c>
      <c r="V6308" s="2" t="s">
        <v>47</v>
      </c>
      <c r="W6308" s="2" t="s">
        <v>94</v>
      </c>
      <c r="X6308" s="2">
        <v>29.19</v>
      </c>
    </row>
    <row r="6309" spans="1:24" x14ac:dyDescent="0.3">
      <c r="A6309">
        <v>24128</v>
      </c>
      <c r="B6309" t="s">
        <v>12876</v>
      </c>
      <c r="C6309" s="3">
        <v>40977</v>
      </c>
      <c r="D6309" t="s">
        <v>62</v>
      </c>
      <c r="E6309">
        <v>5</v>
      </c>
      <c r="F6309" s="3">
        <f ca="1">40977+(RANDBETWEEN(1,10))</f>
        <v>40982</v>
      </c>
      <c r="G6309" t="s">
        <v>26</v>
      </c>
      <c r="H6309" t="s">
        <v>63</v>
      </c>
      <c r="I6309" t="s">
        <v>86</v>
      </c>
      <c r="J6309">
        <v>1187.69</v>
      </c>
      <c r="K6309">
        <v>0.01</v>
      </c>
      <c r="L6309">
        <v>0.8</v>
      </c>
      <c r="M6309">
        <v>122.5</v>
      </c>
      <c r="N6309">
        <v>-1640.24</v>
      </c>
      <c r="O6309" s="1" t="s">
        <v>64</v>
      </c>
      <c r="P6309" s="1" t="s">
        <v>12877</v>
      </c>
      <c r="Q6309" s="1" t="s">
        <v>12878</v>
      </c>
      <c r="R6309" s="1" t="s">
        <v>67</v>
      </c>
      <c r="S6309" s="1" t="s">
        <v>12879</v>
      </c>
      <c r="T6309" s="1" t="s">
        <v>12880</v>
      </c>
      <c r="U6309" s="2" t="s">
        <v>3893</v>
      </c>
      <c r="V6309" s="2" t="s">
        <v>47</v>
      </c>
      <c r="W6309" s="2" t="s">
        <v>119</v>
      </c>
      <c r="X6309" s="2">
        <v>226.27500000000001</v>
      </c>
    </row>
    <row r="6310" spans="1:24" x14ac:dyDescent="0.3">
      <c r="A6310">
        <v>24129</v>
      </c>
      <c r="B6310" t="s">
        <v>12881</v>
      </c>
      <c r="C6310" s="3">
        <v>42004</v>
      </c>
      <c r="D6310" t="s">
        <v>148</v>
      </c>
      <c r="E6310">
        <v>20</v>
      </c>
      <c r="F6310" s="3">
        <f ca="1">41641+(RANDBETWEEN(1,10))</f>
        <v>41644</v>
      </c>
      <c r="G6310" t="s">
        <v>26</v>
      </c>
      <c r="H6310" t="s">
        <v>27</v>
      </c>
      <c r="I6310" t="s">
        <v>86</v>
      </c>
      <c r="J6310">
        <v>11762.59</v>
      </c>
      <c r="K6310">
        <v>0.03</v>
      </c>
      <c r="L6310">
        <v>0.39</v>
      </c>
      <c r="M6310">
        <v>69.965000000000003</v>
      </c>
      <c r="N6310">
        <v>8116.1871000000001</v>
      </c>
      <c r="O6310" s="1" t="s">
        <v>29</v>
      </c>
      <c r="P6310" s="1" t="s">
        <v>10835</v>
      </c>
      <c r="Q6310" s="1" t="s">
        <v>10836</v>
      </c>
      <c r="R6310" s="1" t="s">
        <v>460</v>
      </c>
      <c r="S6310" s="1" t="s">
        <v>3781</v>
      </c>
      <c r="T6310" s="1" t="s">
        <v>10837</v>
      </c>
      <c r="U6310" s="2" t="s">
        <v>2128</v>
      </c>
      <c r="V6310" s="2" t="s">
        <v>47</v>
      </c>
      <c r="W6310" s="2" t="s">
        <v>48</v>
      </c>
      <c r="X6310" s="2">
        <v>570.255</v>
      </c>
    </row>
    <row r="6311" spans="1:24" x14ac:dyDescent="0.3">
      <c r="A6311">
        <v>24130</v>
      </c>
      <c r="B6311" t="s">
        <v>12882</v>
      </c>
      <c r="C6311" s="3">
        <v>41406</v>
      </c>
      <c r="D6311" t="s">
        <v>62</v>
      </c>
      <c r="E6311">
        <v>14</v>
      </c>
      <c r="F6311" s="3">
        <f ca="1">41407+(RANDBETWEEN(1,10))</f>
        <v>41416</v>
      </c>
      <c r="G6311" t="s">
        <v>76</v>
      </c>
      <c r="H6311" t="s">
        <v>77</v>
      </c>
      <c r="I6311" t="s">
        <v>28</v>
      </c>
      <c r="J6311">
        <v>2982.42</v>
      </c>
      <c r="K6311">
        <v>0.08</v>
      </c>
      <c r="L6311">
        <v>0.56000000000000005</v>
      </c>
      <c r="M6311">
        <v>113.435</v>
      </c>
      <c r="N6311">
        <v>-1117.4100000000001</v>
      </c>
      <c r="O6311" s="1" t="s">
        <v>40</v>
      </c>
      <c r="P6311" s="1" t="s">
        <v>12883</v>
      </c>
      <c r="Q6311" s="1" t="s">
        <v>12884</v>
      </c>
      <c r="R6311" s="1" t="s">
        <v>43</v>
      </c>
      <c r="S6311" s="1" t="s">
        <v>2753</v>
      </c>
      <c r="T6311" s="1" t="s">
        <v>2754</v>
      </c>
      <c r="U6311" s="2" t="s">
        <v>1410</v>
      </c>
      <c r="V6311" s="2" t="s">
        <v>83</v>
      </c>
      <c r="W6311" s="2" t="s">
        <v>84</v>
      </c>
      <c r="X6311" s="2">
        <v>213.11500000000001</v>
      </c>
    </row>
    <row r="6312" spans="1:24" x14ac:dyDescent="0.3">
      <c r="A6312">
        <v>24131</v>
      </c>
      <c r="B6312" t="s">
        <v>12885</v>
      </c>
      <c r="C6312" s="3">
        <v>41388</v>
      </c>
      <c r="D6312" t="s">
        <v>50</v>
      </c>
      <c r="E6312">
        <v>3</v>
      </c>
      <c r="F6312" s="3">
        <f ca="1">41389+(RANDBETWEEN(1,10))</f>
        <v>41393</v>
      </c>
      <c r="G6312" t="s">
        <v>76</v>
      </c>
      <c r="H6312" t="s">
        <v>77</v>
      </c>
      <c r="I6312" t="s">
        <v>28</v>
      </c>
      <c r="J6312">
        <v>1680.91</v>
      </c>
      <c r="K6312">
        <v>7.0000000000000007E-2</v>
      </c>
      <c r="L6312">
        <v>0.55000000000000004</v>
      </c>
      <c r="M6312">
        <v>210</v>
      </c>
      <c r="N6312">
        <v>262.12200000000001</v>
      </c>
      <c r="O6312" s="1" t="s">
        <v>29</v>
      </c>
      <c r="P6312" s="1" t="s">
        <v>12886</v>
      </c>
      <c r="Q6312" s="1" t="s">
        <v>12887</v>
      </c>
      <c r="R6312" s="1" t="s">
        <v>460</v>
      </c>
      <c r="S6312" s="1" t="s">
        <v>461</v>
      </c>
      <c r="T6312" s="1" t="s">
        <v>462</v>
      </c>
      <c r="U6312" s="2" t="s">
        <v>1963</v>
      </c>
      <c r="V6312" s="2" t="s">
        <v>83</v>
      </c>
      <c r="W6312" s="2" t="s">
        <v>263</v>
      </c>
      <c r="X6312" s="2">
        <v>557.58500000000004</v>
      </c>
    </row>
    <row r="6313" spans="1:24" x14ac:dyDescent="0.3">
      <c r="A6313">
        <v>24132</v>
      </c>
      <c r="B6313" t="s">
        <v>12888</v>
      </c>
      <c r="C6313" s="3">
        <v>40754</v>
      </c>
      <c r="D6313" t="s">
        <v>39</v>
      </c>
      <c r="E6313">
        <v>11</v>
      </c>
      <c r="F6313" s="3">
        <f ca="1">40755+(RANDBETWEEN(1,10))</f>
        <v>40759</v>
      </c>
      <c r="G6313" t="s">
        <v>26</v>
      </c>
      <c r="H6313" t="s">
        <v>96</v>
      </c>
      <c r="I6313" t="s">
        <v>28</v>
      </c>
      <c r="J6313">
        <v>65.625</v>
      </c>
      <c r="K6313">
        <v>0.05</v>
      </c>
      <c r="L6313">
        <v>0.59</v>
      </c>
      <c r="M6313">
        <v>5.4950000000000001</v>
      </c>
      <c r="N6313">
        <v>-116.69</v>
      </c>
      <c r="O6313" s="1" t="s">
        <v>29</v>
      </c>
      <c r="P6313" s="1" t="s">
        <v>11237</v>
      </c>
      <c r="Q6313" s="1" t="s">
        <v>11238</v>
      </c>
      <c r="R6313" s="1" t="s">
        <v>32</v>
      </c>
      <c r="S6313" s="1" t="s">
        <v>11239</v>
      </c>
      <c r="T6313" s="1" t="s">
        <v>11240</v>
      </c>
      <c r="U6313" s="2" t="s">
        <v>2439</v>
      </c>
      <c r="V6313" s="2" t="s">
        <v>47</v>
      </c>
      <c r="W6313" s="2" t="s">
        <v>104</v>
      </c>
      <c r="X6313" s="2">
        <v>5.88</v>
      </c>
    </row>
    <row r="6314" spans="1:24" x14ac:dyDescent="0.3">
      <c r="A6314">
        <v>24133</v>
      </c>
      <c r="B6314" t="s">
        <v>12888</v>
      </c>
      <c r="C6314" s="3">
        <v>40754</v>
      </c>
      <c r="D6314" t="s">
        <v>39</v>
      </c>
      <c r="E6314">
        <v>1</v>
      </c>
      <c r="F6314" s="3">
        <f ca="1">40756+(RANDBETWEEN(1,10))</f>
        <v>40760</v>
      </c>
      <c r="G6314" t="s">
        <v>76</v>
      </c>
      <c r="H6314" t="s">
        <v>258</v>
      </c>
      <c r="I6314" t="s">
        <v>28</v>
      </c>
      <c r="J6314">
        <v>659.78499999999997</v>
      </c>
      <c r="K6314">
        <v>0.1</v>
      </c>
      <c r="L6314">
        <v>0.77</v>
      </c>
      <c r="M6314">
        <v>243.74</v>
      </c>
      <c r="N6314">
        <v>-704.46600000000001</v>
      </c>
      <c r="O6314" s="1" t="s">
        <v>29</v>
      </c>
      <c r="P6314" s="1" t="s">
        <v>11237</v>
      </c>
      <c r="Q6314" s="1" t="s">
        <v>11238</v>
      </c>
      <c r="R6314" s="1" t="s">
        <v>32</v>
      </c>
      <c r="S6314" s="1" t="s">
        <v>11239</v>
      </c>
      <c r="T6314" s="1" t="s">
        <v>11240</v>
      </c>
      <c r="U6314" s="2" t="s">
        <v>1233</v>
      </c>
      <c r="V6314" s="2" t="s">
        <v>83</v>
      </c>
      <c r="W6314" s="2" t="s">
        <v>263</v>
      </c>
      <c r="X6314" s="2">
        <v>765.625</v>
      </c>
    </row>
    <row r="6315" spans="1:24" x14ac:dyDescent="0.3">
      <c r="A6315">
        <v>24134</v>
      </c>
      <c r="B6315" t="s">
        <v>12888</v>
      </c>
      <c r="C6315" s="3">
        <v>40754</v>
      </c>
      <c r="D6315" t="s">
        <v>39</v>
      </c>
      <c r="E6315">
        <v>2</v>
      </c>
      <c r="F6315" s="3">
        <f ca="1">40756+(RANDBETWEEN(1,10))</f>
        <v>40762</v>
      </c>
      <c r="G6315" t="s">
        <v>26</v>
      </c>
      <c r="H6315" t="s">
        <v>96</v>
      </c>
      <c r="I6315" t="s">
        <v>28</v>
      </c>
      <c r="J6315">
        <v>109.13</v>
      </c>
      <c r="K6315">
        <v>0</v>
      </c>
      <c r="L6315">
        <v>0.39</v>
      </c>
      <c r="M6315">
        <v>6.8949999999999996</v>
      </c>
      <c r="N6315">
        <v>75.299700000000001</v>
      </c>
      <c r="O6315" s="1" t="s">
        <v>29</v>
      </c>
      <c r="P6315" s="1" t="s">
        <v>12889</v>
      </c>
      <c r="Q6315" s="1" t="s">
        <v>12890</v>
      </c>
      <c r="R6315" s="1" t="s">
        <v>32</v>
      </c>
      <c r="S6315" s="1" t="s">
        <v>12891</v>
      </c>
      <c r="T6315" s="1" t="s">
        <v>12892</v>
      </c>
      <c r="U6315" s="2" t="s">
        <v>372</v>
      </c>
      <c r="V6315" s="2" t="s">
        <v>47</v>
      </c>
      <c r="W6315" s="2" t="s">
        <v>74</v>
      </c>
      <c r="X6315" s="2">
        <v>52.64</v>
      </c>
    </row>
    <row r="6316" spans="1:24" x14ac:dyDescent="0.3">
      <c r="A6316">
        <v>24135</v>
      </c>
      <c r="B6316" t="s">
        <v>12893</v>
      </c>
      <c r="C6316" s="3">
        <v>41504</v>
      </c>
      <c r="D6316" t="s">
        <v>50</v>
      </c>
      <c r="E6316">
        <v>17</v>
      </c>
      <c r="F6316" s="3">
        <f ca="1">41506+(RANDBETWEEN(1,10))</f>
        <v>41510</v>
      </c>
      <c r="G6316" t="s">
        <v>156</v>
      </c>
      <c r="H6316" t="s">
        <v>27</v>
      </c>
      <c r="I6316" t="s">
        <v>97</v>
      </c>
      <c r="J6316">
        <v>1351.98</v>
      </c>
      <c r="K6316">
        <v>0.04</v>
      </c>
      <c r="L6316">
        <v>0.55000000000000004</v>
      </c>
      <c r="M6316">
        <v>15.75</v>
      </c>
      <c r="N6316">
        <v>745.24659999999994</v>
      </c>
      <c r="O6316" s="1" t="s">
        <v>40</v>
      </c>
      <c r="P6316" s="1" t="s">
        <v>9593</v>
      </c>
      <c r="Q6316" s="1" t="s">
        <v>9594</v>
      </c>
      <c r="R6316" s="1" t="s">
        <v>220</v>
      </c>
      <c r="S6316" s="1" t="s">
        <v>9595</v>
      </c>
      <c r="T6316" s="1" t="s">
        <v>9596</v>
      </c>
      <c r="U6316" s="2" t="s">
        <v>755</v>
      </c>
      <c r="V6316" s="2" t="s">
        <v>47</v>
      </c>
      <c r="W6316" s="2" t="s">
        <v>71</v>
      </c>
      <c r="X6316" s="2">
        <v>80.430000000000007</v>
      </c>
    </row>
    <row r="6317" spans="1:24" x14ac:dyDescent="0.3">
      <c r="A6317">
        <v>24136</v>
      </c>
      <c r="B6317" t="s">
        <v>12894</v>
      </c>
      <c r="C6317" s="3">
        <v>41585</v>
      </c>
      <c r="D6317" t="s">
        <v>62</v>
      </c>
      <c r="E6317">
        <v>22</v>
      </c>
      <c r="F6317" s="3">
        <f ca="1">41586+(RANDBETWEEN(1,10))</f>
        <v>41588</v>
      </c>
      <c r="G6317" t="s">
        <v>26</v>
      </c>
      <c r="H6317" t="s">
        <v>63</v>
      </c>
      <c r="I6317" t="s">
        <v>52</v>
      </c>
      <c r="J6317">
        <v>41182.785000000003</v>
      </c>
      <c r="K6317">
        <v>0.05</v>
      </c>
      <c r="L6317">
        <v>0.37</v>
      </c>
      <c r="M6317">
        <v>85.715000000000003</v>
      </c>
      <c r="N6317">
        <v>28416.121650000001</v>
      </c>
      <c r="O6317" s="1" t="s">
        <v>225</v>
      </c>
      <c r="P6317" s="1" t="s">
        <v>12032</v>
      </c>
      <c r="Q6317" s="1" t="s">
        <v>12033</v>
      </c>
      <c r="R6317" s="1" t="s">
        <v>228</v>
      </c>
      <c r="S6317" s="1" t="s">
        <v>12034</v>
      </c>
      <c r="T6317" s="1" t="s">
        <v>12035</v>
      </c>
      <c r="U6317" s="2" t="s">
        <v>4658</v>
      </c>
      <c r="V6317" s="2" t="s">
        <v>36</v>
      </c>
      <c r="W6317" s="2" t="s">
        <v>142</v>
      </c>
      <c r="X6317" s="2">
        <v>2011.59</v>
      </c>
    </row>
    <row r="6318" spans="1:24" x14ac:dyDescent="0.3">
      <c r="A6318">
        <v>24137</v>
      </c>
      <c r="B6318" t="s">
        <v>12895</v>
      </c>
      <c r="C6318" s="3">
        <v>41801</v>
      </c>
      <c r="D6318" t="s">
        <v>148</v>
      </c>
      <c r="E6318">
        <v>1</v>
      </c>
      <c r="F6318" s="3">
        <f ca="1">41802+(RANDBETWEEN(1,10))</f>
        <v>41810</v>
      </c>
      <c r="G6318" t="s">
        <v>26</v>
      </c>
      <c r="H6318" t="s">
        <v>27</v>
      </c>
      <c r="I6318" t="s">
        <v>28</v>
      </c>
      <c r="J6318">
        <v>43.924999999999997</v>
      </c>
      <c r="K6318">
        <v>7.0000000000000007E-2</v>
      </c>
      <c r="L6318">
        <v>0.4</v>
      </c>
      <c r="M6318">
        <v>31.29</v>
      </c>
      <c r="N6318">
        <v>-49.265999999999998</v>
      </c>
      <c r="O6318" s="1" t="s">
        <v>64</v>
      </c>
      <c r="P6318" s="1" t="s">
        <v>12896</v>
      </c>
      <c r="Q6318" s="1" t="s">
        <v>12897</v>
      </c>
      <c r="R6318" s="1" t="s">
        <v>128</v>
      </c>
      <c r="S6318" s="1" t="s">
        <v>12898</v>
      </c>
      <c r="T6318" s="1" t="s">
        <v>12899</v>
      </c>
      <c r="U6318" s="2" t="s">
        <v>2966</v>
      </c>
      <c r="V6318" s="2" t="s">
        <v>47</v>
      </c>
      <c r="W6318" s="2" t="s">
        <v>111</v>
      </c>
      <c r="X6318" s="2">
        <v>28.14</v>
      </c>
    </row>
    <row r="6319" spans="1:24" x14ac:dyDescent="0.3">
      <c r="A6319">
        <v>24138</v>
      </c>
      <c r="B6319" t="s">
        <v>12900</v>
      </c>
      <c r="C6319" s="3">
        <v>41808</v>
      </c>
      <c r="D6319" t="s">
        <v>62</v>
      </c>
      <c r="E6319">
        <v>17</v>
      </c>
      <c r="F6319" s="3">
        <f ca="1">41809+(RANDBETWEEN(1,10))</f>
        <v>41816</v>
      </c>
      <c r="G6319" t="s">
        <v>26</v>
      </c>
      <c r="H6319" t="s">
        <v>27</v>
      </c>
      <c r="I6319" t="s">
        <v>97</v>
      </c>
      <c r="J6319">
        <v>2737.2449999999999</v>
      </c>
      <c r="K6319">
        <v>0.08</v>
      </c>
      <c r="L6319">
        <v>0.59</v>
      </c>
      <c r="M6319">
        <v>15.75</v>
      </c>
      <c r="N6319">
        <v>1888.6990499999999</v>
      </c>
      <c r="O6319" s="1" t="s">
        <v>29</v>
      </c>
      <c r="P6319" s="1" t="s">
        <v>11831</v>
      </c>
      <c r="Q6319" s="1" t="s">
        <v>11832</v>
      </c>
      <c r="R6319" s="1" t="s">
        <v>32</v>
      </c>
      <c r="S6319" s="1" t="s">
        <v>11833</v>
      </c>
      <c r="T6319" s="1" t="s">
        <v>11834</v>
      </c>
      <c r="U6319" s="2" t="s">
        <v>4713</v>
      </c>
      <c r="V6319" s="2" t="s">
        <v>47</v>
      </c>
      <c r="W6319" s="2" t="s">
        <v>71</v>
      </c>
      <c r="X6319" s="2">
        <v>171.22</v>
      </c>
    </row>
    <row r="6320" spans="1:24" x14ac:dyDescent="0.3">
      <c r="A6320">
        <v>24139</v>
      </c>
      <c r="B6320" t="s">
        <v>12900</v>
      </c>
      <c r="C6320" s="3">
        <v>41808</v>
      </c>
      <c r="D6320" t="s">
        <v>62</v>
      </c>
      <c r="E6320">
        <v>17</v>
      </c>
      <c r="F6320" s="3">
        <f ca="1">41809+(RANDBETWEEN(1,10))</f>
        <v>41818</v>
      </c>
      <c r="G6320" t="s">
        <v>26</v>
      </c>
      <c r="H6320" t="s">
        <v>27</v>
      </c>
      <c r="I6320" t="s">
        <v>97</v>
      </c>
      <c r="J6320">
        <v>991.27</v>
      </c>
      <c r="K6320">
        <v>0</v>
      </c>
      <c r="L6320">
        <v>0.38</v>
      </c>
      <c r="M6320">
        <v>4.8650000000000002</v>
      </c>
      <c r="N6320">
        <v>683.97630000000004</v>
      </c>
      <c r="O6320" s="1" t="s">
        <v>29</v>
      </c>
      <c r="P6320" s="1" t="s">
        <v>11831</v>
      </c>
      <c r="Q6320" s="1" t="s">
        <v>11832</v>
      </c>
      <c r="R6320" s="1" t="s">
        <v>32</v>
      </c>
      <c r="S6320" s="1" t="s">
        <v>11833</v>
      </c>
      <c r="T6320" s="1" t="s">
        <v>11834</v>
      </c>
      <c r="U6320" s="2" t="s">
        <v>2327</v>
      </c>
      <c r="V6320" s="2" t="s">
        <v>47</v>
      </c>
      <c r="W6320" s="2" t="s">
        <v>48</v>
      </c>
      <c r="X6320" s="2">
        <v>54.494999999999997</v>
      </c>
    </row>
    <row r="6321" spans="1:24" x14ac:dyDescent="0.3">
      <c r="A6321">
        <v>24140</v>
      </c>
      <c r="B6321" t="s">
        <v>12900</v>
      </c>
      <c r="C6321" s="3">
        <v>41808</v>
      </c>
      <c r="D6321" t="s">
        <v>62</v>
      </c>
      <c r="E6321">
        <v>11</v>
      </c>
      <c r="F6321" s="3">
        <f ca="1">41809+(RANDBETWEEN(1,10))</f>
        <v>41816</v>
      </c>
      <c r="G6321" t="s">
        <v>26</v>
      </c>
      <c r="H6321" t="s">
        <v>51</v>
      </c>
      <c r="I6321" t="s">
        <v>97</v>
      </c>
      <c r="J6321">
        <v>752.57</v>
      </c>
      <c r="K6321">
        <v>0.1</v>
      </c>
      <c r="L6321">
        <v>0.49</v>
      </c>
      <c r="M6321">
        <v>23.344999999999999</v>
      </c>
      <c r="N6321">
        <v>178.03800000000001</v>
      </c>
      <c r="O6321" s="1" t="s">
        <v>29</v>
      </c>
      <c r="P6321" s="1" t="s">
        <v>11831</v>
      </c>
      <c r="Q6321" s="1" t="s">
        <v>11832</v>
      </c>
      <c r="R6321" s="1" t="s">
        <v>32</v>
      </c>
      <c r="S6321" s="1" t="s">
        <v>11833</v>
      </c>
      <c r="T6321" s="1" t="s">
        <v>11834</v>
      </c>
      <c r="U6321" s="2" t="s">
        <v>2831</v>
      </c>
      <c r="V6321" s="2" t="s">
        <v>83</v>
      </c>
      <c r="W6321" s="2" t="s">
        <v>178</v>
      </c>
      <c r="X6321" s="2">
        <v>70.84</v>
      </c>
    </row>
    <row r="6322" spans="1:24" x14ac:dyDescent="0.3">
      <c r="A6322">
        <v>24141</v>
      </c>
      <c r="B6322" t="s">
        <v>12900</v>
      </c>
      <c r="C6322" s="3">
        <v>41808</v>
      </c>
      <c r="D6322" t="s">
        <v>62</v>
      </c>
      <c r="E6322">
        <v>5</v>
      </c>
      <c r="F6322" s="3">
        <f ca="1">41810+(RANDBETWEEN(1,10))</f>
        <v>41811</v>
      </c>
      <c r="G6322" t="s">
        <v>26</v>
      </c>
      <c r="H6322" t="s">
        <v>27</v>
      </c>
      <c r="I6322" t="s">
        <v>97</v>
      </c>
      <c r="J6322">
        <v>259.07</v>
      </c>
      <c r="K6322">
        <v>0.05</v>
      </c>
      <c r="L6322">
        <v>0.38</v>
      </c>
      <c r="M6322">
        <v>22.61</v>
      </c>
      <c r="N6322">
        <v>28.4529</v>
      </c>
      <c r="O6322" s="1" t="s">
        <v>53</v>
      </c>
      <c r="P6322" s="1" t="s">
        <v>12901</v>
      </c>
      <c r="Q6322" s="1" t="s">
        <v>12902</v>
      </c>
      <c r="R6322" s="1" t="s">
        <v>56</v>
      </c>
      <c r="S6322" s="1" t="s">
        <v>12903</v>
      </c>
      <c r="T6322" s="1" t="s">
        <v>12904</v>
      </c>
      <c r="U6322" s="2" t="s">
        <v>1867</v>
      </c>
      <c r="V6322" s="2" t="s">
        <v>47</v>
      </c>
      <c r="W6322" s="2" t="s">
        <v>111</v>
      </c>
      <c r="X6322" s="2">
        <v>50.68</v>
      </c>
    </row>
    <row r="6323" spans="1:24" x14ac:dyDescent="0.3">
      <c r="A6323">
        <v>24142</v>
      </c>
      <c r="B6323" t="s">
        <v>12900</v>
      </c>
      <c r="C6323" s="3">
        <v>41808</v>
      </c>
      <c r="D6323" t="s">
        <v>62</v>
      </c>
      <c r="E6323">
        <v>1</v>
      </c>
      <c r="F6323" s="3">
        <f ca="1">41810+(RANDBETWEEN(1,10))</f>
        <v>41811</v>
      </c>
      <c r="G6323" t="s">
        <v>26</v>
      </c>
      <c r="H6323" t="s">
        <v>63</v>
      </c>
      <c r="I6323" t="s">
        <v>97</v>
      </c>
      <c r="J6323">
        <v>1510.075</v>
      </c>
      <c r="K6323">
        <v>0.06</v>
      </c>
      <c r="L6323">
        <v>0.4</v>
      </c>
      <c r="M6323">
        <v>85.715000000000003</v>
      </c>
      <c r="N6323">
        <v>-4393.3680000000004</v>
      </c>
      <c r="O6323" s="1" t="s">
        <v>53</v>
      </c>
      <c r="P6323" s="1" t="s">
        <v>12901</v>
      </c>
      <c r="Q6323" s="1" t="s">
        <v>12902</v>
      </c>
      <c r="R6323" s="1" t="s">
        <v>56</v>
      </c>
      <c r="S6323" s="1" t="s">
        <v>12903</v>
      </c>
      <c r="T6323" s="1" t="s">
        <v>12904</v>
      </c>
      <c r="U6323" s="2" t="s">
        <v>12905</v>
      </c>
      <c r="V6323" s="2" t="s">
        <v>36</v>
      </c>
      <c r="W6323" s="2" t="s">
        <v>1327</v>
      </c>
      <c r="X6323" s="2">
        <v>1574.9649999999999</v>
      </c>
    </row>
    <row r="6324" spans="1:24" x14ac:dyDescent="0.3">
      <c r="A6324">
        <v>24143</v>
      </c>
      <c r="B6324" t="s">
        <v>12906</v>
      </c>
      <c r="C6324" s="3">
        <v>41769</v>
      </c>
      <c r="D6324" t="s">
        <v>39</v>
      </c>
      <c r="E6324">
        <v>7</v>
      </c>
      <c r="F6324" s="3">
        <f ca="1">41770+(RANDBETWEEN(1,10))</f>
        <v>41773</v>
      </c>
      <c r="G6324" t="s">
        <v>26</v>
      </c>
      <c r="H6324" t="s">
        <v>27</v>
      </c>
      <c r="I6324" t="s">
        <v>28</v>
      </c>
      <c r="J6324">
        <v>169.85499999999999</v>
      </c>
      <c r="K6324">
        <v>0.03</v>
      </c>
      <c r="L6324">
        <v>0.37</v>
      </c>
      <c r="M6324">
        <v>20.79</v>
      </c>
      <c r="N6324">
        <v>1700.4445499999999</v>
      </c>
      <c r="O6324" s="1" t="s">
        <v>29</v>
      </c>
      <c r="P6324" s="1" t="s">
        <v>10221</v>
      </c>
      <c r="Q6324" s="1" t="s">
        <v>10222</v>
      </c>
      <c r="R6324" s="1" t="s">
        <v>32</v>
      </c>
      <c r="S6324" s="1" t="s">
        <v>10223</v>
      </c>
      <c r="T6324" s="1" t="s">
        <v>10224</v>
      </c>
      <c r="U6324" s="2" t="s">
        <v>3813</v>
      </c>
      <c r="V6324" s="2" t="s">
        <v>47</v>
      </c>
      <c r="W6324" s="2" t="s">
        <v>74</v>
      </c>
      <c r="X6324" s="2">
        <v>22.68</v>
      </c>
    </row>
    <row r="6325" spans="1:24" x14ac:dyDescent="0.3">
      <c r="A6325">
        <v>24144</v>
      </c>
      <c r="B6325" t="s">
        <v>12906</v>
      </c>
      <c r="C6325" s="3">
        <v>41769</v>
      </c>
      <c r="D6325" t="s">
        <v>39</v>
      </c>
      <c r="E6325">
        <v>5</v>
      </c>
      <c r="F6325" s="3">
        <f ca="1">41771+(RANDBETWEEN(1,10))</f>
        <v>41773</v>
      </c>
      <c r="G6325" t="s">
        <v>26</v>
      </c>
      <c r="H6325" t="s">
        <v>27</v>
      </c>
      <c r="I6325" t="s">
        <v>28</v>
      </c>
      <c r="J6325">
        <v>89.495000000000005</v>
      </c>
      <c r="K6325">
        <v>0.05</v>
      </c>
      <c r="L6325">
        <v>0.38</v>
      </c>
      <c r="M6325">
        <v>16.45</v>
      </c>
      <c r="N6325">
        <v>-175.17500000000001</v>
      </c>
      <c r="O6325" s="1" t="s">
        <v>29</v>
      </c>
      <c r="P6325" s="1" t="s">
        <v>10221</v>
      </c>
      <c r="Q6325" s="1" t="s">
        <v>10222</v>
      </c>
      <c r="R6325" s="1" t="s">
        <v>32</v>
      </c>
      <c r="S6325" s="1" t="s">
        <v>10223</v>
      </c>
      <c r="T6325" s="1" t="s">
        <v>10224</v>
      </c>
      <c r="U6325" s="2" t="s">
        <v>5182</v>
      </c>
      <c r="V6325" s="2" t="s">
        <v>47</v>
      </c>
      <c r="W6325" s="2" t="s">
        <v>74</v>
      </c>
      <c r="X6325" s="2">
        <v>17.43</v>
      </c>
    </row>
    <row r="6326" spans="1:24" x14ac:dyDescent="0.3">
      <c r="A6326">
        <v>24145</v>
      </c>
      <c r="B6326" t="s">
        <v>12906</v>
      </c>
      <c r="C6326" s="3">
        <v>41769</v>
      </c>
      <c r="D6326" t="s">
        <v>39</v>
      </c>
      <c r="E6326">
        <v>12</v>
      </c>
      <c r="F6326" s="3">
        <f ca="1">41772+(RANDBETWEEN(1,10))</f>
        <v>41776</v>
      </c>
      <c r="G6326" t="s">
        <v>26</v>
      </c>
      <c r="H6326" t="s">
        <v>51</v>
      </c>
      <c r="I6326" t="s">
        <v>28</v>
      </c>
      <c r="J6326">
        <v>1929.7249999999999</v>
      </c>
      <c r="K6326">
        <v>0.1</v>
      </c>
      <c r="L6326">
        <v>0.83</v>
      </c>
      <c r="M6326">
        <v>17.5</v>
      </c>
      <c r="N6326">
        <v>-598.38800000000003</v>
      </c>
      <c r="O6326" s="1" t="s">
        <v>29</v>
      </c>
      <c r="P6326" s="1" t="s">
        <v>10221</v>
      </c>
      <c r="Q6326" s="1" t="s">
        <v>10222</v>
      </c>
      <c r="R6326" s="1" t="s">
        <v>32</v>
      </c>
      <c r="S6326" s="1" t="s">
        <v>10223</v>
      </c>
      <c r="T6326" s="1" t="s">
        <v>10224</v>
      </c>
      <c r="U6326" s="2" t="s">
        <v>4376</v>
      </c>
      <c r="V6326" s="2" t="s">
        <v>36</v>
      </c>
      <c r="W6326" s="2" t="s">
        <v>37</v>
      </c>
      <c r="X6326" s="2">
        <v>195.965</v>
      </c>
    </row>
    <row r="6327" spans="1:24" x14ac:dyDescent="0.3">
      <c r="A6327">
        <v>24146</v>
      </c>
      <c r="B6327" t="s">
        <v>12907</v>
      </c>
      <c r="C6327" s="3">
        <v>41642</v>
      </c>
      <c r="D6327" t="s">
        <v>148</v>
      </c>
      <c r="E6327">
        <v>1</v>
      </c>
      <c r="F6327" s="3">
        <f ca="1">41643+(RANDBETWEEN(1,10))</f>
        <v>41647</v>
      </c>
      <c r="G6327" t="s">
        <v>26</v>
      </c>
      <c r="H6327" t="s">
        <v>281</v>
      </c>
      <c r="I6327" t="s">
        <v>52</v>
      </c>
      <c r="J6327">
        <v>6419.49</v>
      </c>
      <c r="K6327">
        <v>0.09</v>
      </c>
      <c r="L6327">
        <v>0.38</v>
      </c>
      <c r="M6327">
        <v>48.965000000000003</v>
      </c>
      <c r="N6327">
        <v>-21086.634743999999</v>
      </c>
      <c r="O6327" s="1" t="s">
        <v>87</v>
      </c>
      <c r="P6327" s="1" t="s">
        <v>6029</v>
      </c>
      <c r="Q6327" s="1" t="s">
        <v>6030</v>
      </c>
      <c r="R6327" s="1" t="s">
        <v>497</v>
      </c>
      <c r="S6327" s="1" t="s">
        <v>1859</v>
      </c>
      <c r="T6327" s="1" t="s">
        <v>1860</v>
      </c>
      <c r="U6327" s="2" t="s">
        <v>5558</v>
      </c>
      <c r="V6327" s="2" t="s">
        <v>36</v>
      </c>
      <c r="W6327" s="2" t="s">
        <v>142</v>
      </c>
      <c r="X6327" s="2">
        <v>6783.07</v>
      </c>
    </row>
    <row r="6328" spans="1:24" x14ac:dyDescent="0.3">
      <c r="A6328">
        <v>24147</v>
      </c>
      <c r="B6328" t="s">
        <v>12908</v>
      </c>
      <c r="C6328" s="3">
        <v>41782</v>
      </c>
      <c r="D6328" t="s">
        <v>148</v>
      </c>
      <c r="E6328">
        <v>16</v>
      </c>
      <c r="F6328" s="3">
        <f ca="1">41784+(RANDBETWEEN(1,10))</f>
        <v>41794</v>
      </c>
      <c r="G6328" t="s">
        <v>26</v>
      </c>
      <c r="H6328" t="s">
        <v>27</v>
      </c>
      <c r="I6328" t="s">
        <v>86</v>
      </c>
      <c r="J6328">
        <v>330.82</v>
      </c>
      <c r="K6328">
        <v>0.04</v>
      </c>
      <c r="L6328">
        <v>0.36</v>
      </c>
      <c r="M6328">
        <v>19.11</v>
      </c>
      <c r="N6328">
        <v>-340.30500000000001</v>
      </c>
      <c r="O6328" s="1" t="s">
        <v>64</v>
      </c>
      <c r="P6328" s="1" t="s">
        <v>9177</v>
      </c>
      <c r="Q6328" s="1" t="s">
        <v>9178</v>
      </c>
      <c r="R6328" s="1" t="s">
        <v>67</v>
      </c>
      <c r="S6328" s="1" t="s">
        <v>1022</v>
      </c>
      <c r="T6328" s="1" t="s">
        <v>9179</v>
      </c>
      <c r="U6328" s="2" t="s">
        <v>7070</v>
      </c>
      <c r="V6328" s="2" t="s">
        <v>47</v>
      </c>
      <c r="W6328" s="2" t="s">
        <v>74</v>
      </c>
      <c r="X6328" s="2">
        <v>20.93</v>
      </c>
    </row>
    <row r="6329" spans="1:24" x14ac:dyDescent="0.3">
      <c r="A6329">
        <v>24148</v>
      </c>
      <c r="B6329" t="s">
        <v>12909</v>
      </c>
      <c r="C6329" s="3">
        <v>41055</v>
      </c>
      <c r="D6329" t="s">
        <v>39</v>
      </c>
      <c r="E6329">
        <v>18</v>
      </c>
      <c r="F6329" s="3">
        <f ca="1">41055+(RANDBETWEEN(1,10))</f>
        <v>41061</v>
      </c>
      <c r="G6329" t="s">
        <v>26</v>
      </c>
      <c r="H6329" t="s">
        <v>27</v>
      </c>
      <c r="I6329" t="s">
        <v>52</v>
      </c>
      <c r="J6329">
        <v>721.35</v>
      </c>
      <c r="K6329">
        <v>7.0000000000000007E-2</v>
      </c>
      <c r="L6329">
        <v>0.35</v>
      </c>
      <c r="M6329">
        <v>24.395</v>
      </c>
      <c r="N6329">
        <v>-7.8049999999999997</v>
      </c>
      <c r="O6329" s="1" t="s">
        <v>40</v>
      </c>
      <c r="P6329" s="1" t="s">
        <v>12247</v>
      </c>
      <c r="Q6329" s="1" t="s">
        <v>12248</v>
      </c>
      <c r="R6329" s="1" t="s">
        <v>220</v>
      </c>
      <c r="S6329" s="1" t="s">
        <v>7326</v>
      </c>
      <c r="T6329" s="1" t="s">
        <v>7327</v>
      </c>
      <c r="U6329" s="2" t="s">
        <v>2886</v>
      </c>
      <c r="V6329" s="2" t="s">
        <v>47</v>
      </c>
      <c r="W6329" s="2" t="s">
        <v>48</v>
      </c>
      <c r="X6329" s="2">
        <v>40.53</v>
      </c>
    </row>
    <row r="6330" spans="1:24" x14ac:dyDescent="0.3">
      <c r="A6330">
        <v>24149</v>
      </c>
      <c r="B6330" t="s">
        <v>12909</v>
      </c>
      <c r="C6330" s="3">
        <v>41055</v>
      </c>
      <c r="D6330" t="s">
        <v>39</v>
      </c>
      <c r="E6330">
        <v>7</v>
      </c>
      <c r="F6330" s="3">
        <f ca="1">41056+(RANDBETWEEN(1,10))</f>
        <v>41058</v>
      </c>
      <c r="G6330" t="s">
        <v>26</v>
      </c>
      <c r="H6330" t="s">
        <v>27</v>
      </c>
      <c r="I6330" t="s">
        <v>52</v>
      </c>
      <c r="J6330">
        <v>412.685</v>
      </c>
      <c r="K6330">
        <v>0</v>
      </c>
      <c r="L6330">
        <v>0.56999999999999995</v>
      </c>
      <c r="M6330">
        <v>30.73</v>
      </c>
      <c r="N6330">
        <v>-151.27000000000001</v>
      </c>
      <c r="O6330" s="1" t="s">
        <v>40</v>
      </c>
      <c r="P6330" s="1" t="s">
        <v>12247</v>
      </c>
      <c r="Q6330" s="1" t="s">
        <v>12248</v>
      </c>
      <c r="R6330" s="1" t="s">
        <v>220</v>
      </c>
      <c r="S6330" s="1" t="s">
        <v>7326</v>
      </c>
      <c r="T6330" s="1" t="s">
        <v>7327</v>
      </c>
      <c r="U6330" s="2" t="s">
        <v>3278</v>
      </c>
      <c r="V6330" s="2" t="s">
        <v>47</v>
      </c>
      <c r="W6330" s="2" t="s">
        <v>119</v>
      </c>
      <c r="X6330" s="2">
        <v>53.585000000000001</v>
      </c>
    </row>
    <row r="6331" spans="1:24" x14ac:dyDescent="0.3">
      <c r="A6331">
        <v>24150</v>
      </c>
      <c r="B6331" t="s">
        <v>12910</v>
      </c>
      <c r="C6331" s="3">
        <v>41773</v>
      </c>
      <c r="D6331" t="s">
        <v>50</v>
      </c>
      <c r="E6331">
        <v>9</v>
      </c>
      <c r="F6331" s="3">
        <f ca="1">41774+(RANDBETWEEN(1,10))</f>
        <v>41781</v>
      </c>
      <c r="G6331" t="s">
        <v>26</v>
      </c>
      <c r="H6331" t="s">
        <v>27</v>
      </c>
      <c r="I6331" t="s">
        <v>28</v>
      </c>
      <c r="J6331">
        <v>155.64500000000001</v>
      </c>
      <c r="K6331">
        <v>0.05</v>
      </c>
      <c r="L6331">
        <v>0.36</v>
      </c>
      <c r="M6331">
        <v>16.52</v>
      </c>
      <c r="N6331">
        <v>-194.39</v>
      </c>
      <c r="O6331" s="1" t="s">
        <v>29</v>
      </c>
      <c r="P6331" s="1" t="s">
        <v>12911</v>
      </c>
      <c r="Q6331" s="1" t="s">
        <v>12912</v>
      </c>
      <c r="R6331" s="1" t="s">
        <v>32</v>
      </c>
      <c r="S6331" s="1" t="s">
        <v>10059</v>
      </c>
      <c r="T6331" s="1" t="s">
        <v>2355</v>
      </c>
      <c r="U6331" s="2" t="s">
        <v>904</v>
      </c>
      <c r="V6331" s="2" t="s">
        <v>47</v>
      </c>
      <c r="W6331" s="2" t="s">
        <v>74</v>
      </c>
      <c r="X6331" s="2">
        <v>17.43</v>
      </c>
    </row>
    <row r="6332" spans="1:24" x14ac:dyDescent="0.3">
      <c r="A6332">
        <v>24151</v>
      </c>
      <c r="B6332" t="s">
        <v>12913</v>
      </c>
      <c r="C6332" s="3">
        <v>40846</v>
      </c>
      <c r="D6332" t="s">
        <v>62</v>
      </c>
      <c r="E6332">
        <v>4</v>
      </c>
      <c r="F6332" s="3">
        <f ca="1">40849+(RANDBETWEEN(1,10))</f>
        <v>40859</v>
      </c>
      <c r="G6332" t="s">
        <v>26</v>
      </c>
      <c r="H6332" t="s">
        <v>96</v>
      </c>
      <c r="I6332" t="s">
        <v>52</v>
      </c>
      <c r="J6332">
        <v>53.164999999999999</v>
      </c>
      <c r="K6332">
        <v>0.06</v>
      </c>
      <c r="L6332">
        <v>0.39</v>
      </c>
      <c r="M6332">
        <v>7.7</v>
      </c>
      <c r="N6332">
        <v>9644.7476999999999</v>
      </c>
      <c r="O6332" s="1" t="s">
        <v>64</v>
      </c>
      <c r="P6332" s="1" t="s">
        <v>9613</v>
      </c>
      <c r="Q6332" s="1" t="s">
        <v>9614</v>
      </c>
      <c r="R6332" s="1" t="s">
        <v>67</v>
      </c>
      <c r="S6332" s="1" t="s">
        <v>9615</v>
      </c>
      <c r="T6332" s="1" t="s">
        <v>9616</v>
      </c>
      <c r="U6332" s="2" t="s">
        <v>7440</v>
      </c>
      <c r="V6332" s="2" t="s">
        <v>47</v>
      </c>
      <c r="W6332" s="2" t="s">
        <v>74</v>
      </c>
      <c r="X6332" s="2">
        <v>12.6</v>
      </c>
    </row>
    <row r="6333" spans="1:24" x14ac:dyDescent="0.3">
      <c r="A6333">
        <v>24152</v>
      </c>
      <c r="B6333" t="s">
        <v>12914</v>
      </c>
      <c r="C6333" s="3">
        <v>41823</v>
      </c>
      <c r="D6333" t="s">
        <v>148</v>
      </c>
      <c r="E6333">
        <v>12</v>
      </c>
      <c r="F6333" s="3">
        <f ca="1">41825+(RANDBETWEEN(1,10))</f>
        <v>41829</v>
      </c>
      <c r="G6333" t="s">
        <v>26</v>
      </c>
      <c r="H6333" t="s">
        <v>96</v>
      </c>
      <c r="I6333" t="s">
        <v>28</v>
      </c>
      <c r="J6333">
        <v>53.795000000000002</v>
      </c>
      <c r="K6333">
        <v>0</v>
      </c>
      <c r="L6333">
        <v>0.81</v>
      </c>
      <c r="M6333">
        <v>2.4500000000000002</v>
      </c>
      <c r="N6333">
        <v>-330.54910000000001</v>
      </c>
      <c r="O6333" s="1" t="s">
        <v>53</v>
      </c>
      <c r="P6333" s="1" t="s">
        <v>5663</v>
      </c>
      <c r="Q6333" s="1" t="s">
        <v>5664</v>
      </c>
      <c r="R6333" s="1" t="s">
        <v>100</v>
      </c>
      <c r="S6333" s="1" t="s">
        <v>5665</v>
      </c>
      <c r="T6333" s="1" t="s">
        <v>5666</v>
      </c>
      <c r="U6333" s="2" t="s">
        <v>925</v>
      </c>
      <c r="V6333" s="2" t="s">
        <v>47</v>
      </c>
      <c r="W6333" s="2" t="s">
        <v>176</v>
      </c>
      <c r="X6333" s="2">
        <v>4.41</v>
      </c>
    </row>
    <row r="6334" spans="1:24" x14ac:dyDescent="0.3">
      <c r="A6334">
        <v>24153</v>
      </c>
      <c r="B6334" t="s">
        <v>12915</v>
      </c>
      <c r="C6334" s="3">
        <v>41842</v>
      </c>
      <c r="D6334" t="s">
        <v>25</v>
      </c>
      <c r="E6334">
        <v>11</v>
      </c>
      <c r="F6334" s="3">
        <f ca="1">41847+(RANDBETWEEN(1,10))</f>
        <v>41856</v>
      </c>
      <c r="G6334" t="s">
        <v>26</v>
      </c>
      <c r="H6334" t="s">
        <v>96</v>
      </c>
      <c r="I6334" t="s">
        <v>52</v>
      </c>
      <c r="J6334">
        <v>592.58500000000004</v>
      </c>
      <c r="K6334">
        <v>0.02</v>
      </c>
      <c r="L6334">
        <v>0.39</v>
      </c>
      <c r="M6334">
        <v>6.8949999999999996</v>
      </c>
      <c r="N6334">
        <v>144.66900000000001</v>
      </c>
      <c r="O6334" s="1" t="s">
        <v>87</v>
      </c>
      <c r="P6334" s="1" t="s">
        <v>9732</v>
      </c>
      <c r="Q6334" s="1" t="s">
        <v>9733</v>
      </c>
      <c r="R6334" s="1" t="s">
        <v>90</v>
      </c>
      <c r="S6334" s="1" t="s">
        <v>2642</v>
      </c>
      <c r="T6334" s="1" t="s">
        <v>2643</v>
      </c>
      <c r="U6334" s="2" t="s">
        <v>372</v>
      </c>
      <c r="V6334" s="2" t="s">
        <v>47</v>
      </c>
      <c r="W6334" s="2" t="s">
        <v>74</v>
      </c>
      <c r="X6334" s="2">
        <v>52.64</v>
      </c>
    </row>
    <row r="6335" spans="1:24" x14ac:dyDescent="0.3">
      <c r="A6335">
        <v>24154</v>
      </c>
      <c r="B6335" t="s">
        <v>12916</v>
      </c>
      <c r="C6335" s="3">
        <v>41223</v>
      </c>
      <c r="D6335" t="s">
        <v>62</v>
      </c>
      <c r="E6335">
        <v>16</v>
      </c>
      <c r="F6335" s="3">
        <f ca="1">41225+(RANDBETWEEN(1,10))</f>
        <v>41230</v>
      </c>
      <c r="G6335" t="s">
        <v>156</v>
      </c>
      <c r="H6335" t="s">
        <v>27</v>
      </c>
      <c r="I6335" t="s">
        <v>52</v>
      </c>
      <c r="J6335">
        <v>2959.7049999999999</v>
      </c>
      <c r="K6335">
        <v>0.08</v>
      </c>
      <c r="L6335">
        <v>0.37</v>
      </c>
      <c r="M6335">
        <v>23.765000000000001</v>
      </c>
      <c r="N6335">
        <v>2042.1964499999999</v>
      </c>
      <c r="O6335" s="1" t="s">
        <v>40</v>
      </c>
      <c r="P6335" s="1" t="s">
        <v>9369</v>
      </c>
      <c r="Q6335" s="1" t="s">
        <v>9370</v>
      </c>
      <c r="R6335" s="1" t="s">
        <v>220</v>
      </c>
      <c r="S6335" s="1" t="s">
        <v>9371</v>
      </c>
      <c r="T6335" s="1" t="s">
        <v>9372</v>
      </c>
      <c r="U6335" s="2" t="s">
        <v>4840</v>
      </c>
      <c r="V6335" s="2" t="s">
        <v>47</v>
      </c>
      <c r="W6335" s="2" t="s">
        <v>74</v>
      </c>
      <c r="X6335" s="2">
        <v>194.18</v>
      </c>
    </row>
    <row r="6336" spans="1:24" x14ac:dyDescent="0.3">
      <c r="A6336">
        <v>24155</v>
      </c>
      <c r="B6336" t="s">
        <v>12917</v>
      </c>
      <c r="C6336" s="3">
        <v>41883</v>
      </c>
      <c r="D6336" t="s">
        <v>148</v>
      </c>
      <c r="E6336">
        <v>3</v>
      </c>
      <c r="F6336" s="3">
        <f ca="1">41884+(RANDBETWEEN(1,10))</f>
        <v>41890</v>
      </c>
      <c r="G6336" t="s">
        <v>26</v>
      </c>
      <c r="H6336" t="s">
        <v>96</v>
      </c>
      <c r="I6336" t="s">
        <v>97</v>
      </c>
      <c r="J6336">
        <v>35.840000000000003</v>
      </c>
      <c r="K6336">
        <v>0.09</v>
      </c>
      <c r="L6336">
        <v>0.39</v>
      </c>
      <c r="M6336">
        <v>3.8149999999999999</v>
      </c>
      <c r="N6336">
        <v>-2.3828</v>
      </c>
      <c r="O6336" s="1" t="s">
        <v>40</v>
      </c>
      <c r="P6336" s="1" t="s">
        <v>12918</v>
      </c>
      <c r="Q6336" s="1" t="s">
        <v>12919</v>
      </c>
      <c r="R6336" s="1" t="s">
        <v>220</v>
      </c>
      <c r="S6336" s="1" t="s">
        <v>3859</v>
      </c>
      <c r="T6336" s="1" t="s">
        <v>3860</v>
      </c>
      <c r="U6336" s="2" t="s">
        <v>7982</v>
      </c>
      <c r="V6336" s="2" t="s">
        <v>47</v>
      </c>
      <c r="W6336" s="2" t="s">
        <v>74</v>
      </c>
      <c r="X6336" s="2">
        <v>11.83</v>
      </c>
    </row>
    <row r="6337" spans="1:24" x14ac:dyDescent="0.3">
      <c r="A6337">
        <v>24156</v>
      </c>
      <c r="B6337" t="s">
        <v>12917</v>
      </c>
      <c r="C6337" s="3">
        <v>41883</v>
      </c>
      <c r="D6337" t="s">
        <v>148</v>
      </c>
      <c r="E6337">
        <v>8</v>
      </c>
      <c r="F6337" s="3">
        <f ca="1">41886+(RANDBETWEEN(1,10))</f>
        <v>41891</v>
      </c>
      <c r="G6337" t="s">
        <v>76</v>
      </c>
      <c r="H6337" t="s">
        <v>258</v>
      </c>
      <c r="I6337" t="s">
        <v>97</v>
      </c>
      <c r="J6337">
        <v>5382.58</v>
      </c>
      <c r="K6337">
        <v>0.04</v>
      </c>
      <c r="L6337">
        <v>0.61</v>
      </c>
      <c r="M6337">
        <v>207.34</v>
      </c>
      <c r="N6337">
        <v>-1844.0469848499999</v>
      </c>
      <c r="O6337" s="1" t="s">
        <v>64</v>
      </c>
      <c r="P6337" s="1" t="s">
        <v>12920</v>
      </c>
      <c r="Q6337" s="1" t="s">
        <v>12921</v>
      </c>
      <c r="R6337" s="1" t="s">
        <v>128</v>
      </c>
      <c r="S6337" s="1" t="s">
        <v>6481</v>
      </c>
      <c r="T6337" s="1" t="s">
        <v>6482</v>
      </c>
      <c r="U6337" s="2" t="s">
        <v>8709</v>
      </c>
      <c r="V6337" s="2" t="s">
        <v>83</v>
      </c>
      <c r="W6337" s="2" t="s">
        <v>263</v>
      </c>
      <c r="X6337" s="2">
        <v>829.39499999999998</v>
      </c>
    </row>
    <row r="6338" spans="1:24" x14ac:dyDescent="0.3">
      <c r="A6338">
        <v>24157</v>
      </c>
      <c r="B6338" t="s">
        <v>12922</v>
      </c>
      <c r="C6338" s="3">
        <v>41892</v>
      </c>
      <c r="D6338" t="s">
        <v>62</v>
      </c>
      <c r="E6338">
        <v>13</v>
      </c>
      <c r="F6338" s="3">
        <f ca="1">41894+(RANDBETWEEN(1,10))</f>
        <v>41897</v>
      </c>
      <c r="G6338" t="s">
        <v>156</v>
      </c>
      <c r="H6338" t="s">
        <v>281</v>
      </c>
      <c r="I6338" t="s">
        <v>97</v>
      </c>
      <c r="J6338">
        <v>5912.34</v>
      </c>
      <c r="K6338">
        <v>0.06</v>
      </c>
      <c r="L6338" t="s">
        <v>182</v>
      </c>
      <c r="M6338">
        <v>44.274999999999999</v>
      </c>
      <c r="N6338">
        <v>3039.8760000000002</v>
      </c>
      <c r="O6338" s="1" t="s">
        <v>64</v>
      </c>
      <c r="P6338" s="1" t="s">
        <v>12923</v>
      </c>
      <c r="Q6338" s="1" t="s">
        <v>12924</v>
      </c>
      <c r="R6338" s="1" t="s">
        <v>128</v>
      </c>
      <c r="S6338" s="1" t="s">
        <v>2012</v>
      </c>
      <c r="T6338" s="1" t="s">
        <v>2013</v>
      </c>
      <c r="U6338" s="2" t="s">
        <v>1695</v>
      </c>
      <c r="V6338" s="2" t="s">
        <v>83</v>
      </c>
      <c r="W6338" s="2" t="s">
        <v>84</v>
      </c>
      <c r="X6338" s="2">
        <v>448.84</v>
      </c>
    </row>
    <row r="6339" spans="1:24" x14ac:dyDescent="0.3">
      <c r="A6339">
        <v>24158</v>
      </c>
      <c r="B6339" t="s">
        <v>12925</v>
      </c>
      <c r="C6339" s="3">
        <v>40560</v>
      </c>
      <c r="D6339" t="s">
        <v>148</v>
      </c>
      <c r="E6339">
        <v>3</v>
      </c>
      <c r="F6339" s="3">
        <f ca="1">40563+(RANDBETWEEN(1,10))</f>
        <v>40564</v>
      </c>
      <c r="G6339" t="s">
        <v>26</v>
      </c>
      <c r="H6339" t="s">
        <v>27</v>
      </c>
      <c r="I6339" t="s">
        <v>97</v>
      </c>
      <c r="J6339">
        <v>158.47999999999999</v>
      </c>
      <c r="K6339">
        <v>0.05</v>
      </c>
      <c r="L6339">
        <v>0.43</v>
      </c>
      <c r="M6339">
        <v>46.62</v>
      </c>
      <c r="N6339">
        <v>-770.18200000000002</v>
      </c>
      <c r="O6339" s="1" t="s">
        <v>29</v>
      </c>
      <c r="P6339" s="1" t="s">
        <v>10801</v>
      </c>
      <c r="Q6339" s="1" t="s">
        <v>10802</v>
      </c>
      <c r="R6339" s="1" t="s">
        <v>32</v>
      </c>
      <c r="S6339" s="1" t="s">
        <v>5627</v>
      </c>
      <c r="T6339" s="1" t="s">
        <v>5628</v>
      </c>
      <c r="U6339" s="2" t="s">
        <v>1840</v>
      </c>
      <c r="V6339" s="2" t="s">
        <v>47</v>
      </c>
      <c r="W6339" s="2" t="s">
        <v>71</v>
      </c>
      <c r="X6339" s="2">
        <v>51.835000000000001</v>
      </c>
    </row>
    <row r="6340" spans="1:24" x14ac:dyDescent="0.3">
      <c r="A6340">
        <v>24159</v>
      </c>
      <c r="B6340" t="s">
        <v>12925</v>
      </c>
      <c r="C6340" s="3">
        <v>40560</v>
      </c>
      <c r="D6340" t="s">
        <v>148</v>
      </c>
      <c r="E6340">
        <v>3</v>
      </c>
      <c r="F6340" s="3">
        <f ca="1">40562+(RANDBETWEEN(1,10))</f>
        <v>40566</v>
      </c>
      <c r="G6340" t="s">
        <v>156</v>
      </c>
      <c r="H6340" t="s">
        <v>96</v>
      </c>
      <c r="I6340" t="s">
        <v>97</v>
      </c>
      <c r="J6340">
        <v>47.494999999999997</v>
      </c>
      <c r="K6340">
        <v>0.05</v>
      </c>
      <c r="L6340">
        <v>0.36</v>
      </c>
      <c r="M6340">
        <v>7.91</v>
      </c>
      <c r="N6340">
        <v>71.376795000000001</v>
      </c>
      <c r="O6340" s="1" t="s">
        <v>29</v>
      </c>
      <c r="P6340" s="1" t="s">
        <v>10801</v>
      </c>
      <c r="Q6340" s="1" t="s">
        <v>10802</v>
      </c>
      <c r="R6340" s="1" t="s">
        <v>32</v>
      </c>
      <c r="S6340" s="1" t="s">
        <v>5627</v>
      </c>
      <c r="T6340" s="1" t="s">
        <v>5628</v>
      </c>
      <c r="U6340" s="2" t="s">
        <v>11875</v>
      </c>
      <c r="V6340" s="2" t="s">
        <v>47</v>
      </c>
      <c r="W6340" s="2" t="s">
        <v>74</v>
      </c>
      <c r="X6340" s="2">
        <v>14.7</v>
      </c>
    </row>
    <row r="6341" spans="1:24" x14ac:dyDescent="0.3">
      <c r="A6341">
        <v>24160</v>
      </c>
      <c r="B6341" t="s">
        <v>12926</v>
      </c>
      <c r="C6341" s="3">
        <v>41721</v>
      </c>
      <c r="D6341" t="s">
        <v>50</v>
      </c>
      <c r="E6341">
        <v>1</v>
      </c>
      <c r="F6341" s="3">
        <f ca="1">41722+(RANDBETWEEN(1,10))</f>
        <v>41728</v>
      </c>
      <c r="G6341" t="s">
        <v>26</v>
      </c>
      <c r="H6341" t="s">
        <v>63</v>
      </c>
      <c r="I6341" t="s">
        <v>28</v>
      </c>
      <c r="J6341">
        <v>2052.9250000000002</v>
      </c>
      <c r="K6341">
        <v>0.06</v>
      </c>
      <c r="L6341">
        <v>0.5</v>
      </c>
      <c r="M6341">
        <v>85.715000000000003</v>
      </c>
      <c r="N6341">
        <v>195.77879999999999</v>
      </c>
      <c r="O6341" s="1" t="s">
        <v>87</v>
      </c>
      <c r="P6341" s="1" t="s">
        <v>12927</v>
      </c>
      <c r="Q6341" s="1" t="s">
        <v>12928</v>
      </c>
      <c r="R6341" s="1" t="s">
        <v>398</v>
      </c>
      <c r="S6341" s="1" t="s">
        <v>12929</v>
      </c>
      <c r="T6341" s="1" t="s">
        <v>12930</v>
      </c>
      <c r="U6341" s="2" t="s">
        <v>5807</v>
      </c>
      <c r="V6341" s="2" t="s">
        <v>36</v>
      </c>
      <c r="W6341" s="2" t="s">
        <v>1327</v>
      </c>
      <c r="X6341" s="2">
        <v>2099.9650000000001</v>
      </c>
    </row>
    <row r="6342" spans="1:24" x14ac:dyDescent="0.3">
      <c r="A6342">
        <v>24161</v>
      </c>
      <c r="B6342" t="s">
        <v>12931</v>
      </c>
      <c r="C6342" s="3">
        <v>40625</v>
      </c>
      <c r="D6342" t="s">
        <v>50</v>
      </c>
      <c r="E6342">
        <v>2</v>
      </c>
      <c r="F6342" s="3">
        <f ca="1">40627+(RANDBETWEEN(1,10))</f>
        <v>40632</v>
      </c>
      <c r="G6342" t="s">
        <v>26</v>
      </c>
      <c r="H6342" t="s">
        <v>51</v>
      </c>
      <c r="I6342" t="s">
        <v>28</v>
      </c>
      <c r="J6342">
        <v>88.584999999999994</v>
      </c>
      <c r="K6342">
        <v>0.05</v>
      </c>
      <c r="L6342">
        <v>0.6</v>
      </c>
      <c r="M6342">
        <v>20.335000000000001</v>
      </c>
      <c r="N6342">
        <v>1221.7075500000001</v>
      </c>
      <c r="O6342" s="1" t="s">
        <v>87</v>
      </c>
      <c r="P6342" s="1" t="s">
        <v>12927</v>
      </c>
      <c r="Q6342" s="1" t="s">
        <v>12928</v>
      </c>
      <c r="R6342" s="1" t="s">
        <v>398</v>
      </c>
      <c r="S6342" s="1" t="s">
        <v>12929</v>
      </c>
      <c r="T6342" s="1" t="s">
        <v>12930</v>
      </c>
      <c r="U6342" s="2" t="s">
        <v>1353</v>
      </c>
      <c r="V6342" s="2" t="s">
        <v>47</v>
      </c>
      <c r="W6342" s="2" t="s">
        <v>104</v>
      </c>
      <c r="X6342" s="2">
        <v>41.895000000000003</v>
      </c>
    </row>
    <row r="6343" spans="1:24" x14ac:dyDescent="0.3">
      <c r="A6343">
        <v>24162</v>
      </c>
      <c r="B6343" t="s">
        <v>12932</v>
      </c>
      <c r="C6343" s="3">
        <v>41942</v>
      </c>
      <c r="D6343" t="s">
        <v>39</v>
      </c>
      <c r="E6343">
        <v>2</v>
      </c>
      <c r="F6343" s="3">
        <f ca="1">41942+(RANDBETWEEN(1,10))</f>
        <v>41945</v>
      </c>
      <c r="G6343" t="s">
        <v>26</v>
      </c>
      <c r="H6343" t="s">
        <v>96</v>
      </c>
      <c r="I6343" t="s">
        <v>86</v>
      </c>
      <c r="J6343">
        <v>24.78</v>
      </c>
      <c r="K6343">
        <v>7.0000000000000007E-2</v>
      </c>
      <c r="L6343">
        <v>0.4</v>
      </c>
      <c r="M6343">
        <v>4.7249999999999996</v>
      </c>
      <c r="N6343">
        <v>-3394.8180000000002</v>
      </c>
      <c r="O6343" s="1" t="s">
        <v>53</v>
      </c>
      <c r="P6343" s="1" t="s">
        <v>11674</v>
      </c>
      <c r="Q6343" s="1" t="s">
        <v>11675</v>
      </c>
      <c r="R6343" s="1" t="s">
        <v>56</v>
      </c>
      <c r="S6343" s="1" t="s">
        <v>11676</v>
      </c>
      <c r="T6343" s="1" t="s">
        <v>11677</v>
      </c>
      <c r="U6343" s="2" t="s">
        <v>2529</v>
      </c>
      <c r="V6343" s="2" t="s">
        <v>47</v>
      </c>
      <c r="W6343" s="2" t="s">
        <v>176</v>
      </c>
      <c r="X6343" s="2">
        <v>11.515000000000001</v>
      </c>
    </row>
    <row r="6344" spans="1:24" x14ac:dyDescent="0.3">
      <c r="A6344">
        <v>24163</v>
      </c>
      <c r="B6344" t="s">
        <v>12932</v>
      </c>
      <c r="C6344" s="3">
        <v>41942</v>
      </c>
      <c r="D6344" t="s">
        <v>39</v>
      </c>
      <c r="E6344">
        <v>20</v>
      </c>
      <c r="F6344" s="3">
        <f ca="1">41943+(RANDBETWEEN(1,10))</f>
        <v>41948</v>
      </c>
      <c r="G6344" t="s">
        <v>156</v>
      </c>
      <c r="H6344" t="s">
        <v>51</v>
      </c>
      <c r="I6344" t="s">
        <v>86</v>
      </c>
      <c r="J6344">
        <v>1196.0899999999999</v>
      </c>
      <c r="K6344">
        <v>0</v>
      </c>
      <c r="L6344">
        <v>0.56000000000000005</v>
      </c>
      <c r="M6344">
        <v>25.97</v>
      </c>
      <c r="N6344">
        <v>748.60799999999995</v>
      </c>
      <c r="O6344" s="1" t="s">
        <v>53</v>
      </c>
      <c r="P6344" s="1" t="s">
        <v>11674</v>
      </c>
      <c r="Q6344" s="1" t="s">
        <v>11675</v>
      </c>
      <c r="R6344" s="1" t="s">
        <v>56</v>
      </c>
      <c r="S6344" s="1" t="s">
        <v>11676</v>
      </c>
      <c r="T6344" s="1" t="s">
        <v>11677</v>
      </c>
      <c r="U6344" s="2" t="s">
        <v>4913</v>
      </c>
      <c r="V6344" s="2" t="s">
        <v>47</v>
      </c>
      <c r="W6344" s="2" t="s">
        <v>94</v>
      </c>
      <c r="X6344" s="2">
        <v>55.055</v>
      </c>
    </row>
    <row r="6345" spans="1:24" x14ac:dyDescent="0.3">
      <c r="A6345">
        <v>24164</v>
      </c>
      <c r="B6345" t="s">
        <v>12932</v>
      </c>
      <c r="C6345" s="3">
        <v>41942</v>
      </c>
      <c r="D6345" t="s">
        <v>39</v>
      </c>
      <c r="E6345">
        <v>5</v>
      </c>
      <c r="F6345" s="3">
        <f ca="1">41944+(RANDBETWEEN(1,10))</f>
        <v>41952</v>
      </c>
      <c r="G6345" t="s">
        <v>26</v>
      </c>
      <c r="H6345" t="s">
        <v>27</v>
      </c>
      <c r="I6345" t="s">
        <v>86</v>
      </c>
      <c r="J6345">
        <v>614.77499999999998</v>
      </c>
      <c r="K6345">
        <v>0.06</v>
      </c>
      <c r="L6345">
        <v>0.56999999999999995</v>
      </c>
      <c r="M6345">
        <v>28.77</v>
      </c>
      <c r="N6345">
        <v>-2966.3326000000002</v>
      </c>
      <c r="O6345" s="1" t="s">
        <v>53</v>
      </c>
      <c r="P6345" s="1" t="s">
        <v>11674</v>
      </c>
      <c r="Q6345" s="1" t="s">
        <v>11675</v>
      </c>
      <c r="R6345" s="1" t="s">
        <v>56</v>
      </c>
      <c r="S6345" s="1" t="s">
        <v>11676</v>
      </c>
      <c r="T6345" s="1" t="s">
        <v>11677</v>
      </c>
      <c r="U6345" s="2" t="s">
        <v>2001</v>
      </c>
      <c r="V6345" s="2" t="s">
        <v>47</v>
      </c>
      <c r="W6345" s="2" t="s">
        <v>119</v>
      </c>
      <c r="X6345" s="2">
        <v>121.66</v>
      </c>
    </row>
    <row r="6346" spans="1:24" x14ac:dyDescent="0.3">
      <c r="A6346">
        <v>24165</v>
      </c>
      <c r="B6346" t="s">
        <v>12933</v>
      </c>
      <c r="C6346" s="3">
        <v>41878</v>
      </c>
      <c r="D6346" t="s">
        <v>148</v>
      </c>
      <c r="E6346">
        <v>7</v>
      </c>
      <c r="F6346" s="3">
        <f ca="1">41880+(RANDBETWEEN(1,10))</f>
        <v>41887</v>
      </c>
      <c r="G6346" t="s">
        <v>26</v>
      </c>
      <c r="H6346" t="s">
        <v>27</v>
      </c>
      <c r="I6346" t="s">
        <v>28</v>
      </c>
      <c r="J6346">
        <v>3236.8</v>
      </c>
      <c r="K6346">
        <v>0.06</v>
      </c>
      <c r="L6346">
        <v>0.55000000000000004</v>
      </c>
      <c r="M6346">
        <v>31.465</v>
      </c>
      <c r="N6346">
        <v>342.89110799999997</v>
      </c>
      <c r="O6346" s="1" t="s">
        <v>53</v>
      </c>
      <c r="P6346" s="1" t="s">
        <v>12934</v>
      </c>
      <c r="Q6346" s="1" t="s">
        <v>12935</v>
      </c>
      <c r="R6346" s="1" t="s">
        <v>56</v>
      </c>
      <c r="S6346" s="1" t="s">
        <v>8071</v>
      </c>
      <c r="T6346" s="1" t="s">
        <v>8072</v>
      </c>
      <c r="U6346" s="2" t="s">
        <v>9184</v>
      </c>
      <c r="V6346" s="2" t="s">
        <v>36</v>
      </c>
      <c r="W6346" s="2" t="s">
        <v>37</v>
      </c>
      <c r="X6346" s="2">
        <v>545.96500000000003</v>
      </c>
    </row>
    <row r="6347" spans="1:24" x14ac:dyDescent="0.3">
      <c r="A6347">
        <v>24166</v>
      </c>
      <c r="B6347" t="s">
        <v>12936</v>
      </c>
      <c r="C6347" s="3">
        <v>41401</v>
      </c>
      <c r="D6347" t="s">
        <v>148</v>
      </c>
      <c r="E6347">
        <v>6</v>
      </c>
      <c r="F6347" s="3">
        <f ca="1">41402+(RANDBETWEEN(1,10))</f>
        <v>41403</v>
      </c>
      <c r="G6347" t="s">
        <v>26</v>
      </c>
      <c r="H6347" t="s">
        <v>27</v>
      </c>
      <c r="I6347" t="s">
        <v>28</v>
      </c>
      <c r="J6347">
        <v>1724.17</v>
      </c>
      <c r="K6347">
        <v>0.05</v>
      </c>
      <c r="L6347">
        <v>0.45</v>
      </c>
      <c r="M6347">
        <v>21.454999999999998</v>
      </c>
      <c r="N6347">
        <v>996.94</v>
      </c>
      <c r="O6347" s="1" t="s">
        <v>53</v>
      </c>
      <c r="P6347" s="1" t="s">
        <v>6046</v>
      </c>
      <c r="Q6347" s="1" t="s">
        <v>6047</v>
      </c>
      <c r="R6347" s="1" t="s">
        <v>100</v>
      </c>
      <c r="S6347" s="1" t="s">
        <v>3524</v>
      </c>
      <c r="T6347" s="1" t="s">
        <v>3525</v>
      </c>
      <c r="U6347" s="2" t="s">
        <v>3335</v>
      </c>
      <c r="V6347" s="2" t="s">
        <v>36</v>
      </c>
      <c r="W6347" s="2" t="s">
        <v>60</v>
      </c>
      <c r="X6347" s="2">
        <v>290.85000000000002</v>
      </c>
    </row>
    <row r="6348" spans="1:24" x14ac:dyDescent="0.3">
      <c r="A6348">
        <v>24167</v>
      </c>
      <c r="B6348" t="s">
        <v>12937</v>
      </c>
      <c r="C6348" s="3">
        <v>41889</v>
      </c>
      <c r="D6348" t="s">
        <v>148</v>
      </c>
      <c r="E6348">
        <v>6</v>
      </c>
      <c r="F6348" s="3">
        <f ca="1">41891+(RANDBETWEEN(1,10))</f>
        <v>41901</v>
      </c>
      <c r="G6348" t="s">
        <v>26</v>
      </c>
      <c r="H6348" t="s">
        <v>96</v>
      </c>
      <c r="I6348" t="s">
        <v>86</v>
      </c>
      <c r="J6348">
        <v>60.234999999999999</v>
      </c>
      <c r="K6348">
        <v>0.05</v>
      </c>
      <c r="L6348">
        <v>0.57999999999999996</v>
      </c>
      <c r="M6348">
        <v>8.4</v>
      </c>
      <c r="N6348">
        <v>-56.961799999999997</v>
      </c>
      <c r="O6348" s="1" t="s">
        <v>64</v>
      </c>
      <c r="P6348" s="1" t="s">
        <v>12938</v>
      </c>
      <c r="Q6348" s="1" t="s">
        <v>12939</v>
      </c>
      <c r="R6348" s="1" t="s">
        <v>67</v>
      </c>
      <c r="S6348" s="1" t="s">
        <v>6615</v>
      </c>
      <c r="T6348" s="1" t="s">
        <v>6616</v>
      </c>
      <c r="U6348" s="2" t="s">
        <v>6328</v>
      </c>
      <c r="V6348" s="2" t="s">
        <v>47</v>
      </c>
      <c r="W6348" s="2" t="s">
        <v>104</v>
      </c>
      <c r="X6348" s="2">
        <v>9.1</v>
      </c>
    </row>
    <row r="6349" spans="1:24" x14ac:dyDescent="0.3">
      <c r="A6349">
        <v>24168</v>
      </c>
      <c r="B6349" t="s">
        <v>12940</v>
      </c>
      <c r="C6349" s="3">
        <v>41214</v>
      </c>
      <c r="D6349" t="s">
        <v>25</v>
      </c>
      <c r="E6349">
        <v>37</v>
      </c>
      <c r="F6349" s="3">
        <f ca="1">41214+(RANDBETWEEN(1,10))</f>
        <v>41216</v>
      </c>
      <c r="G6349" t="s">
        <v>26</v>
      </c>
      <c r="H6349" t="s">
        <v>27</v>
      </c>
      <c r="I6349" t="s">
        <v>28</v>
      </c>
      <c r="J6349">
        <v>7328.8950000000004</v>
      </c>
      <c r="K6349">
        <v>0.02</v>
      </c>
      <c r="L6349">
        <v>0.56999999999999995</v>
      </c>
      <c r="M6349">
        <v>3.4649999999999999</v>
      </c>
      <c r="N6349">
        <v>5056.9375499999996</v>
      </c>
      <c r="O6349" s="1" t="s">
        <v>40</v>
      </c>
      <c r="P6349" s="1" t="s">
        <v>6909</v>
      </c>
      <c r="Q6349" s="1" t="s">
        <v>6910</v>
      </c>
      <c r="R6349" s="1" t="s">
        <v>220</v>
      </c>
      <c r="S6349" s="1" t="s">
        <v>6911</v>
      </c>
      <c r="T6349" s="1" t="s">
        <v>6912</v>
      </c>
      <c r="U6349" s="2" t="s">
        <v>4274</v>
      </c>
      <c r="V6349" s="2" t="s">
        <v>47</v>
      </c>
      <c r="W6349" s="2" t="s">
        <v>71</v>
      </c>
      <c r="X6349" s="2">
        <v>190.68</v>
      </c>
    </row>
    <row r="6350" spans="1:24" x14ac:dyDescent="0.3">
      <c r="A6350">
        <v>24169</v>
      </c>
      <c r="B6350" t="s">
        <v>12940</v>
      </c>
      <c r="C6350" s="3">
        <v>41214</v>
      </c>
      <c r="D6350" t="s">
        <v>25</v>
      </c>
      <c r="E6350">
        <v>22</v>
      </c>
      <c r="F6350" s="3">
        <f ca="1">41216+(RANDBETWEEN(1,10))</f>
        <v>41220</v>
      </c>
      <c r="G6350" t="s">
        <v>26</v>
      </c>
      <c r="H6350" t="s">
        <v>27</v>
      </c>
      <c r="I6350" t="s">
        <v>28</v>
      </c>
      <c r="J6350">
        <v>4051.46</v>
      </c>
      <c r="K6350">
        <v>0.04</v>
      </c>
      <c r="L6350">
        <v>0.73</v>
      </c>
      <c r="M6350">
        <v>22.75</v>
      </c>
      <c r="N6350">
        <v>211.827</v>
      </c>
      <c r="O6350" s="1" t="s">
        <v>40</v>
      </c>
      <c r="P6350" s="1" t="s">
        <v>6909</v>
      </c>
      <c r="Q6350" s="1" t="s">
        <v>6910</v>
      </c>
      <c r="R6350" s="1" t="s">
        <v>220</v>
      </c>
      <c r="S6350" s="1" t="s">
        <v>6911</v>
      </c>
      <c r="T6350" s="1" t="s">
        <v>6912</v>
      </c>
      <c r="U6350" s="2" t="s">
        <v>4548</v>
      </c>
      <c r="V6350" s="2" t="s">
        <v>36</v>
      </c>
      <c r="W6350" s="2" t="s">
        <v>60</v>
      </c>
      <c r="X6350" s="2">
        <v>178.43</v>
      </c>
    </row>
    <row r="6351" spans="1:24" x14ac:dyDescent="0.3">
      <c r="A6351">
        <v>2417</v>
      </c>
      <c r="B6351" t="s">
        <v>12941</v>
      </c>
      <c r="C6351" s="3">
        <v>41152</v>
      </c>
      <c r="D6351" t="s">
        <v>25</v>
      </c>
      <c r="E6351">
        <v>67</v>
      </c>
      <c r="F6351" s="3">
        <f ca="1">41154+(RANDBETWEEN(1,10))</f>
        <v>41161</v>
      </c>
      <c r="G6351" t="s">
        <v>26</v>
      </c>
      <c r="H6351" t="s">
        <v>27</v>
      </c>
      <c r="I6351" t="s">
        <v>52</v>
      </c>
      <c r="J6351">
        <v>671.755</v>
      </c>
      <c r="K6351">
        <v>0.01</v>
      </c>
      <c r="L6351">
        <v>0.36</v>
      </c>
      <c r="M6351">
        <v>1.75</v>
      </c>
      <c r="N6351">
        <v>151.79499999999999</v>
      </c>
      <c r="O6351" s="1" t="s">
        <v>53</v>
      </c>
      <c r="P6351" s="1" t="s">
        <v>114</v>
      </c>
      <c r="Q6351" s="1" t="s">
        <v>115</v>
      </c>
      <c r="R6351" s="1" t="s">
        <v>100</v>
      </c>
      <c r="S6351" s="1" t="s">
        <v>101</v>
      </c>
      <c r="T6351" s="1" t="s">
        <v>116</v>
      </c>
      <c r="U6351" s="2" t="s">
        <v>363</v>
      </c>
      <c r="V6351" s="2" t="s">
        <v>47</v>
      </c>
      <c r="W6351" s="2" t="s">
        <v>203</v>
      </c>
      <c r="X6351" s="2">
        <v>10.08</v>
      </c>
    </row>
    <row r="6352" spans="1:24" x14ac:dyDescent="0.3">
      <c r="A6352">
        <v>24170</v>
      </c>
      <c r="B6352" t="s">
        <v>12940</v>
      </c>
      <c r="C6352" s="3">
        <v>41214</v>
      </c>
      <c r="D6352" t="s">
        <v>25</v>
      </c>
      <c r="E6352">
        <v>35</v>
      </c>
      <c r="F6352" s="3">
        <f ca="1">41216+(RANDBETWEEN(1,10))</f>
        <v>41221</v>
      </c>
      <c r="G6352" t="s">
        <v>26</v>
      </c>
      <c r="H6352" t="s">
        <v>27</v>
      </c>
      <c r="I6352" t="s">
        <v>28</v>
      </c>
      <c r="J6352">
        <v>778.75</v>
      </c>
      <c r="K6352">
        <v>0.08</v>
      </c>
      <c r="L6352">
        <v>0.37</v>
      </c>
      <c r="M6352">
        <v>21.524999999999999</v>
      </c>
      <c r="N6352">
        <v>74.346999999999994</v>
      </c>
      <c r="O6352" s="1" t="s">
        <v>40</v>
      </c>
      <c r="P6352" s="1" t="s">
        <v>6909</v>
      </c>
      <c r="Q6352" s="1" t="s">
        <v>6910</v>
      </c>
      <c r="R6352" s="1" t="s">
        <v>220</v>
      </c>
      <c r="S6352" s="1" t="s">
        <v>6911</v>
      </c>
      <c r="T6352" s="1" t="s">
        <v>6912</v>
      </c>
      <c r="U6352" s="2" t="s">
        <v>11330</v>
      </c>
      <c r="V6352" s="2" t="s">
        <v>47</v>
      </c>
      <c r="W6352" s="2" t="s">
        <v>74</v>
      </c>
      <c r="X6352" s="2">
        <v>23.38</v>
      </c>
    </row>
    <row r="6353" spans="1:24" x14ac:dyDescent="0.3">
      <c r="A6353">
        <v>24171</v>
      </c>
      <c r="B6353" t="s">
        <v>12940</v>
      </c>
      <c r="C6353" s="3">
        <v>41214</v>
      </c>
      <c r="D6353" t="s">
        <v>25</v>
      </c>
      <c r="E6353">
        <v>27</v>
      </c>
      <c r="F6353" s="3">
        <f ca="1">41214+(RANDBETWEEN(1,10))</f>
        <v>41218</v>
      </c>
      <c r="G6353" t="s">
        <v>26</v>
      </c>
      <c r="H6353" t="s">
        <v>27</v>
      </c>
      <c r="I6353" t="s">
        <v>28</v>
      </c>
      <c r="J6353">
        <v>3692.6750000000002</v>
      </c>
      <c r="K6353">
        <v>0.02</v>
      </c>
      <c r="L6353">
        <v>0.56000000000000005</v>
      </c>
      <c r="M6353">
        <v>8.75</v>
      </c>
      <c r="N6353">
        <v>2335.41</v>
      </c>
      <c r="O6353" s="1" t="s">
        <v>40</v>
      </c>
      <c r="P6353" s="1" t="s">
        <v>6909</v>
      </c>
      <c r="Q6353" s="1" t="s">
        <v>6910</v>
      </c>
      <c r="R6353" s="1" t="s">
        <v>220</v>
      </c>
      <c r="S6353" s="1" t="s">
        <v>6911</v>
      </c>
      <c r="T6353" s="1" t="s">
        <v>6912</v>
      </c>
      <c r="U6353" s="2" t="s">
        <v>7529</v>
      </c>
      <c r="V6353" s="2" t="s">
        <v>36</v>
      </c>
      <c r="W6353" s="2" t="s">
        <v>37</v>
      </c>
      <c r="X6353" s="2">
        <v>160.965</v>
      </c>
    </row>
    <row r="6354" spans="1:24" x14ac:dyDescent="0.3">
      <c r="A6354">
        <v>24172</v>
      </c>
      <c r="B6354" t="s">
        <v>12940</v>
      </c>
      <c r="C6354" s="3">
        <v>41214</v>
      </c>
      <c r="D6354" t="s">
        <v>25</v>
      </c>
      <c r="E6354">
        <v>4</v>
      </c>
      <c r="F6354" s="3">
        <f ca="1">41221+(RANDBETWEEN(1,10))</f>
        <v>41231</v>
      </c>
      <c r="G6354" t="s">
        <v>26</v>
      </c>
      <c r="H6354" t="s">
        <v>281</v>
      </c>
      <c r="I6354" t="s">
        <v>28</v>
      </c>
      <c r="J6354">
        <v>360.04500000000002</v>
      </c>
      <c r="K6354">
        <v>7.0000000000000007E-2</v>
      </c>
      <c r="L6354">
        <v>0.5</v>
      </c>
      <c r="M6354">
        <v>18.795000000000002</v>
      </c>
      <c r="N6354">
        <v>-7.6440000000000001</v>
      </c>
      <c r="O6354" s="1" t="s">
        <v>64</v>
      </c>
      <c r="P6354" s="1" t="s">
        <v>12942</v>
      </c>
      <c r="Q6354" s="1" t="s">
        <v>12943</v>
      </c>
      <c r="R6354" s="1" t="s">
        <v>67</v>
      </c>
      <c r="S6354" s="1" t="s">
        <v>12944</v>
      </c>
      <c r="T6354" s="1" t="s">
        <v>12945</v>
      </c>
      <c r="U6354" s="2" t="s">
        <v>3418</v>
      </c>
      <c r="V6354" s="2" t="s">
        <v>47</v>
      </c>
      <c r="W6354" s="2" t="s">
        <v>71</v>
      </c>
      <c r="X6354" s="2">
        <v>90.93</v>
      </c>
    </row>
    <row r="6355" spans="1:24" x14ac:dyDescent="0.3">
      <c r="A6355">
        <v>24173</v>
      </c>
      <c r="B6355" t="s">
        <v>12940</v>
      </c>
      <c r="C6355" s="3">
        <v>41214</v>
      </c>
      <c r="D6355" t="s">
        <v>25</v>
      </c>
      <c r="E6355">
        <v>1</v>
      </c>
      <c r="F6355" s="3">
        <f ca="1">41218+(RANDBETWEEN(1,10))</f>
        <v>41225</v>
      </c>
      <c r="G6355" t="s">
        <v>26</v>
      </c>
      <c r="H6355" t="s">
        <v>96</v>
      </c>
      <c r="I6355" t="s">
        <v>28</v>
      </c>
      <c r="J6355">
        <v>17.395</v>
      </c>
      <c r="K6355">
        <v>0.04</v>
      </c>
      <c r="L6355">
        <v>0.38</v>
      </c>
      <c r="M6355">
        <v>5.0049999999999999</v>
      </c>
      <c r="N6355">
        <v>-174.00880000000001</v>
      </c>
      <c r="O6355" s="1" t="s">
        <v>64</v>
      </c>
      <c r="P6355" s="1" t="s">
        <v>12942</v>
      </c>
      <c r="Q6355" s="1" t="s">
        <v>12943</v>
      </c>
      <c r="R6355" s="1" t="s">
        <v>67</v>
      </c>
      <c r="S6355" s="1" t="s">
        <v>12944</v>
      </c>
      <c r="T6355" s="1" t="s">
        <v>12945</v>
      </c>
      <c r="U6355" s="2" t="s">
        <v>11577</v>
      </c>
      <c r="V6355" s="2" t="s">
        <v>47</v>
      </c>
      <c r="W6355" s="2" t="s">
        <v>176</v>
      </c>
      <c r="X6355" s="2">
        <v>12.425000000000001</v>
      </c>
    </row>
    <row r="6356" spans="1:24" x14ac:dyDescent="0.3">
      <c r="A6356">
        <v>24174</v>
      </c>
      <c r="B6356" t="s">
        <v>12946</v>
      </c>
      <c r="C6356" s="3">
        <v>41817</v>
      </c>
      <c r="D6356" t="s">
        <v>39</v>
      </c>
      <c r="E6356">
        <v>16</v>
      </c>
      <c r="F6356" s="3">
        <f ca="1">41819+(RANDBETWEEN(1,10))</f>
        <v>41825</v>
      </c>
      <c r="G6356" t="s">
        <v>26</v>
      </c>
      <c r="H6356" t="s">
        <v>27</v>
      </c>
      <c r="I6356" t="s">
        <v>28</v>
      </c>
      <c r="J6356">
        <v>809.30499999999995</v>
      </c>
      <c r="K6356">
        <v>0.08</v>
      </c>
      <c r="L6356">
        <v>0.81</v>
      </c>
      <c r="M6356">
        <v>15.855</v>
      </c>
      <c r="N6356">
        <v>-366.68799999999999</v>
      </c>
      <c r="O6356" s="1" t="s">
        <v>40</v>
      </c>
      <c r="P6356" s="1" t="s">
        <v>12947</v>
      </c>
      <c r="Q6356" s="1" t="s">
        <v>12948</v>
      </c>
      <c r="R6356" s="1" t="s">
        <v>43</v>
      </c>
      <c r="S6356" s="1" t="s">
        <v>4289</v>
      </c>
      <c r="T6356" s="1" t="s">
        <v>4290</v>
      </c>
      <c r="U6356" s="2" t="s">
        <v>2304</v>
      </c>
      <c r="V6356" s="2" t="s">
        <v>47</v>
      </c>
      <c r="W6356" s="2" t="s">
        <v>119</v>
      </c>
      <c r="X6356" s="2">
        <v>52.99</v>
      </c>
    </row>
    <row r="6357" spans="1:24" x14ac:dyDescent="0.3">
      <c r="A6357">
        <v>24175</v>
      </c>
      <c r="B6357" t="s">
        <v>12949</v>
      </c>
      <c r="C6357" s="3">
        <v>41872</v>
      </c>
      <c r="D6357" t="s">
        <v>39</v>
      </c>
      <c r="E6357">
        <v>10</v>
      </c>
      <c r="F6357" s="3">
        <f ca="1">41875+(RANDBETWEEN(1,10))</f>
        <v>41882</v>
      </c>
      <c r="G6357" t="s">
        <v>26</v>
      </c>
      <c r="H6357" t="s">
        <v>63</v>
      </c>
      <c r="I6357" t="s">
        <v>28</v>
      </c>
      <c r="J6357">
        <v>6787.375</v>
      </c>
      <c r="K6357">
        <v>0.09</v>
      </c>
      <c r="L6357">
        <v>0.59</v>
      </c>
      <c r="M6357">
        <v>74.234999999999999</v>
      </c>
      <c r="N6357">
        <v>4683.2887499999997</v>
      </c>
      <c r="O6357" s="1" t="s">
        <v>225</v>
      </c>
      <c r="P6357" s="1" t="s">
        <v>9666</v>
      </c>
      <c r="Q6357" s="1" t="s">
        <v>9667</v>
      </c>
      <c r="R6357" s="1" t="s">
        <v>228</v>
      </c>
      <c r="S6357" s="1" t="s">
        <v>2430</v>
      </c>
      <c r="T6357" s="1" t="s">
        <v>2431</v>
      </c>
      <c r="U6357" s="2" t="s">
        <v>3118</v>
      </c>
      <c r="V6357" s="2" t="s">
        <v>83</v>
      </c>
      <c r="W6357" s="2" t="s">
        <v>178</v>
      </c>
      <c r="X6357" s="2">
        <v>734.44</v>
      </c>
    </row>
    <row r="6358" spans="1:24" x14ac:dyDescent="0.3">
      <c r="A6358">
        <v>24176</v>
      </c>
      <c r="B6358" t="s">
        <v>12950</v>
      </c>
      <c r="C6358" s="3">
        <v>40941</v>
      </c>
      <c r="D6358" t="s">
        <v>50</v>
      </c>
      <c r="E6358">
        <v>11</v>
      </c>
      <c r="F6358" s="3">
        <f ca="1">40941+(RANDBETWEEN(1,10))</f>
        <v>40946</v>
      </c>
      <c r="G6358" t="s">
        <v>26</v>
      </c>
      <c r="H6358" t="s">
        <v>27</v>
      </c>
      <c r="I6358" t="s">
        <v>86</v>
      </c>
      <c r="J6358">
        <v>425.32</v>
      </c>
      <c r="K6358">
        <v>0.05</v>
      </c>
      <c r="L6358">
        <v>0.35</v>
      </c>
      <c r="M6358">
        <v>4.8650000000000002</v>
      </c>
      <c r="N6358">
        <v>293.4708</v>
      </c>
      <c r="O6358" s="1" t="s">
        <v>40</v>
      </c>
      <c r="P6358" s="1" t="s">
        <v>1037</v>
      </c>
      <c r="Q6358" s="1" t="s">
        <v>1038</v>
      </c>
      <c r="R6358" s="1" t="s">
        <v>220</v>
      </c>
      <c r="S6358" s="1" t="s">
        <v>1039</v>
      </c>
      <c r="T6358" s="1" t="s">
        <v>1040</v>
      </c>
      <c r="U6358" s="2" t="s">
        <v>9325</v>
      </c>
      <c r="V6358" s="2" t="s">
        <v>47</v>
      </c>
      <c r="W6358" s="2" t="s">
        <v>48</v>
      </c>
      <c r="X6358" s="2">
        <v>38.29</v>
      </c>
    </row>
    <row r="6359" spans="1:24" x14ac:dyDescent="0.3">
      <c r="A6359">
        <v>24177</v>
      </c>
      <c r="B6359" t="s">
        <v>12950</v>
      </c>
      <c r="C6359" s="3">
        <v>40941</v>
      </c>
      <c r="D6359" t="s">
        <v>50</v>
      </c>
      <c r="E6359">
        <v>5</v>
      </c>
      <c r="F6359" s="3">
        <f ca="1">40942+(RANDBETWEEN(1,10))</f>
        <v>40946</v>
      </c>
      <c r="G6359" t="s">
        <v>156</v>
      </c>
      <c r="H6359" t="s">
        <v>27</v>
      </c>
      <c r="I6359" t="s">
        <v>86</v>
      </c>
      <c r="J6359">
        <v>764.505</v>
      </c>
      <c r="K6359">
        <v>0.02</v>
      </c>
      <c r="L6359">
        <v>0.36</v>
      </c>
      <c r="M6359">
        <v>10.465</v>
      </c>
      <c r="N6359">
        <v>527.50845000000004</v>
      </c>
      <c r="O6359" s="1" t="s">
        <v>29</v>
      </c>
      <c r="P6359" s="1" t="s">
        <v>12951</v>
      </c>
      <c r="Q6359" s="1" t="s">
        <v>12952</v>
      </c>
      <c r="R6359" s="1" t="s">
        <v>675</v>
      </c>
      <c r="S6359" s="1" t="s">
        <v>759</v>
      </c>
      <c r="T6359" s="1" t="s">
        <v>760</v>
      </c>
      <c r="U6359" s="2" t="s">
        <v>180</v>
      </c>
      <c r="V6359" s="2" t="s">
        <v>47</v>
      </c>
      <c r="W6359" s="2" t="s">
        <v>111</v>
      </c>
      <c r="X6359" s="2">
        <v>143.43</v>
      </c>
    </row>
    <row r="6360" spans="1:24" x14ac:dyDescent="0.3">
      <c r="A6360">
        <v>24178</v>
      </c>
      <c r="B6360" t="s">
        <v>12953</v>
      </c>
      <c r="C6360" s="3">
        <v>41226</v>
      </c>
      <c r="D6360" t="s">
        <v>148</v>
      </c>
      <c r="E6360">
        <v>23</v>
      </c>
      <c r="F6360" s="3">
        <f ca="1">41228+(RANDBETWEEN(1,10))</f>
        <v>41234</v>
      </c>
      <c r="G6360" t="s">
        <v>26</v>
      </c>
      <c r="H6360" t="s">
        <v>27</v>
      </c>
      <c r="I6360" t="s">
        <v>52</v>
      </c>
      <c r="J6360">
        <v>579.46</v>
      </c>
      <c r="K6360">
        <v>0</v>
      </c>
      <c r="L6360">
        <v>0.35</v>
      </c>
      <c r="M6360">
        <v>10.465</v>
      </c>
      <c r="N6360">
        <v>164.745</v>
      </c>
      <c r="O6360" s="1" t="s">
        <v>29</v>
      </c>
      <c r="P6360" s="1" t="s">
        <v>10584</v>
      </c>
      <c r="Q6360" s="1" t="s">
        <v>10585</v>
      </c>
      <c r="R6360" s="1" t="s">
        <v>32</v>
      </c>
      <c r="S6360" s="1" t="s">
        <v>10586</v>
      </c>
      <c r="T6360" s="1" t="s">
        <v>10587</v>
      </c>
      <c r="U6360" s="2" t="s">
        <v>4681</v>
      </c>
      <c r="V6360" s="2" t="s">
        <v>47</v>
      </c>
      <c r="W6360" s="2" t="s">
        <v>111</v>
      </c>
      <c r="X6360" s="2">
        <v>23.625</v>
      </c>
    </row>
    <row r="6361" spans="1:24" x14ac:dyDescent="0.3">
      <c r="A6361">
        <v>24179</v>
      </c>
      <c r="B6361" t="s">
        <v>12954</v>
      </c>
      <c r="C6361" s="3">
        <v>41280</v>
      </c>
      <c r="D6361" t="s">
        <v>25</v>
      </c>
      <c r="E6361">
        <v>4</v>
      </c>
      <c r="F6361" s="3">
        <f ca="1">41287+(RANDBETWEEN(1,10))</f>
        <v>41293</v>
      </c>
      <c r="G6361" t="s">
        <v>26</v>
      </c>
      <c r="H6361" t="s">
        <v>27</v>
      </c>
      <c r="I6361" t="s">
        <v>86</v>
      </c>
      <c r="J6361">
        <v>95.13</v>
      </c>
      <c r="K6361">
        <v>0.04</v>
      </c>
      <c r="L6361">
        <v>0.6</v>
      </c>
      <c r="M6361">
        <v>18.27</v>
      </c>
      <c r="N6361">
        <v>-96.391400000000004</v>
      </c>
      <c r="O6361" s="1" t="s">
        <v>40</v>
      </c>
      <c r="P6361" s="1" t="s">
        <v>11421</v>
      </c>
      <c r="Q6361" s="1" t="s">
        <v>11422</v>
      </c>
      <c r="R6361" s="1" t="s">
        <v>220</v>
      </c>
      <c r="S6361" s="1" t="s">
        <v>3354</v>
      </c>
      <c r="T6361" s="1" t="s">
        <v>7424</v>
      </c>
      <c r="U6361" s="2" t="s">
        <v>995</v>
      </c>
      <c r="V6361" s="2" t="s">
        <v>83</v>
      </c>
      <c r="W6361" s="2" t="s">
        <v>178</v>
      </c>
      <c r="X6361" s="2">
        <v>21.84</v>
      </c>
    </row>
    <row r="6362" spans="1:24" x14ac:dyDescent="0.3">
      <c r="A6362">
        <v>24180</v>
      </c>
      <c r="B6362" t="s">
        <v>12955</v>
      </c>
      <c r="C6362" s="3">
        <v>40745</v>
      </c>
      <c r="D6362" t="s">
        <v>50</v>
      </c>
      <c r="E6362">
        <v>7</v>
      </c>
      <c r="F6362" s="3">
        <f ca="1">40747+(RANDBETWEEN(1,10))</f>
        <v>40748</v>
      </c>
      <c r="G6362" t="s">
        <v>26</v>
      </c>
      <c r="H6362" t="s">
        <v>27</v>
      </c>
      <c r="I6362" t="s">
        <v>28</v>
      </c>
      <c r="J6362">
        <v>409.255</v>
      </c>
      <c r="K6362">
        <v>0.04</v>
      </c>
      <c r="L6362">
        <v>0.59</v>
      </c>
      <c r="M6362">
        <v>62.23</v>
      </c>
      <c r="N6362">
        <v>-931.77</v>
      </c>
      <c r="O6362" s="1" t="s">
        <v>87</v>
      </c>
      <c r="P6362" s="1" t="s">
        <v>12956</v>
      </c>
      <c r="Q6362" s="1" t="s">
        <v>12957</v>
      </c>
      <c r="R6362" s="1" t="s">
        <v>497</v>
      </c>
      <c r="S6362" s="1" t="s">
        <v>12958</v>
      </c>
      <c r="T6362" s="1" t="s">
        <v>12959</v>
      </c>
      <c r="U6362" s="2" t="s">
        <v>4598</v>
      </c>
      <c r="V6362" s="2" t="s">
        <v>47</v>
      </c>
      <c r="W6362" s="2" t="s">
        <v>119</v>
      </c>
      <c r="X6362" s="2">
        <v>54.284999999999997</v>
      </c>
    </row>
    <row r="6363" spans="1:24" x14ac:dyDescent="0.3">
      <c r="A6363">
        <v>24181</v>
      </c>
      <c r="B6363" t="s">
        <v>12960</v>
      </c>
      <c r="C6363" s="3">
        <v>41283</v>
      </c>
      <c r="D6363" t="s">
        <v>148</v>
      </c>
      <c r="E6363">
        <v>11</v>
      </c>
      <c r="F6363" s="3">
        <f ca="1">41284+(RANDBETWEEN(1,10))</f>
        <v>41291</v>
      </c>
      <c r="G6363" t="s">
        <v>26</v>
      </c>
      <c r="H6363" t="s">
        <v>27</v>
      </c>
      <c r="I6363" t="s">
        <v>28</v>
      </c>
      <c r="J6363">
        <v>189.7</v>
      </c>
      <c r="K6363">
        <v>0.09</v>
      </c>
      <c r="L6363">
        <v>0.37</v>
      </c>
      <c r="M6363">
        <v>10.465</v>
      </c>
      <c r="N6363">
        <v>-55.8992</v>
      </c>
      <c r="O6363" s="1" t="s">
        <v>29</v>
      </c>
      <c r="P6363" s="1" t="s">
        <v>7188</v>
      </c>
      <c r="Q6363" s="1" t="s">
        <v>7189</v>
      </c>
      <c r="R6363" s="1" t="s">
        <v>32</v>
      </c>
      <c r="S6363" s="1" t="s">
        <v>7190</v>
      </c>
      <c r="T6363" s="1" t="s">
        <v>7191</v>
      </c>
      <c r="U6363" s="2" t="s">
        <v>1041</v>
      </c>
      <c r="V6363" s="2" t="s">
        <v>47</v>
      </c>
      <c r="W6363" s="2" t="s">
        <v>111</v>
      </c>
      <c r="X6363" s="2">
        <v>18.48</v>
      </c>
    </row>
    <row r="6364" spans="1:24" x14ac:dyDescent="0.3">
      <c r="A6364">
        <v>24182</v>
      </c>
      <c r="B6364" t="s">
        <v>12960</v>
      </c>
      <c r="C6364" s="3">
        <v>41283</v>
      </c>
      <c r="D6364" t="s">
        <v>148</v>
      </c>
      <c r="E6364">
        <v>13</v>
      </c>
      <c r="F6364" s="3">
        <f ca="1">41284+(RANDBETWEEN(1,10))</f>
        <v>41291</v>
      </c>
      <c r="G6364" t="s">
        <v>26</v>
      </c>
      <c r="H6364" t="s">
        <v>96</v>
      </c>
      <c r="I6364" t="s">
        <v>28</v>
      </c>
      <c r="J6364">
        <v>193.13</v>
      </c>
      <c r="K6364">
        <v>0.03</v>
      </c>
      <c r="L6364">
        <v>0.36</v>
      </c>
      <c r="M6364">
        <v>7.91</v>
      </c>
      <c r="N6364">
        <v>36.707999999999998</v>
      </c>
      <c r="O6364" s="1" t="s">
        <v>29</v>
      </c>
      <c r="P6364" s="1" t="s">
        <v>7188</v>
      </c>
      <c r="Q6364" s="1" t="s">
        <v>7189</v>
      </c>
      <c r="R6364" s="1" t="s">
        <v>32</v>
      </c>
      <c r="S6364" s="1" t="s">
        <v>7190</v>
      </c>
      <c r="T6364" s="1" t="s">
        <v>7191</v>
      </c>
      <c r="U6364" s="2" t="s">
        <v>11875</v>
      </c>
      <c r="V6364" s="2" t="s">
        <v>47</v>
      </c>
      <c r="W6364" s="2" t="s">
        <v>74</v>
      </c>
      <c r="X6364" s="2">
        <v>14.7</v>
      </c>
    </row>
    <row r="6365" spans="1:24" x14ac:dyDescent="0.3">
      <c r="A6365">
        <v>24183</v>
      </c>
      <c r="B6365" t="s">
        <v>12961</v>
      </c>
      <c r="C6365" s="3">
        <v>41803</v>
      </c>
      <c r="D6365" t="s">
        <v>50</v>
      </c>
      <c r="E6365">
        <v>15</v>
      </c>
      <c r="F6365" s="3">
        <f ca="1">41804+(RANDBETWEEN(1,10))</f>
        <v>41813</v>
      </c>
      <c r="G6365" t="s">
        <v>26</v>
      </c>
      <c r="H6365" t="s">
        <v>27</v>
      </c>
      <c r="I6365" t="s">
        <v>97</v>
      </c>
      <c r="J6365">
        <v>834.22500000000002</v>
      </c>
      <c r="K6365">
        <v>7.0000000000000007E-2</v>
      </c>
      <c r="L6365">
        <v>0.37</v>
      </c>
      <c r="M6365">
        <v>10.465</v>
      </c>
      <c r="N6365">
        <v>575.61524999999995</v>
      </c>
      <c r="O6365" s="1" t="s">
        <v>53</v>
      </c>
      <c r="P6365" s="1" t="s">
        <v>12962</v>
      </c>
      <c r="Q6365" s="1" t="s">
        <v>12963</v>
      </c>
      <c r="R6365" s="1" t="s">
        <v>440</v>
      </c>
      <c r="S6365" s="1" t="s">
        <v>12964</v>
      </c>
      <c r="T6365" s="1" t="s">
        <v>12965</v>
      </c>
      <c r="U6365" s="2" t="s">
        <v>3285</v>
      </c>
      <c r="V6365" s="2" t="s">
        <v>47</v>
      </c>
      <c r="W6365" s="2" t="s">
        <v>111</v>
      </c>
      <c r="X6365" s="2">
        <v>57.784999999999997</v>
      </c>
    </row>
    <row r="6366" spans="1:24" x14ac:dyDescent="0.3">
      <c r="A6366">
        <v>24184</v>
      </c>
      <c r="B6366" t="s">
        <v>12961</v>
      </c>
      <c r="C6366" s="3">
        <v>41803</v>
      </c>
      <c r="D6366" t="s">
        <v>50</v>
      </c>
      <c r="E6366">
        <v>8</v>
      </c>
      <c r="F6366" s="3">
        <f ca="1">41804+(RANDBETWEEN(1,10))</f>
        <v>41813</v>
      </c>
      <c r="G6366" t="s">
        <v>26</v>
      </c>
      <c r="H6366" t="s">
        <v>27</v>
      </c>
      <c r="I6366" t="s">
        <v>97</v>
      </c>
      <c r="J6366">
        <v>1592.675</v>
      </c>
      <c r="K6366">
        <v>0.01</v>
      </c>
      <c r="L6366">
        <v>0.37</v>
      </c>
      <c r="M6366">
        <v>23.765000000000001</v>
      </c>
      <c r="N6366">
        <v>1098.9457500000001</v>
      </c>
      <c r="O6366" s="1" t="s">
        <v>53</v>
      </c>
      <c r="P6366" s="1" t="s">
        <v>12962</v>
      </c>
      <c r="Q6366" s="1" t="s">
        <v>12963</v>
      </c>
      <c r="R6366" s="1" t="s">
        <v>440</v>
      </c>
      <c r="S6366" s="1" t="s">
        <v>12964</v>
      </c>
      <c r="T6366" s="1" t="s">
        <v>12965</v>
      </c>
      <c r="U6366" s="2" t="s">
        <v>4840</v>
      </c>
      <c r="V6366" s="2" t="s">
        <v>47</v>
      </c>
      <c r="W6366" s="2" t="s">
        <v>74</v>
      </c>
      <c r="X6366" s="2">
        <v>194.18</v>
      </c>
    </row>
    <row r="6367" spans="1:24" x14ac:dyDescent="0.3">
      <c r="A6367">
        <v>24185</v>
      </c>
      <c r="B6367" t="s">
        <v>12961</v>
      </c>
      <c r="C6367" s="3">
        <v>41803</v>
      </c>
      <c r="D6367" t="s">
        <v>50</v>
      </c>
      <c r="E6367">
        <v>17</v>
      </c>
      <c r="F6367" s="3">
        <f ca="1">41804+(RANDBETWEEN(1,10))</f>
        <v>41805</v>
      </c>
      <c r="G6367" t="s">
        <v>26</v>
      </c>
      <c r="H6367" t="s">
        <v>63</v>
      </c>
      <c r="I6367" t="s">
        <v>97</v>
      </c>
      <c r="J6367">
        <v>4730.67</v>
      </c>
      <c r="K6367">
        <v>0.03</v>
      </c>
      <c r="L6367">
        <v>0.83</v>
      </c>
      <c r="M6367">
        <v>122.5</v>
      </c>
      <c r="N6367">
        <v>-3074.3159999999998</v>
      </c>
      <c r="O6367" s="1" t="s">
        <v>53</v>
      </c>
      <c r="P6367" s="1" t="s">
        <v>12962</v>
      </c>
      <c r="Q6367" s="1" t="s">
        <v>12963</v>
      </c>
      <c r="R6367" s="1" t="s">
        <v>440</v>
      </c>
      <c r="S6367" s="1" t="s">
        <v>12964</v>
      </c>
      <c r="T6367" s="1" t="s">
        <v>12965</v>
      </c>
      <c r="U6367" s="2" t="s">
        <v>5963</v>
      </c>
      <c r="V6367" s="2" t="s">
        <v>47</v>
      </c>
      <c r="W6367" s="2" t="s">
        <v>119</v>
      </c>
      <c r="X6367" s="2">
        <v>275.8</v>
      </c>
    </row>
    <row r="6368" spans="1:24" x14ac:dyDescent="0.3">
      <c r="A6368">
        <v>24186</v>
      </c>
      <c r="B6368" t="s">
        <v>12966</v>
      </c>
      <c r="C6368" s="3">
        <v>41213</v>
      </c>
      <c r="D6368" t="s">
        <v>39</v>
      </c>
      <c r="E6368">
        <v>11</v>
      </c>
      <c r="F6368" s="3">
        <f ca="1">41213+(RANDBETWEEN(1,10))</f>
        <v>41218</v>
      </c>
      <c r="G6368" t="s">
        <v>26</v>
      </c>
      <c r="H6368" t="s">
        <v>27</v>
      </c>
      <c r="I6368" t="s">
        <v>86</v>
      </c>
      <c r="J6368">
        <v>1555.19</v>
      </c>
      <c r="K6368">
        <v>0.02</v>
      </c>
      <c r="L6368">
        <v>0.56000000000000005</v>
      </c>
      <c r="M6368">
        <v>17.465</v>
      </c>
      <c r="N6368">
        <v>549.22896000000003</v>
      </c>
      <c r="O6368" s="1" t="s">
        <v>225</v>
      </c>
      <c r="P6368" s="1" t="s">
        <v>9379</v>
      </c>
      <c r="Q6368" s="1" t="s">
        <v>9380</v>
      </c>
      <c r="R6368" s="1" t="s">
        <v>391</v>
      </c>
      <c r="S6368" s="1" t="s">
        <v>9381</v>
      </c>
      <c r="T6368" s="1" t="s">
        <v>9382</v>
      </c>
      <c r="U6368" s="2" t="s">
        <v>3202</v>
      </c>
      <c r="V6368" s="2" t="s">
        <v>36</v>
      </c>
      <c r="W6368" s="2" t="s">
        <v>37</v>
      </c>
      <c r="X6368" s="2">
        <v>160.965</v>
      </c>
    </row>
    <row r="6369" spans="1:24" x14ac:dyDescent="0.3">
      <c r="A6369">
        <v>24187</v>
      </c>
      <c r="B6369" t="s">
        <v>12967</v>
      </c>
      <c r="C6369" s="3">
        <v>40600</v>
      </c>
      <c r="D6369" t="s">
        <v>39</v>
      </c>
      <c r="E6369">
        <v>2</v>
      </c>
      <c r="F6369" s="3">
        <f ca="1">40601+(RANDBETWEEN(1,10))</f>
        <v>40610</v>
      </c>
      <c r="G6369" t="s">
        <v>26</v>
      </c>
      <c r="H6369" t="s">
        <v>96</v>
      </c>
      <c r="I6369" t="s">
        <v>52</v>
      </c>
      <c r="J6369">
        <v>24.395</v>
      </c>
      <c r="K6369">
        <v>0.1</v>
      </c>
      <c r="L6369">
        <v>0.39</v>
      </c>
      <c r="M6369">
        <v>7.7</v>
      </c>
      <c r="N6369">
        <v>-28.98</v>
      </c>
      <c r="O6369" s="1" t="s">
        <v>87</v>
      </c>
      <c r="P6369" s="1" t="s">
        <v>6029</v>
      </c>
      <c r="Q6369" s="1" t="s">
        <v>6030</v>
      </c>
      <c r="R6369" s="1" t="s">
        <v>497</v>
      </c>
      <c r="S6369" s="1" t="s">
        <v>1859</v>
      </c>
      <c r="T6369" s="1" t="s">
        <v>1860</v>
      </c>
      <c r="U6369" s="2" t="s">
        <v>7440</v>
      </c>
      <c r="V6369" s="2" t="s">
        <v>47</v>
      </c>
      <c r="W6369" s="2" t="s">
        <v>74</v>
      </c>
      <c r="X6369" s="2">
        <v>12.6</v>
      </c>
    </row>
    <row r="6370" spans="1:24" x14ac:dyDescent="0.3">
      <c r="A6370">
        <v>24188</v>
      </c>
      <c r="B6370" t="s">
        <v>12968</v>
      </c>
      <c r="C6370" s="3">
        <v>41800</v>
      </c>
      <c r="D6370" t="s">
        <v>39</v>
      </c>
      <c r="E6370">
        <v>17</v>
      </c>
      <c r="F6370" s="3">
        <f ca="1">41801+(RANDBETWEEN(1,10))</f>
        <v>41806</v>
      </c>
      <c r="G6370" t="s">
        <v>26</v>
      </c>
      <c r="H6370" t="s">
        <v>96</v>
      </c>
      <c r="I6370" t="s">
        <v>97</v>
      </c>
      <c r="J6370">
        <v>198.27500000000001</v>
      </c>
      <c r="K6370">
        <v>0.09</v>
      </c>
      <c r="L6370">
        <v>0.56000000000000005</v>
      </c>
      <c r="M6370">
        <v>17.5</v>
      </c>
      <c r="N6370">
        <v>-451.38799999999998</v>
      </c>
      <c r="O6370" s="1" t="s">
        <v>40</v>
      </c>
      <c r="P6370" s="1" t="s">
        <v>4763</v>
      </c>
      <c r="Q6370" s="1" t="s">
        <v>4764</v>
      </c>
      <c r="R6370" s="1" t="s">
        <v>220</v>
      </c>
      <c r="S6370" s="1" t="s">
        <v>4765</v>
      </c>
      <c r="T6370" s="1" t="s">
        <v>4766</v>
      </c>
      <c r="U6370" s="2" t="s">
        <v>2523</v>
      </c>
      <c r="V6370" s="2" t="s">
        <v>47</v>
      </c>
      <c r="W6370" s="2" t="s">
        <v>104</v>
      </c>
      <c r="X6370" s="2">
        <v>11.48</v>
      </c>
    </row>
    <row r="6371" spans="1:24" x14ac:dyDescent="0.3">
      <c r="A6371">
        <v>24189</v>
      </c>
      <c r="B6371" t="s">
        <v>12969</v>
      </c>
      <c r="C6371" s="3">
        <v>41615</v>
      </c>
      <c r="D6371" t="s">
        <v>62</v>
      </c>
      <c r="E6371">
        <v>12</v>
      </c>
      <c r="F6371" s="3">
        <f ca="1">41618+(RANDBETWEEN(1,10))</f>
        <v>41623</v>
      </c>
      <c r="G6371" t="s">
        <v>156</v>
      </c>
      <c r="H6371" t="s">
        <v>281</v>
      </c>
      <c r="I6371" t="s">
        <v>28</v>
      </c>
      <c r="J6371">
        <v>668.85</v>
      </c>
      <c r="K6371">
        <v>0.03</v>
      </c>
      <c r="L6371">
        <v>0.52</v>
      </c>
      <c r="M6371">
        <v>23.625</v>
      </c>
      <c r="N6371">
        <v>59.797499999999999</v>
      </c>
      <c r="O6371" s="1" t="s">
        <v>225</v>
      </c>
      <c r="P6371" s="1" t="s">
        <v>11861</v>
      </c>
      <c r="Q6371" s="1" t="s">
        <v>11862</v>
      </c>
      <c r="R6371" s="1" t="s">
        <v>228</v>
      </c>
      <c r="S6371" s="1" t="s">
        <v>229</v>
      </c>
      <c r="T6371" s="1" t="s">
        <v>11863</v>
      </c>
      <c r="U6371" s="2" t="s">
        <v>1196</v>
      </c>
      <c r="V6371" s="2" t="s">
        <v>47</v>
      </c>
      <c r="W6371" s="2" t="s">
        <v>71</v>
      </c>
      <c r="X6371" s="2">
        <v>50.47</v>
      </c>
    </row>
    <row r="6372" spans="1:24" x14ac:dyDescent="0.3">
      <c r="A6372">
        <v>24190</v>
      </c>
      <c r="B6372" t="s">
        <v>12969</v>
      </c>
      <c r="C6372" s="3">
        <v>41615</v>
      </c>
      <c r="D6372" t="s">
        <v>62</v>
      </c>
      <c r="E6372">
        <v>9</v>
      </c>
      <c r="F6372" s="3">
        <f ca="1">41617+(RANDBETWEEN(1,10))</f>
        <v>41624</v>
      </c>
      <c r="G6372" t="s">
        <v>76</v>
      </c>
      <c r="H6372" t="s">
        <v>77</v>
      </c>
      <c r="I6372" t="s">
        <v>28</v>
      </c>
      <c r="J6372">
        <v>4769.3100000000004</v>
      </c>
      <c r="K6372">
        <v>7.0000000000000007E-2</v>
      </c>
      <c r="L6372">
        <v>0.55000000000000004</v>
      </c>
      <c r="M6372">
        <v>502.98500000000001</v>
      </c>
      <c r="N6372">
        <v>615.45749999999998</v>
      </c>
      <c r="O6372" s="1" t="s">
        <v>225</v>
      </c>
      <c r="P6372" s="1" t="s">
        <v>11861</v>
      </c>
      <c r="Q6372" s="1" t="s">
        <v>11862</v>
      </c>
      <c r="R6372" s="1" t="s">
        <v>228</v>
      </c>
      <c r="S6372" s="1" t="s">
        <v>229</v>
      </c>
      <c r="T6372" s="1" t="s">
        <v>11863</v>
      </c>
      <c r="U6372" s="2" t="s">
        <v>3322</v>
      </c>
      <c r="V6372" s="2" t="s">
        <v>83</v>
      </c>
      <c r="W6372" s="2" t="s">
        <v>84</v>
      </c>
      <c r="X6372" s="2">
        <v>528.42999999999995</v>
      </c>
    </row>
    <row r="6373" spans="1:24" x14ac:dyDescent="0.3">
      <c r="A6373">
        <v>24191</v>
      </c>
      <c r="B6373" t="s">
        <v>12969</v>
      </c>
      <c r="C6373" s="3">
        <v>41615</v>
      </c>
      <c r="D6373" t="s">
        <v>62</v>
      </c>
      <c r="E6373">
        <v>20</v>
      </c>
      <c r="F6373" s="3">
        <f ca="1">41617+(RANDBETWEEN(1,10))</f>
        <v>41623</v>
      </c>
      <c r="G6373" t="s">
        <v>26</v>
      </c>
      <c r="H6373" t="s">
        <v>281</v>
      </c>
      <c r="I6373" t="s">
        <v>28</v>
      </c>
      <c r="J6373">
        <v>1273.3699999999999</v>
      </c>
      <c r="K6373">
        <v>0.01</v>
      </c>
      <c r="L6373">
        <v>0.4</v>
      </c>
      <c r="M6373">
        <v>29.785</v>
      </c>
      <c r="N6373">
        <v>145.11000000000001</v>
      </c>
      <c r="O6373" s="1" t="s">
        <v>225</v>
      </c>
      <c r="P6373" s="1" t="s">
        <v>11861</v>
      </c>
      <c r="Q6373" s="1" t="s">
        <v>11862</v>
      </c>
      <c r="R6373" s="1" t="s">
        <v>228</v>
      </c>
      <c r="S6373" s="1" t="s">
        <v>229</v>
      </c>
      <c r="T6373" s="1" t="s">
        <v>11863</v>
      </c>
      <c r="U6373" s="2" t="s">
        <v>282</v>
      </c>
      <c r="V6373" s="2" t="s">
        <v>36</v>
      </c>
      <c r="W6373" s="2" t="s">
        <v>142</v>
      </c>
      <c r="X6373" s="2">
        <v>62.93</v>
      </c>
    </row>
    <row r="6374" spans="1:24" x14ac:dyDescent="0.3">
      <c r="A6374">
        <v>24192</v>
      </c>
      <c r="B6374" t="s">
        <v>12969</v>
      </c>
      <c r="C6374" s="3">
        <v>41615</v>
      </c>
      <c r="D6374" t="s">
        <v>62</v>
      </c>
      <c r="E6374">
        <v>8</v>
      </c>
      <c r="F6374" s="3">
        <f ca="1">41616+(RANDBETWEEN(1,10))</f>
        <v>41620</v>
      </c>
      <c r="G6374" t="s">
        <v>26</v>
      </c>
      <c r="H6374" t="s">
        <v>27</v>
      </c>
      <c r="I6374" t="s">
        <v>28</v>
      </c>
      <c r="J6374">
        <v>4891.25</v>
      </c>
      <c r="K6374">
        <v>0.02</v>
      </c>
      <c r="L6374">
        <v>0.57999999999999996</v>
      </c>
      <c r="M6374">
        <v>31.465</v>
      </c>
      <c r="N6374">
        <v>1633.2435</v>
      </c>
      <c r="O6374" s="1" t="s">
        <v>225</v>
      </c>
      <c r="P6374" s="1" t="s">
        <v>11861</v>
      </c>
      <c r="Q6374" s="1" t="s">
        <v>11862</v>
      </c>
      <c r="R6374" s="1" t="s">
        <v>228</v>
      </c>
      <c r="S6374" s="1" t="s">
        <v>229</v>
      </c>
      <c r="T6374" s="1" t="s">
        <v>11863</v>
      </c>
      <c r="U6374" s="2" t="s">
        <v>5032</v>
      </c>
      <c r="V6374" s="2" t="s">
        <v>36</v>
      </c>
      <c r="W6374" s="2" t="s">
        <v>37</v>
      </c>
      <c r="X6374" s="2">
        <v>685.96500000000003</v>
      </c>
    </row>
    <row r="6375" spans="1:24" x14ac:dyDescent="0.3">
      <c r="A6375">
        <v>24193</v>
      </c>
      <c r="B6375" t="s">
        <v>12969</v>
      </c>
      <c r="C6375" s="3">
        <v>41615</v>
      </c>
      <c r="D6375" t="s">
        <v>62</v>
      </c>
      <c r="E6375">
        <v>13</v>
      </c>
      <c r="F6375" s="3">
        <f ca="1">41617+(RANDBETWEEN(1,10))</f>
        <v>41620</v>
      </c>
      <c r="G6375" t="s">
        <v>26</v>
      </c>
      <c r="H6375" t="s">
        <v>27</v>
      </c>
      <c r="I6375" t="s">
        <v>28</v>
      </c>
      <c r="J6375">
        <v>4667.53</v>
      </c>
      <c r="K6375">
        <v>7.0000000000000007E-2</v>
      </c>
      <c r="L6375">
        <v>0.57999999999999996</v>
      </c>
      <c r="M6375">
        <v>26.914999999999999</v>
      </c>
      <c r="N6375">
        <v>1739.2725</v>
      </c>
      <c r="O6375" s="1" t="s">
        <v>225</v>
      </c>
      <c r="P6375" s="1" t="s">
        <v>11861</v>
      </c>
      <c r="Q6375" s="1" t="s">
        <v>11862</v>
      </c>
      <c r="R6375" s="1" t="s">
        <v>228</v>
      </c>
      <c r="S6375" s="1" t="s">
        <v>229</v>
      </c>
      <c r="T6375" s="1" t="s">
        <v>11863</v>
      </c>
      <c r="U6375" s="2" t="s">
        <v>2511</v>
      </c>
      <c r="V6375" s="2" t="s">
        <v>36</v>
      </c>
      <c r="W6375" s="2" t="s">
        <v>37</v>
      </c>
      <c r="X6375" s="2">
        <v>440.96499999999997</v>
      </c>
    </row>
    <row r="6376" spans="1:24" x14ac:dyDescent="0.3">
      <c r="A6376">
        <v>24194</v>
      </c>
      <c r="B6376" t="s">
        <v>12970</v>
      </c>
      <c r="C6376" s="3">
        <v>41713</v>
      </c>
      <c r="D6376" t="s">
        <v>25</v>
      </c>
      <c r="E6376">
        <v>9</v>
      </c>
      <c r="F6376" s="3">
        <f ca="1">41713+(RANDBETWEEN(1,10))</f>
        <v>41723</v>
      </c>
      <c r="G6376" t="s">
        <v>156</v>
      </c>
      <c r="H6376" t="s">
        <v>27</v>
      </c>
      <c r="I6376" t="s">
        <v>28</v>
      </c>
      <c r="J6376">
        <v>507.53500000000003</v>
      </c>
      <c r="K6376">
        <v>0.09</v>
      </c>
      <c r="L6376">
        <v>0.57999999999999996</v>
      </c>
      <c r="M6376">
        <v>21.875</v>
      </c>
      <c r="N6376">
        <v>-111.51</v>
      </c>
      <c r="O6376" s="1" t="s">
        <v>87</v>
      </c>
      <c r="P6376" s="1" t="s">
        <v>601</v>
      </c>
      <c r="Q6376" s="1" t="s">
        <v>602</v>
      </c>
      <c r="R6376" s="1" t="s">
        <v>497</v>
      </c>
      <c r="S6376" s="1" t="s">
        <v>603</v>
      </c>
      <c r="T6376" s="1" t="s">
        <v>604</v>
      </c>
      <c r="U6376" s="2" t="s">
        <v>306</v>
      </c>
      <c r="V6376" s="2" t="s">
        <v>47</v>
      </c>
      <c r="W6376" s="2" t="s">
        <v>119</v>
      </c>
      <c r="X6376" s="2">
        <v>59.185000000000002</v>
      </c>
    </row>
    <row r="6377" spans="1:24" x14ac:dyDescent="0.3">
      <c r="A6377">
        <v>24195</v>
      </c>
      <c r="B6377" t="s">
        <v>12971</v>
      </c>
      <c r="C6377" s="3">
        <v>41030</v>
      </c>
      <c r="D6377" t="s">
        <v>50</v>
      </c>
      <c r="E6377">
        <v>16</v>
      </c>
      <c r="F6377" s="3">
        <f ca="1">41032+(RANDBETWEEN(1,10))</f>
        <v>41036</v>
      </c>
      <c r="G6377" t="s">
        <v>26</v>
      </c>
      <c r="H6377" t="s">
        <v>51</v>
      </c>
      <c r="I6377" t="s">
        <v>86</v>
      </c>
      <c r="J6377">
        <v>538.92999999999995</v>
      </c>
      <c r="K6377">
        <v>0.08</v>
      </c>
      <c r="L6377">
        <v>0.41</v>
      </c>
      <c r="M6377">
        <v>6.9649999999999999</v>
      </c>
      <c r="N6377">
        <v>1401.3972000000001</v>
      </c>
      <c r="O6377" s="1" t="s">
        <v>225</v>
      </c>
      <c r="P6377" s="1" t="s">
        <v>12214</v>
      </c>
      <c r="Q6377" s="1" t="s">
        <v>12215</v>
      </c>
      <c r="R6377" s="1" t="s">
        <v>228</v>
      </c>
      <c r="S6377" s="1" t="s">
        <v>12216</v>
      </c>
      <c r="T6377" s="1" t="s">
        <v>12217</v>
      </c>
      <c r="U6377" s="2" t="s">
        <v>1365</v>
      </c>
      <c r="V6377" s="2" t="s">
        <v>36</v>
      </c>
      <c r="W6377" s="2" t="s">
        <v>60</v>
      </c>
      <c r="X6377" s="2">
        <v>35.034999999999997</v>
      </c>
    </row>
    <row r="6378" spans="1:24" x14ac:dyDescent="0.3">
      <c r="A6378">
        <v>24196</v>
      </c>
      <c r="B6378" t="s">
        <v>12971</v>
      </c>
      <c r="C6378" s="3">
        <v>41030</v>
      </c>
      <c r="D6378" t="s">
        <v>50</v>
      </c>
      <c r="E6378">
        <v>11</v>
      </c>
      <c r="F6378" s="3">
        <f ca="1">41031+(RANDBETWEEN(1,10))</f>
        <v>41041</v>
      </c>
      <c r="G6378" t="s">
        <v>26</v>
      </c>
      <c r="H6378" t="s">
        <v>27</v>
      </c>
      <c r="I6378" t="s">
        <v>86</v>
      </c>
      <c r="J6378">
        <v>4285.8900000000003</v>
      </c>
      <c r="K6378">
        <v>0.01</v>
      </c>
      <c r="L6378">
        <v>0.57999999999999996</v>
      </c>
      <c r="M6378">
        <v>26.914999999999999</v>
      </c>
      <c r="N6378">
        <v>-3489.4859999999999</v>
      </c>
      <c r="O6378" s="1" t="s">
        <v>225</v>
      </c>
      <c r="P6378" s="1" t="s">
        <v>12214</v>
      </c>
      <c r="Q6378" s="1" t="s">
        <v>12215</v>
      </c>
      <c r="R6378" s="1" t="s">
        <v>228</v>
      </c>
      <c r="S6378" s="1" t="s">
        <v>12216</v>
      </c>
      <c r="T6378" s="1" t="s">
        <v>12217</v>
      </c>
      <c r="U6378" s="2" t="s">
        <v>2511</v>
      </c>
      <c r="V6378" s="2" t="s">
        <v>36</v>
      </c>
      <c r="W6378" s="2" t="s">
        <v>37</v>
      </c>
      <c r="X6378" s="2">
        <v>440.96499999999997</v>
      </c>
    </row>
    <row r="6379" spans="1:24" x14ac:dyDescent="0.3">
      <c r="A6379">
        <v>24197</v>
      </c>
      <c r="B6379" t="s">
        <v>12972</v>
      </c>
      <c r="C6379" s="3">
        <v>41678</v>
      </c>
      <c r="D6379" t="s">
        <v>39</v>
      </c>
      <c r="E6379">
        <v>13</v>
      </c>
      <c r="F6379" s="3">
        <f ca="1">41679+(RANDBETWEEN(1,10))</f>
        <v>41684</v>
      </c>
      <c r="G6379" t="s">
        <v>26</v>
      </c>
      <c r="H6379" t="s">
        <v>27</v>
      </c>
      <c r="I6379" t="s">
        <v>28</v>
      </c>
      <c r="J6379">
        <v>3276.98</v>
      </c>
      <c r="K6379">
        <v>0.04</v>
      </c>
      <c r="L6379">
        <v>0.65</v>
      </c>
      <c r="M6379">
        <v>50.82</v>
      </c>
      <c r="N6379">
        <v>2043.6380999999999</v>
      </c>
      <c r="O6379" s="1" t="s">
        <v>87</v>
      </c>
      <c r="P6379" s="1" t="s">
        <v>6229</v>
      </c>
      <c r="Q6379" s="1" t="s">
        <v>6230</v>
      </c>
      <c r="R6379" s="1" t="s">
        <v>90</v>
      </c>
      <c r="S6379" s="1" t="s">
        <v>1397</v>
      </c>
      <c r="T6379" s="1" t="s">
        <v>6231</v>
      </c>
      <c r="U6379" s="2" t="s">
        <v>2448</v>
      </c>
      <c r="V6379" s="2" t="s">
        <v>36</v>
      </c>
      <c r="W6379" s="2" t="s">
        <v>60</v>
      </c>
      <c r="X6379" s="2">
        <v>258.93</v>
      </c>
    </row>
    <row r="6380" spans="1:24" x14ac:dyDescent="0.3">
      <c r="A6380">
        <v>24198</v>
      </c>
      <c r="B6380" t="s">
        <v>12973</v>
      </c>
      <c r="C6380" s="3">
        <v>41838</v>
      </c>
      <c r="D6380" t="s">
        <v>62</v>
      </c>
      <c r="E6380">
        <v>15</v>
      </c>
      <c r="F6380" s="3">
        <f ca="1">41840+(RANDBETWEEN(1,10))</f>
        <v>41848</v>
      </c>
      <c r="G6380" t="s">
        <v>76</v>
      </c>
      <c r="H6380" t="s">
        <v>258</v>
      </c>
      <c r="I6380" t="s">
        <v>28</v>
      </c>
      <c r="J6380">
        <v>1740.97</v>
      </c>
      <c r="K6380">
        <v>0</v>
      </c>
      <c r="L6380">
        <v>0.65</v>
      </c>
      <c r="M6380">
        <v>159.285</v>
      </c>
      <c r="N6380">
        <v>-6325.1107920000004</v>
      </c>
      <c r="O6380" s="1" t="s">
        <v>87</v>
      </c>
      <c r="P6380" s="1" t="s">
        <v>11348</v>
      </c>
      <c r="Q6380" s="1" t="s">
        <v>11349</v>
      </c>
      <c r="R6380" s="1" t="s">
        <v>398</v>
      </c>
      <c r="S6380" s="1" t="s">
        <v>11350</v>
      </c>
      <c r="T6380" s="1" t="s">
        <v>11351</v>
      </c>
      <c r="U6380" s="2" t="s">
        <v>1566</v>
      </c>
      <c r="V6380" s="2" t="s">
        <v>83</v>
      </c>
      <c r="W6380" s="2" t="s">
        <v>263</v>
      </c>
      <c r="X6380" s="2">
        <v>111.16</v>
      </c>
    </row>
    <row r="6381" spans="1:24" x14ac:dyDescent="0.3">
      <c r="A6381">
        <v>24199</v>
      </c>
      <c r="B6381" t="s">
        <v>12974</v>
      </c>
      <c r="C6381" s="3">
        <v>40550</v>
      </c>
      <c r="D6381" t="s">
        <v>39</v>
      </c>
      <c r="E6381">
        <v>12</v>
      </c>
      <c r="F6381" s="3">
        <f ca="1">40551+(RANDBETWEEN(1,10))</f>
        <v>40552</v>
      </c>
      <c r="G6381" t="s">
        <v>26</v>
      </c>
      <c r="H6381" t="s">
        <v>27</v>
      </c>
      <c r="I6381" t="s">
        <v>52</v>
      </c>
      <c r="J6381">
        <v>673.15499999999997</v>
      </c>
      <c r="K6381">
        <v>0.08</v>
      </c>
      <c r="L6381">
        <v>0.37</v>
      </c>
      <c r="M6381">
        <v>46.13</v>
      </c>
      <c r="N6381">
        <v>-864.24156000000005</v>
      </c>
      <c r="O6381" s="1" t="s">
        <v>53</v>
      </c>
      <c r="P6381" s="1" t="s">
        <v>11890</v>
      </c>
      <c r="Q6381" s="1" t="s">
        <v>11891</v>
      </c>
      <c r="R6381" s="1" t="s">
        <v>100</v>
      </c>
      <c r="S6381" s="1" t="s">
        <v>3706</v>
      </c>
      <c r="T6381" s="1" t="s">
        <v>3707</v>
      </c>
      <c r="U6381" s="2" t="s">
        <v>197</v>
      </c>
      <c r="V6381" s="2" t="s">
        <v>47</v>
      </c>
      <c r="W6381" s="2" t="s">
        <v>111</v>
      </c>
      <c r="X6381" s="2">
        <v>55.965000000000003</v>
      </c>
    </row>
    <row r="6382" spans="1:24" x14ac:dyDescent="0.3">
      <c r="A6382">
        <v>24200</v>
      </c>
      <c r="B6382" t="s">
        <v>12975</v>
      </c>
      <c r="C6382" s="3">
        <v>40557</v>
      </c>
      <c r="D6382" t="s">
        <v>148</v>
      </c>
      <c r="E6382">
        <v>7</v>
      </c>
      <c r="F6382" s="3">
        <f ca="1">40557+(RANDBETWEEN(1,10))</f>
        <v>40567</v>
      </c>
      <c r="G6382" t="s">
        <v>26</v>
      </c>
      <c r="H6382" t="s">
        <v>63</v>
      </c>
      <c r="I6382" t="s">
        <v>28</v>
      </c>
      <c r="J6382">
        <v>488.21499999999997</v>
      </c>
      <c r="K6382">
        <v>0.06</v>
      </c>
      <c r="L6382">
        <v>0.6</v>
      </c>
      <c r="M6382">
        <v>39.094999999999999</v>
      </c>
      <c r="N6382">
        <v>-233.8826</v>
      </c>
      <c r="O6382" s="1" t="s">
        <v>87</v>
      </c>
      <c r="P6382" s="1" t="s">
        <v>4239</v>
      </c>
      <c r="Q6382" s="1" t="s">
        <v>4240</v>
      </c>
      <c r="R6382" s="1" t="s">
        <v>90</v>
      </c>
      <c r="S6382" s="1" t="s">
        <v>4241</v>
      </c>
      <c r="T6382" s="1" t="s">
        <v>4242</v>
      </c>
      <c r="U6382" s="2" t="s">
        <v>7243</v>
      </c>
      <c r="V6382" s="2" t="s">
        <v>83</v>
      </c>
      <c r="W6382" s="2" t="s">
        <v>178</v>
      </c>
      <c r="X6382" s="2">
        <v>69.965000000000003</v>
      </c>
    </row>
    <row r="6383" spans="1:24" x14ac:dyDescent="0.3">
      <c r="A6383">
        <v>24201</v>
      </c>
      <c r="B6383" t="s">
        <v>12976</v>
      </c>
      <c r="C6383" s="3">
        <v>41653</v>
      </c>
      <c r="D6383" t="s">
        <v>148</v>
      </c>
      <c r="E6383">
        <v>10</v>
      </c>
      <c r="F6383" s="3">
        <f ca="1">41654+(RANDBETWEEN(1,10))</f>
        <v>41664</v>
      </c>
      <c r="G6383" t="s">
        <v>76</v>
      </c>
      <c r="H6383" t="s">
        <v>77</v>
      </c>
      <c r="I6383" t="s">
        <v>28</v>
      </c>
      <c r="J6383">
        <v>9645.2649999999994</v>
      </c>
      <c r="K6383">
        <v>0</v>
      </c>
      <c r="L6383">
        <v>0.57999999999999996</v>
      </c>
      <c r="M6383">
        <v>62.51</v>
      </c>
      <c r="N6383">
        <v>6655.2328500000003</v>
      </c>
      <c r="O6383" s="1" t="s">
        <v>87</v>
      </c>
      <c r="P6383" s="1" t="s">
        <v>4239</v>
      </c>
      <c r="Q6383" s="1" t="s">
        <v>4240</v>
      </c>
      <c r="R6383" s="1" t="s">
        <v>90</v>
      </c>
      <c r="S6383" s="1" t="s">
        <v>4241</v>
      </c>
      <c r="T6383" s="1" t="s">
        <v>4242</v>
      </c>
      <c r="U6383" s="2" t="s">
        <v>2262</v>
      </c>
      <c r="V6383" s="2" t="s">
        <v>36</v>
      </c>
      <c r="W6383" s="2" t="s">
        <v>142</v>
      </c>
      <c r="X6383" s="2">
        <v>927.43</v>
      </c>
    </row>
    <row r="6384" spans="1:24" x14ac:dyDescent="0.3">
      <c r="A6384">
        <v>24202</v>
      </c>
      <c r="B6384" t="s">
        <v>12975</v>
      </c>
      <c r="C6384" s="3">
        <v>40557</v>
      </c>
      <c r="D6384" t="s">
        <v>148</v>
      </c>
      <c r="E6384">
        <v>6</v>
      </c>
      <c r="F6384" s="3">
        <f ca="1">40559+(RANDBETWEEN(1,10))</f>
        <v>40569</v>
      </c>
      <c r="G6384" t="s">
        <v>76</v>
      </c>
      <c r="H6384" t="s">
        <v>77</v>
      </c>
      <c r="I6384" t="s">
        <v>28</v>
      </c>
      <c r="J6384">
        <v>6833.5050000000001</v>
      </c>
      <c r="K6384">
        <v>0.06</v>
      </c>
      <c r="L6384">
        <v>0.56999999999999995</v>
      </c>
      <c r="M6384">
        <v>206.32499999999999</v>
      </c>
      <c r="N6384">
        <v>3400.6770000000001</v>
      </c>
      <c r="O6384" s="1" t="s">
        <v>40</v>
      </c>
      <c r="P6384" s="1" t="s">
        <v>12977</v>
      </c>
      <c r="Q6384" s="1" t="s">
        <v>12978</v>
      </c>
      <c r="R6384" s="1" t="s">
        <v>43</v>
      </c>
      <c r="S6384" s="1" t="s">
        <v>2105</v>
      </c>
      <c r="T6384" s="1" t="s">
        <v>2106</v>
      </c>
      <c r="U6384" s="2" t="s">
        <v>850</v>
      </c>
      <c r="V6384" s="2" t="s">
        <v>83</v>
      </c>
      <c r="W6384" s="2" t="s">
        <v>84</v>
      </c>
      <c r="X6384" s="2">
        <v>1123.43</v>
      </c>
    </row>
    <row r="6385" spans="1:24" x14ac:dyDescent="0.3">
      <c r="A6385">
        <v>24203</v>
      </c>
      <c r="B6385" t="s">
        <v>12979</v>
      </c>
      <c r="C6385" s="3">
        <v>40981</v>
      </c>
      <c r="D6385" t="s">
        <v>62</v>
      </c>
      <c r="E6385">
        <v>11</v>
      </c>
      <c r="F6385" s="3">
        <f ca="1">40982+(RANDBETWEEN(1,10))</f>
        <v>40991</v>
      </c>
      <c r="G6385" t="s">
        <v>26</v>
      </c>
      <c r="H6385" t="s">
        <v>51</v>
      </c>
      <c r="I6385" t="s">
        <v>52</v>
      </c>
      <c r="J6385">
        <v>614.77499999999998</v>
      </c>
      <c r="K6385">
        <v>0.08</v>
      </c>
      <c r="L6385">
        <v>0.55000000000000004</v>
      </c>
      <c r="M6385">
        <v>19.074999999999999</v>
      </c>
      <c r="N6385">
        <v>-7.6929999999999996</v>
      </c>
      <c r="O6385" s="1" t="s">
        <v>87</v>
      </c>
      <c r="P6385" s="1" t="s">
        <v>3148</v>
      </c>
      <c r="Q6385" s="1" t="s">
        <v>3149</v>
      </c>
      <c r="R6385" s="1" t="s">
        <v>646</v>
      </c>
      <c r="S6385" s="1" t="s">
        <v>3150</v>
      </c>
      <c r="T6385" s="1" t="s">
        <v>3151</v>
      </c>
      <c r="U6385" s="2" t="s">
        <v>2180</v>
      </c>
      <c r="V6385" s="2" t="s">
        <v>47</v>
      </c>
      <c r="W6385" s="2" t="s">
        <v>104</v>
      </c>
      <c r="X6385" s="2">
        <v>55.79</v>
      </c>
    </row>
    <row r="6386" spans="1:24" x14ac:dyDescent="0.3">
      <c r="A6386">
        <v>24204</v>
      </c>
      <c r="B6386" t="s">
        <v>12980</v>
      </c>
      <c r="C6386" s="3">
        <v>41691</v>
      </c>
      <c r="D6386" t="s">
        <v>62</v>
      </c>
      <c r="E6386">
        <v>3</v>
      </c>
      <c r="F6386" s="3">
        <f ca="1">41692+(RANDBETWEEN(1,10))</f>
        <v>41696</v>
      </c>
      <c r="G6386" t="s">
        <v>26</v>
      </c>
      <c r="H6386" t="s">
        <v>27</v>
      </c>
      <c r="I6386" t="s">
        <v>52</v>
      </c>
      <c r="J6386">
        <v>1697.675</v>
      </c>
      <c r="K6386">
        <v>0.09</v>
      </c>
      <c r="L6386">
        <v>0.59</v>
      </c>
      <c r="M6386">
        <v>14.7</v>
      </c>
      <c r="N6386">
        <v>-753.67600000000004</v>
      </c>
      <c r="O6386" s="1" t="s">
        <v>87</v>
      </c>
      <c r="P6386" s="1" t="s">
        <v>11348</v>
      </c>
      <c r="Q6386" s="1" t="s">
        <v>11349</v>
      </c>
      <c r="R6386" s="1" t="s">
        <v>398</v>
      </c>
      <c r="S6386" s="1" t="s">
        <v>11350</v>
      </c>
      <c r="T6386" s="1" t="s">
        <v>11351</v>
      </c>
      <c r="U6386" s="2" t="s">
        <v>2133</v>
      </c>
      <c r="V6386" s="2" t="s">
        <v>36</v>
      </c>
      <c r="W6386" s="2" t="s">
        <v>37</v>
      </c>
      <c r="X6386" s="2">
        <v>703.46500000000003</v>
      </c>
    </row>
    <row r="6387" spans="1:24" x14ac:dyDescent="0.3">
      <c r="A6387">
        <v>24205</v>
      </c>
      <c r="B6387" t="s">
        <v>12981</v>
      </c>
      <c r="C6387" s="3">
        <v>40960</v>
      </c>
      <c r="D6387" t="s">
        <v>62</v>
      </c>
      <c r="E6387">
        <v>11</v>
      </c>
      <c r="F6387" s="3">
        <f ca="1">40961+(RANDBETWEEN(1,10))</f>
        <v>40968</v>
      </c>
      <c r="G6387" t="s">
        <v>26</v>
      </c>
      <c r="H6387" t="s">
        <v>51</v>
      </c>
      <c r="I6387" t="s">
        <v>52</v>
      </c>
      <c r="J6387">
        <v>1502.55</v>
      </c>
      <c r="K6387">
        <v>0.08</v>
      </c>
      <c r="L6387">
        <v>0.59</v>
      </c>
      <c r="M6387">
        <v>31.465</v>
      </c>
      <c r="N6387">
        <v>616.45500000000004</v>
      </c>
      <c r="O6387" s="1" t="s">
        <v>225</v>
      </c>
      <c r="P6387" s="1" t="s">
        <v>12982</v>
      </c>
      <c r="Q6387" s="1" t="s">
        <v>12983</v>
      </c>
      <c r="R6387" s="1" t="s">
        <v>391</v>
      </c>
      <c r="S6387" s="1" t="s">
        <v>2934</v>
      </c>
      <c r="T6387" s="1" t="s">
        <v>2935</v>
      </c>
      <c r="U6387" s="2" t="s">
        <v>2755</v>
      </c>
      <c r="V6387" s="2" t="s">
        <v>47</v>
      </c>
      <c r="W6387" s="2" t="s">
        <v>104</v>
      </c>
      <c r="X6387" s="2">
        <v>143.39500000000001</v>
      </c>
    </row>
    <row r="6388" spans="1:24" x14ac:dyDescent="0.3">
      <c r="A6388">
        <v>24206</v>
      </c>
      <c r="B6388" t="s">
        <v>12984</v>
      </c>
      <c r="C6388" s="3">
        <v>40984</v>
      </c>
      <c r="D6388" t="s">
        <v>25</v>
      </c>
      <c r="E6388">
        <v>3</v>
      </c>
      <c r="F6388" s="3">
        <f ca="1">40986+(RANDBETWEEN(1,10))</f>
        <v>40988</v>
      </c>
      <c r="G6388" t="s">
        <v>26</v>
      </c>
      <c r="H6388" t="s">
        <v>27</v>
      </c>
      <c r="I6388" t="s">
        <v>52</v>
      </c>
      <c r="J6388">
        <v>625.1</v>
      </c>
      <c r="K6388">
        <v>0</v>
      </c>
      <c r="L6388">
        <v>0.57999999999999996</v>
      </c>
      <c r="M6388">
        <v>31.465</v>
      </c>
      <c r="N6388">
        <v>-218.14099999999999</v>
      </c>
      <c r="O6388" s="1" t="s">
        <v>225</v>
      </c>
      <c r="P6388" s="1" t="s">
        <v>12985</v>
      </c>
      <c r="Q6388" s="1" t="s">
        <v>12986</v>
      </c>
      <c r="R6388" s="1" t="s">
        <v>228</v>
      </c>
      <c r="S6388" s="1" t="s">
        <v>6525</v>
      </c>
      <c r="T6388" s="1" t="s">
        <v>6526</v>
      </c>
      <c r="U6388" s="2">
        <v>8260</v>
      </c>
      <c r="V6388" s="2" t="s">
        <v>36</v>
      </c>
      <c r="W6388" s="2" t="s">
        <v>37</v>
      </c>
      <c r="X6388" s="2">
        <v>230.965</v>
      </c>
    </row>
    <row r="6389" spans="1:24" x14ac:dyDescent="0.3">
      <c r="A6389">
        <v>24207</v>
      </c>
      <c r="B6389" t="s">
        <v>12987</v>
      </c>
      <c r="C6389" s="3">
        <v>41898</v>
      </c>
      <c r="D6389" t="s">
        <v>50</v>
      </c>
      <c r="E6389">
        <v>4</v>
      </c>
      <c r="F6389" s="3">
        <f ca="1">41899+(RANDBETWEEN(1,10))</f>
        <v>41906</v>
      </c>
      <c r="G6389" t="s">
        <v>26</v>
      </c>
      <c r="H6389" t="s">
        <v>27</v>
      </c>
      <c r="I6389" t="s">
        <v>28</v>
      </c>
      <c r="J6389">
        <v>112.42</v>
      </c>
      <c r="K6389">
        <v>0.03</v>
      </c>
      <c r="L6389">
        <v>0.36</v>
      </c>
      <c r="M6389">
        <v>4.8650000000000002</v>
      </c>
      <c r="N6389">
        <v>59.837400000000002</v>
      </c>
      <c r="O6389" s="1" t="s">
        <v>64</v>
      </c>
      <c r="P6389" s="1" t="s">
        <v>11448</v>
      </c>
      <c r="Q6389" s="1" t="s">
        <v>11449</v>
      </c>
      <c r="R6389" s="1" t="s">
        <v>67</v>
      </c>
      <c r="S6389" s="1" t="s">
        <v>11450</v>
      </c>
      <c r="T6389" s="1" t="s">
        <v>11451</v>
      </c>
      <c r="U6389" s="2" t="s">
        <v>3975</v>
      </c>
      <c r="V6389" s="2" t="s">
        <v>47</v>
      </c>
      <c r="W6389" s="2" t="s">
        <v>48</v>
      </c>
      <c r="X6389" s="2">
        <v>26.74</v>
      </c>
    </row>
    <row r="6390" spans="1:24" x14ac:dyDescent="0.3">
      <c r="A6390">
        <v>24208</v>
      </c>
      <c r="B6390" t="s">
        <v>12988</v>
      </c>
      <c r="C6390" s="3">
        <v>41916</v>
      </c>
      <c r="D6390" t="s">
        <v>50</v>
      </c>
      <c r="E6390">
        <v>9</v>
      </c>
      <c r="F6390" s="3">
        <f ca="1">41916+(RANDBETWEEN(1,10))</f>
        <v>41924</v>
      </c>
      <c r="G6390" t="s">
        <v>26</v>
      </c>
      <c r="H6390" t="s">
        <v>27</v>
      </c>
      <c r="I6390" t="s">
        <v>86</v>
      </c>
      <c r="J6390">
        <v>148.82</v>
      </c>
      <c r="K6390">
        <v>0.05</v>
      </c>
      <c r="L6390">
        <v>0.4</v>
      </c>
      <c r="M6390">
        <v>23.52</v>
      </c>
      <c r="N6390">
        <v>-263.58499999999998</v>
      </c>
      <c r="O6390" s="1" t="s">
        <v>29</v>
      </c>
      <c r="P6390" s="1" t="s">
        <v>12056</v>
      </c>
      <c r="Q6390" s="1" t="s">
        <v>12057</v>
      </c>
      <c r="R6390" s="1" t="s">
        <v>32</v>
      </c>
      <c r="S6390" s="1" t="s">
        <v>6074</v>
      </c>
      <c r="T6390" s="1" t="s">
        <v>6075</v>
      </c>
      <c r="U6390" s="2" t="s">
        <v>2298</v>
      </c>
      <c r="V6390" s="2" t="s">
        <v>47</v>
      </c>
      <c r="W6390" s="2" t="s">
        <v>74</v>
      </c>
      <c r="X6390" s="2">
        <v>14.98</v>
      </c>
    </row>
    <row r="6391" spans="1:24" x14ac:dyDescent="0.3">
      <c r="A6391">
        <v>24209</v>
      </c>
      <c r="B6391" t="s">
        <v>12988</v>
      </c>
      <c r="C6391" s="3">
        <v>41916</v>
      </c>
      <c r="D6391" t="s">
        <v>50</v>
      </c>
      <c r="E6391">
        <v>9</v>
      </c>
      <c r="F6391" s="3">
        <f ca="1">41916+(RANDBETWEEN(1,10))</f>
        <v>41922</v>
      </c>
      <c r="G6391" t="s">
        <v>26</v>
      </c>
      <c r="H6391" t="s">
        <v>27</v>
      </c>
      <c r="I6391" t="s">
        <v>86</v>
      </c>
      <c r="J6391">
        <v>221.44499999999999</v>
      </c>
      <c r="K6391">
        <v>0.06</v>
      </c>
      <c r="L6391">
        <v>0.39</v>
      </c>
      <c r="M6391">
        <v>21.175000000000001</v>
      </c>
      <c r="N6391">
        <v>-179.55525</v>
      </c>
      <c r="O6391" s="1" t="s">
        <v>29</v>
      </c>
      <c r="P6391" s="1" t="s">
        <v>12989</v>
      </c>
      <c r="Q6391" s="1" t="s">
        <v>12990</v>
      </c>
      <c r="R6391" s="1" t="s">
        <v>32</v>
      </c>
      <c r="S6391" s="1" t="s">
        <v>12991</v>
      </c>
      <c r="T6391" s="1" t="s">
        <v>12992</v>
      </c>
      <c r="U6391" s="2" t="s">
        <v>2669</v>
      </c>
      <c r="V6391" s="2" t="s">
        <v>47</v>
      </c>
      <c r="W6391" s="2" t="s">
        <v>111</v>
      </c>
      <c r="X6391" s="2">
        <v>24.85</v>
      </c>
    </row>
    <row r="6392" spans="1:24" x14ac:dyDescent="0.3">
      <c r="A6392">
        <v>24210</v>
      </c>
      <c r="B6392" t="s">
        <v>12988</v>
      </c>
      <c r="C6392" s="3">
        <v>41916</v>
      </c>
      <c r="D6392" t="s">
        <v>50</v>
      </c>
      <c r="E6392">
        <v>10</v>
      </c>
      <c r="F6392" s="3">
        <f ca="1">41917+(RANDBETWEEN(1,10))</f>
        <v>41927</v>
      </c>
      <c r="G6392" t="s">
        <v>26</v>
      </c>
      <c r="H6392" t="s">
        <v>27</v>
      </c>
      <c r="I6392" t="s">
        <v>86</v>
      </c>
      <c r="J6392">
        <v>612.29</v>
      </c>
      <c r="K6392">
        <v>0.05</v>
      </c>
      <c r="L6392">
        <v>0.54</v>
      </c>
      <c r="M6392">
        <v>17.605</v>
      </c>
      <c r="N6392">
        <v>314.82499999999999</v>
      </c>
      <c r="O6392" s="1" t="s">
        <v>29</v>
      </c>
      <c r="P6392" s="1" t="s">
        <v>12989</v>
      </c>
      <c r="Q6392" s="1" t="s">
        <v>12990</v>
      </c>
      <c r="R6392" s="1" t="s">
        <v>32</v>
      </c>
      <c r="S6392" s="1" t="s">
        <v>12991</v>
      </c>
      <c r="T6392" s="1" t="s">
        <v>12992</v>
      </c>
      <c r="U6392" s="2" t="s">
        <v>3463</v>
      </c>
      <c r="V6392" s="2" t="s">
        <v>83</v>
      </c>
      <c r="W6392" s="2" t="s">
        <v>178</v>
      </c>
      <c r="X6392" s="2">
        <v>62.23</v>
      </c>
    </row>
    <row r="6393" spans="1:24" x14ac:dyDescent="0.3">
      <c r="A6393">
        <v>24211</v>
      </c>
      <c r="B6393" t="s">
        <v>12988</v>
      </c>
      <c r="C6393" s="3">
        <v>41916</v>
      </c>
      <c r="D6393" t="s">
        <v>50</v>
      </c>
      <c r="E6393">
        <v>8</v>
      </c>
      <c r="F6393" s="3">
        <f ca="1">41916+(RANDBETWEEN(1,10))</f>
        <v>41919</v>
      </c>
      <c r="G6393" t="s">
        <v>26</v>
      </c>
      <c r="H6393" t="s">
        <v>27</v>
      </c>
      <c r="I6393" t="s">
        <v>86</v>
      </c>
      <c r="J6393">
        <v>938.56</v>
      </c>
      <c r="K6393">
        <v>0</v>
      </c>
      <c r="L6393">
        <v>0.36</v>
      </c>
      <c r="M6393">
        <v>68.284999999999997</v>
      </c>
      <c r="N6393">
        <v>-66.849999999999994</v>
      </c>
      <c r="O6393" s="1" t="s">
        <v>40</v>
      </c>
      <c r="P6393" s="1" t="s">
        <v>12993</v>
      </c>
      <c r="Q6393" s="1" t="s">
        <v>12994</v>
      </c>
      <c r="R6393" s="1" t="s">
        <v>43</v>
      </c>
      <c r="S6393" s="1" t="s">
        <v>12995</v>
      </c>
      <c r="T6393" s="1" t="s">
        <v>12996</v>
      </c>
      <c r="U6393" s="2" t="s">
        <v>4107</v>
      </c>
      <c r="V6393" s="2" t="s">
        <v>47</v>
      </c>
      <c r="W6393" s="2" t="s">
        <v>48</v>
      </c>
      <c r="X6393" s="2">
        <v>108.43</v>
      </c>
    </row>
    <row r="6394" spans="1:24" x14ac:dyDescent="0.3">
      <c r="A6394">
        <v>24212</v>
      </c>
      <c r="B6394" t="s">
        <v>12997</v>
      </c>
      <c r="C6394" s="3">
        <v>41677</v>
      </c>
      <c r="D6394" t="s">
        <v>148</v>
      </c>
      <c r="E6394">
        <v>12</v>
      </c>
      <c r="F6394" s="3">
        <f ca="1">41679+(RANDBETWEEN(1,10))</f>
        <v>41687</v>
      </c>
      <c r="G6394" t="s">
        <v>26</v>
      </c>
      <c r="H6394" t="s">
        <v>27</v>
      </c>
      <c r="I6394" t="s">
        <v>28</v>
      </c>
      <c r="J6394">
        <v>293.02</v>
      </c>
      <c r="K6394">
        <v>0.05</v>
      </c>
      <c r="L6394">
        <v>0.37</v>
      </c>
      <c r="M6394">
        <v>19.809999999999999</v>
      </c>
      <c r="N6394">
        <v>-12550.48515</v>
      </c>
      <c r="O6394" s="1" t="s">
        <v>29</v>
      </c>
      <c r="P6394" s="1" t="s">
        <v>12886</v>
      </c>
      <c r="Q6394" s="1" t="s">
        <v>12887</v>
      </c>
      <c r="R6394" s="1" t="s">
        <v>460</v>
      </c>
      <c r="S6394" s="1" t="s">
        <v>461</v>
      </c>
      <c r="T6394" s="1" t="s">
        <v>462</v>
      </c>
      <c r="U6394" s="2" t="s">
        <v>1796</v>
      </c>
      <c r="V6394" s="2" t="s">
        <v>47</v>
      </c>
      <c r="W6394" s="2" t="s">
        <v>74</v>
      </c>
      <c r="X6394" s="2">
        <v>23.38</v>
      </c>
    </row>
    <row r="6395" spans="1:24" x14ac:dyDescent="0.3">
      <c r="A6395">
        <v>24213</v>
      </c>
      <c r="B6395" t="s">
        <v>12997</v>
      </c>
      <c r="C6395" s="3">
        <v>41677</v>
      </c>
      <c r="D6395" t="s">
        <v>148</v>
      </c>
      <c r="E6395">
        <v>4</v>
      </c>
      <c r="F6395" s="3">
        <f ca="1">41677+(RANDBETWEEN(1,10))</f>
        <v>41683</v>
      </c>
      <c r="G6395" t="s">
        <v>26</v>
      </c>
      <c r="H6395" t="s">
        <v>27</v>
      </c>
      <c r="I6395" t="s">
        <v>28</v>
      </c>
      <c r="J6395">
        <v>261.83499999999998</v>
      </c>
      <c r="K6395">
        <v>0.03</v>
      </c>
      <c r="L6395">
        <v>0.59</v>
      </c>
      <c r="M6395">
        <v>33.145000000000003</v>
      </c>
      <c r="N6395">
        <v>-30.38</v>
      </c>
      <c r="O6395" s="1" t="s">
        <v>29</v>
      </c>
      <c r="P6395" s="1" t="s">
        <v>12886</v>
      </c>
      <c r="Q6395" s="1" t="s">
        <v>12887</v>
      </c>
      <c r="R6395" s="1" t="s">
        <v>460</v>
      </c>
      <c r="S6395" s="1" t="s">
        <v>461</v>
      </c>
      <c r="T6395" s="1" t="s">
        <v>462</v>
      </c>
      <c r="U6395" s="2" t="s">
        <v>811</v>
      </c>
      <c r="V6395" s="2" t="s">
        <v>47</v>
      </c>
      <c r="W6395" s="2" t="s">
        <v>119</v>
      </c>
      <c r="X6395" s="2">
        <v>61.95</v>
      </c>
    </row>
    <row r="6396" spans="1:24" x14ac:dyDescent="0.3">
      <c r="A6396">
        <v>24214</v>
      </c>
      <c r="B6396" t="s">
        <v>12998</v>
      </c>
      <c r="C6396" s="3">
        <v>41595</v>
      </c>
      <c r="D6396" t="s">
        <v>25</v>
      </c>
      <c r="E6396">
        <v>32</v>
      </c>
      <c r="F6396" s="3">
        <f ca="1">41599+(RANDBETWEEN(1,10))</f>
        <v>41602</v>
      </c>
      <c r="G6396" t="s">
        <v>26</v>
      </c>
      <c r="H6396" t="s">
        <v>27</v>
      </c>
      <c r="I6396" t="s">
        <v>97</v>
      </c>
      <c r="J6396">
        <v>596.61</v>
      </c>
      <c r="K6396">
        <v>0.09</v>
      </c>
      <c r="L6396">
        <v>0.38</v>
      </c>
      <c r="M6396">
        <v>10.465</v>
      </c>
      <c r="N6396">
        <v>6.6104500000000002</v>
      </c>
      <c r="O6396" s="1" t="s">
        <v>53</v>
      </c>
      <c r="P6396" s="1" t="s">
        <v>8450</v>
      </c>
      <c r="Q6396" s="1" t="s">
        <v>8451</v>
      </c>
      <c r="R6396" s="1" t="s">
        <v>440</v>
      </c>
      <c r="S6396" s="1" t="s">
        <v>3068</v>
      </c>
      <c r="T6396" s="1" t="s">
        <v>3069</v>
      </c>
      <c r="U6396" s="2" t="s">
        <v>1125</v>
      </c>
      <c r="V6396" s="2" t="s">
        <v>47</v>
      </c>
      <c r="W6396" s="2" t="s">
        <v>111</v>
      </c>
      <c r="X6396" s="2">
        <v>18.690000000000001</v>
      </c>
    </row>
    <row r="6397" spans="1:24" x14ac:dyDescent="0.3">
      <c r="A6397">
        <v>24215</v>
      </c>
      <c r="B6397" t="s">
        <v>12999</v>
      </c>
      <c r="C6397" s="3">
        <v>41155</v>
      </c>
      <c r="D6397" t="s">
        <v>148</v>
      </c>
      <c r="E6397">
        <v>3</v>
      </c>
      <c r="F6397" s="3">
        <f ca="1">41156+(RANDBETWEEN(1,10))</f>
        <v>41160</v>
      </c>
      <c r="G6397" t="s">
        <v>26</v>
      </c>
      <c r="H6397" t="s">
        <v>27</v>
      </c>
      <c r="I6397" t="s">
        <v>28</v>
      </c>
      <c r="J6397">
        <v>1100.05</v>
      </c>
      <c r="K6397">
        <v>0.02</v>
      </c>
      <c r="L6397">
        <v>0.52</v>
      </c>
      <c r="M6397">
        <v>69.965000000000003</v>
      </c>
      <c r="N6397">
        <v>-946.68</v>
      </c>
      <c r="O6397" s="1" t="s">
        <v>40</v>
      </c>
      <c r="P6397" s="1" t="s">
        <v>12574</v>
      </c>
      <c r="Q6397" s="1" t="s">
        <v>12575</v>
      </c>
      <c r="R6397" s="1" t="s">
        <v>220</v>
      </c>
      <c r="S6397" s="1" t="s">
        <v>12576</v>
      </c>
      <c r="T6397" s="1" t="s">
        <v>12577</v>
      </c>
      <c r="U6397" s="2" t="s">
        <v>1438</v>
      </c>
      <c r="V6397" s="2" t="s">
        <v>36</v>
      </c>
      <c r="W6397" s="2" t="s">
        <v>60</v>
      </c>
      <c r="X6397" s="2">
        <v>349.96499999999997</v>
      </c>
    </row>
    <row r="6398" spans="1:24" x14ac:dyDescent="0.3">
      <c r="A6398">
        <v>24216</v>
      </c>
      <c r="B6398" t="s">
        <v>13000</v>
      </c>
      <c r="C6398" s="3">
        <v>41424</v>
      </c>
      <c r="D6398" t="s">
        <v>148</v>
      </c>
      <c r="E6398">
        <v>20</v>
      </c>
      <c r="F6398" s="3">
        <f ca="1">41424+(RANDBETWEEN(1,10))</f>
        <v>41429</v>
      </c>
      <c r="G6398" t="s">
        <v>26</v>
      </c>
      <c r="H6398" t="s">
        <v>96</v>
      </c>
      <c r="I6398" t="s">
        <v>52</v>
      </c>
      <c r="J6398">
        <v>394.52</v>
      </c>
      <c r="K6398">
        <v>7.0000000000000007E-2</v>
      </c>
      <c r="L6398">
        <v>0.6</v>
      </c>
      <c r="M6398">
        <v>3.36</v>
      </c>
      <c r="N6398">
        <v>148.57499999999999</v>
      </c>
      <c r="O6398" s="1" t="s">
        <v>53</v>
      </c>
      <c r="P6398" s="1" t="s">
        <v>13001</v>
      </c>
      <c r="Q6398" s="1" t="s">
        <v>13002</v>
      </c>
      <c r="R6398" s="1" t="s">
        <v>56</v>
      </c>
      <c r="S6398" s="1" t="s">
        <v>8347</v>
      </c>
      <c r="T6398" s="1" t="s">
        <v>8348</v>
      </c>
      <c r="U6398" s="2" t="s">
        <v>1918</v>
      </c>
      <c r="V6398" s="2" t="s">
        <v>47</v>
      </c>
      <c r="W6398" s="2" t="s">
        <v>104</v>
      </c>
      <c r="X6398" s="2">
        <v>20.93</v>
      </c>
    </row>
    <row r="6399" spans="1:24" x14ac:dyDescent="0.3">
      <c r="A6399">
        <v>24217</v>
      </c>
      <c r="B6399" t="s">
        <v>13003</v>
      </c>
      <c r="C6399" s="3">
        <v>41649</v>
      </c>
      <c r="D6399" t="s">
        <v>62</v>
      </c>
      <c r="E6399">
        <v>12</v>
      </c>
      <c r="F6399" s="3">
        <f ca="1">41651+(RANDBETWEEN(1,10))</f>
        <v>41661</v>
      </c>
      <c r="G6399" t="s">
        <v>76</v>
      </c>
      <c r="H6399" t="s">
        <v>258</v>
      </c>
      <c r="I6399" t="s">
        <v>28</v>
      </c>
      <c r="J6399">
        <v>5424.51</v>
      </c>
      <c r="K6399">
        <v>0.03</v>
      </c>
      <c r="L6399">
        <v>0.63</v>
      </c>
      <c r="M6399">
        <v>181.79</v>
      </c>
      <c r="N6399">
        <v>-1884.2023200000001</v>
      </c>
      <c r="O6399" s="1" t="s">
        <v>40</v>
      </c>
      <c r="P6399" s="1" t="s">
        <v>13004</v>
      </c>
      <c r="Q6399" s="1" t="s">
        <v>13005</v>
      </c>
      <c r="R6399" s="1" t="s">
        <v>220</v>
      </c>
      <c r="S6399" s="1" t="s">
        <v>9391</v>
      </c>
      <c r="T6399" s="1" t="s">
        <v>9392</v>
      </c>
      <c r="U6399" s="2" t="s">
        <v>360</v>
      </c>
      <c r="V6399" s="2" t="s">
        <v>83</v>
      </c>
      <c r="W6399" s="2" t="s">
        <v>263</v>
      </c>
      <c r="X6399" s="2">
        <v>435.71499999999997</v>
      </c>
    </row>
    <row r="6400" spans="1:24" x14ac:dyDescent="0.3">
      <c r="A6400">
        <v>24218</v>
      </c>
      <c r="B6400" t="s">
        <v>13006</v>
      </c>
      <c r="C6400" s="3">
        <v>41650</v>
      </c>
      <c r="D6400" t="s">
        <v>39</v>
      </c>
      <c r="E6400">
        <v>11</v>
      </c>
      <c r="F6400" s="3">
        <f ca="1">41652+(RANDBETWEEN(1,10))</f>
        <v>41655</v>
      </c>
      <c r="G6400" t="s">
        <v>156</v>
      </c>
      <c r="H6400" t="s">
        <v>96</v>
      </c>
      <c r="I6400" t="s">
        <v>52</v>
      </c>
      <c r="J6400">
        <v>240.76499999999999</v>
      </c>
      <c r="K6400">
        <v>0.01</v>
      </c>
      <c r="L6400">
        <v>0.55000000000000004</v>
      </c>
      <c r="M6400">
        <v>4.2</v>
      </c>
      <c r="N6400">
        <v>164.84020000000001</v>
      </c>
      <c r="O6400" s="1" t="s">
        <v>40</v>
      </c>
      <c r="P6400" s="1" t="s">
        <v>6061</v>
      </c>
      <c r="Q6400" s="1" t="s">
        <v>6062</v>
      </c>
      <c r="R6400" s="1" t="s">
        <v>43</v>
      </c>
      <c r="S6400" s="1" t="s">
        <v>6063</v>
      </c>
      <c r="T6400" s="1" t="s">
        <v>6064</v>
      </c>
      <c r="U6400" s="2" t="s">
        <v>4460</v>
      </c>
      <c r="V6400" s="2" t="s">
        <v>47</v>
      </c>
      <c r="W6400" s="2" t="s">
        <v>104</v>
      </c>
      <c r="X6400" s="2">
        <v>20.440000000000001</v>
      </c>
    </row>
    <row r="6401" spans="1:24" x14ac:dyDescent="0.3">
      <c r="A6401">
        <v>24219</v>
      </c>
      <c r="B6401" t="s">
        <v>13007</v>
      </c>
      <c r="C6401" s="3">
        <v>41818</v>
      </c>
      <c r="D6401" t="s">
        <v>39</v>
      </c>
      <c r="E6401">
        <v>15</v>
      </c>
      <c r="F6401" s="3">
        <f ca="1">41820+(RANDBETWEEN(1,10))</f>
        <v>41823</v>
      </c>
      <c r="G6401" t="s">
        <v>26</v>
      </c>
      <c r="H6401" t="s">
        <v>51</v>
      </c>
      <c r="I6401" t="s">
        <v>52</v>
      </c>
      <c r="J6401">
        <v>1124.7950000000001</v>
      </c>
      <c r="K6401">
        <v>7.0000000000000007E-2</v>
      </c>
      <c r="L6401">
        <v>0.41</v>
      </c>
      <c r="M6401">
        <v>17.78</v>
      </c>
      <c r="N6401">
        <v>776.10855000000004</v>
      </c>
      <c r="O6401" s="1" t="s">
        <v>53</v>
      </c>
      <c r="P6401" s="1" t="s">
        <v>11333</v>
      </c>
      <c r="Q6401" s="1" t="s">
        <v>11334</v>
      </c>
      <c r="R6401" s="1" t="s">
        <v>56</v>
      </c>
      <c r="S6401" s="1" t="s">
        <v>11335</v>
      </c>
      <c r="T6401" s="1" t="s">
        <v>11336</v>
      </c>
      <c r="U6401" s="2" t="s">
        <v>3475</v>
      </c>
      <c r="V6401" s="2" t="s">
        <v>83</v>
      </c>
      <c r="W6401" s="2" t="s">
        <v>178</v>
      </c>
      <c r="X6401" s="2">
        <v>77.805000000000007</v>
      </c>
    </row>
    <row r="6402" spans="1:24" x14ac:dyDescent="0.3">
      <c r="A6402">
        <v>24220</v>
      </c>
      <c r="B6402" t="s">
        <v>13007</v>
      </c>
      <c r="C6402" s="3">
        <v>41818</v>
      </c>
      <c r="D6402" t="s">
        <v>39</v>
      </c>
      <c r="E6402">
        <v>14</v>
      </c>
      <c r="F6402" s="3">
        <f ca="1">41820+(RANDBETWEEN(1,10))</f>
        <v>41826</v>
      </c>
      <c r="G6402" t="s">
        <v>26</v>
      </c>
      <c r="H6402" t="s">
        <v>51</v>
      </c>
      <c r="I6402" t="s">
        <v>52</v>
      </c>
      <c r="J6402">
        <v>2320.5349999999999</v>
      </c>
      <c r="K6402">
        <v>7.0000000000000007E-2</v>
      </c>
      <c r="L6402">
        <v>0.55000000000000004</v>
      </c>
      <c r="M6402">
        <v>4.375</v>
      </c>
      <c r="N6402">
        <v>1601.1691499999999</v>
      </c>
      <c r="O6402" s="1" t="s">
        <v>53</v>
      </c>
      <c r="P6402" s="1" t="s">
        <v>11333</v>
      </c>
      <c r="Q6402" s="1" t="s">
        <v>11334</v>
      </c>
      <c r="R6402" s="1" t="s">
        <v>56</v>
      </c>
      <c r="S6402" s="1" t="s">
        <v>11335</v>
      </c>
      <c r="T6402" s="1" t="s">
        <v>11336</v>
      </c>
      <c r="U6402" s="2" t="s">
        <v>3075</v>
      </c>
      <c r="V6402" s="2" t="s">
        <v>36</v>
      </c>
      <c r="W6402" s="2" t="s">
        <v>37</v>
      </c>
      <c r="X6402" s="2">
        <v>195.965</v>
      </c>
    </row>
    <row r="6403" spans="1:24" x14ac:dyDescent="0.3">
      <c r="A6403">
        <v>24221</v>
      </c>
      <c r="B6403" t="s">
        <v>13008</v>
      </c>
      <c r="C6403" s="3">
        <v>40971</v>
      </c>
      <c r="D6403" t="s">
        <v>148</v>
      </c>
      <c r="E6403">
        <v>11</v>
      </c>
      <c r="F6403" s="3">
        <f ca="1">40973+(RANDBETWEEN(1,10))</f>
        <v>40983</v>
      </c>
      <c r="G6403" t="s">
        <v>156</v>
      </c>
      <c r="H6403" t="s">
        <v>27</v>
      </c>
      <c r="I6403" t="s">
        <v>52</v>
      </c>
      <c r="J6403">
        <v>419.44</v>
      </c>
      <c r="K6403">
        <v>7.0000000000000007E-2</v>
      </c>
      <c r="L6403">
        <v>0.36</v>
      </c>
      <c r="M6403">
        <v>39.375</v>
      </c>
      <c r="N6403">
        <v>-412.18799999999999</v>
      </c>
      <c r="O6403" s="1" t="s">
        <v>64</v>
      </c>
      <c r="P6403" s="1" t="s">
        <v>13009</v>
      </c>
      <c r="Q6403" s="1" t="s">
        <v>13010</v>
      </c>
      <c r="R6403" s="1" t="s">
        <v>128</v>
      </c>
      <c r="S6403" s="1" t="s">
        <v>13011</v>
      </c>
      <c r="T6403" s="1" t="s">
        <v>13012</v>
      </c>
      <c r="U6403" s="2" t="s">
        <v>1911</v>
      </c>
      <c r="V6403" s="2" t="s">
        <v>47</v>
      </c>
      <c r="W6403" s="2" t="s">
        <v>74</v>
      </c>
      <c r="X6403" s="2">
        <v>39.69</v>
      </c>
    </row>
    <row r="6404" spans="1:24" x14ac:dyDescent="0.3">
      <c r="A6404">
        <v>24222</v>
      </c>
      <c r="B6404" t="s">
        <v>13013</v>
      </c>
      <c r="C6404" s="3">
        <v>41701</v>
      </c>
      <c r="D6404" t="s">
        <v>148</v>
      </c>
      <c r="E6404">
        <v>6</v>
      </c>
      <c r="F6404" s="3">
        <f ca="1">41704+(RANDBETWEEN(1,10))</f>
        <v>41710</v>
      </c>
      <c r="G6404" t="s">
        <v>26</v>
      </c>
      <c r="H6404" t="s">
        <v>51</v>
      </c>
      <c r="I6404" t="s">
        <v>52</v>
      </c>
      <c r="J6404">
        <v>259.42</v>
      </c>
      <c r="K6404">
        <v>0.05</v>
      </c>
      <c r="L6404">
        <v>0.59</v>
      </c>
      <c r="M6404">
        <v>31.465</v>
      </c>
      <c r="N6404">
        <v>12.558</v>
      </c>
      <c r="O6404" s="1" t="s">
        <v>64</v>
      </c>
      <c r="P6404" s="1" t="s">
        <v>13009</v>
      </c>
      <c r="Q6404" s="1" t="s">
        <v>13010</v>
      </c>
      <c r="R6404" s="1" t="s">
        <v>128</v>
      </c>
      <c r="S6404" s="1" t="s">
        <v>13011</v>
      </c>
      <c r="T6404" s="1" t="s">
        <v>13012</v>
      </c>
      <c r="U6404" s="2" t="s">
        <v>2687</v>
      </c>
      <c r="V6404" s="2" t="s">
        <v>47</v>
      </c>
      <c r="W6404" s="2" t="s">
        <v>104</v>
      </c>
      <c r="X6404" s="2">
        <v>40.81</v>
      </c>
    </row>
    <row r="6405" spans="1:24" x14ac:dyDescent="0.3">
      <c r="A6405">
        <v>24223</v>
      </c>
      <c r="B6405" t="s">
        <v>13014</v>
      </c>
      <c r="C6405" s="3">
        <v>41093</v>
      </c>
      <c r="D6405" t="s">
        <v>25</v>
      </c>
      <c r="E6405">
        <v>7</v>
      </c>
      <c r="F6405" s="3">
        <f ca="1">41100+(RANDBETWEEN(1,10))</f>
        <v>41108</v>
      </c>
      <c r="G6405" t="s">
        <v>76</v>
      </c>
      <c r="H6405" t="s">
        <v>77</v>
      </c>
      <c r="I6405" t="s">
        <v>86</v>
      </c>
      <c r="J6405">
        <v>2038.9949999999999</v>
      </c>
      <c r="K6405">
        <v>0.01</v>
      </c>
      <c r="L6405">
        <v>0.37</v>
      </c>
      <c r="M6405">
        <v>117.6</v>
      </c>
      <c r="N6405">
        <v>449.505</v>
      </c>
      <c r="O6405" s="1" t="s">
        <v>40</v>
      </c>
      <c r="P6405" s="1" t="s">
        <v>13004</v>
      </c>
      <c r="Q6405" s="1" t="s">
        <v>13005</v>
      </c>
      <c r="R6405" s="1" t="s">
        <v>220</v>
      </c>
      <c r="S6405" s="1" t="s">
        <v>9391</v>
      </c>
      <c r="T6405" s="1" t="s">
        <v>9392</v>
      </c>
      <c r="U6405" s="2" t="s">
        <v>3448</v>
      </c>
      <c r="V6405" s="2" t="s">
        <v>36</v>
      </c>
      <c r="W6405" s="2" t="s">
        <v>142</v>
      </c>
      <c r="X6405" s="2">
        <v>283.39499999999998</v>
      </c>
    </row>
    <row r="6406" spans="1:24" x14ac:dyDescent="0.3">
      <c r="A6406">
        <v>24224</v>
      </c>
      <c r="B6406" t="s">
        <v>13015</v>
      </c>
      <c r="C6406" s="3">
        <v>40545</v>
      </c>
      <c r="D6406" t="s">
        <v>62</v>
      </c>
      <c r="E6406">
        <v>4</v>
      </c>
      <c r="F6406" s="3">
        <f ca="1">40547+(RANDBETWEEN(1,10))</f>
        <v>40551</v>
      </c>
      <c r="G6406" t="s">
        <v>156</v>
      </c>
      <c r="H6406" t="s">
        <v>96</v>
      </c>
      <c r="I6406" t="s">
        <v>52</v>
      </c>
      <c r="J6406">
        <v>120.435</v>
      </c>
      <c r="K6406">
        <v>0.09</v>
      </c>
      <c r="L6406">
        <v>0.4</v>
      </c>
      <c r="M6406">
        <v>7.5250000000000004</v>
      </c>
      <c r="N6406">
        <v>71.048599999999993</v>
      </c>
      <c r="O6406" s="1" t="s">
        <v>53</v>
      </c>
      <c r="P6406" s="1" t="s">
        <v>11909</v>
      </c>
      <c r="Q6406" s="1" t="s">
        <v>11910</v>
      </c>
      <c r="R6406" s="1" t="s">
        <v>440</v>
      </c>
      <c r="S6406" s="1" t="s">
        <v>10436</v>
      </c>
      <c r="T6406" s="1" t="s">
        <v>10437</v>
      </c>
      <c r="U6406" s="2" t="s">
        <v>4359</v>
      </c>
      <c r="V6406" s="2" t="s">
        <v>47</v>
      </c>
      <c r="W6406" s="2" t="s">
        <v>74</v>
      </c>
      <c r="X6406" s="2">
        <v>31.885000000000002</v>
      </c>
    </row>
    <row r="6407" spans="1:24" x14ac:dyDescent="0.3">
      <c r="A6407">
        <v>24225</v>
      </c>
      <c r="B6407" t="s">
        <v>13015</v>
      </c>
      <c r="C6407" s="3">
        <v>40545</v>
      </c>
      <c r="D6407" t="s">
        <v>62</v>
      </c>
      <c r="E6407">
        <v>11</v>
      </c>
      <c r="F6407" s="3">
        <f ca="1">40545+(RANDBETWEEN(1,10))</f>
        <v>40553</v>
      </c>
      <c r="G6407" t="s">
        <v>26</v>
      </c>
      <c r="H6407" t="s">
        <v>96</v>
      </c>
      <c r="I6407" t="s">
        <v>52</v>
      </c>
      <c r="J6407">
        <v>550.44500000000005</v>
      </c>
      <c r="K6407">
        <v>0.08</v>
      </c>
      <c r="L6407">
        <v>0.39</v>
      </c>
      <c r="M6407">
        <v>6.8949999999999996</v>
      </c>
      <c r="N6407">
        <v>379.80705</v>
      </c>
      <c r="O6407" s="1" t="s">
        <v>53</v>
      </c>
      <c r="P6407" s="1" t="s">
        <v>11909</v>
      </c>
      <c r="Q6407" s="1" t="s">
        <v>11910</v>
      </c>
      <c r="R6407" s="1" t="s">
        <v>440</v>
      </c>
      <c r="S6407" s="1" t="s">
        <v>10436</v>
      </c>
      <c r="T6407" s="1" t="s">
        <v>10437</v>
      </c>
      <c r="U6407" s="2" t="s">
        <v>372</v>
      </c>
      <c r="V6407" s="2" t="s">
        <v>47</v>
      </c>
      <c r="W6407" s="2" t="s">
        <v>74</v>
      </c>
      <c r="X6407" s="2">
        <v>52.64</v>
      </c>
    </row>
    <row r="6408" spans="1:24" x14ac:dyDescent="0.3">
      <c r="A6408">
        <v>24226</v>
      </c>
      <c r="B6408" t="s">
        <v>13016</v>
      </c>
      <c r="C6408" s="3">
        <v>41744</v>
      </c>
      <c r="D6408" t="s">
        <v>50</v>
      </c>
      <c r="E6408">
        <v>5</v>
      </c>
      <c r="F6408" s="3">
        <f ca="1">41745+(RANDBETWEEN(1,10))</f>
        <v>41749</v>
      </c>
      <c r="G6408" t="s">
        <v>26</v>
      </c>
      <c r="H6408" t="s">
        <v>27</v>
      </c>
      <c r="I6408" t="s">
        <v>28</v>
      </c>
      <c r="J6408">
        <v>101.92</v>
      </c>
      <c r="K6408">
        <v>0.08</v>
      </c>
      <c r="L6408">
        <v>0.38</v>
      </c>
      <c r="M6408">
        <v>17.22</v>
      </c>
      <c r="N6408">
        <v>-153.11099999999999</v>
      </c>
      <c r="O6408" s="1" t="s">
        <v>40</v>
      </c>
      <c r="P6408" s="1" t="s">
        <v>6657</v>
      </c>
      <c r="Q6408" s="1" t="s">
        <v>6658</v>
      </c>
      <c r="R6408" s="1" t="s">
        <v>220</v>
      </c>
      <c r="S6408" s="1" t="s">
        <v>221</v>
      </c>
      <c r="T6408" s="1" t="s">
        <v>6659</v>
      </c>
      <c r="U6408" s="2" t="s">
        <v>660</v>
      </c>
      <c r="V6408" s="2" t="s">
        <v>47</v>
      </c>
      <c r="W6408" s="2" t="s">
        <v>111</v>
      </c>
      <c r="X6408" s="2">
        <v>20.965</v>
      </c>
    </row>
    <row r="6409" spans="1:24" x14ac:dyDescent="0.3">
      <c r="A6409">
        <v>24227</v>
      </c>
      <c r="B6409" t="s">
        <v>13016</v>
      </c>
      <c r="C6409" s="3">
        <v>41744</v>
      </c>
      <c r="D6409" t="s">
        <v>50</v>
      </c>
      <c r="E6409">
        <v>5</v>
      </c>
      <c r="F6409" s="3">
        <f ca="1">41745+(RANDBETWEEN(1,10))</f>
        <v>41748</v>
      </c>
      <c r="G6409" t="s">
        <v>26</v>
      </c>
      <c r="H6409" t="s">
        <v>27</v>
      </c>
      <c r="I6409" t="s">
        <v>28</v>
      </c>
      <c r="J6409">
        <v>1017.73</v>
      </c>
      <c r="K6409">
        <v>0</v>
      </c>
      <c r="L6409">
        <v>0.57999999999999996</v>
      </c>
      <c r="M6409">
        <v>31.465</v>
      </c>
      <c r="N6409">
        <v>293.42250000000001</v>
      </c>
      <c r="O6409" s="1" t="s">
        <v>40</v>
      </c>
      <c r="P6409" s="1" t="s">
        <v>6657</v>
      </c>
      <c r="Q6409" s="1" t="s">
        <v>6658</v>
      </c>
      <c r="R6409" s="1" t="s">
        <v>220</v>
      </c>
      <c r="S6409" s="1" t="s">
        <v>221</v>
      </c>
      <c r="T6409" s="1" t="s">
        <v>6659</v>
      </c>
      <c r="U6409" s="2">
        <v>8260</v>
      </c>
      <c r="V6409" s="2" t="s">
        <v>36</v>
      </c>
      <c r="W6409" s="2" t="s">
        <v>37</v>
      </c>
      <c r="X6409" s="2">
        <v>230.965</v>
      </c>
    </row>
    <row r="6410" spans="1:24" x14ac:dyDescent="0.3">
      <c r="A6410">
        <v>24228</v>
      </c>
      <c r="B6410" t="s">
        <v>13017</v>
      </c>
      <c r="C6410" s="3">
        <v>40935</v>
      </c>
      <c r="D6410" t="s">
        <v>25</v>
      </c>
      <c r="E6410">
        <v>1</v>
      </c>
      <c r="F6410" s="3">
        <f ca="1">40939+(RANDBETWEEN(1,10))</f>
        <v>40947</v>
      </c>
      <c r="G6410" t="s">
        <v>26</v>
      </c>
      <c r="H6410" t="s">
        <v>96</v>
      </c>
      <c r="I6410" t="s">
        <v>28</v>
      </c>
      <c r="J6410">
        <v>17.71</v>
      </c>
      <c r="K6410">
        <v>0.01</v>
      </c>
      <c r="L6410">
        <v>0.84</v>
      </c>
      <c r="M6410">
        <v>6.72</v>
      </c>
      <c r="N6410">
        <v>-11.457599999999999</v>
      </c>
      <c r="O6410" s="1" t="s">
        <v>40</v>
      </c>
      <c r="P6410" s="1" t="s">
        <v>13018</v>
      </c>
      <c r="Q6410" s="1" t="s">
        <v>13019</v>
      </c>
      <c r="R6410" s="1" t="s">
        <v>43</v>
      </c>
      <c r="S6410" s="1" t="s">
        <v>5998</v>
      </c>
      <c r="T6410" s="1" t="s">
        <v>10905</v>
      </c>
      <c r="U6410" s="2" t="s">
        <v>524</v>
      </c>
      <c r="V6410" s="2" t="s">
        <v>47</v>
      </c>
      <c r="W6410" s="2" t="s">
        <v>94</v>
      </c>
      <c r="X6410" s="2">
        <v>10.99</v>
      </c>
    </row>
    <row r="6411" spans="1:24" x14ac:dyDescent="0.3">
      <c r="A6411">
        <v>24229</v>
      </c>
      <c r="B6411" t="s">
        <v>13020</v>
      </c>
      <c r="C6411" s="3">
        <v>41710</v>
      </c>
      <c r="D6411" t="s">
        <v>148</v>
      </c>
      <c r="E6411">
        <v>9</v>
      </c>
      <c r="F6411" s="3">
        <f ca="1">41712+(RANDBETWEEN(1,10))</f>
        <v>41715</v>
      </c>
      <c r="G6411" t="s">
        <v>26</v>
      </c>
      <c r="H6411" t="s">
        <v>27</v>
      </c>
      <c r="I6411" t="s">
        <v>28</v>
      </c>
      <c r="J6411">
        <v>10954.16</v>
      </c>
      <c r="K6411">
        <v>0.1</v>
      </c>
      <c r="L6411">
        <v>0.4</v>
      </c>
      <c r="M6411">
        <v>69.965000000000003</v>
      </c>
      <c r="N6411">
        <v>7558.3703999999998</v>
      </c>
      <c r="O6411" s="1" t="s">
        <v>40</v>
      </c>
      <c r="P6411" s="1" t="s">
        <v>11614</v>
      </c>
      <c r="Q6411" s="1" t="s">
        <v>11615</v>
      </c>
      <c r="R6411" s="1" t="s">
        <v>43</v>
      </c>
      <c r="S6411" s="1" t="s">
        <v>11616</v>
      </c>
      <c r="T6411" s="1" t="s">
        <v>9512</v>
      </c>
      <c r="U6411" s="2" t="s">
        <v>8382</v>
      </c>
      <c r="V6411" s="2" t="s">
        <v>47</v>
      </c>
      <c r="W6411" s="2" t="s">
        <v>111</v>
      </c>
      <c r="X6411" s="2">
        <v>1287.9649999999999</v>
      </c>
    </row>
    <row r="6412" spans="1:24" x14ac:dyDescent="0.3">
      <c r="A6412">
        <v>24230</v>
      </c>
      <c r="B6412" t="s">
        <v>13020</v>
      </c>
      <c r="C6412" s="3">
        <v>41710</v>
      </c>
      <c r="D6412" t="s">
        <v>148</v>
      </c>
      <c r="E6412">
        <v>5</v>
      </c>
      <c r="F6412" s="3">
        <f ca="1">41712+(RANDBETWEEN(1,10))</f>
        <v>41717</v>
      </c>
      <c r="G6412" t="s">
        <v>26</v>
      </c>
      <c r="H6412" t="s">
        <v>27</v>
      </c>
      <c r="I6412" t="s">
        <v>28</v>
      </c>
      <c r="J6412">
        <v>74.444999999999993</v>
      </c>
      <c r="K6412">
        <v>0.1</v>
      </c>
      <c r="L6412">
        <v>0.35</v>
      </c>
      <c r="M6412">
        <v>18.934999999999999</v>
      </c>
      <c r="N6412">
        <v>-236.10650000000001</v>
      </c>
      <c r="O6412" s="1" t="s">
        <v>40</v>
      </c>
      <c r="P6412" s="1" t="s">
        <v>11614</v>
      </c>
      <c r="Q6412" s="1" t="s">
        <v>11615</v>
      </c>
      <c r="R6412" s="1" t="s">
        <v>43</v>
      </c>
      <c r="S6412" s="1" t="s">
        <v>11616</v>
      </c>
      <c r="T6412" s="1" t="s">
        <v>9512</v>
      </c>
      <c r="U6412" s="2" t="s">
        <v>231</v>
      </c>
      <c r="V6412" s="2" t="s">
        <v>47</v>
      </c>
      <c r="W6412" s="2" t="s">
        <v>111</v>
      </c>
      <c r="X6412" s="2">
        <v>14.84</v>
      </c>
    </row>
    <row r="6413" spans="1:24" x14ac:dyDescent="0.3">
      <c r="A6413">
        <v>24231</v>
      </c>
      <c r="B6413" t="s">
        <v>13021</v>
      </c>
      <c r="C6413" s="3">
        <v>40914</v>
      </c>
      <c r="D6413" t="s">
        <v>39</v>
      </c>
      <c r="E6413">
        <v>9</v>
      </c>
      <c r="F6413" s="3">
        <f ca="1">40915+(RANDBETWEEN(1,10))</f>
        <v>40923</v>
      </c>
      <c r="G6413" t="s">
        <v>26</v>
      </c>
      <c r="H6413" t="s">
        <v>96</v>
      </c>
      <c r="I6413" t="s">
        <v>86</v>
      </c>
      <c r="J6413">
        <v>163.03</v>
      </c>
      <c r="K6413">
        <v>0.06</v>
      </c>
      <c r="L6413">
        <v>0.54</v>
      </c>
      <c r="M6413">
        <v>13.86</v>
      </c>
      <c r="N6413">
        <v>-202.59119999999999</v>
      </c>
      <c r="O6413" s="1" t="s">
        <v>64</v>
      </c>
      <c r="P6413" s="1" t="s">
        <v>13022</v>
      </c>
      <c r="Q6413" s="1" t="s">
        <v>13023</v>
      </c>
      <c r="R6413" s="1" t="s">
        <v>67</v>
      </c>
      <c r="S6413" s="1" t="s">
        <v>1077</v>
      </c>
      <c r="T6413" s="1" t="s">
        <v>13024</v>
      </c>
      <c r="U6413" s="2" t="s">
        <v>2213</v>
      </c>
      <c r="V6413" s="2" t="s">
        <v>83</v>
      </c>
      <c r="W6413" s="2" t="s">
        <v>178</v>
      </c>
      <c r="X6413" s="2">
        <v>18.48</v>
      </c>
    </row>
    <row r="6414" spans="1:24" x14ac:dyDescent="0.3">
      <c r="A6414">
        <v>24232</v>
      </c>
      <c r="B6414" t="s">
        <v>13025</v>
      </c>
      <c r="C6414" s="3">
        <v>40846</v>
      </c>
      <c r="D6414" t="s">
        <v>39</v>
      </c>
      <c r="E6414">
        <v>16</v>
      </c>
      <c r="F6414" s="3">
        <f ca="1">40848+(RANDBETWEEN(1,10))</f>
        <v>40856</v>
      </c>
      <c r="G6414" t="s">
        <v>26</v>
      </c>
      <c r="H6414" t="s">
        <v>51</v>
      </c>
      <c r="I6414" t="s">
        <v>97</v>
      </c>
      <c r="J6414">
        <v>992.04</v>
      </c>
      <c r="K6414">
        <v>0.05</v>
      </c>
      <c r="L6414">
        <v>0.47</v>
      </c>
      <c r="M6414">
        <v>31.465</v>
      </c>
      <c r="N6414">
        <v>161.12880000000001</v>
      </c>
      <c r="O6414" s="1" t="s">
        <v>40</v>
      </c>
      <c r="P6414" s="1" t="s">
        <v>13026</v>
      </c>
      <c r="Q6414" s="1" t="s">
        <v>13027</v>
      </c>
      <c r="R6414" s="1" t="s">
        <v>220</v>
      </c>
      <c r="S6414" s="1" t="s">
        <v>828</v>
      </c>
      <c r="T6414" s="1" t="s">
        <v>829</v>
      </c>
      <c r="U6414" s="2" t="s">
        <v>1320</v>
      </c>
      <c r="V6414" s="2" t="s">
        <v>83</v>
      </c>
      <c r="W6414" s="2" t="s">
        <v>178</v>
      </c>
      <c r="X6414" s="2">
        <v>61.844999999999999</v>
      </c>
    </row>
    <row r="6415" spans="1:24" x14ac:dyDescent="0.3">
      <c r="A6415">
        <v>24233</v>
      </c>
      <c r="B6415" t="s">
        <v>13028</v>
      </c>
      <c r="C6415" s="3">
        <v>40987</v>
      </c>
      <c r="D6415" t="s">
        <v>39</v>
      </c>
      <c r="E6415">
        <v>12</v>
      </c>
      <c r="F6415" s="3">
        <f ca="1">40988+(RANDBETWEEN(1,10))</f>
        <v>40992</v>
      </c>
      <c r="G6415" t="s">
        <v>26</v>
      </c>
      <c r="H6415" t="s">
        <v>51</v>
      </c>
      <c r="I6415" t="s">
        <v>28</v>
      </c>
      <c r="J6415">
        <v>463.505</v>
      </c>
      <c r="K6415">
        <v>0.04</v>
      </c>
      <c r="L6415">
        <v>0.56999999999999995</v>
      </c>
      <c r="M6415">
        <v>11.795</v>
      </c>
      <c r="N6415">
        <v>149.66</v>
      </c>
      <c r="O6415" s="1" t="s">
        <v>225</v>
      </c>
      <c r="P6415" s="1" t="s">
        <v>11799</v>
      </c>
      <c r="Q6415" s="1" t="s">
        <v>11800</v>
      </c>
      <c r="R6415" s="1" t="s">
        <v>228</v>
      </c>
      <c r="S6415" s="1" t="s">
        <v>1252</v>
      </c>
      <c r="T6415" s="1" t="s">
        <v>1253</v>
      </c>
      <c r="U6415" s="2" t="s">
        <v>5857</v>
      </c>
      <c r="V6415" s="2" t="s">
        <v>47</v>
      </c>
      <c r="W6415" s="2" t="s">
        <v>94</v>
      </c>
      <c r="X6415" s="2">
        <v>38.43</v>
      </c>
    </row>
    <row r="6416" spans="1:24" x14ac:dyDescent="0.3">
      <c r="A6416">
        <v>24234</v>
      </c>
      <c r="B6416" t="s">
        <v>13029</v>
      </c>
      <c r="C6416" s="3">
        <v>41669</v>
      </c>
      <c r="D6416" t="s">
        <v>62</v>
      </c>
      <c r="E6416">
        <v>6</v>
      </c>
      <c r="F6416" s="3">
        <f ca="1">41670+(RANDBETWEEN(1,10))</f>
        <v>41672</v>
      </c>
      <c r="G6416" t="s">
        <v>26</v>
      </c>
      <c r="H6416" t="s">
        <v>27</v>
      </c>
      <c r="I6416" t="s">
        <v>86</v>
      </c>
      <c r="J6416">
        <v>2916.3049999999998</v>
      </c>
      <c r="K6416">
        <v>0.08</v>
      </c>
      <c r="L6416">
        <v>0.56000000000000005</v>
      </c>
      <c r="M6416">
        <v>69.965000000000003</v>
      </c>
      <c r="N6416">
        <v>-732.35400000000004</v>
      </c>
      <c r="O6416" s="1" t="s">
        <v>53</v>
      </c>
      <c r="P6416" s="1" t="s">
        <v>9651</v>
      </c>
      <c r="Q6416" s="1" t="s">
        <v>9652</v>
      </c>
      <c r="R6416" s="1" t="s">
        <v>440</v>
      </c>
      <c r="S6416" s="1" t="s">
        <v>9653</v>
      </c>
      <c r="T6416" s="1" t="s">
        <v>9654</v>
      </c>
      <c r="U6416" s="2" t="s">
        <v>3048</v>
      </c>
      <c r="V6416" s="2" t="s">
        <v>47</v>
      </c>
      <c r="W6416" s="2" t="s">
        <v>119</v>
      </c>
      <c r="X6416" s="2">
        <v>500.01</v>
      </c>
    </row>
    <row r="6417" spans="1:24" x14ac:dyDescent="0.3">
      <c r="A6417">
        <v>24235</v>
      </c>
      <c r="B6417" t="s">
        <v>13030</v>
      </c>
      <c r="C6417" s="3">
        <v>41873</v>
      </c>
      <c r="D6417" t="s">
        <v>50</v>
      </c>
      <c r="E6417">
        <v>6</v>
      </c>
      <c r="F6417" s="3">
        <f ca="1">41874+(RANDBETWEEN(1,10))</f>
        <v>41881</v>
      </c>
      <c r="G6417" t="s">
        <v>26</v>
      </c>
      <c r="H6417" t="s">
        <v>27</v>
      </c>
      <c r="I6417" t="s">
        <v>28</v>
      </c>
      <c r="J6417">
        <v>1144.115</v>
      </c>
      <c r="K6417">
        <v>0.09</v>
      </c>
      <c r="L6417">
        <v>0.56999999999999995</v>
      </c>
      <c r="M6417">
        <v>18.585000000000001</v>
      </c>
      <c r="N6417">
        <v>-123.866512</v>
      </c>
      <c r="O6417" s="1" t="s">
        <v>64</v>
      </c>
      <c r="P6417" s="1" t="s">
        <v>12283</v>
      </c>
      <c r="Q6417" s="1" t="s">
        <v>12284</v>
      </c>
      <c r="R6417" s="1" t="s">
        <v>128</v>
      </c>
      <c r="S6417" s="1" t="s">
        <v>4805</v>
      </c>
      <c r="T6417" s="1" t="s">
        <v>4806</v>
      </c>
      <c r="U6417" s="2">
        <v>3390</v>
      </c>
      <c r="V6417" s="2" t="s">
        <v>36</v>
      </c>
      <c r="W6417" s="2" t="s">
        <v>37</v>
      </c>
      <c r="X6417" s="2">
        <v>230.965</v>
      </c>
    </row>
    <row r="6418" spans="1:24" x14ac:dyDescent="0.3">
      <c r="A6418">
        <v>24236</v>
      </c>
      <c r="B6418" t="s">
        <v>13031</v>
      </c>
      <c r="C6418" s="3">
        <v>40777</v>
      </c>
      <c r="D6418" t="s">
        <v>50</v>
      </c>
      <c r="E6418">
        <v>5</v>
      </c>
      <c r="F6418" s="3">
        <f ca="1">40779+(RANDBETWEEN(1,10))</f>
        <v>40789</v>
      </c>
      <c r="G6418" t="s">
        <v>26</v>
      </c>
      <c r="H6418" t="s">
        <v>96</v>
      </c>
      <c r="I6418" t="s">
        <v>28</v>
      </c>
      <c r="J6418">
        <v>99.61</v>
      </c>
      <c r="K6418">
        <v>0.01</v>
      </c>
      <c r="L6418">
        <v>0.36</v>
      </c>
      <c r="M6418">
        <v>7.14</v>
      </c>
      <c r="N6418">
        <v>-61.789000000000001</v>
      </c>
      <c r="O6418" s="1" t="s">
        <v>225</v>
      </c>
      <c r="P6418" s="1" t="s">
        <v>13032</v>
      </c>
      <c r="Q6418" s="1" t="s">
        <v>13033</v>
      </c>
      <c r="R6418" s="1" t="s">
        <v>391</v>
      </c>
      <c r="S6418" s="1" t="s">
        <v>5007</v>
      </c>
      <c r="T6418" s="1" t="s">
        <v>5008</v>
      </c>
      <c r="U6418" s="2" t="s">
        <v>204</v>
      </c>
      <c r="V6418" s="2" t="s">
        <v>47</v>
      </c>
      <c r="W6418" s="2" t="s">
        <v>74</v>
      </c>
      <c r="X6418" s="2">
        <v>18.13</v>
      </c>
    </row>
    <row r="6419" spans="1:24" x14ac:dyDescent="0.3">
      <c r="A6419">
        <v>24237</v>
      </c>
      <c r="B6419" t="s">
        <v>13034</v>
      </c>
      <c r="C6419" s="3">
        <v>41659</v>
      </c>
      <c r="D6419" t="s">
        <v>39</v>
      </c>
      <c r="E6419">
        <v>7</v>
      </c>
      <c r="F6419" s="3">
        <f ca="1">41662+(RANDBETWEEN(1,10))</f>
        <v>41671</v>
      </c>
      <c r="G6419" t="s">
        <v>76</v>
      </c>
      <c r="H6419" t="s">
        <v>258</v>
      </c>
      <c r="I6419" t="s">
        <v>86</v>
      </c>
      <c r="J6419">
        <v>3602.69</v>
      </c>
      <c r="K6419">
        <v>0.02</v>
      </c>
      <c r="L6419">
        <v>0.65</v>
      </c>
      <c r="M6419">
        <v>187.18</v>
      </c>
      <c r="N6419">
        <v>-997.28859999999997</v>
      </c>
      <c r="O6419" s="1" t="s">
        <v>53</v>
      </c>
      <c r="P6419" s="1" t="s">
        <v>11838</v>
      </c>
      <c r="Q6419" s="1" t="s">
        <v>11839</v>
      </c>
      <c r="R6419" s="1" t="s">
        <v>100</v>
      </c>
      <c r="S6419" s="1" t="s">
        <v>11840</v>
      </c>
      <c r="T6419" s="1" t="s">
        <v>11841</v>
      </c>
      <c r="U6419" s="2" t="s">
        <v>3123</v>
      </c>
      <c r="V6419" s="2" t="s">
        <v>83</v>
      </c>
      <c r="W6419" s="2" t="s">
        <v>298</v>
      </c>
      <c r="X6419" s="2">
        <v>493.43</v>
      </c>
    </row>
    <row r="6420" spans="1:24" x14ac:dyDescent="0.3">
      <c r="A6420">
        <v>24238</v>
      </c>
      <c r="B6420" t="s">
        <v>13035</v>
      </c>
      <c r="C6420" s="3">
        <v>41278</v>
      </c>
      <c r="D6420" t="s">
        <v>62</v>
      </c>
      <c r="E6420">
        <v>10</v>
      </c>
      <c r="F6420" s="3">
        <f ca="1">41278+(RANDBETWEEN(1,10))</f>
        <v>41279</v>
      </c>
      <c r="G6420" t="s">
        <v>156</v>
      </c>
      <c r="H6420" t="s">
        <v>51</v>
      </c>
      <c r="I6420" t="s">
        <v>97</v>
      </c>
      <c r="J6420">
        <v>625.94000000000005</v>
      </c>
      <c r="K6420">
        <v>0.04</v>
      </c>
      <c r="L6420">
        <v>0.81</v>
      </c>
      <c r="M6420">
        <v>11.55</v>
      </c>
      <c r="N6420">
        <v>-377.67113999999998</v>
      </c>
      <c r="O6420" s="1" t="s">
        <v>40</v>
      </c>
      <c r="P6420" s="1" t="s">
        <v>3923</v>
      </c>
      <c r="Q6420" s="1" t="s">
        <v>3924</v>
      </c>
      <c r="R6420" s="1" t="s">
        <v>220</v>
      </c>
      <c r="S6420" s="1" t="s">
        <v>3925</v>
      </c>
      <c r="T6420" s="1" t="s">
        <v>3926</v>
      </c>
      <c r="U6420" s="2" t="s">
        <v>2224</v>
      </c>
      <c r="V6420" s="2" t="s">
        <v>36</v>
      </c>
      <c r="W6420" s="2" t="s">
        <v>37</v>
      </c>
      <c r="X6420" s="2">
        <v>73.465000000000003</v>
      </c>
    </row>
    <row r="6421" spans="1:24" x14ac:dyDescent="0.3">
      <c r="A6421">
        <v>24239</v>
      </c>
      <c r="B6421" t="s">
        <v>13036</v>
      </c>
      <c r="C6421" s="3">
        <v>41702</v>
      </c>
      <c r="D6421" t="s">
        <v>25</v>
      </c>
      <c r="E6421">
        <v>3</v>
      </c>
      <c r="F6421" s="3">
        <f ca="1">41706+(RANDBETWEEN(1,10))</f>
        <v>41713</v>
      </c>
      <c r="G6421" t="s">
        <v>26</v>
      </c>
      <c r="H6421" t="s">
        <v>96</v>
      </c>
      <c r="I6421" t="s">
        <v>97</v>
      </c>
      <c r="J6421">
        <v>44.344999999999999</v>
      </c>
      <c r="K6421">
        <v>0.04</v>
      </c>
      <c r="L6421">
        <v>0.53</v>
      </c>
      <c r="M6421">
        <v>7</v>
      </c>
      <c r="N6421">
        <v>-22.155000000000001</v>
      </c>
      <c r="O6421" s="1" t="s">
        <v>64</v>
      </c>
      <c r="P6421" s="1" t="s">
        <v>9314</v>
      </c>
      <c r="Q6421" s="1" t="s">
        <v>9315</v>
      </c>
      <c r="R6421" s="1" t="s">
        <v>128</v>
      </c>
      <c r="S6421" s="1" t="s">
        <v>9316</v>
      </c>
      <c r="T6421" s="1" t="s">
        <v>9317</v>
      </c>
      <c r="U6421" s="2" t="s">
        <v>955</v>
      </c>
      <c r="V6421" s="2" t="s">
        <v>47</v>
      </c>
      <c r="W6421" s="2" t="s">
        <v>176</v>
      </c>
      <c r="X6421" s="2">
        <v>13.824999999999999</v>
      </c>
    </row>
    <row r="6422" spans="1:24" x14ac:dyDescent="0.3">
      <c r="A6422">
        <v>24240</v>
      </c>
      <c r="B6422" t="s">
        <v>13037</v>
      </c>
      <c r="C6422" s="3">
        <v>41130</v>
      </c>
      <c r="D6422" t="s">
        <v>39</v>
      </c>
      <c r="E6422">
        <v>14</v>
      </c>
      <c r="F6422" s="3">
        <f ca="1">41131+(RANDBETWEEN(1,10))</f>
        <v>41141</v>
      </c>
      <c r="G6422" t="s">
        <v>26</v>
      </c>
      <c r="H6422" t="s">
        <v>51</v>
      </c>
      <c r="I6422" t="s">
        <v>28</v>
      </c>
      <c r="J6422">
        <v>304.255</v>
      </c>
      <c r="K6422">
        <v>0.1</v>
      </c>
      <c r="L6422">
        <v>0.71</v>
      </c>
      <c r="M6422">
        <v>9.59</v>
      </c>
      <c r="N6422">
        <v>-235.8811</v>
      </c>
      <c r="O6422" s="1" t="s">
        <v>64</v>
      </c>
      <c r="P6422" s="1" t="s">
        <v>8187</v>
      </c>
      <c r="Q6422" s="1" t="s">
        <v>8188</v>
      </c>
      <c r="R6422" s="1" t="s">
        <v>67</v>
      </c>
      <c r="S6422" s="1" t="s">
        <v>254</v>
      </c>
      <c r="T6422" s="1" t="s">
        <v>8189</v>
      </c>
      <c r="U6422" s="2" t="s">
        <v>3887</v>
      </c>
      <c r="V6422" s="2" t="s">
        <v>36</v>
      </c>
      <c r="W6422" s="2" t="s">
        <v>60</v>
      </c>
      <c r="X6422" s="2">
        <v>22.68</v>
      </c>
    </row>
    <row r="6423" spans="1:24" x14ac:dyDescent="0.3">
      <c r="A6423">
        <v>24241</v>
      </c>
      <c r="B6423" t="s">
        <v>13038</v>
      </c>
      <c r="C6423" s="3">
        <v>41732</v>
      </c>
      <c r="D6423" t="s">
        <v>39</v>
      </c>
      <c r="E6423">
        <v>7</v>
      </c>
      <c r="F6423" s="3">
        <f ca="1">41734+(RANDBETWEEN(1,10))</f>
        <v>41736</v>
      </c>
      <c r="G6423" t="s">
        <v>26</v>
      </c>
      <c r="H6423" t="s">
        <v>281</v>
      </c>
      <c r="I6423" t="s">
        <v>86</v>
      </c>
      <c r="J6423">
        <v>1654.45</v>
      </c>
      <c r="K6423">
        <v>0</v>
      </c>
      <c r="L6423">
        <v>0.63</v>
      </c>
      <c r="M6423">
        <v>37.94</v>
      </c>
      <c r="N6423">
        <v>1141.5705</v>
      </c>
      <c r="O6423" s="1" t="s">
        <v>64</v>
      </c>
      <c r="P6423" s="1" t="s">
        <v>12753</v>
      </c>
      <c r="Q6423" s="1" t="s">
        <v>12754</v>
      </c>
      <c r="R6423" s="1" t="s">
        <v>128</v>
      </c>
      <c r="S6423" s="1" t="s">
        <v>12755</v>
      </c>
      <c r="T6423" s="1" t="s">
        <v>12756</v>
      </c>
      <c r="U6423" s="2" t="s">
        <v>6655</v>
      </c>
      <c r="V6423" s="2" t="s">
        <v>83</v>
      </c>
      <c r="W6423" s="2" t="s">
        <v>178</v>
      </c>
      <c r="X6423" s="2">
        <v>217.63</v>
      </c>
    </row>
    <row r="6424" spans="1:24" x14ac:dyDescent="0.3">
      <c r="A6424">
        <v>24242</v>
      </c>
      <c r="B6424" t="s">
        <v>13039</v>
      </c>
      <c r="C6424" s="3">
        <v>41043</v>
      </c>
      <c r="D6424" t="s">
        <v>148</v>
      </c>
      <c r="E6424">
        <v>14</v>
      </c>
      <c r="F6424" s="3">
        <f ca="1">41043+(RANDBETWEEN(1,10))</f>
        <v>41046</v>
      </c>
      <c r="G6424" t="s">
        <v>26</v>
      </c>
      <c r="H6424" t="s">
        <v>96</v>
      </c>
      <c r="I6424" t="s">
        <v>97</v>
      </c>
      <c r="J6424">
        <v>233.31</v>
      </c>
      <c r="K6424">
        <v>0.02</v>
      </c>
      <c r="L6424">
        <v>0.52</v>
      </c>
      <c r="M6424">
        <v>2.4849999999999999</v>
      </c>
      <c r="N6424">
        <v>160.98390000000001</v>
      </c>
      <c r="O6424" s="1" t="s">
        <v>53</v>
      </c>
      <c r="P6424" s="1" t="s">
        <v>13040</v>
      </c>
      <c r="Q6424" s="1" t="s">
        <v>13041</v>
      </c>
      <c r="R6424" s="1" t="s">
        <v>100</v>
      </c>
      <c r="S6424" s="1" t="s">
        <v>11380</v>
      </c>
      <c r="T6424" s="1" t="s">
        <v>11381</v>
      </c>
      <c r="U6424" s="2" t="s">
        <v>2636</v>
      </c>
      <c r="V6424" s="2" t="s">
        <v>47</v>
      </c>
      <c r="W6424" s="2" t="s">
        <v>104</v>
      </c>
      <c r="X6424" s="2">
        <v>16.940000000000001</v>
      </c>
    </row>
    <row r="6425" spans="1:24" x14ac:dyDescent="0.3">
      <c r="A6425">
        <v>24243</v>
      </c>
      <c r="B6425" t="s">
        <v>13042</v>
      </c>
      <c r="C6425" s="3">
        <v>40850</v>
      </c>
      <c r="D6425" t="s">
        <v>50</v>
      </c>
      <c r="E6425">
        <v>9</v>
      </c>
      <c r="F6425" s="3">
        <f ca="1">40852+(RANDBETWEEN(1,10))</f>
        <v>40858</v>
      </c>
      <c r="G6425" t="s">
        <v>76</v>
      </c>
      <c r="H6425" t="s">
        <v>77</v>
      </c>
      <c r="I6425" t="s">
        <v>97</v>
      </c>
      <c r="J6425">
        <v>5343.38</v>
      </c>
      <c r="K6425">
        <v>0.04</v>
      </c>
      <c r="L6425">
        <v>0.62</v>
      </c>
      <c r="M6425">
        <v>105</v>
      </c>
      <c r="N6425">
        <v>893.97</v>
      </c>
      <c r="O6425" s="1" t="s">
        <v>29</v>
      </c>
      <c r="P6425" s="1" t="s">
        <v>11508</v>
      </c>
      <c r="Q6425" s="1" t="s">
        <v>11509</v>
      </c>
      <c r="R6425" s="1" t="s">
        <v>32</v>
      </c>
      <c r="S6425" s="1" t="s">
        <v>11510</v>
      </c>
      <c r="T6425" s="1" t="s">
        <v>11511</v>
      </c>
      <c r="U6425" s="2" t="s">
        <v>2089</v>
      </c>
      <c r="V6425" s="2" t="s">
        <v>83</v>
      </c>
      <c r="W6425" s="2" t="s">
        <v>84</v>
      </c>
      <c r="X6425" s="2">
        <v>563.42999999999995</v>
      </c>
    </row>
    <row r="6426" spans="1:24" x14ac:dyDescent="0.3">
      <c r="A6426">
        <v>24244</v>
      </c>
      <c r="B6426" t="s">
        <v>13043</v>
      </c>
      <c r="C6426" s="3">
        <v>41946</v>
      </c>
      <c r="D6426" t="s">
        <v>50</v>
      </c>
      <c r="E6426">
        <v>39</v>
      </c>
      <c r="F6426" s="3">
        <f ca="1">41948+(RANDBETWEEN(1,10))</f>
        <v>41953</v>
      </c>
      <c r="G6426" t="s">
        <v>26</v>
      </c>
      <c r="H6426" t="s">
        <v>27</v>
      </c>
      <c r="I6426" t="s">
        <v>97</v>
      </c>
      <c r="J6426">
        <v>2491.02</v>
      </c>
      <c r="K6426">
        <v>0.01</v>
      </c>
      <c r="L6426">
        <v>0.79</v>
      </c>
      <c r="M6426">
        <v>14</v>
      </c>
      <c r="N6426">
        <v>142.84703999999999</v>
      </c>
      <c r="O6426" s="1" t="s">
        <v>29</v>
      </c>
      <c r="P6426" s="1" t="s">
        <v>11508</v>
      </c>
      <c r="Q6426" s="1" t="s">
        <v>11509</v>
      </c>
      <c r="R6426" s="1" t="s">
        <v>32</v>
      </c>
      <c r="S6426" s="1" t="s">
        <v>11510</v>
      </c>
      <c r="T6426" s="1" t="s">
        <v>11511</v>
      </c>
      <c r="U6426" s="2" t="s">
        <v>4938</v>
      </c>
      <c r="V6426" s="2" t="s">
        <v>36</v>
      </c>
      <c r="W6426" s="2" t="s">
        <v>60</v>
      </c>
      <c r="X6426" s="2">
        <v>62.93</v>
      </c>
    </row>
    <row r="6427" spans="1:24" x14ac:dyDescent="0.3">
      <c r="A6427">
        <v>24245</v>
      </c>
      <c r="B6427" t="s">
        <v>13042</v>
      </c>
      <c r="C6427" s="3">
        <v>40850</v>
      </c>
      <c r="D6427" t="s">
        <v>50</v>
      </c>
      <c r="E6427">
        <v>20</v>
      </c>
      <c r="F6427" s="3">
        <f ca="1">40851+(RANDBETWEEN(1,10))</f>
        <v>40854</v>
      </c>
      <c r="G6427" t="s">
        <v>26</v>
      </c>
      <c r="H6427" t="s">
        <v>27</v>
      </c>
      <c r="I6427" t="s">
        <v>97</v>
      </c>
      <c r="J6427">
        <v>6833.96</v>
      </c>
      <c r="K6427">
        <v>0.06</v>
      </c>
      <c r="L6427">
        <v>0.57999999999999996</v>
      </c>
      <c r="M6427">
        <v>31.465</v>
      </c>
      <c r="N6427">
        <v>2399.6511</v>
      </c>
      <c r="O6427" s="1" t="s">
        <v>29</v>
      </c>
      <c r="P6427" s="1" t="s">
        <v>11508</v>
      </c>
      <c r="Q6427" s="1" t="s">
        <v>11509</v>
      </c>
      <c r="R6427" s="1" t="s">
        <v>32</v>
      </c>
      <c r="S6427" s="1" t="s">
        <v>11510</v>
      </c>
      <c r="T6427" s="1" t="s">
        <v>11511</v>
      </c>
      <c r="U6427" s="2">
        <v>5185</v>
      </c>
      <c r="V6427" s="2" t="s">
        <v>36</v>
      </c>
      <c r="W6427" s="2" t="s">
        <v>37</v>
      </c>
      <c r="X6427" s="2">
        <v>405.96499999999997</v>
      </c>
    </row>
    <row r="6428" spans="1:24" x14ac:dyDescent="0.3">
      <c r="A6428">
        <v>24246</v>
      </c>
      <c r="B6428" t="s">
        <v>13044</v>
      </c>
      <c r="C6428" s="3">
        <v>41597</v>
      </c>
      <c r="D6428" t="s">
        <v>25</v>
      </c>
      <c r="E6428">
        <v>33</v>
      </c>
      <c r="F6428" s="3">
        <f ca="1">41606+(RANDBETWEEN(1,10))</f>
        <v>41613</v>
      </c>
      <c r="G6428" t="s">
        <v>26</v>
      </c>
      <c r="H6428" t="s">
        <v>96</v>
      </c>
      <c r="I6428" t="s">
        <v>28</v>
      </c>
      <c r="J6428">
        <v>892.5</v>
      </c>
      <c r="K6428">
        <v>0.09</v>
      </c>
      <c r="L6428">
        <v>0.4</v>
      </c>
      <c r="M6428">
        <v>10.045</v>
      </c>
      <c r="N6428">
        <v>373.065</v>
      </c>
      <c r="O6428" s="1" t="s">
        <v>225</v>
      </c>
      <c r="P6428" s="1" t="s">
        <v>11029</v>
      </c>
      <c r="Q6428" s="1" t="s">
        <v>11030</v>
      </c>
      <c r="R6428" s="1" t="s">
        <v>228</v>
      </c>
      <c r="S6428" s="1" t="s">
        <v>1788</v>
      </c>
      <c r="T6428" s="1" t="s">
        <v>1789</v>
      </c>
      <c r="U6428" s="2" t="s">
        <v>1846</v>
      </c>
      <c r="V6428" s="2" t="s">
        <v>47</v>
      </c>
      <c r="W6428" s="2" t="s">
        <v>74</v>
      </c>
      <c r="X6428" s="2">
        <v>28.035</v>
      </c>
    </row>
    <row r="6429" spans="1:24" x14ac:dyDescent="0.3">
      <c r="A6429">
        <v>24247</v>
      </c>
      <c r="B6429" t="s">
        <v>13044</v>
      </c>
      <c r="C6429" s="3">
        <v>41597</v>
      </c>
      <c r="D6429" t="s">
        <v>25</v>
      </c>
      <c r="E6429">
        <v>14</v>
      </c>
      <c r="F6429" s="3">
        <f ca="1">41602+(RANDBETWEEN(1,10))</f>
        <v>41605</v>
      </c>
      <c r="G6429" t="s">
        <v>26</v>
      </c>
      <c r="H6429" t="s">
        <v>27</v>
      </c>
      <c r="I6429" t="s">
        <v>28</v>
      </c>
      <c r="J6429">
        <v>329.38499999999999</v>
      </c>
      <c r="K6429">
        <v>0.08</v>
      </c>
      <c r="L6429">
        <v>0.37</v>
      </c>
      <c r="M6429">
        <v>20.440000000000001</v>
      </c>
      <c r="N6429">
        <v>27.103999999999999</v>
      </c>
      <c r="O6429" s="1" t="s">
        <v>87</v>
      </c>
      <c r="P6429" s="1" t="s">
        <v>7029</v>
      </c>
      <c r="Q6429" s="1" t="s">
        <v>7030</v>
      </c>
      <c r="R6429" s="1" t="s">
        <v>497</v>
      </c>
      <c r="S6429" s="1" t="s">
        <v>5030</v>
      </c>
      <c r="T6429" s="1" t="s">
        <v>5031</v>
      </c>
      <c r="U6429" s="2" t="s">
        <v>8568</v>
      </c>
      <c r="V6429" s="2" t="s">
        <v>47</v>
      </c>
      <c r="W6429" s="2" t="s">
        <v>74</v>
      </c>
      <c r="X6429" s="2">
        <v>22.68</v>
      </c>
    </row>
    <row r="6430" spans="1:24" x14ac:dyDescent="0.3">
      <c r="A6430">
        <v>24248</v>
      </c>
      <c r="B6430" t="s">
        <v>13044</v>
      </c>
      <c r="C6430" s="3">
        <v>41597</v>
      </c>
      <c r="D6430" t="s">
        <v>25</v>
      </c>
      <c r="E6430">
        <v>42</v>
      </c>
      <c r="F6430" s="3">
        <f ca="1">41604+(RANDBETWEEN(1,10))</f>
        <v>41609</v>
      </c>
      <c r="G6430" t="s">
        <v>156</v>
      </c>
      <c r="H6430" t="s">
        <v>51</v>
      </c>
      <c r="I6430" t="s">
        <v>28</v>
      </c>
      <c r="J6430">
        <v>5667.13</v>
      </c>
      <c r="K6430">
        <v>0.1</v>
      </c>
      <c r="L6430">
        <v>0.59</v>
      </c>
      <c r="M6430">
        <v>31.465</v>
      </c>
      <c r="N6430">
        <v>1402.5550000000001</v>
      </c>
      <c r="O6430" s="1" t="s">
        <v>87</v>
      </c>
      <c r="P6430" s="1" t="s">
        <v>7029</v>
      </c>
      <c r="Q6430" s="1" t="s">
        <v>7030</v>
      </c>
      <c r="R6430" s="1" t="s">
        <v>497</v>
      </c>
      <c r="S6430" s="1" t="s">
        <v>5030</v>
      </c>
      <c r="T6430" s="1" t="s">
        <v>5031</v>
      </c>
      <c r="U6430" s="2" t="s">
        <v>2755</v>
      </c>
      <c r="V6430" s="2" t="s">
        <v>47</v>
      </c>
      <c r="W6430" s="2" t="s">
        <v>104</v>
      </c>
      <c r="X6430" s="2">
        <v>143.39500000000001</v>
      </c>
    </row>
    <row r="6431" spans="1:24" x14ac:dyDescent="0.3">
      <c r="A6431">
        <v>24249</v>
      </c>
      <c r="B6431" t="s">
        <v>13045</v>
      </c>
      <c r="C6431" s="3">
        <v>41721</v>
      </c>
      <c r="D6431" t="s">
        <v>39</v>
      </c>
      <c r="E6431">
        <v>8</v>
      </c>
      <c r="F6431" s="3">
        <f ca="1">41723+(RANDBETWEEN(1,10))</f>
        <v>41732</v>
      </c>
      <c r="G6431" t="s">
        <v>156</v>
      </c>
      <c r="H6431" t="s">
        <v>27</v>
      </c>
      <c r="I6431" t="s">
        <v>28</v>
      </c>
      <c r="J6431">
        <v>11799.795</v>
      </c>
      <c r="K6431">
        <v>0.01</v>
      </c>
      <c r="L6431">
        <v>0.35</v>
      </c>
      <c r="M6431">
        <v>69.965000000000003</v>
      </c>
      <c r="N6431">
        <v>8141.8585499999999</v>
      </c>
      <c r="O6431" s="1" t="s">
        <v>40</v>
      </c>
      <c r="P6431" s="1" t="s">
        <v>6292</v>
      </c>
      <c r="Q6431" s="1" t="s">
        <v>6293</v>
      </c>
      <c r="R6431" s="1" t="s">
        <v>43</v>
      </c>
      <c r="S6431" s="1" t="s">
        <v>80</v>
      </c>
      <c r="T6431" s="1" t="s">
        <v>6294</v>
      </c>
      <c r="U6431" s="2" t="s">
        <v>1352</v>
      </c>
      <c r="V6431" s="2" t="s">
        <v>47</v>
      </c>
      <c r="W6431" s="2" t="s">
        <v>111</v>
      </c>
      <c r="X6431" s="2">
        <v>1473.43</v>
      </c>
    </row>
    <row r="6432" spans="1:24" x14ac:dyDescent="0.3">
      <c r="A6432">
        <v>24250</v>
      </c>
      <c r="B6432" t="s">
        <v>13045</v>
      </c>
      <c r="C6432" s="3">
        <v>41721</v>
      </c>
      <c r="D6432" t="s">
        <v>39</v>
      </c>
      <c r="E6432">
        <v>9</v>
      </c>
      <c r="F6432" s="3">
        <f ca="1">41723+(RANDBETWEEN(1,10))</f>
        <v>41724</v>
      </c>
      <c r="G6432" t="s">
        <v>76</v>
      </c>
      <c r="H6432" t="s">
        <v>258</v>
      </c>
      <c r="I6432" t="s">
        <v>28</v>
      </c>
      <c r="J6432">
        <v>4421.0249999999996</v>
      </c>
      <c r="K6432">
        <v>0.05</v>
      </c>
      <c r="L6432">
        <v>0.77</v>
      </c>
      <c r="M6432">
        <v>126.315</v>
      </c>
      <c r="N6432">
        <v>-1497.9649999999999</v>
      </c>
      <c r="O6432" s="1" t="s">
        <v>40</v>
      </c>
      <c r="P6432" s="1" t="s">
        <v>6292</v>
      </c>
      <c r="Q6432" s="1" t="s">
        <v>6293</v>
      </c>
      <c r="R6432" s="1" t="s">
        <v>43</v>
      </c>
      <c r="S6432" s="1" t="s">
        <v>80</v>
      </c>
      <c r="T6432" s="1" t="s">
        <v>6294</v>
      </c>
      <c r="U6432" s="2" t="s">
        <v>3136</v>
      </c>
      <c r="V6432" s="2" t="s">
        <v>83</v>
      </c>
      <c r="W6432" s="2" t="s">
        <v>298</v>
      </c>
      <c r="X6432" s="2">
        <v>493.43</v>
      </c>
    </row>
    <row r="6433" spans="1:24" x14ac:dyDescent="0.3">
      <c r="A6433">
        <v>24251</v>
      </c>
      <c r="B6433" t="s">
        <v>13045</v>
      </c>
      <c r="C6433" s="3">
        <v>41721</v>
      </c>
      <c r="D6433" t="s">
        <v>39</v>
      </c>
      <c r="E6433">
        <v>1</v>
      </c>
      <c r="F6433" s="3">
        <f ca="1">41722+(RANDBETWEEN(1,10))</f>
        <v>41730</v>
      </c>
      <c r="G6433" t="s">
        <v>76</v>
      </c>
      <c r="H6433" t="s">
        <v>258</v>
      </c>
      <c r="I6433" t="s">
        <v>28</v>
      </c>
      <c r="J6433">
        <v>11761.05</v>
      </c>
      <c r="K6433">
        <v>0.05</v>
      </c>
      <c r="L6433">
        <v>0.56999999999999995</v>
      </c>
      <c r="M6433">
        <v>30.555</v>
      </c>
      <c r="N6433">
        <v>-27865.008150000001</v>
      </c>
      <c r="O6433" s="1" t="s">
        <v>40</v>
      </c>
      <c r="P6433" s="1" t="s">
        <v>6292</v>
      </c>
      <c r="Q6433" s="1" t="s">
        <v>6293</v>
      </c>
      <c r="R6433" s="1" t="s">
        <v>43</v>
      </c>
      <c r="S6433" s="1" t="s">
        <v>80</v>
      </c>
      <c r="T6433" s="1" t="s">
        <v>6294</v>
      </c>
      <c r="U6433" s="2" t="s">
        <v>1769</v>
      </c>
      <c r="V6433" s="2" t="s">
        <v>36</v>
      </c>
      <c r="W6433" s="2" t="s">
        <v>142</v>
      </c>
      <c r="X6433" s="2">
        <v>12257.49</v>
      </c>
    </row>
    <row r="6434" spans="1:24" x14ac:dyDescent="0.3">
      <c r="A6434">
        <v>24252</v>
      </c>
      <c r="B6434" t="s">
        <v>13045</v>
      </c>
      <c r="C6434" s="3">
        <v>41721</v>
      </c>
      <c r="D6434" t="s">
        <v>39</v>
      </c>
      <c r="E6434">
        <v>3</v>
      </c>
      <c r="F6434" s="3">
        <f ca="1">41724+(RANDBETWEEN(1,10))</f>
        <v>41728</v>
      </c>
      <c r="G6434" t="s">
        <v>26</v>
      </c>
      <c r="H6434" t="s">
        <v>96</v>
      </c>
      <c r="I6434" t="s">
        <v>28</v>
      </c>
      <c r="J6434">
        <v>322</v>
      </c>
      <c r="K6434">
        <v>7.0000000000000007E-2</v>
      </c>
      <c r="L6434">
        <v>0.38</v>
      </c>
      <c r="M6434">
        <v>20.965</v>
      </c>
      <c r="N6434">
        <v>-60.945500000000003</v>
      </c>
      <c r="O6434" s="1" t="s">
        <v>40</v>
      </c>
      <c r="P6434" s="1" t="s">
        <v>6292</v>
      </c>
      <c r="Q6434" s="1" t="s">
        <v>6293</v>
      </c>
      <c r="R6434" s="1" t="s">
        <v>43</v>
      </c>
      <c r="S6434" s="1" t="s">
        <v>80</v>
      </c>
      <c r="T6434" s="1" t="s">
        <v>6294</v>
      </c>
      <c r="U6434" s="2" t="s">
        <v>5234</v>
      </c>
      <c r="V6434" s="2" t="s">
        <v>36</v>
      </c>
      <c r="W6434" s="2" t="s">
        <v>37</v>
      </c>
      <c r="X6434" s="2">
        <v>125.965</v>
      </c>
    </row>
    <row r="6435" spans="1:24" x14ac:dyDescent="0.3">
      <c r="A6435">
        <v>24253</v>
      </c>
      <c r="B6435" t="s">
        <v>13046</v>
      </c>
      <c r="C6435" s="3">
        <v>41719</v>
      </c>
      <c r="D6435" t="s">
        <v>148</v>
      </c>
      <c r="E6435">
        <v>12</v>
      </c>
      <c r="F6435" s="3">
        <f ca="1">41721+(RANDBETWEEN(1,10))</f>
        <v>41725</v>
      </c>
      <c r="G6435" t="s">
        <v>26</v>
      </c>
      <c r="H6435" t="s">
        <v>51</v>
      </c>
      <c r="I6435" t="s">
        <v>28</v>
      </c>
      <c r="J6435">
        <v>435.75</v>
      </c>
      <c r="K6435">
        <v>0.06</v>
      </c>
      <c r="L6435">
        <v>0.51</v>
      </c>
      <c r="M6435">
        <v>18.899999999999999</v>
      </c>
      <c r="N6435">
        <v>-36.798999999999999</v>
      </c>
      <c r="O6435" s="1" t="s">
        <v>40</v>
      </c>
      <c r="P6435" s="1" t="s">
        <v>11628</v>
      </c>
      <c r="Q6435" s="1" t="s">
        <v>11629</v>
      </c>
      <c r="R6435" s="1" t="s">
        <v>43</v>
      </c>
      <c r="S6435" s="1" t="s">
        <v>11630</v>
      </c>
      <c r="T6435" s="1" t="s">
        <v>11631</v>
      </c>
      <c r="U6435" s="2" t="s">
        <v>4601</v>
      </c>
      <c r="V6435" s="2" t="s">
        <v>83</v>
      </c>
      <c r="W6435" s="2" t="s">
        <v>178</v>
      </c>
      <c r="X6435" s="2">
        <v>36.4</v>
      </c>
    </row>
    <row r="6436" spans="1:24" x14ac:dyDescent="0.3">
      <c r="A6436">
        <v>24254</v>
      </c>
      <c r="B6436" t="s">
        <v>13047</v>
      </c>
      <c r="C6436" s="3">
        <v>40989</v>
      </c>
      <c r="D6436" t="s">
        <v>148</v>
      </c>
      <c r="E6436">
        <v>7</v>
      </c>
      <c r="F6436" s="3">
        <f ca="1">40991+(RANDBETWEEN(1,10))</f>
        <v>40992</v>
      </c>
      <c r="G6436" t="s">
        <v>26</v>
      </c>
      <c r="H6436" t="s">
        <v>27</v>
      </c>
      <c r="I6436" t="s">
        <v>28</v>
      </c>
      <c r="J6436">
        <v>245.94499999999999</v>
      </c>
      <c r="K6436">
        <v>0.01</v>
      </c>
      <c r="L6436">
        <v>0.4</v>
      </c>
      <c r="M6436">
        <v>34.51</v>
      </c>
      <c r="N6436">
        <v>323.44200000000001</v>
      </c>
      <c r="O6436" s="1" t="s">
        <v>40</v>
      </c>
      <c r="P6436" s="1" t="s">
        <v>11628</v>
      </c>
      <c r="Q6436" s="1" t="s">
        <v>11629</v>
      </c>
      <c r="R6436" s="1" t="s">
        <v>43</v>
      </c>
      <c r="S6436" s="1" t="s">
        <v>11630</v>
      </c>
      <c r="T6436" s="1" t="s">
        <v>11631</v>
      </c>
      <c r="U6436" s="2" t="s">
        <v>7950</v>
      </c>
      <c r="V6436" s="2" t="s">
        <v>47</v>
      </c>
      <c r="W6436" s="2" t="s">
        <v>74</v>
      </c>
      <c r="X6436" s="2">
        <v>31.71</v>
      </c>
    </row>
    <row r="6437" spans="1:24" x14ac:dyDescent="0.3">
      <c r="A6437">
        <v>24255</v>
      </c>
      <c r="B6437" t="s">
        <v>13047</v>
      </c>
      <c r="C6437" s="3">
        <v>40989</v>
      </c>
      <c r="D6437" t="s">
        <v>148</v>
      </c>
      <c r="E6437">
        <v>10</v>
      </c>
      <c r="F6437" s="3">
        <f ca="1">40991+(RANDBETWEEN(1,10))</f>
        <v>40997</v>
      </c>
      <c r="G6437" t="s">
        <v>26</v>
      </c>
      <c r="H6437" t="s">
        <v>27</v>
      </c>
      <c r="I6437" t="s">
        <v>28</v>
      </c>
      <c r="J6437">
        <v>236.18</v>
      </c>
      <c r="K6437">
        <v>0.02</v>
      </c>
      <c r="L6437">
        <v>0.37</v>
      </c>
      <c r="M6437">
        <v>20.545000000000002</v>
      </c>
      <c r="N6437">
        <v>-175.80611999999999</v>
      </c>
      <c r="O6437" s="1" t="s">
        <v>40</v>
      </c>
      <c r="P6437" s="1" t="s">
        <v>11628</v>
      </c>
      <c r="Q6437" s="1" t="s">
        <v>11629</v>
      </c>
      <c r="R6437" s="1" t="s">
        <v>43</v>
      </c>
      <c r="S6437" s="1" t="s">
        <v>11630</v>
      </c>
      <c r="T6437" s="1" t="s">
        <v>11631</v>
      </c>
      <c r="U6437" s="2" t="s">
        <v>8834</v>
      </c>
      <c r="V6437" s="2" t="s">
        <v>47</v>
      </c>
      <c r="W6437" s="2" t="s">
        <v>74</v>
      </c>
      <c r="X6437" s="2">
        <v>22.68</v>
      </c>
    </row>
    <row r="6438" spans="1:24" x14ac:dyDescent="0.3">
      <c r="A6438">
        <v>24256</v>
      </c>
      <c r="B6438" t="s">
        <v>13048</v>
      </c>
      <c r="C6438" s="3">
        <v>41439</v>
      </c>
      <c r="D6438" t="s">
        <v>50</v>
      </c>
      <c r="E6438">
        <v>1</v>
      </c>
      <c r="F6438" s="3">
        <f ca="1">41440+(RANDBETWEEN(1,10))</f>
        <v>41442</v>
      </c>
      <c r="G6438" t="s">
        <v>156</v>
      </c>
      <c r="H6438" t="s">
        <v>96</v>
      </c>
      <c r="I6438" t="s">
        <v>28</v>
      </c>
      <c r="J6438">
        <v>36.68</v>
      </c>
      <c r="K6438">
        <v>0</v>
      </c>
      <c r="L6438">
        <v>0.36</v>
      </c>
      <c r="M6438">
        <v>7.14</v>
      </c>
      <c r="N6438">
        <v>-10.584</v>
      </c>
      <c r="O6438" s="1" t="s">
        <v>87</v>
      </c>
      <c r="P6438" s="1" t="s">
        <v>13049</v>
      </c>
      <c r="Q6438" s="1" t="s">
        <v>13050</v>
      </c>
      <c r="R6438" s="1" t="s">
        <v>398</v>
      </c>
      <c r="S6438" s="1" t="s">
        <v>13051</v>
      </c>
      <c r="T6438" s="1" t="s">
        <v>13052</v>
      </c>
      <c r="U6438" s="2" t="s">
        <v>204</v>
      </c>
      <c r="V6438" s="2" t="s">
        <v>47</v>
      </c>
      <c r="W6438" s="2" t="s">
        <v>74</v>
      </c>
      <c r="X6438" s="2">
        <v>18.13</v>
      </c>
    </row>
    <row r="6439" spans="1:24" x14ac:dyDescent="0.3">
      <c r="A6439">
        <v>24257</v>
      </c>
      <c r="B6439" t="s">
        <v>13053</v>
      </c>
      <c r="C6439" s="3">
        <v>41793</v>
      </c>
      <c r="D6439" t="s">
        <v>25</v>
      </c>
      <c r="E6439">
        <v>6</v>
      </c>
      <c r="F6439" s="3">
        <f ca="1">41800+(RANDBETWEEN(1,10))</f>
        <v>41808</v>
      </c>
      <c r="G6439" t="s">
        <v>156</v>
      </c>
      <c r="H6439" t="s">
        <v>27</v>
      </c>
      <c r="I6439" t="s">
        <v>52</v>
      </c>
      <c r="J6439">
        <v>150.99</v>
      </c>
      <c r="K6439">
        <v>0.09</v>
      </c>
      <c r="L6439">
        <v>0.36</v>
      </c>
      <c r="M6439">
        <v>33.880000000000003</v>
      </c>
      <c r="N6439">
        <v>-238.81200000000001</v>
      </c>
      <c r="O6439" s="1" t="s">
        <v>87</v>
      </c>
      <c r="P6439" s="1" t="s">
        <v>10908</v>
      </c>
      <c r="Q6439" s="1" t="s">
        <v>10909</v>
      </c>
      <c r="R6439" s="1" t="s">
        <v>398</v>
      </c>
      <c r="S6439" s="1" t="s">
        <v>7505</v>
      </c>
      <c r="T6439" s="1" t="s">
        <v>7506</v>
      </c>
      <c r="U6439" s="2" t="s">
        <v>6485</v>
      </c>
      <c r="V6439" s="2" t="s">
        <v>47</v>
      </c>
      <c r="W6439" s="2" t="s">
        <v>74</v>
      </c>
      <c r="X6439" s="2">
        <v>22.68</v>
      </c>
    </row>
    <row r="6440" spans="1:24" x14ac:dyDescent="0.3">
      <c r="A6440">
        <v>24258</v>
      </c>
      <c r="B6440" t="s">
        <v>13053</v>
      </c>
      <c r="C6440" s="3">
        <v>41793</v>
      </c>
      <c r="D6440" t="s">
        <v>25</v>
      </c>
      <c r="E6440">
        <v>5</v>
      </c>
      <c r="F6440" s="3">
        <f ca="1">41793+(RANDBETWEEN(1,10))</f>
        <v>41802</v>
      </c>
      <c r="G6440" t="s">
        <v>76</v>
      </c>
      <c r="H6440" t="s">
        <v>77</v>
      </c>
      <c r="I6440" t="s">
        <v>52</v>
      </c>
      <c r="J6440">
        <v>411.39</v>
      </c>
      <c r="K6440">
        <v>0.09</v>
      </c>
      <c r="L6440">
        <v>0.61</v>
      </c>
      <c r="M6440">
        <v>157.5</v>
      </c>
      <c r="N6440">
        <v>-1248.1559999999999</v>
      </c>
      <c r="O6440" s="1" t="s">
        <v>87</v>
      </c>
      <c r="P6440" s="1" t="s">
        <v>10908</v>
      </c>
      <c r="Q6440" s="1" t="s">
        <v>10909</v>
      </c>
      <c r="R6440" s="1" t="s">
        <v>398</v>
      </c>
      <c r="S6440" s="1" t="s">
        <v>7505</v>
      </c>
      <c r="T6440" s="1" t="s">
        <v>7506</v>
      </c>
      <c r="U6440" s="2" t="s">
        <v>2625</v>
      </c>
      <c r="V6440" s="2" t="s">
        <v>47</v>
      </c>
      <c r="W6440" s="2" t="s">
        <v>119</v>
      </c>
      <c r="X6440" s="2">
        <v>73.430000000000007</v>
      </c>
    </row>
    <row r="6441" spans="1:24" x14ac:dyDescent="0.3">
      <c r="A6441">
        <v>24259</v>
      </c>
      <c r="B6441" t="s">
        <v>13053</v>
      </c>
      <c r="C6441" s="3">
        <v>41793</v>
      </c>
      <c r="D6441" t="s">
        <v>25</v>
      </c>
      <c r="E6441">
        <v>3</v>
      </c>
      <c r="F6441" s="3">
        <f ca="1">41795+(RANDBETWEEN(1,10))</f>
        <v>41801</v>
      </c>
      <c r="G6441" t="s">
        <v>26</v>
      </c>
      <c r="H6441" t="s">
        <v>27</v>
      </c>
      <c r="I6441" t="s">
        <v>52</v>
      </c>
      <c r="J6441">
        <v>586.74</v>
      </c>
      <c r="K6441">
        <v>0.04</v>
      </c>
      <c r="L6441">
        <v>0.59</v>
      </c>
      <c r="M6441">
        <v>31.465</v>
      </c>
      <c r="N6441">
        <v>-577.22280000000001</v>
      </c>
      <c r="O6441" s="1" t="s">
        <v>87</v>
      </c>
      <c r="P6441" s="1" t="s">
        <v>10908</v>
      </c>
      <c r="Q6441" s="1" t="s">
        <v>10909</v>
      </c>
      <c r="R6441" s="1" t="s">
        <v>398</v>
      </c>
      <c r="S6441" s="1" t="s">
        <v>7505</v>
      </c>
      <c r="T6441" s="1" t="s">
        <v>7506</v>
      </c>
      <c r="U6441" s="2" t="s">
        <v>1359</v>
      </c>
      <c r="V6441" s="2" t="s">
        <v>36</v>
      </c>
      <c r="W6441" s="2" t="s">
        <v>37</v>
      </c>
      <c r="X6441" s="2">
        <v>230.965</v>
      </c>
    </row>
    <row r="6442" spans="1:24" x14ac:dyDescent="0.3">
      <c r="A6442">
        <v>24260</v>
      </c>
      <c r="B6442" t="s">
        <v>13054</v>
      </c>
      <c r="C6442" s="3">
        <v>40931</v>
      </c>
      <c r="D6442" t="s">
        <v>148</v>
      </c>
      <c r="E6442">
        <v>12</v>
      </c>
      <c r="F6442" s="3">
        <f ca="1">40933+(RANDBETWEEN(1,10))</f>
        <v>40941</v>
      </c>
      <c r="G6442" t="s">
        <v>26</v>
      </c>
      <c r="H6442" t="s">
        <v>27</v>
      </c>
      <c r="I6442" t="s">
        <v>97</v>
      </c>
      <c r="J6442">
        <v>4043.55</v>
      </c>
      <c r="K6442">
        <v>7.0000000000000007E-2</v>
      </c>
      <c r="L6442">
        <v>0.55000000000000004</v>
      </c>
      <c r="M6442">
        <v>8.75</v>
      </c>
      <c r="N6442">
        <v>2790.0495000000001</v>
      </c>
      <c r="O6442" s="1" t="s">
        <v>64</v>
      </c>
      <c r="P6442" s="1" t="s">
        <v>7524</v>
      </c>
      <c r="Q6442" s="1" t="s">
        <v>7525</v>
      </c>
      <c r="R6442" s="1" t="s">
        <v>128</v>
      </c>
      <c r="S6442" s="1" t="s">
        <v>7526</v>
      </c>
      <c r="T6442" s="1" t="s">
        <v>7527</v>
      </c>
      <c r="U6442" s="2" t="s">
        <v>2369</v>
      </c>
      <c r="V6442" s="2" t="s">
        <v>36</v>
      </c>
      <c r="W6442" s="2" t="s">
        <v>37</v>
      </c>
      <c r="X6442" s="2">
        <v>405.96499999999997</v>
      </c>
    </row>
    <row r="6443" spans="1:24" x14ac:dyDescent="0.3">
      <c r="A6443">
        <v>24261</v>
      </c>
      <c r="B6443" t="s">
        <v>13055</v>
      </c>
      <c r="C6443" s="3">
        <v>41758</v>
      </c>
      <c r="D6443" t="s">
        <v>148</v>
      </c>
      <c r="E6443">
        <v>12</v>
      </c>
      <c r="F6443" s="3">
        <f ca="1">41759+(RANDBETWEEN(1,10))</f>
        <v>41762</v>
      </c>
      <c r="G6443" t="s">
        <v>26</v>
      </c>
      <c r="H6443" t="s">
        <v>63</v>
      </c>
      <c r="I6443" t="s">
        <v>28</v>
      </c>
      <c r="J6443">
        <v>6001.8</v>
      </c>
      <c r="K6443">
        <v>0.1</v>
      </c>
      <c r="L6443">
        <v>0.68</v>
      </c>
      <c r="M6443">
        <v>241.5</v>
      </c>
      <c r="N6443">
        <v>-5741.7884999999997</v>
      </c>
      <c r="O6443" s="1" t="s">
        <v>87</v>
      </c>
      <c r="P6443" s="1" t="s">
        <v>7029</v>
      </c>
      <c r="Q6443" s="1" t="s">
        <v>7030</v>
      </c>
      <c r="R6443" s="1" t="s">
        <v>497</v>
      </c>
      <c r="S6443" s="1" t="s">
        <v>5030</v>
      </c>
      <c r="T6443" s="1" t="s">
        <v>5031</v>
      </c>
      <c r="U6443" s="2" t="s">
        <v>7427</v>
      </c>
      <c r="V6443" s="2" t="s">
        <v>83</v>
      </c>
      <c r="W6443" s="2" t="s">
        <v>263</v>
      </c>
      <c r="X6443" s="2">
        <v>539.45500000000004</v>
      </c>
    </row>
    <row r="6444" spans="1:24" x14ac:dyDescent="0.3">
      <c r="A6444">
        <v>24262</v>
      </c>
      <c r="B6444" t="s">
        <v>13056</v>
      </c>
      <c r="C6444" s="3">
        <v>41559</v>
      </c>
      <c r="D6444" t="s">
        <v>50</v>
      </c>
      <c r="E6444">
        <v>7</v>
      </c>
      <c r="F6444" s="3">
        <f ca="1">41561+(RANDBETWEEN(1,10))</f>
        <v>41571</v>
      </c>
      <c r="G6444" t="s">
        <v>26</v>
      </c>
      <c r="H6444" t="s">
        <v>27</v>
      </c>
      <c r="I6444" t="s">
        <v>97</v>
      </c>
      <c r="J6444">
        <v>981.29499999999996</v>
      </c>
      <c r="K6444">
        <v>0.1</v>
      </c>
      <c r="L6444" t="s">
        <v>182</v>
      </c>
      <c r="M6444">
        <v>21.77</v>
      </c>
      <c r="N6444">
        <v>140.23099999999999</v>
      </c>
      <c r="O6444" s="1" t="s">
        <v>87</v>
      </c>
      <c r="P6444" s="1" t="s">
        <v>10302</v>
      </c>
      <c r="Q6444" s="1" t="s">
        <v>10303</v>
      </c>
      <c r="R6444" s="1" t="s">
        <v>90</v>
      </c>
      <c r="S6444" s="1" t="s">
        <v>10304</v>
      </c>
      <c r="T6444" s="1" t="s">
        <v>10305</v>
      </c>
      <c r="U6444" s="2" t="s">
        <v>824</v>
      </c>
      <c r="V6444" s="2" t="s">
        <v>47</v>
      </c>
      <c r="W6444" s="2" t="s">
        <v>119</v>
      </c>
      <c r="X6444" s="2">
        <v>149.66</v>
      </c>
    </row>
    <row r="6445" spans="1:24" x14ac:dyDescent="0.3">
      <c r="A6445">
        <v>24263</v>
      </c>
      <c r="B6445" t="s">
        <v>13057</v>
      </c>
      <c r="C6445" s="3">
        <v>41858</v>
      </c>
      <c r="D6445" t="s">
        <v>148</v>
      </c>
      <c r="E6445">
        <v>14</v>
      </c>
      <c r="F6445" s="3">
        <f ca="1">41860+(RANDBETWEEN(1,10))</f>
        <v>41862</v>
      </c>
      <c r="G6445" t="s">
        <v>76</v>
      </c>
      <c r="H6445" t="s">
        <v>77</v>
      </c>
      <c r="I6445" t="s">
        <v>28</v>
      </c>
      <c r="J6445">
        <v>38692.92</v>
      </c>
      <c r="K6445">
        <v>0.09</v>
      </c>
      <c r="L6445">
        <v>0.56000000000000005</v>
      </c>
      <c r="M6445">
        <v>56.21</v>
      </c>
      <c r="N6445">
        <v>26698.114799999999</v>
      </c>
      <c r="O6445" s="1" t="s">
        <v>225</v>
      </c>
      <c r="P6445" s="1" t="s">
        <v>8308</v>
      </c>
      <c r="Q6445" s="1" t="s">
        <v>8309</v>
      </c>
      <c r="R6445" s="1" t="s">
        <v>228</v>
      </c>
      <c r="S6445" s="1" t="s">
        <v>8310</v>
      </c>
      <c r="T6445" s="1" t="s">
        <v>8311</v>
      </c>
      <c r="U6445" s="2" t="s">
        <v>6873</v>
      </c>
      <c r="V6445" s="2" t="s">
        <v>36</v>
      </c>
      <c r="W6445" s="2" t="s">
        <v>142</v>
      </c>
      <c r="X6445" s="2">
        <v>2838.43</v>
      </c>
    </row>
    <row r="6446" spans="1:24" x14ac:dyDescent="0.3">
      <c r="A6446">
        <v>24264</v>
      </c>
      <c r="B6446" t="s">
        <v>13058</v>
      </c>
      <c r="C6446" s="3">
        <v>40584</v>
      </c>
      <c r="D6446" t="s">
        <v>148</v>
      </c>
      <c r="E6446">
        <v>11</v>
      </c>
      <c r="F6446" s="3">
        <f ca="1">40586+(RANDBETWEEN(1,10))</f>
        <v>40591</v>
      </c>
      <c r="G6446" t="s">
        <v>26</v>
      </c>
      <c r="H6446" t="s">
        <v>27</v>
      </c>
      <c r="I6446" t="s">
        <v>28</v>
      </c>
      <c r="J6446">
        <v>832.40499999999997</v>
      </c>
      <c r="K6446">
        <v>0</v>
      </c>
      <c r="L6446">
        <v>0.47</v>
      </c>
      <c r="M6446">
        <v>50.365000000000002</v>
      </c>
      <c r="N6446">
        <v>54.872999999999998</v>
      </c>
      <c r="O6446" s="1" t="s">
        <v>53</v>
      </c>
      <c r="P6446" s="1" t="s">
        <v>13059</v>
      </c>
      <c r="Q6446" s="1" t="s">
        <v>13060</v>
      </c>
      <c r="R6446" s="1" t="s">
        <v>440</v>
      </c>
      <c r="S6446" s="1" t="s">
        <v>2378</v>
      </c>
      <c r="T6446" s="1" t="s">
        <v>13061</v>
      </c>
      <c r="U6446" s="2" t="s">
        <v>3841</v>
      </c>
      <c r="V6446" s="2" t="s">
        <v>83</v>
      </c>
      <c r="W6446" s="2" t="s">
        <v>178</v>
      </c>
      <c r="X6446" s="2">
        <v>70.98</v>
      </c>
    </row>
    <row r="6447" spans="1:24" x14ac:dyDescent="0.3">
      <c r="A6447">
        <v>24265</v>
      </c>
      <c r="B6447" t="s">
        <v>13062</v>
      </c>
      <c r="C6447" s="3">
        <v>40801</v>
      </c>
      <c r="D6447" t="s">
        <v>50</v>
      </c>
      <c r="E6447">
        <v>11</v>
      </c>
      <c r="F6447" s="3">
        <f ca="1">40803+(RANDBETWEEN(1,10))</f>
        <v>40807</v>
      </c>
      <c r="G6447" t="s">
        <v>26</v>
      </c>
      <c r="H6447" t="s">
        <v>96</v>
      </c>
      <c r="I6447" t="s">
        <v>86</v>
      </c>
      <c r="J6447">
        <v>125.895</v>
      </c>
      <c r="K6447">
        <v>0.06</v>
      </c>
      <c r="L6447">
        <v>0.4</v>
      </c>
      <c r="M6447">
        <v>4.7249999999999996</v>
      </c>
      <c r="N6447">
        <v>29.855</v>
      </c>
      <c r="O6447" s="1" t="s">
        <v>225</v>
      </c>
      <c r="P6447" s="1" t="s">
        <v>6796</v>
      </c>
      <c r="Q6447" s="1" t="s">
        <v>6797</v>
      </c>
      <c r="R6447" s="1" t="s">
        <v>391</v>
      </c>
      <c r="S6447" s="1" t="s">
        <v>515</v>
      </c>
      <c r="T6447" s="1" t="s">
        <v>516</v>
      </c>
      <c r="U6447" s="2" t="s">
        <v>2529</v>
      </c>
      <c r="V6447" s="2" t="s">
        <v>47</v>
      </c>
      <c r="W6447" s="2" t="s">
        <v>176</v>
      </c>
      <c r="X6447" s="2">
        <v>11.515000000000001</v>
      </c>
    </row>
    <row r="6448" spans="1:24" x14ac:dyDescent="0.3">
      <c r="A6448">
        <v>24266</v>
      </c>
      <c r="B6448" t="s">
        <v>13063</v>
      </c>
      <c r="C6448" s="3">
        <v>41000</v>
      </c>
      <c r="D6448" t="s">
        <v>39</v>
      </c>
      <c r="E6448">
        <v>6</v>
      </c>
      <c r="F6448" s="3">
        <f ca="1">41002+(RANDBETWEEN(1,10))</f>
        <v>41010</v>
      </c>
      <c r="G6448" t="s">
        <v>76</v>
      </c>
      <c r="H6448" t="s">
        <v>258</v>
      </c>
      <c r="I6448" t="s">
        <v>97</v>
      </c>
      <c r="J6448">
        <v>5048.47</v>
      </c>
      <c r="K6448">
        <v>0</v>
      </c>
      <c r="L6448">
        <v>0.68</v>
      </c>
      <c r="M6448">
        <v>113.68</v>
      </c>
      <c r="N6448">
        <v>1914.6267</v>
      </c>
      <c r="O6448" s="1" t="s">
        <v>64</v>
      </c>
      <c r="P6448" s="1" t="s">
        <v>12283</v>
      </c>
      <c r="Q6448" s="1" t="s">
        <v>12284</v>
      </c>
      <c r="R6448" s="1" t="s">
        <v>128</v>
      </c>
      <c r="S6448" s="1" t="s">
        <v>4805</v>
      </c>
      <c r="T6448" s="1" t="s">
        <v>4806</v>
      </c>
      <c r="U6448" s="2" t="s">
        <v>1081</v>
      </c>
      <c r="V6448" s="2" t="s">
        <v>83</v>
      </c>
      <c r="W6448" s="2" t="s">
        <v>263</v>
      </c>
      <c r="X6448" s="2">
        <v>796.42499999999995</v>
      </c>
    </row>
    <row r="6449" spans="1:24" x14ac:dyDescent="0.3">
      <c r="A6449">
        <v>24267</v>
      </c>
      <c r="B6449" t="s">
        <v>13064</v>
      </c>
      <c r="C6449" s="3">
        <v>41242</v>
      </c>
      <c r="D6449" t="s">
        <v>39</v>
      </c>
      <c r="E6449">
        <v>16</v>
      </c>
      <c r="F6449" s="3">
        <f ca="1">41244+(RANDBETWEEN(1,10))</f>
        <v>41251</v>
      </c>
      <c r="G6449" t="s">
        <v>26</v>
      </c>
      <c r="H6449" t="s">
        <v>96</v>
      </c>
      <c r="I6449" t="s">
        <v>97</v>
      </c>
      <c r="J6449">
        <v>333.65499999999997</v>
      </c>
      <c r="K6449">
        <v>0.1</v>
      </c>
      <c r="L6449">
        <v>0.51</v>
      </c>
      <c r="M6449">
        <v>3.1850000000000001</v>
      </c>
      <c r="N6449">
        <v>-1695.008</v>
      </c>
      <c r="O6449" s="1" t="s">
        <v>40</v>
      </c>
      <c r="P6449" s="1" t="s">
        <v>8516</v>
      </c>
      <c r="Q6449" s="1" t="s">
        <v>8517</v>
      </c>
      <c r="R6449" s="1" t="s">
        <v>43</v>
      </c>
      <c r="S6449" s="1" t="s">
        <v>8518</v>
      </c>
      <c r="T6449" s="1" t="s">
        <v>8519</v>
      </c>
      <c r="U6449" s="2" t="s">
        <v>4793</v>
      </c>
      <c r="V6449" s="2" t="s">
        <v>47</v>
      </c>
      <c r="W6449" s="2" t="s">
        <v>104</v>
      </c>
      <c r="X6449" s="2">
        <v>21.28</v>
      </c>
    </row>
    <row r="6450" spans="1:24" x14ac:dyDescent="0.3">
      <c r="A6450">
        <v>24268</v>
      </c>
      <c r="B6450" t="s">
        <v>13065</v>
      </c>
      <c r="C6450" s="3">
        <v>41738</v>
      </c>
      <c r="D6450" t="s">
        <v>148</v>
      </c>
      <c r="E6450">
        <v>7</v>
      </c>
      <c r="F6450" s="3">
        <f ca="1">41740+(RANDBETWEEN(1,10))</f>
        <v>41744</v>
      </c>
      <c r="G6450" t="s">
        <v>26</v>
      </c>
      <c r="H6450" t="s">
        <v>27</v>
      </c>
      <c r="I6450" t="s">
        <v>97</v>
      </c>
      <c r="J6450">
        <v>117.11</v>
      </c>
      <c r="K6450">
        <v>0.1</v>
      </c>
      <c r="L6450">
        <v>0.38</v>
      </c>
      <c r="M6450">
        <v>17.395</v>
      </c>
      <c r="N6450">
        <v>-262.95325000000003</v>
      </c>
      <c r="O6450" s="1" t="s">
        <v>29</v>
      </c>
      <c r="P6450" s="1" t="s">
        <v>13066</v>
      </c>
      <c r="Q6450" s="1" t="s">
        <v>13067</v>
      </c>
      <c r="R6450" s="1" t="s">
        <v>32</v>
      </c>
      <c r="S6450" s="1" t="s">
        <v>4279</v>
      </c>
      <c r="T6450" s="1" t="s">
        <v>4280</v>
      </c>
      <c r="U6450" s="2" t="s">
        <v>8128</v>
      </c>
      <c r="V6450" s="2" t="s">
        <v>47</v>
      </c>
      <c r="W6450" s="2" t="s">
        <v>111</v>
      </c>
      <c r="X6450" s="2">
        <v>17.184999999999999</v>
      </c>
    </row>
    <row r="6451" spans="1:24" x14ac:dyDescent="0.3">
      <c r="A6451">
        <v>24269</v>
      </c>
      <c r="B6451" t="s">
        <v>13065</v>
      </c>
      <c r="C6451" s="3">
        <v>41738</v>
      </c>
      <c r="D6451" t="s">
        <v>148</v>
      </c>
      <c r="E6451">
        <v>11</v>
      </c>
      <c r="F6451" s="3">
        <f ca="1">41740+(RANDBETWEEN(1,10))</f>
        <v>41744</v>
      </c>
      <c r="G6451" t="s">
        <v>26</v>
      </c>
      <c r="H6451" t="s">
        <v>51</v>
      </c>
      <c r="I6451" t="s">
        <v>97</v>
      </c>
      <c r="J6451">
        <v>1107.2249999999999</v>
      </c>
      <c r="K6451">
        <v>0.01</v>
      </c>
      <c r="L6451">
        <v>0.4</v>
      </c>
      <c r="M6451">
        <v>6.9649999999999999</v>
      </c>
      <c r="N6451">
        <v>763.98524999999995</v>
      </c>
      <c r="O6451" s="1" t="s">
        <v>29</v>
      </c>
      <c r="P6451" s="1" t="s">
        <v>13066</v>
      </c>
      <c r="Q6451" s="1" t="s">
        <v>13067</v>
      </c>
      <c r="R6451" s="1" t="s">
        <v>32</v>
      </c>
      <c r="S6451" s="1" t="s">
        <v>4279</v>
      </c>
      <c r="T6451" s="1" t="s">
        <v>4280</v>
      </c>
      <c r="U6451" s="2" t="s">
        <v>1109</v>
      </c>
      <c r="V6451" s="2" t="s">
        <v>36</v>
      </c>
      <c r="W6451" s="2" t="s">
        <v>60</v>
      </c>
      <c r="X6451" s="2">
        <v>99.68</v>
      </c>
    </row>
    <row r="6452" spans="1:24" x14ac:dyDescent="0.3">
      <c r="A6452">
        <v>24270</v>
      </c>
      <c r="B6452" t="s">
        <v>13068</v>
      </c>
      <c r="C6452" s="3">
        <v>40578</v>
      </c>
      <c r="D6452" t="s">
        <v>25</v>
      </c>
      <c r="E6452">
        <v>13</v>
      </c>
      <c r="F6452" s="3">
        <f ca="1">40583+(RANDBETWEEN(1,10))</f>
        <v>40584</v>
      </c>
      <c r="G6452" t="s">
        <v>156</v>
      </c>
      <c r="H6452" t="s">
        <v>51</v>
      </c>
      <c r="I6452" t="s">
        <v>28</v>
      </c>
      <c r="J6452">
        <v>1311.835</v>
      </c>
      <c r="K6452">
        <v>7.0000000000000007E-2</v>
      </c>
      <c r="L6452">
        <v>0.5</v>
      </c>
      <c r="M6452">
        <v>6.9649999999999999</v>
      </c>
      <c r="N6452">
        <v>905.16615000000002</v>
      </c>
      <c r="O6452" s="1" t="s">
        <v>225</v>
      </c>
      <c r="P6452" s="1" t="s">
        <v>10463</v>
      </c>
      <c r="Q6452" s="1" t="s">
        <v>10464</v>
      </c>
      <c r="R6452" s="1" t="s">
        <v>228</v>
      </c>
      <c r="S6452" s="1" t="s">
        <v>10465</v>
      </c>
      <c r="T6452" s="1" t="s">
        <v>10466</v>
      </c>
      <c r="U6452" s="2" t="s">
        <v>124</v>
      </c>
      <c r="V6452" s="2" t="s">
        <v>36</v>
      </c>
      <c r="W6452" s="2" t="s">
        <v>60</v>
      </c>
      <c r="X6452" s="2">
        <v>104.61499999999999</v>
      </c>
    </row>
    <row r="6453" spans="1:24" x14ac:dyDescent="0.3">
      <c r="A6453">
        <v>24271</v>
      </c>
      <c r="B6453" t="s">
        <v>13068</v>
      </c>
      <c r="C6453" s="3">
        <v>40578</v>
      </c>
      <c r="D6453" t="s">
        <v>25</v>
      </c>
      <c r="E6453">
        <v>5</v>
      </c>
      <c r="F6453" s="3">
        <f ca="1">40582+(RANDBETWEEN(1,10))</f>
        <v>40592</v>
      </c>
      <c r="G6453" t="s">
        <v>26</v>
      </c>
      <c r="H6453" t="s">
        <v>27</v>
      </c>
      <c r="I6453" t="s">
        <v>28</v>
      </c>
      <c r="J6453">
        <v>151.44499999999999</v>
      </c>
      <c r="K6453">
        <v>0.03</v>
      </c>
      <c r="L6453">
        <v>0.4</v>
      </c>
      <c r="M6453">
        <v>16.87</v>
      </c>
      <c r="N6453">
        <v>-23.484999999999999</v>
      </c>
      <c r="O6453" s="1" t="s">
        <v>225</v>
      </c>
      <c r="P6453" s="1" t="s">
        <v>10463</v>
      </c>
      <c r="Q6453" s="1" t="s">
        <v>10464</v>
      </c>
      <c r="R6453" s="1" t="s">
        <v>228</v>
      </c>
      <c r="S6453" s="1" t="s">
        <v>10465</v>
      </c>
      <c r="T6453" s="1" t="s">
        <v>10466</v>
      </c>
      <c r="U6453" s="2" t="s">
        <v>1488</v>
      </c>
      <c r="V6453" s="2" t="s">
        <v>47</v>
      </c>
      <c r="W6453" s="2" t="s">
        <v>74</v>
      </c>
      <c r="X6453" s="2">
        <v>29.19</v>
      </c>
    </row>
    <row r="6454" spans="1:24" x14ac:dyDescent="0.3">
      <c r="A6454">
        <v>24272</v>
      </c>
      <c r="B6454" t="s">
        <v>13069</v>
      </c>
      <c r="C6454" s="3">
        <v>41246</v>
      </c>
      <c r="D6454" t="s">
        <v>50</v>
      </c>
      <c r="E6454">
        <v>15</v>
      </c>
      <c r="F6454" s="3">
        <f ca="1">41248+(RANDBETWEEN(1,10))</f>
        <v>41251</v>
      </c>
      <c r="G6454" t="s">
        <v>26</v>
      </c>
      <c r="H6454" t="s">
        <v>51</v>
      </c>
      <c r="I6454" t="s">
        <v>97</v>
      </c>
      <c r="J6454">
        <v>5305.93</v>
      </c>
      <c r="K6454">
        <v>0.03</v>
      </c>
      <c r="L6454">
        <v>0.35</v>
      </c>
      <c r="M6454">
        <v>31.465</v>
      </c>
      <c r="N6454">
        <v>3661.0916999999999</v>
      </c>
      <c r="O6454" s="1" t="s">
        <v>40</v>
      </c>
      <c r="P6454" s="1" t="s">
        <v>13070</v>
      </c>
      <c r="Q6454" s="1" t="s">
        <v>13071</v>
      </c>
      <c r="R6454" s="1" t="s">
        <v>43</v>
      </c>
      <c r="S6454" s="1" t="s">
        <v>5268</v>
      </c>
      <c r="T6454" s="1" t="s">
        <v>5269</v>
      </c>
      <c r="U6454" s="2" t="s">
        <v>177</v>
      </c>
      <c r="V6454" s="2" t="s">
        <v>83</v>
      </c>
      <c r="W6454" s="2" t="s">
        <v>178</v>
      </c>
      <c r="X6454" s="2">
        <v>347.30500000000001</v>
      </c>
    </row>
    <row r="6455" spans="1:24" x14ac:dyDescent="0.3">
      <c r="A6455">
        <v>24273</v>
      </c>
      <c r="B6455" t="s">
        <v>13072</v>
      </c>
      <c r="C6455" s="3">
        <v>40553</v>
      </c>
      <c r="D6455" t="s">
        <v>50</v>
      </c>
      <c r="E6455">
        <v>4</v>
      </c>
      <c r="F6455" s="3">
        <f ca="1">40554+(RANDBETWEEN(1,10))</f>
        <v>40560</v>
      </c>
      <c r="G6455" t="s">
        <v>26</v>
      </c>
      <c r="H6455" t="s">
        <v>27</v>
      </c>
      <c r="I6455" t="s">
        <v>28</v>
      </c>
      <c r="J6455">
        <v>98.7</v>
      </c>
      <c r="K6455">
        <v>0.02</v>
      </c>
      <c r="L6455">
        <v>0.37</v>
      </c>
      <c r="M6455">
        <v>32.094999999999999</v>
      </c>
      <c r="N6455">
        <v>-369.89819999999997</v>
      </c>
      <c r="O6455" s="1" t="s">
        <v>87</v>
      </c>
      <c r="P6455" s="1" t="s">
        <v>7336</v>
      </c>
      <c r="Q6455" s="1" t="s">
        <v>7337</v>
      </c>
      <c r="R6455" s="1" t="s">
        <v>90</v>
      </c>
      <c r="S6455" s="1" t="s">
        <v>7338</v>
      </c>
      <c r="T6455" s="1" t="s">
        <v>7339</v>
      </c>
      <c r="U6455" s="2" t="s">
        <v>4991</v>
      </c>
      <c r="V6455" s="2" t="s">
        <v>47</v>
      </c>
      <c r="W6455" s="2" t="s">
        <v>74</v>
      </c>
      <c r="X6455" s="2">
        <v>22.68</v>
      </c>
    </row>
    <row r="6456" spans="1:24" x14ac:dyDescent="0.3">
      <c r="A6456">
        <v>24274</v>
      </c>
      <c r="B6456" t="s">
        <v>13073</v>
      </c>
      <c r="C6456" s="3">
        <v>41742</v>
      </c>
      <c r="D6456" t="s">
        <v>148</v>
      </c>
      <c r="E6456">
        <v>1</v>
      </c>
      <c r="F6456" s="3">
        <f ca="1">41744+(RANDBETWEEN(1,10))</f>
        <v>41751</v>
      </c>
      <c r="G6456" t="s">
        <v>26</v>
      </c>
      <c r="H6456" t="s">
        <v>27</v>
      </c>
      <c r="I6456" t="s">
        <v>28</v>
      </c>
      <c r="J6456">
        <v>55.02</v>
      </c>
      <c r="K6456">
        <v>0</v>
      </c>
      <c r="L6456">
        <v>0.59</v>
      </c>
      <c r="M6456">
        <v>15.75</v>
      </c>
      <c r="N6456">
        <v>2466.2042999999999</v>
      </c>
      <c r="O6456" s="1" t="s">
        <v>40</v>
      </c>
      <c r="P6456" s="1" t="s">
        <v>7621</v>
      </c>
      <c r="Q6456" s="1" t="s">
        <v>7622</v>
      </c>
      <c r="R6456" s="1" t="s">
        <v>220</v>
      </c>
      <c r="S6456" s="1" t="s">
        <v>7623</v>
      </c>
      <c r="T6456" s="1" t="s">
        <v>7624</v>
      </c>
      <c r="U6456" s="2" t="s">
        <v>767</v>
      </c>
      <c r="V6456" s="2" t="s">
        <v>47</v>
      </c>
      <c r="W6456" s="2" t="s">
        <v>71</v>
      </c>
      <c r="X6456" s="2">
        <v>38.115000000000002</v>
      </c>
    </row>
    <row r="6457" spans="1:24" x14ac:dyDescent="0.3">
      <c r="A6457">
        <v>24275</v>
      </c>
      <c r="B6457" t="s">
        <v>13073</v>
      </c>
      <c r="C6457" s="3">
        <v>41742</v>
      </c>
      <c r="D6457" t="s">
        <v>148</v>
      </c>
      <c r="E6457">
        <v>9</v>
      </c>
      <c r="F6457" s="3">
        <f ca="1">41744+(RANDBETWEEN(1,10))</f>
        <v>41746</v>
      </c>
      <c r="G6457" t="s">
        <v>26</v>
      </c>
      <c r="H6457" t="s">
        <v>27</v>
      </c>
      <c r="I6457" t="s">
        <v>28</v>
      </c>
      <c r="J6457">
        <v>274.61</v>
      </c>
      <c r="K6457">
        <v>0.08</v>
      </c>
      <c r="L6457">
        <v>0.39</v>
      </c>
      <c r="M6457">
        <v>10.465</v>
      </c>
      <c r="N6457">
        <v>-316.09899999999999</v>
      </c>
      <c r="O6457" s="1" t="s">
        <v>40</v>
      </c>
      <c r="P6457" s="1" t="s">
        <v>7621</v>
      </c>
      <c r="Q6457" s="1" t="s">
        <v>7622</v>
      </c>
      <c r="R6457" s="1" t="s">
        <v>220</v>
      </c>
      <c r="S6457" s="1" t="s">
        <v>7623</v>
      </c>
      <c r="T6457" s="1" t="s">
        <v>7624</v>
      </c>
      <c r="U6457" s="2" t="s">
        <v>618</v>
      </c>
      <c r="V6457" s="2" t="s">
        <v>47</v>
      </c>
      <c r="W6457" s="2" t="s">
        <v>111</v>
      </c>
      <c r="X6457" s="2">
        <v>30.414999999999999</v>
      </c>
    </row>
    <row r="6458" spans="1:24" x14ac:dyDescent="0.3">
      <c r="A6458">
        <v>24276</v>
      </c>
      <c r="B6458" t="s">
        <v>13073</v>
      </c>
      <c r="C6458" s="3">
        <v>41742</v>
      </c>
      <c r="D6458" t="s">
        <v>148</v>
      </c>
      <c r="E6458">
        <v>3</v>
      </c>
      <c r="F6458" s="3">
        <f ca="1">41744+(RANDBETWEEN(1,10))</f>
        <v>41752</v>
      </c>
      <c r="G6458" t="s">
        <v>26</v>
      </c>
      <c r="H6458" t="s">
        <v>96</v>
      </c>
      <c r="I6458" t="s">
        <v>28</v>
      </c>
      <c r="J6458">
        <v>192.43</v>
      </c>
      <c r="K6458">
        <v>0.04</v>
      </c>
      <c r="L6458">
        <v>0.37</v>
      </c>
      <c r="M6458">
        <v>3.4649999999999999</v>
      </c>
      <c r="N6458">
        <v>522.71100000000001</v>
      </c>
      <c r="O6458" s="1" t="s">
        <v>40</v>
      </c>
      <c r="P6458" s="1" t="s">
        <v>7621</v>
      </c>
      <c r="Q6458" s="1" t="s">
        <v>7622</v>
      </c>
      <c r="R6458" s="1" t="s">
        <v>220</v>
      </c>
      <c r="S6458" s="1" t="s">
        <v>7623</v>
      </c>
      <c r="T6458" s="1" t="s">
        <v>7624</v>
      </c>
      <c r="U6458" s="2" t="s">
        <v>3359</v>
      </c>
      <c r="V6458" s="2" t="s">
        <v>36</v>
      </c>
      <c r="W6458" s="2" t="s">
        <v>37</v>
      </c>
      <c r="X6458" s="2">
        <v>73.465000000000003</v>
      </c>
    </row>
    <row r="6459" spans="1:24" x14ac:dyDescent="0.3">
      <c r="A6459">
        <v>24277</v>
      </c>
      <c r="B6459" t="s">
        <v>13074</v>
      </c>
      <c r="C6459" s="3">
        <v>41849</v>
      </c>
      <c r="D6459" t="s">
        <v>62</v>
      </c>
      <c r="E6459">
        <v>14</v>
      </c>
      <c r="F6459" s="3">
        <f ca="1">41850+(RANDBETWEEN(1,10))</f>
        <v>41856</v>
      </c>
      <c r="G6459" t="s">
        <v>26</v>
      </c>
      <c r="H6459" t="s">
        <v>27</v>
      </c>
      <c r="I6459" t="s">
        <v>28</v>
      </c>
      <c r="J6459">
        <v>312.41000000000003</v>
      </c>
      <c r="K6459">
        <v>0.08</v>
      </c>
      <c r="L6459">
        <v>0.43</v>
      </c>
      <c r="M6459">
        <v>18.515000000000001</v>
      </c>
      <c r="N6459">
        <v>15.855</v>
      </c>
      <c r="O6459" s="1" t="s">
        <v>40</v>
      </c>
      <c r="P6459" s="1" t="s">
        <v>5977</v>
      </c>
      <c r="Q6459" s="1" t="s">
        <v>5978</v>
      </c>
      <c r="R6459" s="1" t="s">
        <v>43</v>
      </c>
      <c r="S6459" s="1" t="s">
        <v>5979</v>
      </c>
      <c r="T6459" s="1" t="s">
        <v>5980</v>
      </c>
      <c r="U6459" s="2" t="s">
        <v>1521</v>
      </c>
      <c r="V6459" s="2" t="s">
        <v>83</v>
      </c>
      <c r="W6459" s="2" t="s">
        <v>178</v>
      </c>
      <c r="X6459" s="2">
        <v>21.98</v>
      </c>
    </row>
    <row r="6460" spans="1:24" x14ac:dyDescent="0.3">
      <c r="A6460">
        <v>24278</v>
      </c>
      <c r="B6460" t="s">
        <v>13075</v>
      </c>
      <c r="C6460" s="3">
        <v>40646</v>
      </c>
      <c r="D6460" t="s">
        <v>62</v>
      </c>
      <c r="E6460">
        <v>7</v>
      </c>
      <c r="F6460" s="3">
        <f ca="1">40648+(RANDBETWEEN(1,10))</f>
        <v>40653</v>
      </c>
      <c r="G6460" t="s">
        <v>26</v>
      </c>
      <c r="H6460" t="s">
        <v>51</v>
      </c>
      <c r="I6460" t="s">
        <v>86</v>
      </c>
      <c r="J6460">
        <v>832.19500000000005</v>
      </c>
      <c r="K6460">
        <v>0.02</v>
      </c>
      <c r="L6460">
        <v>0.45</v>
      </c>
      <c r="M6460">
        <v>6.9649999999999999</v>
      </c>
      <c r="N6460">
        <v>574.21455000000003</v>
      </c>
      <c r="O6460" s="1" t="s">
        <v>53</v>
      </c>
      <c r="P6460" s="1" t="s">
        <v>13076</v>
      </c>
      <c r="Q6460" s="1" t="s">
        <v>13077</v>
      </c>
      <c r="R6460" s="1" t="s">
        <v>100</v>
      </c>
      <c r="S6460" s="1" t="s">
        <v>3040</v>
      </c>
      <c r="T6460" s="1" t="s">
        <v>3041</v>
      </c>
      <c r="U6460" s="2" t="s">
        <v>2969</v>
      </c>
      <c r="V6460" s="2" t="s">
        <v>36</v>
      </c>
      <c r="W6460" s="2" t="s">
        <v>60</v>
      </c>
      <c r="X6460" s="2">
        <v>118.93</v>
      </c>
    </row>
    <row r="6461" spans="1:24" x14ac:dyDescent="0.3">
      <c r="A6461">
        <v>24279</v>
      </c>
      <c r="B6461" t="s">
        <v>13078</v>
      </c>
      <c r="C6461" s="3">
        <v>41921</v>
      </c>
      <c r="D6461" t="s">
        <v>62</v>
      </c>
      <c r="E6461">
        <v>7</v>
      </c>
      <c r="F6461" s="3">
        <f ca="1">41922+(RANDBETWEEN(1,10))</f>
        <v>41932</v>
      </c>
      <c r="G6461" t="s">
        <v>26</v>
      </c>
      <c r="H6461" t="s">
        <v>51</v>
      </c>
      <c r="I6461" t="s">
        <v>28</v>
      </c>
      <c r="J6461">
        <v>425.67</v>
      </c>
      <c r="K6461">
        <v>7.0000000000000007E-2</v>
      </c>
      <c r="L6461">
        <v>0.45</v>
      </c>
      <c r="M6461">
        <v>6.9649999999999999</v>
      </c>
      <c r="N6461">
        <v>123.655</v>
      </c>
      <c r="O6461" s="1" t="s">
        <v>225</v>
      </c>
      <c r="P6461" s="1" t="s">
        <v>8165</v>
      </c>
      <c r="Q6461" s="1" t="s">
        <v>8166</v>
      </c>
      <c r="R6461" s="1" t="s">
        <v>228</v>
      </c>
      <c r="S6461" s="1" t="s">
        <v>8167</v>
      </c>
      <c r="T6461" s="1" t="s">
        <v>8168</v>
      </c>
      <c r="U6461" s="2" t="s">
        <v>59</v>
      </c>
      <c r="V6461" s="2" t="s">
        <v>36</v>
      </c>
      <c r="W6461" s="2" t="s">
        <v>60</v>
      </c>
      <c r="X6461" s="2">
        <v>61.18</v>
      </c>
    </row>
    <row r="6462" spans="1:24" x14ac:dyDescent="0.3">
      <c r="A6462">
        <v>2428</v>
      </c>
      <c r="B6462" t="s">
        <v>13079</v>
      </c>
      <c r="C6462" s="3">
        <v>40578</v>
      </c>
      <c r="D6462" t="s">
        <v>25</v>
      </c>
      <c r="E6462">
        <v>2</v>
      </c>
      <c r="F6462" s="3">
        <f ca="1">40582+(RANDBETWEEN(1,10))</f>
        <v>40587</v>
      </c>
      <c r="G6462" t="s">
        <v>26</v>
      </c>
      <c r="H6462" t="s">
        <v>96</v>
      </c>
      <c r="I6462" t="s">
        <v>97</v>
      </c>
      <c r="J6462">
        <v>24.535</v>
      </c>
      <c r="K6462">
        <v>0.03</v>
      </c>
      <c r="L6462">
        <v>0.57999999999999996</v>
      </c>
      <c r="M6462">
        <v>3.36</v>
      </c>
      <c r="N6462">
        <v>-14.7</v>
      </c>
      <c r="O6462" s="1" t="s">
        <v>40</v>
      </c>
      <c r="P6462" s="1" t="s">
        <v>13080</v>
      </c>
      <c r="Q6462" s="1" t="s">
        <v>13081</v>
      </c>
      <c r="R6462" s="1" t="s">
        <v>220</v>
      </c>
      <c r="S6462" s="1" t="s">
        <v>221</v>
      </c>
      <c r="T6462" s="1" t="s">
        <v>13082</v>
      </c>
      <c r="U6462" s="2" t="s">
        <v>154</v>
      </c>
      <c r="V6462" s="2" t="s">
        <v>47</v>
      </c>
      <c r="W6462" s="2" t="s">
        <v>104</v>
      </c>
      <c r="X6462" s="2">
        <v>10.29</v>
      </c>
    </row>
    <row r="6463" spans="1:24" x14ac:dyDescent="0.3">
      <c r="A6463">
        <v>24280</v>
      </c>
      <c r="B6463" t="s">
        <v>13083</v>
      </c>
      <c r="C6463" s="3">
        <v>41191</v>
      </c>
      <c r="D6463" t="s">
        <v>62</v>
      </c>
      <c r="E6463">
        <v>11</v>
      </c>
      <c r="F6463" s="3">
        <f ca="1">41191+(RANDBETWEEN(1,10))</f>
        <v>41200</v>
      </c>
      <c r="G6463" t="s">
        <v>26</v>
      </c>
      <c r="H6463" t="s">
        <v>27</v>
      </c>
      <c r="I6463" t="s">
        <v>28</v>
      </c>
      <c r="J6463">
        <v>2127.9299999999998</v>
      </c>
      <c r="K6463">
        <v>0.03</v>
      </c>
      <c r="L6463">
        <v>0.6</v>
      </c>
      <c r="M6463">
        <v>31.465</v>
      </c>
      <c r="N6463">
        <v>187.29774</v>
      </c>
      <c r="O6463" s="1" t="s">
        <v>225</v>
      </c>
      <c r="P6463" s="1" t="s">
        <v>8165</v>
      </c>
      <c r="Q6463" s="1" t="s">
        <v>8166</v>
      </c>
      <c r="R6463" s="1" t="s">
        <v>228</v>
      </c>
      <c r="S6463" s="1" t="s">
        <v>8167</v>
      </c>
      <c r="T6463" s="1" t="s">
        <v>8168</v>
      </c>
      <c r="U6463" s="2" t="s">
        <v>8372</v>
      </c>
      <c r="V6463" s="2" t="s">
        <v>36</v>
      </c>
      <c r="W6463" s="2" t="s">
        <v>37</v>
      </c>
      <c r="X6463" s="2">
        <v>230.965</v>
      </c>
    </row>
    <row r="6464" spans="1:24" x14ac:dyDescent="0.3">
      <c r="A6464">
        <v>24281</v>
      </c>
      <c r="B6464" t="s">
        <v>13084</v>
      </c>
      <c r="C6464" s="3">
        <v>41528</v>
      </c>
      <c r="D6464" t="s">
        <v>25</v>
      </c>
      <c r="E6464">
        <v>2</v>
      </c>
      <c r="F6464" s="3">
        <f ca="1">41532+(RANDBETWEEN(1,10))</f>
        <v>41540</v>
      </c>
      <c r="G6464" t="s">
        <v>26</v>
      </c>
      <c r="H6464" t="s">
        <v>27</v>
      </c>
      <c r="I6464" t="s">
        <v>97</v>
      </c>
      <c r="J6464">
        <v>21.875</v>
      </c>
      <c r="K6464">
        <v>0.08</v>
      </c>
      <c r="L6464">
        <v>0.4</v>
      </c>
      <c r="M6464">
        <v>16.695</v>
      </c>
      <c r="N6464">
        <v>-47.253500000000003</v>
      </c>
      <c r="O6464" s="1" t="s">
        <v>29</v>
      </c>
      <c r="P6464" s="1" t="s">
        <v>11772</v>
      </c>
      <c r="Q6464" s="1" t="s">
        <v>11773</v>
      </c>
      <c r="R6464" s="1" t="s">
        <v>460</v>
      </c>
      <c r="S6464" s="1" t="s">
        <v>11774</v>
      </c>
      <c r="T6464" s="1" t="s">
        <v>11775</v>
      </c>
      <c r="U6464" s="2" t="s">
        <v>2166</v>
      </c>
      <c r="V6464" s="2" t="s">
        <v>47</v>
      </c>
      <c r="W6464" s="2" t="s">
        <v>111</v>
      </c>
      <c r="X6464" s="2">
        <v>6.93</v>
      </c>
    </row>
    <row r="6465" spans="1:24" x14ac:dyDescent="0.3">
      <c r="A6465">
        <v>24282</v>
      </c>
      <c r="B6465" t="s">
        <v>13085</v>
      </c>
      <c r="C6465" s="3">
        <v>41528</v>
      </c>
      <c r="D6465" t="s">
        <v>62</v>
      </c>
      <c r="E6465">
        <v>2</v>
      </c>
      <c r="F6465" s="3">
        <f ca="1">41530+(RANDBETWEEN(1,10))</f>
        <v>41531</v>
      </c>
      <c r="G6465" t="s">
        <v>156</v>
      </c>
      <c r="H6465" t="s">
        <v>27</v>
      </c>
      <c r="I6465" t="s">
        <v>97</v>
      </c>
      <c r="J6465">
        <v>181.82499999999999</v>
      </c>
      <c r="K6465">
        <v>7.0000000000000007E-2</v>
      </c>
      <c r="L6465">
        <v>0.51</v>
      </c>
      <c r="M6465">
        <v>26.53</v>
      </c>
      <c r="N6465">
        <v>-67.41</v>
      </c>
      <c r="O6465" s="1" t="s">
        <v>40</v>
      </c>
      <c r="P6465" s="1" t="s">
        <v>11726</v>
      </c>
      <c r="Q6465" s="1" t="s">
        <v>11727</v>
      </c>
      <c r="R6465" s="1" t="s">
        <v>220</v>
      </c>
      <c r="S6465" s="1" t="s">
        <v>11728</v>
      </c>
      <c r="T6465" s="1" t="s">
        <v>11729</v>
      </c>
      <c r="U6465" s="2" t="s">
        <v>1676</v>
      </c>
      <c r="V6465" s="2" t="s">
        <v>83</v>
      </c>
      <c r="W6465" s="2" t="s">
        <v>178</v>
      </c>
      <c r="X6465" s="2">
        <v>80.430000000000007</v>
      </c>
    </row>
    <row r="6466" spans="1:24" x14ac:dyDescent="0.3">
      <c r="A6466">
        <v>24283</v>
      </c>
      <c r="B6466" t="s">
        <v>13086</v>
      </c>
      <c r="C6466" s="3">
        <v>41617</v>
      </c>
      <c r="D6466" t="s">
        <v>50</v>
      </c>
      <c r="E6466">
        <v>25</v>
      </c>
      <c r="F6466" s="3">
        <f ca="1">41619+(RANDBETWEEN(1,10))</f>
        <v>41623</v>
      </c>
      <c r="G6466" t="s">
        <v>26</v>
      </c>
      <c r="H6466" t="s">
        <v>27</v>
      </c>
      <c r="I6466" t="s">
        <v>97</v>
      </c>
      <c r="J6466">
        <v>577.99</v>
      </c>
      <c r="K6466">
        <v>7.0000000000000007E-2</v>
      </c>
      <c r="L6466">
        <v>0.37</v>
      </c>
      <c r="M6466">
        <v>27.51</v>
      </c>
      <c r="N6466">
        <v>-293.41199999999998</v>
      </c>
      <c r="O6466" s="1" t="s">
        <v>64</v>
      </c>
      <c r="P6466" s="1" t="s">
        <v>4974</v>
      </c>
      <c r="Q6466" s="1" t="s">
        <v>4975</v>
      </c>
      <c r="R6466" s="1" t="s">
        <v>67</v>
      </c>
      <c r="S6466" s="1" t="s">
        <v>4976</v>
      </c>
      <c r="T6466" s="1" t="s">
        <v>4977</v>
      </c>
      <c r="U6466" s="2" t="s">
        <v>2667</v>
      </c>
      <c r="V6466" s="2" t="s">
        <v>47</v>
      </c>
      <c r="W6466" s="2" t="s">
        <v>74</v>
      </c>
      <c r="X6466" s="2">
        <v>22.68</v>
      </c>
    </row>
    <row r="6467" spans="1:24" x14ac:dyDescent="0.3">
      <c r="A6467">
        <v>24284</v>
      </c>
      <c r="B6467" t="s">
        <v>13087</v>
      </c>
      <c r="C6467" s="3">
        <v>41041</v>
      </c>
      <c r="D6467" t="s">
        <v>148</v>
      </c>
      <c r="E6467">
        <v>9</v>
      </c>
      <c r="F6467" s="3">
        <f ca="1">41043+(RANDBETWEEN(1,10))</f>
        <v>41048</v>
      </c>
      <c r="G6467" t="s">
        <v>26</v>
      </c>
      <c r="H6467" t="s">
        <v>27</v>
      </c>
      <c r="I6467" t="s">
        <v>97</v>
      </c>
      <c r="J6467">
        <v>1665.16</v>
      </c>
      <c r="K6467">
        <v>0.1</v>
      </c>
      <c r="L6467">
        <v>0.36</v>
      </c>
      <c r="M6467">
        <v>37.625</v>
      </c>
      <c r="N6467">
        <v>1148.9603999999999</v>
      </c>
      <c r="O6467" s="1" t="s">
        <v>64</v>
      </c>
      <c r="P6467" s="1" t="s">
        <v>10441</v>
      </c>
      <c r="Q6467" s="1" t="s">
        <v>10442</v>
      </c>
      <c r="R6467" s="1" t="s">
        <v>67</v>
      </c>
      <c r="S6467" s="1" t="s">
        <v>10443</v>
      </c>
      <c r="T6467" s="1" t="s">
        <v>10444</v>
      </c>
      <c r="U6467" s="2" t="s">
        <v>5401</v>
      </c>
      <c r="V6467" s="2" t="s">
        <v>47</v>
      </c>
      <c r="W6467" s="2" t="s">
        <v>74</v>
      </c>
      <c r="X6467" s="2">
        <v>192.36</v>
      </c>
    </row>
    <row r="6468" spans="1:24" x14ac:dyDescent="0.3">
      <c r="A6468">
        <v>24285</v>
      </c>
      <c r="B6468" t="s">
        <v>13088</v>
      </c>
      <c r="C6468" s="3">
        <v>41829</v>
      </c>
      <c r="D6468" t="s">
        <v>62</v>
      </c>
      <c r="E6468">
        <v>13</v>
      </c>
      <c r="F6468" s="3">
        <f ca="1">41832+(RANDBETWEEN(1,10))</f>
        <v>41833</v>
      </c>
      <c r="G6468" t="s">
        <v>26</v>
      </c>
      <c r="H6468" t="s">
        <v>27</v>
      </c>
      <c r="I6468" t="s">
        <v>86</v>
      </c>
      <c r="J6468">
        <v>250.39</v>
      </c>
      <c r="K6468">
        <v>0.09</v>
      </c>
      <c r="L6468">
        <v>0.36</v>
      </c>
      <c r="M6468">
        <v>17.36</v>
      </c>
      <c r="N6468">
        <v>-213.64055999999999</v>
      </c>
      <c r="O6468" s="1" t="s">
        <v>53</v>
      </c>
      <c r="P6468" s="1" t="s">
        <v>13089</v>
      </c>
      <c r="Q6468" s="1" t="s">
        <v>13090</v>
      </c>
      <c r="R6468" s="1" t="s">
        <v>440</v>
      </c>
      <c r="S6468" s="1" t="s">
        <v>2771</v>
      </c>
      <c r="T6468" s="1" t="s">
        <v>2772</v>
      </c>
      <c r="U6468" s="2" t="s">
        <v>1834</v>
      </c>
      <c r="V6468" s="2" t="s">
        <v>47</v>
      </c>
      <c r="W6468" s="2" t="s">
        <v>74</v>
      </c>
      <c r="X6468" s="2">
        <v>20.23</v>
      </c>
    </row>
    <row r="6469" spans="1:24" x14ac:dyDescent="0.3">
      <c r="A6469">
        <v>24286</v>
      </c>
      <c r="B6469" t="s">
        <v>4989</v>
      </c>
      <c r="C6469" s="3">
        <v>40797</v>
      </c>
      <c r="D6469" t="s">
        <v>62</v>
      </c>
      <c r="E6469">
        <v>2</v>
      </c>
      <c r="F6469" s="3">
        <f ca="1">40798+(RANDBETWEEN(1,10))</f>
        <v>40807</v>
      </c>
      <c r="G6469" t="s">
        <v>26</v>
      </c>
      <c r="H6469" t="s">
        <v>27</v>
      </c>
      <c r="I6469" t="s">
        <v>28</v>
      </c>
      <c r="J6469">
        <v>49.28</v>
      </c>
      <c r="K6469">
        <v>0.09</v>
      </c>
      <c r="L6469">
        <v>0.43</v>
      </c>
      <c r="M6469">
        <v>18.515000000000001</v>
      </c>
      <c r="N6469">
        <v>-35.314999999999998</v>
      </c>
      <c r="O6469" s="1" t="s">
        <v>40</v>
      </c>
      <c r="P6469" s="1" t="s">
        <v>7650</v>
      </c>
      <c r="Q6469" s="1" t="s">
        <v>7651</v>
      </c>
      <c r="R6469" s="1" t="s">
        <v>220</v>
      </c>
      <c r="S6469" s="1" t="s">
        <v>7652</v>
      </c>
      <c r="T6469" s="1" t="s">
        <v>7653</v>
      </c>
      <c r="U6469" s="2" t="s">
        <v>1521</v>
      </c>
      <c r="V6469" s="2" t="s">
        <v>83</v>
      </c>
      <c r="W6469" s="2" t="s">
        <v>178</v>
      </c>
      <c r="X6469" s="2">
        <v>21.98</v>
      </c>
    </row>
    <row r="6470" spans="1:24" x14ac:dyDescent="0.3">
      <c r="A6470">
        <v>24287</v>
      </c>
      <c r="B6470" t="s">
        <v>4989</v>
      </c>
      <c r="C6470" s="3">
        <v>40797</v>
      </c>
      <c r="D6470" t="s">
        <v>62</v>
      </c>
      <c r="E6470">
        <v>17</v>
      </c>
      <c r="F6470" s="3">
        <f ca="1">40799+(RANDBETWEEN(1,10))</f>
        <v>40801</v>
      </c>
      <c r="G6470" t="s">
        <v>26</v>
      </c>
      <c r="H6470" t="s">
        <v>27</v>
      </c>
      <c r="I6470" t="s">
        <v>28</v>
      </c>
      <c r="J6470">
        <v>898.55499999999995</v>
      </c>
      <c r="K6470">
        <v>0.03</v>
      </c>
      <c r="L6470">
        <v>0.81</v>
      </c>
      <c r="M6470">
        <v>15.855</v>
      </c>
      <c r="N6470">
        <v>-325.04500000000002</v>
      </c>
      <c r="O6470" s="1" t="s">
        <v>40</v>
      </c>
      <c r="P6470" s="1" t="s">
        <v>7650</v>
      </c>
      <c r="Q6470" s="1" t="s">
        <v>7651</v>
      </c>
      <c r="R6470" s="1" t="s">
        <v>220</v>
      </c>
      <c r="S6470" s="1" t="s">
        <v>7652</v>
      </c>
      <c r="T6470" s="1" t="s">
        <v>7653</v>
      </c>
      <c r="U6470" s="2" t="s">
        <v>2304</v>
      </c>
      <c r="V6470" s="2" t="s">
        <v>47</v>
      </c>
      <c r="W6470" s="2" t="s">
        <v>119</v>
      </c>
      <c r="X6470" s="2">
        <v>52.99</v>
      </c>
    </row>
    <row r="6471" spans="1:24" x14ac:dyDescent="0.3">
      <c r="A6471">
        <v>24288</v>
      </c>
      <c r="B6471" t="s">
        <v>13091</v>
      </c>
      <c r="C6471" s="3">
        <v>41454</v>
      </c>
      <c r="D6471" t="s">
        <v>62</v>
      </c>
      <c r="E6471">
        <v>7</v>
      </c>
      <c r="F6471" s="3">
        <f ca="1">41454+(RANDBETWEEN(1,10))</f>
        <v>41457</v>
      </c>
      <c r="G6471" t="s">
        <v>26</v>
      </c>
      <c r="H6471" t="s">
        <v>96</v>
      </c>
      <c r="I6471" t="s">
        <v>86</v>
      </c>
      <c r="J6471">
        <v>83.545000000000002</v>
      </c>
      <c r="K6471">
        <v>0.06</v>
      </c>
      <c r="L6471">
        <v>0.56000000000000005</v>
      </c>
      <c r="M6471">
        <v>13.895</v>
      </c>
      <c r="N6471">
        <v>-132.49600000000001</v>
      </c>
      <c r="O6471" s="1" t="s">
        <v>64</v>
      </c>
      <c r="P6471" s="1" t="s">
        <v>11200</v>
      </c>
      <c r="Q6471" s="1" t="s">
        <v>11201</v>
      </c>
      <c r="R6471" s="1" t="s">
        <v>128</v>
      </c>
      <c r="S6471" s="1" t="s">
        <v>11202</v>
      </c>
      <c r="T6471" s="1" t="s">
        <v>11203</v>
      </c>
      <c r="U6471" s="2" t="s">
        <v>5622</v>
      </c>
      <c r="V6471" s="2" t="s">
        <v>47</v>
      </c>
      <c r="W6471" s="2" t="s">
        <v>104</v>
      </c>
      <c r="X6471" s="2">
        <v>11.48</v>
      </c>
    </row>
    <row r="6472" spans="1:24" x14ac:dyDescent="0.3">
      <c r="A6472">
        <v>24289</v>
      </c>
      <c r="B6472" t="s">
        <v>13092</v>
      </c>
      <c r="C6472" s="3">
        <v>40656</v>
      </c>
      <c r="D6472" t="s">
        <v>148</v>
      </c>
      <c r="E6472">
        <v>1</v>
      </c>
      <c r="F6472" s="3">
        <f ca="1">40657+(RANDBETWEEN(1,10))</f>
        <v>40658</v>
      </c>
      <c r="G6472" t="s">
        <v>26</v>
      </c>
      <c r="H6472" t="s">
        <v>27</v>
      </c>
      <c r="I6472" t="s">
        <v>52</v>
      </c>
      <c r="J6472">
        <v>22.75</v>
      </c>
      <c r="K6472">
        <v>0.03</v>
      </c>
      <c r="L6472">
        <v>0.4</v>
      </c>
      <c r="M6472">
        <v>19.635000000000002</v>
      </c>
      <c r="N6472">
        <v>-58.344999999999999</v>
      </c>
      <c r="O6472" s="1" t="s">
        <v>40</v>
      </c>
      <c r="P6472" s="1" t="s">
        <v>11312</v>
      </c>
      <c r="Q6472" s="1" t="s">
        <v>11313</v>
      </c>
      <c r="R6472" s="1" t="s">
        <v>43</v>
      </c>
      <c r="S6472" s="1" t="s">
        <v>11314</v>
      </c>
      <c r="T6472" s="1" t="s">
        <v>11315</v>
      </c>
      <c r="U6472" s="2" t="s">
        <v>5009</v>
      </c>
      <c r="V6472" s="2" t="s">
        <v>47</v>
      </c>
      <c r="W6472" s="2" t="s">
        <v>74</v>
      </c>
      <c r="X6472" s="2">
        <v>18.48</v>
      </c>
    </row>
    <row r="6473" spans="1:24" x14ac:dyDescent="0.3">
      <c r="A6473">
        <v>24290</v>
      </c>
      <c r="B6473" t="s">
        <v>13093</v>
      </c>
      <c r="C6473" s="3">
        <v>41778</v>
      </c>
      <c r="D6473" t="s">
        <v>39</v>
      </c>
      <c r="E6473">
        <v>16</v>
      </c>
      <c r="F6473" s="3">
        <f ca="1">41779+(RANDBETWEEN(1,10))</f>
        <v>41786</v>
      </c>
      <c r="G6473" t="s">
        <v>26</v>
      </c>
      <c r="H6473" t="s">
        <v>27</v>
      </c>
      <c r="I6473" t="s">
        <v>28</v>
      </c>
      <c r="J6473">
        <v>262.01</v>
      </c>
      <c r="K6473">
        <v>0.03</v>
      </c>
      <c r="L6473">
        <v>0.37</v>
      </c>
      <c r="M6473">
        <v>18.97</v>
      </c>
      <c r="N6473">
        <v>-506.66699999999997</v>
      </c>
      <c r="O6473" s="1" t="s">
        <v>29</v>
      </c>
      <c r="P6473" s="1" t="s">
        <v>13094</v>
      </c>
      <c r="Q6473" s="1" t="s">
        <v>13095</v>
      </c>
      <c r="R6473" s="1" t="s">
        <v>32</v>
      </c>
      <c r="S6473" s="1" t="s">
        <v>13096</v>
      </c>
      <c r="T6473" s="1" t="s">
        <v>13097</v>
      </c>
      <c r="U6473" s="2" t="s">
        <v>1571</v>
      </c>
      <c r="V6473" s="2" t="s">
        <v>47</v>
      </c>
      <c r="W6473" s="2" t="s">
        <v>111</v>
      </c>
      <c r="X6473" s="2">
        <v>15.994999999999999</v>
      </c>
    </row>
    <row r="6474" spans="1:24" x14ac:dyDescent="0.3">
      <c r="A6474">
        <v>24291</v>
      </c>
      <c r="B6474" t="s">
        <v>13098</v>
      </c>
      <c r="C6474" s="3">
        <v>41048</v>
      </c>
      <c r="D6474" t="s">
        <v>39</v>
      </c>
      <c r="E6474">
        <v>12</v>
      </c>
      <c r="F6474" s="3">
        <f ca="1">41049+(RANDBETWEEN(1,10))</f>
        <v>41059</v>
      </c>
      <c r="G6474" t="s">
        <v>26</v>
      </c>
      <c r="H6474" t="s">
        <v>27</v>
      </c>
      <c r="I6474" t="s">
        <v>28</v>
      </c>
      <c r="J6474">
        <v>451.85</v>
      </c>
      <c r="K6474">
        <v>7.0000000000000007E-2</v>
      </c>
      <c r="L6474">
        <v>0.39</v>
      </c>
      <c r="M6474">
        <v>4.8650000000000002</v>
      </c>
      <c r="N6474">
        <v>311.7765</v>
      </c>
      <c r="O6474" s="1" t="s">
        <v>29</v>
      </c>
      <c r="P6474" s="1" t="s">
        <v>13094</v>
      </c>
      <c r="Q6474" s="1" t="s">
        <v>13095</v>
      </c>
      <c r="R6474" s="1" t="s">
        <v>32</v>
      </c>
      <c r="S6474" s="1" t="s">
        <v>13096</v>
      </c>
      <c r="T6474" s="1" t="s">
        <v>13097</v>
      </c>
      <c r="U6474" s="2" t="s">
        <v>9334</v>
      </c>
      <c r="V6474" s="2" t="s">
        <v>47</v>
      </c>
      <c r="W6474" s="2" t="s">
        <v>48</v>
      </c>
      <c r="X6474" s="2">
        <v>37.344999999999999</v>
      </c>
    </row>
    <row r="6475" spans="1:24" x14ac:dyDescent="0.3">
      <c r="A6475">
        <v>24292</v>
      </c>
      <c r="B6475" t="s">
        <v>13093</v>
      </c>
      <c r="C6475" s="3">
        <v>41778</v>
      </c>
      <c r="D6475" t="s">
        <v>39</v>
      </c>
      <c r="E6475">
        <v>11</v>
      </c>
      <c r="F6475" s="3">
        <f ca="1">41779+(RANDBETWEEN(1,10))</f>
        <v>41783</v>
      </c>
      <c r="G6475" t="s">
        <v>76</v>
      </c>
      <c r="H6475" t="s">
        <v>77</v>
      </c>
      <c r="I6475" t="s">
        <v>28</v>
      </c>
      <c r="J6475">
        <v>18200.349999999999</v>
      </c>
      <c r="K6475">
        <v>0.01</v>
      </c>
      <c r="L6475">
        <v>0.56000000000000005</v>
      </c>
      <c r="M6475">
        <v>51.45</v>
      </c>
      <c r="N6475">
        <v>12558.2415</v>
      </c>
      <c r="O6475" s="1" t="s">
        <v>29</v>
      </c>
      <c r="P6475" s="1" t="s">
        <v>13094</v>
      </c>
      <c r="Q6475" s="1" t="s">
        <v>13095</v>
      </c>
      <c r="R6475" s="1" t="s">
        <v>32</v>
      </c>
      <c r="S6475" s="1" t="s">
        <v>13096</v>
      </c>
      <c r="T6475" s="1" t="s">
        <v>13097</v>
      </c>
      <c r="U6475" s="2" t="s">
        <v>3549</v>
      </c>
      <c r="V6475" s="2" t="s">
        <v>36</v>
      </c>
      <c r="W6475" s="2" t="s">
        <v>142</v>
      </c>
      <c r="X6475" s="2">
        <v>1547.49</v>
      </c>
    </row>
    <row r="6476" spans="1:24" x14ac:dyDescent="0.3">
      <c r="A6476">
        <v>24293</v>
      </c>
      <c r="B6476" t="s">
        <v>13099</v>
      </c>
      <c r="C6476" s="3">
        <v>40992</v>
      </c>
      <c r="D6476" t="s">
        <v>62</v>
      </c>
      <c r="E6476">
        <v>4</v>
      </c>
      <c r="F6476" s="3">
        <f ca="1">40993+(RANDBETWEEN(1,10))</f>
        <v>41003</v>
      </c>
      <c r="G6476" t="s">
        <v>26</v>
      </c>
      <c r="H6476" t="s">
        <v>96</v>
      </c>
      <c r="I6476" t="s">
        <v>97</v>
      </c>
      <c r="J6476">
        <v>51.52</v>
      </c>
      <c r="K6476">
        <v>0.05</v>
      </c>
      <c r="L6476">
        <v>0.36</v>
      </c>
      <c r="M6476">
        <v>5.7050000000000001</v>
      </c>
      <c r="N6476">
        <v>14.91</v>
      </c>
      <c r="O6476" s="1" t="s">
        <v>40</v>
      </c>
      <c r="P6476" s="1" t="s">
        <v>13100</v>
      </c>
      <c r="Q6476" s="1" t="s">
        <v>13101</v>
      </c>
      <c r="R6476" s="1" t="s">
        <v>43</v>
      </c>
      <c r="S6476" s="1" t="s">
        <v>2209</v>
      </c>
      <c r="T6476" s="1" t="s">
        <v>2210</v>
      </c>
      <c r="U6476" s="2" t="s">
        <v>1087</v>
      </c>
      <c r="V6476" s="2" t="s">
        <v>47</v>
      </c>
      <c r="W6476" s="2" t="s">
        <v>176</v>
      </c>
      <c r="X6476" s="2">
        <v>12.53</v>
      </c>
    </row>
    <row r="6477" spans="1:24" x14ac:dyDescent="0.3">
      <c r="A6477">
        <v>24294</v>
      </c>
      <c r="B6477" t="s">
        <v>13102</v>
      </c>
      <c r="C6477" s="3">
        <v>41661</v>
      </c>
      <c r="D6477" t="s">
        <v>148</v>
      </c>
      <c r="E6477">
        <v>1</v>
      </c>
      <c r="F6477" s="3">
        <f ca="1">41662+(RANDBETWEEN(1,10))</f>
        <v>41672</v>
      </c>
      <c r="G6477" t="s">
        <v>26</v>
      </c>
      <c r="H6477" t="s">
        <v>27</v>
      </c>
      <c r="I6477" t="s">
        <v>86</v>
      </c>
      <c r="J6477">
        <v>7.875</v>
      </c>
      <c r="K6477">
        <v>0.08</v>
      </c>
      <c r="L6477">
        <v>0.38</v>
      </c>
      <c r="M6477">
        <v>5.2149999999999999</v>
      </c>
      <c r="N6477">
        <v>-21.511209999999998</v>
      </c>
      <c r="O6477" s="1" t="s">
        <v>64</v>
      </c>
      <c r="P6477" s="1" t="s">
        <v>10139</v>
      </c>
      <c r="Q6477" s="1" t="s">
        <v>10140</v>
      </c>
      <c r="R6477" s="1" t="s">
        <v>128</v>
      </c>
      <c r="S6477" s="1" t="s">
        <v>528</v>
      </c>
      <c r="T6477" s="1" t="s">
        <v>529</v>
      </c>
      <c r="U6477" s="2" t="s">
        <v>7281</v>
      </c>
      <c r="V6477" s="2" t="s">
        <v>47</v>
      </c>
      <c r="W6477" s="2" t="s">
        <v>111</v>
      </c>
      <c r="X6477" s="2">
        <v>7.28</v>
      </c>
    </row>
    <row r="6478" spans="1:24" x14ac:dyDescent="0.3">
      <c r="A6478">
        <v>24295</v>
      </c>
      <c r="B6478" t="s">
        <v>13103</v>
      </c>
      <c r="C6478" s="3">
        <v>40902</v>
      </c>
      <c r="D6478" t="s">
        <v>50</v>
      </c>
      <c r="E6478">
        <v>18</v>
      </c>
      <c r="F6478" s="3">
        <f ca="1">40903+(RANDBETWEEN(1,10))</f>
        <v>40911</v>
      </c>
      <c r="G6478" t="s">
        <v>76</v>
      </c>
      <c r="H6478" t="s">
        <v>258</v>
      </c>
      <c r="I6478" t="s">
        <v>86</v>
      </c>
      <c r="J6478">
        <v>8316.42</v>
      </c>
      <c r="K6478">
        <v>0.01</v>
      </c>
      <c r="L6478">
        <v>0.63</v>
      </c>
      <c r="M6478">
        <v>181.79</v>
      </c>
      <c r="N6478">
        <v>-331.36125750000002</v>
      </c>
      <c r="O6478" s="1" t="s">
        <v>29</v>
      </c>
      <c r="P6478" s="1" t="s">
        <v>13104</v>
      </c>
      <c r="Q6478" s="1" t="s">
        <v>13105</v>
      </c>
      <c r="R6478" s="1" t="s">
        <v>460</v>
      </c>
      <c r="S6478" s="1" t="s">
        <v>854</v>
      </c>
      <c r="T6478" s="1" t="s">
        <v>855</v>
      </c>
      <c r="U6478" s="2" t="s">
        <v>360</v>
      </c>
      <c r="V6478" s="2" t="s">
        <v>83</v>
      </c>
      <c r="W6478" s="2" t="s">
        <v>263</v>
      </c>
      <c r="X6478" s="2">
        <v>435.71499999999997</v>
      </c>
    </row>
    <row r="6479" spans="1:24" x14ac:dyDescent="0.3">
      <c r="A6479">
        <v>24296</v>
      </c>
      <c r="B6479" t="s">
        <v>13106</v>
      </c>
      <c r="C6479" s="3">
        <v>41998</v>
      </c>
      <c r="D6479" t="s">
        <v>50</v>
      </c>
      <c r="E6479">
        <v>15</v>
      </c>
      <c r="F6479" s="3">
        <f ca="1">41999+(RANDBETWEEN(1,10))</f>
        <v>42001</v>
      </c>
      <c r="G6479" t="s">
        <v>26</v>
      </c>
      <c r="H6479" t="s">
        <v>27</v>
      </c>
      <c r="I6479" t="s">
        <v>86</v>
      </c>
      <c r="J6479">
        <v>2893.8</v>
      </c>
      <c r="K6479">
        <v>0.02</v>
      </c>
      <c r="L6479">
        <v>0.56999999999999995</v>
      </c>
      <c r="M6479">
        <v>18.585000000000001</v>
      </c>
      <c r="N6479">
        <v>1717.8819840000001</v>
      </c>
      <c r="O6479" s="1" t="s">
        <v>64</v>
      </c>
      <c r="P6479" s="1" t="s">
        <v>10915</v>
      </c>
      <c r="Q6479" s="1" t="s">
        <v>10916</v>
      </c>
      <c r="R6479" s="1" t="s">
        <v>67</v>
      </c>
      <c r="S6479" s="1" t="s">
        <v>1865</v>
      </c>
      <c r="T6479" s="1" t="s">
        <v>1866</v>
      </c>
      <c r="U6479" s="2">
        <v>3390</v>
      </c>
      <c r="V6479" s="2" t="s">
        <v>36</v>
      </c>
      <c r="W6479" s="2" t="s">
        <v>37</v>
      </c>
      <c r="X6479" s="2">
        <v>230.965</v>
      </c>
    </row>
    <row r="6480" spans="1:24" x14ac:dyDescent="0.3">
      <c r="A6480">
        <v>24297</v>
      </c>
      <c r="B6480" t="s">
        <v>13107</v>
      </c>
      <c r="C6480" s="3">
        <v>41428</v>
      </c>
      <c r="D6480" t="s">
        <v>50</v>
      </c>
      <c r="E6480">
        <v>8</v>
      </c>
      <c r="F6480" s="3">
        <f ca="1">41429+(RANDBETWEEN(1,10))</f>
        <v>41438</v>
      </c>
      <c r="G6480" t="s">
        <v>26</v>
      </c>
      <c r="H6480" t="s">
        <v>63</v>
      </c>
      <c r="I6480" t="s">
        <v>86</v>
      </c>
      <c r="J6480">
        <v>5742.0649999999996</v>
      </c>
      <c r="K6480">
        <v>0.1</v>
      </c>
      <c r="L6480">
        <v>0.56999999999999995</v>
      </c>
      <c r="M6480">
        <v>63.21</v>
      </c>
      <c r="N6480">
        <v>3172.1759999999999</v>
      </c>
      <c r="O6480" s="1" t="s">
        <v>29</v>
      </c>
      <c r="P6480" s="1" t="s">
        <v>13108</v>
      </c>
      <c r="Q6480" s="1" t="s">
        <v>13109</v>
      </c>
      <c r="R6480" s="1" t="s">
        <v>675</v>
      </c>
      <c r="S6480" s="1" t="s">
        <v>746</v>
      </c>
      <c r="T6480" s="1" t="s">
        <v>747</v>
      </c>
      <c r="U6480" s="2" t="s">
        <v>773</v>
      </c>
      <c r="V6480" s="2" t="s">
        <v>83</v>
      </c>
      <c r="W6480" s="2" t="s">
        <v>84</v>
      </c>
      <c r="X6480" s="2">
        <v>763.28</v>
      </c>
    </row>
    <row r="6481" spans="1:24" x14ac:dyDescent="0.3">
      <c r="A6481">
        <v>24298</v>
      </c>
      <c r="B6481" t="s">
        <v>13110</v>
      </c>
      <c r="C6481" s="3">
        <v>40820</v>
      </c>
      <c r="D6481" t="s">
        <v>25</v>
      </c>
      <c r="E6481">
        <v>3</v>
      </c>
      <c r="F6481" s="3">
        <f ca="1">40825+(RANDBETWEEN(1,10))</f>
        <v>40831</v>
      </c>
      <c r="G6481" t="s">
        <v>26</v>
      </c>
      <c r="H6481" t="s">
        <v>27</v>
      </c>
      <c r="I6481" t="s">
        <v>28</v>
      </c>
      <c r="J6481">
        <v>30.8</v>
      </c>
      <c r="K6481">
        <v>0.1</v>
      </c>
      <c r="L6481">
        <v>0.55000000000000004</v>
      </c>
      <c r="M6481">
        <v>17.5</v>
      </c>
      <c r="N6481">
        <v>-74.617199999999997</v>
      </c>
      <c r="O6481" s="1" t="s">
        <v>64</v>
      </c>
      <c r="P6481" s="1" t="s">
        <v>13111</v>
      </c>
      <c r="Q6481" s="1" t="s">
        <v>13112</v>
      </c>
      <c r="R6481" s="1" t="s">
        <v>67</v>
      </c>
      <c r="S6481" s="1" t="s">
        <v>68</v>
      </c>
      <c r="T6481" s="1" t="s">
        <v>6935</v>
      </c>
      <c r="U6481" s="2" t="s">
        <v>9863</v>
      </c>
      <c r="V6481" s="2" t="s">
        <v>47</v>
      </c>
      <c r="W6481" s="2" t="s">
        <v>71</v>
      </c>
      <c r="X6481" s="2">
        <v>7.77</v>
      </c>
    </row>
    <row r="6482" spans="1:24" x14ac:dyDescent="0.3">
      <c r="A6482">
        <v>24299</v>
      </c>
      <c r="B6482" t="s">
        <v>13113</v>
      </c>
      <c r="C6482" s="3">
        <v>41916</v>
      </c>
      <c r="D6482" t="s">
        <v>25</v>
      </c>
      <c r="E6482">
        <v>11</v>
      </c>
      <c r="F6482" s="3">
        <f ca="1">41918+(RANDBETWEEN(1,10))</f>
        <v>41921</v>
      </c>
      <c r="G6482" t="s">
        <v>26</v>
      </c>
      <c r="H6482" t="s">
        <v>96</v>
      </c>
      <c r="I6482" t="s">
        <v>28</v>
      </c>
      <c r="J6482">
        <v>577.64</v>
      </c>
      <c r="K6482">
        <v>0.02</v>
      </c>
      <c r="L6482">
        <v>0.46</v>
      </c>
      <c r="M6482">
        <v>18.55</v>
      </c>
      <c r="N6482">
        <v>332.5</v>
      </c>
      <c r="O6482" s="1" t="s">
        <v>40</v>
      </c>
      <c r="P6482" s="1" t="s">
        <v>13114</v>
      </c>
      <c r="Q6482" s="1" t="s">
        <v>13115</v>
      </c>
      <c r="R6482" s="1" t="s">
        <v>220</v>
      </c>
      <c r="S6482" s="1" t="s">
        <v>10052</v>
      </c>
      <c r="T6482" s="1" t="s">
        <v>4766</v>
      </c>
      <c r="U6482" s="2" t="s">
        <v>2729</v>
      </c>
      <c r="V6482" s="2" t="s">
        <v>83</v>
      </c>
      <c r="W6482" s="2" t="s">
        <v>178</v>
      </c>
      <c r="X6482" s="2">
        <v>49.7</v>
      </c>
    </row>
    <row r="6483" spans="1:24" x14ac:dyDescent="0.3">
      <c r="A6483">
        <v>24300</v>
      </c>
      <c r="B6483" t="s">
        <v>13116</v>
      </c>
      <c r="C6483" s="3">
        <v>41443</v>
      </c>
      <c r="D6483" t="s">
        <v>25</v>
      </c>
      <c r="E6483">
        <v>12</v>
      </c>
      <c r="F6483" s="3">
        <f ca="1">41448+(RANDBETWEEN(1,10))</f>
        <v>41457</v>
      </c>
      <c r="G6483" t="s">
        <v>26</v>
      </c>
      <c r="H6483" t="s">
        <v>96</v>
      </c>
      <c r="I6483" t="s">
        <v>86</v>
      </c>
      <c r="J6483">
        <v>788.09500000000003</v>
      </c>
      <c r="K6483">
        <v>0.08</v>
      </c>
      <c r="L6483">
        <v>0.44</v>
      </c>
      <c r="M6483">
        <v>14.35</v>
      </c>
      <c r="N6483">
        <v>50.82</v>
      </c>
      <c r="O6483" s="1" t="s">
        <v>225</v>
      </c>
      <c r="P6483" s="1" t="s">
        <v>12214</v>
      </c>
      <c r="Q6483" s="1" t="s">
        <v>12215</v>
      </c>
      <c r="R6483" s="1" t="s">
        <v>228</v>
      </c>
      <c r="S6483" s="1" t="s">
        <v>12216</v>
      </c>
      <c r="T6483" s="1" t="s">
        <v>12217</v>
      </c>
      <c r="U6483" s="2" t="s">
        <v>550</v>
      </c>
      <c r="V6483" s="2" t="s">
        <v>47</v>
      </c>
      <c r="W6483" s="2" t="s">
        <v>104</v>
      </c>
      <c r="X6483" s="2">
        <v>69.44</v>
      </c>
    </row>
    <row r="6484" spans="1:24" x14ac:dyDescent="0.3">
      <c r="A6484">
        <v>24301</v>
      </c>
      <c r="B6484" t="s">
        <v>13116</v>
      </c>
      <c r="C6484" s="3">
        <v>41443</v>
      </c>
      <c r="D6484" t="s">
        <v>25</v>
      </c>
      <c r="E6484">
        <v>15</v>
      </c>
      <c r="F6484" s="3">
        <f ca="1">41447+(RANDBETWEEN(1,10))</f>
        <v>41449</v>
      </c>
      <c r="G6484" t="s">
        <v>156</v>
      </c>
      <c r="H6484" t="s">
        <v>96</v>
      </c>
      <c r="I6484" t="s">
        <v>86</v>
      </c>
      <c r="J6484">
        <v>87.64</v>
      </c>
      <c r="K6484">
        <v>0.04</v>
      </c>
      <c r="L6484">
        <v>0.37</v>
      </c>
      <c r="M6484">
        <v>2.4500000000000002</v>
      </c>
      <c r="N6484">
        <v>51.975000000000001</v>
      </c>
      <c r="O6484" s="1" t="s">
        <v>225</v>
      </c>
      <c r="P6484" s="1" t="s">
        <v>12214</v>
      </c>
      <c r="Q6484" s="1" t="s">
        <v>12215</v>
      </c>
      <c r="R6484" s="1" t="s">
        <v>228</v>
      </c>
      <c r="S6484" s="1" t="s">
        <v>12216</v>
      </c>
      <c r="T6484" s="1" t="s">
        <v>12217</v>
      </c>
      <c r="U6484" s="2" t="s">
        <v>3561</v>
      </c>
      <c r="V6484" s="2" t="s">
        <v>47</v>
      </c>
      <c r="W6484" s="2" t="s">
        <v>176</v>
      </c>
      <c r="X6484" s="2">
        <v>5.18</v>
      </c>
    </row>
    <row r="6485" spans="1:24" x14ac:dyDescent="0.3">
      <c r="A6485">
        <v>24302</v>
      </c>
      <c r="B6485" t="s">
        <v>13117</v>
      </c>
      <c r="C6485" s="3">
        <v>41343</v>
      </c>
      <c r="D6485" t="s">
        <v>39</v>
      </c>
      <c r="E6485">
        <v>9</v>
      </c>
      <c r="F6485" s="3">
        <f ca="1">41343+(RANDBETWEEN(1,10))</f>
        <v>41345</v>
      </c>
      <c r="G6485" t="s">
        <v>26</v>
      </c>
      <c r="H6485" t="s">
        <v>27</v>
      </c>
      <c r="I6485" t="s">
        <v>52</v>
      </c>
      <c r="J6485">
        <v>129.95500000000001</v>
      </c>
      <c r="K6485">
        <v>7.0000000000000007E-2</v>
      </c>
      <c r="L6485">
        <v>0.39</v>
      </c>
      <c r="M6485">
        <v>1.75</v>
      </c>
      <c r="N6485">
        <v>89.668949999999995</v>
      </c>
      <c r="O6485" s="1" t="s">
        <v>40</v>
      </c>
      <c r="P6485" s="1" t="s">
        <v>11966</v>
      </c>
      <c r="Q6485" s="1" t="s">
        <v>11967</v>
      </c>
      <c r="R6485" s="1" t="s">
        <v>220</v>
      </c>
      <c r="S6485" s="1" t="s">
        <v>5440</v>
      </c>
      <c r="T6485" s="1" t="s">
        <v>5441</v>
      </c>
      <c r="U6485" s="2" t="s">
        <v>1889</v>
      </c>
      <c r="V6485" s="2" t="s">
        <v>47</v>
      </c>
      <c r="W6485" s="2" t="s">
        <v>203</v>
      </c>
      <c r="X6485" s="2">
        <v>14.455</v>
      </c>
    </row>
    <row r="6486" spans="1:24" x14ac:dyDescent="0.3">
      <c r="A6486">
        <v>24303</v>
      </c>
      <c r="B6486" t="s">
        <v>13118</v>
      </c>
      <c r="C6486" s="3">
        <v>41346</v>
      </c>
      <c r="D6486" t="s">
        <v>39</v>
      </c>
      <c r="E6486">
        <v>2</v>
      </c>
      <c r="F6486" s="3">
        <f ca="1">41348+(RANDBETWEEN(1,10))</f>
        <v>41351</v>
      </c>
      <c r="G6486" t="s">
        <v>26</v>
      </c>
      <c r="H6486" t="s">
        <v>51</v>
      </c>
      <c r="I6486" t="s">
        <v>28</v>
      </c>
      <c r="J6486">
        <v>500.185</v>
      </c>
      <c r="K6486">
        <v>0.06</v>
      </c>
      <c r="L6486">
        <v>0.39</v>
      </c>
      <c r="M6486">
        <v>4.375</v>
      </c>
      <c r="N6486">
        <v>-517.01649999999995</v>
      </c>
      <c r="O6486" s="1" t="s">
        <v>29</v>
      </c>
      <c r="P6486" s="1" t="s">
        <v>13119</v>
      </c>
      <c r="Q6486" s="1" t="s">
        <v>13120</v>
      </c>
      <c r="R6486" s="1" t="s">
        <v>32</v>
      </c>
      <c r="S6486" s="1" t="s">
        <v>563</v>
      </c>
      <c r="T6486" s="1" t="s">
        <v>564</v>
      </c>
      <c r="U6486" s="2" t="s">
        <v>1978</v>
      </c>
      <c r="V6486" s="2" t="s">
        <v>36</v>
      </c>
      <c r="W6486" s="2" t="s">
        <v>37</v>
      </c>
      <c r="X6486" s="2">
        <v>300.96499999999997</v>
      </c>
    </row>
    <row r="6487" spans="1:24" x14ac:dyDescent="0.3">
      <c r="A6487">
        <v>24304</v>
      </c>
      <c r="B6487" t="s">
        <v>13121</v>
      </c>
      <c r="C6487" s="3">
        <v>41151</v>
      </c>
      <c r="D6487" t="s">
        <v>39</v>
      </c>
      <c r="E6487">
        <v>15</v>
      </c>
      <c r="F6487" s="3">
        <f ca="1">41152+(RANDBETWEEN(1,10))</f>
        <v>41154</v>
      </c>
      <c r="G6487" t="s">
        <v>26</v>
      </c>
      <c r="H6487" t="s">
        <v>27</v>
      </c>
      <c r="I6487" t="s">
        <v>86</v>
      </c>
      <c r="J6487">
        <v>2951.8649999999998</v>
      </c>
      <c r="K6487">
        <v>7.0000000000000007E-2</v>
      </c>
      <c r="L6487">
        <v>0.36</v>
      </c>
      <c r="M6487">
        <v>18.024999999999999</v>
      </c>
      <c r="N6487">
        <v>303.786</v>
      </c>
      <c r="O6487" s="1" t="s">
        <v>87</v>
      </c>
      <c r="P6487" s="1" t="s">
        <v>11005</v>
      </c>
      <c r="Q6487" s="1" t="s">
        <v>11006</v>
      </c>
      <c r="R6487" s="1" t="s">
        <v>398</v>
      </c>
      <c r="S6487" s="1" t="s">
        <v>11007</v>
      </c>
      <c r="T6487" s="1" t="s">
        <v>11008</v>
      </c>
      <c r="U6487" s="2" t="s">
        <v>5580</v>
      </c>
      <c r="V6487" s="2" t="s">
        <v>47</v>
      </c>
      <c r="W6487" s="2" t="s">
        <v>74</v>
      </c>
      <c r="X6487" s="2">
        <v>195.93</v>
      </c>
    </row>
    <row r="6488" spans="1:24" x14ac:dyDescent="0.3">
      <c r="A6488">
        <v>24305</v>
      </c>
      <c r="B6488" t="s">
        <v>13121</v>
      </c>
      <c r="C6488" s="3">
        <v>41151</v>
      </c>
      <c r="D6488" t="s">
        <v>39</v>
      </c>
      <c r="E6488">
        <v>8</v>
      </c>
      <c r="F6488" s="3">
        <f ca="1">41152+(RANDBETWEEN(1,10))</f>
        <v>41161</v>
      </c>
      <c r="G6488" t="s">
        <v>26</v>
      </c>
      <c r="H6488" t="s">
        <v>281</v>
      </c>
      <c r="I6488" t="s">
        <v>86</v>
      </c>
      <c r="J6488">
        <v>198.87</v>
      </c>
      <c r="K6488">
        <v>0.03</v>
      </c>
      <c r="L6488">
        <v>0.6</v>
      </c>
      <c r="M6488">
        <v>17.605</v>
      </c>
      <c r="N6488">
        <v>-492.29124000000002</v>
      </c>
      <c r="O6488" s="1" t="s">
        <v>87</v>
      </c>
      <c r="P6488" s="1" t="s">
        <v>11005</v>
      </c>
      <c r="Q6488" s="1" t="s">
        <v>11006</v>
      </c>
      <c r="R6488" s="1" t="s">
        <v>398</v>
      </c>
      <c r="S6488" s="1" t="s">
        <v>11007</v>
      </c>
      <c r="T6488" s="1" t="s">
        <v>11008</v>
      </c>
      <c r="U6488" s="2" t="s">
        <v>408</v>
      </c>
      <c r="V6488" s="2" t="s">
        <v>36</v>
      </c>
      <c r="W6488" s="2" t="s">
        <v>37</v>
      </c>
      <c r="X6488" s="2">
        <v>27.965</v>
      </c>
    </row>
    <row r="6489" spans="1:24" x14ac:dyDescent="0.3">
      <c r="A6489">
        <v>24306</v>
      </c>
      <c r="B6489" t="s">
        <v>13122</v>
      </c>
      <c r="C6489" s="3">
        <v>41881</v>
      </c>
      <c r="D6489" t="s">
        <v>39</v>
      </c>
      <c r="E6489">
        <v>23</v>
      </c>
      <c r="F6489" s="3">
        <f ca="1">41882+(RANDBETWEEN(1,10))</f>
        <v>41889</v>
      </c>
      <c r="G6489" t="s">
        <v>26</v>
      </c>
      <c r="H6489" t="s">
        <v>27</v>
      </c>
      <c r="I6489" t="s">
        <v>86</v>
      </c>
      <c r="J6489">
        <v>439.25</v>
      </c>
      <c r="K6489">
        <v>0.03</v>
      </c>
      <c r="L6489">
        <v>0.4</v>
      </c>
      <c r="M6489">
        <v>28.56</v>
      </c>
      <c r="N6489">
        <v>-1141.6559</v>
      </c>
      <c r="O6489" s="1" t="s">
        <v>87</v>
      </c>
      <c r="P6489" s="1" t="s">
        <v>13123</v>
      </c>
      <c r="Q6489" s="1" t="s">
        <v>13124</v>
      </c>
      <c r="R6489" s="1" t="s">
        <v>398</v>
      </c>
      <c r="S6489" s="1" t="s">
        <v>9680</v>
      </c>
      <c r="T6489" s="1" t="s">
        <v>9681</v>
      </c>
      <c r="U6489" s="2" t="s">
        <v>7827</v>
      </c>
      <c r="V6489" s="2" t="s">
        <v>47</v>
      </c>
      <c r="W6489" s="2" t="s">
        <v>74</v>
      </c>
      <c r="X6489" s="2">
        <v>18.48</v>
      </c>
    </row>
    <row r="6490" spans="1:24" x14ac:dyDescent="0.3">
      <c r="A6490">
        <v>24307</v>
      </c>
      <c r="B6490" t="s">
        <v>13125</v>
      </c>
      <c r="C6490" s="3">
        <v>41074</v>
      </c>
      <c r="D6490" t="s">
        <v>25</v>
      </c>
      <c r="E6490">
        <v>7</v>
      </c>
      <c r="F6490" s="3">
        <f ca="1">41078+(RANDBETWEEN(1,10))</f>
        <v>41086</v>
      </c>
      <c r="G6490" t="s">
        <v>156</v>
      </c>
      <c r="H6490" t="s">
        <v>27</v>
      </c>
      <c r="I6490" t="s">
        <v>28</v>
      </c>
      <c r="J6490">
        <v>75.355000000000004</v>
      </c>
      <c r="K6490">
        <v>0</v>
      </c>
      <c r="L6490">
        <v>0.55000000000000004</v>
      </c>
      <c r="M6490">
        <v>17.5</v>
      </c>
      <c r="N6490">
        <v>-158.56399999999999</v>
      </c>
      <c r="O6490" s="1" t="s">
        <v>29</v>
      </c>
      <c r="P6490" s="1" t="s">
        <v>10062</v>
      </c>
      <c r="Q6490" s="1" t="s">
        <v>10063</v>
      </c>
      <c r="R6490" s="1" t="s">
        <v>32</v>
      </c>
      <c r="S6490" s="1" t="s">
        <v>5480</v>
      </c>
      <c r="T6490" s="1" t="s">
        <v>5481</v>
      </c>
      <c r="U6490" s="2" t="s">
        <v>9863</v>
      </c>
      <c r="V6490" s="2" t="s">
        <v>47</v>
      </c>
      <c r="W6490" s="2" t="s">
        <v>71</v>
      </c>
      <c r="X6490" s="2">
        <v>7.77</v>
      </c>
    </row>
    <row r="6491" spans="1:24" x14ac:dyDescent="0.3">
      <c r="A6491">
        <v>24308</v>
      </c>
      <c r="B6491" t="s">
        <v>13125</v>
      </c>
      <c r="C6491" s="3">
        <v>41074</v>
      </c>
      <c r="D6491" t="s">
        <v>25</v>
      </c>
      <c r="E6491">
        <v>10</v>
      </c>
      <c r="F6491" s="3">
        <f ca="1">41083+(RANDBETWEEN(1,10))</f>
        <v>41084</v>
      </c>
      <c r="G6491" t="s">
        <v>26</v>
      </c>
      <c r="H6491" t="s">
        <v>27</v>
      </c>
      <c r="I6491" t="s">
        <v>28</v>
      </c>
      <c r="J6491">
        <v>907.86500000000001</v>
      </c>
      <c r="K6491">
        <v>0.06</v>
      </c>
      <c r="L6491">
        <v>0.75</v>
      </c>
      <c r="M6491">
        <v>20.614999999999998</v>
      </c>
      <c r="N6491">
        <v>-344.428</v>
      </c>
      <c r="O6491" s="1" t="s">
        <v>29</v>
      </c>
      <c r="P6491" s="1" t="s">
        <v>10062</v>
      </c>
      <c r="Q6491" s="1" t="s">
        <v>10063</v>
      </c>
      <c r="R6491" s="1" t="s">
        <v>32</v>
      </c>
      <c r="S6491" s="1" t="s">
        <v>5480</v>
      </c>
      <c r="T6491" s="1" t="s">
        <v>5481</v>
      </c>
      <c r="U6491" s="2" t="s">
        <v>4016</v>
      </c>
      <c r="V6491" s="2" t="s">
        <v>36</v>
      </c>
      <c r="W6491" s="2" t="s">
        <v>60</v>
      </c>
      <c r="X6491" s="2">
        <v>92.084999999999994</v>
      </c>
    </row>
    <row r="6492" spans="1:24" x14ac:dyDescent="0.3">
      <c r="A6492">
        <v>24309</v>
      </c>
      <c r="B6492" t="s">
        <v>13126</v>
      </c>
      <c r="C6492" s="3">
        <v>41038</v>
      </c>
      <c r="D6492" t="s">
        <v>148</v>
      </c>
      <c r="E6492">
        <v>7</v>
      </c>
      <c r="F6492" s="3">
        <f ca="1">41039+(RANDBETWEEN(1,10))</f>
        <v>41043</v>
      </c>
      <c r="G6492" t="s">
        <v>26</v>
      </c>
      <c r="H6492" t="s">
        <v>27</v>
      </c>
      <c r="I6492" t="s">
        <v>97</v>
      </c>
      <c r="J6492">
        <v>46.9</v>
      </c>
      <c r="K6492">
        <v>7.0000000000000007E-2</v>
      </c>
      <c r="L6492">
        <v>0.37</v>
      </c>
      <c r="M6492">
        <v>5.2149999999999999</v>
      </c>
      <c r="N6492">
        <v>-35.902999999999999</v>
      </c>
      <c r="O6492" s="1" t="s">
        <v>53</v>
      </c>
      <c r="P6492" s="1" t="s">
        <v>13127</v>
      </c>
      <c r="Q6492" s="1" t="s">
        <v>13128</v>
      </c>
      <c r="R6492" s="1" t="s">
        <v>440</v>
      </c>
      <c r="S6492" s="1" t="s">
        <v>13129</v>
      </c>
      <c r="T6492" s="1" t="s">
        <v>13130</v>
      </c>
      <c r="U6492" s="2" t="s">
        <v>4275</v>
      </c>
      <c r="V6492" s="2" t="s">
        <v>47</v>
      </c>
      <c r="W6492" s="2" t="s">
        <v>111</v>
      </c>
      <c r="X6492" s="2">
        <v>6.58</v>
      </c>
    </row>
    <row r="6493" spans="1:24" x14ac:dyDescent="0.3">
      <c r="A6493">
        <v>24310</v>
      </c>
      <c r="B6493" t="s">
        <v>13131</v>
      </c>
      <c r="C6493" s="3">
        <v>41643</v>
      </c>
      <c r="D6493" t="s">
        <v>25</v>
      </c>
      <c r="E6493">
        <v>13</v>
      </c>
      <c r="F6493" s="3">
        <f ca="1">41647+(RANDBETWEEN(1,10))</f>
        <v>41655</v>
      </c>
      <c r="G6493" t="s">
        <v>26</v>
      </c>
      <c r="H6493" t="s">
        <v>63</v>
      </c>
      <c r="I6493" t="s">
        <v>97</v>
      </c>
      <c r="J6493">
        <v>12317.865</v>
      </c>
      <c r="K6493">
        <v>0.08</v>
      </c>
      <c r="L6493">
        <v>0.8</v>
      </c>
      <c r="M6493">
        <v>122.5</v>
      </c>
      <c r="N6493">
        <v>-675.56299999999999</v>
      </c>
      <c r="O6493" s="1" t="s">
        <v>225</v>
      </c>
      <c r="P6493" s="1" t="s">
        <v>11878</v>
      </c>
      <c r="Q6493" s="1" t="s">
        <v>11879</v>
      </c>
      <c r="R6493" s="1" t="s">
        <v>228</v>
      </c>
      <c r="S6493" s="1" t="s">
        <v>3618</v>
      </c>
      <c r="T6493" s="1" t="s">
        <v>3619</v>
      </c>
      <c r="U6493" s="2" t="s">
        <v>2645</v>
      </c>
      <c r="V6493" s="2" t="s">
        <v>47</v>
      </c>
      <c r="W6493" s="2" t="s">
        <v>119</v>
      </c>
      <c r="X6493" s="2">
        <v>978.18</v>
      </c>
    </row>
    <row r="6494" spans="1:24" x14ac:dyDescent="0.3">
      <c r="A6494">
        <v>24311</v>
      </c>
      <c r="B6494" t="s">
        <v>13132</v>
      </c>
      <c r="C6494" s="3">
        <v>41663</v>
      </c>
      <c r="D6494" t="s">
        <v>25</v>
      </c>
      <c r="E6494">
        <v>13</v>
      </c>
      <c r="F6494" s="3">
        <f ca="1">41663+(RANDBETWEEN(1,10))</f>
        <v>41667</v>
      </c>
      <c r="G6494" t="s">
        <v>76</v>
      </c>
      <c r="H6494" t="s">
        <v>77</v>
      </c>
      <c r="I6494" t="s">
        <v>28</v>
      </c>
      <c r="J6494">
        <v>22498.244999999999</v>
      </c>
      <c r="K6494">
        <v>0.06</v>
      </c>
      <c r="L6494">
        <v>0.6</v>
      </c>
      <c r="M6494">
        <v>91</v>
      </c>
      <c r="N6494">
        <v>15523.789049999999</v>
      </c>
      <c r="O6494" s="1" t="s">
        <v>40</v>
      </c>
      <c r="P6494" s="1" t="s">
        <v>5094</v>
      </c>
      <c r="Q6494" s="1" t="s">
        <v>5095</v>
      </c>
      <c r="R6494" s="1" t="s">
        <v>43</v>
      </c>
      <c r="S6494" s="1" t="s">
        <v>5096</v>
      </c>
      <c r="T6494" s="1" t="s">
        <v>5097</v>
      </c>
      <c r="U6494" s="2" t="s">
        <v>1670</v>
      </c>
      <c r="V6494" s="2" t="s">
        <v>83</v>
      </c>
      <c r="W6494" s="2" t="s">
        <v>84</v>
      </c>
      <c r="X6494" s="2">
        <v>1753.43</v>
      </c>
    </row>
    <row r="6495" spans="1:24" x14ac:dyDescent="0.3">
      <c r="A6495">
        <v>24312</v>
      </c>
      <c r="B6495" t="s">
        <v>13132</v>
      </c>
      <c r="C6495" s="3">
        <v>41663</v>
      </c>
      <c r="D6495" t="s">
        <v>25</v>
      </c>
      <c r="E6495">
        <v>7</v>
      </c>
      <c r="F6495" s="3">
        <f ca="1">41667+(RANDBETWEEN(1,10))</f>
        <v>41668</v>
      </c>
      <c r="G6495" t="s">
        <v>26</v>
      </c>
      <c r="H6495" t="s">
        <v>27</v>
      </c>
      <c r="I6495" t="s">
        <v>28</v>
      </c>
      <c r="J6495">
        <v>309.22500000000002</v>
      </c>
      <c r="K6495">
        <v>0.05</v>
      </c>
      <c r="L6495">
        <v>0.56999999999999995</v>
      </c>
      <c r="M6495">
        <v>21.454999999999998</v>
      </c>
      <c r="N6495">
        <v>-159.5384</v>
      </c>
      <c r="O6495" s="1" t="s">
        <v>29</v>
      </c>
      <c r="P6495" s="1" t="s">
        <v>13133</v>
      </c>
      <c r="Q6495" s="1" t="s">
        <v>13134</v>
      </c>
      <c r="R6495" s="1" t="s">
        <v>460</v>
      </c>
      <c r="S6495" s="1" t="s">
        <v>1004</v>
      </c>
      <c r="T6495" s="1" t="s">
        <v>1005</v>
      </c>
      <c r="U6495" s="2" t="s">
        <v>5922</v>
      </c>
      <c r="V6495" s="2" t="s">
        <v>47</v>
      </c>
      <c r="W6495" s="2" t="s">
        <v>119</v>
      </c>
      <c r="X6495" s="2">
        <v>42.98</v>
      </c>
    </row>
    <row r="6496" spans="1:24" x14ac:dyDescent="0.3">
      <c r="A6496">
        <v>24313</v>
      </c>
      <c r="B6496" t="s">
        <v>13135</v>
      </c>
      <c r="C6496" s="3">
        <v>41925</v>
      </c>
      <c r="D6496" t="s">
        <v>25</v>
      </c>
      <c r="E6496">
        <v>19</v>
      </c>
      <c r="F6496" s="3">
        <f ca="1">41925+(RANDBETWEEN(1,10))</f>
        <v>41934</v>
      </c>
      <c r="G6496" t="s">
        <v>26</v>
      </c>
      <c r="H6496" t="s">
        <v>27</v>
      </c>
      <c r="I6496" t="s">
        <v>86</v>
      </c>
      <c r="J6496">
        <v>2129.1550000000002</v>
      </c>
      <c r="K6496">
        <v>0.03</v>
      </c>
      <c r="L6496">
        <v>0.49</v>
      </c>
      <c r="M6496">
        <v>24.815000000000001</v>
      </c>
      <c r="N6496">
        <v>-50.616999999999997</v>
      </c>
      <c r="O6496" s="1" t="s">
        <v>53</v>
      </c>
      <c r="P6496" s="1" t="s">
        <v>12644</v>
      </c>
      <c r="Q6496" s="1" t="s">
        <v>12645</v>
      </c>
      <c r="R6496" s="1" t="s">
        <v>100</v>
      </c>
      <c r="S6496" s="1" t="s">
        <v>12646</v>
      </c>
      <c r="T6496" s="1" t="s">
        <v>12647</v>
      </c>
      <c r="U6496" s="2" t="s">
        <v>7044</v>
      </c>
      <c r="V6496" s="2" t="s">
        <v>83</v>
      </c>
      <c r="W6496" s="2" t="s">
        <v>178</v>
      </c>
      <c r="X6496" s="2">
        <v>113.68</v>
      </c>
    </row>
    <row r="6497" spans="1:24" x14ac:dyDescent="0.3">
      <c r="A6497">
        <v>24314</v>
      </c>
      <c r="B6497" t="s">
        <v>13135</v>
      </c>
      <c r="C6497" s="3">
        <v>41925</v>
      </c>
      <c r="D6497" t="s">
        <v>25</v>
      </c>
      <c r="E6497">
        <v>2</v>
      </c>
      <c r="F6497" s="3">
        <f ca="1">41927+(RANDBETWEEN(1,10))</f>
        <v>41936</v>
      </c>
      <c r="G6497" t="s">
        <v>26</v>
      </c>
      <c r="H6497" t="s">
        <v>96</v>
      </c>
      <c r="I6497" t="s">
        <v>86</v>
      </c>
      <c r="J6497">
        <v>13.23</v>
      </c>
      <c r="K6497">
        <v>0.1</v>
      </c>
      <c r="L6497">
        <v>0.83</v>
      </c>
      <c r="M6497">
        <v>2.66</v>
      </c>
      <c r="N6497">
        <v>-1134.8399999999999</v>
      </c>
      <c r="O6497" s="1" t="s">
        <v>53</v>
      </c>
      <c r="P6497" s="1" t="s">
        <v>12644</v>
      </c>
      <c r="Q6497" s="1" t="s">
        <v>12645</v>
      </c>
      <c r="R6497" s="1" t="s">
        <v>100</v>
      </c>
      <c r="S6497" s="1" t="s">
        <v>12646</v>
      </c>
      <c r="T6497" s="1" t="s">
        <v>12647</v>
      </c>
      <c r="U6497" s="2" t="s">
        <v>4457</v>
      </c>
      <c r="V6497" s="2" t="s">
        <v>47</v>
      </c>
      <c r="W6497" s="2" t="s">
        <v>176</v>
      </c>
      <c r="X6497" s="2">
        <v>6.6150000000000002</v>
      </c>
    </row>
    <row r="6498" spans="1:24" x14ac:dyDescent="0.3">
      <c r="A6498">
        <v>24315</v>
      </c>
      <c r="B6498" t="s">
        <v>13136</v>
      </c>
      <c r="C6498" s="3">
        <v>41793</v>
      </c>
      <c r="D6498" t="s">
        <v>148</v>
      </c>
      <c r="E6498">
        <v>8</v>
      </c>
      <c r="F6498" s="3">
        <f ca="1">41794+(RANDBETWEEN(1,10))</f>
        <v>41803</v>
      </c>
      <c r="G6498" t="s">
        <v>26</v>
      </c>
      <c r="H6498" t="s">
        <v>27</v>
      </c>
      <c r="I6498" t="s">
        <v>86</v>
      </c>
      <c r="J6498">
        <v>162.29499999999999</v>
      </c>
      <c r="K6498">
        <v>7.0000000000000007E-2</v>
      </c>
      <c r="L6498">
        <v>0.39</v>
      </c>
      <c r="M6498">
        <v>5.2149999999999999</v>
      </c>
      <c r="N6498">
        <v>111.98354999999999</v>
      </c>
      <c r="O6498" s="1" t="s">
        <v>87</v>
      </c>
      <c r="P6498" s="1" t="s">
        <v>13137</v>
      </c>
      <c r="Q6498" s="1" t="s">
        <v>13138</v>
      </c>
      <c r="R6498" s="1" t="s">
        <v>398</v>
      </c>
      <c r="S6498" s="1" t="s">
        <v>10476</v>
      </c>
      <c r="T6498" s="1" t="s">
        <v>10477</v>
      </c>
      <c r="U6498" s="2" t="s">
        <v>1062</v>
      </c>
      <c r="V6498" s="2" t="s">
        <v>47</v>
      </c>
      <c r="W6498" s="2" t="s">
        <v>111</v>
      </c>
      <c r="X6498" s="2">
        <v>20.93</v>
      </c>
    </row>
    <row r="6499" spans="1:24" x14ac:dyDescent="0.3">
      <c r="A6499">
        <v>24316</v>
      </c>
      <c r="B6499" t="s">
        <v>13136</v>
      </c>
      <c r="C6499" s="3">
        <v>41793</v>
      </c>
      <c r="D6499" t="s">
        <v>148</v>
      </c>
      <c r="E6499">
        <v>13</v>
      </c>
      <c r="F6499" s="3">
        <f ca="1">41795+(RANDBETWEEN(1,10))</f>
        <v>41802</v>
      </c>
      <c r="G6499" t="s">
        <v>26</v>
      </c>
      <c r="H6499" t="s">
        <v>281</v>
      </c>
      <c r="I6499" t="s">
        <v>86</v>
      </c>
      <c r="J6499">
        <v>2605.4699999999998</v>
      </c>
      <c r="K6499">
        <v>0.08</v>
      </c>
      <c r="L6499">
        <v>0.64</v>
      </c>
      <c r="M6499">
        <v>42.805</v>
      </c>
      <c r="N6499">
        <v>1423.422</v>
      </c>
      <c r="O6499" s="1" t="s">
        <v>87</v>
      </c>
      <c r="P6499" s="1" t="s">
        <v>13137</v>
      </c>
      <c r="Q6499" s="1" t="s">
        <v>13138</v>
      </c>
      <c r="R6499" s="1" t="s">
        <v>398</v>
      </c>
      <c r="S6499" s="1" t="s">
        <v>10476</v>
      </c>
      <c r="T6499" s="1" t="s">
        <v>10477</v>
      </c>
      <c r="U6499" s="2" t="s">
        <v>2775</v>
      </c>
      <c r="V6499" s="2" t="s">
        <v>83</v>
      </c>
      <c r="W6499" s="2" t="s">
        <v>178</v>
      </c>
      <c r="X6499" s="2">
        <v>212.27500000000001</v>
      </c>
    </row>
    <row r="6500" spans="1:24" x14ac:dyDescent="0.3">
      <c r="A6500">
        <v>24317</v>
      </c>
      <c r="B6500" t="s">
        <v>13139</v>
      </c>
      <c r="C6500" s="3">
        <v>41728</v>
      </c>
      <c r="D6500" t="s">
        <v>25</v>
      </c>
      <c r="E6500">
        <v>5</v>
      </c>
      <c r="F6500" s="3">
        <f ca="1">41730+(RANDBETWEEN(1,10))</f>
        <v>41734</v>
      </c>
      <c r="G6500" t="s">
        <v>76</v>
      </c>
      <c r="H6500" t="s">
        <v>258</v>
      </c>
      <c r="I6500" t="s">
        <v>28</v>
      </c>
      <c r="J6500">
        <v>7346.71</v>
      </c>
      <c r="K6500">
        <v>0.08</v>
      </c>
      <c r="L6500">
        <v>0.67</v>
      </c>
      <c r="M6500">
        <v>385.7</v>
      </c>
      <c r="N6500">
        <v>-1232.847</v>
      </c>
      <c r="O6500" s="1" t="s">
        <v>40</v>
      </c>
      <c r="P6500" s="1" t="s">
        <v>5506</v>
      </c>
      <c r="Q6500" s="1" t="s">
        <v>5507</v>
      </c>
      <c r="R6500" s="1" t="s">
        <v>220</v>
      </c>
      <c r="S6500" s="1" t="s">
        <v>5508</v>
      </c>
      <c r="T6500" s="1" t="s">
        <v>5509</v>
      </c>
      <c r="U6500" s="2" t="s">
        <v>9280</v>
      </c>
      <c r="V6500" s="2" t="s">
        <v>83</v>
      </c>
      <c r="W6500" s="2" t="s">
        <v>263</v>
      </c>
      <c r="X6500" s="2">
        <v>1484.7349999999999</v>
      </c>
    </row>
    <row r="6501" spans="1:24" x14ac:dyDescent="0.3">
      <c r="A6501">
        <v>24318</v>
      </c>
      <c r="B6501" t="s">
        <v>13140</v>
      </c>
      <c r="C6501" s="3">
        <v>40998</v>
      </c>
      <c r="D6501" t="s">
        <v>25</v>
      </c>
      <c r="E6501">
        <v>8</v>
      </c>
      <c r="F6501" s="3">
        <f ca="1">41003+(RANDBETWEEN(1,10))</f>
        <v>41004</v>
      </c>
      <c r="G6501" t="s">
        <v>26</v>
      </c>
      <c r="H6501" t="s">
        <v>96</v>
      </c>
      <c r="I6501" t="s">
        <v>28</v>
      </c>
      <c r="J6501">
        <v>40.284999999999997</v>
      </c>
      <c r="K6501">
        <v>7.0000000000000007E-2</v>
      </c>
      <c r="L6501">
        <v>0.37</v>
      </c>
      <c r="M6501">
        <v>2.4500000000000002</v>
      </c>
      <c r="N6501">
        <v>11.725</v>
      </c>
      <c r="O6501" s="1" t="s">
        <v>29</v>
      </c>
      <c r="P6501" s="1" t="s">
        <v>13141</v>
      </c>
      <c r="Q6501" s="1" t="s">
        <v>13142</v>
      </c>
      <c r="R6501" s="1" t="s">
        <v>460</v>
      </c>
      <c r="S6501" s="1" t="s">
        <v>13143</v>
      </c>
      <c r="T6501" s="1" t="s">
        <v>13144</v>
      </c>
      <c r="U6501" s="2" t="s">
        <v>3561</v>
      </c>
      <c r="V6501" s="2" t="s">
        <v>47</v>
      </c>
      <c r="W6501" s="2" t="s">
        <v>176</v>
      </c>
      <c r="X6501" s="2">
        <v>5.18</v>
      </c>
    </row>
    <row r="6502" spans="1:24" x14ac:dyDescent="0.3">
      <c r="A6502">
        <v>24319</v>
      </c>
      <c r="B6502" t="s">
        <v>13145</v>
      </c>
      <c r="C6502" s="3">
        <v>40751</v>
      </c>
      <c r="D6502" t="s">
        <v>50</v>
      </c>
      <c r="E6502">
        <v>5</v>
      </c>
      <c r="F6502" s="3">
        <f ca="1">40752+(RANDBETWEEN(1,10))</f>
        <v>40761</v>
      </c>
      <c r="G6502" t="s">
        <v>26</v>
      </c>
      <c r="H6502" t="s">
        <v>51</v>
      </c>
      <c r="I6502" t="s">
        <v>86</v>
      </c>
      <c r="J6502">
        <v>35.805</v>
      </c>
      <c r="K6502">
        <v>0.02</v>
      </c>
      <c r="L6502">
        <v>0.53</v>
      </c>
      <c r="M6502">
        <v>14.28</v>
      </c>
      <c r="N6502">
        <v>-130.86500000000001</v>
      </c>
      <c r="O6502" s="1" t="s">
        <v>87</v>
      </c>
      <c r="P6502" s="1" t="s">
        <v>1091</v>
      </c>
      <c r="Q6502" s="1" t="s">
        <v>1092</v>
      </c>
      <c r="R6502" s="1" t="s">
        <v>90</v>
      </c>
      <c r="S6502" s="1" t="s">
        <v>1093</v>
      </c>
      <c r="T6502" s="1" t="s">
        <v>1094</v>
      </c>
      <c r="U6502" s="2" t="s">
        <v>2747</v>
      </c>
      <c r="V6502" s="2" t="s">
        <v>83</v>
      </c>
      <c r="W6502" s="2" t="s">
        <v>178</v>
      </c>
      <c r="X6502" s="2">
        <v>6.09</v>
      </c>
    </row>
    <row r="6503" spans="1:24" x14ac:dyDescent="0.3">
      <c r="A6503">
        <v>24320</v>
      </c>
      <c r="B6503" t="s">
        <v>13146</v>
      </c>
      <c r="C6503" s="3">
        <v>41962</v>
      </c>
      <c r="D6503" t="s">
        <v>148</v>
      </c>
      <c r="E6503">
        <v>10</v>
      </c>
      <c r="F6503" s="3">
        <f ca="1">41963+(RANDBETWEEN(1,10))</f>
        <v>41968</v>
      </c>
      <c r="G6503" t="s">
        <v>26</v>
      </c>
      <c r="H6503" t="s">
        <v>63</v>
      </c>
      <c r="I6503" t="s">
        <v>97</v>
      </c>
      <c r="J6503">
        <v>2461.9</v>
      </c>
      <c r="K6503">
        <v>0.02</v>
      </c>
      <c r="L6503">
        <v>0.8</v>
      </c>
      <c r="M6503">
        <v>122.5</v>
      </c>
      <c r="N6503">
        <v>502.59552000000002</v>
      </c>
      <c r="O6503" s="1" t="s">
        <v>40</v>
      </c>
      <c r="P6503" s="1" t="s">
        <v>13147</v>
      </c>
      <c r="Q6503" s="1" t="s">
        <v>13148</v>
      </c>
      <c r="R6503" s="1" t="s">
        <v>220</v>
      </c>
      <c r="S6503" s="1" t="s">
        <v>13149</v>
      </c>
      <c r="T6503" s="1" t="s">
        <v>13150</v>
      </c>
      <c r="U6503" s="2" t="s">
        <v>3893</v>
      </c>
      <c r="V6503" s="2" t="s">
        <v>47</v>
      </c>
      <c r="W6503" s="2" t="s">
        <v>119</v>
      </c>
      <c r="X6503" s="2">
        <v>226.27500000000001</v>
      </c>
    </row>
    <row r="6504" spans="1:24" x14ac:dyDescent="0.3">
      <c r="A6504">
        <v>24321</v>
      </c>
      <c r="B6504" t="s">
        <v>13146</v>
      </c>
      <c r="C6504" s="3">
        <v>41962</v>
      </c>
      <c r="D6504" t="s">
        <v>148</v>
      </c>
      <c r="E6504">
        <v>14</v>
      </c>
      <c r="F6504" s="3">
        <f ca="1">41964+(RANDBETWEEN(1,10))</f>
        <v>41974</v>
      </c>
      <c r="G6504" t="s">
        <v>26</v>
      </c>
      <c r="H6504" t="s">
        <v>96</v>
      </c>
      <c r="I6504" t="s">
        <v>97</v>
      </c>
      <c r="J6504">
        <v>925.29499999999996</v>
      </c>
      <c r="K6504">
        <v>0.02</v>
      </c>
      <c r="L6504">
        <v>0.56999999999999995</v>
      </c>
      <c r="M6504">
        <v>3.4649999999999999</v>
      </c>
      <c r="N6504">
        <v>335.53396800000002</v>
      </c>
      <c r="O6504" s="1" t="s">
        <v>40</v>
      </c>
      <c r="P6504" s="1" t="s">
        <v>13147</v>
      </c>
      <c r="Q6504" s="1" t="s">
        <v>13148</v>
      </c>
      <c r="R6504" s="1" t="s">
        <v>220</v>
      </c>
      <c r="S6504" s="1" t="s">
        <v>13149</v>
      </c>
      <c r="T6504" s="1" t="s">
        <v>13150</v>
      </c>
      <c r="U6504" s="2" t="s">
        <v>5426</v>
      </c>
      <c r="V6504" s="2" t="s">
        <v>36</v>
      </c>
      <c r="W6504" s="2" t="s">
        <v>37</v>
      </c>
      <c r="X6504" s="2">
        <v>73.465000000000003</v>
      </c>
    </row>
    <row r="6505" spans="1:24" x14ac:dyDescent="0.3">
      <c r="A6505">
        <v>24322</v>
      </c>
      <c r="B6505" t="s">
        <v>13151</v>
      </c>
      <c r="C6505" s="3">
        <v>41248</v>
      </c>
      <c r="D6505" t="s">
        <v>50</v>
      </c>
      <c r="E6505">
        <v>16</v>
      </c>
      <c r="F6505" s="3">
        <f ca="1">41250+(RANDBETWEEN(1,10))</f>
        <v>41260</v>
      </c>
      <c r="G6505" t="s">
        <v>26</v>
      </c>
      <c r="H6505" t="s">
        <v>96</v>
      </c>
      <c r="I6505" t="s">
        <v>97</v>
      </c>
      <c r="J6505">
        <v>124.46</v>
      </c>
      <c r="K6505">
        <v>0.02</v>
      </c>
      <c r="L6505">
        <v>0.56999999999999995</v>
      </c>
      <c r="M6505">
        <v>2.4500000000000002</v>
      </c>
      <c r="N6505">
        <v>36.067500000000003</v>
      </c>
      <c r="O6505" s="1" t="s">
        <v>87</v>
      </c>
      <c r="P6505" s="1" t="s">
        <v>10302</v>
      </c>
      <c r="Q6505" s="1" t="s">
        <v>10303</v>
      </c>
      <c r="R6505" s="1" t="s">
        <v>90</v>
      </c>
      <c r="S6505" s="1" t="s">
        <v>10304</v>
      </c>
      <c r="T6505" s="1" t="s">
        <v>10305</v>
      </c>
      <c r="U6505" s="2" t="s">
        <v>6803</v>
      </c>
      <c r="V6505" s="2" t="s">
        <v>47</v>
      </c>
      <c r="W6505" s="2" t="s">
        <v>104</v>
      </c>
      <c r="X6505" s="2">
        <v>7.35</v>
      </c>
    </row>
    <row r="6506" spans="1:24" x14ac:dyDescent="0.3">
      <c r="A6506">
        <v>24323</v>
      </c>
      <c r="B6506" t="s">
        <v>13152</v>
      </c>
      <c r="C6506" s="3">
        <v>41785</v>
      </c>
      <c r="D6506" t="s">
        <v>50</v>
      </c>
      <c r="E6506">
        <v>15</v>
      </c>
      <c r="F6506" s="3">
        <f ca="1">41786+(RANDBETWEEN(1,10))</f>
        <v>41789</v>
      </c>
      <c r="G6506" t="s">
        <v>76</v>
      </c>
      <c r="H6506" t="s">
        <v>77</v>
      </c>
      <c r="I6506" t="s">
        <v>28</v>
      </c>
      <c r="J6506">
        <v>19482.82</v>
      </c>
      <c r="K6506">
        <v>0.02</v>
      </c>
      <c r="L6506">
        <v>0.64</v>
      </c>
      <c r="M6506">
        <v>206.22</v>
      </c>
      <c r="N6506">
        <v>10793.93</v>
      </c>
      <c r="O6506" s="1" t="s">
        <v>29</v>
      </c>
      <c r="P6506" s="1" t="s">
        <v>6995</v>
      </c>
      <c r="Q6506" s="1" t="s">
        <v>6996</v>
      </c>
      <c r="R6506" s="1" t="s">
        <v>32</v>
      </c>
      <c r="S6506" s="1" t="s">
        <v>6997</v>
      </c>
      <c r="T6506" s="1" t="s">
        <v>6998</v>
      </c>
      <c r="U6506" s="2" t="s">
        <v>207</v>
      </c>
      <c r="V6506" s="2" t="s">
        <v>83</v>
      </c>
      <c r="W6506" s="2" t="s">
        <v>84</v>
      </c>
      <c r="X6506" s="2">
        <v>1245.93</v>
      </c>
    </row>
    <row r="6507" spans="1:24" x14ac:dyDescent="0.3">
      <c r="A6507">
        <v>24324</v>
      </c>
      <c r="B6507" t="s">
        <v>13153</v>
      </c>
      <c r="C6507" s="3">
        <v>40633</v>
      </c>
      <c r="D6507" t="s">
        <v>50</v>
      </c>
      <c r="E6507">
        <v>1</v>
      </c>
      <c r="F6507" s="3">
        <f ca="1">40635+(RANDBETWEEN(1,10))</f>
        <v>40645</v>
      </c>
      <c r="G6507" t="s">
        <v>156</v>
      </c>
      <c r="H6507" t="s">
        <v>51</v>
      </c>
      <c r="I6507" t="s">
        <v>28</v>
      </c>
      <c r="J6507">
        <v>189.28</v>
      </c>
      <c r="K6507">
        <v>7.0000000000000007E-2</v>
      </c>
      <c r="L6507">
        <v>0.83</v>
      </c>
      <c r="M6507">
        <v>17.5</v>
      </c>
      <c r="N6507">
        <v>-815.46849999999995</v>
      </c>
      <c r="O6507" s="1" t="s">
        <v>29</v>
      </c>
      <c r="P6507" s="1" t="s">
        <v>13154</v>
      </c>
      <c r="Q6507" s="1" t="s">
        <v>13155</v>
      </c>
      <c r="R6507" s="1" t="s">
        <v>32</v>
      </c>
      <c r="S6507" s="1" t="s">
        <v>1895</v>
      </c>
      <c r="T6507" s="1" t="s">
        <v>1896</v>
      </c>
      <c r="U6507" s="2" t="s">
        <v>4376</v>
      </c>
      <c r="V6507" s="2" t="s">
        <v>36</v>
      </c>
      <c r="W6507" s="2" t="s">
        <v>37</v>
      </c>
      <c r="X6507" s="2">
        <v>195.965</v>
      </c>
    </row>
    <row r="6508" spans="1:24" x14ac:dyDescent="0.3">
      <c r="A6508">
        <v>24325</v>
      </c>
      <c r="B6508" t="s">
        <v>13156</v>
      </c>
      <c r="C6508" s="3">
        <v>40815</v>
      </c>
      <c r="D6508" t="s">
        <v>148</v>
      </c>
      <c r="E6508">
        <v>13</v>
      </c>
      <c r="F6508" s="3">
        <f ca="1">40816+(RANDBETWEEN(1,10))</f>
        <v>40821</v>
      </c>
      <c r="G6508" t="s">
        <v>156</v>
      </c>
      <c r="H6508" t="s">
        <v>96</v>
      </c>
      <c r="I6508" t="s">
        <v>86</v>
      </c>
      <c r="J6508">
        <v>328.37</v>
      </c>
      <c r="K6508">
        <v>7.0000000000000007E-2</v>
      </c>
      <c r="L6508">
        <v>0.47</v>
      </c>
      <c r="M6508">
        <v>8.2249999999999996</v>
      </c>
      <c r="N6508">
        <v>106.715</v>
      </c>
      <c r="O6508" s="1" t="s">
        <v>29</v>
      </c>
      <c r="P6508" s="1" t="s">
        <v>11145</v>
      </c>
      <c r="Q6508" s="1" t="s">
        <v>11146</v>
      </c>
      <c r="R6508" s="1" t="s">
        <v>460</v>
      </c>
      <c r="S6508" s="1" t="s">
        <v>9263</v>
      </c>
      <c r="T6508" s="1" t="s">
        <v>9264</v>
      </c>
      <c r="U6508" s="2" t="s">
        <v>6690</v>
      </c>
      <c r="V6508" s="2" t="s">
        <v>47</v>
      </c>
      <c r="W6508" s="2" t="s">
        <v>104</v>
      </c>
      <c r="X6508" s="2">
        <v>24.78</v>
      </c>
    </row>
    <row r="6509" spans="1:24" x14ac:dyDescent="0.3">
      <c r="A6509">
        <v>24326</v>
      </c>
      <c r="B6509" t="s">
        <v>13157</v>
      </c>
      <c r="C6509" s="3">
        <v>41896</v>
      </c>
      <c r="D6509" t="s">
        <v>39</v>
      </c>
      <c r="E6509">
        <v>21</v>
      </c>
      <c r="F6509" s="3">
        <f ca="1">41897+(RANDBETWEEN(1,10))</f>
        <v>41900</v>
      </c>
      <c r="G6509" t="s">
        <v>26</v>
      </c>
      <c r="H6509" t="s">
        <v>27</v>
      </c>
      <c r="I6509" t="s">
        <v>28</v>
      </c>
      <c r="J6509">
        <v>3143.3150000000001</v>
      </c>
      <c r="K6509">
        <v>0.01</v>
      </c>
      <c r="L6509">
        <v>0.35</v>
      </c>
      <c r="M6509">
        <v>10.465</v>
      </c>
      <c r="N6509">
        <v>-73.931200000000004</v>
      </c>
      <c r="O6509" s="1" t="s">
        <v>87</v>
      </c>
      <c r="P6509" s="1" t="s">
        <v>10783</v>
      </c>
      <c r="Q6509" s="1" t="s">
        <v>10784</v>
      </c>
      <c r="R6509" s="1" t="s">
        <v>90</v>
      </c>
      <c r="S6509" s="1" t="s">
        <v>10785</v>
      </c>
      <c r="T6509" s="1" t="s">
        <v>10786</v>
      </c>
      <c r="U6509" s="2" t="s">
        <v>4761</v>
      </c>
      <c r="V6509" s="2" t="s">
        <v>47</v>
      </c>
      <c r="W6509" s="2" t="s">
        <v>111</v>
      </c>
      <c r="X6509" s="2">
        <v>146.79</v>
      </c>
    </row>
    <row r="6510" spans="1:24" x14ac:dyDescent="0.3">
      <c r="A6510">
        <v>24327</v>
      </c>
      <c r="B6510" t="s">
        <v>13158</v>
      </c>
      <c r="C6510" s="3">
        <v>40653</v>
      </c>
      <c r="D6510" t="s">
        <v>148</v>
      </c>
      <c r="E6510">
        <v>3</v>
      </c>
      <c r="F6510" s="3">
        <f ca="1">40653+(RANDBETWEEN(1,10))</f>
        <v>40660</v>
      </c>
      <c r="G6510" t="s">
        <v>156</v>
      </c>
      <c r="H6510" t="s">
        <v>27</v>
      </c>
      <c r="I6510" t="s">
        <v>86</v>
      </c>
      <c r="J6510">
        <v>200.935</v>
      </c>
      <c r="K6510">
        <v>0.1</v>
      </c>
      <c r="L6510">
        <v>0.38</v>
      </c>
      <c r="M6510">
        <v>20.195</v>
      </c>
      <c r="N6510">
        <v>122.815</v>
      </c>
      <c r="O6510" s="1" t="s">
        <v>87</v>
      </c>
      <c r="P6510" s="1" t="s">
        <v>5568</v>
      </c>
      <c r="Q6510" s="1" t="s">
        <v>5569</v>
      </c>
      <c r="R6510" s="1" t="s">
        <v>646</v>
      </c>
      <c r="S6510" s="1" t="s">
        <v>5570</v>
      </c>
      <c r="T6510" s="1" t="s">
        <v>5571</v>
      </c>
      <c r="U6510" s="2" t="s">
        <v>5065</v>
      </c>
      <c r="V6510" s="2" t="s">
        <v>47</v>
      </c>
      <c r="W6510" s="2" t="s">
        <v>74</v>
      </c>
      <c r="X6510" s="2">
        <v>69.930000000000007</v>
      </c>
    </row>
    <row r="6511" spans="1:24" x14ac:dyDescent="0.3">
      <c r="A6511">
        <v>24328</v>
      </c>
      <c r="B6511" t="s">
        <v>13158</v>
      </c>
      <c r="C6511" s="3">
        <v>40653</v>
      </c>
      <c r="D6511" t="s">
        <v>148</v>
      </c>
      <c r="E6511">
        <v>11</v>
      </c>
      <c r="F6511" s="3">
        <f ca="1">40654+(RANDBETWEEN(1,10))</f>
        <v>40657</v>
      </c>
      <c r="G6511" t="s">
        <v>76</v>
      </c>
      <c r="H6511" t="s">
        <v>258</v>
      </c>
      <c r="I6511" t="s">
        <v>86</v>
      </c>
      <c r="J6511">
        <v>9834.5450000000001</v>
      </c>
      <c r="K6511">
        <v>0.06</v>
      </c>
      <c r="L6511">
        <v>0.61</v>
      </c>
      <c r="M6511">
        <v>233.345</v>
      </c>
      <c r="N6511">
        <v>2749.7049999999999</v>
      </c>
      <c r="O6511" s="1" t="s">
        <v>87</v>
      </c>
      <c r="P6511" s="1" t="s">
        <v>13159</v>
      </c>
      <c r="Q6511" s="1" t="s">
        <v>13160</v>
      </c>
      <c r="R6511" s="1" t="s">
        <v>497</v>
      </c>
      <c r="S6511" s="1" t="s">
        <v>13161</v>
      </c>
      <c r="T6511" s="1" t="s">
        <v>13162</v>
      </c>
      <c r="U6511" s="2" t="s">
        <v>4031</v>
      </c>
      <c r="V6511" s="2" t="s">
        <v>83</v>
      </c>
      <c r="W6511" s="2" t="s">
        <v>263</v>
      </c>
      <c r="X6511" s="2">
        <v>908.98500000000001</v>
      </c>
    </row>
    <row r="6512" spans="1:24" x14ac:dyDescent="0.3">
      <c r="A6512">
        <v>24329</v>
      </c>
      <c r="B6512" t="s">
        <v>13163</v>
      </c>
      <c r="C6512" s="3">
        <v>40797</v>
      </c>
      <c r="D6512" t="s">
        <v>148</v>
      </c>
      <c r="E6512">
        <v>10</v>
      </c>
      <c r="F6512" s="3">
        <f ca="1">40798+(RANDBETWEEN(1,10))</f>
        <v>40799</v>
      </c>
      <c r="G6512" t="s">
        <v>26</v>
      </c>
      <c r="H6512" t="s">
        <v>27</v>
      </c>
      <c r="I6512" t="s">
        <v>28</v>
      </c>
      <c r="J6512">
        <v>209.65</v>
      </c>
      <c r="K6512">
        <v>0.02</v>
      </c>
      <c r="L6512">
        <v>0.39</v>
      </c>
      <c r="M6512">
        <v>5.2149999999999999</v>
      </c>
      <c r="N6512">
        <v>99.840999999999994</v>
      </c>
      <c r="O6512" s="1" t="s">
        <v>87</v>
      </c>
      <c r="P6512" s="1" t="s">
        <v>2731</v>
      </c>
      <c r="Q6512" s="1" t="s">
        <v>2732</v>
      </c>
      <c r="R6512" s="1" t="s">
        <v>398</v>
      </c>
      <c r="S6512" s="1" t="s">
        <v>2733</v>
      </c>
      <c r="T6512" s="1" t="s">
        <v>735</v>
      </c>
      <c r="U6512" s="2" t="s">
        <v>1062</v>
      </c>
      <c r="V6512" s="2" t="s">
        <v>47</v>
      </c>
      <c r="W6512" s="2" t="s">
        <v>111</v>
      </c>
      <c r="X6512" s="2">
        <v>20.93</v>
      </c>
    </row>
    <row r="6513" spans="1:24" x14ac:dyDescent="0.3">
      <c r="A6513">
        <v>24330</v>
      </c>
      <c r="B6513" t="s">
        <v>13164</v>
      </c>
      <c r="C6513" s="3">
        <v>41801</v>
      </c>
      <c r="D6513" t="s">
        <v>62</v>
      </c>
      <c r="E6513">
        <v>10</v>
      </c>
      <c r="F6513" s="3">
        <f ca="1">41803+(RANDBETWEEN(1,10))</f>
        <v>41804</v>
      </c>
      <c r="G6513" t="s">
        <v>156</v>
      </c>
      <c r="H6513" t="s">
        <v>27</v>
      </c>
      <c r="I6513" t="s">
        <v>52</v>
      </c>
      <c r="J6513">
        <v>1166.6199999999999</v>
      </c>
      <c r="K6513">
        <v>0.09</v>
      </c>
      <c r="L6513">
        <v>0.55000000000000004</v>
      </c>
      <c r="M6513">
        <v>69.965000000000003</v>
      </c>
      <c r="N6513">
        <v>-689.64</v>
      </c>
      <c r="O6513" s="1" t="s">
        <v>87</v>
      </c>
      <c r="P6513" s="1" t="s">
        <v>8487</v>
      </c>
      <c r="Q6513" s="1" t="s">
        <v>8488</v>
      </c>
      <c r="R6513" s="1" t="s">
        <v>90</v>
      </c>
      <c r="S6513" s="1" t="s">
        <v>8489</v>
      </c>
      <c r="T6513" s="1" t="s">
        <v>8490</v>
      </c>
      <c r="U6513" s="2" t="s">
        <v>3861</v>
      </c>
      <c r="V6513" s="2" t="s">
        <v>83</v>
      </c>
      <c r="W6513" s="2" t="s">
        <v>178</v>
      </c>
      <c r="X6513" s="2">
        <v>118.93</v>
      </c>
    </row>
    <row r="6514" spans="1:24" x14ac:dyDescent="0.3">
      <c r="A6514">
        <v>24331</v>
      </c>
      <c r="B6514" t="s">
        <v>13165</v>
      </c>
      <c r="C6514" s="3">
        <v>41077</v>
      </c>
      <c r="D6514" t="s">
        <v>25</v>
      </c>
      <c r="E6514">
        <v>9</v>
      </c>
      <c r="F6514" s="3">
        <f ca="1">41084+(RANDBETWEEN(1,10))</f>
        <v>41089</v>
      </c>
      <c r="G6514" t="s">
        <v>26</v>
      </c>
      <c r="H6514" t="s">
        <v>27</v>
      </c>
      <c r="I6514" t="s">
        <v>28</v>
      </c>
      <c r="J6514">
        <v>236.32</v>
      </c>
      <c r="K6514">
        <v>0.1</v>
      </c>
      <c r="L6514">
        <v>0.57999999999999996</v>
      </c>
      <c r="M6514">
        <v>32.305</v>
      </c>
      <c r="N6514">
        <v>-479.94799999999998</v>
      </c>
      <c r="O6514" s="1" t="s">
        <v>40</v>
      </c>
      <c r="P6514" s="1" t="s">
        <v>13166</v>
      </c>
      <c r="Q6514" s="1" t="s">
        <v>13167</v>
      </c>
      <c r="R6514" s="1" t="s">
        <v>43</v>
      </c>
      <c r="S6514" s="1" t="s">
        <v>13168</v>
      </c>
      <c r="T6514" s="1" t="s">
        <v>13169</v>
      </c>
      <c r="U6514" s="2" t="s">
        <v>4333</v>
      </c>
      <c r="V6514" s="2" t="s">
        <v>47</v>
      </c>
      <c r="W6514" s="2" t="s">
        <v>71</v>
      </c>
      <c r="X6514" s="2">
        <v>27.195</v>
      </c>
    </row>
    <row r="6515" spans="1:24" x14ac:dyDescent="0.3">
      <c r="A6515">
        <v>24332</v>
      </c>
      <c r="B6515" t="s">
        <v>13170</v>
      </c>
      <c r="C6515" s="3">
        <v>41846</v>
      </c>
      <c r="D6515" t="s">
        <v>39</v>
      </c>
      <c r="E6515">
        <v>14</v>
      </c>
      <c r="F6515" s="3">
        <f ca="1">41848+(RANDBETWEEN(1,10))</f>
        <v>41851</v>
      </c>
      <c r="G6515" t="s">
        <v>76</v>
      </c>
      <c r="H6515" t="s">
        <v>77</v>
      </c>
      <c r="I6515" t="s">
        <v>97</v>
      </c>
      <c r="J6515">
        <v>26246.744999999999</v>
      </c>
      <c r="K6515">
        <v>0.01</v>
      </c>
      <c r="L6515">
        <v>0.6</v>
      </c>
      <c r="M6515">
        <v>91</v>
      </c>
      <c r="N6515">
        <v>18110.25405</v>
      </c>
      <c r="O6515" s="1" t="s">
        <v>87</v>
      </c>
      <c r="P6515" s="1" t="s">
        <v>13171</v>
      </c>
      <c r="Q6515" s="1" t="s">
        <v>13172</v>
      </c>
      <c r="R6515" s="1" t="s">
        <v>398</v>
      </c>
      <c r="S6515" s="1" t="s">
        <v>2851</v>
      </c>
      <c r="T6515" s="1" t="s">
        <v>2852</v>
      </c>
      <c r="U6515" s="2" t="s">
        <v>1670</v>
      </c>
      <c r="V6515" s="2" t="s">
        <v>83</v>
      </c>
      <c r="W6515" s="2" t="s">
        <v>84</v>
      </c>
      <c r="X6515" s="2">
        <v>1753.43</v>
      </c>
    </row>
    <row r="6516" spans="1:24" x14ac:dyDescent="0.3">
      <c r="A6516">
        <v>24333</v>
      </c>
      <c r="B6516" t="s">
        <v>13173</v>
      </c>
      <c r="C6516" s="3">
        <v>41873</v>
      </c>
      <c r="D6516" t="s">
        <v>148</v>
      </c>
      <c r="E6516">
        <v>22</v>
      </c>
      <c r="F6516" s="3">
        <f ca="1">41875+(RANDBETWEEN(1,10))</f>
        <v>41877</v>
      </c>
      <c r="G6516" t="s">
        <v>26</v>
      </c>
      <c r="H6516" t="s">
        <v>27</v>
      </c>
      <c r="I6516" t="s">
        <v>28</v>
      </c>
      <c r="J6516">
        <v>507.08</v>
      </c>
      <c r="K6516">
        <v>0.03</v>
      </c>
      <c r="L6516">
        <v>0.37</v>
      </c>
      <c r="M6516">
        <v>26.215</v>
      </c>
      <c r="N6516">
        <v>-229.94579999999999</v>
      </c>
      <c r="O6516" s="1" t="s">
        <v>64</v>
      </c>
      <c r="P6516" s="1" t="s">
        <v>10928</v>
      </c>
      <c r="Q6516" s="1" t="s">
        <v>10929</v>
      </c>
      <c r="R6516" s="1" t="s">
        <v>128</v>
      </c>
      <c r="S6516" s="1" t="s">
        <v>4024</v>
      </c>
      <c r="T6516" s="1" t="s">
        <v>4025</v>
      </c>
      <c r="U6516" s="2" t="s">
        <v>2916</v>
      </c>
      <c r="V6516" s="2" t="s">
        <v>47</v>
      </c>
      <c r="W6516" s="2" t="s">
        <v>74</v>
      </c>
      <c r="X6516" s="2">
        <v>22.68</v>
      </c>
    </row>
    <row r="6517" spans="1:24" x14ac:dyDescent="0.3">
      <c r="A6517">
        <v>24334</v>
      </c>
      <c r="B6517" t="s">
        <v>13174</v>
      </c>
      <c r="C6517" s="3">
        <v>41397</v>
      </c>
      <c r="D6517" t="s">
        <v>62</v>
      </c>
      <c r="E6517">
        <v>11</v>
      </c>
      <c r="F6517" s="3">
        <f ca="1">41399+(RANDBETWEEN(1,10))</f>
        <v>41404</v>
      </c>
      <c r="G6517" t="s">
        <v>26</v>
      </c>
      <c r="H6517" t="s">
        <v>96</v>
      </c>
      <c r="I6517" t="s">
        <v>97</v>
      </c>
      <c r="J6517">
        <v>134.68</v>
      </c>
      <c r="K6517">
        <v>0.02</v>
      </c>
      <c r="L6517">
        <v>0.56000000000000005</v>
      </c>
      <c r="M6517">
        <v>14.7</v>
      </c>
      <c r="N6517">
        <v>-2379.1950000000002</v>
      </c>
      <c r="O6517" s="1" t="s">
        <v>225</v>
      </c>
      <c r="P6517" s="1" t="s">
        <v>7829</v>
      </c>
      <c r="Q6517" s="1" t="s">
        <v>7830</v>
      </c>
      <c r="R6517" s="1" t="s">
        <v>228</v>
      </c>
      <c r="S6517" s="1" t="s">
        <v>7831</v>
      </c>
      <c r="T6517" s="1" t="s">
        <v>7832</v>
      </c>
      <c r="U6517" s="2" t="s">
        <v>11452</v>
      </c>
      <c r="V6517" s="2" t="s">
        <v>47</v>
      </c>
      <c r="W6517" s="2" t="s">
        <v>104</v>
      </c>
      <c r="X6517" s="2">
        <v>11.48</v>
      </c>
    </row>
    <row r="6518" spans="1:24" x14ac:dyDescent="0.3">
      <c r="A6518">
        <v>24335</v>
      </c>
      <c r="B6518" t="s">
        <v>13175</v>
      </c>
      <c r="C6518" s="3">
        <v>41707</v>
      </c>
      <c r="D6518" t="s">
        <v>39</v>
      </c>
      <c r="E6518">
        <v>3</v>
      </c>
      <c r="F6518" s="3">
        <f ca="1">41709+(RANDBETWEEN(1,10))</f>
        <v>41711</v>
      </c>
      <c r="G6518" t="s">
        <v>26</v>
      </c>
      <c r="H6518" t="s">
        <v>27</v>
      </c>
      <c r="I6518" t="s">
        <v>52</v>
      </c>
      <c r="J6518">
        <v>81.724999999999994</v>
      </c>
      <c r="K6518">
        <v>7.0000000000000007E-2</v>
      </c>
      <c r="L6518">
        <v>0.37</v>
      </c>
      <c r="M6518">
        <v>39.024999999999999</v>
      </c>
      <c r="N6518">
        <v>-590.35199999999998</v>
      </c>
      <c r="O6518" s="1" t="s">
        <v>40</v>
      </c>
      <c r="P6518" s="1" t="s">
        <v>10315</v>
      </c>
      <c r="Q6518" s="1" t="s">
        <v>10316</v>
      </c>
      <c r="R6518" s="1" t="s">
        <v>43</v>
      </c>
      <c r="S6518" s="1" t="s">
        <v>2217</v>
      </c>
      <c r="T6518" s="1" t="s">
        <v>2218</v>
      </c>
      <c r="U6518" s="2" t="s">
        <v>4160</v>
      </c>
      <c r="V6518" s="2" t="s">
        <v>47</v>
      </c>
      <c r="W6518" s="2" t="s">
        <v>74</v>
      </c>
      <c r="X6518" s="2">
        <v>25.48</v>
      </c>
    </row>
    <row r="6519" spans="1:24" x14ac:dyDescent="0.3">
      <c r="A6519">
        <v>24336</v>
      </c>
      <c r="B6519" t="s">
        <v>13176</v>
      </c>
      <c r="C6519" s="3">
        <v>40948</v>
      </c>
      <c r="D6519" t="s">
        <v>148</v>
      </c>
      <c r="E6519">
        <v>1</v>
      </c>
      <c r="F6519" s="3">
        <f ca="1">40949+(RANDBETWEEN(1,10))</f>
        <v>40954</v>
      </c>
      <c r="G6519" t="s">
        <v>26</v>
      </c>
      <c r="H6519" t="s">
        <v>27</v>
      </c>
      <c r="I6519" t="s">
        <v>97</v>
      </c>
      <c r="J6519">
        <v>41.16</v>
      </c>
      <c r="K6519">
        <v>0.08</v>
      </c>
      <c r="L6519">
        <v>0.37</v>
      </c>
      <c r="M6519">
        <v>17.605</v>
      </c>
      <c r="N6519">
        <v>-42.104999999999997</v>
      </c>
      <c r="O6519" s="1" t="s">
        <v>53</v>
      </c>
      <c r="P6519" s="1" t="s">
        <v>9902</v>
      </c>
      <c r="Q6519" s="1" t="s">
        <v>9903</v>
      </c>
      <c r="R6519" s="1" t="s">
        <v>440</v>
      </c>
      <c r="S6519" s="1" t="s">
        <v>6643</v>
      </c>
      <c r="T6519" s="1" t="s">
        <v>6644</v>
      </c>
      <c r="U6519" s="2" t="s">
        <v>13177</v>
      </c>
      <c r="V6519" s="2" t="s">
        <v>47</v>
      </c>
      <c r="W6519" s="2" t="s">
        <v>74</v>
      </c>
      <c r="X6519" s="2">
        <v>39.164999999999999</v>
      </c>
    </row>
    <row r="6520" spans="1:24" x14ac:dyDescent="0.3">
      <c r="A6520">
        <v>24337</v>
      </c>
      <c r="B6520" t="s">
        <v>13178</v>
      </c>
      <c r="C6520" s="3">
        <v>41230</v>
      </c>
      <c r="D6520" t="s">
        <v>39</v>
      </c>
      <c r="E6520">
        <v>33</v>
      </c>
      <c r="F6520" s="3">
        <f ca="1">41231+(RANDBETWEEN(1,10))</f>
        <v>41241</v>
      </c>
      <c r="G6520" t="s">
        <v>26</v>
      </c>
      <c r="H6520" t="s">
        <v>27</v>
      </c>
      <c r="I6520" t="s">
        <v>52</v>
      </c>
      <c r="J6520">
        <v>27728.084999999999</v>
      </c>
      <c r="K6520">
        <v>0</v>
      </c>
      <c r="L6520">
        <v>0.59</v>
      </c>
      <c r="M6520">
        <v>69.965000000000003</v>
      </c>
      <c r="N6520">
        <v>19132.378649999999</v>
      </c>
      <c r="O6520" s="1" t="s">
        <v>53</v>
      </c>
      <c r="P6520" s="1" t="s">
        <v>438</v>
      </c>
      <c r="Q6520" s="1" t="s">
        <v>439</v>
      </c>
      <c r="R6520" s="1" t="s">
        <v>440</v>
      </c>
      <c r="S6520" s="1" t="s">
        <v>441</v>
      </c>
      <c r="T6520" s="1" t="s">
        <v>442</v>
      </c>
      <c r="U6520" s="2" t="s">
        <v>11638</v>
      </c>
      <c r="V6520" s="2" t="s">
        <v>47</v>
      </c>
      <c r="W6520" s="2" t="s">
        <v>71</v>
      </c>
      <c r="X6520" s="2">
        <v>814.03</v>
      </c>
    </row>
    <row r="6521" spans="1:24" x14ac:dyDescent="0.3">
      <c r="A6521">
        <v>24338</v>
      </c>
      <c r="B6521" t="s">
        <v>13179</v>
      </c>
      <c r="C6521" s="3">
        <v>41960</v>
      </c>
      <c r="D6521" t="s">
        <v>39</v>
      </c>
      <c r="E6521">
        <v>33</v>
      </c>
      <c r="F6521" s="3">
        <f ca="1">41961+(RANDBETWEEN(1,10))</f>
        <v>41971</v>
      </c>
      <c r="G6521" t="s">
        <v>156</v>
      </c>
      <c r="H6521" t="s">
        <v>27</v>
      </c>
      <c r="I6521" t="s">
        <v>52</v>
      </c>
      <c r="J6521">
        <v>391.23</v>
      </c>
      <c r="K6521">
        <v>0.06</v>
      </c>
      <c r="L6521">
        <v>0.37</v>
      </c>
      <c r="M6521">
        <v>1.75</v>
      </c>
      <c r="N6521">
        <v>269.94869999999997</v>
      </c>
      <c r="O6521" s="1" t="s">
        <v>53</v>
      </c>
      <c r="P6521" s="1" t="s">
        <v>438</v>
      </c>
      <c r="Q6521" s="1" t="s">
        <v>439</v>
      </c>
      <c r="R6521" s="1" t="s">
        <v>440</v>
      </c>
      <c r="S6521" s="1" t="s">
        <v>441</v>
      </c>
      <c r="T6521" s="1" t="s">
        <v>442</v>
      </c>
      <c r="U6521" s="2" t="s">
        <v>377</v>
      </c>
      <c r="V6521" s="2" t="s">
        <v>47</v>
      </c>
      <c r="W6521" s="2" t="s">
        <v>203</v>
      </c>
      <c r="X6521" s="2">
        <v>10.78</v>
      </c>
    </row>
    <row r="6522" spans="1:24" x14ac:dyDescent="0.3">
      <c r="A6522">
        <v>24339</v>
      </c>
      <c r="B6522" t="s">
        <v>13178</v>
      </c>
      <c r="C6522" s="3">
        <v>41230</v>
      </c>
      <c r="D6522" t="s">
        <v>39</v>
      </c>
      <c r="E6522">
        <v>31</v>
      </c>
      <c r="F6522" s="3">
        <f ca="1">41233+(RANDBETWEEN(1,10))</f>
        <v>41240</v>
      </c>
      <c r="G6522" t="s">
        <v>26</v>
      </c>
      <c r="H6522" t="s">
        <v>96</v>
      </c>
      <c r="I6522" t="s">
        <v>52</v>
      </c>
      <c r="J6522">
        <v>292.21499999999997</v>
      </c>
      <c r="K6522">
        <v>0.01</v>
      </c>
      <c r="L6522">
        <v>0.39</v>
      </c>
      <c r="M6522">
        <v>2.8</v>
      </c>
      <c r="N6522">
        <v>618.303</v>
      </c>
      <c r="O6522" s="1" t="s">
        <v>53</v>
      </c>
      <c r="P6522" s="1" t="s">
        <v>13180</v>
      </c>
      <c r="Q6522" s="1" t="s">
        <v>13181</v>
      </c>
      <c r="R6522" s="1" t="s">
        <v>56</v>
      </c>
      <c r="S6522" s="1" t="s">
        <v>13182</v>
      </c>
      <c r="T6522" s="1" t="s">
        <v>13183</v>
      </c>
      <c r="U6522" s="2" t="s">
        <v>2672</v>
      </c>
      <c r="V6522" s="2" t="s">
        <v>47</v>
      </c>
      <c r="W6522" s="2" t="s">
        <v>176</v>
      </c>
      <c r="X6522" s="2">
        <v>9.17</v>
      </c>
    </row>
    <row r="6523" spans="1:24" x14ac:dyDescent="0.3">
      <c r="A6523">
        <v>24340</v>
      </c>
      <c r="B6523" t="s">
        <v>13184</v>
      </c>
      <c r="C6523" s="3">
        <v>41397</v>
      </c>
      <c r="D6523" t="s">
        <v>25</v>
      </c>
      <c r="E6523">
        <v>6</v>
      </c>
      <c r="F6523" s="3">
        <f ca="1">41399+(RANDBETWEEN(1,10))</f>
        <v>41404</v>
      </c>
      <c r="G6523" t="s">
        <v>26</v>
      </c>
      <c r="H6523" t="s">
        <v>27</v>
      </c>
      <c r="I6523" t="s">
        <v>52</v>
      </c>
      <c r="J6523">
        <v>148.19</v>
      </c>
      <c r="K6523">
        <v>0.04</v>
      </c>
      <c r="L6523">
        <v>0.37</v>
      </c>
      <c r="M6523">
        <v>29.4</v>
      </c>
      <c r="N6523">
        <v>-254.83500000000001</v>
      </c>
      <c r="O6523" s="1" t="s">
        <v>53</v>
      </c>
      <c r="P6523" s="1" t="s">
        <v>833</v>
      </c>
      <c r="Q6523" s="1" t="s">
        <v>834</v>
      </c>
      <c r="R6523" s="1" t="s">
        <v>100</v>
      </c>
      <c r="S6523" s="1" t="s">
        <v>835</v>
      </c>
      <c r="T6523" s="1" t="s">
        <v>836</v>
      </c>
      <c r="U6523" s="2" t="s">
        <v>2097</v>
      </c>
      <c r="V6523" s="2" t="s">
        <v>47</v>
      </c>
      <c r="W6523" s="2" t="s">
        <v>74</v>
      </c>
      <c r="X6523" s="2">
        <v>22.68</v>
      </c>
    </row>
    <row r="6524" spans="1:24" x14ac:dyDescent="0.3">
      <c r="A6524">
        <v>24341</v>
      </c>
      <c r="B6524" t="s">
        <v>13184</v>
      </c>
      <c r="C6524" s="3">
        <v>41397</v>
      </c>
      <c r="D6524" t="s">
        <v>25</v>
      </c>
      <c r="E6524">
        <v>9</v>
      </c>
      <c r="F6524" s="3">
        <f ca="1">41397+(RANDBETWEEN(1,10))</f>
        <v>41407</v>
      </c>
      <c r="G6524" t="s">
        <v>26</v>
      </c>
      <c r="H6524" t="s">
        <v>51</v>
      </c>
      <c r="I6524" t="s">
        <v>52</v>
      </c>
      <c r="J6524">
        <v>259.03500000000003</v>
      </c>
      <c r="K6524">
        <v>0.1</v>
      </c>
      <c r="L6524">
        <v>0.59</v>
      </c>
      <c r="M6524">
        <v>21.49</v>
      </c>
      <c r="N6524">
        <v>-288.89</v>
      </c>
      <c r="O6524" s="1" t="s">
        <v>53</v>
      </c>
      <c r="P6524" s="1" t="s">
        <v>833</v>
      </c>
      <c r="Q6524" s="1" t="s">
        <v>834</v>
      </c>
      <c r="R6524" s="1" t="s">
        <v>100</v>
      </c>
      <c r="S6524" s="1" t="s">
        <v>835</v>
      </c>
      <c r="T6524" s="1" t="s">
        <v>836</v>
      </c>
      <c r="U6524" s="2" t="s">
        <v>6014</v>
      </c>
      <c r="V6524" s="2" t="s">
        <v>47</v>
      </c>
      <c r="W6524" s="2" t="s">
        <v>94</v>
      </c>
      <c r="X6524" s="2">
        <v>29.995000000000001</v>
      </c>
    </row>
    <row r="6525" spans="1:24" x14ac:dyDescent="0.3">
      <c r="A6525">
        <v>24342</v>
      </c>
      <c r="B6525" t="s">
        <v>13184</v>
      </c>
      <c r="C6525" s="3">
        <v>41397</v>
      </c>
      <c r="D6525" t="s">
        <v>25</v>
      </c>
      <c r="E6525">
        <v>7</v>
      </c>
      <c r="F6525" s="3">
        <f ca="1">41401+(RANDBETWEEN(1,10))</f>
        <v>41409</v>
      </c>
      <c r="G6525" t="s">
        <v>26</v>
      </c>
      <c r="H6525" t="s">
        <v>51</v>
      </c>
      <c r="I6525" t="s">
        <v>52</v>
      </c>
      <c r="J6525">
        <v>45.64</v>
      </c>
      <c r="K6525">
        <v>0.04</v>
      </c>
      <c r="L6525">
        <v>0.51</v>
      </c>
      <c r="M6525">
        <v>6.9649999999999999</v>
      </c>
      <c r="N6525">
        <v>-82.915000000000006</v>
      </c>
      <c r="O6525" s="1" t="s">
        <v>87</v>
      </c>
      <c r="P6525" s="1" t="s">
        <v>13185</v>
      </c>
      <c r="Q6525" s="1" t="s">
        <v>13186</v>
      </c>
      <c r="R6525" s="1" t="s">
        <v>398</v>
      </c>
      <c r="S6525" s="1" t="s">
        <v>13187</v>
      </c>
      <c r="T6525" s="1" t="s">
        <v>13188</v>
      </c>
      <c r="U6525" s="2" t="s">
        <v>6841</v>
      </c>
      <c r="V6525" s="2" t="s">
        <v>36</v>
      </c>
      <c r="W6525" s="2" t="s">
        <v>60</v>
      </c>
      <c r="X6525" s="2">
        <v>5.95</v>
      </c>
    </row>
    <row r="6526" spans="1:24" x14ac:dyDescent="0.3">
      <c r="A6526">
        <v>24343</v>
      </c>
      <c r="B6526" t="s">
        <v>13189</v>
      </c>
      <c r="C6526" s="3">
        <v>40905</v>
      </c>
      <c r="D6526" t="s">
        <v>148</v>
      </c>
      <c r="E6526">
        <v>12</v>
      </c>
      <c r="F6526" s="3">
        <f ca="1">40907+(RANDBETWEEN(1,10))</f>
        <v>40909</v>
      </c>
      <c r="G6526" t="s">
        <v>26</v>
      </c>
      <c r="H6526" t="s">
        <v>51</v>
      </c>
      <c r="I6526" t="s">
        <v>86</v>
      </c>
      <c r="J6526">
        <v>895.58</v>
      </c>
      <c r="K6526">
        <v>0.06</v>
      </c>
      <c r="L6526">
        <v>0.43</v>
      </c>
      <c r="M6526">
        <v>6.9649999999999999</v>
      </c>
      <c r="N6526">
        <v>333.858</v>
      </c>
      <c r="O6526" s="1" t="s">
        <v>53</v>
      </c>
      <c r="P6526" s="1" t="s">
        <v>10115</v>
      </c>
      <c r="Q6526" s="1" t="s">
        <v>10116</v>
      </c>
      <c r="R6526" s="1" t="s">
        <v>56</v>
      </c>
      <c r="S6526" s="1" t="s">
        <v>4879</v>
      </c>
      <c r="T6526" s="1" t="s">
        <v>4880</v>
      </c>
      <c r="U6526" s="2" t="s">
        <v>4462</v>
      </c>
      <c r="V6526" s="2" t="s">
        <v>36</v>
      </c>
      <c r="W6526" s="2" t="s">
        <v>60</v>
      </c>
      <c r="X6526" s="2">
        <v>77.84</v>
      </c>
    </row>
    <row r="6527" spans="1:24" x14ac:dyDescent="0.3">
      <c r="A6527">
        <v>24344</v>
      </c>
      <c r="B6527" t="s">
        <v>13190</v>
      </c>
      <c r="C6527" s="3">
        <v>41549</v>
      </c>
      <c r="D6527" t="s">
        <v>25</v>
      </c>
      <c r="E6527">
        <v>9</v>
      </c>
      <c r="F6527" s="3">
        <f ca="1">41553+(RANDBETWEEN(1,10))</f>
        <v>41562</v>
      </c>
      <c r="G6527" t="s">
        <v>26</v>
      </c>
      <c r="H6527" t="s">
        <v>96</v>
      </c>
      <c r="I6527" t="s">
        <v>28</v>
      </c>
      <c r="J6527">
        <v>47.774999999999999</v>
      </c>
      <c r="K6527">
        <v>0</v>
      </c>
      <c r="L6527">
        <v>0.37</v>
      </c>
      <c r="M6527">
        <v>2.4500000000000002</v>
      </c>
      <c r="N6527">
        <v>1536.6120000000001</v>
      </c>
      <c r="O6527" s="1" t="s">
        <v>40</v>
      </c>
      <c r="P6527" s="1" t="s">
        <v>11628</v>
      </c>
      <c r="Q6527" s="1" t="s">
        <v>11629</v>
      </c>
      <c r="R6527" s="1" t="s">
        <v>43</v>
      </c>
      <c r="S6527" s="1" t="s">
        <v>11630</v>
      </c>
      <c r="T6527" s="1" t="s">
        <v>11631</v>
      </c>
      <c r="U6527" s="2" t="s">
        <v>3561</v>
      </c>
      <c r="V6527" s="2" t="s">
        <v>47</v>
      </c>
      <c r="W6527" s="2" t="s">
        <v>176</v>
      </c>
      <c r="X6527" s="2">
        <v>5.18</v>
      </c>
    </row>
    <row r="6528" spans="1:24" x14ac:dyDescent="0.3">
      <c r="A6528">
        <v>24345</v>
      </c>
      <c r="B6528" t="s">
        <v>13190</v>
      </c>
      <c r="C6528" s="3">
        <v>41549</v>
      </c>
      <c r="D6528" t="s">
        <v>25</v>
      </c>
      <c r="E6528">
        <v>22</v>
      </c>
      <c r="F6528" s="3">
        <f ca="1">41553+(RANDBETWEEN(1,10))</f>
        <v>41557</v>
      </c>
      <c r="G6528" t="s">
        <v>26</v>
      </c>
      <c r="H6528" t="s">
        <v>96</v>
      </c>
      <c r="I6528" t="s">
        <v>28</v>
      </c>
      <c r="J6528">
        <v>129.01</v>
      </c>
      <c r="K6528">
        <v>0.05</v>
      </c>
      <c r="L6528">
        <v>0.6</v>
      </c>
      <c r="M6528">
        <v>2.4500000000000002</v>
      </c>
      <c r="N6528">
        <v>-2523.2060000000001</v>
      </c>
      <c r="O6528" s="1" t="s">
        <v>29</v>
      </c>
      <c r="P6528" s="1" t="s">
        <v>13191</v>
      </c>
      <c r="Q6528" s="1" t="s">
        <v>13192</v>
      </c>
      <c r="R6528" s="1" t="s">
        <v>460</v>
      </c>
      <c r="S6528" s="1" t="s">
        <v>13193</v>
      </c>
      <c r="T6528" s="1" t="s">
        <v>13194</v>
      </c>
      <c r="U6528" s="2" t="s">
        <v>450</v>
      </c>
      <c r="V6528" s="2" t="s">
        <v>47</v>
      </c>
      <c r="W6528" s="2" t="s">
        <v>104</v>
      </c>
      <c r="X6528" s="2">
        <v>5.88</v>
      </c>
    </row>
    <row r="6529" spans="1:24" x14ac:dyDescent="0.3">
      <c r="A6529">
        <v>24346</v>
      </c>
      <c r="B6529" t="s">
        <v>13195</v>
      </c>
      <c r="C6529" s="3">
        <v>41997</v>
      </c>
      <c r="D6529" t="s">
        <v>62</v>
      </c>
      <c r="E6529">
        <v>16</v>
      </c>
      <c r="F6529" s="3">
        <f ca="1">41999+(RANDBETWEEN(1,10))</f>
        <v>42002</v>
      </c>
      <c r="G6529" t="s">
        <v>26</v>
      </c>
      <c r="H6529" t="s">
        <v>281</v>
      </c>
      <c r="I6529" t="s">
        <v>28</v>
      </c>
      <c r="J6529">
        <v>2928.6950000000002</v>
      </c>
      <c r="K6529">
        <v>0</v>
      </c>
      <c r="L6529">
        <v>0.37</v>
      </c>
      <c r="M6529">
        <v>35.594999999999999</v>
      </c>
      <c r="N6529">
        <v>2020.79955</v>
      </c>
      <c r="O6529" s="1" t="s">
        <v>29</v>
      </c>
      <c r="P6529" s="1" t="s">
        <v>1113</v>
      </c>
      <c r="Q6529" s="1" t="s">
        <v>1114</v>
      </c>
      <c r="R6529" s="1" t="s">
        <v>460</v>
      </c>
      <c r="S6529" s="1" t="s">
        <v>1115</v>
      </c>
      <c r="T6529" s="1" t="s">
        <v>1116</v>
      </c>
      <c r="U6529" s="2" t="s">
        <v>3691</v>
      </c>
      <c r="V6529" s="2" t="s">
        <v>36</v>
      </c>
      <c r="W6529" s="2" t="s">
        <v>142</v>
      </c>
      <c r="X6529" s="2">
        <v>181.93</v>
      </c>
    </row>
    <row r="6530" spans="1:24" x14ac:dyDescent="0.3">
      <c r="A6530">
        <v>24347</v>
      </c>
      <c r="B6530" t="s">
        <v>13195</v>
      </c>
      <c r="C6530" s="3">
        <v>41997</v>
      </c>
      <c r="D6530" t="s">
        <v>62</v>
      </c>
      <c r="E6530">
        <v>16</v>
      </c>
      <c r="F6530" s="3">
        <f ca="1">41999+(RANDBETWEEN(1,10))</f>
        <v>42005</v>
      </c>
      <c r="G6530" t="s">
        <v>76</v>
      </c>
      <c r="H6530" t="s">
        <v>258</v>
      </c>
      <c r="I6530" t="s">
        <v>28</v>
      </c>
      <c r="J6530">
        <v>12442.92</v>
      </c>
      <c r="K6530">
        <v>0.06</v>
      </c>
      <c r="L6530">
        <v>0.72</v>
      </c>
      <c r="M6530">
        <v>243.74</v>
      </c>
      <c r="N6530">
        <v>-630.53121599999997</v>
      </c>
      <c r="O6530" s="1" t="s">
        <v>29</v>
      </c>
      <c r="P6530" s="1" t="s">
        <v>1113</v>
      </c>
      <c r="Q6530" s="1" t="s">
        <v>1114</v>
      </c>
      <c r="R6530" s="1" t="s">
        <v>460</v>
      </c>
      <c r="S6530" s="1" t="s">
        <v>1115</v>
      </c>
      <c r="T6530" s="1" t="s">
        <v>1116</v>
      </c>
      <c r="U6530" s="2" t="s">
        <v>1233</v>
      </c>
      <c r="V6530" s="2" t="s">
        <v>83</v>
      </c>
      <c r="W6530" s="2" t="s">
        <v>263</v>
      </c>
      <c r="X6530" s="2">
        <v>765.625</v>
      </c>
    </row>
    <row r="6531" spans="1:24" x14ac:dyDescent="0.3">
      <c r="A6531">
        <v>24348</v>
      </c>
      <c r="B6531" t="s">
        <v>13196</v>
      </c>
      <c r="C6531" s="3">
        <v>40761</v>
      </c>
      <c r="D6531" t="s">
        <v>39</v>
      </c>
      <c r="E6531">
        <v>21</v>
      </c>
      <c r="F6531" s="3">
        <f ca="1">40762+(RANDBETWEEN(1,10))</f>
        <v>40770</v>
      </c>
      <c r="G6531" t="s">
        <v>26</v>
      </c>
      <c r="H6531" t="s">
        <v>281</v>
      </c>
      <c r="I6531" t="s">
        <v>97</v>
      </c>
      <c r="J6531">
        <v>1948.135</v>
      </c>
      <c r="K6531">
        <v>0.01</v>
      </c>
      <c r="L6531">
        <v>0.56000000000000005</v>
      </c>
      <c r="M6531">
        <v>30.065000000000001</v>
      </c>
      <c r="N6531">
        <v>687.83148000000006</v>
      </c>
      <c r="O6531" s="1" t="s">
        <v>40</v>
      </c>
      <c r="P6531" s="1" t="s">
        <v>13197</v>
      </c>
      <c r="Q6531" s="1" t="s">
        <v>13198</v>
      </c>
      <c r="R6531" s="1" t="s">
        <v>43</v>
      </c>
      <c r="S6531" s="1" t="s">
        <v>4668</v>
      </c>
      <c r="T6531" s="1" t="s">
        <v>4669</v>
      </c>
      <c r="U6531" s="2" t="s">
        <v>5362</v>
      </c>
      <c r="V6531" s="2" t="s">
        <v>36</v>
      </c>
      <c r="W6531" s="2" t="s">
        <v>37</v>
      </c>
      <c r="X6531" s="2">
        <v>101.465</v>
      </c>
    </row>
    <row r="6532" spans="1:24" x14ac:dyDescent="0.3">
      <c r="A6532">
        <v>24349</v>
      </c>
      <c r="B6532" t="s">
        <v>13199</v>
      </c>
      <c r="C6532" s="3">
        <v>41545</v>
      </c>
      <c r="D6532" t="s">
        <v>25</v>
      </c>
      <c r="E6532">
        <v>22</v>
      </c>
      <c r="F6532" s="3">
        <f ca="1">41549+(RANDBETWEEN(1,10))</f>
        <v>41550</v>
      </c>
      <c r="G6532" t="s">
        <v>26</v>
      </c>
      <c r="H6532" t="s">
        <v>27</v>
      </c>
      <c r="I6532" t="s">
        <v>52</v>
      </c>
      <c r="J6532">
        <v>147.45500000000001</v>
      </c>
      <c r="K6532">
        <v>0.03</v>
      </c>
      <c r="L6532">
        <v>0.41</v>
      </c>
      <c r="M6532">
        <v>17.010000000000002</v>
      </c>
      <c r="N6532">
        <v>8740.1579999999994</v>
      </c>
      <c r="O6532" s="1" t="s">
        <v>40</v>
      </c>
      <c r="P6532" s="1" t="s">
        <v>6669</v>
      </c>
      <c r="Q6532" s="1" t="s">
        <v>6670</v>
      </c>
      <c r="R6532" s="1" t="s">
        <v>43</v>
      </c>
      <c r="S6532" s="1" t="s">
        <v>6671</v>
      </c>
      <c r="T6532" s="1" t="s">
        <v>6672</v>
      </c>
      <c r="U6532" s="2" t="s">
        <v>4017</v>
      </c>
      <c r="V6532" s="2" t="s">
        <v>83</v>
      </c>
      <c r="W6532" s="2" t="s">
        <v>178</v>
      </c>
      <c r="X6532" s="2">
        <v>6.16</v>
      </c>
    </row>
    <row r="6533" spans="1:24" x14ac:dyDescent="0.3">
      <c r="A6533">
        <v>24350</v>
      </c>
      <c r="B6533" t="s">
        <v>13200</v>
      </c>
      <c r="C6533" s="3">
        <v>40930</v>
      </c>
      <c r="D6533" t="s">
        <v>148</v>
      </c>
      <c r="E6533">
        <v>4</v>
      </c>
      <c r="F6533" s="3">
        <f ca="1">40931+(RANDBETWEEN(1,10))</f>
        <v>40938</v>
      </c>
      <c r="G6533" t="s">
        <v>26</v>
      </c>
      <c r="H6533" t="s">
        <v>27</v>
      </c>
      <c r="I6533" t="s">
        <v>86</v>
      </c>
      <c r="J6533">
        <v>91.21</v>
      </c>
      <c r="K6533">
        <v>0.09</v>
      </c>
      <c r="L6533">
        <v>0.37</v>
      </c>
      <c r="M6533">
        <v>26.215</v>
      </c>
      <c r="N6533">
        <v>-305.1454</v>
      </c>
      <c r="O6533" s="1" t="s">
        <v>53</v>
      </c>
      <c r="P6533" s="1" t="s">
        <v>10260</v>
      </c>
      <c r="Q6533" s="1" t="s">
        <v>10261</v>
      </c>
      <c r="R6533" s="1" t="s">
        <v>56</v>
      </c>
      <c r="S6533" s="1" t="s">
        <v>10262</v>
      </c>
      <c r="T6533" s="1" t="s">
        <v>5360</v>
      </c>
      <c r="U6533" s="2" t="s">
        <v>2916</v>
      </c>
      <c r="V6533" s="2" t="s">
        <v>47</v>
      </c>
      <c r="W6533" s="2" t="s">
        <v>74</v>
      </c>
      <c r="X6533" s="2">
        <v>22.68</v>
      </c>
    </row>
    <row r="6534" spans="1:24" x14ac:dyDescent="0.3">
      <c r="A6534">
        <v>24351</v>
      </c>
      <c r="B6534" t="s">
        <v>13201</v>
      </c>
      <c r="C6534" s="3">
        <v>41375</v>
      </c>
      <c r="D6534" t="s">
        <v>39</v>
      </c>
      <c r="E6534">
        <v>7</v>
      </c>
      <c r="F6534" s="3">
        <f ca="1">41378+(RANDBETWEEN(1,10))</f>
        <v>41388</v>
      </c>
      <c r="G6534" t="s">
        <v>26</v>
      </c>
      <c r="H6534" t="s">
        <v>27</v>
      </c>
      <c r="I6534" t="s">
        <v>28</v>
      </c>
      <c r="J6534">
        <v>69.545000000000002</v>
      </c>
      <c r="K6534">
        <v>0.08</v>
      </c>
      <c r="L6534">
        <v>0.36</v>
      </c>
      <c r="M6534">
        <v>5.2149999999999999</v>
      </c>
      <c r="N6534">
        <v>7.0209999999999999</v>
      </c>
      <c r="O6534" s="1" t="s">
        <v>53</v>
      </c>
      <c r="P6534" s="1" t="s">
        <v>10260</v>
      </c>
      <c r="Q6534" s="1" t="s">
        <v>10261</v>
      </c>
      <c r="R6534" s="1" t="s">
        <v>56</v>
      </c>
      <c r="S6534" s="1" t="s">
        <v>10262</v>
      </c>
      <c r="T6534" s="1" t="s">
        <v>5360</v>
      </c>
      <c r="U6534" s="2" t="s">
        <v>2339</v>
      </c>
      <c r="V6534" s="2" t="s">
        <v>47</v>
      </c>
      <c r="W6534" s="2" t="s">
        <v>111</v>
      </c>
      <c r="X6534" s="2">
        <v>10.08</v>
      </c>
    </row>
    <row r="6535" spans="1:24" x14ac:dyDescent="0.3">
      <c r="A6535">
        <v>24352</v>
      </c>
      <c r="B6535" t="s">
        <v>13202</v>
      </c>
      <c r="C6535" s="3">
        <v>41093</v>
      </c>
      <c r="D6535" t="s">
        <v>39</v>
      </c>
      <c r="E6535">
        <v>6</v>
      </c>
      <c r="F6535" s="3">
        <f ca="1">41093+(RANDBETWEEN(1,10))</f>
        <v>41097</v>
      </c>
      <c r="G6535" t="s">
        <v>76</v>
      </c>
      <c r="H6535" t="s">
        <v>258</v>
      </c>
      <c r="I6535" t="s">
        <v>52</v>
      </c>
      <c r="J6535">
        <v>5569.6549999999997</v>
      </c>
      <c r="K6535">
        <v>0.01</v>
      </c>
      <c r="L6535">
        <v>0.75</v>
      </c>
      <c r="M6535">
        <v>219.59</v>
      </c>
      <c r="N6535">
        <v>-2217.0443295</v>
      </c>
      <c r="O6535" s="1" t="s">
        <v>40</v>
      </c>
      <c r="P6535" s="1" t="s">
        <v>13203</v>
      </c>
      <c r="Q6535" s="1" t="s">
        <v>13204</v>
      </c>
      <c r="R6535" s="1" t="s">
        <v>220</v>
      </c>
      <c r="S6535" s="1" t="s">
        <v>6206</v>
      </c>
      <c r="T6535" s="1" t="s">
        <v>6207</v>
      </c>
      <c r="U6535" s="2" t="s">
        <v>4957</v>
      </c>
      <c r="V6535" s="2" t="s">
        <v>83</v>
      </c>
      <c r="W6535" s="2" t="s">
        <v>263</v>
      </c>
      <c r="X6535" s="2">
        <v>917.38499999999999</v>
      </c>
    </row>
    <row r="6536" spans="1:24" x14ac:dyDescent="0.3">
      <c r="A6536">
        <v>24353</v>
      </c>
      <c r="B6536" t="s">
        <v>13205</v>
      </c>
      <c r="C6536" s="3">
        <v>41114</v>
      </c>
      <c r="D6536" t="s">
        <v>39</v>
      </c>
      <c r="E6536">
        <v>1</v>
      </c>
      <c r="F6536" s="3">
        <f ca="1">41116+(RANDBETWEEN(1,10))</f>
        <v>41118</v>
      </c>
      <c r="G6536" t="s">
        <v>26</v>
      </c>
      <c r="H6536" t="s">
        <v>27</v>
      </c>
      <c r="I6536" t="s">
        <v>52</v>
      </c>
      <c r="J6536">
        <v>63.56</v>
      </c>
      <c r="K6536">
        <v>0.03</v>
      </c>
      <c r="L6536">
        <v>0.56999999999999995</v>
      </c>
      <c r="M6536">
        <v>21.454999999999998</v>
      </c>
      <c r="N6536">
        <v>-25.375</v>
      </c>
      <c r="O6536" s="1" t="s">
        <v>53</v>
      </c>
      <c r="P6536" s="1" t="s">
        <v>13206</v>
      </c>
      <c r="Q6536" s="1" t="s">
        <v>13207</v>
      </c>
      <c r="R6536" s="1" t="s">
        <v>56</v>
      </c>
      <c r="S6536" s="1" t="s">
        <v>9253</v>
      </c>
      <c r="T6536" s="1" t="s">
        <v>9254</v>
      </c>
      <c r="U6536" s="2" t="s">
        <v>5922</v>
      </c>
      <c r="V6536" s="2" t="s">
        <v>47</v>
      </c>
      <c r="W6536" s="2" t="s">
        <v>119</v>
      </c>
      <c r="X6536" s="2">
        <v>42.98</v>
      </c>
    </row>
    <row r="6537" spans="1:24" x14ac:dyDescent="0.3">
      <c r="A6537">
        <v>24354</v>
      </c>
      <c r="B6537" t="s">
        <v>13208</v>
      </c>
      <c r="C6537" s="3">
        <v>41308</v>
      </c>
      <c r="D6537" t="s">
        <v>50</v>
      </c>
      <c r="E6537">
        <v>10</v>
      </c>
      <c r="F6537" s="3">
        <f ca="1">41309+(RANDBETWEEN(1,10))</f>
        <v>41317</v>
      </c>
      <c r="G6537" t="s">
        <v>156</v>
      </c>
      <c r="H6537" t="s">
        <v>51</v>
      </c>
      <c r="I6537" t="s">
        <v>52</v>
      </c>
      <c r="J6537">
        <v>1327.585</v>
      </c>
      <c r="K6537">
        <v>0.05</v>
      </c>
      <c r="L6537">
        <v>0.59</v>
      </c>
      <c r="M6537">
        <v>10.15</v>
      </c>
      <c r="N6537">
        <v>916.03364999999997</v>
      </c>
      <c r="O6537" s="1" t="s">
        <v>40</v>
      </c>
      <c r="P6537" s="1" t="s">
        <v>5226</v>
      </c>
      <c r="Q6537" s="1" t="s">
        <v>5227</v>
      </c>
      <c r="R6537" s="1" t="s">
        <v>43</v>
      </c>
      <c r="S6537" s="1" t="s">
        <v>5228</v>
      </c>
      <c r="T6537" s="1" t="s">
        <v>5229</v>
      </c>
      <c r="U6537" s="2" t="s">
        <v>1080</v>
      </c>
      <c r="V6537" s="2" t="s">
        <v>47</v>
      </c>
      <c r="W6537" s="2" t="s">
        <v>104</v>
      </c>
      <c r="X6537" s="2">
        <v>132.09</v>
      </c>
    </row>
    <row r="6538" spans="1:24" x14ac:dyDescent="0.3">
      <c r="A6538">
        <v>24355</v>
      </c>
      <c r="B6538" t="s">
        <v>13208</v>
      </c>
      <c r="C6538" s="3">
        <v>41308</v>
      </c>
      <c r="D6538" t="s">
        <v>50</v>
      </c>
      <c r="E6538">
        <v>11</v>
      </c>
      <c r="F6538" s="3">
        <f ca="1">41310+(RANDBETWEEN(1,10))</f>
        <v>41320</v>
      </c>
      <c r="G6538" t="s">
        <v>156</v>
      </c>
      <c r="H6538" t="s">
        <v>27</v>
      </c>
      <c r="I6538" t="s">
        <v>52</v>
      </c>
      <c r="J6538">
        <v>3358.18</v>
      </c>
      <c r="K6538">
        <v>0.09</v>
      </c>
      <c r="L6538">
        <v>0.79</v>
      </c>
      <c r="M6538">
        <v>69.965000000000003</v>
      </c>
      <c r="N6538">
        <v>-1781.0450000000001</v>
      </c>
      <c r="O6538" s="1" t="s">
        <v>40</v>
      </c>
      <c r="P6538" s="1" t="s">
        <v>5226</v>
      </c>
      <c r="Q6538" s="1" t="s">
        <v>5227</v>
      </c>
      <c r="R6538" s="1" t="s">
        <v>43</v>
      </c>
      <c r="S6538" s="1" t="s">
        <v>5228</v>
      </c>
      <c r="T6538" s="1" t="s">
        <v>5229</v>
      </c>
      <c r="U6538" s="2" t="s">
        <v>1101</v>
      </c>
      <c r="V6538" s="2" t="s">
        <v>47</v>
      </c>
      <c r="W6538" s="2" t="s">
        <v>119</v>
      </c>
      <c r="X6538" s="2">
        <v>334.005</v>
      </c>
    </row>
    <row r="6539" spans="1:24" x14ac:dyDescent="0.3">
      <c r="A6539">
        <v>24356</v>
      </c>
      <c r="B6539" t="s">
        <v>13208</v>
      </c>
      <c r="C6539" s="3">
        <v>41308</v>
      </c>
      <c r="D6539" t="s">
        <v>50</v>
      </c>
      <c r="E6539">
        <v>1</v>
      </c>
      <c r="F6539" s="3">
        <f ca="1">41310+(RANDBETWEEN(1,10))</f>
        <v>41319</v>
      </c>
      <c r="G6539" t="s">
        <v>26</v>
      </c>
      <c r="H6539" t="s">
        <v>27</v>
      </c>
      <c r="I6539" t="s">
        <v>52</v>
      </c>
      <c r="J6539">
        <v>113.89</v>
      </c>
      <c r="K6539">
        <v>0.04</v>
      </c>
      <c r="L6539">
        <v>0.74</v>
      </c>
      <c r="M6539">
        <v>30.274999999999999</v>
      </c>
      <c r="N6539">
        <v>-406.63</v>
      </c>
      <c r="O6539" s="1" t="s">
        <v>87</v>
      </c>
      <c r="P6539" s="1" t="s">
        <v>13209</v>
      </c>
      <c r="Q6539" s="1" t="s">
        <v>13210</v>
      </c>
      <c r="R6539" s="1" t="s">
        <v>398</v>
      </c>
      <c r="S6539" s="1" t="s">
        <v>3021</v>
      </c>
      <c r="T6539" s="1" t="s">
        <v>3022</v>
      </c>
      <c r="U6539" s="2" t="s">
        <v>344</v>
      </c>
      <c r="V6539" s="2" t="s">
        <v>36</v>
      </c>
      <c r="W6539" s="2" t="s">
        <v>60</v>
      </c>
      <c r="X6539" s="2">
        <v>106.47</v>
      </c>
    </row>
    <row r="6540" spans="1:24" x14ac:dyDescent="0.3">
      <c r="A6540">
        <v>24357</v>
      </c>
      <c r="B6540" t="s">
        <v>13211</v>
      </c>
      <c r="C6540" s="3">
        <v>41235</v>
      </c>
      <c r="D6540" t="s">
        <v>25</v>
      </c>
      <c r="E6540">
        <v>8</v>
      </c>
      <c r="F6540" s="3">
        <f ca="1">41242+(RANDBETWEEN(1,10))</f>
        <v>41249</v>
      </c>
      <c r="G6540" t="s">
        <v>26</v>
      </c>
      <c r="H6540" t="s">
        <v>27</v>
      </c>
      <c r="I6540" t="s">
        <v>97</v>
      </c>
      <c r="J6540">
        <v>4414.5150000000003</v>
      </c>
      <c r="K6540">
        <v>0.09</v>
      </c>
      <c r="L6540">
        <v>0.6</v>
      </c>
      <c r="M6540">
        <v>14.7</v>
      </c>
      <c r="N6540">
        <v>313.18979999999999</v>
      </c>
      <c r="O6540" s="1" t="s">
        <v>53</v>
      </c>
      <c r="P6540" s="1" t="s">
        <v>4550</v>
      </c>
      <c r="Q6540" s="1" t="s">
        <v>4551</v>
      </c>
      <c r="R6540" s="1" t="s">
        <v>440</v>
      </c>
      <c r="S6540" s="1" t="s">
        <v>4552</v>
      </c>
      <c r="T6540" s="1" t="s">
        <v>4553</v>
      </c>
      <c r="U6540" s="2">
        <v>688</v>
      </c>
      <c r="V6540" s="2" t="s">
        <v>36</v>
      </c>
      <c r="W6540" s="2" t="s">
        <v>37</v>
      </c>
      <c r="X6540" s="2">
        <v>685.96500000000003</v>
      </c>
    </row>
    <row r="6541" spans="1:24" x14ac:dyDescent="0.3">
      <c r="A6541">
        <v>24358</v>
      </c>
      <c r="B6541" t="s">
        <v>13212</v>
      </c>
      <c r="C6541" s="3">
        <v>40642</v>
      </c>
      <c r="D6541" t="s">
        <v>62</v>
      </c>
      <c r="E6541">
        <v>10</v>
      </c>
      <c r="F6541" s="3">
        <f ca="1">40643+(RANDBETWEEN(1,10))</f>
        <v>40652</v>
      </c>
      <c r="G6541" t="s">
        <v>76</v>
      </c>
      <c r="H6541" t="s">
        <v>258</v>
      </c>
      <c r="I6541" t="s">
        <v>52</v>
      </c>
      <c r="J6541">
        <v>13094.865</v>
      </c>
      <c r="K6541">
        <v>7.0000000000000007E-2</v>
      </c>
      <c r="L6541">
        <v>0.36</v>
      </c>
      <c r="M6541">
        <v>168.91</v>
      </c>
      <c r="N6541">
        <v>9035.4568500000005</v>
      </c>
      <c r="O6541" s="1" t="s">
        <v>40</v>
      </c>
      <c r="P6541" s="1" t="s">
        <v>13213</v>
      </c>
      <c r="Q6541" s="1" t="s">
        <v>13214</v>
      </c>
      <c r="R6541" s="1" t="s">
        <v>220</v>
      </c>
      <c r="S6541" s="1" t="s">
        <v>1816</v>
      </c>
      <c r="T6541" s="1" t="s">
        <v>1817</v>
      </c>
      <c r="U6541" s="2" t="s">
        <v>7536</v>
      </c>
      <c r="V6541" s="2" t="s">
        <v>36</v>
      </c>
      <c r="W6541" s="2" t="s">
        <v>142</v>
      </c>
      <c r="X6541" s="2">
        <v>1403.395</v>
      </c>
    </row>
    <row r="6542" spans="1:24" x14ac:dyDescent="0.3">
      <c r="A6542">
        <v>24359</v>
      </c>
      <c r="B6542" t="s">
        <v>13215</v>
      </c>
      <c r="C6542" s="3">
        <v>41787</v>
      </c>
      <c r="D6542" t="s">
        <v>62</v>
      </c>
      <c r="E6542">
        <v>2</v>
      </c>
      <c r="F6542" s="3">
        <f ca="1">41788+(RANDBETWEEN(1,10))</f>
        <v>41797</v>
      </c>
      <c r="G6542" t="s">
        <v>76</v>
      </c>
      <c r="H6542" t="s">
        <v>258</v>
      </c>
      <c r="I6542" t="s">
        <v>97</v>
      </c>
      <c r="J6542">
        <v>1138.095</v>
      </c>
      <c r="K6542">
        <v>0.09</v>
      </c>
      <c r="L6542">
        <v>0.72</v>
      </c>
      <c r="M6542">
        <v>122.57</v>
      </c>
      <c r="N6542">
        <v>-882.03499999999997</v>
      </c>
      <c r="O6542" s="1" t="s">
        <v>53</v>
      </c>
      <c r="P6542" s="1" t="s">
        <v>13040</v>
      </c>
      <c r="Q6542" s="1" t="s">
        <v>13041</v>
      </c>
      <c r="R6542" s="1" t="s">
        <v>100</v>
      </c>
      <c r="S6542" s="1" t="s">
        <v>11380</v>
      </c>
      <c r="T6542" s="1" t="s">
        <v>11381</v>
      </c>
      <c r="U6542" s="2" t="s">
        <v>297</v>
      </c>
      <c r="V6542" s="2" t="s">
        <v>83</v>
      </c>
      <c r="W6542" s="2" t="s">
        <v>298</v>
      </c>
      <c r="X6542" s="2">
        <v>563.42999999999995</v>
      </c>
    </row>
    <row r="6543" spans="1:24" x14ac:dyDescent="0.3">
      <c r="A6543">
        <v>24360</v>
      </c>
      <c r="B6543" t="s">
        <v>13215</v>
      </c>
      <c r="C6543" s="3">
        <v>41787</v>
      </c>
      <c r="D6543" t="s">
        <v>62</v>
      </c>
      <c r="E6543">
        <v>10</v>
      </c>
      <c r="F6543" s="3">
        <f ca="1">41788+(RANDBETWEEN(1,10))</f>
        <v>41796</v>
      </c>
      <c r="G6543" t="s">
        <v>26</v>
      </c>
      <c r="H6543" t="s">
        <v>27</v>
      </c>
      <c r="I6543" t="s">
        <v>97</v>
      </c>
      <c r="J6543">
        <v>5288.08</v>
      </c>
      <c r="K6543">
        <v>0</v>
      </c>
      <c r="L6543">
        <v>0.59</v>
      </c>
      <c r="M6543">
        <v>17.465</v>
      </c>
      <c r="N6543">
        <v>3648.7752</v>
      </c>
      <c r="O6543" s="1" t="s">
        <v>53</v>
      </c>
      <c r="P6543" s="1" t="s">
        <v>13040</v>
      </c>
      <c r="Q6543" s="1" t="s">
        <v>13041</v>
      </c>
      <c r="R6543" s="1" t="s">
        <v>100</v>
      </c>
      <c r="S6543" s="1" t="s">
        <v>11380</v>
      </c>
      <c r="T6543" s="1" t="s">
        <v>11381</v>
      </c>
      <c r="U6543" s="2">
        <v>5165</v>
      </c>
      <c r="V6543" s="2" t="s">
        <v>36</v>
      </c>
      <c r="W6543" s="2" t="s">
        <v>37</v>
      </c>
      <c r="X6543" s="2">
        <v>615.96500000000003</v>
      </c>
    </row>
    <row r="6544" spans="1:24" x14ac:dyDescent="0.3">
      <c r="A6544">
        <v>24361</v>
      </c>
      <c r="B6544" t="s">
        <v>13216</v>
      </c>
      <c r="C6544" s="3">
        <v>42003</v>
      </c>
      <c r="D6544" t="s">
        <v>148</v>
      </c>
      <c r="E6544">
        <v>5</v>
      </c>
      <c r="F6544" s="3">
        <f ca="1">42003+(RANDBETWEEN(1,10))</f>
        <v>42005</v>
      </c>
      <c r="G6544" t="s">
        <v>26</v>
      </c>
      <c r="H6544" t="s">
        <v>96</v>
      </c>
      <c r="I6544" t="s">
        <v>52</v>
      </c>
      <c r="J6544">
        <v>24.78</v>
      </c>
      <c r="K6544">
        <v>0.1</v>
      </c>
      <c r="L6544">
        <v>0.37</v>
      </c>
      <c r="M6544">
        <v>2.4500000000000002</v>
      </c>
      <c r="N6544">
        <v>-1455.3979999999999</v>
      </c>
      <c r="O6544" s="1" t="s">
        <v>64</v>
      </c>
      <c r="P6544" s="1" t="s">
        <v>13009</v>
      </c>
      <c r="Q6544" s="1" t="s">
        <v>13010</v>
      </c>
      <c r="R6544" s="1" t="s">
        <v>128</v>
      </c>
      <c r="S6544" s="1" t="s">
        <v>13011</v>
      </c>
      <c r="T6544" s="1" t="s">
        <v>13012</v>
      </c>
      <c r="U6544" s="2" t="s">
        <v>3561</v>
      </c>
      <c r="V6544" s="2" t="s">
        <v>47</v>
      </c>
      <c r="W6544" s="2" t="s">
        <v>176</v>
      </c>
      <c r="X6544" s="2">
        <v>5.18</v>
      </c>
    </row>
    <row r="6545" spans="1:24" x14ac:dyDescent="0.3">
      <c r="A6545">
        <v>24362</v>
      </c>
      <c r="B6545" t="s">
        <v>13217</v>
      </c>
      <c r="C6545" s="3">
        <v>41320</v>
      </c>
      <c r="D6545" t="s">
        <v>25</v>
      </c>
      <c r="E6545">
        <v>12</v>
      </c>
      <c r="F6545" s="3">
        <f ca="1">41327+(RANDBETWEEN(1,10))</f>
        <v>41333</v>
      </c>
      <c r="G6545" t="s">
        <v>26</v>
      </c>
      <c r="H6545" t="s">
        <v>27</v>
      </c>
      <c r="I6545" t="s">
        <v>28</v>
      </c>
      <c r="J6545">
        <v>173.35499999999999</v>
      </c>
      <c r="K6545">
        <v>0.03</v>
      </c>
      <c r="L6545">
        <v>0.38</v>
      </c>
      <c r="M6545">
        <v>18.690000000000001</v>
      </c>
      <c r="N6545">
        <v>-525.90650000000005</v>
      </c>
      <c r="O6545" s="1" t="s">
        <v>225</v>
      </c>
      <c r="P6545" s="1" t="s">
        <v>9172</v>
      </c>
      <c r="Q6545" s="1" t="s">
        <v>9173</v>
      </c>
      <c r="R6545" s="1" t="s">
        <v>228</v>
      </c>
      <c r="S6545" s="1" t="s">
        <v>9174</v>
      </c>
      <c r="T6545" s="1" t="s">
        <v>9175</v>
      </c>
      <c r="U6545" s="2" t="s">
        <v>1664</v>
      </c>
      <c r="V6545" s="2" t="s">
        <v>47</v>
      </c>
      <c r="W6545" s="2" t="s">
        <v>111</v>
      </c>
      <c r="X6545" s="2">
        <v>14.455</v>
      </c>
    </row>
    <row r="6546" spans="1:24" x14ac:dyDescent="0.3">
      <c r="A6546">
        <v>24363</v>
      </c>
      <c r="B6546" t="s">
        <v>13217</v>
      </c>
      <c r="C6546" s="3">
        <v>41320</v>
      </c>
      <c r="D6546" t="s">
        <v>25</v>
      </c>
      <c r="E6546">
        <v>10</v>
      </c>
      <c r="F6546" s="3">
        <f ca="1">41320+(RANDBETWEEN(1,10))</f>
        <v>41323</v>
      </c>
      <c r="G6546" t="s">
        <v>26</v>
      </c>
      <c r="H6546" t="s">
        <v>96</v>
      </c>
      <c r="I6546" t="s">
        <v>28</v>
      </c>
      <c r="J6546">
        <v>111.545</v>
      </c>
      <c r="K6546">
        <v>0.05</v>
      </c>
      <c r="L6546">
        <v>0.84</v>
      </c>
      <c r="M6546">
        <v>6.72</v>
      </c>
      <c r="N6546">
        <v>-189.875</v>
      </c>
      <c r="O6546" s="1" t="s">
        <v>225</v>
      </c>
      <c r="P6546" s="1" t="s">
        <v>9172</v>
      </c>
      <c r="Q6546" s="1" t="s">
        <v>9173</v>
      </c>
      <c r="R6546" s="1" t="s">
        <v>228</v>
      </c>
      <c r="S6546" s="1" t="s">
        <v>9174</v>
      </c>
      <c r="T6546" s="1" t="s">
        <v>9175</v>
      </c>
      <c r="U6546" s="2" t="s">
        <v>524</v>
      </c>
      <c r="V6546" s="2" t="s">
        <v>47</v>
      </c>
      <c r="W6546" s="2" t="s">
        <v>94</v>
      </c>
      <c r="X6546" s="2">
        <v>10.99</v>
      </c>
    </row>
    <row r="6547" spans="1:24" x14ac:dyDescent="0.3">
      <c r="A6547">
        <v>24364</v>
      </c>
      <c r="B6547" t="s">
        <v>13218</v>
      </c>
      <c r="C6547" s="3">
        <v>41317</v>
      </c>
      <c r="D6547" t="s">
        <v>25</v>
      </c>
      <c r="E6547">
        <v>8</v>
      </c>
      <c r="F6547" s="3">
        <f ca="1">41317+(RANDBETWEEN(1,10))</f>
        <v>41325</v>
      </c>
      <c r="G6547" t="s">
        <v>26</v>
      </c>
      <c r="H6547" t="s">
        <v>27</v>
      </c>
      <c r="I6547" t="s">
        <v>97</v>
      </c>
      <c r="J6547">
        <v>619.01</v>
      </c>
      <c r="K6547">
        <v>0.01</v>
      </c>
      <c r="L6547">
        <v>0.57999999999999996</v>
      </c>
      <c r="M6547">
        <v>22.12</v>
      </c>
      <c r="N6547">
        <v>114.655905</v>
      </c>
      <c r="O6547" s="1" t="s">
        <v>87</v>
      </c>
      <c r="P6547" s="1" t="s">
        <v>13219</v>
      </c>
      <c r="Q6547" s="1" t="s">
        <v>13220</v>
      </c>
      <c r="R6547" s="1" t="s">
        <v>90</v>
      </c>
      <c r="S6547" s="1" t="s">
        <v>4962</v>
      </c>
      <c r="T6547" s="1" t="s">
        <v>4963</v>
      </c>
      <c r="U6547" s="2" t="s">
        <v>3298</v>
      </c>
      <c r="V6547" s="2" t="s">
        <v>47</v>
      </c>
      <c r="W6547" s="2" t="s">
        <v>71</v>
      </c>
      <c r="X6547" s="2">
        <v>71.680000000000007</v>
      </c>
    </row>
    <row r="6548" spans="1:24" x14ac:dyDescent="0.3">
      <c r="A6548">
        <v>24365</v>
      </c>
      <c r="B6548" t="s">
        <v>13218</v>
      </c>
      <c r="C6548" s="3">
        <v>41317</v>
      </c>
      <c r="D6548" t="s">
        <v>25</v>
      </c>
      <c r="E6548">
        <v>10</v>
      </c>
      <c r="F6548" s="3">
        <f ca="1">41324+(RANDBETWEEN(1,10))</f>
        <v>41331</v>
      </c>
      <c r="G6548" t="s">
        <v>26</v>
      </c>
      <c r="H6548" t="s">
        <v>27</v>
      </c>
      <c r="I6548" t="s">
        <v>97</v>
      </c>
      <c r="J6548">
        <v>238.07</v>
      </c>
      <c r="K6548">
        <v>7.0000000000000007E-2</v>
      </c>
      <c r="L6548">
        <v>0.35</v>
      </c>
      <c r="M6548">
        <v>10.465</v>
      </c>
      <c r="N6548">
        <v>-896.57259999999997</v>
      </c>
      <c r="O6548" s="1" t="s">
        <v>87</v>
      </c>
      <c r="P6548" s="1" t="s">
        <v>13219</v>
      </c>
      <c r="Q6548" s="1" t="s">
        <v>13220</v>
      </c>
      <c r="R6548" s="1" t="s">
        <v>90</v>
      </c>
      <c r="S6548" s="1" t="s">
        <v>4962</v>
      </c>
      <c r="T6548" s="1" t="s">
        <v>4963</v>
      </c>
      <c r="U6548" s="2" t="s">
        <v>4681</v>
      </c>
      <c r="V6548" s="2" t="s">
        <v>47</v>
      </c>
      <c r="W6548" s="2" t="s">
        <v>111</v>
      </c>
      <c r="X6548" s="2">
        <v>23.625</v>
      </c>
    </row>
    <row r="6549" spans="1:24" x14ac:dyDescent="0.3">
      <c r="A6549">
        <v>24366</v>
      </c>
      <c r="B6549" t="s">
        <v>13218</v>
      </c>
      <c r="C6549" s="3">
        <v>41317</v>
      </c>
      <c r="D6549" t="s">
        <v>25</v>
      </c>
      <c r="E6549">
        <v>4</v>
      </c>
      <c r="F6549" s="3">
        <f ca="1">41322+(RANDBETWEEN(1,10))</f>
        <v>41323</v>
      </c>
      <c r="G6549" t="s">
        <v>26</v>
      </c>
      <c r="H6549" t="s">
        <v>27</v>
      </c>
      <c r="I6549" t="s">
        <v>97</v>
      </c>
      <c r="J6549">
        <v>174.3</v>
      </c>
      <c r="K6549">
        <v>0.08</v>
      </c>
      <c r="L6549">
        <v>0.38</v>
      </c>
      <c r="M6549">
        <v>1.75</v>
      </c>
      <c r="N6549">
        <v>45.633000000000003</v>
      </c>
      <c r="O6549" s="1" t="s">
        <v>87</v>
      </c>
      <c r="P6549" s="1" t="s">
        <v>13219</v>
      </c>
      <c r="Q6549" s="1" t="s">
        <v>13220</v>
      </c>
      <c r="R6549" s="1" t="s">
        <v>90</v>
      </c>
      <c r="S6549" s="1" t="s">
        <v>4962</v>
      </c>
      <c r="T6549" s="1" t="s">
        <v>4963</v>
      </c>
      <c r="U6549" s="2" t="s">
        <v>7215</v>
      </c>
      <c r="V6549" s="2" t="s">
        <v>47</v>
      </c>
      <c r="W6549" s="2" t="s">
        <v>203</v>
      </c>
      <c r="X6549" s="2">
        <v>43.854999999999997</v>
      </c>
    </row>
    <row r="6550" spans="1:24" x14ac:dyDescent="0.3">
      <c r="A6550">
        <v>24367</v>
      </c>
      <c r="B6550" t="s">
        <v>13221</v>
      </c>
      <c r="C6550" s="3">
        <v>41009</v>
      </c>
      <c r="D6550" t="s">
        <v>25</v>
      </c>
      <c r="E6550">
        <v>10</v>
      </c>
      <c r="F6550" s="3">
        <f ca="1">41011+(RANDBETWEEN(1,10))</f>
        <v>41021</v>
      </c>
      <c r="G6550" t="s">
        <v>26</v>
      </c>
      <c r="H6550" t="s">
        <v>96</v>
      </c>
      <c r="I6550" t="s">
        <v>28</v>
      </c>
      <c r="J6550">
        <v>328.58</v>
      </c>
      <c r="K6550">
        <v>0.09</v>
      </c>
      <c r="L6550">
        <v>0.37</v>
      </c>
      <c r="M6550">
        <v>7.1050000000000004</v>
      </c>
      <c r="N6550">
        <v>226.72020000000001</v>
      </c>
      <c r="O6550" s="1" t="s">
        <v>40</v>
      </c>
      <c r="P6550" s="1" t="s">
        <v>6292</v>
      </c>
      <c r="Q6550" s="1" t="s">
        <v>6293</v>
      </c>
      <c r="R6550" s="1" t="s">
        <v>43</v>
      </c>
      <c r="S6550" s="1" t="s">
        <v>80</v>
      </c>
      <c r="T6550" s="1" t="s">
        <v>6294</v>
      </c>
      <c r="U6550" s="2" t="s">
        <v>3218</v>
      </c>
      <c r="V6550" s="2" t="s">
        <v>47</v>
      </c>
      <c r="W6550" s="2" t="s">
        <v>74</v>
      </c>
      <c r="X6550" s="2">
        <v>33.880000000000003</v>
      </c>
    </row>
    <row r="6551" spans="1:24" x14ac:dyDescent="0.3">
      <c r="A6551">
        <v>24368</v>
      </c>
      <c r="B6551" t="s">
        <v>13221</v>
      </c>
      <c r="C6551" s="3">
        <v>41009</v>
      </c>
      <c r="D6551" t="s">
        <v>25</v>
      </c>
      <c r="E6551">
        <v>4</v>
      </c>
      <c r="F6551" s="3">
        <f ca="1">41014+(RANDBETWEEN(1,10))</f>
        <v>41020</v>
      </c>
      <c r="G6551" t="s">
        <v>156</v>
      </c>
      <c r="H6551" t="s">
        <v>96</v>
      </c>
      <c r="I6551" t="s">
        <v>28</v>
      </c>
      <c r="J6551">
        <v>59.57</v>
      </c>
      <c r="K6551">
        <v>0.03</v>
      </c>
      <c r="L6551">
        <v>0.39</v>
      </c>
      <c r="M6551">
        <v>2.4849999999999999</v>
      </c>
      <c r="N6551">
        <v>41.103299999999997</v>
      </c>
      <c r="O6551" s="1" t="s">
        <v>40</v>
      </c>
      <c r="P6551" s="1" t="s">
        <v>6292</v>
      </c>
      <c r="Q6551" s="1" t="s">
        <v>6293</v>
      </c>
      <c r="R6551" s="1" t="s">
        <v>43</v>
      </c>
      <c r="S6551" s="1" t="s">
        <v>80</v>
      </c>
      <c r="T6551" s="1" t="s">
        <v>6294</v>
      </c>
      <c r="U6551" s="2" t="s">
        <v>2000</v>
      </c>
      <c r="V6551" s="2" t="s">
        <v>47</v>
      </c>
      <c r="W6551" s="2" t="s">
        <v>176</v>
      </c>
      <c r="X6551" s="2">
        <v>13.23</v>
      </c>
    </row>
    <row r="6552" spans="1:24" x14ac:dyDescent="0.3">
      <c r="A6552">
        <v>24369</v>
      </c>
      <c r="B6552" t="s">
        <v>13222</v>
      </c>
      <c r="C6552" s="3">
        <v>41077</v>
      </c>
      <c r="D6552" t="s">
        <v>25</v>
      </c>
      <c r="E6552">
        <v>9</v>
      </c>
      <c r="F6552" s="3">
        <f ca="1">41086+(RANDBETWEEN(1,10))</f>
        <v>41092</v>
      </c>
      <c r="G6552" t="s">
        <v>26</v>
      </c>
      <c r="H6552" t="s">
        <v>63</v>
      </c>
      <c r="I6552" t="s">
        <v>97</v>
      </c>
      <c r="J6552">
        <v>18455.535</v>
      </c>
      <c r="K6552">
        <v>7.0000000000000007E-2</v>
      </c>
      <c r="L6552">
        <v>0.37</v>
      </c>
      <c r="M6552">
        <v>85.715000000000003</v>
      </c>
      <c r="N6552">
        <v>12734.319149999999</v>
      </c>
      <c r="O6552" s="1" t="s">
        <v>225</v>
      </c>
      <c r="P6552" s="1" t="s">
        <v>11748</v>
      </c>
      <c r="Q6552" s="1" t="s">
        <v>11749</v>
      </c>
      <c r="R6552" s="1" t="s">
        <v>228</v>
      </c>
      <c r="S6552" s="1" t="s">
        <v>11750</v>
      </c>
      <c r="T6552" s="1" t="s">
        <v>11751</v>
      </c>
      <c r="U6552" s="2" t="s">
        <v>1737</v>
      </c>
      <c r="V6552" s="2" t="s">
        <v>36</v>
      </c>
      <c r="W6552" s="2" t="s">
        <v>1327</v>
      </c>
      <c r="X6552" s="2">
        <v>2099.9650000000001</v>
      </c>
    </row>
    <row r="6553" spans="1:24" x14ac:dyDescent="0.3">
      <c r="A6553">
        <v>24370</v>
      </c>
      <c r="B6553" t="s">
        <v>13222</v>
      </c>
      <c r="C6553" s="3">
        <v>41077</v>
      </c>
      <c r="D6553" t="s">
        <v>25</v>
      </c>
      <c r="E6553">
        <v>4</v>
      </c>
      <c r="F6553" s="3">
        <f ca="1">41084+(RANDBETWEEN(1,10))</f>
        <v>41090</v>
      </c>
      <c r="G6553" t="s">
        <v>26</v>
      </c>
      <c r="H6553" t="s">
        <v>96</v>
      </c>
      <c r="I6553" t="s">
        <v>97</v>
      </c>
      <c r="J6553">
        <v>36.54</v>
      </c>
      <c r="K6553">
        <v>0.08</v>
      </c>
      <c r="L6553">
        <v>0.39</v>
      </c>
      <c r="M6553">
        <v>2.8</v>
      </c>
      <c r="N6553">
        <v>11.13</v>
      </c>
      <c r="O6553" s="1" t="s">
        <v>225</v>
      </c>
      <c r="P6553" s="1" t="s">
        <v>11748</v>
      </c>
      <c r="Q6553" s="1" t="s">
        <v>11749</v>
      </c>
      <c r="R6553" s="1" t="s">
        <v>228</v>
      </c>
      <c r="S6553" s="1" t="s">
        <v>11750</v>
      </c>
      <c r="T6553" s="1" t="s">
        <v>11751</v>
      </c>
      <c r="U6553" s="2" t="s">
        <v>2672</v>
      </c>
      <c r="V6553" s="2" t="s">
        <v>47</v>
      </c>
      <c r="W6553" s="2" t="s">
        <v>176</v>
      </c>
      <c r="X6553" s="2">
        <v>9.17</v>
      </c>
    </row>
    <row r="6554" spans="1:24" x14ac:dyDescent="0.3">
      <c r="A6554">
        <v>24371</v>
      </c>
      <c r="B6554" t="s">
        <v>13223</v>
      </c>
      <c r="C6554" s="3">
        <v>41962</v>
      </c>
      <c r="D6554" t="s">
        <v>39</v>
      </c>
      <c r="E6554">
        <v>12</v>
      </c>
      <c r="F6554" s="3">
        <f ca="1">41962+(RANDBETWEEN(1,10))</f>
        <v>41972</v>
      </c>
      <c r="G6554" t="s">
        <v>76</v>
      </c>
      <c r="H6554" t="s">
        <v>77</v>
      </c>
      <c r="I6554" t="s">
        <v>86</v>
      </c>
      <c r="J6554">
        <v>6736.03</v>
      </c>
      <c r="K6554">
        <v>0</v>
      </c>
      <c r="L6554">
        <v>0.55000000000000004</v>
      </c>
      <c r="M6554">
        <v>152.98500000000001</v>
      </c>
      <c r="N6554">
        <v>1166.48224</v>
      </c>
      <c r="O6554" s="1" t="s">
        <v>64</v>
      </c>
      <c r="P6554" s="1" t="s">
        <v>8751</v>
      </c>
      <c r="Q6554" s="1" t="s">
        <v>8752</v>
      </c>
      <c r="R6554" s="1" t="s">
        <v>128</v>
      </c>
      <c r="S6554" s="1" t="s">
        <v>8753</v>
      </c>
      <c r="T6554" s="1" t="s">
        <v>8754</v>
      </c>
      <c r="U6554" s="2" t="s">
        <v>3322</v>
      </c>
      <c r="V6554" s="2" t="s">
        <v>83</v>
      </c>
      <c r="W6554" s="2" t="s">
        <v>84</v>
      </c>
      <c r="X6554" s="2">
        <v>528.42999999999995</v>
      </c>
    </row>
    <row r="6555" spans="1:24" x14ac:dyDescent="0.3">
      <c r="A6555">
        <v>24372</v>
      </c>
      <c r="B6555" t="s">
        <v>13224</v>
      </c>
      <c r="C6555" s="3">
        <v>41153</v>
      </c>
      <c r="D6555" t="s">
        <v>50</v>
      </c>
      <c r="E6555">
        <v>18</v>
      </c>
      <c r="F6555" s="3">
        <f ca="1">41154+(RANDBETWEEN(1,10))</f>
        <v>41161</v>
      </c>
      <c r="G6555" t="s">
        <v>26</v>
      </c>
      <c r="H6555" t="s">
        <v>27</v>
      </c>
      <c r="I6555" t="s">
        <v>52</v>
      </c>
      <c r="J6555">
        <v>10694.145</v>
      </c>
      <c r="K6555">
        <v>0.08</v>
      </c>
      <c r="L6555">
        <v>0.59</v>
      </c>
      <c r="M6555">
        <v>14.7</v>
      </c>
      <c r="N6555">
        <v>6526.2960000000003</v>
      </c>
      <c r="O6555" s="1" t="s">
        <v>53</v>
      </c>
      <c r="P6555" s="1" t="s">
        <v>5100</v>
      </c>
      <c r="Q6555" s="1" t="s">
        <v>5101</v>
      </c>
      <c r="R6555" s="1" t="s">
        <v>440</v>
      </c>
      <c r="S6555" s="1" t="s">
        <v>3428</v>
      </c>
      <c r="T6555" s="1" t="s">
        <v>3429</v>
      </c>
      <c r="U6555" s="2" t="s">
        <v>2133</v>
      </c>
      <c r="V6555" s="2" t="s">
        <v>36</v>
      </c>
      <c r="W6555" s="2" t="s">
        <v>37</v>
      </c>
      <c r="X6555" s="2">
        <v>703.46500000000003</v>
      </c>
    </row>
    <row r="6556" spans="1:24" x14ac:dyDescent="0.3">
      <c r="A6556">
        <v>24373</v>
      </c>
      <c r="B6556" t="s">
        <v>13225</v>
      </c>
      <c r="C6556" s="3">
        <v>40673</v>
      </c>
      <c r="D6556" t="s">
        <v>25</v>
      </c>
      <c r="E6556">
        <v>18</v>
      </c>
      <c r="F6556" s="3">
        <f ca="1">40675+(RANDBETWEEN(1,10))</f>
        <v>40680</v>
      </c>
      <c r="G6556" t="s">
        <v>26</v>
      </c>
      <c r="H6556" t="s">
        <v>51</v>
      </c>
      <c r="I6556" t="s">
        <v>97</v>
      </c>
      <c r="J6556">
        <v>397.88</v>
      </c>
      <c r="K6556">
        <v>0.08</v>
      </c>
      <c r="L6556">
        <v>0.71</v>
      </c>
      <c r="M6556">
        <v>9.59</v>
      </c>
      <c r="N6556">
        <v>-289.24</v>
      </c>
      <c r="O6556" s="1" t="s">
        <v>53</v>
      </c>
      <c r="P6556" s="1" t="s">
        <v>2067</v>
      </c>
      <c r="Q6556" s="1" t="s">
        <v>2068</v>
      </c>
      <c r="R6556" s="1" t="s">
        <v>56</v>
      </c>
      <c r="S6556" s="1" t="s">
        <v>2069</v>
      </c>
      <c r="T6556" s="1" t="s">
        <v>2070</v>
      </c>
      <c r="U6556" s="2" t="s">
        <v>3887</v>
      </c>
      <c r="V6556" s="2" t="s">
        <v>36</v>
      </c>
      <c r="W6556" s="2" t="s">
        <v>60</v>
      </c>
      <c r="X6556" s="2">
        <v>22.68</v>
      </c>
    </row>
    <row r="6557" spans="1:24" x14ac:dyDescent="0.3">
      <c r="A6557">
        <v>24374</v>
      </c>
      <c r="B6557" t="s">
        <v>13226</v>
      </c>
      <c r="C6557" s="3">
        <v>41380</v>
      </c>
      <c r="D6557" t="s">
        <v>148</v>
      </c>
      <c r="E6557">
        <v>11</v>
      </c>
      <c r="F6557" s="3">
        <f ca="1">41382+(RANDBETWEEN(1,10))</f>
        <v>41384</v>
      </c>
      <c r="G6557" t="s">
        <v>26</v>
      </c>
      <c r="H6557" t="s">
        <v>27</v>
      </c>
      <c r="I6557" t="s">
        <v>28</v>
      </c>
      <c r="J6557">
        <v>156.905</v>
      </c>
      <c r="K6557">
        <v>0.05</v>
      </c>
      <c r="L6557">
        <v>0.59</v>
      </c>
      <c r="M6557">
        <v>17.954999999999998</v>
      </c>
      <c r="N6557">
        <v>-477.92500000000001</v>
      </c>
      <c r="O6557" s="1" t="s">
        <v>53</v>
      </c>
      <c r="P6557" s="1" t="s">
        <v>11940</v>
      </c>
      <c r="Q6557" s="1" t="s">
        <v>11941</v>
      </c>
      <c r="R6557" s="1" t="s">
        <v>100</v>
      </c>
      <c r="S6557" s="1" t="s">
        <v>11026</v>
      </c>
      <c r="T6557" s="1" t="s">
        <v>11027</v>
      </c>
      <c r="U6557" s="2" t="s">
        <v>1645</v>
      </c>
      <c r="V6557" s="2" t="s">
        <v>47</v>
      </c>
      <c r="W6557" s="2" t="s">
        <v>71</v>
      </c>
      <c r="X6557" s="2">
        <v>13.824999999999999</v>
      </c>
    </row>
    <row r="6558" spans="1:24" x14ac:dyDescent="0.3">
      <c r="A6558">
        <v>24375</v>
      </c>
      <c r="B6558" t="s">
        <v>13226</v>
      </c>
      <c r="C6558" s="3">
        <v>41380</v>
      </c>
      <c r="D6558" t="s">
        <v>148</v>
      </c>
      <c r="E6558">
        <v>9</v>
      </c>
      <c r="F6558" s="3">
        <f ca="1">41382+(RANDBETWEEN(1,10))</f>
        <v>41391</v>
      </c>
      <c r="G6558" t="s">
        <v>26</v>
      </c>
      <c r="H6558" t="s">
        <v>27</v>
      </c>
      <c r="I6558" t="s">
        <v>28</v>
      </c>
      <c r="J6558">
        <v>4864.5450000000001</v>
      </c>
      <c r="K6558">
        <v>0.1</v>
      </c>
      <c r="L6558">
        <v>0.6</v>
      </c>
      <c r="M6558">
        <v>31.465</v>
      </c>
      <c r="N6558">
        <v>2467.1115</v>
      </c>
      <c r="O6558" s="1" t="s">
        <v>53</v>
      </c>
      <c r="P6558" s="1" t="s">
        <v>11940</v>
      </c>
      <c r="Q6558" s="1" t="s">
        <v>11941</v>
      </c>
      <c r="R6558" s="1" t="s">
        <v>100</v>
      </c>
      <c r="S6558" s="1" t="s">
        <v>11026</v>
      </c>
      <c r="T6558" s="1" t="s">
        <v>11027</v>
      </c>
      <c r="U6558" s="2" t="s">
        <v>1123</v>
      </c>
      <c r="V6558" s="2" t="s">
        <v>36</v>
      </c>
      <c r="W6558" s="2" t="s">
        <v>37</v>
      </c>
      <c r="X6558" s="2">
        <v>685.96500000000003</v>
      </c>
    </row>
    <row r="6559" spans="1:24" x14ac:dyDescent="0.3">
      <c r="A6559">
        <v>24376</v>
      </c>
      <c r="B6559" t="s">
        <v>13227</v>
      </c>
      <c r="C6559" s="3">
        <v>41240</v>
      </c>
      <c r="D6559" t="s">
        <v>25</v>
      </c>
      <c r="E6559">
        <v>20</v>
      </c>
      <c r="F6559" s="3">
        <f ca="1">41245+(RANDBETWEEN(1,10))</f>
        <v>41253</v>
      </c>
      <c r="G6559" t="s">
        <v>26</v>
      </c>
      <c r="H6559" t="s">
        <v>51</v>
      </c>
      <c r="I6559" t="s">
        <v>86</v>
      </c>
      <c r="J6559">
        <v>3370.4650000000001</v>
      </c>
      <c r="K6559">
        <v>0.04</v>
      </c>
      <c r="L6559">
        <v>0.8</v>
      </c>
      <c r="M6559">
        <v>17.5</v>
      </c>
      <c r="N6559">
        <v>88.896500000000003</v>
      </c>
      <c r="O6559" s="1" t="s">
        <v>87</v>
      </c>
      <c r="P6559" s="1" t="s">
        <v>13228</v>
      </c>
      <c r="Q6559" s="1" t="s">
        <v>13229</v>
      </c>
      <c r="R6559" s="1" t="s">
        <v>646</v>
      </c>
      <c r="S6559" s="1" t="s">
        <v>1231</v>
      </c>
      <c r="T6559" s="1" t="s">
        <v>1232</v>
      </c>
      <c r="U6559" s="2" t="s">
        <v>2876</v>
      </c>
      <c r="V6559" s="2" t="s">
        <v>36</v>
      </c>
      <c r="W6559" s="2" t="s">
        <v>37</v>
      </c>
      <c r="X6559" s="2">
        <v>195.965</v>
      </c>
    </row>
    <row r="6560" spans="1:24" x14ac:dyDescent="0.3">
      <c r="A6560">
        <v>24377</v>
      </c>
      <c r="B6560" t="s">
        <v>13230</v>
      </c>
      <c r="C6560" s="3">
        <v>41846</v>
      </c>
      <c r="D6560" t="s">
        <v>39</v>
      </c>
      <c r="E6560">
        <v>16</v>
      </c>
      <c r="F6560" s="3">
        <f ca="1">41847+(RANDBETWEEN(1,10))</f>
        <v>41854</v>
      </c>
      <c r="G6560" t="s">
        <v>76</v>
      </c>
      <c r="H6560" t="s">
        <v>258</v>
      </c>
      <c r="I6560" t="s">
        <v>97</v>
      </c>
      <c r="J6560">
        <v>4141.3050000000003</v>
      </c>
      <c r="K6560">
        <v>0.06</v>
      </c>
      <c r="L6560">
        <v>0.69</v>
      </c>
      <c r="M6560">
        <v>312.55</v>
      </c>
      <c r="N6560">
        <v>-9683.1554400000005</v>
      </c>
      <c r="O6560" s="1" t="s">
        <v>87</v>
      </c>
      <c r="P6560" s="1" t="s">
        <v>10633</v>
      </c>
      <c r="Q6560" s="1" t="s">
        <v>10634</v>
      </c>
      <c r="R6560" s="1" t="s">
        <v>90</v>
      </c>
      <c r="S6560" s="1" t="s">
        <v>10635</v>
      </c>
      <c r="T6560" s="1" t="s">
        <v>7946</v>
      </c>
      <c r="U6560" s="2" t="s">
        <v>407</v>
      </c>
      <c r="V6560" s="2" t="s">
        <v>83</v>
      </c>
      <c r="W6560" s="2" t="s">
        <v>263</v>
      </c>
      <c r="X6560" s="2">
        <v>248.11500000000001</v>
      </c>
    </row>
    <row r="6561" spans="1:24" x14ac:dyDescent="0.3">
      <c r="A6561">
        <v>24378</v>
      </c>
      <c r="B6561" t="s">
        <v>13231</v>
      </c>
      <c r="C6561" s="3">
        <v>41646</v>
      </c>
      <c r="D6561" t="s">
        <v>39</v>
      </c>
      <c r="E6561">
        <v>2</v>
      </c>
      <c r="F6561" s="3">
        <f ca="1">41647+(RANDBETWEEN(1,10))</f>
        <v>41657</v>
      </c>
      <c r="G6561" t="s">
        <v>26</v>
      </c>
      <c r="H6561" t="s">
        <v>51</v>
      </c>
      <c r="I6561" t="s">
        <v>52</v>
      </c>
      <c r="J6561">
        <v>91.42</v>
      </c>
      <c r="K6561">
        <v>0</v>
      </c>
      <c r="L6561">
        <v>0.59</v>
      </c>
      <c r="M6561">
        <v>31.465</v>
      </c>
      <c r="N6561">
        <v>-186.53319999999999</v>
      </c>
      <c r="O6561" s="1" t="s">
        <v>87</v>
      </c>
      <c r="P6561" s="1" t="s">
        <v>3981</v>
      </c>
      <c r="Q6561" s="1" t="s">
        <v>3982</v>
      </c>
      <c r="R6561" s="1" t="s">
        <v>90</v>
      </c>
      <c r="S6561" s="1" t="s">
        <v>1492</v>
      </c>
      <c r="T6561" s="1" t="s">
        <v>1493</v>
      </c>
      <c r="U6561" s="2" t="s">
        <v>2687</v>
      </c>
      <c r="V6561" s="2" t="s">
        <v>47</v>
      </c>
      <c r="W6561" s="2" t="s">
        <v>104</v>
      </c>
      <c r="X6561" s="2">
        <v>40.81</v>
      </c>
    </row>
    <row r="6562" spans="1:24" x14ac:dyDescent="0.3">
      <c r="A6562">
        <v>24379</v>
      </c>
      <c r="B6562" t="s">
        <v>13232</v>
      </c>
      <c r="C6562" s="3">
        <v>41749</v>
      </c>
      <c r="D6562" t="s">
        <v>148</v>
      </c>
      <c r="E6562">
        <v>8</v>
      </c>
      <c r="F6562" s="3">
        <f ca="1">41750+(RANDBETWEEN(1,10))</f>
        <v>41755</v>
      </c>
      <c r="G6562" t="s">
        <v>26</v>
      </c>
      <c r="H6562" t="s">
        <v>27</v>
      </c>
      <c r="I6562" t="s">
        <v>52</v>
      </c>
      <c r="J6562">
        <v>999.18</v>
      </c>
      <c r="K6562">
        <v>0.02</v>
      </c>
      <c r="L6562">
        <v>0.56999999999999995</v>
      </c>
      <c r="M6562">
        <v>28.77</v>
      </c>
      <c r="N6562">
        <v>613.62</v>
      </c>
      <c r="O6562" s="1" t="s">
        <v>29</v>
      </c>
      <c r="P6562" s="1" t="s">
        <v>3719</v>
      </c>
      <c r="Q6562" s="1" t="s">
        <v>3720</v>
      </c>
      <c r="R6562" s="1" t="s">
        <v>32</v>
      </c>
      <c r="S6562" s="1" t="s">
        <v>3721</v>
      </c>
      <c r="T6562" s="1" t="s">
        <v>3722</v>
      </c>
      <c r="U6562" s="2" t="s">
        <v>2001</v>
      </c>
      <c r="V6562" s="2" t="s">
        <v>47</v>
      </c>
      <c r="W6562" s="2" t="s">
        <v>119</v>
      </c>
      <c r="X6562" s="2">
        <v>121.66</v>
      </c>
    </row>
    <row r="6563" spans="1:24" x14ac:dyDescent="0.3">
      <c r="A6563">
        <v>24380</v>
      </c>
      <c r="B6563" t="s">
        <v>13233</v>
      </c>
      <c r="C6563" s="3">
        <v>41699</v>
      </c>
      <c r="D6563" t="s">
        <v>25</v>
      </c>
      <c r="E6563">
        <v>9</v>
      </c>
      <c r="F6563" s="3">
        <f ca="1">41706+(RANDBETWEEN(1,10))</f>
        <v>41710</v>
      </c>
      <c r="G6563" t="s">
        <v>26</v>
      </c>
      <c r="H6563" t="s">
        <v>51</v>
      </c>
      <c r="I6563" t="s">
        <v>86</v>
      </c>
      <c r="J6563">
        <v>1256.4649999999999</v>
      </c>
      <c r="K6563">
        <v>0.05</v>
      </c>
      <c r="L6563">
        <v>0.51</v>
      </c>
      <c r="M6563">
        <v>6.9649999999999999</v>
      </c>
      <c r="N6563">
        <v>866.96085000000005</v>
      </c>
      <c r="O6563" s="1" t="s">
        <v>87</v>
      </c>
      <c r="P6563" s="1" t="s">
        <v>4297</v>
      </c>
      <c r="Q6563" s="1" t="s">
        <v>4298</v>
      </c>
      <c r="R6563" s="1" t="s">
        <v>90</v>
      </c>
      <c r="S6563" s="1" t="s">
        <v>4299</v>
      </c>
      <c r="T6563" s="1" t="s">
        <v>4300</v>
      </c>
      <c r="U6563" s="2" t="s">
        <v>7488</v>
      </c>
      <c r="V6563" s="2" t="s">
        <v>36</v>
      </c>
      <c r="W6563" s="2" t="s">
        <v>60</v>
      </c>
      <c r="X6563" s="2">
        <v>137.34</v>
      </c>
    </row>
    <row r="6564" spans="1:24" x14ac:dyDescent="0.3">
      <c r="A6564">
        <v>24381</v>
      </c>
      <c r="B6564" t="s">
        <v>13233</v>
      </c>
      <c r="C6564" s="3">
        <v>41699</v>
      </c>
      <c r="D6564" t="s">
        <v>25</v>
      </c>
      <c r="E6564">
        <v>7</v>
      </c>
      <c r="F6564" s="3">
        <f ca="1">41706+(RANDBETWEEN(1,10))</f>
        <v>41711</v>
      </c>
      <c r="G6564" t="s">
        <v>26</v>
      </c>
      <c r="H6564" t="s">
        <v>27</v>
      </c>
      <c r="I6564" t="s">
        <v>86</v>
      </c>
      <c r="J6564">
        <v>840.94500000000005</v>
      </c>
      <c r="K6564">
        <v>0.05</v>
      </c>
      <c r="L6564">
        <v>0.55000000000000004</v>
      </c>
      <c r="M6564">
        <v>17.57</v>
      </c>
      <c r="N6564">
        <v>580.25205000000005</v>
      </c>
      <c r="O6564" s="1" t="s">
        <v>87</v>
      </c>
      <c r="P6564" s="1" t="s">
        <v>4297</v>
      </c>
      <c r="Q6564" s="1" t="s">
        <v>4298</v>
      </c>
      <c r="R6564" s="1" t="s">
        <v>90</v>
      </c>
      <c r="S6564" s="1" t="s">
        <v>4299</v>
      </c>
      <c r="T6564" s="1" t="s">
        <v>4300</v>
      </c>
      <c r="U6564" s="2" t="s">
        <v>4829</v>
      </c>
      <c r="V6564" s="2" t="s">
        <v>83</v>
      </c>
      <c r="W6564" s="2" t="s">
        <v>178</v>
      </c>
      <c r="X6564" s="2">
        <v>119.80500000000001</v>
      </c>
    </row>
    <row r="6565" spans="1:24" x14ac:dyDescent="0.3">
      <c r="A6565">
        <v>24382</v>
      </c>
      <c r="B6565" t="s">
        <v>13234</v>
      </c>
      <c r="C6565" s="3">
        <v>41958</v>
      </c>
      <c r="D6565" t="s">
        <v>39</v>
      </c>
      <c r="E6565">
        <v>33</v>
      </c>
      <c r="F6565" s="3">
        <f ca="1">41958+(RANDBETWEEN(1,10))</f>
        <v>41962</v>
      </c>
      <c r="G6565" t="s">
        <v>26</v>
      </c>
      <c r="H6565" t="s">
        <v>27</v>
      </c>
      <c r="I6565" t="s">
        <v>52</v>
      </c>
      <c r="J6565">
        <v>2160.62</v>
      </c>
      <c r="K6565">
        <v>0.09</v>
      </c>
      <c r="L6565">
        <v>0.38</v>
      </c>
      <c r="M6565">
        <v>20.895</v>
      </c>
      <c r="N6565">
        <v>1296.8771200000001</v>
      </c>
      <c r="O6565" s="1" t="s">
        <v>29</v>
      </c>
      <c r="P6565" s="1" t="s">
        <v>10210</v>
      </c>
      <c r="Q6565" s="1" t="s">
        <v>10211</v>
      </c>
      <c r="R6565" s="1" t="s">
        <v>32</v>
      </c>
      <c r="S6565" s="1" t="s">
        <v>3145</v>
      </c>
      <c r="T6565" s="1" t="s">
        <v>3146</v>
      </c>
      <c r="U6565" s="2" t="s">
        <v>161</v>
      </c>
      <c r="V6565" s="2" t="s">
        <v>47</v>
      </c>
      <c r="W6565" s="2" t="s">
        <v>74</v>
      </c>
      <c r="X6565" s="2">
        <v>69.930000000000007</v>
      </c>
    </row>
    <row r="6566" spans="1:24" x14ac:dyDescent="0.3">
      <c r="A6566">
        <v>24383</v>
      </c>
      <c r="B6566" t="s">
        <v>13235</v>
      </c>
      <c r="C6566" s="3">
        <v>41181</v>
      </c>
      <c r="D6566" t="s">
        <v>148</v>
      </c>
      <c r="E6566">
        <v>5</v>
      </c>
      <c r="F6566" s="3">
        <f ca="1">41182+(RANDBETWEEN(1,10))</f>
        <v>41189</v>
      </c>
      <c r="G6566" t="s">
        <v>76</v>
      </c>
      <c r="H6566" t="s">
        <v>258</v>
      </c>
      <c r="I6566" t="s">
        <v>28</v>
      </c>
      <c r="J6566">
        <v>15232.14</v>
      </c>
      <c r="K6566">
        <v>0.05</v>
      </c>
      <c r="L6566">
        <v>0.62</v>
      </c>
      <c r="M6566">
        <v>155.92500000000001</v>
      </c>
      <c r="N6566">
        <v>3620.89</v>
      </c>
      <c r="O6566" s="1" t="s">
        <v>29</v>
      </c>
      <c r="P6566" s="1" t="s">
        <v>13141</v>
      </c>
      <c r="Q6566" s="1" t="s">
        <v>13142</v>
      </c>
      <c r="R6566" s="1" t="s">
        <v>460</v>
      </c>
      <c r="S6566" s="1" t="s">
        <v>13143</v>
      </c>
      <c r="T6566" s="1" t="s">
        <v>13144</v>
      </c>
      <c r="U6566" s="2" t="s">
        <v>1930</v>
      </c>
      <c r="V6566" s="2" t="s">
        <v>83</v>
      </c>
      <c r="W6566" s="2" t="s">
        <v>298</v>
      </c>
      <c r="X6566" s="2">
        <v>3083.43</v>
      </c>
    </row>
    <row r="6567" spans="1:24" x14ac:dyDescent="0.3">
      <c r="A6567">
        <v>24384</v>
      </c>
      <c r="B6567" t="s">
        <v>13235</v>
      </c>
      <c r="C6567" s="3">
        <v>41181</v>
      </c>
      <c r="D6567" t="s">
        <v>148</v>
      </c>
      <c r="E6567">
        <v>19</v>
      </c>
      <c r="F6567" s="3">
        <f ca="1">41183+(RANDBETWEEN(1,10))</f>
        <v>41190</v>
      </c>
      <c r="G6567" t="s">
        <v>156</v>
      </c>
      <c r="H6567" t="s">
        <v>63</v>
      </c>
      <c r="I6567" t="s">
        <v>28</v>
      </c>
      <c r="J6567">
        <v>39010.334999999999</v>
      </c>
      <c r="K6567">
        <v>7.0000000000000007E-2</v>
      </c>
      <c r="L6567">
        <v>0.37</v>
      </c>
      <c r="M6567">
        <v>85.715000000000003</v>
      </c>
      <c r="N6567">
        <v>26917.131150000001</v>
      </c>
      <c r="O6567" s="1" t="s">
        <v>29</v>
      </c>
      <c r="P6567" s="1" t="s">
        <v>13141</v>
      </c>
      <c r="Q6567" s="1" t="s">
        <v>13142</v>
      </c>
      <c r="R6567" s="1" t="s">
        <v>460</v>
      </c>
      <c r="S6567" s="1" t="s">
        <v>13143</v>
      </c>
      <c r="T6567" s="1" t="s">
        <v>13144</v>
      </c>
      <c r="U6567" s="2" t="s">
        <v>1737</v>
      </c>
      <c r="V6567" s="2" t="s">
        <v>36</v>
      </c>
      <c r="W6567" s="2" t="s">
        <v>1327</v>
      </c>
      <c r="X6567" s="2">
        <v>2099.9650000000001</v>
      </c>
    </row>
    <row r="6568" spans="1:24" x14ac:dyDescent="0.3">
      <c r="A6568">
        <v>24385</v>
      </c>
      <c r="B6568" t="s">
        <v>13236</v>
      </c>
      <c r="C6568" s="3">
        <v>41610</v>
      </c>
      <c r="D6568" t="s">
        <v>62</v>
      </c>
      <c r="E6568">
        <v>10</v>
      </c>
      <c r="F6568" s="3">
        <f ca="1">41611+(RANDBETWEEN(1,10))</f>
        <v>41614</v>
      </c>
      <c r="G6568" t="s">
        <v>76</v>
      </c>
      <c r="H6568" t="s">
        <v>77</v>
      </c>
      <c r="I6568" t="s">
        <v>52</v>
      </c>
      <c r="J6568">
        <v>12247.375</v>
      </c>
      <c r="K6568">
        <v>0.08</v>
      </c>
      <c r="L6568">
        <v>0.65</v>
      </c>
      <c r="M6568">
        <v>346.5</v>
      </c>
      <c r="N6568">
        <v>-972.96500000000003</v>
      </c>
      <c r="O6568" s="1" t="s">
        <v>40</v>
      </c>
      <c r="P6568" s="1" t="s">
        <v>1849</v>
      </c>
      <c r="Q6568" s="1" t="s">
        <v>1850</v>
      </c>
      <c r="R6568" s="1" t="s">
        <v>43</v>
      </c>
      <c r="S6568" s="1" t="s">
        <v>1851</v>
      </c>
      <c r="T6568" s="1" t="s">
        <v>1852</v>
      </c>
      <c r="U6568" s="2" t="s">
        <v>1540</v>
      </c>
      <c r="V6568" s="2" t="s">
        <v>47</v>
      </c>
      <c r="W6568" s="2" t="s">
        <v>119</v>
      </c>
      <c r="X6568" s="2">
        <v>1298.43</v>
      </c>
    </row>
    <row r="6569" spans="1:24" x14ac:dyDescent="0.3">
      <c r="A6569">
        <v>24386</v>
      </c>
      <c r="B6569" t="s">
        <v>13237</v>
      </c>
      <c r="C6569" s="3">
        <v>41367</v>
      </c>
      <c r="D6569" t="s">
        <v>25</v>
      </c>
      <c r="E6569">
        <v>13</v>
      </c>
      <c r="F6569" s="3">
        <f ca="1">41369+(RANDBETWEEN(1,10))</f>
        <v>41374</v>
      </c>
      <c r="G6569" t="s">
        <v>26</v>
      </c>
      <c r="H6569" t="s">
        <v>27</v>
      </c>
      <c r="I6569" t="s">
        <v>97</v>
      </c>
      <c r="J6569">
        <v>88.515000000000001</v>
      </c>
      <c r="K6569">
        <v>0.08</v>
      </c>
      <c r="L6569">
        <v>0.38</v>
      </c>
      <c r="M6569">
        <v>5.2149999999999999</v>
      </c>
      <c r="N6569">
        <v>-80.137749999999997</v>
      </c>
      <c r="O6569" s="1" t="s">
        <v>53</v>
      </c>
      <c r="P6569" s="1" t="s">
        <v>4903</v>
      </c>
      <c r="Q6569" s="1" t="s">
        <v>4904</v>
      </c>
      <c r="R6569" s="1" t="s">
        <v>56</v>
      </c>
      <c r="S6569" s="1" t="s">
        <v>4905</v>
      </c>
      <c r="T6569" s="1" t="s">
        <v>4906</v>
      </c>
      <c r="U6569" s="2" t="s">
        <v>7281</v>
      </c>
      <c r="V6569" s="2" t="s">
        <v>47</v>
      </c>
      <c r="W6569" s="2" t="s">
        <v>111</v>
      </c>
      <c r="X6569" s="2">
        <v>7.28</v>
      </c>
    </row>
    <row r="6570" spans="1:24" x14ac:dyDescent="0.3">
      <c r="A6570">
        <v>24387</v>
      </c>
      <c r="B6570" t="s">
        <v>13238</v>
      </c>
      <c r="C6570" s="3">
        <v>40663</v>
      </c>
      <c r="D6570" t="s">
        <v>62</v>
      </c>
      <c r="E6570">
        <v>9</v>
      </c>
      <c r="F6570" s="3">
        <f ca="1">40664+(RANDBETWEEN(1,10))</f>
        <v>40666</v>
      </c>
      <c r="G6570" t="s">
        <v>156</v>
      </c>
      <c r="H6570" t="s">
        <v>27</v>
      </c>
      <c r="I6570" t="s">
        <v>52</v>
      </c>
      <c r="J6570">
        <v>1772.33</v>
      </c>
      <c r="K6570">
        <v>0.06</v>
      </c>
      <c r="L6570">
        <v>0.57999999999999996</v>
      </c>
      <c r="M6570">
        <v>30.8</v>
      </c>
      <c r="N6570">
        <v>1008.3150000000001</v>
      </c>
      <c r="O6570" s="1" t="s">
        <v>225</v>
      </c>
      <c r="P6570" s="1" t="s">
        <v>12467</v>
      </c>
      <c r="Q6570" s="1" t="s">
        <v>12468</v>
      </c>
      <c r="R6570" s="1" t="s">
        <v>228</v>
      </c>
      <c r="S6570" s="1" t="s">
        <v>12469</v>
      </c>
      <c r="T6570" s="1" t="s">
        <v>12470</v>
      </c>
      <c r="U6570" s="2">
        <v>6120</v>
      </c>
      <c r="V6570" s="2" t="s">
        <v>36</v>
      </c>
      <c r="W6570" s="2" t="s">
        <v>37</v>
      </c>
      <c r="X6570" s="2">
        <v>230.965</v>
      </c>
    </row>
    <row r="6571" spans="1:24" x14ac:dyDescent="0.3">
      <c r="A6571">
        <v>24388</v>
      </c>
      <c r="B6571" t="s">
        <v>13238</v>
      </c>
      <c r="C6571" s="3">
        <v>40663</v>
      </c>
      <c r="D6571" t="s">
        <v>62</v>
      </c>
      <c r="E6571">
        <v>6</v>
      </c>
      <c r="F6571" s="3">
        <f ca="1">40665+(RANDBETWEEN(1,10))</f>
        <v>40669</v>
      </c>
      <c r="G6571" t="s">
        <v>156</v>
      </c>
      <c r="H6571" t="s">
        <v>27</v>
      </c>
      <c r="I6571" t="s">
        <v>52</v>
      </c>
      <c r="J6571">
        <v>3649.52</v>
      </c>
      <c r="K6571">
        <v>0</v>
      </c>
      <c r="L6571">
        <v>0.56999999999999995</v>
      </c>
      <c r="M6571">
        <v>14.7</v>
      </c>
      <c r="N6571">
        <v>2518.1687999999999</v>
      </c>
      <c r="O6571" s="1" t="s">
        <v>225</v>
      </c>
      <c r="P6571" s="1" t="s">
        <v>12467</v>
      </c>
      <c r="Q6571" s="1" t="s">
        <v>12468</v>
      </c>
      <c r="R6571" s="1" t="s">
        <v>228</v>
      </c>
      <c r="S6571" s="1" t="s">
        <v>12469</v>
      </c>
      <c r="T6571" s="1" t="s">
        <v>12470</v>
      </c>
      <c r="U6571" s="2" t="s">
        <v>2475</v>
      </c>
      <c r="V6571" s="2" t="s">
        <v>36</v>
      </c>
      <c r="W6571" s="2" t="s">
        <v>37</v>
      </c>
      <c r="X6571" s="2">
        <v>685.96500000000003</v>
      </c>
    </row>
    <row r="6572" spans="1:24" x14ac:dyDescent="0.3">
      <c r="A6572">
        <v>24389</v>
      </c>
      <c r="B6572" t="s">
        <v>13239</v>
      </c>
      <c r="C6572" s="3">
        <v>41507</v>
      </c>
      <c r="D6572" t="s">
        <v>148</v>
      </c>
      <c r="E6572">
        <v>13</v>
      </c>
      <c r="F6572" s="3">
        <f ca="1">41508+(RANDBETWEEN(1,10))</f>
        <v>41515</v>
      </c>
      <c r="G6572" t="s">
        <v>156</v>
      </c>
      <c r="H6572" t="s">
        <v>27</v>
      </c>
      <c r="I6572" t="s">
        <v>86</v>
      </c>
      <c r="J6572">
        <v>287.17500000000001</v>
      </c>
      <c r="K6572">
        <v>0.03</v>
      </c>
      <c r="L6572">
        <v>0.39</v>
      </c>
      <c r="M6572">
        <v>17.535</v>
      </c>
      <c r="N6572">
        <v>-75.013120000000001</v>
      </c>
      <c r="O6572" s="1" t="s">
        <v>29</v>
      </c>
      <c r="P6572" s="1" t="s">
        <v>13240</v>
      </c>
      <c r="Q6572" s="1" t="s">
        <v>13241</v>
      </c>
      <c r="R6572" s="1" t="s">
        <v>675</v>
      </c>
      <c r="S6572" s="1" t="s">
        <v>1324</v>
      </c>
      <c r="T6572" s="1" t="s">
        <v>1325</v>
      </c>
      <c r="U6572" s="2" t="s">
        <v>2422</v>
      </c>
      <c r="V6572" s="2" t="s">
        <v>47</v>
      </c>
      <c r="W6572" s="2" t="s">
        <v>111</v>
      </c>
      <c r="X6572" s="2">
        <v>20.09</v>
      </c>
    </row>
    <row r="6573" spans="1:24" x14ac:dyDescent="0.3">
      <c r="A6573">
        <v>24390</v>
      </c>
      <c r="B6573" t="s">
        <v>13239</v>
      </c>
      <c r="C6573" s="3">
        <v>41507</v>
      </c>
      <c r="D6573" t="s">
        <v>148</v>
      </c>
      <c r="E6573">
        <v>11</v>
      </c>
      <c r="F6573" s="3">
        <f ca="1">41509+(RANDBETWEEN(1,10))</f>
        <v>41515</v>
      </c>
      <c r="G6573" t="s">
        <v>156</v>
      </c>
      <c r="H6573" t="s">
        <v>27</v>
      </c>
      <c r="I6573" t="s">
        <v>86</v>
      </c>
      <c r="J6573">
        <v>2204.335</v>
      </c>
      <c r="K6573">
        <v>0.02</v>
      </c>
      <c r="L6573">
        <v>0.62</v>
      </c>
      <c r="M6573">
        <v>19.25</v>
      </c>
      <c r="N6573">
        <v>1060.346</v>
      </c>
      <c r="O6573" s="1" t="s">
        <v>87</v>
      </c>
      <c r="P6573" s="1" t="s">
        <v>13242</v>
      </c>
      <c r="Q6573" s="1" t="s">
        <v>13243</v>
      </c>
      <c r="R6573" s="1" t="s">
        <v>398</v>
      </c>
      <c r="S6573" s="1" t="s">
        <v>581</v>
      </c>
      <c r="T6573" s="1" t="s">
        <v>582</v>
      </c>
      <c r="U6573" s="2" t="s">
        <v>2236</v>
      </c>
      <c r="V6573" s="2" t="s">
        <v>36</v>
      </c>
      <c r="W6573" s="2" t="s">
        <v>60</v>
      </c>
      <c r="X6573" s="2">
        <v>188.93</v>
      </c>
    </row>
    <row r="6574" spans="1:24" x14ac:dyDescent="0.3">
      <c r="A6574">
        <v>24391</v>
      </c>
      <c r="B6574" t="s">
        <v>13239</v>
      </c>
      <c r="C6574" s="3">
        <v>41507</v>
      </c>
      <c r="D6574" t="s">
        <v>148</v>
      </c>
      <c r="E6574">
        <v>1</v>
      </c>
      <c r="F6574" s="3">
        <f ca="1">41509+(RANDBETWEEN(1,10))</f>
        <v>41510</v>
      </c>
      <c r="G6574" t="s">
        <v>26</v>
      </c>
      <c r="H6574" t="s">
        <v>27</v>
      </c>
      <c r="I6574" t="s">
        <v>86</v>
      </c>
      <c r="J6574">
        <v>41.335000000000001</v>
      </c>
      <c r="K6574">
        <v>0.01</v>
      </c>
      <c r="L6574">
        <v>0.41</v>
      </c>
      <c r="M6574">
        <v>19.495000000000001</v>
      </c>
      <c r="N6574">
        <v>-14.468999999999999</v>
      </c>
      <c r="O6574" s="1" t="s">
        <v>40</v>
      </c>
      <c r="P6574" s="1" t="s">
        <v>13244</v>
      </c>
      <c r="Q6574" s="1" t="s">
        <v>13245</v>
      </c>
      <c r="R6574" s="1" t="s">
        <v>220</v>
      </c>
      <c r="S6574" s="1" t="s">
        <v>13246</v>
      </c>
      <c r="T6574" s="1" t="s">
        <v>13247</v>
      </c>
      <c r="U6574" s="2" t="s">
        <v>10299</v>
      </c>
      <c r="V6574" s="2" t="s">
        <v>83</v>
      </c>
      <c r="W6574" s="2" t="s">
        <v>178</v>
      </c>
      <c r="X6574" s="2">
        <v>20.614999999999998</v>
      </c>
    </row>
    <row r="6575" spans="1:24" x14ac:dyDescent="0.3">
      <c r="A6575">
        <v>24392</v>
      </c>
      <c r="B6575" t="s">
        <v>13248</v>
      </c>
      <c r="C6575" s="3">
        <v>41269</v>
      </c>
      <c r="D6575" t="s">
        <v>25</v>
      </c>
      <c r="E6575">
        <v>12</v>
      </c>
      <c r="F6575" s="3">
        <f ca="1">41291+(RANDBETWEEN(1,10))</f>
        <v>41293</v>
      </c>
      <c r="G6575" t="s">
        <v>26</v>
      </c>
      <c r="H6575" t="s">
        <v>51</v>
      </c>
      <c r="I6575" t="s">
        <v>97</v>
      </c>
      <c r="J6575">
        <v>1204.56</v>
      </c>
      <c r="K6575">
        <v>0.05</v>
      </c>
      <c r="L6575">
        <v>0.5</v>
      </c>
      <c r="M6575">
        <v>6.9649999999999999</v>
      </c>
      <c r="N6575">
        <v>14805.700349999999</v>
      </c>
      <c r="O6575" s="1" t="s">
        <v>53</v>
      </c>
      <c r="P6575" s="1" t="s">
        <v>4769</v>
      </c>
      <c r="Q6575" s="1" t="s">
        <v>4770</v>
      </c>
      <c r="R6575" s="1" t="s">
        <v>440</v>
      </c>
      <c r="S6575" s="1" t="s">
        <v>1363</v>
      </c>
      <c r="T6575" s="1" t="s">
        <v>1364</v>
      </c>
      <c r="U6575" s="2" t="s">
        <v>124</v>
      </c>
      <c r="V6575" s="2" t="s">
        <v>36</v>
      </c>
      <c r="W6575" s="2" t="s">
        <v>60</v>
      </c>
      <c r="X6575" s="2">
        <v>104.61499999999999</v>
      </c>
    </row>
    <row r="6576" spans="1:24" x14ac:dyDescent="0.3">
      <c r="A6576">
        <v>24393</v>
      </c>
      <c r="B6576" t="s">
        <v>13249</v>
      </c>
      <c r="C6576" s="3">
        <v>41011</v>
      </c>
      <c r="D6576" t="s">
        <v>62</v>
      </c>
      <c r="E6576">
        <v>3</v>
      </c>
      <c r="F6576" s="3">
        <f ca="1">41014+(RANDBETWEEN(1,10))</f>
        <v>41021</v>
      </c>
      <c r="G6576" t="s">
        <v>76</v>
      </c>
      <c r="H6576" t="s">
        <v>77</v>
      </c>
      <c r="I6576" t="s">
        <v>28</v>
      </c>
      <c r="J6576">
        <v>3271.52</v>
      </c>
      <c r="K6576">
        <v>0.1</v>
      </c>
      <c r="L6576">
        <v>0.56999999999999995</v>
      </c>
      <c r="M6576">
        <v>206.32499999999999</v>
      </c>
      <c r="N6576">
        <v>435.26</v>
      </c>
      <c r="O6576" s="1" t="s">
        <v>40</v>
      </c>
      <c r="P6576" s="1" t="s">
        <v>12883</v>
      </c>
      <c r="Q6576" s="1" t="s">
        <v>12884</v>
      </c>
      <c r="R6576" s="1" t="s">
        <v>43</v>
      </c>
      <c r="S6576" s="1" t="s">
        <v>2753</v>
      </c>
      <c r="T6576" s="1" t="s">
        <v>2754</v>
      </c>
      <c r="U6576" s="2" t="s">
        <v>850</v>
      </c>
      <c r="V6576" s="2" t="s">
        <v>83</v>
      </c>
      <c r="W6576" s="2" t="s">
        <v>84</v>
      </c>
      <c r="X6576" s="2">
        <v>1123.43</v>
      </c>
    </row>
    <row r="6577" spans="1:24" x14ac:dyDescent="0.3">
      <c r="A6577">
        <v>24394</v>
      </c>
      <c r="B6577" t="s">
        <v>13249</v>
      </c>
      <c r="C6577" s="3">
        <v>41011</v>
      </c>
      <c r="D6577" t="s">
        <v>62</v>
      </c>
      <c r="E6577">
        <v>3</v>
      </c>
      <c r="F6577" s="3">
        <f ca="1">41012+(RANDBETWEEN(1,10))</f>
        <v>41020</v>
      </c>
      <c r="G6577" t="s">
        <v>26</v>
      </c>
      <c r="H6577" t="s">
        <v>96</v>
      </c>
      <c r="I6577" t="s">
        <v>28</v>
      </c>
      <c r="J6577">
        <v>38.08</v>
      </c>
      <c r="K6577">
        <v>0.08</v>
      </c>
      <c r="L6577">
        <v>0.56000000000000005</v>
      </c>
      <c r="M6577">
        <v>13.895</v>
      </c>
      <c r="N6577">
        <v>-99.295000000000002</v>
      </c>
      <c r="O6577" s="1" t="s">
        <v>40</v>
      </c>
      <c r="P6577" s="1" t="s">
        <v>12883</v>
      </c>
      <c r="Q6577" s="1" t="s">
        <v>12884</v>
      </c>
      <c r="R6577" s="1" t="s">
        <v>43</v>
      </c>
      <c r="S6577" s="1" t="s">
        <v>2753</v>
      </c>
      <c r="T6577" s="1" t="s">
        <v>2754</v>
      </c>
      <c r="U6577" s="2" t="s">
        <v>4166</v>
      </c>
      <c r="V6577" s="2" t="s">
        <v>47</v>
      </c>
      <c r="W6577" s="2" t="s">
        <v>104</v>
      </c>
      <c r="X6577" s="2">
        <v>11.48</v>
      </c>
    </row>
    <row r="6578" spans="1:24" x14ac:dyDescent="0.3">
      <c r="A6578">
        <v>24395</v>
      </c>
      <c r="B6578" t="s">
        <v>13249</v>
      </c>
      <c r="C6578" s="3">
        <v>41011</v>
      </c>
      <c r="D6578" t="s">
        <v>62</v>
      </c>
      <c r="E6578">
        <v>13</v>
      </c>
      <c r="F6578" s="3">
        <f ca="1">41014+(RANDBETWEEN(1,10))</f>
        <v>41021</v>
      </c>
      <c r="G6578" t="s">
        <v>26</v>
      </c>
      <c r="H6578" t="s">
        <v>51</v>
      </c>
      <c r="I6578" t="s">
        <v>28</v>
      </c>
      <c r="J6578">
        <v>812.77</v>
      </c>
      <c r="K6578">
        <v>0</v>
      </c>
      <c r="L6578">
        <v>0.83</v>
      </c>
      <c r="M6578">
        <v>4.375</v>
      </c>
      <c r="N6578">
        <v>38.493000000000002</v>
      </c>
      <c r="O6578" s="1" t="s">
        <v>40</v>
      </c>
      <c r="P6578" s="1" t="s">
        <v>12883</v>
      </c>
      <c r="Q6578" s="1" t="s">
        <v>12884</v>
      </c>
      <c r="R6578" s="1" t="s">
        <v>43</v>
      </c>
      <c r="S6578" s="1" t="s">
        <v>2753</v>
      </c>
      <c r="T6578" s="1" t="s">
        <v>2754</v>
      </c>
      <c r="U6578" s="2" t="s">
        <v>3952</v>
      </c>
      <c r="V6578" s="2" t="s">
        <v>36</v>
      </c>
      <c r="W6578" s="2" t="s">
        <v>37</v>
      </c>
      <c r="X6578" s="2">
        <v>73.465000000000003</v>
      </c>
    </row>
    <row r="6579" spans="1:24" x14ac:dyDescent="0.3">
      <c r="A6579">
        <v>24396</v>
      </c>
      <c r="B6579" t="s">
        <v>13250</v>
      </c>
      <c r="C6579" s="3">
        <v>40774</v>
      </c>
      <c r="D6579" t="s">
        <v>25</v>
      </c>
      <c r="E6579">
        <v>9</v>
      </c>
      <c r="F6579" s="3">
        <f ca="1">40779+(RANDBETWEEN(1,10))</f>
        <v>40785</v>
      </c>
      <c r="G6579" t="s">
        <v>26</v>
      </c>
      <c r="H6579" t="s">
        <v>27</v>
      </c>
      <c r="I6579" t="s">
        <v>28</v>
      </c>
      <c r="J6579">
        <v>1643.5650000000001</v>
      </c>
      <c r="K6579">
        <v>0.1</v>
      </c>
      <c r="L6579">
        <v>0.59</v>
      </c>
      <c r="M6579">
        <v>69.965000000000003</v>
      </c>
      <c r="N6579">
        <v>119.238</v>
      </c>
      <c r="O6579" s="1" t="s">
        <v>53</v>
      </c>
      <c r="P6579" s="1" t="s">
        <v>13251</v>
      </c>
      <c r="Q6579" s="1" t="s">
        <v>13252</v>
      </c>
      <c r="R6579" s="1" t="s">
        <v>56</v>
      </c>
      <c r="S6579" s="1" t="s">
        <v>13253</v>
      </c>
      <c r="T6579" s="1" t="s">
        <v>13254</v>
      </c>
      <c r="U6579" s="2" t="s">
        <v>8463</v>
      </c>
      <c r="V6579" s="2" t="s">
        <v>47</v>
      </c>
      <c r="W6579" s="2" t="s">
        <v>119</v>
      </c>
      <c r="X6579" s="2">
        <v>189.35</v>
      </c>
    </row>
    <row r="6580" spans="1:24" x14ac:dyDescent="0.3">
      <c r="A6580">
        <v>24397</v>
      </c>
      <c r="B6580" t="s">
        <v>13255</v>
      </c>
      <c r="C6580" s="3">
        <v>41021</v>
      </c>
      <c r="D6580" t="s">
        <v>148</v>
      </c>
      <c r="E6580">
        <v>5</v>
      </c>
      <c r="F6580" s="3">
        <f ca="1">41022+(RANDBETWEEN(1,10))</f>
        <v>41027</v>
      </c>
      <c r="G6580" t="s">
        <v>26</v>
      </c>
      <c r="H6580" t="s">
        <v>27</v>
      </c>
      <c r="I6580" t="s">
        <v>28</v>
      </c>
      <c r="J6580">
        <v>513.27499999999998</v>
      </c>
      <c r="K6580">
        <v>0.06</v>
      </c>
      <c r="L6580">
        <v>0.55000000000000004</v>
      </c>
      <c r="M6580">
        <v>3.85</v>
      </c>
      <c r="N6580">
        <v>67.850999999999999</v>
      </c>
      <c r="O6580" s="1" t="s">
        <v>64</v>
      </c>
      <c r="P6580" s="1" t="s">
        <v>3595</v>
      </c>
      <c r="Q6580" s="1" t="s">
        <v>3596</v>
      </c>
      <c r="R6580" s="1" t="s">
        <v>67</v>
      </c>
      <c r="S6580" s="1" t="s">
        <v>3597</v>
      </c>
      <c r="T6580" s="1" t="s">
        <v>3598</v>
      </c>
      <c r="U6580" s="2" t="s">
        <v>1451</v>
      </c>
      <c r="V6580" s="2" t="s">
        <v>36</v>
      </c>
      <c r="W6580" s="2" t="s">
        <v>37</v>
      </c>
      <c r="X6580" s="2">
        <v>125.965</v>
      </c>
    </row>
    <row r="6581" spans="1:24" x14ac:dyDescent="0.3">
      <c r="A6581">
        <v>24398</v>
      </c>
      <c r="B6581" t="s">
        <v>13256</v>
      </c>
      <c r="C6581" s="3">
        <v>41068</v>
      </c>
      <c r="D6581" t="s">
        <v>39</v>
      </c>
      <c r="E6581">
        <v>7</v>
      </c>
      <c r="F6581" s="3">
        <f ca="1">41069+(RANDBETWEEN(1,10))</f>
        <v>41074</v>
      </c>
      <c r="G6581" t="s">
        <v>26</v>
      </c>
      <c r="H6581" t="s">
        <v>27</v>
      </c>
      <c r="I6581" t="s">
        <v>86</v>
      </c>
      <c r="J6581">
        <v>116.69</v>
      </c>
      <c r="K6581">
        <v>0.03</v>
      </c>
      <c r="L6581">
        <v>0.37</v>
      </c>
      <c r="M6581">
        <v>21.734999999999999</v>
      </c>
      <c r="N6581">
        <v>-95.795000000000002</v>
      </c>
      <c r="O6581" s="1" t="s">
        <v>40</v>
      </c>
      <c r="P6581" s="1" t="s">
        <v>11958</v>
      </c>
      <c r="Q6581" s="1" t="s">
        <v>11959</v>
      </c>
      <c r="R6581" s="1" t="s">
        <v>220</v>
      </c>
      <c r="S6581" s="1" t="s">
        <v>11960</v>
      </c>
      <c r="T6581" s="1" t="s">
        <v>11961</v>
      </c>
      <c r="U6581" s="2" t="s">
        <v>11987</v>
      </c>
      <c r="V6581" s="2" t="s">
        <v>47</v>
      </c>
      <c r="W6581" s="2" t="s">
        <v>111</v>
      </c>
      <c r="X6581" s="2">
        <v>15.33</v>
      </c>
    </row>
    <row r="6582" spans="1:24" x14ac:dyDescent="0.3">
      <c r="A6582">
        <v>24399</v>
      </c>
      <c r="B6582" t="s">
        <v>13256</v>
      </c>
      <c r="C6582" s="3">
        <v>41068</v>
      </c>
      <c r="D6582" t="s">
        <v>39</v>
      </c>
      <c r="E6582">
        <v>6</v>
      </c>
      <c r="F6582" s="3">
        <f ca="1">41069+(RANDBETWEEN(1,10))</f>
        <v>41072</v>
      </c>
      <c r="G6582" t="s">
        <v>26</v>
      </c>
      <c r="H6582" t="s">
        <v>27</v>
      </c>
      <c r="I6582" t="s">
        <v>86</v>
      </c>
      <c r="J6582">
        <v>2510.0949999999998</v>
      </c>
      <c r="K6582">
        <v>0.05</v>
      </c>
      <c r="L6582">
        <v>0.35</v>
      </c>
      <c r="M6582">
        <v>31.745000000000001</v>
      </c>
      <c r="N6582">
        <v>-511.315</v>
      </c>
      <c r="O6582" s="1" t="s">
        <v>40</v>
      </c>
      <c r="P6582" s="1" t="s">
        <v>11958</v>
      </c>
      <c r="Q6582" s="1" t="s">
        <v>11959</v>
      </c>
      <c r="R6582" s="1" t="s">
        <v>220</v>
      </c>
      <c r="S6582" s="1" t="s">
        <v>11960</v>
      </c>
      <c r="T6582" s="1" t="s">
        <v>11961</v>
      </c>
      <c r="U6582" s="2" t="s">
        <v>4646</v>
      </c>
      <c r="V6582" s="2" t="s">
        <v>47</v>
      </c>
      <c r="W6582" s="2" t="s">
        <v>111</v>
      </c>
      <c r="X6582" s="2">
        <v>423.43</v>
      </c>
    </row>
    <row r="6583" spans="1:24" x14ac:dyDescent="0.3">
      <c r="A6583">
        <v>24400</v>
      </c>
      <c r="B6583" t="s">
        <v>13256</v>
      </c>
      <c r="C6583" s="3">
        <v>41068</v>
      </c>
      <c r="D6583" t="s">
        <v>39</v>
      </c>
      <c r="E6583">
        <v>9</v>
      </c>
      <c r="F6583" s="3">
        <f ca="1">41068+(RANDBETWEEN(1,10))</f>
        <v>41076</v>
      </c>
      <c r="G6583" t="s">
        <v>26</v>
      </c>
      <c r="H6583" t="s">
        <v>27</v>
      </c>
      <c r="I6583" t="s">
        <v>86</v>
      </c>
      <c r="J6583">
        <v>173.18</v>
      </c>
      <c r="K6583">
        <v>0.04</v>
      </c>
      <c r="L6583">
        <v>0.37</v>
      </c>
      <c r="M6583">
        <v>10.465</v>
      </c>
      <c r="N6583">
        <v>764.88300000000004</v>
      </c>
      <c r="O6583" s="1" t="s">
        <v>40</v>
      </c>
      <c r="P6583" s="1" t="s">
        <v>11958</v>
      </c>
      <c r="Q6583" s="1" t="s">
        <v>11959</v>
      </c>
      <c r="R6583" s="1" t="s">
        <v>220</v>
      </c>
      <c r="S6583" s="1" t="s">
        <v>11960</v>
      </c>
      <c r="T6583" s="1" t="s">
        <v>11961</v>
      </c>
      <c r="U6583" s="2" t="s">
        <v>1041</v>
      </c>
      <c r="V6583" s="2" t="s">
        <v>47</v>
      </c>
      <c r="W6583" s="2" t="s">
        <v>111</v>
      </c>
      <c r="X6583" s="2">
        <v>18.48</v>
      </c>
    </row>
    <row r="6584" spans="1:24" x14ac:dyDescent="0.3">
      <c r="A6584">
        <v>24401</v>
      </c>
      <c r="B6584" t="s">
        <v>13257</v>
      </c>
      <c r="C6584" s="3">
        <v>41681</v>
      </c>
      <c r="D6584" t="s">
        <v>62</v>
      </c>
      <c r="E6584">
        <v>4</v>
      </c>
      <c r="F6584" s="3">
        <f ca="1">41682+(RANDBETWEEN(1,10))</f>
        <v>41688</v>
      </c>
      <c r="G6584" t="s">
        <v>26</v>
      </c>
      <c r="H6584" t="s">
        <v>63</v>
      </c>
      <c r="I6584" t="s">
        <v>52</v>
      </c>
      <c r="J6584">
        <v>825.79</v>
      </c>
      <c r="K6584">
        <v>0.08</v>
      </c>
      <c r="L6584">
        <v>0.59</v>
      </c>
      <c r="M6584">
        <v>171.5</v>
      </c>
      <c r="N6584">
        <v>-1973.51</v>
      </c>
      <c r="O6584" s="1" t="s">
        <v>64</v>
      </c>
      <c r="P6584" s="1" t="s">
        <v>8751</v>
      </c>
      <c r="Q6584" s="1" t="s">
        <v>8752</v>
      </c>
      <c r="R6584" s="1" t="s">
        <v>128</v>
      </c>
      <c r="S6584" s="1" t="s">
        <v>8753</v>
      </c>
      <c r="T6584" s="1" t="s">
        <v>8754</v>
      </c>
      <c r="U6584" s="2" t="s">
        <v>1546</v>
      </c>
      <c r="V6584" s="2" t="s">
        <v>47</v>
      </c>
      <c r="W6584" s="2" t="s">
        <v>71</v>
      </c>
      <c r="X6584" s="2">
        <v>213.43</v>
      </c>
    </row>
    <row r="6585" spans="1:24" x14ac:dyDescent="0.3">
      <c r="A6585">
        <v>24402</v>
      </c>
      <c r="B6585" t="s">
        <v>13258</v>
      </c>
      <c r="C6585" s="3">
        <v>41860</v>
      </c>
      <c r="D6585" t="s">
        <v>62</v>
      </c>
      <c r="E6585">
        <v>3</v>
      </c>
      <c r="F6585" s="3">
        <f ca="1">41862+(RANDBETWEEN(1,10))</f>
        <v>41863</v>
      </c>
      <c r="G6585" t="s">
        <v>76</v>
      </c>
      <c r="H6585" t="s">
        <v>77</v>
      </c>
      <c r="I6585" t="s">
        <v>28</v>
      </c>
      <c r="J6585">
        <v>1571.395</v>
      </c>
      <c r="K6585">
        <v>0.02</v>
      </c>
      <c r="L6585">
        <v>0.76</v>
      </c>
      <c r="M6585">
        <v>100.205</v>
      </c>
      <c r="N6585">
        <v>-272.4624</v>
      </c>
      <c r="O6585" s="1" t="s">
        <v>87</v>
      </c>
      <c r="P6585" s="1" t="s">
        <v>11261</v>
      </c>
      <c r="Q6585" s="1" t="s">
        <v>11262</v>
      </c>
      <c r="R6585" s="1" t="s">
        <v>90</v>
      </c>
      <c r="S6585" s="1" t="s">
        <v>8998</v>
      </c>
      <c r="T6585" s="1" t="s">
        <v>8999</v>
      </c>
      <c r="U6585" s="2" t="s">
        <v>4062</v>
      </c>
      <c r="V6585" s="2" t="s">
        <v>83</v>
      </c>
      <c r="W6585" s="2" t="s">
        <v>84</v>
      </c>
      <c r="X6585" s="2">
        <v>475.96499999999997</v>
      </c>
    </row>
    <row r="6586" spans="1:24" x14ac:dyDescent="0.3">
      <c r="A6586">
        <v>24403</v>
      </c>
      <c r="B6586" t="s">
        <v>13259</v>
      </c>
      <c r="C6586" s="3">
        <v>41747</v>
      </c>
      <c r="D6586" t="s">
        <v>62</v>
      </c>
      <c r="E6586">
        <v>12</v>
      </c>
      <c r="F6586" s="3">
        <f ca="1">41747+(RANDBETWEEN(1,10))</f>
        <v>41754</v>
      </c>
      <c r="G6586" t="s">
        <v>26</v>
      </c>
      <c r="H6586" t="s">
        <v>281</v>
      </c>
      <c r="I6586" t="s">
        <v>97</v>
      </c>
      <c r="J6586">
        <v>924</v>
      </c>
      <c r="K6586">
        <v>7.0000000000000007E-2</v>
      </c>
      <c r="L6586">
        <v>0.5</v>
      </c>
      <c r="M6586">
        <v>20.79</v>
      </c>
      <c r="N6586">
        <v>637.55999999999995</v>
      </c>
      <c r="O6586" s="1" t="s">
        <v>87</v>
      </c>
      <c r="P6586" s="1" t="s">
        <v>11495</v>
      </c>
      <c r="Q6586" s="1" t="s">
        <v>11496</v>
      </c>
      <c r="R6586" s="1" t="s">
        <v>90</v>
      </c>
      <c r="S6586" s="1" t="s">
        <v>4145</v>
      </c>
      <c r="T6586" s="1" t="s">
        <v>4146</v>
      </c>
      <c r="U6586" s="2" t="s">
        <v>785</v>
      </c>
      <c r="V6586" s="2" t="s">
        <v>47</v>
      </c>
      <c r="W6586" s="2" t="s">
        <v>71</v>
      </c>
      <c r="X6586" s="2">
        <v>76.23</v>
      </c>
    </row>
    <row r="6587" spans="1:24" x14ac:dyDescent="0.3">
      <c r="A6587">
        <v>24404</v>
      </c>
      <c r="B6587" t="s">
        <v>13260</v>
      </c>
      <c r="C6587" s="3">
        <v>41634</v>
      </c>
      <c r="D6587" t="s">
        <v>25</v>
      </c>
      <c r="E6587">
        <v>2</v>
      </c>
      <c r="F6587" s="3">
        <f ca="1">41639+(RANDBETWEEN(1,10))</f>
        <v>41647</v>
      </c>
      <c r="G6587" t="s">
        <v>26</v>
      </c>
      <c r="H6587" t="s">
        <v>27</v>
      </c>
      <c r="I6587" t="s">
        <v>52</v>
      </c>
      <c r="J6587">
        <v>1046.1849999999999</v>
      </c>
      <c r="K6587">
        <v>0.03</v>
      </c>
      <c r="L6587">
        <v>0.56999999999999995</v>
      </c>
      <c r="M6587">
        <v>31.465</v>
      </c>
      <c r="N6587">
        <v>46.62</v>
      </c>
      <c r="O6587" s="1" t="s">
        <v>64</v>
      </c>
      <c r="P6587" s="1" t="s">
        <v>9151</v>
      </c>
      <c r="Q6587" s="1" t="s">
        <v>9152</v>
      </c>
      <c r="R6587" s="1" t="s">
        <v>67</v>
      </c>
      <c r="S6587" s="1" t="s">
        <v>4655</v>
      </c>
      <c r="T6587" s="1" t="s">
        <v>4656</v>
      </c>
      <c r="U6587" s="2">
        <v>2180</v>
      </c>
      <c r="V6587" s="2" t="s">
        <v>36</v>
      </c>
      <c r="W6587" s="2" t="s">
        <v>37</v>
      </c>
      <c r="X6587" s="2">
        <v>615.96500000000003</v>
      </c>
    </row>
    <row r="6588" spans="1:24" x14ac:dyDescent="0.3">
      <c r="A6588">
        <v>24405</v>
      </c>
      <c r="B6588" t="s">
        <v>13261</v>
      </c>
      <c r="C6588" s="3">
        <v>41872</v>
      </c>
      <c r="D6588" t="s">
        <v>25</v>
      </c>
      <c r="E6588">
        <v>16</v>
      </c>
      <c r="F6588" s="3">
        <f ca="1">41879+(RANDBETWEEN(1,10))</f>
        <v>41883</v>
      </c>
      <c r="G6588" t="s">
        <v>76</v>
      </c>
      <c r="H6588" t="s">
        <v>258</v>
      </c>
      <c r="I6588" t="s">
        <v>28</v>
      </c>
      <c r="J6588">
        <v>1718.5</v>
      </c>
      <c r="K6588">
        <v>0.08</v>
      </c>
      <c r="L6588">
        <v>0.65</v>
      </c>
      <c r="M6588">
        <v>159.285</v>
      </c>
      <c r="N6588">
        <v>-1631.5986399999999</v>
      </c>
      <c r="O6588" s="1" t="s">
        <v>64</v>
      </c>
      <c r="P6588" s="1" t="s">
        <v>10928</v>
      </c>
      <c r="Q6588" s="1" t="s">
        <v>10929</v>
      </c>
      <c r="R6588" s="1" t="s">
        <v>128</v>
      </c>
      <c r="S6588" s="1" t="s">
        <v>4024</v>
      </c>
      <c r="T6588" s="1" t="s">
        <v>4025</v>
      </c>
      <c r="U6588" s="2" t="s">
        <v>1566</v>
      </c>
      <c r="V6588" s="2" t="s">
        <v>83</v>
      </c>
      <c r="W6588" s="2" t="s">
        <v>263</v>
      </c>
      <c r="X6588" s="2">
        <v>111.16</v>
      </c>
    </row>
    <row r="6589" spans="1:24" x14ac:dyDescent="0.3">
      <c r="A6589">
        <v>24406</v>
      </c>
      <c r="B6589" t="s">
        <v>13262</v>
      </c>
      <c r="C6589" s="3">
        <v>41853</v>
      </c>
      <c r="D6589" t="s">
        <v>50</v>
      </c>
      <c r="E6589">
        <v>8</v>
      </c>
      <c r="F6589" s="3">
        <f ca="1">41855+(RANDBETWEEN(1,10))</f>
        <v>41858</v>
      </c>
      <c r="G6589" t="s">
        <v>156</v>
      </c>
      <c r="H6589" t="s">
        <v>51</v>
      </c>
      <c r="I6589" t="s">
        <v>28</v>
      </c>
      <c r="J6589">
        <v>502.495</v>
      </c>
      <c r="K6589">
        <v>0.02</v>
      </c>
      <c r="L6589">
        <v>0.42</v>
      </c>
      <c r="M6589">
        <v>6.9649999999999999</v>
      </c>
      <c r="N6589">
        <v>346.72154999999998</v>
      </c>
      <c r="O6589" s="1" t="s">
        <v>87</v>
      </c>
      <c r="P6589" s="1" t="s">
        <v>13263</v>
      </c>
      <c r="Q6589" s="1" t="s">
        <v>13264</v>
      </c>
      <c r="R6589" s="1" t="s">
        <v>90</v>
      </c>
      <c r="S6589" s="1" t="s">
        <v>2121</v>
      </c>
      <c r="T6589" s="1" t="s">
        <v>2122</v>
      </c>
      <c r="U6589" s="2" t="s">
        <v>5273</v>
      </c>
      <c r="V6589" s="2" t="s">
        <v>36</v>
      </c>
      <c r="W6589" s="2" t="s">
        <v>60</v>
      </c>
      <c r="X6589" s="2">
        <v>57.68</v>
      </c>
    </row>
    <row r="6590" spans="1:24" x14ac:dyDescent="0.3">
      <c r="A6590">
        <v>24407</v>
      </c>
      <c r="B6590" t="s">
        <v>13265</v>
      </c>
      <c r="C6590" s="3">
        <v>40757</v>
      </c>
      <c r="D6590" t="s">
        <v>50</v>
      </c>
      <c r="E6590">
        <v>12</v>
      </c>
      <c r="F6590" s="3">
        <f ca="1">40759+(RANDBETWEEN(1,10))</f>
        <v>40765</v>
      </c>
      <c r="G6590" t="s">
        <v>26</v>
      </c>
      <c r="H6590" t="s">
        <v>96</v>
      </c>
      <c r="I6590" t="s">
        <v>28</v>
      </c>
      <c r="J6590">
        <v>135.83500000000001</v>
      </c>
      <c r="K6590">
        <v>0.08</v>
      </c>
      <c r="L6590">
        <v>0.48</v>
      </c>
      <c r="M6590">
        <v>2.9750000000000001</v>
      </c>
      <c r="N6590">
        <v>71.587599999999995</v>
      </c>
      <c r="O6590" s="1" t="s">
        <v>87</v>
      </c>
      <c r="P6590" s="1" t="s">
        <v>13263</v>
      </c>
      <c r="Q6590" s="1" t="s">
        <v>13264</v>
      </c>
      <c r="R6590" s="1" t="s">
        <v>90</v>
      </c>
      <c r="S6590" s="1" t="s">
        <v>2121</v>
      </c>
      <c r="T6590" s="1" t="s">
        <v>2122</v>
      </c>
      <c r="U6590" s="2" t="s">
        <v>353</v>
      </c>
      <c r="V6590" s="2" t="s">
        <v>47</v>
      </c>
      <c r="W6590" s="2" t="s">
        <v>104</v>
      </c>
      <c r="X6590" s="2">
        <v>11.83</v>
      </c>
    </row>
    <row r="6591" spans="1:24" x14ac:dyDescent="0.3">
      <c r="A6591">
        <v>24408</v>
      </c>
      <c r="B6591" t="s">
        <v>13266</v>
      </c>
      <c r="C6591" s="3">
        <v>40946</v>
      </c>
      <c r="D6591" t="s">
        <v>39</v>
      </c>
      <c r="E6591">
        <v>9</v>
      </c>
      <c r="F6591" s="3">
        <f ca="1">40949+(RANDBETWEEN(1,10))</f>
        <v>40956</v>
      </c>
      <c r="G6591" t="s">
        <v>156</v>
      </c>
      <c r="H6591" t="s">
        <v>96</v>
      </c>
      <c r="I6591" t="s">
        <v>28</v>
      </c>
      <c r="J6591">
        <v>239.89</v>
      </c>
      <c r="K6591">
        <v>0.04</v>
      </c>
      <c r="L6591">
        <v>0.36</v>
      </c>
      <c r="M6591">
        <v>20.405000000000001</v>
      </c>
      <c r="N6591">
        <v>-178.36</v>
      </c>
      <c r="O6591" s="1" t="s">
        <v>225</v>
      </c>
      <c r="P6591" s="1" t="s">
        <v>11365</v>
      </c>
      <c r="Q6591" s="1" t="s">
        <v>11366</v>
      </c>
      <c r="R6591" s="1" t="s">
        <v>228</v>
      </c>
      <c r="S6591" s="1" t="s">
        <v>11367</v>
      </c>
      <c r="T6591" s="1" t="s">
        <v>11368</v>
      </c>
      <c r="U6591" s="2" t="s">
        <v>605</v>
      </c>
      <c r="V6591" s="2" t="s">
        <v>47</v>
      </c>
      <c r="W6591" s="2" t="s">
        <v>74</v>
      </c>
      <c r="X6591" s="2">
        <v>26.74</v>
      </c>
    </row>
    <row r="6592" spans="1:24" x14ac:dyDescent="0.3">
      <c r="A6592">
        <v>24409</v>
      </c>
      <c r="B6592" t="s">
        <v>13266</v>
      </c>
      <c r="C6592" s="3">
        <v>40946</v>
      </c>
      <c r="D6592" t="s">
        <v>39</v>
      </c>
      <c r="E6592">
        <v>10</v>
      </c>
      <c r="F6592" s="3">
        <f ca="1">40947+(RANDBETWEEN(1,10))</f>
        <v>40951</v>
      </c>
      <c r="G6592" t="s">
        <v>76</v>
      </c>
      <c r="H6592" t="s">
        <v>258</v>
      </c>
      <c r="I6592" t="s">
        <v>28</v>
      </c>
      <c r="J6592">
        <v>3556.2449999999999</v>
      </c>
      <c r="K6592">
        <v>0.01</v>
      </c>
      <c r="L6592">
        <v>0.63</v>
      </c>
      <c r="M6592">
        <v>181.79</v>
      </c>
      <c r="N6592">
        <v>-1052.9924404999999</v>
      </c>
      <c r="O6592" s="1" t="s">
        <v>225</v>
      </c>
      <c r="P6592" s="1" t="s">
        <v>11365</v>
      </c>
      <c r="Q6592" s="1" t="s">
        <v>11366</v>
      </c>
      <c r="R6592" s="1" t="s">
        <v>228</v>
      </c>
      <c r="S6592" s="1" t="s">
        <v>11367</v>
      </c>
      <c r="T6592" s="1" t="s">
        <v>11368</v>
      </c>
      <c r="U6592" s="2" t="s">
        <v>360</v>
      </c>
      <c r="V6592" s="2" t="s">
        <v>83</v>
      </c>
      <c r="W6592" s="2" t="s">
        <v>263</v>
      </c>
      <c r="X6592" s="2">
        <v>435.71499999999997</v>
      </c>
    </row>
    <row r="6593" spans="1:24" x14ac:dyDescent="0.3">
      <c r="A6593">
        <v>24410</v>
      </c>
      <c r="B6593" t="s">
        <v>13267</v>
      </c>
      <c r="C6593" s="3">
        <v>41307</v>
      </c>
      <c r="D6593" t="s">
        <v>25</v>
      </c>
      <c r="E6593">
        <v>4</v>
      </c>
      <c r="F6593" s="3">
        <f ca="1">41311+(RANDBETWEEN(1,10))</f>
        <v>41316</v>
      </c>
      <c r="G6593" t="s">
        <v>76</v>
      </c>
      <c r="H6593" t="s">
        <v>258</v>
      </c>
      <c r="I6593" t="s">
        <v>28</v>
      </c>
      <c r="J6593">
        <v>1070.51</v>
      </c>
      <c r="K6593">
        <v>0.01</v>
      </c>
      <c r="L6593">
        <v>0.69</v>
      </c>
      <c r="M6593">
        <v>312.55</v>
      </c>
      <c r="N6593">
        <v>-5654.5488999999998</v>
      </c>
      <c r="O6593" s="1" t="s">
        <v>53</v>
      </c>
      <c r="P6593" s="1" t="s">
        <v>13268</v>
      </c>
      <c r="Q6593" s="1" t="s">
        <v>13269</v>
      </c>
      <c r="R6593" s="1" t="s">
        <v>56</v>
      </c>
      <c r="S6593" s="1" t="s">
        <v>4104</v>
      </c>
      <c r="T6593" s="1" t="s">
        <v>4105</v>
      </c>
      <c r="U6593" s="2" t="s">
        <v>407</v>
      </c>
      <c r="V6593" s="2" t="s">
        <v>83</v>
      </c>
      <c r="W6593" s="2" t="s">
        <v>263</v>
      </c>
      <c r="X6593" s="2">
        <v>248.11500000000001</v>
      </c>
    </row>
    <row r="6594" spans="1:24" x14ac:dyDescent="0.3">
      <c r="A6594">
        <v>24411</v>
      </c>
      <c r="B6594" t="s">
        <v>13270</v>
      </c>
      <c r="C6594" s="3">
        <v>41130</v>
      </c>
      <c r="D6594" t="s">
        <v>62</v>
      </c>
      <c r="E6594">
        <v>9</v>
      </c>
      <c r="F6594" s="3">
        <f ca="1">41131+(RANDBETWEEN(1,10))</f>
        <v>41139</v>
      </c>
      <c r="G6594" t="s">
        <v>26</v>
      </c>
      <c r="H6594" t="s">
        <v>27</v>
      </c>
      <c r="I6594" t="s">
        <v>28</v>
      </c>
      <c r="J6594">
        <v>128.59</v>
      </c>
      <c r="K6594">
        <v>0</v>
      </c>
      <c r="L6594">
        <v>0.37</v>
      </c>
      <c r="M6594">
        <v>19.145</v>
      </c>
      <c r="N6594">
        <v>-122.83817000000001</v>
      </c>
      <c r="O6594" s="1" t="s">
        <v>29</v>
      </c>
      <c r="P6594" s="1" t="s">
        <v>11002</v>
      </c>
      <c r="Q6594" s="1" t="s">
        <v>11003</v>
      </c>
      <c r="R6594" s="1" t="s">
        <v>460</v>
      </c>
      <c r="S6594" s="1" t="s">
        <v>5492</v>
      </c>
      <c r="T6594" s="1" t="s">
        <v>5493</v>
      </c>
      <c r="U6594" s="2" t="s">
        <v>879</v>
      </c>
      <c r="V6594" s="2" t="s">
        <v>47</v>
      </c>
      <c r="W6594" s="2" t="s">
        <v>111</v>
      </c>
      <c r="X6594" s="2">
        <v>12.53</v>
      </c>
    </row>
    <row r="6595" spans="1:24" x14ac:dyDescent="0.3">
      <c r="A6595">
        <v>24412</v>
      </c>
      <c r="B6595" t="s">
        <v>13271</v>
      </c>
      <c r="C6595" s="3">
        <v>41905</v>
      </c>
      <c r="D6595" t="s">
        <v>148</v>
      </c>
      <c r="E6595">
        <v>23</v>
      </c>
      <c r="F6595" s="3">
        <f ca="1">41906+(RANDBETWEEN(1,10))</f>
        <v>41914</v>
      </c>
      <c r="G6595" t="s">
        <v>26</v>
      </c>
      <c r="H6595" t="s">
        <v>27</v>
      </c>
      <c r="I6595" t="s">
        <v>52</v>
      </c>
      <c r="J6595">
        <v>989.45</v>
      </c>
      <c r="K6595">
        <v>0.05</v>
      </c>
      <c r="L6595">
        <v>0.57999999999999996</v>
      </c>
      <c r="M6595">
        <v>16.835000000000001</v>
      </c>
      <c r="N6595">
        <v>-70.314999999999998</v>
      </c>
      <c r="O6595" s="1" t="s">
        <v>29</v>
      </c>
      <c r="P6595" s="1" t="s">
        <v>10584</v>
      </c>
      <c r="Q6595" s="1" t="s">
        <v>10585</v>
      </c>
      <c r="R6595" s="1" t="s">
        <v>32</v>
      </c>
      <c r="S6595" s="1" t="s">
        <v>10586</v>
      </c>
      <c r="T6595" s="1" t="s">
        <v>10587</v>
      </c>
      <c r="U6595" s="2" t="s">
        <v>5691</v>
      </c>
      <c r="V6595" s="2" t="s">
        <v>47</v>
      </c>
      <c r="W6595" s="2" t="s">
        <v>119</v>
      </c>
      <c r="X6595" s="2">
        <v>42.734999999999999</v>
      </c>
    </row>
    <row r="6596" spans="1:24" x14ac:dyDescent="0.3">
      <c r="A6596">
        <v>24413</v>
      </c>
      <c r="B6596" t="s">
        <v>13271</v>
      </c>
      <c r="C6596" s="3">
        <v>41905</v>
      </c>
      <c r="D6596" t="s">
        <v>148</v>
      </c>
      <c r="E6596">
        <v>25</v>
      </c>
      <c r="F6596" s="3">
        <f ca="1">41907+(RANDBETWEEN(1,10))</f>
        <v>41917</v>
      </c>
      <c r="G6596" t="s">
        <v>26</v>
      </c>
      <c r="H6596" t="s">
        <v>27</v>
      </c>
      <c r="I6596" t="s">
        <v>52</v>
      </c>
      <c r="J6596">
        <v>11123.77</v>
      </c>
      <c r="K6596">
        <v>0.06</v>
      </c>
      <c r="L6596">
        <v>0.57999999999999996</v>
      </c>
      <c r="M6596">
        <v>31.465</v>
      </c>
      <c r="N6596">
        <v>-1733.1790000000001</v>
      </c>
      <c r="O6596" s="1" t="s">
        <v>29</v>
      </c>
      <c r="P6596" s="1" t="s">
        <v>10584</v>
      </c>
      <c r="Q6596" s="1" t="s">
        <v>10585</v>
      </c>
      <c r="R6596" s="1" t="s">
        <v>32</v>
      </c>
      <c r="S6596" s="1" t="s">
        <v>10586</v>
      </c>
      <c r="T6596" s="1" t="s">
        <v>10587</v>
      </c>
      <c r="U6596" s="2" t="s">
        <v>1265</v>
      </c>
      <c r="V6596" s="2" t="s">
        <v>36</v>
      </c>
      <c r="W6596" s="2" t="s">
        <v>37</v>
      </c>
      <c r="X6596" s="2">
        <v>545.96500000000003</v>
      </c>
    </row>
    <row r="6597" spans="1:24" x14ac:dyDescent="0.3">
      <c r="A6597">
        <v>24414</v>
      </c>
      <c r="B6597" t="s">
        <v>13271</v>
      </c>
      <c r="C6597" s="3">
        <v>41905</v>
      </c>
      <c r="D6597" t="s">
        <v>148</v>
      </c>
      <c r="E6597">
        <v>23</v>
      </c>
      <c r="F6597" s="3">
        <f ca="1">41907+(RANDBETWEEN(1,10))</f>
        <v>41911</v>
      </c>
      <c r="G6597" t="s">
        <v>26</v>
      </c>
      <c r="H6597" t="s">
        <v>281</v>
      </c>
      <c r="I6597" t="s">
        <v>52</v>
      </c>
      <c r="J6597">
        <v>1318.24</v>
      </c>
      <c r="K6597">
        <v>0.1</v>
      </c>
      <c r="L6597">
        <v>0.4</v>
      </c>
      <c r="M6597">
        <v>29.785</v>
      </c>
      <c r="N6597">
        <v>-42.875</v>
      </c>
      <c r="O6597" s="1" t="s">
        <v>64</v>
      </c>
      <c r="P6597" s="1" t="s">
        <v>13272</v>
      </c>
      <c r="Q6597" s="1" t="s">
        <v>13273</v>
      </c>
      <c r="R6597" s="1" t="s">
        <v>67</v>
      </c>
      <c r="S6597" s="1" t="s">
        <v>13274</v>
      </c>
      <c r="T6597" s="1" t="s">
        <v>13275</v>
      </c>
      <c r="U6597" s="2" t="s">
        <v>282</v>
      </c>
      <c r="V6597" s="2" t="s">
        <v>36</v>
      </c>
      <c r="W6597" s="2" t="s">
        <v>142</v>
      </c>
      <c r="X6597" s="2">
        <v>62.93</v>
      </c>
    </row>
    <row r="6598" spans="1:24" x14ac:dyDescent="0.3">
      <c r="A6598">
        <v>24415</v>
      </c>
      <c r="B6598" t="s">
        <v>13276</v>
      </c>
      <c r="C6598" s="3">
        <v>40767</v>
      </c>
      <c r="D6598" t="s">
        <v>39</v>
      </c>
      <c r="E6598">
        <v>2</v>
      </c>
      <c r="F6598" s="3">
        <f ca="1">40769+(RANDBETWEEN(1,10))</f>
        <v>40774</v>
      </c>
      <c r="G6598" t="s">
        <v>76</v>
      </c>
      <c r="H6598" t="s">
        <v>77</v>
      </c>
      <c r="I6598" t="s">
        <v>86</v>
      </c>
      <c r="J6598">
        <v>878.71</v>
      </c>
      <c r="K6598">
        <v>0.05</v>
      </c>
      <c r="L6598">
        <v>0.64</v>
      </c>
      <c r="M6598">
        <v>105</v>
      </c>
      <c r="N6598">
        <v>-275.65719999999999</v>
      </c>
      <c r="O6598" s="1" t="s">
        <v>40</v>
      </c>
      <c r="P6598" s="1" t="s">
        <v>13277</v>
      </c>
      <c r="Q6598" s="1" t="s">
        <v>13278</v>
      </c>
      <c r="R6598" s="1" t="s">
        <v>220</v>
      </c>
      <c r="S6598" s="1" t="s">
        <v>1544</v>
      </c>
      <c r="T6598" s="1" t="s">
        <v>1545</v>
      </c>
      <c r="U6598" s="2" t="s">
        <v>2044</v>
      </c>
      <c r="V6598" s="2" t="s">
        <v>83</v>
      </c>
      <c r="W6598" s="2" t="s">
        <v>84</v>
      </c>
      <c r="X6598" s="2">
        <v>423.43</v>
      </c>
    </row>
    <row r="6599" spans="1:24" x14ac:dyDescent="0.3">
      <c r="A6599">
        <v>24416</v>
      </c>
      <c r="B6599" t="s">
        <v>13279</v>
      </c>
      <c r="C6599" s="3">
        <v>41741</v>
      </c>
      <c r="D6599" t="s">
        <v>62</v>
      </c>
      <c r="E6599">
        <v>12</v>
      </c>
      <c r="F6599" s="3">
        <f ca="1">41741+(RANDBETWEEN(1,10))</f>
        <v>41746</v>
      </c>
      <c r="G6599" t="s">
        <v>26</v>
      </c>
      <c r="H6599" t="s">
        <v>27</v>
      </c>
      <c r="I6599" t="s">
        <v>86</v>
      </c>
      <c r="J6599">
        <v>3514.4549999999999</v>
      </c>
      <c r="K6599">
        <v>0.06</v>
      </c>
      <c r="L6599">
        <v>0.38</v>
      </c>
      <c r="M6599">
        <v>17.535</v>
      </c>
      <c r="N6599">
        <v>-274.988</v>
      </c>
      <c r="O6599" s="1" t="s">
        <v>40</v>
      </c>
      <c r="P6599" s="1" t="s">
        <v>11958</v>
      </c>
      <c r="Q6599" s="1" t="s">
        <v>11959</v>
      </c>
      <c r="R6599" s="1" t="s">
        <v>220</v>
      </c>
      <c r="S6599" s="1" t="s">
        <v>11960</v>
      </c>
      <c r="T6599" s="1" t="s">
        <v>11961</v>
      </c>
      <c r="U6599" s="2" t="s">
        <v>9050</v>
      </c>
      <c r="V6599" s="2" t="s">
        <v>47</v>
      </c>
      <c r="W6599" s="2" t="s">
        <v>48</v>
      </c>
      <c r="X6599" s="2">
        <v>293.93</v>
      </c>
    </row>
    <row r="6600" spans="1:24" x14ac:dyDescent="0.3">
      <c r="A6600">
        <v>24417</v>
      </c>
      <c r="B6600" t="s">
        <v>13280</v>
      </c>
      <c r="C6600" s="3">
        <v>41543</v>
      </c>
      <c r="D6600" t="s">
        <v>39</v>
      </c>
      <c r="E6600">
        <v>23</v>
      </c>
      <c r="F6600" s="3">
        <f ca="1">41545+(RANDBETWEEN(1,10))</f>
        <v>41551</v>
      </c>
      <c r="G6600" t="s">
        <v>26</v>
      </c>
      <c r="H6600" t="s">
        <v>27</v>
      </c>
      <c r="I6600" t="s">
        <v>28</v>
      </c>
      <c r="J6600">
        <v>1618.61</v>
      </c>
      <c r="K6600">
        <v>0</v>
      </c>
      <c r="L6600">
        <v>0.38</v>
      </c>
      <c r="M6600">
        <v>20.895</v>
      </c>
      <c r="N6600">
        <v>936.74</v>
      </c>
      <c r="O6600" s="1" t="s">
        <v>225</v>
      </c>
      <c r="P6600" s="1" t="s">
        <v>11140</v>
      </c>
      <c r="Q6600" s="1" t="s">
        <v>11141</v>
      </c>
      <c r="R6600" s="1" t="s">
        <v>228</v>
      </c>
      <c r="S6600" s="1" t="s">
        <v>11142</v>
      </c>
      <c r="T6600" s="1" t="s">
        <v>11143</v>
      </c>
      <c r="U6600" s="2" t="s">
        <v>161</v>
      </c>
      <c r="V6600" s="2" t="s">
        <v>47</v>
      </c>
      <c r="W6600" s="2" t="s">
        <v>74</v>
      </c>
      <c r="X6600" s="2">
        <v>69.930000000000007</v>
      </c>
    </row>
    <row r="6601" spans="1:24" x14ac:dyDescent="0.3">
      <c r="A6601">
        <v>24418</v>
      </c>
      <c r="B6601" t="s">
        <v>13281</v>
      </c>
      <c r="C6601" s="3">
        <v>41009</v>
      </c>
      <c r="D6601" t="s">
        <v>148</v>
      </c>
      <c r="E6601">
        <v>2</v>
      </c>
      <c r="F6601" s="3">
        <f ca="1">41011+(RANDBETWEEN(1,10))</f>
        <v>41020</v>
      </c>
      <c r="G6601" t="s">
        <v>76</v>
      </c>
      <c r="H6601" t="s">
        <v>258</v>
      </c>
      <c r="I6601" t="s">
        <v>86</v>
      </c>
      <c r="J6601">
        <v>1494.2550000000001</v>
      </c>
      <c r="K6601">
        <v>0.05</v>
      </c>
      <c r="L6601">
        <v>0.64</v>
      </c>
      <c r="M6601">
        <v>182.7</v>
      </c>
      <c r="N6601">
        <v>-870.73</v>
      </c>
      <c r="O6601" s="1" t="s">
        <v>225</v>
      </c>
      <c r="P6601" s="1" t="s">
        <v>9556</v>
      </c>
      <c r="Q6601" s="1" t="s">
        <v>9557</v>
      </c>
      <c r="R6601" s="1" t="s">
        <v>228</v>
      </c>
      <c r="S6601" s="1" t="s">
        <v>6990</v>
      </c>
      <c r="T6601" s="1" t="s">
        <v>6991</v>
      </c>
      <c r="U6601" s="2" t="s">
        <v>1775</v>
      </c>
      <c r="V6601" s="2" t="s">
        <v>83</v>
      </c>
      <c r="W6601" s="2" t="s">
        <v>263</v>
      </c>
      <c r="X6601" s="2">
        <v>744.1</v>
      </c>
    </row>
    <row r="6602" spans="1:24" x14ac:dyDescent="0.3">
      <c r="A6602">
        <v>24419</v>
      </c>
      <c r="B6602" t="s">
        <v>13282</v>
      </c>
      <c r="C6602" s="3">
        <v>41539</v>
      </c>
      <c r="D6602" t="s">
        <v>148</v>
      </c>
      <c r="E6602">
        <v>19</v>
      </c>
      <c r="F6602" s="3">
        <f ca="1">41541+(RANDBETWEEN(1,10))</f>
        <v>41548</v>
      </c>
      <c r="G6602" t="s">
        <v>26</v>
      </c>
      <c r="H6602" t="s">
        <v>51</v>
      </c>
      <c r="I6602" t="s">
        <v>28</v>
      </c>
      <c r="J6602">
        <v>570.08000000000004</v>
      </c>
      <c r="K6602">
        <v>0.1</v>
      </c>
      <c r="L6602">
        <v>0.43</v>
      </c>
      <c r="M6602">
        <v>29.89</v>
      </c>
      <c r="N6602">
        <v>-434.875</v>
      </c>
      <c r="O6602" s="1" t="s">
        <v>40</v>
      </c>
      <c r="P6602" s="1" t="s">
        <v>12328</v>
      </c>
      <c r="Q6602" s="1" t="s">
        <v>12329</v>
      </c>
      <c r="R6602" s="1" t="s">
        <v>43</v>
      </c>
      <c r="S6602" s="1" t="s">
        <v>5075</v>
      </c>
      <c r="T6602" s="1" t="s">
        <v>5076</v>
      </c>
      <c r="U6602" s="2" t="s">
        <v>2925</v>
      </c>
      <c r="V6602" s="2" t="s">
        <v>83</v>
      </c>
      <c r="W6602" s="2" t="s">
        <v>178</v>
      </c>
      <c r="X6602" s="2">
        <v>30.625</v>
      </c>
    </row>
    <row r="6603" spans="1:24" x14ac:dyDescent="0.3">
      <c r="A6603">
        <v>24420</v>
      </c>
      <c r="B6603" t="s">
        <v>13282</v>
      </c>
      <c r="C6603" s="3">
        <v>41539</v>
      </c>
      <c r="D6603" t="s">
        <v>148</v>
      </c>
      <c r="E6603">
        <v>12</v>
      </c>
      <c r="F6603" s="3">
        <f ca="1">41540+(RANDBETWEEN(1,10))</f>
        <v>41550</v>
      </c>
      <c r="G6603" t="s">
        <v>26</v>
      </c>
      <c r="H6603" t="s">
        <v>96</v>
      </c>
      <c r="I6603" t="s">
        <v>28</v>
      </c>
      <c r="J6603">
        <v>238.73500000000001</v>
      </c>
      <c r="K6603">
        <v>0.09</v>
      </c>
      <c r="L6603">
        <v>0.56000000000000005</v>
      </c>
      <c r="M6603">
        <v>7.9450000000000003</v>
      </c>
      <c r="N6603">
        <v>-29.33</v>
      </c>
      <c r="O6603" s="1" t="s">
        <v>40</v>
      </c>
      <c r="P6603" s="1" t="s">
        <v>12328</v>
      </c>
      <c r="Q6603" s="1" t="s">
        <v>12329</v>
      </c>
      <c r="R6603" s="1" t="s">
        <v>43</v>
      </c>
      <c r="S6603" s="1" t="s">
        <v>5075</v>
      </c>
      <c r="T6603" s="1" t="s">
        <v>5076</v>
      </c>
      <c r="U6603" s="2" t="s">
        <v>212</v>
      </c>
      <c r="V6603" s="2" t="s">
        <v>47</v>
      </c>
      <c r="W6603" s="2" t="s">
        <v>104</v>
      </c>
      <c r="X6603" s="2">
        <v>20.475000000000001</v>
      </c>
    </row>
    <row r="6604" spans="1:24" x14ac:dyDescent="0.3">
      <c r="A6604">
        <v>24421</v>
      </c>
      <c r="B6604" t="s">
        <v>13283</v>
      </c>
      <c r="C6604" s="3">
        <v>41769</v>
      </c>
      <c r="D6604" t="s">
        <v>50</v>
      </c>
      <c r="E6604">
        <v>16</v>
      </c>
      <c r="F6604" s="3">
        <f ca="1">41770+(RANDBETWEEN(1,10))</f>
        <v>41780</v>
      </c>
      <c r="G6604" t="s">
        <v>26</v>
      </c>
      <c r="H6604" t="s">
        <v>96</v>
      </c>
      <c r="I6604" t="s">
        <v>86</v>
      </c>
      <c r="J6604">
        <v>495.39</v>
      </c>
      <c r="K6604">
        <v>0.02</v>
      </c>
      <c r="L6604">
        <v>0.43</v>
      </c>
      <c r="M6604">
        <v>3.36</v>
      </c>
      <c r="N6604">
        <v>341.81909999999999</v>
      </c>
      <c r="O6604" s="1" t="s">
        <v>225</v>
      </c>
      <c r="P6604" s="1" t="s">
        <v>12254</v>
      </c>
      <c r="Q6604" s="1" t="s">
        <v>12255</v>
      </c>
      <c r="R6604" s="1" t="s">
        <v>391</v>
      </c>
      <c r="S6604" s="1" t="s">
        <v>12256</v>
      </c>
      <c r="T6604" s="1" t="s">
        <v>12257</v>
      </c>
      <c r="U6604" s="2" t="s">
        <v>2587</v>
      </c>
      <c r="V6604" s="2" t="s">
        <v>83</v>
      </c>
      <c r="W6604" s="2" t="s">
        <v>178</v>
      </c>
      <c r="X6604" s="2">
        <v>29.19</v>
      </c>
    </row>
    <row r="6605" spans="1:24" x14ac:dyDescent="0.3">
      <c r="A6605">
        <v>24422</v>
      </c>
      <c r="B6605" t="s">
        <v>13284</v>
      </c>
      <c r="C6605" s="3">
        <v>41736</v>
      </c>
      <c r="D6605" t="s">
        <v>25</v>
      </c>
      <c r="E6605">
        <v>13</v>
      </c>
      <c r="F6605" s="3">
        <f ca="1">41745+(RANDBETWEEN(1,10))</f>
        <v>41750</v>
      </c>
      <c r="G6605" t="s">
        <v>26</v>
      </c>
      <c r="H6605" t="s">
        <v>51</v>
      </c>
      <c r="I6605" t="s">
        <v>28</v>
      </c>
      <c r="J6605">
        <v>1837.01</v>
      </c>
      <c r="K6605">
        <v>0.1</v>
      </c>
      <c r="L6605">
        <v>0.44</v>
      </c>
      <c r="M6605">
        <v>6.9649999999999999</v>
      </c>
      <c r="N6605">
        <v>1267.5369000000001</v>
      </c>
      <c r="O6605" s="1" t="s">
        <v>53</v>
      </c>
      <c r="P6605" s="1" t="s">
        <v>13268</v>
      </c>
      <c r="Q6605" s="1" t="s">
        <v>13269</v>
      </c>
      <c r="R6605" s="1" t="s">
        <v>56</v>
      </c>
      <c r="S6605" s="1" t="s">
        <v>4104</v>
      </c>
      <c r="T6605" s="1" t="s">
        <v>4105</v>
      </c>
      <c r="U6605" s="2" t="s">
        <v>2902</v>
      </c>
      <c r="V6605" s="2" t="s">
        <v>36</v>
      </c>
      <c r="W6605" s="2" t="s">
        <v>60</v>
      </c>
      <c r="X6605" s="2">
        <v>153.93</v>
      </c>
    </row>
    <row r="6606" spans="1:24" x14ac:dyDescent="0.3">
      <c r="A6606">
        <v>24423</v>
      </c>
      <c r="B6606" t="s">
        <v>13285</v>
      </c>
      <c r="C6606" s="3">
        <v>41799</v>
      </c>
      <c r="D6606" t="s">
        <v>50</v>
      </c>
      <c r="E6606">
        <v>9</v>
      </c>
      <c r="F6606" s="3">
        <f ca="1">41800+(RANDBETWEEN(1,10))</f>
        <v>41807</v>
      </c>
      <c r="G6606" t="s">
        <v>26</v>
      </c>
      <c r="H6606" t="s">
        <v>27</v>
      </c>
      <c r="I6606" t="s">
        <v>97</v>
      </c>
      <c r="J6606">
        <v>620.86500000000001</v>
      </c>
      <c r="K6606">
        <v>0.09</v>
      </c>
      <c r="L6606">
        <v>0.49</v>
      </c>
      <c r="M6606">
        <v>36.715000000000003</v>
      </c>
      <c r="N6606">
        <v>110.334</v>
      </c>
      <c r="O6606" s="1" t="s">
        <v>87</v>
      </c>
      <c r="P6606" s="1" t="s">
        <v>12126</v>
      </c>
      <c r="Q6606" s="1" t="s">
        <v>12127</v>
      </c>
      <c r="R6606" s="1" t="s">
        <v>90</v>
      </c>
      <c r="S6606" s="1" t="s">
        <v>5020</v>
      </c>
      <c r="T6606" s="1" t="s">
        <v>5021</v>
      </c>
      <c r="U6606" s="2" t="s">
        <v>2586</v>
      </c>
      <c r="V6606" s="2" t="s">
        <v>83</v>
      </c>
      <c r="W6606" s="2" t="s">
        <v>178</v>
      </c>
      <c r="X6606" s="2">
        <v>69.930000000000007</v>
      </c>
    </row>
    <row r="6607" spans="1:24" x14ac:dyDescent="0.3">
      <c r="A6607">
        <v>24424</v>
      </c>
      <c r="B6607" t="s">
        <v>13286</v>
      </c>
      <c r="C6607" s="3">
        <v>41985</v>
      </c>
      <c r="D6607" t="s">
        <v>50</v>
      </c>
      <c r="E6607">
        <v>4</v>
      </c>
      <c r="F6607" s="3">
        <f ca="1">41986+(RANDBETWEEN(1,10))</f>
        <v>41987</v>
      </c>
      <c r="G6607" t="s">
        <v>76</v>
      </c>
      <c r="H6607" t="s">
        <v>258</v>
      </c>
      <c r="I6607" t="s">
        <v>28</v>
      </c>
      <c r="J6607">
        <v>1233.365</v>
      </c>
      <c r="K6607">
        <v>0.01</v>
      </c>
      <c r="L6607">
        <v>0.6</v>
      </c>
      <c r="M6607">
        <v>195.33500000000001</v>
      </c>
      <c r="N6607">
        <v>-351.50639999999999</v>
      </c>
      <c r="O6607" s="1" t="s">
        <v>40</v>
      </c>
      <c r="P6607" s="1" t="s">
        <v>12574</v>
      </c>
      <c r="Q6607" s="1" t="s">
        <v>12575</v>
      </c>
      <c r="R6607" s="1" t="s">
        <v>220</v>
      </c>
      <c r="S6607" s="1" t="s">
        <v>12576</v>
      </c>
      <c r="T6607" s="1" t="s">
        <v>12577</v>
      </c>
      <c r="U6607" s="2" t="s">
        <v>4019</v>
      </c>
      <c r="V6607" s="2" t="s">
        <v>83</v>
      </c>
      <c r="W6607" s="2" t="s">
        <v>298</v>
      </c>
      <c r="X6607" s="2">
        <v>286.79000000000002</v>
      </c>
    </row>
    <row r="6608" spans="1:24" x14ac:dyDescent="0.3">
      <c r="A6608">
        <v>24425</v>
      </c>
      <c r="B6608" t="s">
        <v>13287</v>
      </c>
      <c r="C6608" s="3">
        <v>41858</v>
      </c>
      <c r="D6608" t="s">
        <v>25</v>
      </c>
      <c r="E6608">
        <v>1</v>
      </c>
      <c r="F6608" s="3">
        <f ca="1">41862+(RANDBETWEEN(1,10))</f>
        <v>41863</v>
      </c>
      <c r="G6608" t="s">
        <v>26</v>
      </c>
      <c r="H6608" t="s">
        <v>27</v>
      </c>
      <c r="I6608" t="s">
        <v>28</v>
      </c>
      <c r="J6608">
        <v>35.28</v>
      </c>
      <c r="K6608">
        <v>0.06</v>
      </c>
      <c r="L6608">
        <v>0.37</v>
      </c>
      <c r="M6608">
        <v>27.51</v>
      </c>
      <c r="N6608">
        <v>-19.76688</v>
      </c>
      <c r="O6608" s="1" t="s">
        <v>87</v>
      </c>
      <c r="P6608" s="1" t="s">
        <v>13288</v>
      </c>
      <c r="Q6608" s="1" t="s">
        <v>13289</v>
      </c>
      <c r="R6608" s="1" t="s">
        <v>497</v>
      </c>
      <c r="S6608" s="1" t="s">
        <v>11150</v>
      </c>
      <c r="T6608" s="1" t="s">
        <v>11151</v>
      </c>
      <c r="U6608" s="2" t="s">
        <v>2667</v>
      </c>
      <c r="V6608" s="2" t="s">
        <v>47</v>
      </c>
      <c r="W6608" s="2" t="s">
        <v>74</v>
      </c>
      <c r="X6608" s="2">
        <v>22.68</v>
      </c>
    </row>
    <row r="6609" spans="1:24" x14ac:dyDescent="0.3">
      <c r="A6609">
        <v>24426</v>
      </c>
      <c r="B6609" t="s">
        <v>13290</v>
      </c>
      <c r="C6609" s="3">
        <v>41437</v>
      </c>
      <c r="D6609" t="s">
        <v>25</v>
      </c>
      <c r="E6609">
        <v>5</v>
      </c>
      <c r="F6609" s="3">
        <f ca="1">41444+(RANDBETWEEN(1,10))</f>
        <v>41453</v>
      </c>
      <c r="G6609" t="s">
        <v>26</v>
      </c>
      <c r="H6609" t="s">
        <v>281</v>
      </c>
      <c r="I6609" t="s">
        <v>52</v>
      </c>
      <c r="J6609">
        <v>170.52</v>
      </c>
      <c r="K6609">
        <v>0.05</v>
      </c>
      <c r="L6609">
        <v>0.48</v>
      </c>
      <c r="M6609">
        <v>21.07</v>
      </c>
      <c r="N6609">
        <v>29.4</v>
      </c>
      <c r="O6609" s="1" t="s">
        <v>225</v>
      </c>
      <c r="P6609" s="1" t="s">
        <v>12467</v>
      </c>
      <c r="Q6609" s="1" t="s">
        <v>12468</v>
      </c>
      <c r="R6609" s="1" t="s">
        <v>228</v>
      </c>
      <c r="S6609" s="1" t="s">
        <v>12469</v>
      </c>
      <c r="T6609" s="1" t="s">
        <v>12470</v>
      </c>
      <c r="U6609" s="2" t="s">
        <v>3578</v>
      </c>
      <c r="V6609" s="2" t="s">
        <v>83</v>
      </c>
      <c r="W6609" s="2" t="s">
        <v>178</v>
      </c>
      <c r="X6609" s="2">
        <v>34.195</v>
      </c>
    </row>
    <row r="6610" spans="1:24" x14ac:dyDescent="0.3">
      <c r="A6610">
        <v>24427</v>
      </c>
      <c r="B6610" t="s">
        <v>13291</v>
      </c>
      <c r="C6610" s="3">
        <v>41752</v>
      </c>
      <c r="D6610" t="s">
        <v>39</v>
      </c>
      <c r="E6610">
        <v>10</v>
      </c>
      <c r="F6610" s="3">
        <f ca="1">41754+(RANDBETWEEN(1,10))</f>
        <v>41757</v>
      </c>
      <c r="G6610" t="s">
        <v>26</v>
      </c>
      <c r="H6610" t="s">
        <v>27</v>
      </c>
      <c r="I6610" t="s">
        <v>86</v>
      </c>
      <c r="J6610">
        <v>5739.125</v>
      </c>
      <c r="K6610">
        <v>0.1</v>
      </c>
      <c r="L6610">
        <v>0.39</v>
      </c>
      <c r="M6610">
        <v>69.965000000000003</v>
      </c>
      <c r="N6610">
        <v>3959.9962500000001</v>
      </c>
      <c r="O6610" s="1" t="s">
        <v>29</v>
      </c>
      <c r="P6610" s="1" t="s">
        <v>5211</v>
      </c>
      <c r="Q6610" s="1" t="s">
        <v>5212</v>
      </c>
      <c r="R6610" s="1" t="s">
        <v>32</v>
      </c>
      <c r="S6610" s="1" t="s">
        <v>1045</v>
      </c>
      <c r="T6610" s="1" t="s">
        <v>1046</v>
      </c>
      <c r="U6610" s="2" t="s">
        <v>3970</v>
      </c>
      <c r="V6610" s="2" t="s">
        <v>47</v>
      </c>
      <c r="W6610" s="2" t="s">
        <v>111</v>
      </c>
      <c r="X6610" s="2">
        <v>605.46500000000003</v>
      </c>
    </row>
    <row r="6611" spans="1:24" x14ac:dyDescent="0.3">
      <c r="A6611">
        <v>24428</v>
      </c>
      <c r="B6611" t="s">
        <v>13291</v>
      </c>
      <c r="C6611" s="3">
        <v>41752</v>
      </c>
      <c r="D6611" t="s">
        <v>39</v>
      </c>
      <c r="E6611">
        <v>9</v>
      </c>
      <c r="F6611" s="3">
        <f ca="1">41755+(RANDBETWEEN(1,10))</f>
        <v>41765</v>
      </c>
      <c r="G6611" t="s">
        <v>26</v>
      </c>
      <c r="H6611" t="s">
        <v>96</v>
      </c>
      <c r="I6611" t="s">
        <v>86</v>
      </c>
      <c r="J6611">
        <v>230.44</v>
      </c>
      <c r="K6611">
        <v>0.04</v>
      </c>
      <c r="L6611">
        <v>0.39</v>
      </c>
      <c r="M6611">
        <v>14.805</v>
      </c>
      <c r="N6611">
        <v>-19.88</v>
      </c>
      <c r="O6611" s="1" t="s">
        <v>29</v>
      </c>
      <c r="P6611" s="1" t="s">
        <v>5211</v>
      </c>
      <c r="Q6611" s="1" t="s">
        <v>5212</v>
      </c>
      <c r="R6611" s="1" t="s">
        <v>32</v>
      </c>
      <c r="S6611" s="1" t="s">
        <v>1045</v>
      </c>
      <c r="T6611" s="1" t="s">
        <v>1046</v>
      </c>
      <c r="U6611" s="2" t="s">
        <v>7976</v>
      </c>
      <c r="V6611" s="2" t="s">
        <v>47</v>
      </c>
      <c r="W6611" s="2" t="s">
        <v>74</v>
      </c>
      <c r="X6611" s="2">
        <v>25.48</v>
      </c>
    </row>
    <row r="6612" spans="1:24" x14ac:dyDescent="0.3">
      <c r="A6612">
        <v>24429</v>
      </c>
      <c r="B6612" t="s">
        <v>13292</v>
      </c>
      <c r="C6612" s="3">
        <v>41956</v>
      </c>
      <c r="D6612" t="s">
        <v>39</v>
      </c>
      <c r="E6612">
        <v>39</v>
      </c>
      <c r="F6612" s="3">
        <f ca="1">41956+(RANDBETWEEN(1,10))</f>
        <v>41957</v>
      </c>
      <c r="G6612" t="s">
        <v>26</v>
      </c>
      <c r="H6612" t="s">
        <v>27</v>
      </c>
      <c r="I6612" t="s">
        <v>97</v>
      </c>
      <c r="J6612">
        <v>5411.0349999999999</v>
      </c>
      <c r="K6612">
        <v>0.02</v>
      </c>
      <c r="L6612">
        <v>0.56000000000000005</v>
      </c>
      <c r="M6612">
        <v>15.75</v>
      </c>
      <c r="N6612">
        <v>3733.6141499999999</v>
      </c>
      <c r="O6612" s="1" t="s">
        <v>53</v>
      </c>
      <c r="P6612" s="1" t="s">
        <v>7496</v>
      </c>
      <c r="Q6612" s="1" t="s">
        <v>7497</v>
      </c>
      <c r="R6612" s="1" t="s">
        <v>56</v>
      </c>
      <c r="S6612" s="1" t="s">
        <v>7498</v>
      </c>
      <c r="T6612" s="1" t="s">
        <v>7499</v>
      </c>
      <c r="U6612" s="2" t="s">
        <v>9186</v>
      </c>
      <c r="V6612" s="2" t="s">
        <v>47</v>
      </c>
      <c r="W6612" s="2" t="s">
        <v>71</v>
      </c>
      <c r="X6612" s="2">
        <v>133.21</v>
      </c>
    </row>
    <row r="6613" spans="1:24" x14ac:dyDescent="0.3">
      <c r="A6613">
        <v>24430</v>
      </c>
      <c r="B6613" t="s">
        <v>13293</v>
      </c>
      <c r="C6613" s="3">
        <v>41081</v>
      </c>
      <c r="D6613" t="s">
        <v>39</v>
      </c>
      <c r="E6613">
        <v>18</v>
      </c>
      <c r="F6613" s="3">
        <f ca="1">41082+(RANDBETWEEN(1,10))</f>
        <v>41091</v>
      </c>
      <c r="G6613" t="s">
        <v>26</v>
      </c>
      <c r="H6613" t="s">
        <v>51</v>
      </c>
      <c r="I6613" t="s">
        <v>86</v>
      </c>
      <c r="J6613">
        <v>2200.87</v>
      </c>
      <c r="K6613">
        <v>0.01</v>
      </c>
      <c r="L6613">
        <v>0.41</v>
      </c>
      <c r="M6613">
        <v>6.9649999999999999</v>
      </c>
      <c r="N6613">
        <v>1518.6003000000001</v>
      </c>
      <c r="O6613" s="1" t="s">
        <v>53</v>
      </c>
      <c r="P6613" s="1" t="s">
        <v>13294</v>
      </c>
      <c r="Q6613" s="1" t="s">
        <v>13295</v>
      </c>
      <c r="R6613" s="1" t="s">
        <v>440</v>
      </c>
      <c r="S6613" s="1" t="s">
        <v>3068</v>
      </c>
      <c r="T6613" s="1" t="s">
        <v>3069</v>
      </c>
      <c r="U6613" s="2" t="s">
        <v>6117</v>
      </c>
      <c r="V6613" s="2" t="s">
        <v>36</v>
      </c>
      <c r="W6613" s="2" t="s">
        <v>60</v>
      </c>
      <c r="X6613" s="2">
        <v>116.515</v>
      </c>
    </row>
    <row r="6614" spans="1:24" x14ac:dyDescent="0.3">
      <c r="A6614">
        <v>24431</v>
      </c>
      <c r="B6614" t="s">
        <v>13293</v>
      </c>
      <c r="C6614" s="3">
        <v>41081</v>
      </c>
      <c r="D6614" t="s">
        <v>39</v>
      </c>
      <c r="E6614">
        <v>4</v>
      </c>
      <c r="F6614" s="3">
        <f ca="1">41082+(RANDBETWEEN(1,10))</f>
        <v>41089</v>
      </c>
      <c r="G6614" t="s">
        <v>26</v>
      </c>
      <c r="H6614" t="s">
        <v>27</v>
      </c>
      <c r="I6614" t="s">
        <v>86</v>
      </c>
      <c r="J6614">
        <v>48.685000000000002</v>
      </c>
      <c r="K6614">
        <v>0.02</v>
      </c>
      <c r="L6614">
        <v>0.36</v>
      </c>
      <c r="M6614">
        <v>18.655000000000001</v>
      </c>
      <c r="N6614">
        <v>-105.14</v>
      </c>
      <c r="O6614" s="1" t="s">
        <v>53</v>
      </c>
      <c r="P6614" s="1" t="s">
        <v>13296</v>
      </c>
      <c r="Q6614" s="1" t="s">
        <v>13297</v>
      </c>
      <c r="R6614" s="1" t="s">
        <v>56</v>
      </c>
      <c r="S6614" s="1" t="s">
        <v>3216</v>
      </c>
      <c r="T6614" s="1" t="s">
        <v>3217</v>
      </c>
      <c r="U6614" s="2" t="s">
        <v>9423</v>
      </c>
      <c r="V6614" s="2" t="s">
        <v>47</v>
      </c>
      <c r="W6614" s="2" t="s">
        <v>203</v>
      </c>
      <c r="X6614" s="2">
        <v>10.08</v>
      </c>
    </row>
    <row r="6615" spans="1:24" x14ac:dyDescent="0.3">
      <c r="A6615">
        <v>24432</v>
      </c>
      <c r="B6615" t="s">
        <v>13298</v>
      </c>
      <c r="C6615" s="3">
        <v>40765</v>
      </c>
      <c r="D6615" t="s">
        <v>62</v>
      </c>
      <c r="E6615">
        <v>9</v>
      </c>
      <c r="F6615" s="3">
        <f ca="1">40766+(RANDBETWEEN(1,10))</f>
        <v>40774</v>
      </c>
      <c r="G6615" t="s">
        <v>156</v>
      </c>
      <c r="H6615" t="s">
        <v>27</v>
      </c>
      <c r="I6615" t="s">
        <v>52</v>
      </c>
      <c r="J6615">
        <v>243.11</v>
      </c>
      <c r="K6615">
        <v>0.01</v>
      </c>
      <c r="L6615">
        <v>0.37</v>
      </c>
      <c r="M6615">
        <v>21.77</v>
      </c>
      <c r="N6615">
        <v>-54.709200000000003</v>
      </c>
      <c r="O6615" s="1" t="s">
        <v>40</v>
      </c>
      <c r="P6615" s="1" t="s">
        <v>7718</v>
      </c>
      <c r="Q6615" s="1" t="s">
        <v>7719</v>
      </c>
      <c r="R6615" s="1" t="s">
        <v>43</v>
      </c>
      <c r="S6615" s="1" t="s">
        <v>628</v>
      </c>
      <c r="T6615" s="1" t="s">
        <v>629</v>
      </c>
      <c r="U6615" s="2" t="s">
        <v>4158</v>
      </c>
      <c r="V6615" s="2" t="s">
        <v>47</v>
      </c>
      <c r="W6615" s="2" t="s">
        <v>74</v>
      </c>
      <c r="X6615" s="2">
        <v>22.68</v>
      </c>
    </row>
    <row r="6616" spans="1:24" x14ac:dyDescent="0.3">
      <c r="A6616">
        <v>24433</v>
      </c>
      <c r="B6616" t="s">
        <v>13298</v>
      </c>
      <c r="C6616" s="3">
        <v>40765</v>
      </c>
      <c r="D6616" t="s">
        <v>62</v>
      </c>
      <c r="E6616">
        <v>16</v>
      </c>
      <c r="F6616" s="3">
        <f ca="1">40767+(RANDBETWEEN(1,10))</f>
        <v>40775</v>
      </c>
      <c r="G6616" t="s">
        <v>26</v>
      </c>
      <c r="H6616" t="s">
        <v>51</v>
      </c>
      <c r="I6616" t="s">
        <v>52</v>
      </c>
      <c r="J6616">
        <v>4010.02</v>
      </c>
      <c r="K6616">
        <v>0.03</v>
      </c>
      <c r="L6616">
        <v>0.37</v>
      </c>
      <c r="M6616">
        <v>11.55</v>
      </c>
      <c r="N6616">
        <v>2766.9137999999998</v>
      </c>
      <c r="O6616" s="1" t="s">
        <v>40</v>
      </c>
      <c r="P6616" s="1" t="s">
        <v>7718</v>
      </c>
      <c r="Q6616" s="1" t="s">
        <v>7719</v>
      </c>
      <c r="R6616" s="1" t="s">
        <v>43</v>
      </c>
      <c r="S6616" s="1" t="s">
        <v>628</v>
      </c>
      <c r="T6616" s="1" t="s">
        <v>629</v>
      </c>
      <c r="U6616" s="2" t="s">
        <v>1240</v>
      </c>
      <c r="V6616" s="2" t="s">
        <v>36</v>
      </c>
      <c r="W6616" s="2" t="s">
        <v>37</v>
      </c>
      <c r="X6616" s="2">
        <v>300.96499999999997</v>
      </c>
    </row>
    <row r="6617" spans="1:24" x14ac:dyDescent="0.3">
      <c r="A6617">
        <v>24434</v>
      </c>
      <c r="B6617" t="s">
        <v>13299</v>
      </c>
      <c r="C6617" s="3">
        <v>40765</v>
      </c>
      <c r="D6617" t="s">
        <v>62</v>
      </c>
      <c r="E6617">
        <v>20</v>
      </c>
      <c r="F6617" s="3">
        <f ca="1">40766+(RANDBETWEEN(1,10))</f>
        <v>40772</v>
      </c>
      <c r="G6617" t="s">
        <v>76</v>
      </c>
      <c r="H6617" t="s">
        <v>258</v>
      </c>
      <c r="I6617" t="s">
        <v>52</v>
      </c>
      <c r="J6617">
        <v>20188.419999999998</v>
      </c>
      <c r="K6617">
        <v>0.04</v>
      </c>
      <c r="L6617">
        <v>0.76</v>
      </c>
      <c r="M6617">
        <v>539.41999999999996</v>
      </c>
      <c r="N6617">
        <v>-307.99313999999998</v>
      </c>
      <c r="O6617" s="1" t="s">
        <v>29</v>
      </c>
      <c r="P6617" s="1" t="s">
        <v>12580</v>
      </c>
      <c r="Q6617" s="1" t="s">
        <v>12581</v>
      </c>
      <c r="R6617" s="1" t="s">
        <v>32</v>
      </c>
      <c r="S6617" s="1" t="s">
        <v>2296</v>
      </c>
      <c r="T6617" s="1" t="s">
        <v>2297</v>
      </c>
      <c r="U6617" s="2" t="s">
        <v>1007</v>
      </c>
      <c r="V6617" s="2" t="s">
        <v>83</v>
      </c>
      <c r="W6617" s="2" t="s">
        <v>263</v>
      </c>
      <c r="X6617" s="2">
        <v>1036.6300000000001</v>
      </c>
    </row>
    <row r="6618" spans="1:24" x14ac:dyDescent="0.3">
      <c r="A6618">
        <v>24435</v>
      </c>
      <c r="B6618" t="s">
        <v>13300</v>
      </c>
      <c r="C6618" s="3">
        <v>41249</v>
      </c>
      <c r="D6618" t="s">
        <v>62</v>
      </c>
      <c r="E6618">
        <v>18</v>
      </c>
      <c r="F6618" s="3">
        <f ca="1">41250+(RANDBETWEEN(1,10))</f>
        <v>41256</v>
      </c>
      <c r="G6618" t="s">
        <v>26</v>
      </c>
      <c r="H6618" t="s">
        <v>27</v>
      </c>
      <c r="I6618" t="s">
        <v>28</v>
      </c>
      <c r="J6618">
        <v>1374.9749999999999</v>
      </c>
      <c r="K6618">
        <v>7.0000000000000007E-2</v>
      </c>
      <c r="L6618">
        <v>0.38</v>
      </c>
      <c r="M6618">
        <v>52.85</v>
      </c>
      <c r="N6618">
        <v>-86.141999999999996</v>
      </c>
      <c r="O6618" s="1" t="s">
        <v>53</v>
      </c>
      <c r="P6618" s="1" t="s">
        <v>4084</v>
      </c>
      <c r="Q6618" s="1" t="s">
        <v>4085</v>
      </c>
      <c r="R6618" s="1" t="s">
        <v>56</v>
      </c>
      <c r="S6618" s="1" t="s">
        <v>4086</v>
      </c>
      <c r="T6618" s="1" t="s">
        <v>4087</v>
      </c>
      <c r="U6618" s="2" t="s">
        <v>2602</v>
      </c>
      <c r="V6618" s="2" t="s">
        <v>47</v>
      </c>
      <c r="W6618" s="2" t="s">
        <v>111</v>
      </c>
      <c r="X6618" s="2">
        <v>78.33</v>
      </c>
    </row>
    <row r="6619" spans="1:24" x14ac:dyDescent="0.3">
      <c r="A6619">
        <v>24436</v>
      </c>
      <c r="B6619" t="s">
        <v>13301</v>
      </c>
      <c r="C6619" s="3">
        <v>41837</v>
      </c>
      <c r="D6619" t="s">
        <v>62</v>
      </c>
      <c r="E6619">
        <v>16</v>
      </c>
      <c r="F6619" s="3">
        <f ca="1">41839+(RANDBETWEEN(1,10))</f>
        <v>41842</v>
      </c>
      <c r="G6619" t="s">
        <v>156</v>
      </c>
      <c r="H6619" t="s">
        <v>51</v>
      </c>
      <c r="I6619" t="s">
        <v>52</v>
      </c>
      <c r="J6619">
        <v>664.26499999999999</v>
      </c>
      <c r="K6619">
        <v>0.03</v>
      </c>
      <c r="L6619">
        <v>0.57999999999999996</v>
      </c>
      <c r="M6619">
        <v>27.824999999999999</v>
      </c>
      <c r="N6619">
        <v>-67.507300000000001</v>
      </c>
      <c r="O6619" s="1" t="s">
        <v>53</v>
      </c>
      <c r="P6619" s="1" t="s">
        <v>11674</v>
      </c>
      <c r="Q6619" s="1" t="s">
        <v>11675</v>
      </c>
      <c r="R6619" s="1" t="s">
        <v>56</v>
      </c>
      <c r="S6619" s="1" t="s">
        <v>11676</v>
      </c>
      <c r="T6619" s="1" t="s">
        <v>11677</v>
      </c>
      <c r="U6619" s="2" t="s">
        <v>248</v>
      </c>
      <c r="V6619" s="2" t="s">
        <v>47</v>
      </c>
      <c r="W6619" s="2" t="s">
        <v>104</v>
      </c>
      <c r="X6619" s="2">
        <v>40.81</v>
      </c>
    </row>
    <row r="6620" spans="1:24" x14ac:dyDescent="0.3">
      <c r="A6620">
        <v>24437</v>
      </c>
      <c r="B6620" t="s">
        <v>13302</v>
      </c>
      <c r="C6620" s="3">
        <v>41111</v>
      </c>
      <c r="D6620" t="s">
        <v>25</v>
      </c>
      <c r="E6620">
        <v>6</v>
      </c>
      <c r="F6620" s="3">
        <f ca="1">41116+(RANDBETWEEN(1,10))</f>
        <v>41119</v>
      </c>
      <c r="G6620" t="s">
        <v>26</v>
      </c>
      <c r="H6620" t="s">
        <v>96</v>
      </c>
      <c r="I6620" t="s">
        <v>28</v>
      </c>
      <c r="J6620">
        <v>793.83500000000004</v>
      </c>
      <c r="K6620">
        <v>0.01</v>
      </c>
      <c r="L6620">
        <v>0.38</v>
      </c>
      <c r="M6620">
        <v>17.78</v>
      </c>
      <c r="N6620">
        <v>547.74614999999994</v>
      </c>
      <c r="O6620" s="1" t="s">
        <v>225</v>
      </c>
      <c r="P6620" s="1" t="s">
        <v>8308</v>
      </c>
      <c r="Q6620" s="1" t="s">
        <v>8309</v>
      </c>
      <c r="R6620" s="1" t="s">
        <v>228</v>
      </c>
      <c r="S6620" s="1" t="s">
        <v>8310</v>
      </c>
      <c r="T6620" s="1" t="s">
        <v>8311</v>
      </c>
      <c r="U6620" s="2" t="s">
        <v>2638</v>
      </c>
      <c r="V6620" s="2" t="s">
        <v>47</v>
      </c>
      <c r="W6620" s="2" t="s">
        <v>74</v>
      </c>
      <c r="X6620" s="2">
        <v>132.79</v>
      </c>
    </row>
    <row r="6621" spans="1:24" x14ac:dyDescent="0.3">
      <c r="A6621">
        <v>24438</v>
      </c>
      <c r="B6621" t="s">
        <v>13303</v>
      </c>
      <c r="C6621" s="3">
        <v>41097</v>
      </c>
      <c r="D6621" t="s">
        <v>39</v>
      </c>
      <c r="E6621">
        <v>8</v>
      </c>
      <c r="F6621" s="3">
        <f ca="1">41098+(RANDBETWEEN(1,10))</f>
        <v>41099</v>
      </c>
      <c r="G6621" t="s">
        <v>26</v>
      </c>
      <c r="H6621" t="s">
        <v>27</v>
      </c>
      <c r="I6621" t="s">
        <v>28</v>
      </c>
      <c r="J6621">
        <v>75.53</v>
      </c>
      <c r="K6621">
        <v>0.05</v>
      </c>
      <c r="L6621">
        <v>0.39</v>
      </c>
      <c r="M6621">
        <v>1.75</v>
      </c>
      <c r="N6621">
        <v>52.115699999999997</v>
      </c>
      <c r="O6621" s="1" t="s">
        <v>40</v>
      </c>
      <c r="P6621" s="1" t="s">
        <v>10756</v>
      </c>
      <c r="Q6621" s="1" t="s">
        <v>10757</v>
      </c>
      <c r="R6621" s="1" t="s">
        <v>43</v>
      </c>
      <c r="S6621" s="1" t="s">
        <v>10758</v>
      </c>
      <c r="T6621" s="1" t="s">
        <v>10759</v>
      </c>
      <c r="U6621" s="2" t="s">
        <v>1726</v>
      </c>
      <c r="V6621" s="2" t="s">
        <v>47</v>
      </c>
      <c r="W6621" s="2" t="s">
        <v>203</v>
      </c>
      <c r="X6621" s="2">
        <v>9.1349999999999998</v>
      </c>
    </row>
    <row r="6622" spans="1:24" x14ac:dyDescent="0.3">
      <c r="A6622">
        <v>24439</v>
      </c>
      <c r="B6622" t="s">
        <v>13304</v>
      </c>
      <c r="C6622" s="3">
        <v>41766</v>
      </c>
      <c r="D6622" t="s">
        <v>39</v>
      </c>
      <c r="E6622">
        <v>12</v>
      </c>
      <c r="F6622" s="3">
        <f ca="1">41768+(RANDBETWEEN(1,10))</f>
        <v>41778</v>
      </c>
      <c r="G6622" t="s">
        <v>26</v>
      </c>
      <c r="H6622" t="s">
        <v>27</v>
      </c>
      <c r="I6622" t="s">
        <v>97</v>
      </c>
      <c r="J6622">
        <v>2863.0349999999999</v>
      </c>
      <c r="K6622">
        <v>0</v>
      </c>
      <c r="L6622">
        <v>0.46</v>
      </c>
      <c r="M6622">
        <v>50.68</v>
      </c>
      <c r="N6622">
        <v>1975.49415</v>
      </c>
      <c r="O6622" s="1" t="s">
        <v>29</v>
      </c>
      <c r="P6622" s="1" t="s">
        <v>11082</v>
      </c>
      <c r="Q6622" s="1" t="s">
        <v>11083</v>
      </c>
      <c r="R6622" s="1" t="s">
        <v>32</v>
      </c>
      <c r="S6622" s="1" t="s">
        <v>4789</v>
      </c>
      <c r="T6622" s="1" t="s">
        <v>4790</v>
      </c>
      <c r="U6622" s="2" t="s">
        <v>6357</v>
      </c>
      <c r="V6622" s="2" t="s">
        <v>83</v>
      </c>
      <c r="W6622" s="2" t="s">
        <v>178</v>
      </c>
      <c r="X6622" s="2">
        <v>223.79</v>
      </c>
    </row>
    <row r="6623" spans="1:24" x14ac:dyDescent="0.3">
      <c r="A6623">
        <v>24440</v>
      </c>
      <c r="B6623" t="s">
        <v>13305</v>
      </c>
      <c r="C6623" s="3">
        <v>41036</v>
      </c>
      <c r="D6623" t="s">
        <v>39</v>
      </c>
      <c r="E6623">
        <v>10</v>
      </c>
      <c r="F6623" s="3">
        <f ca="1">41037+(RANDBETWEEN(1,10))</f>
        <v>41043</v>
      </c>
      <c r="G6623" t="s">
        <v>26</v>
      </c>
      <c r="H6623" t="s">
        <v>281</v>
      </c>
      <c r="I6623" t="s">
        <v>97</v>
      </c>
      <c r="J6623">
        <v>5227.2849999999999</v>
      </c>
      <c r="K6623">
        <v>0.01</v>
      </c>
      <c r="L6623">
        <v>0.37</v>
      </c>
      <c r="M6623">
        <v>48.965000000000003</v>
      </c>
      <c r="N6623">
        <v>3606.82665</v>
      </c>
      <c r="O6623" s="1" t="s">
        <v>29</v>
      </c>
      <c r="P6623" s="1" t="s">
        <v>11082</v>
      </c>
      <c r="Q6623" s="1" t="s">
        <v>11083</v>
      </c>
      <c r="R6623" s="1" t="s">
        <v>32</v>
      </c>
      <c r="S6623" s="1" t="s">
        <v>4789</v>
      </c>
      <c r="T6623" s="1" t="s">
        <v>4790</v>
      </c>
      <c r="U6623" s="2" t="s">
        <v>7910</v>
      </c>
      <c r="V6623" s="2" t="s">
        <v>36</v>
      </c>
      <c r="W6623" s="2" t="s">
        <v>142</v>
      </c>
      <c r="X6623" s="2">
        <v>493.46499999999997</v>
      </c>
    </row>
    <row r="6624" spans="1:24" x14ac:dyDescent="0.3">
      <c r="A6624">
        <v>24441</v>
      </c>
      <c r="B6624" t="s">
        <v>13306</v>
      </c>
      <c r="C6624" s="3">
        <v>41830</v>
      </c>
      <c r="D6624" t="s">
        <v>39</v>
      </c>
      <c r="E6624">
        <v>17</v>
      </c>
      <c r="F6624" s="3">
        <f ca="1">41832+(RANDBETWEEN(1,10))</f>
        <v>41842</v>
      </c>
      <c r="G6624" t="s">
        <v>156</v>
      </c>
      <c r="H6624" t="s">
        <v>27</v>
      </c>
      <c r="I6624" t="s">
        <v>28</v>
      </c>
      <c r="J6624">
        <v>1021.825</v>
      </c>
      <c r="K6624">
        <v>0.05</v>
      </c>
      <c r="L6624">
        <v>0.57999999999999996</v>
      </c>
      <c r="M6624">
        <v>21.875</v>
      </c>
      <c r="N6624">
        <v>-717.21299999999997</v>
      </c>
      <c r="O6624" s="1" t="s">
        <v>40</v>
      </c>
      <c r="P6624" s="1" t="s">
        <v>13307</v>
      </c>
      <c r="Q6624" s="1" t="s">
        <v>13308</v>
      </c>
      <c r="R6624" s="1" t="s">
        <v>220</v>
      </c>
      <c r="S6624" s="1" t="s">
        <v>1455</v>
      </c>
      <c r="T6624" s="1" t="s">
        <v>1456</v>
      </c>
      <c r="U6624" s="2" t="s">
        <v>306</v>
      </c>
      <c r="V6624" s="2" t="s">
        <v>47</v>
      </c>
      <c r="W6624" s="2" t="s">
        <v>119</v>
      </c>
      <c r="X6624" s="2">
        <v>59.185000000000002</v>
      </c>
    </row>
    <row r="6625" spans="1:24" x14ac:dyDescent="0.3">
      <c r="A6625">
        <v>24442</v>
      </c>
      <c r="B6625" t="s">
        <v>13309</v>
      </c>
      <c r="C6625" s="3">
        <v>41541</v>
      </c>
      <c r="D6625" t="s">
        <v>62</v>
      </c>
      <c r="E6625">
        <v>14</v>
      </c>
      <c r="F6625" s="3">
        <f ca="1">41543+(RANDBETWEEN(1,10))</f>
        <v>41550</v>
      </c>
      <c r="G6625" t="s">
        <v>26</v>
      </c>
      <c r="H6625" t="s">
        <v>27</v>
      </c>
      <c r="I6625" t="s">
        <v>52</v>
      </c>
      <c r="J6625">
        <v>2114.63</v>
      </c>
      <c r="K6625">
        <v>0</v>
      </c>
      <c r="L6625">
        <v>0.55000000000000004</v>
      </c>
      <c r="M6625">
        <v>35.875</v>
      </c>
      <c r="N6625">
        <v>429.61799999999999</v>
      </c>
      <c r="O6625" s="1" t="s">
        <v>64</v>
      </c>
      <c r="P6625" s="1" t="s">
        <v>13272</v>
      </c>
      <c r="Q6625" s="1" t="s">
        <v>13273</v>
      </c>
      <c r="R6625" s="1" t="s">
        <v>67</v>
      </c>
      <c r="S6625" s="1" t="s">
        <v>13274</v>
      </c>
      <c r="T6625" s="1" t="s">
        <v>13275</v>
      </c>
      <c r="U6625" s="2" t="s">
        <v>6152</v>
      </c>
      <c r="V6625" s="2" t="s">
        <v>36</v>
      </c>
      <c r="W6625" s="2" t="s">
        <v>60</v>
      </c>
      <c r="X6625" s="2">
        <v>139.965</v>
      </c>
    </row>
    <row r="6626" spans="1:24" x14ac:dyDescent="0.3">
      <c r="A6626">
        <v>24443</v>
      </c>
      <c r="B6626" t="s">
        <v>13310</v>
      </c>
      <c r="C6626" s="3">
        <v>41979</v>
      </c>
      <c r="D6626" t="s">
        <v>50</v>
      </c>
      <c r="E6626">
        <v>22</v>
      </c>
      <c r="F6626" s="3">
        <f ca="1">41981+(RANDBETWEEN(1,10))</f>
        <v>41984</v>
      </c>
      <c r="G6626" t="s">
        <v>26</v>
      </c>
      <c r="H6626" t="s">
        <v>63</v>
      </c>
      <c r="I6626" t="s">
        <v>52</v>
      </c>
      <c r="J6626">
        <v>10716.09</v>
      </c>
      <c r="K6626">
        <v>0.08</v>
      </c>
      <c r="L6626">
        <v>0.56999999999999995</v>
      </c>
      <c r="M6626">
        <v>85.715000000000003</v>
      </c>
      <c r="N6626">
        <v>7179.7689600000003</v>
      </c>
      <c r="O6626" s="1" t="s">
        <v>40</v>
      </c>
      <c r="P6626" s="1" t="s">
        <v>10388</v>
      </c>
      <c r="Q6626" s="1" t="s">
        <v>10389</v>
      </c>
      <c r="R6626" s="1" t="s">
        <v>220</v>
      </c>
      <c r="S6626" s="1" t="s">
        <v>10390</v>
      </c>
      <c r="T6626" s="1" t="s">
        <v>10391</v>
      </c>
      <c r="U6626" s="2" t="s">
        <v>4440</v>
      </c>
      <c r="V6626" s="2" t="s">
        <v>83</v>
      </c>
      <c r="W6626" s="2" t="s">
        <v>84</v>
      </c>
      <c r="X6626" s="2">
        <v>492.83499999999998</v>
      </c>
    </row>
    <row r="6627" spans="1:24" x14ac:dyDescent="0.3">
      <c r="A6627">
        <v>24444</v>
      </c>
      <c r="B6627" t="s">
        <v>13311</v>
      </c>
      <c r="C6627" s="3">
        <v>41919</v>
      </c>
      <c r="D6627" t="s">
        <v>148</v>
      </c>
      <c r="E6627">
        <v>23</v>
      </c>
      <c r="F6627" s="3">
        <f ca="1">41919+(RANDBETWEEN(1,10))</f>
        <v>41929</v>
      </c>
      <c r="G6627" t="s">
        <v>26</v>
      </c>
      <c r="H6627" t="s">
        <v>27</v>
      </c>
      <c r="I6627" t="s">
        <v>28</v>
      </c>
      <c r="J6627">
        <v>510.40499999999997</v>
      </c>
      <c r="K6627">
        <v>0.04</v>
      </c>
      <c r="L6627">
        <v>0.37</v>
      </c>
      <c r="M6627">
        <v>17.989999999999998</v>
      </c>
      <c r="N6627">
        <v>71.61</v>
      </c>
      <c r="O6627" s="1" t="s">
        <v>87</v>
      </c>
      <c r="P6627" s="1" t="s">
        <v>9465</v>
      </c>
      <c r="Q6627" s="1" t="s">
        <v>9466</v>
      </c>
      <c r="R6627" s="1" t="s">
        <v>646</v>
      </c>
      <c r="S6627" s="1" t="s">
        <v>9467</v>
      </c>
      <c r="T6627" s="1" t="s">
        <v>9468</v>
      </c>
      <c r="U6627" s="2" t="s">
        <v>146</v>
      </c>
      <c r="V6627" s="2" t="s">
        <v>47</v>
      </c>
      <c r="W6627" s="2" t="s">
        <v>74</v>
      </c>
      <c r="X6627" s="2">
        <v>22.68</v>
      </c>
    </row>
    <row r="6628" spans="1:24" x14ac:dyDescent="0.3">
      <c r="A6628">
        <v>24445</v>
      </c>
      <c r="B6628" t="s">
        <v>13312</v>
      </c>
      <c r="C6628" s="3">
        <v>41863</v>
      </c>
      <c r="D6628" t="s">
        <v>25</v>
      </c>
      <c r="E6628">
        <v>6</v>
      </c>
      <c r="F6628" s="3">
        <f ca="1">41863+(RANDBETWEEN(1,10))</f>
        <v>41866</v>
      </c>
      <c r="G6628" t="s">
        <v>26</v>
      </c>
      <c r="H6628" t="s">
        <v>96</v>
      </c>
      <c r="I6628" t="s">
        <v>52</v>
      </c>
      <c r="J6628">
        <v>122.465</v>
      </c>
      <c r="K6628">
        <v>0.01</v>
      </c>
      <c r="L6628">
        <v>0.36</v>
      </c>
      <c r="M6628">
        <v>3.3250000000000002</v>
      </c>
      <c r="N6628">
        <v>-243.23599999999999</v>
      </c>
      <c r="O6628" s="1" t="s">
        <v>87</v>
      </c>
      <c r="P6628" s="1" t="s">
        <v>7239</v>
      </c>
      <c r="Q6628" s="1" t="s">
        <v>7240</v>
      </c>
      <c r="R6628" s="1" t="s">
        <v>398</v>
      </c>
      <c r="S6628" s="1" t="s">
        <v>3265</v>
      </c>
      <c r="T6628" s="1" t="s">
        <v>3266</v>
      </c>
      <c r="U6628" s="2" t="s">
        <v>3882</v>
      </c>
      <c r="V6628" s="2" t="s">
        <v>47</v>
      </c>
      <c r="W6628" s="2" t="s">
        <v>74</v>
      </c>
      <c r="X6628" s="2">
        <v>19.004999999999999</v>
      </c>
    </row>
    <row r="6629" spans="1:24" x14ac:dyDescent="0.3">
      <c r="A6629">
        <v>24446</v>
      </c>
      <c r="B6629" t="s">
        <v>13313</v>
      </c>
      <c r="C6629" s="3">
        <v>41511</v>
      </c>
      <c r="D6629" t="s">
        <v>148</v>
      </c>
      <c r="E6629">
        <v>19</v>
      </c>
      <c r="F6629" s="3">
        <f ca="1">41511+(RANDBETWEEN(1,10))</f>
        <v>41515</v>
      </c>
      <c r="G6629" t="s">
        <v>26</v>
      </c>
      <c r="H6629" t="s">
        <v>96</v>
      </c>
      <c r="I6629" t="s">
        <v>86</v>
      </c>
      <c r="J6629">
        <v>1160.95</v>
      </c>
      <c r="K6629">
        <v>0.05</v>
      </c>
      <c r="L6629">
        <v>0.37</v>
      </c>
      <c r="M6629">
        <v>3.4649999999999999</v>
      </c>
      <c r="N6629">
        <v>801.05550000000005</v>
      </c>
      <c r="O6629" s="1" t="s">
        <v>64</v>
      </c>
      <c r="P6629" s="1" t="s">
        <v>13314</v>
      </c>
      <c r="Q6629" s="1" t="s">
        <v>13315</v>
      </c>
      <c r="R6629" s="1" t="s">
        <v>128</v>
      </c>
      <c r="S6629" s="1" t="s">
        <v>3365</v>
      </c>
      <c r="T6629" s="1" t="s">
        <v>3366</v>
      </c>
      <c r="U6629" s="2" t="s">
        <v>3359</v>
      </c>
      <c r="V6629" s="2" t="s">
        <v>36</v>
      </c>
      <c r="W6629" s="2" t="s">
        <v>37</v>
      </c>
      <c r="X6629" s="2">
        <v>73.465000000000003</v>
      </c>
    </row>
    <row r="6630" spans="1:24" x14ac:dyDescent="0.3">
      <c r="A6630">
        <v>24447</v>
      </c>
      <c r="B6630" t="s">
        <v>13316</v>
      </c>
      <c r="C6630" s="3">
        <v>41901</v>
      </c>
      <c r="D6630" t="s">
        <v>25</v>
      </c>
      <c r="E6630">
        <v>3</v>
      </c>
      <c r="F6630" s="3">
        <f ca="1">41905+(RANDBETWEEN(1,10))</f>
        <v>41910</v>
      </c>
      <c r="G6630" t="s">
        <v>156</v>
      </c>
      <c r="H6630" t="s">
        <v>27</v>
      </c>
      <c r="I6630" t="s">
        <v>97</v>
      </c>
      <c r="J6630">
        <v>1775.7950000000001</v>
      </c>
      <c r="K6630">
        <v>0.01</v>
      </c>
      <c r="L6630">
        <v>0.6</v>
      </c>
      <c r="M6630">
        <v>14.7</v>
      </c>
      <c r="N6630">
        <v>1248.3240000000001</v>
      </c>
      <c r="O6630" s="1" t="s">
        <v>87</v>
      </c>
      <c r="P6630" s="1" t="s">
        <v>8141</v>
      </c>
      <c r="Q6630" s="1" t="s">
        <v>8142</v>
      </c>
      <c r="R6630" s="1" t="s">
        <v>90</v>
      </c>
      <c r="S6630" s="1" t="s">
        <v>8143</v>
      </c>
      <c r="T6630" s="1" t="s">
        <v>8144</v>
      </c>
      <c r="U6630" s="2">
        <v>688</v>
      </c>
      <c r="V6630" s="2" t="s">
        <v>36</v>
      </c>
      <c r="W6630" s="2" t="s">
        <v>37</v>
      </c>
      <c r="X6630" s="2">
        <v>685.96500000000003</v>
      </c>
    </row>
    <row r="6631" spans="1:24" x14ac:dyDescent="0.3">
      <c r="A6631">
        <v>24448</v>
      </c>
      <c r="B6631" t="s">
        <v>13317</v>
      </c>
      <c r="C6631" s="3">
        <v>41420</v>
      </c>
      <c r="D6631" t="s">
        <v>39</v>
      </c>
      <c r="E6631">
        <v>6</v>
      </c>
      <c r="F6631" s="3">
        <f ca="1">41421+(RANDBETWEEN(1,10))</f>
        <v>41423</v>
      </c>
      <c r="G6631" t="s">
        <v>26</v>
      </c>
      <c r="H6631" t="s">
        <v>27</v>
      </c>
      <c r="I6631" t="s">
        <v>28</v>
      </c>
      <c r="J6631">
        <v>95.234999999999999</v>
      </c>
      <c r="K6631">
        <v>0.05</v>
      </c>
      <c r="L6631">
        <v>0.39</v>
      </c>
      <c r="M6631">
        <v>5.2149999999999999</v>
      </c>
      <c r="N6631">
        <v>-631.56100000000004</v>
      </c>
      <c r="O6631" s="1" t="s">
        <v>64</v>
      </c>
      <c r="P6631" s="1" t="s">
        <v>4339</v>
      </c>
      <c r="Q6631" s="1" t="s">
        <v>4340</v>
      </c>
      <c r="R6631" s="1" t="s">
        <v>128</v>
      </c>
      <c r="S6631" s="1" t="s">
        <v>4341</v>
      </c>
      <c r="T6631" s="1" t="s">
        <v>4342</v>
      </c>
      <c r="U6631" s="2" t="s">
        <v>11173</v>
      </c>
      <c r="V6631" s="2" t="s">
        <v>47</v>
      </c>
      <c r="W6631" s="2" t="s">
        <v>111</v>
      </c>
      <c r="X6631" s="2">
        <v>15.715</v>
      </c>
    </row>
    <row r="6632" spans="1:24" x14ac:dyDescent="0.3">
      <c r="A6632">
        <v>24449</v>
      </c>
      <c r="B6632" t="s">
        <v>13318</v>
      </c>
      <c r="C6632" s="3">
        <v>41994</v>
      </c>
      <c r="D6632" t="s">
        <v>25</v>
      </c>
      <c r="E6632">
        <v>1</v>
      </c>
      <c r="F6632" s="3">
        <f ca="1">41999+(RANDBETWEEN(1,10))</f>
        <v>42000</v>
      </c>
      <c r="G6632" t="s">
        <v>26</v>
      </c>
      <c r="H6632" t="s">
        <v>27</v>
      </c>
      <c r="I6632" t="s">
        <v>28</v>
      </c>
      <c r="J6632">
        <v>96.04</v>
      </c>
      <c r="K6632">
        <v>0.02</v>
      </c>
      <c r="L6632">
        <v>0.39</v>
      </c>
      <c r="M6632">
        <v>10.465</v>
      </c>
      <c r="N6632">
        <v>407.84309999999999</v>
      </c>
      <c r="O6632" s="1" t="s">
        <v>64</v>
      </c>
      <c r="P6632" s="1" t="s">
        <v>12942</v>
      </c>
      <c r="Q6632" s="1" t="s">
        <v>12943</v>
      </c>
      <c r="R6632" s="1" t="s">
        <v>67</v>
      </c>
      <c r="S6632" s="1" t="s">
        <v>12944</v>
      </c>
      <c r="T6632" s="1" t="s">
        <v>12945</v>
      </c>
      <c r="U6632" s="2" t="s">
        <v>1757</v>
      </c>
      <c r="V6632" s="2" t="s">
        <v>47</v>
      </c>
      <c r="W6632" s="2" t="s">
        <v>111</v>
      </c>
      <c r="X6632" s="2">
        <v>87.325000000000003</v>
      </c>
    </row>
    <row r="6633" spans="1:24" x14ac:dyDescent="0.3">
      <c r="A6633">
        <v>24450</v>
      </c>
      <c r="B6633" t="s">
        <v>13319</v>
      </c>
      <c r="C6633" s="3">
        <v>41903</v>
      </c>
      <c r="D6633" t="s">
        <v>62</v>
      </c>
      <c r="E6633">
        <v>11</v>
      </c>
      <c r="F6633" s="3">
        <f ca="1">41905+(RANDBETWEEN(1,10))</f>
        <v>41912</v>
      </c>
      <c r="G6633" t="s">
        <v>26</v>
      </c>
      <c r="H6633" t="s">
        <v>51</v>
      </c>
      <c r="I6633" t="s">
        <v>97</v>
      </c>
      <c r="J6633">
        <v>1462.6849999999999</v>
      </c>
      <c r="K6633">
        <v>0.06</v>
      </c>
      <c r="L6633">
        <v>0.51</v>
      </c>
      <c r="M6633">
        <v>6.9649999999999999</v>
      </c>
      <c r="N6633">
        <v>615.49739999999997</v>
      </c>
      <c r="O6633" s="1" t="s">
        <v>40</v>
      </c>
      <c r="P6633" s="1" t="s">
        <v>950</v>
      </c>
      <c r="Q6633" s="1" t="s">
        <v>951</v>
      </c>
      <c r="R6633" s="1" t="s">
        <v>43</v>
      </c>
      <c r="S6633" s="1" t="s">
        <v>952</v>
      </c>
      <c r="T6633" s="1" t="s">
        <v>953</v>
      </c>
      <c r="U6633" s="2" t="s">
        <v>7488</v>
      </c>
      <c r="V6633" s="2" t="s">
        <v>36</v>
      </c>
      <c r="W6633" s="2" t="s">
        <v>60</v>
      </c>
      <c r="X6633" s="2">
        <v>137.34</v>
      </c>
    </row>
    <row r="6634" spans="1:24" x14ac:dyDescent="0.3">
      <c r="A6634">
        <v>24451</v>
      </c>
      <c r="B6634" t="s">
        <v>13320</v>
      </c>
      <c r="C6634" s="3">
        <v>41173</v>
      </c>
      <c r="D6634" t="s">
        <v>62</v>
      </c>
      <c r="E6634">
        <v>9</v>
      </c>
      <c r="F6634" s="3">
        <f ca="1">41175+(RANDBETWEEN(1,10))</f>
        <v>41178</v>
      </c>
      <c r="G6634" t="s">
        <v>26</v>
      </c>
      <c r="H6634" t="s">
        <v>96</v>
      </c>
      <c r="I6634" t="s">
        <v>97</v>
      </c>
      <c r="J6634">
        <v>244.37</v>
      </c>
      <c r="K6634">
        <v>0.08</v>
      </c>
      <c r="L6634">
        <v>0.36</v>
      </c>
      <c r="M6634">
        <v>20.405000000000001</v>
      </c>
      <c r="N6634">
        <v>-108.22</v>
      </c>
      <c r="O6634" s="1" t="s">
        <v>40</v>
      </c>
      <c r="P6634" s="1" t="s">
        <v>950</v>
      </c>
      <c r="Q6634" s="1" t="s">
        <v>951</v>
      </c>
      <c r="R6634" s="1" t="s">
        <v>43</v>
      </c>
      <c r="S6634" s="1" t="s">
        <v>952</v>
      </c>
      <c r="T6634" s="1" t="s">
        <v>953</v>
      </c>
      <c r="U6634" s="2" t="s">
        <v>605</v>
      </c>
      <c r="V6634" s="2" t="s">
        <v>47</v>
      </c>
      <c r="W6634" s="2" t="s">
        <v>74</v>
      </c>
      <c r="X6634" s="2">
        <v>26.74</v>
      </c>
    </row>
    <row r="6635" spans="1:24" x14ac:dyDescent="0.3">
      <c r="A6635">
        <v>24452</v>
      </c>
      <c r="B6635" t="s">
        <v>13321</v>
      </c>
      <c r="C6635" s="3">
        <v>41419</v>
      </c>
      <c r="D6635" t="s">
        <v>148</v>
      </c>
      <c r="E6635">
        <v>11</v>
      </c>
      <c r="F6635" s="3">
        <f ca="1">41420+(RANDBETWEEN(1,10))</f>
        <v>41423</v>
      </c>
      <c r="G6635" t="s">
        <v>26</v>
      </c>
      <c r="H6635" t="s">
        <v>63</v>
      </c>
      <c r="I6635" t="s">
        <v>86</v>
      </c>
      <c r="J6635">
        <v>24199.174999999999</v>
      </c>
      <c r="K6635">
        <v>0.03</v>
      </c>
      <c r="L6635">
        <v>0.5</v>
      </c>
      <c r="M6635">
        <v>85.715000000000003</v>
      </c>
      <c r="N6635">
        <v>16697.43075</v>
      </c>
      <c r="O6635" s="1" t="s">
        <v>64</v>
      </c>
      <c r="P6635" s="1" t="s">
        <v>637</v>
      </c>
      <c r="Q6635" s="1" t="s">
        <v>638</v>
      </c>
      <c r="R6635" s="1" t="s">
        <v>67</v>
      </c>
      <c r="S6635" s="1" t="s">
        <v>639</v>
      </c>
      <c r="T6635" s="1" t="s">
        <v>640</v>
      </c>
      <c r="U6635" s="2" t="s">
        <v>5807</v>
      </c>
      <c r="V6635" s="2" t="s">
        <v>36</v>
      </c>
      <c r="W6635" s="2" t="s">
        <v>1327</v>
      </c>
      <c r="X6635" s="2">
        <v>2099.9650000000001</v>
      </c>
    </row>
    <row r="6636" spans="1:24" x14ac:dyDescent="0.3">
      <c r="A6636">
        <v>24453</v>
      </c>
      <c r="B6636" t="s">
        <v>13321</v>
      </c>
      <c r="C6636" s="3">
        <v>41419</v>
      </c>
      <c r="D6636" t="s">
        <v>148</v>
      </c>
      <c r="E6636">
        <v>6</v>
      </c>
      <c r="F6636" s="3">
        <f ca="1">41421+(RANDBETWEEN(1,10))</f>
        <v>41428</v>
      </c>
      <c r="G6636" t="s">
        <v>26</v>
      </c>
      <c r="H6636" t="s">
        <v>96</v>
      </c>
      <c r="I6636" t="s">
        <v>86</v>
      </c>
      <c r="J6636">
        <v>151.375</v>
      </c>
      <c r="K6636">
        <v>0.02</v>
      </c>
      <c r="L6636">
        <v>0.36</v>
      </c>
      <c r="M6636">
        <v>10.85</v>
      </c>
      <c r="N6636">
        <v>48.405000000000001</v>
      </c>
      <c r="O6636" s="1" t="s">
        <v>64</v>
      </c>
      <c r="P6636" s="1" t="s">
        <v>637</v>
      </c>
      <c r="Q6636" s="1" t="s">
        <v>638</v>
      </c>
      <c r="R6636" s="1" t="s">
        <v>67</v>
      </c>
      <c r="S6636" s="1" t="s">
        <v>639</v>
      </c>
      <c r="T6636" s="1" t="s">
        <v>640</v>
      </c>
      <c r="U6636" s="2" t="s">
        <v>8343</v>
      </c>
      <c r="V6636" s="2" t="s">
        <v>47</v>
      </c>
      <c r="W6636" s="2" t="s">
        <v>74</v>
      </c>
      <c r="X6636" s="2">
        <v>23.414999999999999</v>
      </c>
    </row>
    <row r="6637" spans="1:24" x14ac:dyDescent="0.3">
      <c r="A6637">
        <v>24454</v>
      </c>
      <c r="B6637" t="s">
        <v>13322</v>
      </c>
      <c r="C6637" s="3">
        <v>41979</v>
      </c>
      <c r="D6637" t="s">
        <v>148</v>
      </c>
      <c r="E6637">
        <v>8</v>
      </c>
      <c r="F6637" s="3">
        <f ca="1">41981+(RANDBETWEEN(1,10))</f>
        <v>41982</v>
      </c>
      <c r="G6637" t="s">
        <v>156</v>
      </c>
      <c r="H6637" t="s">
        <v>27</v>
      </c>
      <c r="I6637" t="s">
        <v>28</v>
      </c>
      <c r="J6637">
        <v>376.565</v>
      </c>
      <c r="K6637">
        <v>0.08</v>
      </c>
      <c r="L6637">
        <v>0.38</v>
      </c>
      <c r="M6637">
        <v>25.094999999999999</v>
      </c>
      <c r="N6637">
        <v>3440.808</v>
      </c>
      <c r="O6637" s="1" t="s">
        <v>40</v>
      </c>
      <c r="P6637" s="1" t="s">
        <v>7098</v>
      </c>
      <c r="Q6637" s="1" t="s">
        <v>7099</v>
      </c>
      <c r="R6637" s="1" t="s">
        <v>43</v>
      </c>
      <c r="S6637" s="1" t="s">
        <v>7100</v>
      </c>
      <c r="T6637" s="1" t="s">
        <v>7101</v>
      </c>
      <c r="U6637" s="2" t="s">
        <v>966</v>
      </c>
      <c r="V6637" s="2" t="s">
        <v>47</v>
      </c>
      <c r="W6637" s="2" t="s">
        <v>111</v>
      </c>
      <c r="X6637" s="2">
        <v>43.854999999999997</v>
      </c>
    </row>
    <row r="6638" spans="1:24" x14ac:dyDescent="0.3">
      <c r="A6638">
        <v>24455</v>
      </c>
      <c r="B6638" t="s">
        <v>13323</v>
      </c>
      <c r="C6638" s="3">
        <v>40883</v>
      </c>
      <c r="D6638" t="s">
        <v>148</v>
      </c>
      <c r="E6638">
        <v>16</v>
      </c>
      <c r="F6638" s="3">
        <f ca="1">40885+(RANDBETWEEN(1,10))</f>
        <v>40895</v>
      </c>
      <c r="G6638" t="s">
        <v>26</v>
      </c>
      <c r="H6638" t="s">
        <v>27</v>
      </c>
      <c r="I6638" t="s">
        <v>28</v>
      </c>
      <c r="J6638">
        <v>2915.395</v>
      </c>
      <c r="K6638">
        <v>0</v>
      </c>
      <c r="L6638">
        <v>0.41</v>
      </c>
      <c r="M6638">
        <v>69.965000000000003</v>
      </c>
      <c r="N6638">
        <v>136.101</v>
      </c>
      <c r="O6638" s="1" t="s">
        <v>29</v>
      </c>
      <c r="P6638" s="1" t="s">
        <v>10111</v>
      </c>
      <c r="Q6638" s="1" t="s">
        <v>10112</v>
      </c>
      <c r="R6638" s="1" t="s">
        <v>460</v>
      </c>
      <c r="S6638" s="1" t="s">
        <v>1753</v>
      </c>
      <c r="T6638" s="1" t="s">
        <v>1437</v>
      </c>
      <c r="U6638" s="2" t="s">
        <v>300</v>
      </c>
      <c r="V6638" s="2" t="s">
        <v>36</v>
      </c>
      <c r="W6638" s="2" t="s">
        <v>60</v>
      </c>
      <c r="X6638" s="2">
        <v>174.965</v>
      </c>
    </row>
    <row r="6639" spans="1:24" x14ac:dyDescent="0.3">
      <c r="A6639">
        <v>24456</v>
      </c>
      <c r="B6639" t="s">
        <v>13324</v>
      </c>
      <c r="C6639" s="3">
        <v>41666</v>
      </c>
      <c r="D6639" t="s">
        <v>148</v>
      </c>
      <c r="E6639">
        <v>7</v>
      </c>
      <c r="F6639" s="3">
        <f ca="1">41668+(RANDBETWEEN(1,10))</f>
        <v>41676</v>
      </c>
      <c r="G6639" t="s">
        <v>26</v>
      </c>
      <c r="H6639" t="s">
        <v>96</v>
      </c>
      <c r="I6639" t="s">
        <v>28</v>
      </c>
      <c r="J6639">
        <v>72.905000000000001</v>
      </c>
      <c r="K6639">
        <v>0.01</v>
      </c>
      <c r="L6639">
        <v>0.57999999999999996</v>
      </c>
      <c r="M6639">
        <v>3.36</v>
      </c>
      <c r="N6639">
        <v>6.6234000000000002</v>
      </c>
      <c r="O6639" s="1" t="s">
        <v>40</v>
      </c>
      <c r="P6639" s="1" t="s">
        <v>13325</v>
      </c>
      <c r="Q6639" s="1" t="s">
        <v>13326</v>
      </c>
      <c r="R6639" s="1" t="s">
        <v>43</v>
      </c>
      <c r="S6639" s="1" t="s">
        <v>576</v>
      </c>
      <c r="T6639" s="1" t="s">
        <v>577</v>
      </c>
      <c r="U6639" s="2" t="s">
        <v>154</v>
      </c>
      <c r="V6639" s="2" t="s">
        <v>47</v>
      </c>
      <c r="W6639" s="2" t="s">
        <v>104</v>
      </c>
      <c r="X6639" s="2">
        <v>10.29</v>
      </c>
    </row>
    <row r="6640" spans="1:24" x14ac:dyDescent="0.3">
      <c r="A6640">
        <v>24457</v>
      </c>
      <c r="B6640" t="s">
        <v>13327</v>
      </c>
      <c r="C6640" s="3">
        <v>40902</v>
      </c>
      <c r="D6640" t="s">
        <v>25</v>
      </c>
      <c r="E6640">
        <v>9</v>
      </c>
      <c r="F6640" s="3">
        <f ca="1">40907+(RANDBETWEEN(1,10))</f>
        <v>40908</v>
      </c>
      <c r="G6640" t="s">
        <v>26</v>
      </c>
      <c r="H6640" t="s">
        <v>27</v>
      </c>
      <c r="I6640" t="s">
        <v>86</v>
      </c>
      <c r="J6640">
        <v>111.93</v>
      </c>
      <c r="K6640">
        <v>0.08</v>
      </c>
      <c r="L6640">
        <v>0.39</v>
      </c>
      <c r="M6640">
        <v>8.75</v>
      </c>
      <c r="N6640">
        <v>-486.76600000000002</v>
      </c>
      <c r="O6640" s="1" t="s">
        <v>40</v>
      </c>
      <c r="P6640" s="1" t="s">
        <v>4383</v>
      </c>
      <c r="Q6640" s="1" t="s">
        <v>4384</v>
      </c>
      <c r="R6640" s="1" t="s">
        <v>43</v>
      </c>
      <c r="S6640" s="1" t="s">
        <v>4385</v>
      </c>
      <c r="T6640" s="1" t="s">
        <v>4386</v>
      </c>
      <c r="U6640" s="2" t="s">
        <v>7012</v>
      </c>
      <c r="V6640" s="2" t="s">
        <v>47</v>
      </c>
      <c r="W6640" s="2" t="s">
        <v>48</v>
      </c>
      <c r="X6640" s="2">
        <v>12.914999999999999</v>
      </c>
    </row>
    <row r="6641" spans="1:24" x14ac:dyDescent="0.3">
      <c r="A6641">
        <v>24458</v>
      </c>
      <c r="B6641" t="s">
        <v>13328</v>
      </c>
      <c r="C6641" s="3">
        <v>41710</v>
      </c>
      <c r="D6641" t="s">
        <v>50</v>
      </c>
      <c r="E6641">
        <v>8</v>
      </c>
      <c r="F6641" s="3">
        <f ca="1">41712+(RANDBETWEEN(1,10))</f>
        <v>41718</v>
      </c>
      <c r="G6641" t="s">
        <v>26</v>
      </c>
      <c r="H6641" t="s">
        <v>96</v>
      </c>
      <c r="I6641" t="s">
        <v>86</v>
      </c>
      <c r="J6641">
        <v>118.72</v>
      </c>
      <c r="K6641">
        <v>0.01</v>
      </c>
      <c r="L6641">
        <v>0.37</v>
      </c>
      <c r="M6641">
        <v>4.55</v>
      </c>
      <c r="N6641">
        <v>81.916799999999995</v>
      </c>
      <c r="O6641" s="1" t="s">
        <v>53</v>
      </c>
      <c r="P6641" s="1" t="s">
        <v>10362</v>
      </c>
      <c r="Q6641" s="1" t="s">
        <v>10363</v>
      </c>
      <c r="R6641" s="1" t="s">
        <v>56</v>
      </c>
      <c r="S6641" s="1" t="s">
        <v>10364</v>
      </c>
      <c r="T6641" s="1" t="s">
        <v>10365</v>
      </c>
      <c r="U6641" s="2" t="s">
        <v>2823</v>
      </c>
      <c r="V6641" s="2" t="s">
        <v>47</v>
      </c>
      <c r="W6641" s="2" t="s">
        <v>74</v>
      </c>
      <c r="X6641" s="2">
        <v>14</v>
      </c>
    </row>
    <row r="6642" spans="1:24" x14ac:dyDescent="0.3">
      <c r="A6642">
        <v>24459</v>
      </c>
      <c r="B6642" t="s">
        <v>13329</v>
      </c>
      <c r="C6642" s="3">
        <v>40787</v>
      </c>
      <c r="D6642" t="s">
        <v>62</v>
      </c>
      <c r="E6642">
        <v>20</v>
      </c>
      <c r="F6642" s="3">
        <f ca="1">40788+(RANDBETWEEN(1,10))</f>
        <v>40794</v>
      </c>
      <c r="G6642" t="s">
        <v>156</v>
      </c>
      <c r="H6642" t="s">
        <v>281</v>
      </c>
      <c r="I6642" t="s">
        <v>97</v>
      </c>
      <c r="J6642">
        <v>6238.54</v>
      </c>
      <c r="K6642">
        <v>0.09</v>
      </c>
      <c r="L6642">
        <v>0.74</v>
      </c>
      <c r="M6642">
        <v>196.7</v>
      </c>
      <c r="N6642">
        <v>-5496.12</v>
      </c>
      <c r="O6642" s="1" t="s">
        <v>40</v>
      </c>
      <c r="P6642" s="1" t="s">
        <v>13330</v>
      </c>
      <c r="Q6642" s="1" t="s">
        <v>13331</v>
      </c>
      <c r="R6642" s="1" t="s">
        <v>43</v>
      </c>
      <c r="S6642" s="1" t="s">
        <v>576</v>
      </c>
      <c r="T6642" s="1" t="s">
        <v>577</v>
      </c>
      <c r="U6642" s="2" t="s">
        <v>3131</v>
      </c>
      <c r="V6642" s="2" t="s">
        <v>83</v>
      </c>
      <c r="W6642" s="2" t="s">
        <v>178</v>
      </c>
      <c r="X6642" s="2">
        <v>318.43</v>
      </c>
    </row>
    <row r="6643" spans="1:24" x14ac:dyDescent="0.3">
      <c r="A6643">
        <v>24460</v>
      </c>
      <c r="B6643" t="s">
        <v>13332</v>
      </c>
      <c r="C6643" s="3">
        <v>41144</v>
      </c>
      <c r="D6643" t="s">
        <v>39</v>
      </c>
      <c r="E6643">
        <v>12</v>
      </c>
      <c r="F6643" s="3">
        <f ca="1">41144+(RANDBETWEEN(1,10))</f>
        <v>41152</v>
      </c>
      <c r="G6643" t="s">
        <v>26</v>
      </c>
      <c r="H6643" t="s">
        <v>27</v>
      </c>
      <c r="I6643" t="s">
        <v>86</v>
      </c>
      <c r="J6643">
        <v>239.26</v>
      </c>
      <c r="K6643">
        <v>0.08</v>
      </c>
      <c r="L6643">
        <v>0.35</v>
      </c>
      <c r="M6643">
        <v>18.55</v>
      </c>
      <c r="N6643">
        <v>-93.948400000000007</v>
      </c>
      <c r="O6643" s="1" t="s">
        <v>40</v>
      </c>
      <c r="P6643" s="1" t="s">
        <v>9476</v>
      </c>
      <c r="Q6643" s="1" t="s">
        <v>9477</v>
      </c>
      <c r="R6643" s="1" t="s">
        <v>220</v>
      </c>
      <c r="S6643" s="1" t="s">
        <v>1544</v>
      </c>
      <c r="T6643" s="1" t="s">
        <v>1545</v>
      </c>
      <c r="U6643" s="2" t="s">
        <v>2464</v>
      </c>
      <c r="V6643" s="2" t="s">
        <v>47</v>
      </c>
      <c r="W6643" s="2" t="s">
        <v>48</v>
      </c>
      <c r="X6643" s="2">
        <v>19.53</v>
      </c>
    </row>
    <row r="6644" spans="1:24" x14ac:dyDescent="0.3">
      <c r="A6644">
        <v>24461</v>
      </c>
      <c r="B6644" t="s">
        <v>13333</v>
      </c>
      <c r="C6644" s="3">
        <v>41319</v>
      </c>
      <c r="D6644" t="s">
        <v>25</v>
      </c>
      <c r="E6644">
        <v>1</v>
      </c>
      <c r="F6644" s="3">
        <f ca="1">41321+(RANDBETWEEN(1,10))</f>
        <v>41323</v>
      </c>
      <c r="G6644" t="s">
        <v>76</v>
      </c>
      <c r="H6644" t="s">
        <v>258</v>
      </c>
      <c r="I6644" t="s">
        <v>52</v>
      </c>
      <c r="J6644">
        <v>459.44499999999999</v>
      </c>
      <c r="K6644">
        <v>0.1</v>
      </c>
      <c r="L6644">
        <v>0.62</v>
      </c>
      <c r="M6644">
        <v>125.44</v>
      </c>
      <c r="N6644">
        <v>-238.56</v>
      </c>
      <c r="O6644" s="1" t="s">
        <v>64</v>
      </c>
      <c r="P6644" s="1" t="s">
        <v>8751</v>
      </c>
      <c r="Q6644" s="1" t="s">
        <v>8752</v>
      </c>
      <c r="R6644" s="1" t="s">
        <v>128</v>
      </c>
      <c r="S6644" s="1" t="s">
        <v>8753</v>
      </c>
      <c r="T6644" s="1" t="s">
        <v>8754</v>
      </c>
      <c r="U6644" s="2" t="s">
        <v>1271</v>
      </c>
      <c r="V6644" s="2" t="s">
        <v>83</v>
      </c>
      <c r="W6644" s="2" t="s">
        <v>298</v>
      </c>
      <c r="X6644" s="2">
        <v>353.43</v>
      </c>
    </row>
    <row r="6645" spans="1:24" x14ac:dyDescent="0.3">
      <c r="A6645">
        <v>24462</v>
      </c>
      <c r="B6645" t="s">
        <v>13333</v>
      </c>
      <c r="C6645" s="3">
        <v>41319</v>
      </c>
      <c r="D6645" t="s">
        <v>25</v>
      </c>
      <c r="E6645">
        <v>14</v>
      </c>
      <c r="F6645" s="3">
        <f ca="1">41323+(RANDBETWEEN(1,10))</f>
        <v>41333</v>
      </c>
      <c r="G6645" t="s">
        <v>26</v>
      </c>
      <c r="H6645" t="s">
        <v>27</v>
      </c>
      <c r="I6645" t="s">
        <v>52</v>
      </c>
      <c r="J6645">
        <v>192.465</v>
      </c>
      <c r="K6645">
        <v>7.0000000000000007E-2</v>
      </c>
      <c r="L6645">
        <v>0.39</v>
      </c>
      <c r="M6645">
        <v>1.75</v>
      </c>
      <c r="N6645">
        <v>132.80085</v>
      </c>
      <c r="O6645" s="1" t="s">
        <v>64</v>
      </c>
      <c r="P6645" s="1" t="s">
        <v>8751</v>
      </c>
      <c r="Q6645" s="1" t="s">
        <v>8752</v>
      </c>
      <c r="R6645" s="1" t="s">
        <v>128</v>
      </c>
      <c r="S6645" s="1" t="s">
        <v>8753</v>
      </c>
      <c r="T6645" s="1" t="s">
        <v>8754</v>
      </c>
      <c r="U6645" s="2" t="s">
        <v>1889</v>
      </c>
      <c r="V6645" s="2" t="s">
        <v>47</v>
      </c>
      <c r="W6645" s="2" t="s">
        <v>203</v>
      </c>
      <c r="X6645" s="2">
        <v>14.455</v>
      </c>
    </row>
    <row r="6646" spans="1:24" x14ac:dyDescent="0.3">
      <c r="A6646">
        <v>24463</v>
      </c>
      <c r="B6646" t="s">
        <v>13334</v>
      </c>
      <c r="C6646" s="3">
        <v>40766</v>
      </c>
      <c r="D6646" t="s">
        <v>148</v>
      </c>
      <c r="E6646">
        <v>14</v>
      </c>
      <c r="F6646" s="3">
        <f ca="1">40767+(RANDBETWEEN(1,10))</f>
        <v>40774</v>
      </c>
      <c r="G6646" t="s">
        <v>76</v>
      </c>
      <c r="H6646" t="s">
        <v>77</v>
      </c>
      <c r="I6646" t="s">
        <v>97</v>
      </c>
      <c r="J6646">
        <v>4421.7250000000004</v>
      </c>
      <c r="K6646">
        <v>0.06</v>
      </c>
      <c r="L6646">
        <v>0.36</v>
      </c>
      <c r="M6646">
        <v>49</v>
      </c>
      <c r="N6646">
        <v>165.66900000000001</v>
      </c>
      <c r="O6646" s="1" t="s">
        <v>53</v>
      </c>
      <c r="P6646" s="1" t="s">
        <v>10087</v>
      </c>
      <c r="Q6646" s="1" t="s">
        <v>10088</v>
      </c>
      <c r="R6646" s="1" t="s">
        <v>100</v>
      </c>
      <c r="S6646" s="1" t="s">
        <v>10089</v>
      </c>
      <c r="T6646" s="1" t="s">
        <v>10090</v>
      </c>
      <c r="U6646" s="2" t="s">
        <v>2449</v>
      </c>
      <c r="V6646" s="2" t="s">
        <v>36</v>
      </c>
      <c r="W6646" s="2" t="s">
        <v>142</v>
      </c>
      <c r="X6646" s="2">
        <v>318.39499999999998</v>
      </c>
    </row>
    <row r="6647" spans="1:24" x14ac:dyDescent="0.3">
      <c r="A6647">
        <v>24464</v>
      </c>
      <c r="B6647" t="s">
        <v>13335</v>
      </c>
      <c r="C6647" s="3">
        <v>40604</v>
      </c>
      <c r="D6647" t="s">
        <v>39</v>
      </c>
      <c r="E6647">
        <v>1</v>
      </c>
      <c r="F6647" s="3">
        <f ca="1">40606+(RANDBETWEEN(1,10))</f>
        <v>40614</v>
      </c>
      <c r="G6647" t="s">
        <v>76</v>
      </c>
      <c r="H6647" t="s">
        <v>258</v>
      </c>
      <c r="I6647" t="s">
        <v>86</v>
      </c>
      <c r="J6647">
        <v>698.18</v>
      </c>
      <c r="K6647">
        <v>0.08</v>
      </c>
      <c r="L6647">
        <v>0.66</v>
      </c>
      <c r="M6647">
        <v>125.61499999999999</v>
      </c>
      <c r="N6647">
        <v>-419.34199999999998</v>
      </c>
      <c r="O6647" s="1" t="s">
        <v>64</v>
      </c>
      <c r="P6647" s="1" t="s">
        <v>13009</v>
      </c>
      <c r="Q6647" s="1" t="s">
        <v>13010</v>
      </c>
      <c r="R6647" s="1" t="s">
        <v>128</v>
      </c>
      <c r="S6647" s="1" t="s">
        <v>13011</v>
      </c>
      <c r="T6647" s="1" t="s">
        <v>13012</v>
      </c>
      <c r="U6647" s="2" t="s">
        <v>6081</v>
      </c>
      <c r="V6647" s="2" t="s">
        <v>83</v>
      </c>
      <c r="W6647" s="2" t="s">
        <v>298</v>
      </c>
      <c r="X6647" s="2">
        <v>598.42999999999995</v>
      </c>
    </row>
    <row r="6648" spans="1:24" x14ac:dyDescent="0.3">
      <c r="A6648">
        <v>24465</v>
      </c>
      <c r="B6648" t="s">
        <v>13336</v>
      </c>
      <c r="C6648" s="3">
        <v>41722</v>
      </c>
      <c r="D6648" t="s">
        <v>50</v>
      </c>
      <c r="E6648">
        <v>13</v>
      </c>
      <c r="F6648" s="3">
        <f ca="1">41723+(RANDBETWEEN(1,10))</f>
        <v>41726</v>
      </c>
      <c r="G6648" t="s">
        <v>26</v>
      </c>
      <c r="H6648" t="s">
        <v>281</v>
      </c>
      <c r="I6648" t="s">
        <v>86</v>
      </c>
      <c r="J6648">
        <v>1002.61</v>
      </c>
      <c r="K6648">
        <v>7.0000000000000007E-2</v>
      </c>
      <c r="L6648">
        <v>0.52</v>
      </c>
      <c r="M6648">
        <v>48.965000000000003</v>
      </c>
      <c r="N6648">
        <v>-714.77</v>
      </c>
      <c r="O6648" s="1" t="s">
        <v>29</v>
      </c>
      <c r="P6648" s="1" t="s">
        <v>6107</v>
      </c>
      <c r="Q6648" s="1" t="s">
        <v>6108</v>
      </c>
      <c r="R6648" s="1" t="s">
        <v>32</v>
      </c>
      <c r="S6648" s="1" t="s">
        <v>6109</v>
      </c>
      <c r="T6648" s="1" t="s">
        <v>6110</v>
      </c>
      <c r="U6648" s="2" t="s">
        <v>5849</v>
      </c>
      <c r="V6648" s="2" t="s">
        <v>47</v>
      </c>
      <c r="W6648" s="2" t="s">
        <v>71</v>
      </c>
      <c r="X6648" s="2">
        <v>75.81</v>
      </c>
    </row>
    <row r="6649" spans="1:24" x14ac:dyDescent="0.3">
      <c r="A6649">
        <v>24466</v>
      </c>
      <c r="B6649" t="s">
        <v>13337</v>
      </c>
      <c r="C6649" s="3">
        <v>41984</v>
      </c>
      <c r="D6649" t="s">
        <v>148</v>
      </c>
      <c r="E6649">
        <v>5</v>
      </c>
      <c r="F6649" s="3">
        <f ca="1">41986+(RANDBETWEEN(1,10))</f>
        <v>41991</v>
      </c>
      <c r="G6649" t="s">
        <v>156</v>
      </c>
      <c r="H6649" t="s">
        <v>51</v>
      </c>
      <c r="I6649" t="s">
        <v>97</v>
      </c>
      <c r="J6649">
        <v>237.61500000000001</v>
      </c>
      <c r="K6649">
        <v>0.05</v>
      </c>
      <c r="L6649">
        <v>0.6</v>
      </c>
      <c r="M6649">
        <v>10.99</v>
      </c>
      <c r="N6649">
        <v>3.0867200000000001</v>
      </c>
      <c r="O6649" s="1" t="s">
        <v>29</v>
      </c>
      <c r="P6649" s="1" t="s">
        <v>8287</v>
      </c>
      <c r="Q6649" s="1" t="s">
        <v>8288</v>
      </c>
      <c r="R6649" s="1" t="s">
        <v>32</v>
      </c>
      <c r="S6649" s="1" t="s">
        <v>3689</v>
      </c>
      <c r="T6649" s="1" t="s">
        <v>3690</v>
      </c>
      <c r="U6649" s="2" t="s">
        <v>536</v>
      </c>
      <c r="V6649" s="2" t="s">
        <v>47</v>
      </c>
      <c r="W6649" s="2" t="s">
        <v>94</v>
      </c>
      <c r="X6649" s="2">
        <v>45.43</v>
      </c>
    </row>
    <row r="6650" spans="1:24" x14ac:dyDescent="0.3">
      <c r="A6650">
        <v>24467</v>
      </c>
      <c r="B6650" t="s">
        <v>13337</v>
      </c>
      <c r="C6650" s="3">
        <v>41984</v>
      </c>
      <c r="D6650" t="s">
        <v>148</v>
      </c>
      <c r="E6650">
        <v>18</v>
      </c>
      <c r="F6650" s="3">
        <f ca="1">41986+(RANDBETWEEN(1,10))</f>
        <v>41991</v>
      </c>
      <c r="G6650" t="s">
        <v>26</v>
      </c>
      <c r="H6650" t="s">
        <v>27</v>
      </c>
      <c r="I6650" t="s">
        <v>97</v>
      </c>
      <c r="J6650">
        <v>805.03499999999997</v>
      </c>
      <c r="K6650">
        <v>0.08</v>
      </c>
      <c r="L6650">
        <v>0.59</v>
      </c>
      <c r="M6650">
        <v>15.785</v>
      </c>
      <c r="N6650">
        <v>-18.721920000000001</v>
      </c>
      <c r="O6650" s="1" t="s">
        <v>29</v>
      </c>
      <c r="P6650" s="1" t="s">
        <v>8287</v>
      </c>
      <c r="Q6650" s="1" t="s">
        <v>8288</v>
      </c>
      <c r="R6650" s="1" t="s">
        <v>32</v>
      </c>
      <c r="S6650" s="1" t="s">
        <v>3689</v>
      </c>
      <c r="T6650" s="1" t="s">
        <v>3690</v>
      </c>
      <c r="U6650" s="2" t="s">
        <v>1495</v>
      </c>
      <c r="V6650" s="2" t="s">
        <v>47</v>
      </c>
      <c r="W6650" s="2" t="s">
        <v>119</v>
      </c>
      <c r="X6650" s="2">
        <v>47.18</v>
      </c>
    </row>
    <row r="6651" spans="1:24" x14ac:dyDescent="0.3">
      <c r="A6651">
        <v>24468</v>
      </c>
      <c r="B6651" t="s">
        <v>13338</v>
      </c>
      <c r="C6651" s="3">
        <v>40912</v>
      </c>
      <c r="D6651" t="s">
        <v>39</v>
      </c>
      <c r="E6651">
        <v>1</v>
      </c>
      <c r="F6651" s="3">
        <f ca="1">40913+(RANDBETWEEN(1,10))</f>
        <v>40921</v>
      </c>
      <c r="G6651" t="s">
        <v>26</v>
      </c>
      <c r="H6651" t="s">
        <v>63</v>
      </c>
      <c r="I6651" t="s">
        <v>97</v>
      </c>
      <c r="J6651">
        <v>1574.335</v>
      </c>
      <c r="K6651">
        <v>0.02</v>
      </c>
      <c r="L6651">
        <v>0.52</v>
      </c>
      <c r="M6651">
        <v>85.715000000000003</v>
      </c>
      <c r="N6651">
        <v>-2479.1815999999999</v>
      </c>
      <c r="O6651" s="1" t="s">
        <v>87</v>
      </c>
      <c r="P6651" s="1" t="s">
        <v>3588</v>
      </c>
      <c r="Q6651" s="1" t="s">
        <v>3589</v>
      </c>
      <c r="R6651" s="1" t="s">
        <v>398</v>
      </c>
      <c r="S6651" s="1" t="s">
        <v>3590</v>
      </c>
      <c r="T6651" s="1" t="s">
        <v>3591</v>
      </c>
      <c r="U6651" s="2" t="s">
        <v>1480</v>
      </c>
      <c r="V6651" s="2" t="s">
        <v>36</v>
      </c>
      <c r="W6651" s="2" t="s">
        <v>1327</v>
      </c>
      <c r="X6651" s="2">
        <v>1574.9649999999999</v>
      </c>
    </row>
    <row r="6652" spans="1:24" x14ac:dyDescent="0.3">
      <c r="A6652">
        <v>24469</v>
      </c>
      <c r="B6652" t="s">
        <v>13338</v>
      </c>
      <c r="C6652" s="3">
        <v>40912</v>
      </c>
      <c r="D6652" t="s">
        <v>39</v>
      </c>
      <c r="E6652">
        <v>12</v>
      </c>
      <c r="F6652" s="3">
        <f ca="1">40915+(RANDBETWEEN(1,10))</f>
        <v>40925</v>
      </c>
      <c r="G6652" t="s">
        <v>156</v>
      </c>
      <c r="H6652" t="s">
        <v>27</v>
      </c>
      <c r="I6652" t="s">
        <v>97</v>
      </c>
      <c r="J6652">
        <v>4211.97</v>
      </c>
      <c r="K6652">
        <v>0.03</v>
      </c>
      <c r="L6652">
        <v>0.79</v>
      </c>
      <c r="M6652">
        <v>69.965000000000003</v>
      </c>
      <c r="N6652">
        <v>118.58280000000001</v>
      </c>
      <c r="O6652" s="1" t="s">
        <v>87</v>
      </c>
      <c r="P6652" s="1" t="s">
        <v>3588</v>
      </c>
      <c r="Q6652" s="1" t="s">
        <v>3589</v>
      </c>
      <c r="R6652" s="1" t="s">
        <v>398</v>
      </c>
      <c r="S6652" s="1" t="s">
        <v>3590</v>
      </c>
      <c r="T6652" s="1" t="s">
        <v>3591</v>
      </c>
      <c r="U6652" s="2" t="s">
        <v>1101</v>
      </c>
      <c r="V6652" s="2" t="s">
        <v>47</v>
      </c>
      <c r="W6652" s="2" t="s">
        <v>119</v>
      </c>
      <c r="X6652" s="2">
        <v>334.005</v>
      </c>
    </row>
    <row r="6653" spans="1:24" x14ac:dyDescent="0.3">
      <c r="A6653">
        <v>24470</v>
      </c>
      <c r="B6653" t="s">
        <v>13338</v>
      </c>
      <c r="C6653" s="3">
        <v>40912</v>
      </c>
      <c r="D6653" t="s">
        <v>39</v>
      </c>
      <c r="E6653">
        <v>1</v>
      </c>
      <c r="F6653" s="3">
        <f ca="1">40915+(RANDBETWEEN(1,10))</f>
        <v>40923</v>
      </c>
      <c r="G6653" t="s">
        <v>26</v>
      </c>
      <c r="H6653" t="s">
        <v>27</v>
      </c>
      <c r="I6653" t="s">
        <v>97</v>
      </c>
      <c r="J6653">
        <v>1022.875</v>
      </c>
      <c r="K6653">
        <v>0.02</v>
      </c>
      <c r="L6653">
        <v>0.56000000000000005</v>
      </c>
      <c r="M6653">
        <v>69.965000000000003</v>
      </c>
      <c r="N6653">
        <v>-1079.3145999999999</v>
      </c>
      <c r="O6653" s="1" t="s">
        <v>29</v>
      </c>
      <c r="P6653" s="1" t="s">
        <v>13339</v>
      </c>
      <c r="Q6653" s="1" t="s">
        <v>13340</v>
      </c>
      <c r="R6653" s="1" t="s">
        <v>675</v>
      </c>
      <c r="S6653" s="1" t="s">
        <v>8134</v>
      </c>
      <c r="T6653" s="1" t="s">
        <v>13341</v>
      </c>
      <c r="U6653" s="2" t="s">
        <v>4972</v>
      </c>
      <c r="V6653" s="2" t="s">
        <v>47</v>
      </c>
      <c r="W6653" s="2" t="s">
        <v>71</v>
      </c>
      <c r="X6653" s="2">
        <v>1013.355</v>
      </c>
    </row>
    <row r="6654" spans="1:24" x14ac:dyDescent="0.3">
      <c r="A6654">
        <v>24471</v>
      </c>
      <c r="B6654" t="s">
        <v>13342</v>
      </c>
      <c r="C6654" s="3">
        <v>40870</v>
      </c>
      <c r="D6654" t="s">
        <v>148</v>
      </c>
      <c r="E6654">
        <v>31</v>
      </c>
      <c r="F6654" s="3">
        <f ca="1">40872+(RANDBETWEEN(1,10))</f>
        <v>40873</v>
      </c>
      <c r="G6654" t="s">
        <v>26</v>
      </c>
      <c r="H6654" t="s">
        <v>27</v>
      </c>
      <c r="I6654" t="s">
        <v>28</v>
      </c>
      <c r="J6654">
        <v>6962.62</v>
      </c>
      <c r="K6654">
        <v>0.05</v>
      </c>
      <c r="L6654">
        <v>0.46</v>
      </c>
      <c r="M6654">
        <v>50.68</v>
      </c>
      <c r="N6654">
        <v>4804.2078000000001</v>
      </c>
      <c r="O6654" s="1" t="s">
        <v>29</v>
      </c>
      <c r="P6654" s="1" t="s">
        <v>7729</v>
      </c>
      <c r="Q6654" s="1" t="s">
        <v>7730</v>
      </c>
      <c r="R6654" s="1" t="s">
        <v>32</v>
      </c>
      <c r="S6654" s="1" t="s">
        <v>7731</v>
      </c>
      <c r="T6654" s="1" t="s">
        <v>7732</v>
      </c>
      <c r="U6654" s="2" t="s">
        <v>6357</v>
      </c>
      <c r="V6654" s="2" t="s">
        <v>83</v>
      </c>
      <c r="W6654" s="2" t="s">
        <v>178</v>
      </c>
      <c r="X6654" s="2">
        <v>223.79</v>
      </c>
    </row>
    <row r="6655" spans="1:24" x14ac:dyDescent="0.3">
      <c r="A6655">
        <v>24472</v>
      </c>
      <c r="B6655" t="s">
        <v>13343</v>
      </c>
      <c r="C6655" s="3">
        <v>41966</v>
      </c>
      <c r="D6655" t="s">
        <v>148</v>
      </c>
      <c r="E6655">
        <v>35</v>
      </c>
      <c r="F6655" s="3">
        <f ca="1">41968+(RANDBETWEEN(1,10))</f>
        <v>41976</v>
      </c>
      <c r="G6655" t="s">
        <v>156</v>
      </c>
      <c r="H6655" t="s">
        <v>27</v>
      </c>
      <c r="I6655" t="s">
        <v>28</v>
      </c>
      <c r="J6655">
        <v>2290.4699999999998</v>
      </c>
      <c r="K6655">
        <v>0</v>
      </c>
      <c r="L6655">
        <v>0.54</v>
      </c>
      <c r="M6655">
        <v>17.605</v>
      </c>
      <c r="N6655">
        <v>1580.4242999999999</v>
      </c>
      <c r="O6655" s="1" t="s">
        <v>29</v>
      </c>
      <c r="P6655" s="1" t="s">
        <v>7729</v>
      </c>
      <c r="Q6655" s="1" t="s">
        <v>7730</v>
      </c>
      <c r="R6655" s="1" t="s">
        <v>32</v>
      </c>
      <c r="S6655" s="1" t="s">
        <v>7731</v>
      </c>
      <c r="T6655" s="1" t="s">
        <v>7732</v>
      </c>
      <c r="U6655" s="2" t="s">
        <v>3463</v>
      </c>
      <c r="V6655" s="2" t="s">
        <v>83</v>
      </c>
      <c r="W6655" s="2" t="s">
        <v>178</v>
      </c>
      <c r="X6655" s="2">
        <v>62.23</v>
      </c>
    </row>
    <row r="6656" spans="1:24" x14ac:dyDescent="0.3">
      <c r="A6656">
        <v>24473</v>
      </c>
      <c r="B6656" t="s">
        <v>13344</v>
      </c>
      <c r="C6656" s="3">
        <v>41895</v>
      </c>
      <c r="D6656" t="s">
        <v>39</v>
      </c>
      <c r="E6656">
        <v>16</v>
      </c>
      <c r="F6656" s="3">
        <f ca="1">41896+(RANDBETWEEN(1,10))</f>
        <v>41901</v>
      </c>
      <c r="G6656" t="s">
        <v>26</v>
      </c>
      <c r="H6656" t="s">
        <v>96</v>
      </c>
      <c r="I6656" t="s">
        <v>52</v>
      </c>
      <c r="J6656">
        <v>4420.57</v>
      </c>
      <c r="K6656">
        <v>0</v>
      </c>
      <c r="L6656">
        <v>0.55000000000000004</v>
      </c>
      <c r="M6656">
        <v>3.4649999999999999</v>
      </c>
      <c r="N6656">
        <v>3050.1932999999999</v>
      </c>
      <c r="O6656" s="1" t="s">
        <v>53</v>
      </c>
      <c r="P6656" s="1" t="s">
        <v>11781</v>
      </c>
      <c r="Q6656" s="1" t="s">
        <v>11782</v>
      </c>
      <c r="R6656" s="1" t="s">
        <v>56</v>
      </c>
      <c r="S6656" s="1" t="s">
        <v>2786</v>
      </c>
      <c r="T6656" s="1" t="s">
        <v>11783</v>
      </c>
      <c r="U6656" s="2" t="s">
        <v>5311</v>
      </c>
      <c r="V6656" s="2" t="s">
        <v>36</v>
      </c>
      <c r="W6656" s="2" t="s">
        <v>37</v>
      </c>
      <c r="X6656" s="2">
        <v>300.96499999999997</v>
      </c>
    </row>
    <row r="6657" spans="1:24" x14ac:dyDescent="0.3">
      <c r="A6657">
        <v>24474</v>
      </c>
      <c r="B6657" t="s">
        <v>13344</v>
      </c>
      <c r="C6657" s="3">
        <v>41895</v>
      </c>
      <c r="D6657" t="s">
        <v>39</v>
      </c>
      <c r="E6657">
        <v>13</v>
      </c>
      <c r="F6657" s="3">
        <f ca="1">41896+(RANDBETWEEN(1,10))</f>
        <v>41902</v>
      </c>
      <c r="G6657" t="s">
        <v>26</v>
      </c>
      <c r="H6657" t="s">
        <v>27</v>
      </c>
      <c r="I6657" t="s">
        <v>52</v>
      </c>
      <c r="J6657">
        <v>2655.0650000000001</v>
      </c>
      <c r="K6657">
        <v>0.05</v>
      </c>
      <c r="L6657">
        <v>0.56999999999999995</v>
      </c>
      <c r="M6657">
        <v>12.25</v>
      </c>
      <c r="N6657">
        <v>1484.6328000000001</v>
      </c>
      <c r="O6657" s="1" t="s">
        <v>64</v>
      </c>
      <c r="P6657" s="1" t="s">
        <v>13345</v>
      </c>
      <c r="Q6657" s="1" t="s">
        <v>13346</v>
      </c>
      <c r="R6657" s="1" t="s">
        <v>128</v>
      </c>
      <c r="S6657" s="1" t="s">
        <v>521</v>
      </c>
      <c r="T6657" s="1" t="s">
        <v>522</v>
      </c>
      <c r="U6657" s="2" t="s">
        <v>6491</v>
      </c>
      <c r="V6657" s="2" t="s">
        <v>47</v>
      </c>
      <c r="W6657" s="2" t="s">
        <v>71</v>
      </c>
      <c r="X6657" s="2">
        <v>210.77</v>
      </c>
    </row>
    <row r="6658" spans="1:24" x14ac:dyDescent="0.3">
      <c r="A6658">
        <v>24475</v>
      </c>
      <c r="B6658" t="s">
        <v>13347</v>
      </c>
      <c r="C6658" s="3">
        <v>41792</v>
      </c>
      <c r="D6658" t="s">
        <v>148</v>
      </c>
      <c r="E6658">
        <v>9</v>
      </c>
      <c r="F6658" s="3">
        <f ca="1">41794+(RANDBETWEEN(1,10))</f>
        <v>41799</v>
      </c>
      <c r="G6658" t="s">
        <v>26</v>
      </c>
      <c r="H6658" t="s">
        <v>27</v>
      </c>
      <c r="I6658" t="s">
        <v>52</v>
      </c>
      <c r="J6658">
        <v>1626.905</v>
      </c>
      <c r="K6658">
        <v>0.04</v>
      </c>
      <c r="L6658">
        <v>0.73</v>
      </c>
      <c r="M6658">
        <v>22.75</v>
      </c>
      <c r="N6658">
        <v>111.069</v>
      </c>
      <c r="O6658" s="1" t="s">
        <v>87</v>
      </c>
      <c r="P6658" s="1" t="s">
        <v>12472</v>
      </c>
      <c r="Q6658" s="1" t="s">
        <v>12473</v>
      </c>
      <c r="R6658" s="1" t="s">
        <v>90</v>
      </c>
      <c r="S6658" s="1" t="s">
        <v>12474</v>
      </c>
      <c r="T6658" s="1" t="s">
        <v>12475</v>
      </c>
      <c r="U6658" s="2" t="s">
        <v>4548</v>
      </c>
      <c r="V6658" s="2" t="s">
        <v>36</v>
      </c>
      <c r="W6658" s="2" t="s">
        <v>60</v>
      </c>
      <c r="X6658" s="2">
        <v>178.43</v>
      </c>
    </row>
    <row r="6659" spans="1:24" x14ac:dyDescent="0.3">
      <c r="A6659">
        <v>24476</v>
      </c>
      <c r="B6659" t="s">
        <v>13348</v>
      </c>
      <c r="C6659" s="3">
        <v>40879</v>
      </c>
      <c r="D6659" t="s">
        <v>50</v>
      </c>
      <c r="E6659">
        <v>8</v>
      </c>
      <c r="F6659" s="3">
        <f ca="1">40880+(RANDBETWEEN(1,10))</f>
        <v>40883</v>
      </c>
      <c r="G6659" t="s">
        <v>156</v>
      </c>
      <c r="H6659" t="s">
        <v>63</v>
      </c>
      <c r="I6659" t="s">
        <v>86</v>
      </c>
      <c r="J6659">
        <v>3993.3249999999998</v>
      </c>
      <c r="K6659">
        <v>0.02</v>
      </c>
      <c r="L6659">
        <v>0.59</v>
      </c>
      <c r="M6659">
        <v>85.715000000000003</v>
      </c>
      <c r="N6659">
        <v>309.95999999999998</v>
      </c>
      <c r="O6659" s="1" t="s">
        <v>53</v>
      </c>
      <c r="P6659" s="1" t="s">
        <v>12654</v>
      </c>
      <c r="Q6659" s="1" t="s">
        <v>12655</v>
      </c>
      <c r="R6659" s="1" t="s">
        <v>56</v>
      </c>
      <c r="S6659" s="1" t="s">
        <v>12656</v>
      </c>
      <c r="T6659" s="1" t="s">
        <v>12657</v>
      </c>
      <c r="U6659" s="2" t="s">
        <v>1632</v>
      </c>
      <c r="V6659" s="2" t="s">
        <v>83</v>
      </c>
      <c r="W6659" s="2" t="s">
        <v>178</v>
      </c>
      <c r="X6659" s="2">
        <v>479.43</v>
      </c>
    </row>
    <row r="6660" spans="1:24" x14ac:dyDescent="0.3">
      <c r="A6660">
        <v>24477</v>
      </c>
      <c r="B6660" t="s">
        <v>13349</v>
      </c>
      <c r="C6660" s="3">
        <v>41335</v>
      </c>
      <c r="D6660" t="s">
        <v>62</v>
      </c>
      <c r="E6660">
        <v>10</v>
      </c>
      <c r="F6660" s="3">
        <f ca="1">41337+(RANDBETWEEN(1,10))</f>
        <v>41345</v>
      </c>
      <c r="G6660" t="s">
        <v>26</v>
      </c>
      <c r="H6660" t="s">
        <v>27</v>
      </c>
      <c r="I6660" t="s">
        <v>86</v>
      </c>
      <c r="J6660">
        <v>677.42499999999995</v>
      </c>
      <c r="K6660">
        <v>0.1</v>
      </c>
      <c r="L6660">
        <v>0.68</v>
      </c>
      <c r="M6660">
        <v>14</v>
      </c>
      <c r="N6660">
        <v>-132.965</v>
      </c>
      <c r="O6660" s="1" t="s">
        <v>29</v>
      </c>
      <c r="P6660" s="1" t="s">
        <v>12455</v>
      </c>
      <c r="Q6660" s="1" t="s">
        <v>12456</v>
      </c>
      <c r="R6660" s="1" t="s">
        <v>675</v>
      </c>
      <c r="S6660" s="1" t="s">
        <v>12457</v>
      </c>
      <c r="T6660" s="1" t="s">
        <v>12458</v>
      </c>
      <c r="U6660" s="2" t="s">
        <v>2334</v>
      </c>
      <c r="V6660" s="2" t="s">
        <v>36</v>
      </c>
      <c r="W6660" s="2" t="s">
        <v>60</v>
      </c>
      <c r="X6660" s="2">
        <v>69.930000000000007</v>
      </c>
    </row>
    <row r="6661" spans="1:24" x14ac:dyDescent="0.3">
      <c r="A6661">
        <v>24478</v>
      </c>
      <c r="B6661" t="s">
        <v>13349</v>
      </c>
      <c r="C6661" s="3">
        <v>41335</v>
      </c>
      <c r="D6661" t="s">
        <v>62</v>
      </c>
      <c r="E6661">
        <v>11</v>
      </c>
      <c r="F6661" s="3">
        <f ca="1">41335+(RANDBETWEEN(1,10))</f>
        <v>41340</v>
      </c>
      <c r="G6661" t="s">
        <v>26</v>
      </c>
      <c r="H6661" t="s">
        <v>27</v>
      </c>
      <c r="I6661" t="s">
        <v>86</v>
      </c>
      <c r="J6661">
        <v>498.26</v>
      </c>
      <c r="K6661">
        <v>0</v>
      </c>
      <c r="L6661">
        <v>0.38</v>
      </c>
      <c r="M6661">
        <v>22.645</v>
      </c>
      <c r="N6661">
        <v>154.13999999999999</v>
      </c>
      <c r="O6661" s="1" t="s">
        <v>29</v>
      </c>
      <c r="P6661" s="1" t="s">
        <v>12455</v>
      </c>
      <c r="Q6661" s="1" t="s">
        <v>12456</v>
      </c>
      <c r="R6661" s="1" t="s">
        <v>675</v>
      </c>
      <c r="S6661" s="1" t="s">
        <v>12457</v>
      </c>
      <c r="T6661" s="1" t="s">
        <v>12458</v>
      </c>
      <c r="U6661" s="2" t="s">
        <v>2420</v>
      </c>
      <c r="V6661" s="2" t="s">
        <v>47</v>
      </c>
      <c r="W6661" s="2" t="s">
        <v>74</v>
      </c>
      <c r="X6661" s="2">
        <v>42.98</v>
      </c>
    </row>
    <row r="6662" spans="1:24" x14ac:dyDescent="0.3">
      <c r="A6662">
        <v>24479</v>
      </c>
      <c r="B6662" t="s">
        <v>13350</v>
      </c>
      <c r="C6662" s="3">
        <v>41416</v>
      </c>
      <c r="D6662" t="s">
        <v>25</v>
      </c>
      <c r="E6662">
        <v>9</v>
      </c>
      <c r="F6662" s="3">
        <f ca="1">41420+(RANDBETWEEN(1,10))</f>
        <v>41429</v>
      </c>
      <c r="G6662" t="s">
        <v>76</v>
      </c>
      <c r="H6662" t="s">
        <v>77</v>
      </c>
      <c r="I6662" t="s">
        <v>97</v>
      </c>
      <c r="J6662">
        <v>1672.7550000000001</v>
      </c>
      <c r="K6662">
        <v>0.02</v>
      </c>
      <c r="L6662">
        <v>0.56000000000000005</v>
      </c>
      <c r="M6662">
        <v>49.664999999999999</v>
      </c>
      <c r="N6662">
        <v>441.245</v>
      </c>
      <c r="O6662" s="1" t="s">
        <v>40</v>
      </c>
      <c r="P6662" s="1" t="s">
        <v>9593</v>
      </c>
      <c r="Q6662" s="1" t="s">
        <v>9594</v>
      </c>
      <c r="R6662" s="1" t="s">
        <v>220</v>
      </c>
      <c r="S6662" s="1" t="s">
        <v>9595</v>
      </c>
      <c r="T6662" s="1" t="s">
        <v>9596</v>
      </c>
      <c r="U6662" s="2" t="s">
        <v>3412</v>
      </c>
      <c r="V6662" s="2" t="s">
        <v>83</v>
      </c>
      <c r="W6662" s="2" t="s">
        <v>84</v>
      </c>
      <c r="X6662" s="2">
        <v>178.43</v>
      </c>
    </row>
    <row r="6663" spans="1:24" x14ac:dyDescent="0.3">
      <c r="A6663">
        <v>24480</v>
      </c>
      <c r="B6663" t="s">
        <v>13351</v>
      </c>
      <c r="C6663" s="3">
        <v>40589</v>
      </c>
      <c r="D6663" t="s">
        <v>62</v>
      </c>
      <c r="E6663">
        <v>6</v>
      </c>
      <c r="F6663" s="3">
        <f ca="1">40591+(RANDBETWEEN(1,10))</f>
        <v>40597</v>
      </c>
      <c r="G6663" t="s">
        <v>26</v>
      </c>
      <c r="H6663" t="s">
        <v>27</v>
      </c>
      <c r="I6663" t="s">
        <v>52</v>
      </c>
      <c r="J6663">
        <v>84.944999999999993</v>
      </c>
      <c r="K6663">
        <v>0.03</v>
      </c>
      <c r="L6663">
        <v>0.38</v>
      </c>
      <c r="M6663">
        <v>5.2149999999999999</v>
      </c>
      <c r="N6663">
        <v>53.460749999999997</v>
      </c>
      <c r="O6663" s="1" t="s">
        <v>29</v>
      </c>
      <c r="P6663" s="1" t="s">
        <v>13352</v>
      </c>
      <c r="Q6663" s="1" t="s">
        <v>13353</v>
      </c>
      <c r="R6663" s="1" t="s">
        <v>675</v>
      </c>
      <c r="S6663" s="1" t="s">
        <v>13354</v>
      </c>
      <c r="T6663" s="1" t="s">
        <v>13355</v>
      </c>
      <c r="U6663" s="2" t="s">
        <v>1763</v>
      </c>
      <c r="V6663" s="2" t="s">
        <v>47</v>
      </c>
      <c r="W6663" s="2" t="s">
        <v>111</v>
      </c>
      <c r="X6663" s="2">
        <v>13.3</v>
      </c>
    </row>
    <row r="6664" spans="1:24" x14ac:dyDescent="0.3">
      <c r="A6664">
        <v>24481</v>
      </c>
      <c r="B6664" t="s">
        <v>13351</v>
      </c>
      <c r="C6664" s="3">
        <v>40589</v>
      </c>
      <c r="D6664" t="s">
        <v>62</v>
      </c>
      <c r="E6664">
        <v>5</v>
      </c>
      <c r="F6664" s="3">
        <f ca="1">40591+(RANDBETWEEN(1,10))</f>
        <v>40598</v>
      </c>
      <c r="G6664" t="s">
        <v>26</v>
      </c>
      <c r="H6664" t="s">
        <v>96</v>
      </c>
      <c r="I6664" t="s">
        <v>52</v>
      </c>
      <c r="J6664">
        <v>134.85499999999999</v>
      </c>
      <c r="K6664">
        <v>7.0000000000000007E-2</v>
      </c>
      <c r="L6664">
        <v>0.35</v>
      </c>
      <c r="M6664">
        <v>4.375</v>
      </c>
      <c r="N6664">
        <v>93.049949999999995</v>
      </c>
      <c r="O6664" s="1" t="s">
        <v>29</v>
      </c>
      <c r="P6664" s="1" t="s">
        <v>13352</v>
      </c>
      <c r="Q6664" s="1" t="s">
        <v>13353</v>
      </c>
      <c r="R6664" s="1" t="s">
        <v>675</v>
      </c>
      <c r="S6664" s="1" t="s">
        <v>13354</v>
      </c>
      <c r="T6664" s="1" t="s">
        <v>13355</v>
      </c>
      <c r="U6664" s="2" t="s">
        <v>9319</v>
      </c>
      <c r="V6664" s="2" t="s">
        <v>47</v>
      </c>
      <c r="W6664" s="2" t="s">
        <v>74</v>
      </c>
      <c r="X6664" s="2">
        <v>27.93</v>
      </c>
    </row>
    <row r="6665" spans="1:24" x14ac:dyDescent="0.3">
      <c r="A6665">
        <v>24482</v>
      </c>
      <c r="B6665" t="s">
        <v>13351</v>
      </c>
      <c r="C6665" s="3">
        <v>40589</v>
      </c>
      <c r="D6665" t="s">
        <v>62</v>
      </c>
      <c r="E6665">
        <v>12</v>
      </c>
      <c r="F6665" s="3">
        <f ca="1">40590+(RANDBETWEEN(1,10))</f>
        <v>40593</v>
      </c>
      <c r="G6665" t="s">
        <v>76</v>
      </c>
      <c r="H6665" t="s">
        <v>258</v>
      </c>
      <c r="I6665" t="s">
        <v>52</v>
      </c>
      <c r="J6665">
        <v>17187.52</v>
      </c>
      <c r="K6665">
        <v>7.0000000000000007E-2</v>
      </c>
      <c r="L6665">
        <v>0.79</v>
      </c>
      <c r="M6665">
        <v>263.30500000000001</v>
      </c>
      <c r="N6665">
        <v>-2013.732</v>
      </c>
      <c r="O6665" s="1" t="s">
        <v>29</v>
      </c>
      <c r="P6665" s="1" t="s">
        <v>13352</v>
      </c>
      <c r="Q6665" s="1" t="s">
        <v>13353</v>
      </c>
      <c r="R6665" s="1" t="s">
        <v>675</v>
      </c>
      <c r="S6665" s="1" t="s">
        <v>13354</v>
      </c>
      <c r="T6665" s="1" t="s">
        <v>13355</v>
      </c>
      <c r="U6665" s="2" t="s">
        <v>7995</v>
      </c>
      <c r="V6665" s="2" t="s">
        <v>83</v>
      </c>
      <c r="W6665" s="2" t="s">
        <v>263</v>
      </c>
      <c r="X6665" s="2">
        <v>1460.9</v>
      </c>
    </row>
    <row r="6666" spans="1:24" x14ac:dyDescent="0.3">
      <c r="A6666">
        <v>24483</v>
      </c>
      <c r="B6666" t="s">
        <v>13356</v>
      </c>
      <c r="C6666" s="3">
        <v>41289</v>
      </c>
      <c r="D6666" t="s">
        <v>62</v>
      </c>
      <c r="E6666">
        <v>10</v>
      </c>
      <c r="F6666" s="3">
        <f ca="1">41291+(RANDBETWEEN(1,10))</f>
        <v>41300</v>
      </c>
      <c r="G6666" t="s">
        <v>26</v>
      </c>
      <c r="H6666" t="s">
        <v>27</v>
      </c>
      <c r="I6666" t="s">
        <v>28</v>
      </c>
      <c r="J6666">
        <v>875.77</v>
      </c>
      <c r="K6666">
        <v>0.01</v>
      </c>
      <c r="L6666">
        <v>0.39</v>
      </c>
      <c r="M6666">
        <v>45.43</v>
      </c>
      <c r="N6666">
        <v>618.21900000000005</v>
      </c>
      <c r="O6666" s="1" t="s">
        <v>29</v>
      </c>
      <c r="P6666" s="1" t="s">
        <v>10762</v>
      </c>
      <c r="Q6666" s="1" t="s">
        <v>10763</v>
      </c>
      <c r="R6666" s="1" t="s">
        <v>675</v>
      </c>
      <c r="S6666" s="1" t="s">
        <v>10764</v>
      </c>
      <c r="T6666" s="1" t="s">
        <v>10765</v>
      </c>
      <c r="U6666" s="2" t="s">
        <v>559</v>
      </c>
      <c r="V6666" s="2" t="s">
        <v>47</v>
      </c>
      <c r="W6666" s="2" t="s">
        <v>111</v>
      </c>
      <c r="X6666" s="2">
        <v>87.22</v>
      </c>
    </row>
    <row r="6667" spans="1:24" x14ac:dyDescent="0.3">
      <c r="A6667">
        <v>24484</v>
      </c>
      <c r="B6667" t="s">
        <v>13356</v>
      </c>
      <c r="C6667" s="3">
        <v>41289</v>
      </c>
      <c r="D6667" t="s">
        <v>62</v>
      </c>
      <c r="E6667">
        <v>11</v>
      </c>
      <c r="F6667" s="3">
        <f ca="1">41291+(RANDBETWEEN(1,10))</f>
        <v>41296</v>
      </c>
      <c r="G6667" t="s">
        <v>156</v>
      </c>
      <c r="H6667" t="s">
        <v>27</v>
      </c>
      <c r="I6667" t="s">
        <v>28</v>
      </c>
      <c r="J6667">
        <v>278.84500000000003</v>
      </c>
      <c r="K6667">
        <v>0.08</v>
      </c>
      <c r="L6667">
        <v>0.39</v>
      </c>
      <c r="M6667">
        <v>21.175000000000001</v>
      </c>
      <c r="N6667">
        <v>-50.96</v>
      </c>
      <c r="O6667" s="1" t="s">
        <v>29</v>
      </c>
      <c r="P6667" s="1" t="s">
        <v>10762</v>
      </c>
      <c r="Q6667" s="1" t="s">
        <v>10763</v>
      </c>
      <c r="R6667" s="1" t="s">
        <v>675</v>
      </c>
      <c r="S6667" s="1" t="s">
        <v>10764</v>
      </c>
      <c r="T6667" s="1" t="s">
        <v>10765</v>
      </c>
      <c r="U6667" s="2" t="s">
        <v>2669</v>
      </c>
      <c r="V6667" s="2" t="s">
        <v>47</v>
      </c>
      <c r="W6667" s="2" t="s">
        <v>111</v>
      </c>
      <c r="X6667" s="2">
        <v>24.85</v>
      </c>
    </row>
    <row r="6668" spans="1:24" x14ac:dyDescent="0.3">
      <c r="A6668">
        <v>24485</v>
      </c>
      <c r="B6668" t="s">
        <v>13356</v>
      </c>
      <c r="C6668" s="3">
        <v>41289</v>
      </c>
      <c r="D6668" t="s">
        <v>62</v>
      </c>
      <c r="E6668">
        <v>3</v>
      </c>
      <c r="F6668" s="3">
        <f ca="1">41291+(RANDBETWEEN(1,10))</f>
        <v>41297</v>
      </c>
      <c r="G6668" t="s">
        <v>76</v>
      </c>
      <c r="H6668" t="s">
        <v>258</v>
      </c>
      <c r="I6668" t="s">
        <v>28</v>
      </c>
      <c r="J6668">
        <v>5689.67</v>
      </c>
      <c r="K6668">
        <v>0.09</v>
      </c>
      <c r="L6668">
        <v>0.66</v>
      </c>
      <c r="M6668">
        <v>226.065</v>
      </c>
      <c r="N6668">
        <v>81.983999999999995</v>
      </c>
      <c r="O6668" s="1" t="s">
        <v>29</v>
      </c>
      <c r="P6668" s="1" t="s">
        <v>10762</v>
      </c>
      <c r="Q6668" s="1" t="s">
        <v>10763</v>
      </c>
      <c r="R6668" s="1" t="s">
        <v>675</v>
      </c>
      <c r="S6668" s="1" t="s">
        <v>10764</v>
      </c>
      <c r="T6668" s="1" t="s">
        <v>10765</v>
      </c>
      <c r="U6668" s="2" t="s">
        <v>5148</v>
      </c>
      <c r="V6668" s="2" t="s">
        <v>83</v>
      </c>
      <c r="W6668" s="2" t="s">
        <v>263</v>
      </c>
      <c r="X6668" s="2">
        <v>1928.43</v>
      </c>
    </row>
    <row r="6669" spans="1:24" x14ac:dyDescent="0.3">
      <c r="A6669">
        <v>24486</v>
      </c>
      <c r="B6669" t="s">
        <v>13357</v>
      </c>
      <c r="C6669" s="3">
        <v>41951</v>
      </c>
      <c r="D6669" t="s">
        <v>62</v>
      </c>
      <c r="E6669">
        <v>21</v>
      </c>
      <c r="F6669" s="3">
        <f ca="1">41953+(RANDBETWEEN(1,10))</f>
        <v>41959</v>
      </c>
      <c r="G6669" t="s">
        <v>26</v>
      </c>
      <c r="H6669" t="s">
        <v>27</v>
      </c>
      <c r="I6669" t="s">
        <v>28</v>
      </c>
      <c r="J6669">
        <v>651.63</v>
      </c>
      <c r="K6669">
        <v>0.02</v>
      </c>
      <c r="L6669">
        <v>0.38</v>
      </c>
      <c r="M6669">
        <v>21.664999999999999</v>
      </c>
      <c r="N6669">
        <v>57.559432000000001</v>
      </c>
      <c r="O6669" s="1" t="s">
        <v>40</v>
      </c>
      <c r="P6669" s="1" t="s">
        <v>8888</v>
      </c>
      <c r="Q6669" s="1" t="s">
        <v>8889</v>
      </c>
      <c r="R6669" s="1" t="s">
        <v>220</v>
      </c>
      <c r="S6669" s="1" t="s">
        <v>4969</v>
      </c>
      <c r="T6669" s="1" t="s">
        <v>4970</v>
      </c>
      <c r="U6669" s="2" t="s">
        <v>1202</v>
      </c>
      <c r="V6669" s="2" t="s">
        <v>47</v>
      </c>
      <c r="W6669" s="2" t="s">
        <v>111</v>
      </c>
      <c r="X6669" s="2">
        <v>30.1</v>
      </c>
    </row>
    <row r="6670" spans="1:24" x14ac:dyDescent="0.3">
      <c r="A6670">
        <v>24487</v>
      </c>
      <c r="B6670" t="s">
        <v>13358</v>
      </c>
      <c r="C6670" s="3">
        <v>41248</v>
      </c>
      <c r="D6670" t="s">
        <v>25</v>
      </c>
      <c r="E6670">
        <v>6</v>
      </c>
      <c r="F6670" s="3">
        <f ca="1">41248+(RANDBETWEEN(1,10))</f>
        <v>41255</v>
      </c>
      <c r="G6670" t="s">
        <v>26</v>
      </c>
      <c r="H6670" t="s">
        <v>27</v>
      </c>
      <c r="I6670" t="s">
        <v>28</v>
      </c>
      <c r="J6670">
        <v>18043.759999999998</v>
      </c>
      <c r="K6670">
        <v>7.0000000000000007E-2</v>
      </c>
      <c r="L6670">
        <v>0.38</v>
      </c>
      <c r="M6670">
        <v>69.965000000000003</v>
      </c>
      <c r="N6670">
        <v>12450.1944</v>
      </c>
      <c r="O6670" s="1" t="s">
        <v>87</v>
      </c>
      <c r="P6670" s="1" t="s">
        <v>13359</v>
      </c>
      <c r="Q6670" s="1" t="s">
        <v>13360</v>
      </c>
      <c r="R6670" s="1" t="s">
        <v>497</v>
      </c>
      <c r="S6670" s="1" t="s">
        <v>13361</v>
      </c>
      <c r="T6670" s="1" t="s">
        <v>13362</v>
      </c>
      <c r="U6670" s="2" t="s">
        <v>1207</v>
      </c>
      <c r="V6670" s="2" t="s">
        <v>47</v>
      </c>
      <c r="W6670" s="2" t="s">
        <v>111</v>
      </c>
      <c r="X6670" s="2">
        <v>3139.4650000000001</v>
      </c>
    </row>
    <row r="6671" spans="1:24" x14ac:dyDescent="0.3">
      <c r="A6671">
        <v>24488</v>
      </c>
      <c r="B6671" t="s">
        <v>13358</v>
      </c>
      <c r="C6671" s="3">
        <v>41248</v>
      </c>
      <c r="D6671" t="s">
        <v>25</v>
      </c>
      <c r="E6671">
        <v>15</v>
      </c>
      <c r="F6671" s="3">
        <f ca="1">41248+(RANDBETWEEN(1,10))</f>
        <v>41253</v>
      </c>
      <c r="G6671" t="s">
        <v>26</v>
      </c>
      <c r="H6671" t="s">
        <v>63</v>
      </c>
      <c r="I6671" t="s">
        <v>28</v>
      </c>
      <c r="J6671">
        <v>745.29</v>
      </c>
      <c r="K6671">
        <v>0.01</v>
      </c>
      <c r="L6671">
        <v>0.73</v>
      </c>
      <c r="M6671">
        <v>50.295000000000002</v>
      </c>
      <c r="N6671">
        <v>-512.22500000000002</v>
      </c>
      <c r="O6671" s="1" t="s">
        <v>64</v>
      </c>
      <c r="P6671" s="1" t="s">
        <v>13363</v>
      </c>
      <c r="Q6671" s="1" t="s">
        <v>13364</v>
      </c>
      <c r="R6671" s="1" t="s">
        <v>67</v>
      </c>
      <c r="S6671" s="1" t="s">
        <v>11214</v>
      </c>
      <c r="T6671" s="1" t="s">
        <v>11215</v>
      </c>
      <c r="U6671" s="2" t="s">
        <v>5853</v>
      </c>
      <c r="V6671" s="2" t="s">
        <v>83</v>
      </c>
      <c r="W6671" s="2" t="s">
        <v>178</v>
      </c>
      <c r="X6671" s="2">
        <v>45.465000000000003</v>
      </c>
    </row>
    <row r="6672" spans="1:24" x14ac:dyDescent="0.3">
      <c r="A6672">
        <v>24489</v>
      </c>
      <c r="B6672" t="s">
        <v>13365</v>
      </c>
      <c r="C6672" s="3">
        <v>41978</v>
      </c>
      <c r="D6672" t="s">
        <v>25</v>
      </c>
      <c r="E6672">
        <v>24</v>
      </c>
      <c r="F6672" s="3">
        <f ca="1">41980+(RANDBETWEEN(1,10))</f>
        <v>41985</v>
      </c>
      <c r="G6672" t="s">
        <v>76</v>
      </c>
      <c r="H6672" t="s">
        <v>258</v>
      </c>
      <c r="I6672" t="s">
        <v>28</v>
      </c>
      <c r="J6672">
        <v>16990.12</v>
      </c>
      <c r="K6672">
        <v>0.1</v>
      </c>
      <c r="L6672">
        <v>0.77</v>
      </c>
      <c r="M6672">
        <v>243.74</v>
      </c>
      <c r="N6672">
        <v>-621.69607499999995</v>
      </c>
      <c r="O6672" s="1" t="s">
        <v>53</v>
      </c>
      <c r="P6672" s="1" t="s">
        <v>13366</v>
      </c>
      <c r="Q6672" s="1" t="s">
        <v>13367</v>
      </c>
      <c r="R6672" s="1" t="s">
        <v>56</v>
      </c>
      <c r="S6672" s="1" t="s">
        <v>3216</v>
      </c>
      <c r="T6672" s="1" t="s">
        <v>3217</v>
      </c>
      <c r="U6672" s="2" t="s">
        <v>1233</v>
      </c>
      <c r="V6672" s="2" t="s">
        <v>83</v>
      </c>
      <c r="W6672" s="2" t="s">
        <v>263</v>
      </c>
      <c r="X6672" s="2">
        <v>765.625</v>
      </c>
    </row>
    <row r="6673" spans="1:24" x14ac:dyDescent="0.3">
      <c r="A6673">
        <v>24490</v>
      </c>
      <c r="B6673" t="s">
        <v>13368</v>
      </c>
      <c r="C6673" s="3">
        <v>41071</v>
      </c>
      <c r="D6673" t="s">
        <v>25</v>
      </c>
      <c r="E6673">
        <v>18</v>
      </c>
      <c r="F6673" s="3">
        <f ca="1">41078+(RANDBETWEEN(1,10))</f>
        <v>41080</v>
      </c>
      <c r="G6673" t="s">
        <v>26</v>
      </c>
      <c r="H6673" t="s">
        <v>27</v>
      </c>
      <c r="I6673" t="s">
        <v>97</v>
      </c>
      <c r="J6673">
        <v>1666.84</v>
      </c>
      <c r="K6673">
        <v>0.08</v>
      </c>
      <c r="L6673">
        <v>0.49</v>
      </c>
      <c r="M6673">
        <v>24.254999999999999</v>
      </c>
      <c r="N6673">
        <v>11.718</v>
      </c>
      <c r="O6673" s="1" t="s">
        <v>29</v>
      </c>
      <c r="P6673" s="1" t="s">
        <v>11205</v>
      </c>
      <c r="Q6673" s="1" t="s">
        <v>11206</v>
      </c>
      <c r="R6673" s="1" t="s">
        <v>32</v>
      </c>
      <c r="S6673" s="1" t="s">
        <v>2354</v>
      </c>
      <c r="T6673" s="1" t="s">
        <v>2355</v>
      </c>
      <c r="U6673" s="2" t="s">
        <v>3900</v>
      </c>
      <c r="V6673" s="2" t="s">
        <v>83</v>
      </c>
      <c r="W6673" s="2" t="s">
        <v>178</v>
      </c>
      <c r="X6673" s="2">
        <v>92.68</v>
      </c>
    </row>
    <row r="6674" spans="1:24" x14ac:dyDescent="0.3">
      <c r="A6674">
        <v>24491</v>
      </c>
      <c r="B6674" t="s">
        <v>13369</v>
      </c>
      <c r="C6674" s="3">
        <v>41894</v>
      </c>
      <c r="D6674" t="s">
        <v>50</v>
      </c>
      <c r="E6674">
        <v>4</v>
      </c>
      <c r="F6674" s="3">
        <f ca="1">41896+(RANDBETWEEN(1,10))</f>
        <v>41904</v>
      </c>
      <c r="G6674" t="s">
        <v>76</v>
      </c>
      <c r="H6674" t="s">
        <v>258</v>
      </c>
      <c r="I6674" t="s">
        <v>52</v>
      </c>
      <c r="J6674">
        <v>7755.7550000000001</v>
      </c>
      <c r="K6674">
        <v>0.08</v>
      </c>
      <c r="L6674">
        <v>0.71</v>
      </c>
      <c r="M6674">
        <v>159.94999999999999</v>
      </c>
      <c r="N6674">
        <v>-4287.6018395000001</v>
      </c>
      <c r="O6674" s="1" t="s">
        <v>29</v>
      </c>
      <c r="P6674" s="1" t="s">
        <v>1771</v>
      </c>
      <c r="Q6674" s="1" t="s">
        <v>1772</v>
      </c>
      <c r="R6674" s="1" t="s">
        <v>460</v>
      </c>
      <c r="S6674" s="1" t="s">
        <v>1773</v>
      </c>
      <c r="T6674" s="1" t="s">
        <v>1774</v>
      </c>
      <c r="U6674" s="2" t="s">
        <v>3553</v>
      </c>
      <c r="V6674" s="2" t="s">
        <v>83</v>
      </c>
      <c r="W6674" s="2" t="s">
        <v>263</v>
      </c>
      <c r="X6674" s="2">
        <v>1928.43</v>
      </c>
    </row>
    <row r="6675" spans="1:24" x14ac:dyDescent="0.3">
      <c r="A6675">
        <v>24492</v>
      </c>
      <c r="B6675" t="s">
        <v>13369</v>
      </c>
      <c r="C6675" s="3">
        <v>41894</v>
      </c>
      <c r="D6675" t="s">
        <v>50</v>
      </c>
      <c r="E6675">
        <v>23</v>
      </c>
      <c r="F6675" s="3">
        <f ca="1">41896+(RANDBETWEEN(1,10))</f>
        <v>41904</v>
      </c>
      <c r="G6675" t="s">
        <v>156</v>
      </c>
      <c r="H6675" t="s">
        <v>27</v>
      </c>
      <c r="I6675" t="s">
        <v>52</v>
      </c>
      <c r="J6675">
        <v>603.67999999999995</v>
      </c>
      <c r="K6675">
        <v>0.09</v>
      </c>
      <c r="L6675">
        <v>0.38</v>
      </c>
      <c r="M6675">
        <v>8.75</v>
      </c>
      <c r="N6675">
        <v>273.21839999999997</v>
      </c>
      <c r="O6675" s="1" t="s">
        <v>225</v>
      </c>
      <c r="P6675" s="1" t="s">
        <v>13370</v>
      </c>
      <c r="Q6675" s="1" t="s">
        <v>13371</v>
      </c>
      <c r="R6675" s="1" t="s">
        <v>391</v>
      </c>
      <c r="S6675" s="1" t="s">
        <v>7660</v>
      </c>
      <c r="T6675" s="1" t="s">
        <v>7661</v>
      </c>
      <c r="U6675" s="2" t="s">
        <v>6341</v>
      </c>
      <c r="V6675" s="2" t="s">
        <v>47</v>
      </c>
      <c r="W6675" s="2" t="s">
        <v>48</v>
      </c>
      <c r="X6675" s="2">
        <v>27.23</v>
      </c>
    </row>
    <row r="6676" spans="1:24" x14ac:dyDescent="0.3">
      <c r="A6676">
        <v>24493</v>
      </c>
      <c r="B6676" t="s">
        <v>13372</v>
      </c>
      <c r="C6676" s="3">
        <v>40616</v>
      </c>
      <c r="D6676" t="s">
        <v>50</v>
      </c>
      <c r="E6676">
        <v>9</v>
      </c>
      <c r="F6676" s="3">
        <f ca="1">40618+(RANDBETWEEN(1,10))</f>
        <v>40620</v>
      </c>
      <c r="G6676" t="s">
        <v>26</v>
      </c>
      <c r="H6676" t="s">
        <v>281</v>
      </c>
      <c r="I6676" t="s">
        <v>52</v>
      </c>
      <c r="J6676">
        <v>1790.4949999999999</v>
      </c>
      <c r="K6676">
        <v>0.1</v>
      </c>
      <c r="L6676">
        <v>0.63</v>
      </c>
      <c r="M6676">
        <v>37.94</v>
      </c>
      <c r="N6676">
        <v>-103.831</v>
      </c>
      <c r="O6676" s="1" t="s">
        <v>53</v>
      </c>
      <c r="P6676" s="1" t="s">
        <v>9765</v>
      </c>
      <c r="Q6676" s="1" t="s">
        <v>9766</v>
      </c>
      <c r="R6676" s="1" t="s">
        <v>440</v>
      </c>
      <c r="S6676" s="1" t="s">
        <v>6211</v>
      </c>
      <c r="T6676" s="1" t="s">
        <v>6212</v>
      </c>
      <c r="U6676" s="2" t="s">
        <v>6655</v>
      </c>
      <c r="V6676" s="2" t="s">
        <v>83</v>
      </c>
      <c r="W6676" s="2" t="s">
        <v>178</v>
      </c>
      <c r="X6676" s="2">
        <v>217.63</v>
      </c>
    </row>
    <row r="6677" spans="1:24" x14ac:dyDescent="0.3">
      <c r="A6677">
        <v>24494</v>
      </c>
      <c r="B6677" t="s">
        <v>13373</v>
      </c>
      <c r="C6677" s="3">
        <v>41663</v>
      </c>
      <c r="D6677" t="s">
        <v>25</v>
      </c>
      <c r="E6677">
        <v>9</v>
      </c>
      <c r="F6677" s="3">
        <f ca="1">41665+(RANDBETWEEN(1,10))</f>
        <v>41670</v>
      </c>
      <c r="G6677" t="s">
        <v>156</v>
      </c>
      <c r="H6677" t="s">
        <v>27</v>
      </c>
      <c r="I6677" t="s">
        <v>28</v>
      </c>
      <c r="J6677">
        <v>624.26</v>
      </c>
      <c r="K6677">
        <v>0.02</v>
      </c>
      <c r="L6677">
        <v>0.37</v>
      </c>
      <c r="M6677">
        <v>31.605</v>
      </c>
      <c r="N6677">
        <v>209.84739999999999</v>
      </c>
      <c r="O6677" s="1" t="s">
        <v>40</v>
      </c>
      <c r="P6677" s="1" t="s">
        <v>9593</v>
      </c>
      <c r="Q6677" s="1" t="s">
        <v>9594</v>
      </c>
      <c r="R6677" s="1" t="s">
        <v>220</v>
      </c>
      <c r="S6677" s="1" t="s">
        <v>9595</v>
      </c>
      <c r="T6677" s="1" t="s">
        <v>9596</v>
      </c>
      <c r="U6677" s="2" t="s">
        <v>482</v>
      </c>
      <c r="V6677" s="2" t="s">
        <v>47</v>
      </c>
      <c r="W6677" s="2" t="s">
        <v>74</v>
      </c>
      <c r="X6677" s="2">
        <v>66.394999999999996</v>
      </c>
    </row>
    <row r="6678" spans="1:24" x14ac:dyDescent="0.3">
      <c r="A6678">
        <v>24495</v>
      </c>
      <c r="B6678" t="s">
        <v>13373</v>
      </c>
      <c r="C6678" s="3">
        <v>41663</v>
      </c>
      <c r="D6678" t="s">
        <v>25</v>
      </c>
      <c r="E6678">
        <v>1</v>
      </c>
      <c r="F6678" s="3">
        <f ca="1">41668+(RANDBETWEEN(1,10))</f>
        <v>41669</v>
      </c>
      <c r="G6678" t="s">
        <v>26</v>
      </c>
      <c r="H6678" t="s">
        <v>96</v>
      </c>
      <c r="I6678" t="s">
        <v>28</v>
      </c>
      <c r="J6678">
        <v>12.705</v>
      </c>
      <c r="K6678">
        <v>0.03</v>
      </c>
      <c r="L6678">
        <v>0.56000000000000005</v>
      </c>
      <c r="M6678">
        <v>2.4500000000000002</v>
      </c>
      <c r="N6678">
        <v>-6.7704000000000004</v>
      </c>
      <c r="O6678" s="1" t="s">
        <v>40</v>
      </c>
      <c r="P6678" s="1" t="s">
        <v>9593</v>
      </c>
      <c r="Q6678" s="1" t="s">
        <v>9594</v>
      </c>
      <c r="R6678" s="1" t="s">
        <v>220</v>
      </c>
      <c r="S6678" s="1" t="s">
        <v>9595</v>
      </c>
      <c r="T6678" s="1" t="s">
        <v>9596</v>
      </c>
      <c r="U6678" s="2" t="s">
        <v>1393</v>
      </c>
      <c r="V6678" s="2" t="s">
        <v>47</v>
      </c>
      <c r="W6678" s="2" t="s">
        <v>104</v>
      </c>
      <c r="X6678" s="2">
        <v>10.08</v>
      </c>
    </row>
    <row r="6679" spans="1:24" x14ac:dyDescent="0.3">
      <c r="A6679">
        <v>24496</v>
      </c>
      <c r="B6679" t="s">
        <v>13373</v>
      </c>
      <c r="C6679" s="3">
        <v>41663</v>
      </c>
      <c r="D6679" t="s">
        <v>25</v>
      </c>
      <c r="E6679">
        <v>9</v>
      </c>
      <c r="F6679" s="3">
        <f ca="1">41670+(RANDBETWEEN(1,10))</f>
        <v>41679</v>
      </c>
      <c r="G6679" t="s">
        <v>26</v>
      </c>
      <c r="H6679" t="s">
        <v>96</v>
      </c>
      <c r="I6679" t="s">
        <v>28</v>
      </c>
      <c r="J6679">
        <v>175.77</v>
      </c>
      <c r="K6679">
        <v>0.05</v>
      </c>
      <c r="L6679">
        <v>0.38</v>
      </c>
      <c r="M6679">
        <v>3.5</v>
      </c>
      <c r="N6679">
        <v>121.2813</v>
      </c>
      <c r="O6679" s="1" t="s">
        <v>40</v>
      </c>
      <c r="P6679" s="1" t="s">
        <v>9593</v>
      </c>
      <c r="Q6679" s="1" t="s">
        <v>9594</v>
      </c>
      <c r="R6679" s="1" t="s">
        <v>220</v>
      </c>
      <c r="S6679" s="1" t="s">
        <v>9595</v>
      </c>
      <c r="T6679" s="1" t="s">
        <v>9596</v>
      </c>
      <c r="U6679" s="2" t="s">
        <v>3510</v>
      </c>
      <c r="V6679" s="2" t="s">
        <v>47</v>
      </c>
      <c r="W6679" s="2" t="s">
        <v>104</v>
      </c>
      <c r="X6679" s="2">
        <v>20.440000000000001</v>
      </c>
    </row>
    <row r="6680" spans="1:24" x14ac:dyDescent="0.3">
      <c r="A6680">
        <v>24497</v>
      </c>
      <c r="B6680" t="s">
        <v>13374</v>
      </c>
      <c r="C6680" s="3">
        <v>41822</v>
      </c>
      <c r="D6680" t="s">
        <v>148</v>
      </c>
      <c r="E6680">
        <v>4</v>
      </c>
      <c r="F6680" s="3">
        <f ca="1">41823+(RANDBETWEEN(1,10))</f>
        <v>41828</v>
      </c>
      <c r="G6680" t="s">
        <v>76</v>
      </c>
      <c r="H6680" t="s">
        <v>77</v>
      </c>
      <c r="I6680" t="s">
        <v>52</v>
      </c>
      <c r="J6680">
        <v>842.20500000000004</v>
      </c>
      <c r="K6680">
        <v>0.09</v>
      </c>
      <c r="L6680">
        <v>0.7</v>
      </c>
      <c r="M6680">
        <v>105</v>
      </c>
      <c r="N6680">
        <v>89.963999999999999</v>
      </c>
      <c r="O6680" s="1" t="s">
        <v>53</v>
      </c>
      <c r="P6680" s="1" t="s">
        <v>13180</v>
      </c>
      <c r="Q6680" s="1" t="s">
        <v>13181</v>
      </c>
      <c r="R6680" s="1" t="s">
        <v>56</v>
      </c>
      <c r="S6680" s="1" t="s">
        <v>13182</v>
      </c>
      <c r="T6680" s="1" t="s">
        <v>13183</v>
      </c>
      <c r="U6680" s="2" t="s">
        <v>5111</v>
      </c>
      <c r="V6680" s="2" t="s">
        <v>83</v>
      </c>
      <c r="W6680" s="2" t="s">
        <v>84</v>
      </c>
      <c r="X6680" s="2">
        <v>213.43</v>
      </c>
    </row>
    <row r="6681" spans="1:24" x14ac:dyDescent="0.3">
      <c r="A6681">
        <v>24498</v>
      </c>
      <c r="B6681" t="s">
        <v>13375</v>
      </c>
      <c r="C6681" s="3">
        <v>40726</v>
      </c>
      <c r="D6681" t="s">
        <v>148</v>
      </c>
      <c r="E6681">
        <v>3</v>
      </c>
      <c r="F6681" s="3">
        <f ca="1">40728+(RANDBETWEEN(1,10))</f>
        <v>40729</v>
      </c>
      <c r="G6681" t="s">
        <v>26</v>
      </c>
      <c r="H6681" t="s">
        <v>51</v>
      </c>
      <c r="I6681" t="s">
        <v>52</v>
      </c>
      <c r="J6681">
        <v>183.64500000000001</v>
      </c>
      <c r="K6681">
        <v>0.05</v>
      </c>
      <c r="L6681">
        <v>0.45</v>
      </c>
      <c r="M6681">
        <v>6.9649999999999999</v>
      </c>
      <c r="N6681">
        <v>-444.52800000000002</v>
      </c>
      <c r="O6681" s="1" t="s">
        <v>53</v>
      </c>
      <c r="P6681" s="1" t="s">
        <v>13180</v>
      </c>
      <c r="Q6681" s="1" t="s">
        <v>13181</v>
      </c>
      <c r="R6681" s="1" t="s">
        <v>56</v>
      </c>
      <c r="S6681" s="1" t="s">
        <v>13182</v>
      </c>
      <c r="T6681" s="1" t="s">
        <v>13183</v>
      </c>
      <c r="U6681" s="2" t="s">
        <v>59</v>
      </c>
      <c r="V6681" s="2" t="s">
        <v>36</v>
      </c>
      <c r="W6681" s="2" t="s">
        <v>60</v>
      </c>
      <c r="X6681" s="2">
        <v>61.18</v>
      </c>
    </row>
    <row r="6682" spans="1:24" x14ac:dyDescent="0.3">
      <c r="A6682">
        <v>24499</v>
      </c>
      <c r="B6682" t="s">
        <v>13376</v>
      </c>
      <c r="C6682" s="3">
        <v>41982</v>
      </c>
      <c r="D6682" t="s">
        <v>62</v>
      </c>
      <c r="E6682">
        <v>2</v>
      </c>
      <c r="F6682" s="3">
        <f ca="1">41983+(RANDBETWEEN(1,10))</f>
        <v>41985</v>
      </c>
      <c r="G6682" t="s">
        <v>26</v>
      </c>
      <c r="H6682" t="s">
        <v>51</v>
      </c>
      <c r="I6682" t="s">
        <v>86</v>
      </c>
      <c r="J6682">
        <v>200.97</v>
      </c>
      <c r="K6682">
        <v>0.04</v>
      </c>
      <c r="L6682">
        <v>0.4</v>
      </c>
      <c r="M6682">
        <v>6.9649999999999999</v>
      </c>
      <c r="N6682">
        <v>-61.881120000000003</v>
      </c>
      <c r="O6682" s="1" t="s">
        <v>87</v>
      </c>
      <c r="P6682" s="1" t="s">
        <v>7771</v>
      </c>
      <c r="Q6682" s="1" t="s">
        <v>7772</v>
      </c>
      <c r="R6682" s="1" t="s">
        <v>398</v>
      </c>
      <c r="S6682" s="1" t="s">
        <v>7773</v>
      </c>
      <c r="T6682" s="1" t="s">
        <v>7774</v>
      </c>
      <c r="U6682" s="2" t="s">
        <v>1109</v>
      </c>
      <c r="V6682" s="2" t="s">
        <v>36</v>
      </c>
      <c r="W6682" s="2" t="s">
        <v>60</v>
      </c>
      <c r="X6682" s="2">
        <v>99.68</v>
      </c>
    </row>
    <row r="6683" spans="1:24" x14ac:dyDescent="0.3">
      <c r="A6683">
        <v>24500</v>
      </c>
      <c r="B6683" t="s">
        <v>13376</v>
      </c>
      <c r="C6683" s="3">
        <v>41982</v>
      </c>
      <c r="D6683" t="s">
        <v>62</v>
      </c>
      <c r="E6683">
        <v>12</v>
      </c>
      <c r="F6683" s="3">
        <f ca="1">41984+(RANDBETWEEN(1,10))</f>
        <v>41994</v>
      </c>
      <c r="G6683" t="s">
        <v>26</v>
      </c>
      <c r="H6683" t="s">
        <v>63</v>
      </c>
      <c r="I6683" t="s">
        <v>86</v>
      </c>
      <c r="J6683">
        <v>30575.544999999998</v>
      </c>
      <c r="K6683">
        <v>0</v>
      </c>
      <c r="L6683">
        <v>0.41</v>
      </c>
      <c r="M6683">
        <v>85.715000000000003</v>
      </c>
      <c r="N6683">
        <v>21097.126049999999</v>
      </c>
      <c r="O6683" s="1" t="s">
        <v>87</v>
      </c>
      <c r="P6683" s="1" t="s">
        <v>7771</v>
      </c>
      <c r="Q6683" s="1" t="s">
        <v>7772</v>
      </c>
      <c r="R6683" s="1" t="s">
        <v>398</v>
      </c>
      <c r="S6683" s="1" t="s">
        <v>7773</v>
      </c>
      <c r="T6683" s="1" t="s">
        <v>7774</v>
      </c>
      <c r="U6683" s="2" t="s">
        <v>1326</v>
      </c>
      <c r="V6683" s="2" t="s">
        <v>36</v>
      </c>
      <c r="W6683" s="2" t="s">
        <v>1327</v>
      </c>
      <c r="X6683" s="2">
        <v>2449.9650000000001</v>
      </c>
    </row>
    <row r="6684" spans="1:24" x14ac:dyDescent="0.3">
      <c r="A6684">
        <v>24501</v>
      </c>
      <c r="B6684" t="s">
        <v>13377</v>
      </c>
      <c r="C6684" s="3">
        <v>41485</v>
      </c>
      <c r="D6684" t="s">
        <v>25</v>
      </c>
      <c r="E6684">
        <v>10</v>
      </c>
      <c r="F6684" s="3">
        <f ca="1">41489+(RANDBETWEEN(1,10))</f>
        <v>41490</v>
      </c>
      <c r="G6684" t="s">
        <v>26</v>
      </c>
      <c r="H6684" t="s">
        <v>27</v>
      </c>
      <c r="I6684" t="s">
        <v>52</v>
      </c>
      <c r="J6684">
        <v>349.61500000000001</v>
      </c>
      <c r="K6684">
        <v>0.08</v>
      </c>
      <c r="L6684">
        <v>0.39</v>
      </c>
      <c r="M6684">
        <v>20.125</v>
      </c>
      <c r="N6684">
        <v>670.99199999999996</v>
      </c>
      <c r="O6684" s="1" t="s">
        <v>87</v>
      </c>
      <c r="P6684" s="1" t="s">
        <v>13378</v>
      </c>
      <c r="Q6684" s="1" t="s">
        <v>13379</v>
      </c>
      <c r="R6684" s="1" t="s">
        <v>90</v>
      </c>
      <c r="S6684" s="1" t="s">
        <v>877</v>
      </c>
      <c r="T6684" s="1" t="s">
        <v>878</v>
      </c>
      <c r="U6684" s="2" t="s">
        <v>10033</v>
      </c>
      <c r="V6684" s="2" t="s">
        <v>47</v>
      </c>
      <c r="W6684" s="2" t="s">
        <v>111</v>
      </c>
      <c r="X6684" s="2">
        <v>36.54</v>
      </c>
    </row>
    <row r="6685" spans="1:24" x14ac:dyDescent="0.3">
      <c r="A6685">
        <v>24502</v>
      </c>
      <c r="B6685" t="s">
        <v>13380</v>
      </c>
      <c r="C6685" s="3">
        <v>41311</v>
      </c>
      <c r="D6685" t="s">
        <v>148</v>
      </c>
      <c r="E6685">
        <v>9</v>
      </c>
      <c r="F6685" s="3">
        <f ca="1">41311+(RANDBETWEEN(1,10))</f>
        <v>41320</v>
      </c>
      <c r="G6685" t="s">
        <v>26</v>
      </c>
      <c r="H6685" t="s">
        <v>27</v>
      </c>
      <c r="I6685" t="s">
        <v>52</v>
      </c>
      <c r="J6685">
        <v>633.46500000000003</v>
      </c>
      <c r="K6685">
        <v>0.05</v>
      </c>
      <c r="L6685">
        <v>0.38</v>
      </c>
      <c r="M6685">
        <v>20.195</v>
      </c>
      <c r="N6685">
        <v>437.09084999999999</v>
      </c>
      <c r="O6685" s="1" t="s">
        <v>64</v>
      </c>
      <c r="P6685" s="1" t="s">
        <v>12420</v>
      </c>
      <c r="Q6685" s="1" t="s">
        <v>12421</v>
      </c>
      <c r="R6685" s="1" t="s">
        <v>128</v>
      </c>
      <c r="S6685" s="1" t="s">
        <v>12422</v>
      </c>
      <c r="T6685" s="1" t="s">
        <v>12423</v>
      </c>
      <c r="U6685" s="2" t="s">
        <v>5065</v>
      </c>
      <c r="V6685" s="2" t="s">
        <v>47</v>
      </c>
      <c r="W6685" s="2" t="s">
        <v>74</v>
      </c>
      <c r="X6685" s="2">
        <v>69.930000000000007</v>
      </c>
    </row>
    <row r="6686" spans="1:24" x14ac:dyDescent="0.3">
      <c r="A6686">
        <v>24503</v>
      </c>
      <c r="B6686" t="s">
        <v>13380</v>
      </c>
      <c r="C6686" s="3">
        <v>41311</v>
      </c>
      <c r="D6686" t="s">
        <v>148</v>
      </c>
      <c r="E6686">
        <v>8</v>
      </c>
      <c r="F6686" s="3">
        <f ca="1">41314+(RANDBETWEEN(1,10))</f>
        <v>41320</v>
      </c>
      <c r="G6686" t="s">
        <v>26</v>
      </c>
      <c r="H6686" t="s">
        <v>27</v>
      </c>
      <c r="I6686" t="s">
        <v>52</v>
      </c>
      <c r="J6686">
        <v>1262.8699999999999</v>
      </c>
      <c r="K6686">
        <v>0.01</v>
      </c>
      <c r="L6686" t="s">
        <v>182</v>
      </c>
      <c r="M6686">
        <v>21.77</v>
      </c>
      <c r="N6686">
        <v>871.38030000000003</v>
      </c>
      <c r="O6686" s="1" t="s">
        <v>64</v>
      </c>
      <c r="P6686" s="1" t="s">
        <v>12420</v>
      </c>
      <c r="Q6686" s="1" t="s">
        <v>12421</v>
      </c>
      <c r="R6686" s="1" t="s">
        <v>128</v>
      </c>
      <c r="S6686" s="1" t="s">
        <v>12422</v>
      </c>
      <c r="T6686" s="1" t="s">
        <v>12423</v>
      </c>
      <c r="U6686" s="2" t="s">
        <v>824</v>
      </c>
      <c r="V6686" s="2" t="s">
        <v>47</v>
      </c>
      <c r="W6686" s="2" t="s">
        <v>119</v>
      </c>
      <c r="X6686" s="2">
        <v>149.66</v>
      </c>
    </row>
    <row r="6687" spans="1:24" x14ac:dyDescent="0.3">
      <c r="A6687">
        <v>24504</v>
      </c>
      <c r="B6687" t="s">
        <v>13381</v>
      </c>
      <c r="C6687" s="3">
        <v>41111</v>
      </c>
      <c r="D6687" t="s">
        <v>39</v>
      </c>
      <c r="E6687">
        <v>9</v>
      </c>
      <c r="F6687" s="3">
        <f ca="1">41112+(RANDBETWEEN(1,10))</f>
        <v>41114</v>
      </c>
      <c r="G6687" t="s">
        <v>26</v>
      </c>
      <c r="H6687" t="s">
        <v>27</v>
      </c>
      <c r="I6687" t="s">
        <v>97</v>
      </c>
      <c r="J6687">
        <v>2102.0650000000001</v>
      </c>
      <c r="K6687">
        <v>0.04</v>
      </c>
      <c r="L6687">
        <v>0.38</v>
      </c>
      <c r="M6687">
        <v>40.424999999999997</v>
      </c>
      <c r="N6687">
        <v>1450.4248500000001</v>
      </c>
      <c r="O6687" s="1" t="s">
        <v>87</v>
      </c>
      <c r="P6687" s="1" t="s">
        <v>13382</v>
      </c>
      <c r="Q6687" s="1" t="s">
        <v>13383</v>
      </c>
      <c r="R6687" s="1" t="s">
        <v>398</v>
      </c>
      <c r="S6687" s="1" t="s">
        <v>13384</v>
      </c>
      <c r="T6687" s="1" t="s">
        <v>13385</v>
      </c>
      <c r="U6687" s="2" t="s">
        <v>13386</v>
      </c>
      <c r="V6687" s="2" t="s">
        <v>47</v>
      </c>
      <c r="W6687" s="2" t="s">
        <v>111</v>
      </c>
      <c r="X6687" s="2">
        <v>223.93</v>
      </c>
    </row>
    <row r="6688" spans="1:24" x14ac:dyDescent="0.3">
      <c r="A6688">
        <v>24505</v>
      </c>
      <c r="B6688" t="s">
        <v>13381</v>
      </c>
      <c r="C6688" s="3">
        <v>41111</v>
      </c>
      <c r="D6688" t="s">
        <v>39</v>
      </c>
      <c r="E6688">
        <v>4</v>
      </c>
      <c r="F6688" s="3">
        <f ca="1">41112+(RANDBETWEEN(1,10))</f>
        <v>41114</v>
      </c>
      <c r="G6688" t="s">
        <v>26</v>
      </c>
      <c r="H6688" t="s">
        <v>51</v>
      </c>
      <c r="I6688" t="s">
        <v>97</v>
      </c>
      <c r="J6688">
        <v>299.91500000000002</v>
      </c>
      <c r="K6688">
        <v>0.1</v>
      </c>
      <c r="L6688">
        <v>0.59</v>
      </c>
      <c r="M6688">
        <v>19.355</v>
      </c>
      <c r="N6688">
        <v>-21.805</v>
      </c>
      <c r="O6688" s="1" t="s">
        <v>87</v>
      </c>
      <c r="P6688" s="1" t="s">
        <v>13382</v>
      </c>
      <c r="Q6688" s="1" t="s">
        <v>13383</v>
      </c>
      <c r="R6688" s="1" t="s">
        <v>398</v>
      </c>
      <c r="S6688" s="1" t="s">
        <v>13384</v>
      </c>
      <c r="T6688" s="1" t="s">
        <v>13385</v>
      </c>
      <c r="U6688" s="2" t="s">
        <v>2037</v>
      </c>
      <c r="V6688" s="2" t="s">
        <v>47</v>
      </c>
      <c r="W6688" s="2" t="s">
        <v>104</v>
      </c>
      <c r="X6688" s="2">
        <v>77.034999999999997</v>
      </c>
    </row>
    <row r="6689" spans="1:24" x14ac:dyDescent="0.3">
      <c r="A6689">
        <v>24506</v>
      </c>
      <c r="B6689" t="s">
        <v>13381</v>
      </c>
      <c r="C6689" s="3">
        <v>41111</v>
      </c>
      <c r="D6689" t="s">
        <v>39</v>
      </c>
      <c r="E6689">
        <v>13</v>
      </c>
      <c r="F6689" s="3">
        <f ca="1">41111+(RANDBETWEEN(1,10))</f>
        <v>41112</v>
      </c>
      <c r="G6689" t="s">
        <v>26</v>
      </c>
      <c r="H6689" t="s">
        <v>27</v>
      </c>
      <c r="I6689" t="s">
        <v>97</v>
      </c>
      <c r="J6689">
        <v>5875.5550000000003</v>
      </c>
      <c r="K6689">
        <v>0.01</v>
      </c>
      <c r="L6689">
        <v>0.59</v>
      </c>
      <c r="M6689">
        <v>69.965000000000003</v>
      </c>
      <c r="N6689">
        <v>4054.1329500000002</v>
      </c>
      <c r="O6689" s="1" t="s">
        <v>87</v>
      </c>
      <c r="P6689" s="1" t="s">
        <v>13382</v>
      </c>
      <c r="Q6689" s="1" t="s">
        <v>13383</v>
      </c>
      <c r="R6689" s="1" t="s">
        <v>398</v>
      </c>
      <c r="S6689" s="1" t="s">
        <v>13384</v>
      </c>
      <c r="T6689" s="1" t="s">
        <v>13385</v>
      </c>
      <c r="U6689" s="2" t="s">
        <v>1801</v>
      </c>
      <c r="V6689" s="2" t="s">
        <v>47</v>
      </c>
      <c r="W6689" s="2" t="s">
        <v>119</v>
      </c>
      <c r="X6689" s="2">
        <v>421.15499999999997</v>
      </c>
    </row>
    <row r="6690" spans="1:24" x14ac:dyDescent="0.3">
      <c r="A6690">
        <v>24507</v>
      </c>
      <c r="B6690" t="s">
        <v>13387</v>
      </c>
      <c r="C6690" s="3">
        <v>41480</v>
      </c>
      <c r="D6690" t="s">
        <v>39</v>
      </c>
      <c r="E6690">
        <v>14</v>
      </c>
      <c r="F6690" s="3">
        <f ca="1">41480+(RANDBETWEEN(1,10))</f>
        <v>41487</v>
      </c>
      <c r="G6690" t="s">
        <v>26</v>
      </c>
      <c r="H6690" t="s">
        <v>51</v>
      </c>
      <c r="I6690" t="s">
        <v>52</v>
      </c>
      <c r="J6690">
        <v>1451.345</v>
      </c>
      <c r="K6690">
        <v>0</v>
      </c>
      <c r="L6690">
        <v>0.4</v>
      </c>
      <c r="M6690">
        <v>6.9649999999999999</v>
      </c>
      <c r="N6690">
        <v>-81.242000000000004</v>
      </c>
      <c r="O6690" s="1" t="s">
        <v>29</v>
      </c>
      <c r="P6690" s="1" t="s">
        <v>13191</v>
      </c>
      <c r="Q6690" s="1" t="s">
        <v>13192</v>
      </c>
      <c r="R6690" s="1" t="s">
        <v>460</v>
      </c>
      <c r="S6690" s="1" t="s">
        <v>13193</v>
      </c>
      <c r="T6690" s="1" t="s">
        <v>13194</v>
      </c>
      <c r="U6690" s="2" t="s">
        <v>1109</v>
      </c>
      <c r="V6690" s="2" t="s">
        <v>36</v>
      </c>
      <c r="W6690" s="2" t="s">
        <v>60</v>
      </c>
      <c r="X6690" s="2">
        <v>99.68</v>
      </c>
    </row>
    <row r="6691" spans="1:24" x14ac:dyDescent="0.3">
      <c r="A6691">
        <v>24508</v>
      </c>
      <c r="B6691" t="s">
        <v>13387</v>
      </c>
      <c r="C6691" s="3">
        <v>41480</v>
      </c>
      <c r="D6691" t="s">
        <v>39</v>
      </c>
      <c r="E6691">
        <v>14</v>
      </c>
      <c r="F6691" s="3">
        <f ca="1">41481+(RANDBETWEEN(1,10))</f>
        <v>41486</v>
      </c>
      <c r="G6691" t="s">
        <v>26</v>
      </c>
      <c r="H6691" t="s">
        <v>51</v>
      </c>
      <c r="I6691" t="s">
        <v>52</v>
      </c>
      <c r="J6691">
        <v>1145.3399999999999</v>
      </c>
      <c r="K6691">
        <v>0.03</v>
      </c>
      <c r="L6691">
        <v>0.52</v>
      </c>
      <c r="M6691">
        <v>12.705</v>
      </c>
      <c r="N6691">
        <v>2247.3780000000002</v>
      </c>
      <c r="O6691" s="1" t="s">
        <v>29</v>
      </c>
      <c r="P6691" s="1" t="s">
        <v>13191</v>
      </c>
      <c r="Q6691" s="1" t="s">
        <v>13192</v>
      </c>
      <c r="R6691" s="1" t="s">
        <v>460</v>
      </c>
      <c r="S6691" s="1" t="s">
        <v>13193</v>
      </c>
      <c r="T6691" s="1" t="s">
        <v>13194</v>
      </c>
      <c r="U6691" s="2" t="s">
        <v>6058</v>
      </c>
      <c r="V6691" s="2" t="s">
        <v>83</v>
      </c>
      <c r="W6691" s="2" t="s">
        <v>178</v>
      </c>
      <c r="X6691" s="2">
        <v>77.805000000000007</v>
      </c>
    </row>
    <row r="6692" spans="1:24" x14ac:dyDescent="0.3">
      <c r="A6692">
        <v>24509</v>
      </c>
      <c r="B6692" t="s">
        <v>13387</v>
      </c>
      <c r="C6692" s="3">
        <v>41480</v>
      </c>
      <c r="D6692" t="s">
        <v>39</v>
      </c>
      <c r="E6692">
        <v>15</v>
      </c>
      <c r="F6692" s="3">
        <f ca="1">41482+(RANDBETWEEN(1,10))</f>
        <v>41487</v>
      </c>
      <c r="G6692" t="s">
        <v>26</v>
      </c>
      <c r="H6692" t="s">
        <v>27</v>
      </c>
      <c r="I6692" t="s">
        <v>52</v>
      </c>
      <c r="J6692">
        <v>360.43</v>
      </c>
      <c r="K6692">
        <v>0</v>
      </c>
      <c r="L6692">
        <v>0.37</v>
      </c>
      <c r="M6692">
        <v>29.4</v>
      </c>
      <c r="N6692">
        <v>-73.647000000000006</v>
      </c>
      <c r="O6692" s="1" t="s">
        <v>29</v>
      </c>
      <c r="P6692" s="1" t="s">
        <v>13191</v>
      </c>
      <c r="Q6692" s="1" t="s">
        <v>13192</v>
      </c>
      <c r="R6692" s="1" t="s">
        <v>460</v>
      </c>
      <c r="S6692" s="1" t="s">
        <v>13193</v>
      </c>
      <c r="T6692" s="1" t="s">
        <v>13194</v>
      </c>
      <c r="U6692" s="2" t="s">
        <v>2097</v>
      </c>
      <c r="V6692" s="2" t="s">
        <v>47</v>
      </c>
      <c r="W6692" s="2" t="s">
        <v>74</v>
      </c>
      <c r="X6692" s="2">
        <v>22.68</v>
      </c>
    </row>
    <row r="6693" spans="1:24" x14ac:dyDescent="0.3">
      <c r="A6693">
        <v>24510</v>
      </c>
      <c r="B6693" t="s">
        <v>13388</v>
      </c>
      <c r="C6693" s="3">
        <v>41484</v>
      </c>
      <c r="D6693" t="s">
        <v>39</v>
      </c>
      <c r="E6693">
        <v>10</v>
      </c>
      <c r="F6693" s="3">
        <f ca="1">41486+(RANDBETWEEN(1,10))</f>
        <v>41487</v>
      </c>
      <c r="G6693" t="s">
        <v>26</v>
      </c>
      <c r="H6693" t="s">
        <v>96</v>
      </c>
      <c r="I6693" t="s">
        <v>52</v>
      </c>
      <c r="J6693">
        <v>162.4</v>
      </c>
      <c r="K6693">
        <v>0.1</v>
      </c>
      <c r="L6693">
        <v>0.52</v>
      </c>
      <c r="M6693">
        <v>2.4849999999999999</v>
      </c>
      <c r="N6693">
        <v>112.056</v>
      </c>
      <c r="O6693" s="1" t="s">
        <v>87</v>
      </c>
      <c r="P6693" s="1" t="s">
        <v>13389</v>
      </c>
      <c r="Q6693" s="1" t="s">
        <v>13390</v>
      </c>
      <c r="R6693" s="1" t="s">
        <v>398</v>
      </c>
      <c r="S6693" s="1" t="s">
        <v>13391</v>
      </c>
      <c r="T6693" s="1" t="s">
        <v>13392</v>
      </c>
      <c r="U6693" s="2" t="s">
        <v>2636</v>
      </c>
      <c r="V6693" s="2" t="s">
        <v>47</v>
      </c>
      <c r="W6693" s="2" t="s">
        <v>104</v>
      </c>
      <c r="X6693" s="2">
        <v>16.940000000000001</v>
      </c>
    </row>
    <row r="6694" spans="1:24" x14ac:dyDescent="0.3">
      <c r="A6694">
        <v>24511</v>
      </c>
      <c r="B6694" t="s">
        <v>13393</v>
      </c>
      <c r="C6694" s="3">
        <v>41756</v>
      </c>
      <c r="D6694" t="s">
        <v>25</v>
      </c>
      <c r="E6694">
        <v>9</v>
      </c>
      <c r="F6694" s="3">
        <f ca="1">41761+(RANDBETWEEN(1,10))</f>
        <v>41762</v>
      </c>
      <c r="G6694" t="s">
        <v>26</v>
      </c>
      <c r="H6694" t="s">
        <v>96</v>
      </c>
      <c r="I6694" t="s">
        <v>28</v>
      </c>
      <c r="J6694">
        <v>56.945</v>
      </c>
      <c r="K6694">
        <v>0.06</v>
      </c>
      <c r="L6694">
        <v>0.56000000000000005</v>
      </c>
      <c r="M6694">
        <v>2.4500000000000002</v>
      </c>
      <c r="N6694">
        <v>2.17</v>
      </c>
      <c r="O6694" s="1" t="s">
        <v>87</v>
      </c>
      <c r="P6694" s="1" t="s">
        <v>12827</v>
      </c>
      <c r="Q6694" s="1" t="s">
        <v>12828</v>
      </c>
      <c r="R6694" s="1" t="s">
        <v>646</v>
      </c>
      <c r="S6694" s="1" t="s">
        <v>3486</v>
      </c>
      <c r="T6694" s="1" t="s">
        <v>3487</v>
      </c>
      <c r="U6694" s="2" t="s">
        <v>873</v>
      </c>
      <c r="V6694" s="2" t="s">
        <v>47</v>
      </c>
      <c r="W6694" s="2" t="s">
        <v>104</v>
      </c>
      <c r="X6694" s="2">
        <v>6.16</v>
      </c>
    </row>
    <row r="6695" spans="1:24" x14ac:dyDescent="0.3">
      <c r="A6695">
        <v>24512</v>
      </c>
      <c r="B6695" t="s">
        <v>13394</v>
      </c>
      <c r="C6695" s="3">
        <v>40894</v>
      </c>
      <c r="D6695" t="s">
        <v>39</v>
      </c>
      <c r="E6695">
        <v>11</v>
      </c>
      <c r="F6695" s="3">
        <f ca="1">40895+(RANDBETWEEN(1,10))</f>
        <v>40897</v>
      </c>
      <c r="G6695" t="s">
        <v>26</v>
      </c>
      <c r="H6695" t="s">
        <v>96</v>
      </c>
      <c r="I6695" t="s">
        <v>28</v>
      </c>
      <c r="J6695">
        <v>65.484999999999999</v>
      </c>
      <c r="K6695">
        <v>0.1</v>
      </c>
      <c r="L6695">
        <v>0.59</v>
      </c>
      <c r="M6695">
        <v>5.4950000000000001</v>
      </c>
      <c r="N6695">
        <v>-40.494999999999997</v>
      </c>
      <c r="O6695" s="1" t="s">
        <v>40</v>
      </c>
      <c r="P6695" s="1" t="s">
        <v>13395</v>
      </c>
      <c r="Q6695" s="1" t="s">
        <v>13396</v>
      </c>
      <c r="R6695" s="1" t="s">
        <v>220</v>
      </c>
      <c r="S6695" s="1" t="s">
        <v>9391</v>
      </c>
      <c r="T6695" s="1" t="s">
        <v>9392</v>
      </c>
      <c r="U6695" s="2" t="s">
        <v>2439</v>
      </c>
      <c r="V6695" s="2" t="s">
        <v>47</v>
      </c>
      <c r="W6695" s="2" t="s">
        <v>104</v>
      </c>
      <c r="X6695" s="2">
        <v>5.88</v>
      </c>
    </row>
    <row r="6696" spans="1:24" x14ac:dyDescent="0.3">
      <c r="A6696">
        <v>24513</v>
      </c>
      <c r="B6696" t="s">
        <v>13397</v>
      </c>
      <c r="C6696" s="3">
        <v>41753</v>
      </c>
      <c r="D6696" t="s">
        <v>39</v>
      </c>
      <c r="E6696">
        <v>12</v>
      </c>
      <c r="F6696" s="3">
        <f ca="1">41755+(RANDBETWEEN(1,10))</f>
        <v>41761</v>
      </c>
      <c r="G6696" t="s">
        <v>26</v>
      </c>
      <c r="H6696" t="s">
        <v>96</v>
      </c>
      <c r="I6696" t="s">
        <v>28</v>
      </c>
      <c r="J6696">
        <v>145.35499999999999</v>
      </c>
      <c r="K6696">
        <v>0</v>
      </c>
      <c r="L6696">
        <v>0.56000000000000005</v>
      </c>
      <c r="M6696">
        <v>13.895</v>
      </c>
      <c r="N6696">
        <v>-417.06</v>
      </c>
      <c r="O6696" s="1" t="s">
        <v>29</v>
      </c>
      <c r="P6696" s="1" t="s">
        <v>13398</v>
      </c>
      <c r="Q6696" s="1" t="s">
        <v>13399</v>
      </c>
      <c r="R6696" s="1" t="s">
        <v>32</v>
      </c>
      <c r="S6696" s="1" t="s">
        <v>13400</v>
      </c>
      <c r="T6696" s="1" t="s">
        <v>13401</v>
      </c>
      <c r="U6696" s="2" t="s">
        <v>4166</v>
      </c>
      <c r="V6696" s="2" t="s">
        <v>47</v>
      </c>
      <c r="W6696" s="2" t="s">
        <v>104</v>
      </c>
      <c r="X6696" s="2">
        <v>11.48</v>
      </c>
    </row>
    <row r="6697" spans="1:24" x14ac:dyDescent="0.3">
      <c r="A6697">
        <v>24514</v>
      </c>
      <c r="B6697" t="s">
        <v>13402</v>
      </c>
      <c r="C6697" s="3">
        <v>41331</v>
      </c>
      <c r="D6697" t="s">
        <v>39</v>
      </c>
      <c r="E6697">
        <v>2</v>
      </c>
      <c r="F6697" s="3">
        <f ca="1">41331+(RANDBETWEEN(1,10))</f>
        <v>41333</v>
      </c>
      <c r="G6697" t="s">
        <v>26</v>
      </c>
      <c r="H6697" t="s">
        <v>27</v>
      </c>
      <c r="I6697" t="s">
        <v>52</v>
      </c>
      <c r="J6697">
        <v>375.58499999999998</v>
      </c>
      <c r="K6697">
        <v>0.02</v>
      </c>
      <c r="L6697">
        <v>0.39</v>
      </c>
      <c r="M6697">
        <v>56.384999999999998</v>
      </c>
      <c r="N6697">
        <v>2.9820000000000002</v>
      </c>
      <c r="O6697" s="1" t="s">
        <v>87</v>
      </c>
      <c r="P6697" s="1" t="s">
        <v>8724</v>
      </c>
      <c r="Q6697" s="1" t="s">
        <v>8725</v>
      </c>
      <c r="R6697" s="1" t="s">
        <v>398</v>
      </c>
      <c r="S6697" s="1" t="s">
        <v>8726</v>
      </c>
      <c r="T6697" s="1" t="s">
        <v>8727</v>
      </c>
      <c r="U6697" s="2" t="s">
        <v>6436</v>
      </c>
      <c r="V6697" s="2" t="s">
        <v>47</v>
      </c>
      <c r="W6697" s="2" t="s">
        <v>111</v>
      </c>
      <c r="X6697" s="2">
        <v>183.4</v>
      </c>
    </row>
    <row r="6698" spans="1:24" x14ac:dyDescent="0.3">
      <c r="A6698">
        <v>24515</v>
      </c>
      <c r="B6698" t="s">
        <v>13402</v>
      </c>
      <c r="C6698" s="3">
        <v>41331</v>
      </c>
      <c r="D6698" t="s">
        <v>39</v>
      </c>
      <c r="E6698">
        <v>4</v>
      </c>
      <c r="F6698" s="3">
        <f ca="1">41332+(RANDBETWEEN(1,10))</f>
        <v>41340</v>
      </c>
      <c r="G6698" t="s">
        <v>26</v>
      </c>
      <c r="H6698" t="s">
        <v>27</v>
      </c>
      <c r="I6698" t="s">
        <v>52</v>
      </c>
      <c r="J6698">
        <v>76.510000000000005</v>
      </c>
      <c r="K6698">
        <v>7.0000000000000007E-2</v>
      </c>
      <c r="L6698">
        <v>0.38</v>
      </c>
      <c r="M6698">
        <v>29.155000000000001</v>
      </c>
      <c r="N6698">
        <v>1218.693</v>
      </c>
      <c r="O6698" s="1" t="s">
        <v>87</v>
      </c>
      <c r="P6698" s="1" t="s">
        <v>13403</v>
      </c>
      <c r="Q6698" s="1" t="s">
        <v>13404</v>
      </c>
      <c r="R6698" s="1" t="s">
        <v>646</v>
      </c>
      <c r="S6698" s="1" t="s">
        <v>4444</v>
      </c>
      <c r="T6698" s="1" t="s">
        <v>4445</v>
      </c>
      <c r="U6698" s="2" t="s">
        <v>867</v>
      </c>
      <c r="V6698" s="2" t="s">
        <v>47</v>
      </c>
      <c r="W6698" s="2" t="s">
        <v>74</v>
      </c>
      <c r="X6698" s="2">
        <v>17.43</v>
      </c>
    </row>
    <row r="6699" spans="1:24" x14ac:dyDescent="0.3">
      <c r="A6699">
        <v>24516</v>
      </c>
      <c r="B6699" t="s">
        <v>13405</v>
      </c>
      <c r="C6699" s="3">
        <v>41097</v>
      </c>
      <c r="D6699" t="s">
        <v>39</v>
      </c>
      <c r="E6699">
        <v>2</v>
      </c>
      <c r="F6699" s="3">
        <f ca="1">41099+(RANDBETWEEN(1,10))</f>
        <v>41102</v>
      </c>
      <c r="G6699" t="s">
        <v>76</v>
      </c>
      <c r="H6699" t="s">
        <v>258</v>
      </c>
      <c r="I6699" t="s">
        <v>86</v>
      </c>
      <c r="J6699">
        <v>1822.835</v>
      </c>
      <c r="K6699">
        <v>0.08</v>
      </c>
      <c r="L6699">
        <v>0.65</v>
      </c>
      <c r="M6699">
        <v>233.345</v>
      </c>
      <c r="N6699">
        <v>-2196.7440495000001</v>
      </c>
      <c r="O6699" s="1" t="s">
        <v>53</v>
      </c>
      <c r="P6699" s="1" t="s">
        <v>2457</v>
      </c>
      <c r="Q6699" s="1" t="s">
        <v>2458</v>
      </c>
      <c r="R6699" s="1" t="s">
        <v>56</v>
      </c>
      <c r="S6699" s="1" t="s">
        <v>2459</v>
      </c>
      <c r="T6699" s="1" t="s">
        <v>2460</v>
      </c>
      <c r="U6699" s="2" t="s">
        <v>4031</v>
      </c>
      <c r="V6699" s="2" t="s">
        <v>83</v>
      </c>
      <c r="W6699" s="2" t="s">
        <v>263</v>
      </c>
      <c r="X6699" s="2">
        <v>908.98500000000001</v>
      </c>
    </row>
    <row r="6700" spans="1:24" x14ac:dyDescent="0.3">
      <c r="A6700">
        <v>24517</v>
      </c>
      <c r="B6700" t="s">
        <v>13406</v>
      </c>
      <c r="C6700" s="3">
        <v>41147</v>
      </c>
      <c r="D6700" t="s">
        <v>148</v>
      </c>
      <c r="E6700">
        <v>11</v>
      </c>
      <c r="F6700" s="3">
        <f ca="1">41149+(RANDBETWEEN(1,10))</f>
        <v>41157</v>
      </c>
      <c r="G6700" t="s">
        <v>26</v>
      </c>
      <c r="H6700" t="s">
        <v>27</v>
      </c>
      <c r="I6700" t="s">
        <v>97</v>
      </c>
      <c r="J6700">
        <v>1452.29</v>
      </c>
      <c r="K6700">
        <v>0.02</v>
      </c>
      <c r="L6700">
        <v>0.38</v>
      </c>
      <c r="M6700">
        <v>17.815000000000001</v>
      </c>
      <c r="N6700">
        <v>1002.0801</v>
      </c>
      <c r="O6700" s="1" t="s">
        <v>225</v>
      </c>
      <c r="P6700" s="1" t="s">
        <v>10233</v>
      </c>
      <c r="Q6700" s="1" t="s">
        <v>10234</v>
      </c>
      <c r="R6700" s="1" t="s">
        <v>391</v>
      </c>
      <c r="S6700" s="1" t="s">
        <v>10166</v>
      </c>
      <c r="T6700" s="1" t="s">
        <v>10167</v>
      </c>
      <c r="U6700" s="2" t="s">
        <v>4048</v>
      </c>
      <c r="V6700" s="2" t="s">
        <v>47</v>
      </c>
      <c r="W6700" s="2" t="s">
        <v>74</v>
      </c>
      <c r="X6700" s="2">
        <v>124.04</v>
      </c>
    </row>
    <row r="6701" spans="1:24" x14ac:dyDescent="0.3">
      <c r="A6701">
        <v>24518</v>
      </c>
      <c r="B6701" t="s">
        <v>13406</v>
      </c>
      <c r="C6701" s="3">
        <v>41147</v>
      </c>
      <c r="D6701" t="s">
        <v>148</v>
      </c>
      <c r="E6701">
        <v>7</v>
      </c>
      <c r="F6701" s="3">
        <f ca="1">41148+(RANDBETWEEN(1,10))</f>
        <v>41158</v>
      </c>
      <c r="G6701" t="s">
        <v>26</v>
      </c>
      <c r="H6701" t="s">
        <v>27</v>
      </c>
      <c r="I6701" t="s">
        <v>97</v>
      </c>
      <c r="J6701">
        <v>2606.94</v>
      </c>
      <c r="K6701">
        <v>0.08</v>
      </c>
      <c r="L6701">
        <v>0.55000000000000004</v>
      </c>
      <c r="M6701">
        <v>18.41</v>
      </c>
      <c r="N6701">
        <v>839.71943999999996</v>
      </c>
      <c r="O6701" s="1" t="s">
        <v>225</v>
      </c>
      <c r="P6701" s="1" t="s">
        <v>10233</v>
      </c>
      <c r="Q6701" s="1" t="s">
        <v>10234</v>
      </c>
      <c r="R6701" s="1" t="s">
        <v>391</v>
      </c>
      <c r="S6701" s="1" t="s">
        <v>10166</v>
      </c>
      <c r="T6701" s="1" t="s">
        <v>10167</v>
      </c>
      <c r="U6701" s="2">
        <v>232</v>
      </c>
      <c r="V6701" s="2" t="s">
        <v>36</v>
      </c>
      <c r="W6701" s="2" t="s">
        <v>37</v>
      </c>
      <c r="X6701" s="2">
        <v>440.96499999999997</v>
      </c>
    </row>
    <row r="6702" spans="1:24" x14ac:dyDescent="0.3">
      <c r="A6702">
        <v>24519</v>
      </c>
      <c r="B6702" t="s">
        <v>13407</v>
      </c>
      <c r="C6702" s="3">
        <v>41282</v>
      </c>
      <c r="D6702" t="s">
        <v>148</v>
      </c>
      <c r="E6702">
        <v>8</v>
      </c>
      <c r="F6702" s="3">
        <f ca="1">41284+(RANDBETWEEN(1,10))</f>
        <v>41288</v>
      </c>
      <c r="G6702" t="s">
        <v>26</v>
      </c>
      <c r="H6702" t="s">
        <v>27</v>
      </c>
      <c r="I6702" t="s">
        <v>52</v>
      </c>
      <c r="J6702">
        <v>856.87</v>
      </c>
      <c r="K6702">
        <v>0.03</v>
      </c>
      <c r="L6702">
        <v>0.42</v>
      </c>
      <c r="M6702">
        <v>29.925000000000001</v>
      </c>
      <c r="N6702">
        <v>591.24030000000005</v>
      </c>
      <c r="O6702" s="1" t="s">
        <v>40</v>
      </c>
      <c r="P6702" s="1" t="s">
        <v>10531</v>
      </c>
      <c r="Q6702" s="1" t="s">
        <v>10532</v>
      </c>
      <c r="R6702" s="1" t="s">
        <v>220</v>
      </c>
      <c r="S6702" s="1" t="s">
        <v>1838</v>
      </c>
      <c r="T6702" s="1" t="s">
        <v>1839</v>
      </c>
      <c r="U6702" s="2" t="s">
        <v>2535</v>
      </c>
      <c r="V6702" s="2" t="s">
        <v>83</v>
      </c>
      <c r="W6702" s="2" t="s">
        <v>178</v>
      </c>
      <c r="X6702" s="2">
        <v>102.13</v>
      </c>
    </row>
    <row r="6703" spans="1:24" x14ac:dyDescent="0.3">
      <c r="A6703">
        <v>24520</v>
      </c>
      <c r="B6703" t="s">
        <v>13407</v>
      </c>
      <c r="C6703" s="3">
        <v>41282</v>
      </c>
      <c r="D6703" t="s">
        <v>148</v>
      </c>
      <c r="E6703">
        <v>8</v>
      </c>
      <c r="F6703" s="3">
        <f ca="1">41283+(RANDBETWEEN(1,10))</f>
        <v>41286</v>
      </c>
      <c r="G6703" t="s">
        <v>26</v>
      </c>
      <c r="H6703" t="s">
        <v>281</v>
      </c>
      <c r="I6703" t="s">
        <v>52</v>
      </c>
      <c r="J6703">
        <v>1716.19</v>
      </c>
      <c r="K6703">
        <v>0.01</v>
      </c>
      <c r="L6703">
        <v>0.6</v>
      </c>
      <c r="M6703">
        <v>48.965000000000003</v>
      </c>
      <c r="N6703">
        <v>442.53089999999997</v>
      </c>
      <c r="O6703" s="1" t="s">
        <v>40</v>
      </c>
      <c r="P6703" s="1" t="s">
        <v>10531</v>
      </c>
      <c r="Q6703" s="1" t="s">
        <v>10532</v>
      </c>
      <c r="R6703" s="1" t="s">
        <v>220</v>
      </c>
      <c r="S6703" s="1" t="s">
        <v>1838</v>
      </c>
      <c r="T6703" s="1" t="s">
        <v>1839</v>
      </c>
      <c r="U6703" s="2" t="s">
        <v>5387</v>
      </c>
      <c r="V6703" s="2" t="s">
        <v>36</v>
      </c>
      <c r="W6703" s="2" t="s">
        <v>37</v>
      </c>
      <c r="X6703" s="2">
        <v>234.465</v>
      </c>
    </row>
    <row r="6704" spans="1:24" x14ac:dyDescent="0.3">
      <c r="A6704">
        <v>24521</v>
      </c>
      <c r="B6704" t="s">
        <v>13407</v>
      </c>
      <c r="C6704" s="3">
        <v>41282</v>
      </c>
      <c r="D6704" t="s">
        <v>148</v>
      </c>
      <c r="E6704">
        <v>3</v>
      </c>
      <c r="F6704" s="3">
        <f ca="1">41283+(RANDBETWEEN(1,10))</f>
        <v>41292</v>
      </c>
      <c r="G6704" t="s">
        <v>156</v>
      </c>
      <c r="H6704" t="s">
        <v>27</v>
      </c>
      <c r="I6704" t="s">
        <v>52</v>
      </c>
      <c r="J6704">
        <v>1066.7650000000001</v>
      </c>
      <c r="K6704">
        <v>0.01</v>
      </c>
      <c r="L6704">
        <v>0.55000000000000004</v>
      </c>
      <c r="M6704">
        <v>8.75</v>
      </c>
      <c r="N6704">
        <v>140.79114000000001</v>
      </c>
      <c r="O6704" s="1" t="s">
        <v>40</v>
      </c>
      <c r="P6704" s="1" t="s">
        <v>10531</v>
      </c>
      <c r="Q6704" s="1" t="s">
        <v>10532</v>
      </c>
      <c r="R6704" s="1" t="s">
        <v>220</v>
      </c>
      <c r="S6704" s="1" t="s">
        <v>1838</v>
      </c>
      <c r="T6704" s="1" t="s">
        <v>1839</v>
      </c>
      <c r="U6704" s="2" t="s">
        <v>2369</v>
      </c>
      <c r="V6704" s="2" t="s">
        <v>36</v>
      </c>
      <c r="W6704" s="2" t="s">
        <v>37</v>
      </c>
      <c r="X6704" s="2">
        <v>405.96499999999997</v>
      </c>
    </row>
    <row r="6705" spans="1:24" x14ac:dyDescent="0.3">
      <c r="A6705">
        <v>24522</v>
      </c>
      <c r="B6705" t="s">
        <v>13408</v>
      </c>
      <c r="C6705" s="3">
        <v>41702</v>
      </c>
      <c r="D6705" t="s">
        <v>62</v>
      </c>
      <c r="E6705">
        <v>13</v>
      </c>
      <c r="F6705" s="3">
        <f ca="1">41703+(RANDBETWEEN(1,10))</f>
        <v>41710</v>
      </c>
      <c r="G6705" t="s">
        <v>26</v>
      </c>
      <c r="H6705" t="s">
        <v>27</v>
      </c>
      <c r="I6705" t="s">
        <v>86</v>
      </c>
      <c r="J6705">
        <v>1706.635</v>
      </c>
      <c r="K6705">
        <v>0.05</v>
      </c>
      <c r="L6705">
        <v>0.56000000000000005</v>
      </c>
      <c r="M6705">
        <v>8.75</v>
      </c>
      <c r="N6705">
        <v>1177.5781500000001</v>
      </c>
      <c r="O6705" s="1" t="s">
        <v>87</v>
      </c>
      <c r="P6705" s="1" t="s">
        <v>13409</v>
      </c>
      <c r="Q6705" s="1" t="s">
        <v>13410</v>
      </c>
      <c r="R6705" s="1" t="s">
        <v>398</v>
      </c>
      <c r="S6705" s="1" t="s">
        <v>13411</v>
      </c>
      <c r="T6705" s="1" t="s">
        <v>13412</v>
      </c>
      <c r="U6705" s="2" t="s">
        <v>7529</v>
      </c>
      <c r="V6705" s="2" t="s">
        <v>36</v>
      </c>
      <c r="W6705" s="2" t="s">
        <v>37</v>
      </c>
      <c r="X6705" s="2">
        <v>160.965</v>
      </c>
    </row>
    <row r="6706" spans="1:24" x14ac:dyDescent="0.3">
      <c r="A6706">
        <v>24523</v>
      </c>
      <c r="B6706" t="s">
        <v>13413</v>
      </c>
      <c r="C6706" s="3">
        <v>40628</v>
      </c>
      <c r="D6706" t="s">
        <v>50</v>
      </c>
      <c r="E6706">
        <v>2</v>
      </c>
      <c r="F6706" s="3">
        <f ca="1">40630+(RANDBETWEEN(1,10))</f>
        <v>40634</v>
      </c>
      <c r="G6706" t="s">
        <v>26</v>
      </c>
      <c r="H6706" t="s">
        <v>27</v>
      </c>
      <c r="I6706" t="s">
        <v>28</v>
      </c>
      <c r="J6706">
        <v>38.36</v>
      </c>
      <c r="K6706">
        <v>0.1</v>
      </c>
      <c r="L6706">
        <v>0.36</v>
      </c>
      <c r="M6706">
        <v>20.09</v>
      </c>
      <c r="N6706">
        <v>-101.51049999999999</v>
      </c>
      <c r="O6706" s="1" t="s">
        <v>225</v>
      </c>
      <c r="P6706" s="1" t="s">
        <v>13414</v>
      </c>
      <c r="Q6706" s="1" t="s">
        <v>13415</v>
      </c>
      <c r="R6706" s="1" t="s">
        <v>228</v>
      </c>
      <c r="S6706" s="1" t="s">
        <v>13416</v>
      </c>
      <c r="T6706" s="1" t="s">
        <v>13417</v>
      </c>
      <c r="U6706" s="2" t="s">
        <v>1239</v>
      </c>
      <c r="V6706" s="2" t="s">
        <v>47</v>
      </c>
      <c r="W6706" s="2" t="s">
        <v>111</v>
      </c>
      <c r="X6706" s="2">
        <v>18.13</v>
      </c>
    </row>
    <row r="6707" spans="1:24" x14ac:dyDescent="0.3">
      <c r="A6707">
        <v>24524</v>
      </c>
      <c r="B6707" t="s">
        <v>13418</v>
      </c>
      <c r="C6707" s="3">
        <v>41000</v>
      </c>
      <c r="D6707" t="s">
        <v>62</v>
      </c>
      <c r="E6707">
        <v>9</v>
      </c>
      <c r="F6707" s="3">
        <f ca="1">41001+(RANDBETWEEN(1,10))</f>
        <v>41002</v>
      </c>
      <c r="G6707" t="s">
        <v>26</v>
      </c>
      <c r="H6707" t="s">
        <v>27</v>
      </c>
      <c r="I6707" t="s">
        <v>52</v>
      </c>
      <c r="J6707">
        <v>741.54499999999996</v>
      </c>
      <c r="K6707">
        <v>0.06</v>
      </c>
      <c r="L6707">
        <v>0.39</v>
      </c>
      <c r="M6707">
        <v>10.465</v>
      </c>
      <c r="N6707">
        <v>511.66604999999998</v>
      </c>
      <c r="O6707" s="1" t="s">
        <v>40</v>
      </c>
      <c r="P6707" s="1" t="s">
        <v>10470</v>
      </c>
      <c r="Q6707" s="1" t="s">
        <v>10471</v>
      </c>
      <c r="R6707" s="1" t="s">
        <v>220</v>
      </c>
      <c r="S6707" s="1" t="s">
        <v>6003</v>
      </c>
      <c r="T6707" s="1" t="s">
        <v>6004</v>
      </c>
      <c r="U6707" s="2" t="s">
        <v>1757</v>
      </c>
      <c r="V6707" s="2" t="s">
        <v>47</v>
      </c>
      <c r="W6707" s="2" t="s">
        <v>111</v>
      </c>
      <c r="X6707" s="2">
        <v>87.325000000000003</v>
      </c>
    </row>
    <row r="6708" spans="1:24" x14ac:dyDescent="0.3">
      <c r="A6708">
        <v>24525</v>
      </c>
      <c r="B6708" t="s">
        <v>13419</v>
      </c>
      <c r="C6708" s="3">
        <v>40637</v>
      </c>
      <c r="D6708" t="s">
        <v>25</v>
      </c>
      <c r="E6708">
        <v>12</v>
      </c>
      <c r="F6708" s="3">
        <f ca="1">40644+(RANDBETWEEN(1,10))</f>
        <v>40645</v>
      </c>
      <c r="G6708" t="s">
        <v>26</v>
      </c>
      <c r="H6708" t="s">
        <v>51</v>
      </c>
      <c r="I6708" t="s">
        <v>86</v>
      </c>
      <c r="J6708">
        <v>1349.075</v>
      </c>
      <c r="K6708">
        <v>0</v>
      </c>
      <c r="L6708">
        <v>0.35</v>
      </c>
      <c r="M6708">
        <v>3.4649999999999999</v>
      </c>
      <c r="N6708">
        <v>930.86175000000003</v>
      </c>
      <c r="O6708" s="1" t="s">
        <v>64</v>
      </c>
      <c r="P6708" s="1" t="s">
        <v>12938</v>
      </c>
      <c r="Q6708" s="1" t="s">
        <v>12939</v>
      </c>
      <c r="R6708" s="1" t="s">
        <v>67</v>
      </c>
      <c r="S6708" s="1" t="s">
        <v>6615</v>
      </c>
      <c r="T6708" s="1" t="s">
        <v>6616</v>
      </c>
      <c r="U6708" s="2" t="s">
        <v>1868</v>
      </c>
      <c r="V6708" s="2" t="s">
        <v>36</v>
      </c>
      <c r="W6708" s="2" t="s">
        <v>37</v>
      </c>
      <c r="X6708" s="2">
        <v>125.965</v>
      </c>
    </row>
    <row r="6709" spans="1:24" x14ac:dyDescent="0.3">
      <c r="A6709">
        <v>24526</v>
      </c>
      <c r="B6709" t="s">
        <v>13420</v>
      </c>
      <c r="C6709" s="3">
        <v>40801</v>
      </c>
      <c r="D6709" t="s">
        <v>148</v>
      </c>
      <c r="E6709">
        <v>22</v>
      </c>
      <c r="F6709" s="3">
        <f ca="1">40803+(RANDBETWEEN(1,10))</f>
        <v>40808</v>
      </c>
      <c r="G6709" t="s">
        <v>26</v>
      </c>
      <c r="H6709" t="s">
        <v>27</v>
      </c>
      <c r="I6709" t="s">
        <v>52</v>
      </c>
      <c r="J6709">
        <v>2339.33</v>
      </c>
      <c r="K6709">
        <v>0</v>
      </c>
      <c r="L6709">
        <v>0.54</v>
      </c>
      <c r="M6709">
        <v>27.545000000000002</v>
      </c>
      <c r="N6709">
        <v>1348.7950000000001</v>
      </c>
      <c r="O6709" s="1" t="s">
        <v>40</v>
      </c>
      <c r="P6709" s="1" t="s">
        <v>13421</v>
      </c>
      <c r="Q6709" s="1" t="s">
        <v>13422</v>
      </c>
      <c r="R6709" s="1" t="s">
        <v>43</v>
      </c>
      <c r="S6709" s="1" t="s">
        <v>1211</v>
      </c>
      <c r="T6709" s="1" t="s">
        <v>1212</v>
      </c>
      <c r="U6709" s="2" t="s">
        <v>5532</v>
      </c>
      <c r="V6709" s="2" t="s">
        <v>83</v>
      </c>
      <c r="W6709" s="2" t="s">
        <v>178</v>
      </c>
      <c r="X6709" s="2">
        <v>102.69</v>
      </c>
    </row>
    <row r="6710" spans="1:24" x14ac:dyDescent="0.3">
      <c r="A6710">
        <v>24527</v>
      </c>
      <c r="B6710" t="s">
        <v>13423</v>
      </c>
      <c r="C6710" s="3">
        <v>41691</v>
      </c>
      <c r="D6710" t="s">
        <v>148</v>
      </c>
      <c r="E6710">
        <v>2</v>
      </c>
      <c r="F6710" s="3">
        <f ca="1">41692+(RANDBETWEEN(1,10))</f>
        <v>41693</v>
      </c>
      <c r="G6710" t="s">
        <v>26</v>
      </c>
      <c r="H6710" t="s">
        <v>96</v>
      </c>
      <c r="I6710" t="s">
        <v>97</v>
      </c>
      <c r="J6710">
        <v>271.28500000000003</v>
      </c>
      <c r="K6710">
        <v>0.05</v>
      </c>
      <c r="L6710">
        <v>0.67</v>
      </c>
      <c r="M6710">
        <v>48.965000000000003</v>
      </c>
      <c r="N6710">
        <v>187.18664999999999</v>
      </c>
      <c r="O6710" s="1" t="s">
        <v>53</v>
      </c>
      <c r="P6710" s="1" t="s">
        <v>7896</v>
      </c>
      <c r="Q6710" s="1" t="s">
        <v>7897</v>
      </c>
      <c r="R6710" s="1" t="s">
        <v>440</v>
      </c>
      <c r="S6710" s="1" t="s">
        <v>4911</v>
      </c>
      <c r="T6710" s="1" t="s">
        <v>7898</v>
      </c>
      <c r="U6710" s="2" t="s">
        <v>3873</v>
      </c>
      <c r="V6710" s="2" t="s">
        <v>83</v>
      </c>
      <c r="W6710" s="2" t="s">
        <v>178</v>
      </c>
      <c r="X6710" s="2">
        <v>132.755</v>
      </c>
    </row>
    <row r="6711" spans="1:24" x14ac:dyDescent="0.3">
      <c r="A6711">
        <v>24528</v>
      </c>
      <c r="B6711" t="s">
        <v>13424</v>
      </c>
      <c r="C6711" s="3">
        <v>41285</v>
      </c>
      <c r="D6711" t="s">
        <v>62</v>
      </c>
      <c r="E6711">
        <v>13</v>
      </c>
      <c r="F6711" s="3">
        <f ca="1">41286+(RANDBETWEEN(1,10))</f>
        <v>41296</v>
      </c>
      <c r="G6711" t="s">
        <v>26</v>
      </c>
      <c r="H6711" t="s">
        <v>27</v>
      </c>
      <c r="I6711" t="s">
        <v>97</v>
      </c>
      <c r="J6711">
        <v>7454.0550000000003</v>
      </c>
      <c r="K6711">
        <v>0.08</v>
      </c>
      <c r="L6711">
        <v>0.4</v>
      </c>
      <c r="M6711">
        <v>69.965000000000003</v>
      </c>
      <c r="N6711">
        <v>5143.2979500000001</v>
      </c>
      <c r="O6711" s="1" t="s">
        <v>40</v>
      </c>
      <c r="P6711" s="1" t="s">
        <v>13425</v>
      </c>
      <c r="Q6711" s="1" t="s">
        <v>13426</v>
      </c>
      <c r="R6711" s="1" t="s">
        <v>43</v>
      </c>
      <c r="S6711" s="1" t="s">
        <v>13427</v>
      </c>
      <c r="T6711" s="1" t="s">
        <v>13428</v>
      </c>
      <c r="U6711" s="2" t="s">
        <v>2782</v>
      </c>
      <c r="V6711" s="2" t="s">
        <v>47</v>
      </c>
      <c r="W6711" s="2" t="s">
        <v>111</v>
      </c>
      <c r="X6711" s="2">
        <v>580.92999999999995</v>
      </c>
    </row>
    <row r="6712" spans="1:24" x14ac:dyDescent="0.3">
      <c r="A6712">
        <v>24529</v>
      </c>
      <c r="B6712" t="s">
        <v>13424</v>
      </c>
      <c r="C6712" s="3">
        <v>41285</v>
      </c>
      <c r="D6712" t="s">
        <v>62</v>
      </c>
      <c r="E6712">
        <v>11</v>
      </c>
      <c r="F6712" s="3">
        <f ca="1">41287+(RANDBETWEEN(1,10))</f>
        <v>41297</v>
      </c>
      <c r="G6712" t="s">
        <v>156</v>
      </c>
      <c r="H6712" t="s">
        <v>51</v>
      </c>
      <c r="I6712" t="s">
        <v>97</v>
      </c>
      <c r="J6712">
        <v>1519.63</v>
      </c>
      <c r="K6712">
        <v>0.08</v>
      </c>
      <c r="L6712">
        <v>0.54</v>
      </c>
      <c r="M6712">
        <v>6.9649999999999999</v>
      </c>
      <c r="N6712">
        <v>1048.5446999999999</v>
      </c>
      <c r="O6712" s="1" t="s">
        <v>40</v>
      </c>
      <c r="P6712" s="1" t="s">
        <v>13425</v>
      </c>
      <c r="Q6712" s="1" t="s">
        <v>13426</v>
      </c>
      <c r="R6712" s="1" t="s">
        <v>43</v>
      </c>
      <c r="S6712" s="1" t="s">
        <v>13427</v>
      </c>
      <c r="T6712" s="1" t="s">
        <v>13428</v>
      </c>
      <c r="U6712" s="2" t="s">
        <v>685</v>
      </c>
      <c r="V6712" s="2" t="s">
        <v>36</v>
      </c>
      <c r="W6712" s="2" t="s">
        <v>60</v>
      </c>
      <c r="X6712" s="2">
        <v>138.18</v>
      </c>
    </row>
    <row r="6713" spans="1:24" x14ac:dyDescent="0.3">
      <c r="A6713">
        <v>24530</v>
      </c>
      <c r="B6713" t="s">
        <v>13424</v>
      </c>
      <c r="C6713" s="3">
        <v>41285</v>
      </c>
      <c r="D6713" t="s">
        <v>62</v>
      </c>
      <c r="E6713">
        <v>1</v>
      </c>
      <c r="F6713" s="3">
        <f ca="1">41287+(RANDBETWEEN(1,10))</f>
        <v>41295</v>
      </c>
      <c r="G6713" t="s">
        <v>26</v>
      </c>
      <c r="H6713" t="s">
        <v>27</v>
      </c>
      <c r="I6713" t="s">
        <v>97</v>
      </c>
      <c r="J6713">
        <v>41.545000000000002</v>
      </c>
      <c r="K6713">
        <v>0.04</v>
      </c>
      <c r="L6713">
        <v>0.37</v>
      </c>
      <c r="M6713">
        <v>18.899999999999999</v>
      </c>
      <c r="N6713">
        <v>-38.582599999999999</v>
      </c>
      <c r="O6713" s="1" t="s">
        <v>40</v>
      </c>
      <c r="P6713" s="1" t="s">
        <v>13425</v>
      </c>
      <c r="Q6713" s="1" t="s">
        <v>13426</v>
      </c>
      <c r="R6713" s="1" t="s">
        <v>43</v>
      </c>
      <c r="S6713" s="1" t="s">
        <v>13427</v>
      </c>
      <c r="T6713" s="1" t="s">
        <v>13428</v>
      </c>
      <c r="U6713" s="2" t="s">
        <v>1582</v>
      </c>
      <c r="V6713" s="2" t="s">
        <v>47</v>
      </c>
      <c r="W6713" s="2" t="s">
        <v>74</v>
      </c>
      <c r="X6713" s="2">
        <v>22.68</v>
      </c>
    </row>
    <row r="6714" spans="1:24" x14ac:dyDescent="0.3">
      <c r="A6714">
        <v>24531</v>
      </c>
      <c r="B6714" t="s">
        <v>13429</v>
      </c>
      <c r="C6714" s="3">
        <v>41867</v>
      </c>
      <c r="D6714" t="s">
        <v>62</v>
      </c>
      <c r="E6714">
        <v>9</v>
      </c>
      <c r="F6714" s="3">
        <f ca="1">41869+(RANDBETWEEN(1,10))</f>
        <v>41877</v>
      </c>
      <c r="G6714" t="s">
        <v>76</v>
      </c>
      <c r="H6714" t="s">
        <v>77</v>
      </c>
      <c r="I6714" t="s">
        <v>28</v>
      </c>
      <c r="J6714">
        <v>2243.395</v>
      </c>
      <c r="K6714">
        <v>0.05</v>
      </c>
      <c r="L6714">
        <v>0.78</v>
      </c>
      <c r="M6714">
        <v>105</v>
      </c>
      <c r="N6714">
        <v>-567.52611999999999</v>
      </c>
      <c r="O6714" s="1" t="s">
        <v>64</v>
      </c>
      <c r="P6714" s="1" t="s">
        <v>12210</v>
      </c>
      <c r="Q6714" s="1" t="s">
        <v>12211</v>
      </c>
      <c r="R6714" s="1" t="s">
        <v>128</v>
      </c>
      <c r="S6714" s="1" t="s">
        <v>8092</v>
      </c>
      <c r="T6714" s="1" t="s">
        <v>8093</v>
      </c>
      <c r="U6714" s="2" t="s">
        <v>13430</v>
      </c>
      <c r="V6714" s="2" t="s">
        <v>83</v>
      </c>
      <c r="W6714" s="2" t="s">
        <v>84</v>
      </c>
      <c r="X6714" s="2">
        <v>248.43</v>
      </c>
    </row>
    <row r="6715" spans="1:24" x14ac:dyDescent="0.3">
      <c r="A6715">
        <v>24532</v>
      </c>
      <c r="B6715" t="s">
        <v>13429</v>
      </c>
      <c r="C6715" s="3">
        <v>41867</v>
      </c>
      <c r="D6715" t="s">
        <v>62</v>
      </c>
      <c r="E6715">
        <v>9</v>
      </c>
      <c r="F6715" s="3">
        <f ca="1">41869+(RANDBETWEEN(1,10))</f>
        <v>41876</v>
      </c>
      <c r="G6715" t="s">
        <v>26</v>
      </c>
      <c r="H6715" t="s">
        <v>27</v>
      </c>
      <c r="I6715" t="s">
        <v>28</v>
      </c>
      <c r="J6715">
        <v>163.20500000000001</v>
      </c>
      <c r="K6715">
        <v>0.05</v>
      </c>
      <c r="L6715">
        <v>0.38</v>
      </c>
      <c r="M6715">
        <v>16.45</v>
      </c>
      <c r="N6715">
        <v>-52.474240000000002</v>
      </c>
      <c r="O6715" s="1" t="s">
        <v>64</v>
      </c>
      <c r="P6715" s="1" t="s">
        <v>12210</v>
      </c>
      <c r="Q6715" s="1" t="s">
        <v>12211</v>
      </c>
      <c r="R6715" s="1" t="s">
        <v>128</v>
      </c>
      <c r="S6715" s="1" t="s">
        <v>8092</v>
      </c>
      <c r="T6715" s="1" t="s">
        <v>8093</v>
      </c>
      <c r="U6715" s="2" t="s">
        <v>5182</v>
      </c>
      <c r="V6715" s="2" t="s">
        <v>47</v>
      </c>
      <c r="W6715" s="2" t="s">
        <v>74</v>
      </c>
      <c r="X6715" s="2">
        <v>17.43</v>
      </c>
    </row>
    <row r="6716" spans="1:24" x14ac:dyDescent="0.3">
      <c r="A6716">
        <v>24533</v>
      </c>
      <c r="B6716" t="s">
        <v>13431</v>
      </c>
      <c r="C6716" s="3">
        <v>41809</v>
      </c>
      <c r="D6716" t="s">
        <v>39</v>
      </c>
      <c r="E6716">
        <v>11</v>
      </c>
      <c r="F6716" s="3">
        <f ca="1">41810+(RANDBETWEEN(1,10))</f>
        <v>41814</v>
      </c>
      <c r="G6716" t="s">
        <v>26</v>
      </c>
      <c r="H6716" t="s">
        <v>51</v>
      </c>
      <c r="I6716" t="s">
        <v>28</v>
      </c>
      <c r="J6716">
        <v>809.2</v>
      </c>
      <c r="K6716">
        <v>0.03</v>
      </c>
      <c r="L6716">
        <v>0.57999999999999996</v>
      </c>
      <c r="M6716">
        <v>31.465</v>
      </c>
      <c r="N6716">
        <v>-84.195999999999998</v>
      </c>
      <c r="O6716" s="1" t="s">
        <v>53</v>
      </c>
      <c r="P6716" s="1" t="s">
        <v>11845</v>
      </c>
      <c r="Q6716" s="1" t="s">
        <v>11846</v>
      </c>
      <c r="R6716" s="1" t="s">
        <v>440</v>
      </c>
      <c r="S6716" s="1" t="s">
        <v>1071</v>
      </c>
      <c r="T6716" s="1" t="s">
        <v>1072</v>
      </c>
      <c r="U6716" s="2" t="s">
        <v>2615</v>
      </c>
      <c r="V6716" s="2" t="s">
        <v>47</v>
      </c>
      <c r="W6716" s="2" t="s">
        <v>104</v>
      </c>
      <c r="X6716" s="2">
        <v>70.525000000000006</v>
      </c>
    </row>
    <row r="6717" spans="1:24" x14ac:dyDescent="0.3">
      <c r="A6717">
        <v>24534</v>
      </c>
      <c r="B6717" t="s">
        <v>13432</v>
      </c>
      <c r="C6717" s="3">
        <v>40701</v>
      </c>
      <c r="D6717" t="s">
        <v>62</v>
      </c>
      <c r="E6717">
        <v>1</v>
      </c>
      <c r="F6717" s="3">
        <f ca="1">40702+(RANDBETWEEN(1,10))</f>
        <v>40709</v>
      </c>
      <c r="G6717" t="s">
        <v>26</v>
      </c>
      <c r="H6717" t="s">
        <v>27</v>
      </c>
      <c r="I6717" t="s">
        <v>97</v>
      </c>
      <c r="J6717">
        <v>164.29</v>
      </c>
      <c r="K6717">
        <v>0.06</v>
      </c>
      <c r="L6717">
        <v>0.59</v>
      </c>
      <c r="M6717">
        <v>12.25</v>
      </c>
      <c r="N6717">
        <v>-74.311999999999998</v>
      </c>
      <c r="O6717" s="1" t="s">
        <v>225</v>
      </c>
      <c r="P6717" s="1" t="s">
        <v>13433</v>
      </c>
      <c r="Q6717" s="1" t="s">
        <v>13434</v>
      </c>
      <c r="R6717" s="1" t="s">
        <v>228</v>
      </c>
      <c r="S6717" s="1" t="s">
        <v>3009</v>
      </c>
      <c r="T6717" s="1" t="s">
        <v>548</v>
      </c>
      <c r="U6717" s="2" t="s">
        <v>4947</v>
      </c>
      <c r="V6717" s="2" t="s">
        <v>47</v>
      </c>
      <c r="W6717" s="2" t="s">
        <v>71</v>
      </c>
      <c r="X6717" s="2">
        <v>154.035</v>
      </c>
    </row>
    <row r="6718" spans="1:24" x14ac:dyDescent="0.3">
      <c r="A6718">
        <v>24535</v>
      </c>
      <c r="B6718" t="s">
        <v>13435</v>
      </c>
      <c r="C6718" s="3">
        <v>41797</v>
      </c>
      <c r="D6718" t="s">
        <v>62</v>
      </c>
      <c r="E6718">
        <v>8</v>
      </c>
      <c r="F6718" s="3">
        <f ca="1">41799+(RANDBETWEEN(1,10))</f>
        <v>41803</v>
      </c>
      <c r="G6718" t="s">
        <v>26</v>
      </c>
      <c r="H6718" t="s">
        <v>27</v>
      </c>
      <c r="I6718" t="s">
        <v>97</v>
      </c>
      <c r="J6718">
        <v>114.485</v>
      </c>
      <c r="K6718">
        <v>7.0000000000000007E-2</v>
      </c>
      <c r="L6718">
        <v>0.6</v>
      </c>
      <c r="M6718">
        <v>24.114999999999998</v>
      </c>
      <c r="N6718">
        <v>-322.58800000000002</v>
      </c>
      <c r="O6718" s="1" t="s">
        <v>225</v>
      </c>
      <c r="P6718" s="1" t="s">
        <v>13433</v>
      </c>
      <c r="Q6718" s="1" t="s">
        <v>13434</v>
      </c>
      <c r="R6718" s="1" t="s">
        <v>228</v>
      </c>
      <c r="S6718" s="1" t="s">
        <v>3009</v>
      </c>
      <c r="T6718" s="1" t="s">
        <v>548</v>
      </c>
      <c r="U6718" s="2" t="s">
        <v>3815</v>
      </c>
      <c r="V6718" s="2" t="s">
        <v>47</v>
      </c>
      <c r="W6718" s="2" t="s">
        <v>71</v>
      </c>
      <c r="X6718" s="2">
        <v>14.21</v>
      </c>
    </row>
    <row r="6719" spans="1:24" x14ac:dyDescent="0.3">
      <c r="A6719">
        <v>24536</v>
      </c>
      <c r="B6719" t="s">
        <v>13435</v>
      </c>
      <c r="C6719" s="3">
        <v>41797</v>
      </c>
      <c r="D6719" t="s">
        <v>62</v>
      </c>
      <c r="E6719">
        <v>4</v>
      </c>
      <c r="F6719" s="3">
        <f ca="1">41798+(RANDBETWEEN(1,10))</f>
        <v>41804</v>
      </c>
      <c r="G6719" t="s">
        <v>26</v>
      </c>
      <c r="H6719" t="s">
        <v>96</v>
      </c>
      <c r="I6719" t="s">
        <v>97</v>
      </c>
      <c r="J6719">
        <v>18.13</v>
      </c>
      <c r="K6719">
        <v>0.1</v>
      </c>
      <c r="L6719">
        <v>0.81</v>
      </c>
      <c r="M6719">
        <v>2.4500000000000002</v>
      </c>
      <c r="N6719">
        <v>-18.984000000000002</v>
      </c>
      <c r="O6719" s="1" t="s">
        <v>225</v>
      </c>
      <c r="P6719" s="1" t="s">
        <v>13433</v>
      </c>
      <c r="Q6719" s="1" t="s">
        <v>13434</v>
      </c>
      <c r="R6719" s="1" t="s">
        <v>228</v>
      </c>
      <c r="S6719" s="1" t="s">
        <v>3009</v>
      </c>
      <c r="T6719" s="1" t="s">
        <v>548</v>
      </c>
      <c r="U6719" s="2" t="s">
        <v>925</v>
      </c>
      <c r="V6719" s="2" t="s">
        <v>47</v>
      </c>
      <c r="W6719" s="2" t="s">
        <v>176</v>
      </c>
      <c r="X6719" s="2">
        <v>4.41</v>
      </c>
    </row>
    <row r="6720" spans="1:24" x14ac:dyDescent="0.3">
      <c r="A6720">
        <v>24537</v>
      </c>
      <c r="B6720" t="s">
        <v>13436</v>
      </c>
      <c r="C6720" s="3">
        <v>41584</v>
      </c>
      <c r="D6720" t="s">
        <v>50</v>
      </c>
      <c r="E6720">
        <v>22</v>
      </c>
      <c r="F6720" s="3">
        <f ca="1">41587+(RANDBETWEEN(1,10))</f>
        <v>41589</v>
      </c>
      <c r="G6720" t="s">
        <v>26</v>
      </c>
      <c r="H6720" t="s">
        <v>51</v>
      </c>
      <c r="I6720" t="s">
        <v>86</v>
      </c>
      <c r="J6720">
        <v>3544.3449999999998</v>
      </c>
      <c r="K6720">
        <v>7.0000000000000007E-2</v>
      </c>
      <c r="L6720">
        <v>0.55000000000000004</v>
      </c>
      <c r="M6720">
        <v>4.375</v>
      </c>
      <c r="N6720">
        <v>2043.5183999999999</v>
      </c>
      <c r="O6720" s="1" t="s">
        <v>64</v>
      </c>
      <c r="P6720" s="1" t="s">
        <v>4313</v>
      </c>
      <c r="Q6720" s="1" t="s">
        <v>4314</v>
      </c>
      <c r="R6720" s="1" t="s">
        <v>67</v>
      </c>
      <c r="S6720" s="1" t="s">
        <v>4315</v>
      </c>
      <c r="T6720" s="1" t="s">
        <v>4316</v>
      </c>
      <c r="U6720" s="2" t="s">
        <v>3075</v>
      </c>
      <c r="V6720" s="2" t="s">
        <v>36</v>
      </c>
      <c r="W6720" s="2" t="s">
        <v>37</v>
      </c>
      <c r="X6720" s="2">
        <v>195.965</v>
      </c>
    </row>
    <row r="6721" spans="1:24" x14ac:dyDescent="0.3">
      <c r="A6721">
        <v>24538</v>
      </c>
      <c r="B6721" t="s">
        <v>13437</v>
      </c>
      <c r="C6721" s="3">
        <v>41979</v>
      </c>
      <c r="D6721" t="s">
        <v>148</v>
      </c>
      <c r="E6721">
        <v>22</v>
      </c>
      <c r="F6721" s="3">
        <f ca="1">41981+(RANDBETWEEN(1,10))</f>
        <v>41983</v>
      </c>
      <c r="G6721" t="s">
        <v>156</v>
      </c>
      <c r="H6721" t="s">
        <v>96</v>
      </c>
      <c r="I6721" t="s">
        <v>97</v>
      </c>
      <c r="J6721">
        <v>5336.5550000000003</v>
      </c>
      <c r="K6721">
        <v>0.05</v>
      </c>
      <c r="L6721">
        <v>0.78</v>
      </c>
      <c r="M6721">
        <v>131.53</v>
      </c>
      <c r="N6721">
        <v>-1018.39248</v>
      </c>
      <c r="O6721" s="1" t="s">
        <v>29</v>
      </c>
      <c r="P6721" s="1" t="s">
        <v>12403</v>
      </c>
      <c r="Q6721" s="1" t="s">
        <v>12404</v>
      </c>
      <c r="R6721" s="1" t="s">
        <v>675</v>
      </c>
      <c r="S6721" s="1" t="s">
        <v>12405</v>
      </c>
      <c r="T6721" s="1" t="s">
        <v>12406</v>
      </c>
      <c r="U6721" s="2" t="s">
        <v>3541</v>
      </c>
      <c r="V6721" s="2" t="s">
        <v>83</v>
      </c>
      <c r="W6721" s="2" t="s">
        <v>178</v>
      </c>
      <c r="X6721" s="2">
        <v>247.48500000000001</v>
      </c>
    </row>
    <row r="6722" spans="1:24" x14ac:dyDescent="0.3">
      <c r="A6722">
        <v>24539</v>
      </c>
      <c r="B6722" t="s">
        <v>13438</v>
      </c>
      <c r="C6722" s="3">
        <v>40883</v>
      </c>
      <c r="D6722" t="s">
        <v>148</v>
      </c>
      <c r="E6722">
        <v>11</v>
      </c>
      <c r="F6722" s="3">
        <f ca="1">40886+(RANDBETWEEN(1,10))</f>
        <v>40893</v>
      </c>
      <c r="G6722" t="s">
        <v>26</v>
      </c>
      <c r="H6722" t="s">
        <v>27</v>
      </c>
      <c r="I6722" t="s">
        <v>97</v>
      </c>
      <c r="J6722">
        <v>796.84500000000003</v>
      </c>
      <c r="K6722">
        <v>0.01</v>
      </c>
      <c r="L6722">
        <v>0.37</v>
      </c>
      <c r="M6722">
        <v>33.39</v>
      </c>
      <c r="N6722">
        <v>300.5625</v>
      </c>
      <c r="O6722" s="1" t="s">
        <v>29</v>
      </c>
      <c r="P6722" s="1" t="s">
        <v>12403</v>
      </c>
      <c r="Q6722" s="1" t="s">
        <v>12404</v>
      </c>
      <c r="R6722" s="1" t="s">
        <v>675</v>
      </c>
      <c r="S6722" s="1" t="s">
        <v>12405</v>
      </c>
      <c r="T6722" s="1" t="s">
        <v>12406</v>
      </c>
      <c r="U6722" s="2" t="s">
        <v>838</v>
      </c>
      <c r="V6722" s="2" t="s">
        <v>47</v>
      </c>
      <c r="W6722" s="2" t="s">
        <v>74</v>
      </c>
      <c r="X6722" s="2">
        <v>66.394999999999996</v>
      </c>
    </row>
    <row r="6723" spans="1:24" x14ac:dyDescent="0.3">
      <c r="A6723">
        <v>24540</v>
      </c>
      <c r="B6723" t="s">
        <v>13439</v>
      </c>
      <c r="C6723" s="3">
        <v>41507</v>
      </c>
      <c r="D6723" t="s">
        <v>25</v>
      </c>
      <c r="E6723">
        <v>1</v>
      </c>
      <c r="F6723" s="3">
        <f ca="1">41516+(RANDBETWEEN(1,10))</f>
        <v>41525</v>
      </c>
      <c r="G6723" t="s">
        <v>26</v>
      </c>
      <c r="H6723" t="s">
        <v>27</v>
      </c>
      <c r="I6723" t="s">
        <v>52</v>
      </c>
      <c r="J6723">
        <v>33.844999999999999</v>
      </c>
      <c r="K6723">
        <v>0.1</v>
      </c>
      <c r="L6723">
        <v>0.39</v>
      </c>
      <c r="M6723">
        <v>21.175000000000001</v>
      </c>
      <c r="N6723">
        <v>-26.162500000000001</v>
      </c>
      <c r="O6723" s="1" t="s">
        <v>40</v>
      </c>
      <c r="P6723" s="1" t="s">
        <v>13440</v>
      </c>
      <c r="Q6723" s="1" t="s">
        <v>13441</v>
      </c>
      <c r="R6723" s="1" t="s">
        <v>43</v>
      </c>
      <c r="S6723" s="1" t="s">
        <v>5804</v>
      </c>
      <c r="T6723" s="1" t="s">
        <v>5805</v>
      </c>
      <c r="U6723" s="2" t="s">
        <v>2669</v>
      </c>
      <c r="V6723" s="2" t="s">
        <v>47</v>
      </c>
      <c r="W6723" s="2" t="s">
        <v>111</v>
      </c>
      <c r="X6723" s="2">
        <v>24.85</v>
      </c>
    </row>
    <row r="6724" spans="1:24" x14ac:dyDescent="0.3">
      <c r="A6724">
        <v>24541</v>
      </c>
      <c r="B6724" t="s">
        <v>13439</v>
      </c>
      <c r="C6724" s="3">
        <v>41507</v>
      </c>
      <c r="D6724" t="s">
        <v>25</v>
      </c>
      <c r="E6724">
        <v>8</v>
      </c>
      <c r="F6724" s="3">
        <f ca="1">41512+(RANDBETWEEN(1,10))</f>
        <v>41522</v>
      </c>
      <c r="G6724" t="s">
        <v>26</v>
      </c>
      <c r="H6724" t="s">
        <v>27</v>
      </c>
      <c r="I6724" t="s">
        <v>52</v>
      </c>
      <c r="J6724">
        <v>5047.665</v>
      </c>
      <c r="K6724">
        <v>0.01</v>
      </c>
      <c r="L6724">
        <v>0.57999999999999996</v>
      </c>
      <c r="M6724">
        <v>9.7650000000000006</v>
      </c>
      <c r="N6724">
        <v>2317.20048</v>
      </c>
      <c r="O6724" s="1" t="s">
        <v>87</v>
      </c>
      <c r="P6724" s="1" t="s">
        <v>13442</v>
      </c>
      <c r="Q6724" s="1" t="s">
        <v>13443</v>
      </c>
      <c r="R6724" s="1" t="s">
        <v>497</v>
      </c>
      <c r="S6724" s="1" t="s">
        <v>13361</v>
      </c>
      <c r="T6724" s="1" t="s">
        <v>13362</v>
      </c>
      <c r="U6724" s="2" t="s">
        <v>13444</v>
      </c>
      <c r="V6724" s="2" t="s">
        <v>36</v>
      </c>
      <c r="W6724" s="2" t="s">
        <v>37</v>
      </c>
      <c r="X6724" s="2">
        <v>720.96500000000003</v>
      </c>
    </row>
    <row r="6725" spans="1:24" x14ac:dyDescent="0.3">
      <c r="A6725">
        <v>24542</v>
      </c>
      <c r="B6725" t="s">
        <v>13439</v>
      </c>
      <c r="C6725" s="3">
        <v>41507</v>
      </c>
      <c r="D6725" t="s">
        <v>25</v>
      </c>
      <c r="E6725">
        <v>11</v>
      </c>
      <c r="F6725" s="3">
        <f ca="1">41507+(RANDBETWEEN(1,10))</f>
        <v>41511</v>
      </c>
      <c r="G6725" t="s">
        <v>26</v>
      </c>
      <c r="H6725" t="s">
        <v>27</v>
      </c>
      <c r="I6725" t="s">
        <v>52</v>
      </c>
      <c r="J6725">
        <v>141.4</v>
      </c>
      <c r="K6725">
        <v>0.06</v>
      </c>
      <c r="L6725">
        <v>0.38</v>
      </c>
      <c r="M6725">
        <v>5.2149999999999999</v>
      </c>
      <c r="N6725">
        <v>41.344169999999998</v>
      </c>
      <c r="O6725" s="1" t="s">
        <v>87</v>
      </c>
      <c r="P6725" s="1" t="s">
        <v>13445</v>
      </c>
      <c r="Q6725" s="1" t="s">
        <v>13446</v>
      </c>
      <c r="R6725" s="1" t="s">
        <v>90</v>
      </c>
      <c r="S6725" s="1" t="s">
        <v>7202</v>
      </c>
      <c r="T6725" s="1" t="s">
        <v>7203</v>
      </c>
      <c r="U6725" s="2" t="s">
        <v>1763</v>
      </c>
      <c r="V6725" s="2" t="s">
        <v>47</v>
      </c>
      <c r="W6725" s="2" t="s">
        <v>111</v>
      </c>
      <c r="X6725" s="2">
        <v>13.3</v>
      </c>
    </row>
    <row r="6726" spans="1:24" x14ac:dyDescent="0.3">
      <c r="A6726">
        <v>24543</v>
      </c>
      <c r="B6726" t="s">
        <v>13439</v>
      </c>
      <c r="C6726" s="3">
        <v>41507</v>
      </c>
      <c r="D6726" t="s">
        <v>25</v>
      </c>
      <c r="E6726">
        <v>19</v>
      </c>
      <c r="F6726" s="3">
        <f ca="1">41514+(RANDBETWEEN(1,10))</f>
        <v>41520</v>
      </c>
      <c r="G6726" t="s">
        <v>26</v>
      </c>
      <c r="H6726" t="s">
        <v>63</v>
      </c>
      <c r="I6726" t="s">
        <v>52</v>
      </c>
      <c r="J6726">
        <v>7180.2849999999999</v>
      </c>
      <c r="K6726">
        <v>7.0000000000000007E-2</v>
      </c>
      <c r="L6726">
        <v>0.63</v>
      </c>
      <c r="M6726">
        <v>241.5</v>
      </c>
      <c r="N6726">
        <v>-492.44419210000001</v>
      </c>
      <c r="O6726" s="1" t="s">
        <v>64</v>
      </c>
      <c r="P6726" s="1" t="s">
        <v>13447</v>
      </c>
      <c r="Q6726" s="1" t="s">
        <v>13448</v>
      </c>
      <c r="R6726" s="1" t="s">
        <v>128</v>
      </c>
      <c r="S6726" s="1" t="s">
        <v>13449</v>
      </c>
      <c r="T6726" s="1" t="s">
        <v>13450</v>
      </c>
      <c r="U6726" s="2" t="s">
        <v>6044</v>
      </c>
      <c r="V6726" s="2" t="s">
        <v>83</v>
      </c>
      <c r="W6726" s="2" t="s">
        <v>263</v>
      </c>
      <c r="X6726" s="2">
        <v>391.86</v>
      </c>
    </row>
    <row r="6727" spans="1:24" x14ac:dyDescent="0.3">
      <c r="A6727">
        <v>24544</v>
      </c>
      <c r="B6727" t="s">
        <v>13451</v>
      </c>
      <c r="C6727" s="3">
        <v>41919</v>
      </c>
      <c r="D6727" t="s">
        <v>39</v>
      </c>
      <c r="E6727">
        <v>2</v>
      </c>
      <c r="F6727" s="3">
        <f ca="1">41920+(RANDBETWEEN(1,10))</f>
        <v>41928</v>
      </c>
      <c r="G6727" t="s">
        <v>26</v>
      </c>
      <c r="H6727" t="s">
        <v>281</v>
      </c>
      <c r="I6727" t="s">
        <v>86</v>
      </c>
      <c r="J6727">
        <v>502.21499999999997</v>
      </c>
      <c r="K6727">
        <v>0.04</v>
      </c>
      <c r="L6727">
        <v>0.72</v>
      </c>
      <c r="M6727">
        <v>182.7</v>
      </c>
      <c r="N6727">
        <v>174.16</v>
      </c>
      <c r="O6727" s="1" t="s">
        <v>87</v>
      </c>
      <c r="P6727" s="1" t="s">
        <v>9460</v>
      </c>
      <c r="Q6727" s="1" t="s">
        <v>9461</v>
      </c>
      <c r="R6727" s="1" t="s">
        <v>90</v>
      </c>
      <c r="S6727" s="1" t="s">
        <v>9462</v>
      </c>
      <c r="T6727" s="1" t="s">
        <v>9463</v>
      </c>
      <c r="U6727" s="2" t="s">
        <v>7095</v>
      </c>
      <c r="V6727" s="2" t="s">
        <v>83</v>
      </c>
      <c r="W6727" s="2" t="s">
        <v>178</v>
      </c>
      <c r="X6727" s="2">
        <v>194.25</v>
      </c>
    </row>
    <row r="6728" spans="1:24" x14ac:dyDescent="0.3">
      <c r="A6728">
        <v>24545</v>
      </c>
      <c r="B6728" t="s">
        <v>13452</v>
      </c>
      <c r="C6728" s="3">
        <v>40823</v>
      </c>
      <c r="D6728" t="s">
        <v>39</v>
      </c>
      <c r="E6728">
        <v>5</v>
      </c>
      <c r="F6728" s="3">
        <f ca="1">40825+(RANDBETWEEN(1,10))</f>
        <v>40833</v>
      </c>
      <c r="G6728" t="s">
        <v>156</v>
      </c>
      <c r="H6728" t="s">
        <v>27</v>
      </c>
      <c r="I6728" t="s">
        <v>86</v>
      </c>
      <c r="J6728">
        <v>955.01</v>
      </c>
      <c r="K6728">
        <v>0.1</v>
      </c>
      <c r="L6728">
        <v>0.59</v>
      </c>
      <c r="M6728">
        <v>13.965</v>
      </c>
      <c r="N6728">
        <v>-310.18680000000001</v>
      </c>
      <c r="O6728" s="1" t="s">
        <v>87</v>
      </c>
      <c r="P6728" s="1" t="s">
        <v>9460</v>
      </c>
      <c r="Q6728" s="1" t="s">
        <v>9461</v>
      </c>
      <c r="R6728" s="1" t="s">
        <v>90</v>
      </c>
      <c r="S6728" s="1" t="s">
        <v>9462</v>
      </c>
      <c r="T6728" s="1" t="s">
        <v>9463</v>
      </c>
      <c r="U6728" s="2" t="s">
        <v>1991</v>
      </c>
      <c r="V6728" s="2" t="s">
        <v>36</v>
      </c>
      <c r="W6728" s="2" t="s">
        <v>37</v>
      </c>
      <c r="X6728" s="2">
        <v>230.965</v>
      </c>
    </row>
    <row r="6729" spans="1:24" x14ac:dyDescent="0.3">
      <c r="A6729">
        <v>24546</v>
      </c>
      <c r="B6729" t="s">
        <v>13453</v>
      </c>
      <c r="C6729" s="3">
        <v>41915</v>
      </c>
      <c r="D6729" t="s">
        <v>39</v>
      </c>
      <c r="E6729">
        <v>7</v>
      </c>
      <c r="F6729" s="3">
        <f ca="1">41917+(RANDBETWEEN(1,10))</f>
        <v>41924</v>
      </c>
      <c r="G6729" t="s">
        <v>26</v>
      </c>
      <c r="H6729" t="s">
        <v>27</v>
      </c>
      <c r="I6729" t="s">
        <v>52</v>
      </c>
      <c r="J6729">
        <v>2527.84</v>
      </c>
      <c r="K6729">
        <v>0.05</v>
      </c>
      <c r="L6729">
        <v>0.52</v>
      </c>
      <c r="M6729">
        <v>69.965000000000003</v>
      </c>
      <c r="N6729">
        <v>19.425000000000001</v>
      </c>
      <c r="O6729" s="1" t="s">
        <v>29</v>
      </c>
      <c r="P6729" s="1" t="s">
        <v>13454</v>
      </c>
      <c r="Q6729" s="1" t="s">
        <v>13455</v>
      </c>
      <c r="R6729" s="1" t="s">
        <v>32</v>
      </c>
      <c r="S6729" s="1" t="s">
        <v>3276</v>
      </c>
      <c r="T6729" s="1" t="s">
        <v>3277</v>
      </c>
      <c r="U6729" s="2" t="s">
        <v>4088</v>
      </c>
      <c r="V6729" s="2" t="s">
        <v>36</v>
      </c>
      <c r="W6729" s="2" t="s">
        <v>142</v>
      </c>
      <c r="X6729" s="2">
        <v>349.96499999999997</v>
      </c>
    </row>
    <row r="6730" spans="1:24" x14ac:dyDescent="0.3">
      <c r="A6730">
        <v>24547</v>
      </c>
      <c r="B6730" t="s">
        <v>13456</v>
      </c>
      <c r="C6730" s="3">
        <v>41317</v>
      </c>
      <c r="D6730" t="s">
        <v>50</v>
      </c>
      <c r="E6730">
        <v>10</v>
      </c>
      <c r="F6730" s="3">
        <f ca="1">41319+(RANDBETWEEN(1,10))</f>
        <v>41326</v>
      </c>
      <c r="G6730" t="s">
        <v>76</v>
      </c>
      <c r="H6730" t="s">
        <v>258</v>
      </c>
      <c r="I6730" t="s">
        <v>97</v>
      </c>
      <c r="J6730">
        <v>5407.8850000000002</v>
      </c>
      <c r="K6730">
        <v>0.01</v>
      </c>
      <c r="L6730">
        <v>0.69</v>
      </c>
      <c r="M6730">
        <v>161.69999999999999</v>
      </c>
      <c r="N6730">
        <v>-1234.764531</v>
      </c>
      <c r="O6730" s="1" t="s">
        <v>225</v>
      </c>
      <c r="P6730" s="1" t="s">
        <v>12982</v>
      </c>
      <c r="Q6730" s="1" t="s">
        <v>12983</v>
      </c>
      <c r="R6730" s="1" t="s">
        <v>391</v>
      </c>
      <c r="S6730" s="1" t="s">
        <v>2934</v>
      </c>
      <c r="T6730" s="1" t="s">
        <v>2935</v>
      </c>
      <c r="U6730" s="2" t="s">
        <v>2661</v>
      </c>
      <c r="V6730" s="2" t="s">
        <v>83</v>
      </c>
      <c r="W6730" s="2" t="s">
        <v>263</v>
      </c>
      <c r="X6730" s="2">
        <v>510.93</v>
      </c>
    </row>
    <row r="6731" spans="1:24" x14ac:dyDescent="0.3">
      <c r="A6731">
        <v>24548</v>
      </c>
      <c r="B6731" t="s">
        <v>13457</v>
      </c>
      <c r="C6731" s="3">
        <v>41447</v>
      </c>
      <c r="D6731" t="s">
        <v>50</v>
      </c>
      <c r="E6731">
        <v>7</v>
      </c>
      <c r="F6731" s="3">
        <f ca="1">41447+(RANDBETWEEN(1,10))</f>
        <v>41451</v>
      </c>
      <c r="G6731" t="s">
        <v>156</v>
      </c>
      <c r="H6731" t="s">
        <v>63</v>
      </c>
      <c r="I6731" t="s">
        <v>97</v>
      </c>
      <c r="J6731">
        <v>7183.5050000000001</v>
      </c>
      <c r="K6731">
        <v>0.05</v>
      </c>
      <c r="L6731">
        <v>0.52</v>
      </c>
      <c r="M6731">
        <v>85.715000000000003</v>
      </c>
      <c r="N6731">
        <v>-455.47705000000002</v>
      </c>
      <c r="O6731" s="1" t="s">
        <v>64</v>
      </c>
      <c r="P6731" s="1" t="s">
        <v>12942</v>
      </c>
      <c r="Q6731" s="1" t="s">
        <v>12943</v>
      </c>
      <c r="R6731" s="1" t="s">
        <v>67</v>
      </c>
      <c r="S6731" s="1" t="s">
        <v>12944</v>
      </c>
      <c r="T6731" s="1" t="s">
        <v>12945</v>
      </c>
      <c r="U6731" s="2" t="s">
        <v>70</v>
      </c>
      <c r="V6731" s="2" t="s">
        <v>47</v>
      </c>
      <c r="W6731" s="2" t="s">
        <v>71</v>
      </c>
      <c r="X6731" s="2">
        <v>1052.2750000000001</v>
      </c>
    </row>
    <row r="6732" spans="1:24" x14ac:dyDescent="0.3">
      <c r="A6732">
        <v>24549</v>
      </c>
      <c r="B6732" t="s">
        <v>13457</v>
      </c>
      <c r="C6732" s="3">
        <v>41447</v>
      </c>
      <c r="D6732" t="s">
        <v>50</v>
      </c>
      <c r="E6732">
        <v>21</v>
      </c>
      <c r="F6732" s="3">
        <f ca="1">41448+(RANDBETWEEN(1,10))</f>
        <v>41453</v>
      </c>
      <c r="G6732" t="s">
        <v>26</v>
      </c>
      <c r="H6732" t="s">
        <v>51</v>
      </c>
      <c r="I6732" t="s">
        <v>97</v>
      </c>
      <c r="J6732">
        <v>1182.0899999999999</v>
      </c>
      <c r="K6732">
        <v>0.1</v>
      </c>
      <c r="L6732">
        <v>0.47</v>
      </c>
      <c r="M6732">
        <v>31.465</v>
      </c>
      <c r="N6732">
        <v>-801.29700000000003</v>
      </c>
      <c r="O6732" s="1" t="s">
        <v>64</v>
      </c>
      <c r="P6732" s="1" t="s">
        <v>12942</v>
      </c>
      <c r="Q6732" s="1" t="s">
        <v>12943</v>
      </c>
      <c r="R6732" s="1" t="s">
        <v>67</v>
      </c>
      <c r="S6732" s="1" t="s">
        <v>12944</v>
      </c>
      <c r="T6732" s="1" t="s">
        <v>12945</v>
      </c>
      <c r="U6732" s="2" t="s">
        <v>1320</v>
      </c>
      <c r="V6732" s="2" t="s">
        <v>83</v>
      </c>
      <c r="W6732" s="2" t="s">
        <v>178</v>
      </c>
      <c r="X6732" s="2">
        <v>61.844999999999999</v>
      </c>
    </row>
    <row r="6733" spans="1:24" x14ac:dyDescent="0.3">
      <c r="A6733">
        <v>24550</v>
      </c>
      <c r="B6733" t="s">
        <v>13457</v>
      </c>
      <c r="C6733" s="3">
        <v>41447</v>
      </c>
      <c r="D6733" t="s">
        <v>50</v>
      </c>
      <c r="E6733">
        <v>3</v>
      </c>
      <c r="F6733" s="3">
        <f ca="1">41449+(RANDBETWEEN(1,10))</f>
        <v>41459</v>
      </c>
      <c r="G6733" t="s">
        <v>26</v>
      </c>
      <c r="H6733" t="s">
        <v>63</v>
      </c>
      <c r="I6733" t="s">
        <v>97</v>
      </c>
      <c r="J6733">
        <v>744.87</v>
      </c>
      <c r="K6733">
        <v>0.01</v>
      </c>
      <c r="L6733">
        <v>0.8</v>
      </c>
      <c r="M6733">
        <v>122.5</v>
      </c>
      <c r="N6733">
        <v>-1645.2729999999999</v>
      </c>
      <c r="O6733" s="1" t="s">
        <v>64</v>
      </c>
      <c r="P6733" s="1" t="s">
        <v>12942</v>
      </c>
      <c r="Q6733" s="1" t="s">
        <v>12943</v>
      </c>
      <c r="R6733" s="1" t="s">
        <v>67</v>
      </c>
      <c r="S6733" s="1" t="s">
        <v>12944</v>
      </c>
      <c r="T6733" s="1" t="s">
        <v>12945</v>
      </c>
      <c r="U6733" s="2" t="s">
        <v>3893</v>
      </c>
      <c r="V6733" s="2" t="s">
        <v>47</v>
      </c>
      <c r="W6733" s="2" t="s">
        <v>119</v>
      </c>
      <c r="X6733" s="2">
        <v>226.27500000000001</v>
      </c>
    </row>
    <row r="6734" spans="1:24" x14ac:dyDescent="0.3">
      <c r="A6734">
        <v>24551</v>
      </c>
      <c r="B6734" t="s">
        <v>13458</v>
      </c>
      <c r="C6734" s="3">
        <v>41738</v>
      </c>
      <c r="D6734" t="s">
        <v>148</v>
      </c>
      <c r="E6734">
        <v>12</v>
      </c>
      <c r="F6734" s="3">
        <f ca="1">41739+(RANDBETWEEN(1,10))</f>
        <v>41745</v>
      </c>
      <c r="G6734" t="s">
        <v>26</v>
      </c>
      <c r="H6734" t="s">
        <v>51</v>
      </c>
      <c r="I6734" t="s">
        <v>97</v>
      </c>
      <c r="J6734">
        <v>1315.44</v>
      </c>
      <c r="K6734">
        <v>7.0000000000000007E-2</v>
      </c>
      <c r="L6734">
        <v>0.64</v>
      </c>
      <c r="M6734">
        <v>12.6</v>
      </c>
      <c r="N6734">
        <v>903.875</v>
      </c>
      <c r="O6734" s="1" t="s">
        <v>225</v>
      </c>
      <c r="P6734" s="1" t="s">
        <v>11322</v>
      </c>
      <c r="Q6734" s="1" t="s">
        <v>11323</v>
      </c>
      <c r="R6734" s="1" t="s">
        <v>228</v>
      </c>
      <c r="S6734" s="1" t="s">
        <v>11324</v>
      </c>
      <c r="T6734" s="1" t="s">
        <v>1880</v>
      </c>
      <c r="U6734" s="2" t="s">
        <v>3560</v>
      </c>
      <c r="V6734" s="2" t="s">
        <v>36</v>
      </c>
      <c r="W6734" s="2" t="s">
        <v>60</v>
      </c>
      <c r="X6734" s="2">
        <v>108.88500000000001</v>
      </c>
    </row>
    <row r="6735" spans="1:24" x14ac:dyDescent="0.3">
      <c r="A6735">
        <v>24552</v>
      </c>
      <c r="B6735" t="s">
        <v>13459</v>
      </c>
      <c r="C6735" s="3">
        <v>40908</v>
      </c>
      <c r="D6735" t="s">
        <v>50</v>
      </c>
      <c r="E6735">
        <v>22</v>
      </c>
      <c r="F6735" s="3">
        <f ca="1">40908+(RANDBETWEEN(1,10))</f>
        <v>40917</v>
      </c>
      <c r="G6735" t="s">
        <v>26</v>
      </c>
      <c r="H6735" t="s">
        <v>27</v>
      </c>
      <c r="I6735" t="s">
        <v>52</v>
      </c>
      <c r="J6735">
        <v>13461.21</v>
      </c>
      <c r="K6735">
        <v>0.01</v>
      </c>
      <c r="L6735">
        <v>0.6</v>
      </c>
      <c r="M6735">
        <v>31.465</v>
      </c>
      <c r="N6735">
        <v>9288.2348999999995</v>
      </c>
      <c r="O6735" s="1" t="s">
        <v>87</v>
      </c>
      <c r="P6735" s="1" t="s">
        <v>10563</v>
      </c>
      <c r="Q6735" s="1" t="s">
        <v>10564</v>
      </c>
      <c r="R6735" s="1" t="s">
        <v>90</v>
      </c>
      <c r="S6735" s="1" t="s">
        <v>10565</v>
      </c>
      <c r="T6735" s="1" t="s">
        <v>10566</v>
      </c>
      <c r="U6735" s="2" t="s">
        <v>1123</v>
      </c>
      <c r="V6735" s="2" t="s">
        <v>36</v>
      </c>
      <c r="W6735" s="2" t="s">
        <v>37</v>
      </c>
      <c r="X6735" s="2">
        <v>685.96500000000003</v>
      </c>
    </row>
    <row r="6736" spans="1:24" x14ac:dyDescent="0.3">
      <c r="A6736">
        <v>24553</v>
      </c>
      <c r="B6736" t="s">
        <v>13460</v>
      </c>
      <c r="C6736" s="3">
        <v>42004</v>
      </c>
      <c r="D6736" t="s">
        <v>50</v>
      </c>
      <c r="E6736">
        <v>5</v>
      </c>
      <c r="F6736" s="3">
        <f ca="1">41641+(RANDBETWEEN(1,10))</f>
        <v>41647</v>
      </c>
      <c r="G6736" t="s">
        <v>26</v>
      </c>
      <c r="H6736" t="s">
        <v>27</v>
      </c>
      <c r="I6736" t="s">
        <v>52</v>
      </c>
      <c r="J6736">
        <v>228.13</v>
      </c>
      <c r="K6736">
        <v>0.06</v>
      </c>
      <c r="L6736">
        <v>0.4</v>
      </c>
      <c r="M6736">
        <v>17.43</v>
      </c>
      <c r="N6736">
        <v>14.158144</v>
      </c>
      <c r="O6736" s="1" t="s">
        <v>40</v>
      </c>
      <c r="P6736" s="1" t="s">
        <v>13461</v>
      </c>
      <c r="Q6736" s="1" t="s">
        <v>13462</v>
      </c>
      <c r="R6736" s="1" t="s">
        <v>220</v>
      </c>
      <c r="S6736" s="1" t="s">
        <v>7522</v>
      </c>
      <c r="T6736" s="1" t="s">
        <v>13463</v>
      </c>
      <c r="U6736" s="2" t="s">
        <v>856</v>
      </c>
      <c r="V6736" s="2" t="s">
        <v>47</v>
      </c>
      <c r="W6736" s="2" t="s">
        <v>111</v>
      </c>
      <c r="X6736" s="2">
        <v>45.325000000000003</v>
      </c>
    </row>
    <row r="6737" spans="1:24" x14ac:dyDescent="0.3">
      <c r="A6737">
        <v>24554</v>
      </c>
      <c r="B6737" t="s">
        <v>13460</v>
      </c>
      <c r="C6737" s="3">
        <v>42004</v>
      </c>
      <c r="D6737" t="s">
        <v>50</v>
      </c>
      <c r="E6737">
        <v>1</v>
      </c>
      <c r="F6737" s="3">
        <f ca="1">41641+(RANDBETWEEN(1,10))</f>
        <v>41649</v>
      </c>
      <c r="G6737" t="s">
        <v>76</v>
      </c>
      <c r="H6737" t="s">
        <v>77</v>
      </c>
      <c r="I6737" t="s">
        <v>52</v>
      </c>
      <c r="J6737">
        <v>701.995</v>
      </c>
      <c r="K6737">
        <v>0</v>
      </c>
      <c r="L6737">
        <v>0.74</v>
      </c>
      <c r="M6737">
        <v>245.7</v>
      </c>
      <c r="N6737">
        <v>-98.348879999999994</v>
      </c>
      <c r="O6737" s="1" t="s">
        <v>40</v>
      </c>
      <c r="P6737" s="1" t="s">
        <v>13461</v>
      </c>
      <c r="Q6737" s="1" t="s">
        <v>13462</v>
      </c>
      <c r="R6737" s="1" t="s">
        <v>220</v>
      </c>
      <c r="S6737" s="1" t="s">
        <v>7522</v>
      </c>
      <c r="T6737" s="1" t="s">
        <v>13463</v>
      </c>
      <c r="U6737" s="2" t="s">
        <v>358</v>
      </c>
      <c r="V6737" s="2" t="s">
        <v>83</v>
      </c>
      <c r="W6737" s="2" t="s">
        <v>84</v>
      </c>
      <c r="X6737" s="2">
        <v>430.46499999999997</v>
      </c>
    </row>
    <row r="6738" spans="1:24" x14ac:dyDescent="0.3">
      <c r="A6738">
        <v>24555</v>
      </c>
      <c r="B6738" t="s">
        <v>13464</v>
      </c>
      <c r="C6738" s="3">
        <v>41165</v>
      </c>
      <c r="D6738" t="s">
        <v>50</v>
      </c>
      <c r="E6738">
        <v>2</v>
      </c>
      <c r="F6738" s="3">
        <f ca="1">41166+(RANDBETWEEN(1,10))</f>
        <v>41173</v>
      </c>
      <c r="G6738" t="s">
        <v>156</v>
      </c>
      <c r="H6738" t="s">
        <v>281</v>
      </c>
      <c r="I6738" t="s">
        <v>86</v>
      </c>
      <c r="J6738">
        <v>497</v>
      </c>
      <c r="K6738">
        <v>0.01</v>
      </c>
      <c r="L6738">
        <v>0.63</v>
      </c>
      <c r="M6738">
        <v>37.94</v>
      </c>
      <c r="N6738">
        <v>342.93</v>
      </c>
      <c r="O6738" s="1" t="s">
        <v>64</v>
      </c>
      <c r="P6738" s="1" t="s">
        <v>11567</v>
      </c>
      <c r="Q6738" s="1" t="s">
        <v>11568</v>
      </c>
      <c r="R6738" s="1" t="s">
        <v>128</v>
      </c>
      <c r="S6738" s="1" t="s">
        <v>11569</v>
      </c>
      <c r="T6738" s="1" t="s">
        <v>11570</v>
      </c>
      <c r="U6738" s="2" t="s">
        <v>6655</v>
      </c>
      <c r="V6738" s="2" t="s">
        <v>83</v>
      </c>
      <c r="W6738" s="2" t="s">
        <v>178</v>
      </c>
      <c r="X6738" s="2">
        <v>217.63</v>
      </c>
    </row>
    <row r="6739" spans="1:24" x14ac:dyDescent="0.3">
      <c r="A6739">
        <v>24556</v>
      </c>
      <c r="B6739" t="s">
        <v>13465</v>
      </c>
      <c r="C6739" s="3">
        <v>41025</v>
      </c>
      <c r="D6739" t="s">
        <v>50</v>
      </c>
      <c r="E6739">
        <v>7</v>
      </c>
      <c r="F6739" s="3">
        <f ca="1">41026+(RANDBETWEEN(1,10))</f>
        <v>41029</v>
      </c>
      <c r="G6739" t="s">
        <v>26</v>
      </c>
      <c r="H6739" t="s">
        <v>27</v>
      </c>
      <c r="I6739" t="s">
        <v>97</v>
      </c>
      <c r="J6739">
        <v>96.424999999999997</v>
      </c>
      <c r="K6739">
        <v>7.0000000000000007E-2</v>
      </c>
      <c r="L6739">
        <v>0.39</v>
      </c>
      <c r="M6739">
        <v>1.75</v>
      </c>
      <c r="N6739">
        <v>-464.42200000000003</v>
      </c>
      <c r="O6739" s="1" t="s">
        <v>40</v>
      </c>
      <c r="P6739" s="1" t="s">
        <v>8516</v>
      </c>
      <c r="Q6739" s="1" t="s">
        <v>8517</v>
      </c>
      <c r="R6739" s="1" t="s">
        <v>43</v>
      </c>
      <c r="S6739" s="1" t="s">
        <v>8518</v>
      </c>
      <c r="T6739" s="1" t="s">
        <v>8519</v>
      </c>
      <c r="U6739" s="2" t="s">
        <v>1889</v>
      </c>
      <c r="V6739" s="2" t="s">
        <v>47</v>
      </c>
      <c r="W6739" s="2" t="s">
        <v>203</v>
      </c>
      <c r="X6739" s="2">
        <v>14.455</v>
      </c>
    </row>
    <row r="6740" spans="1:24" x14ac:dyDescent="0.3">
      <c r="A6740">
        <v>24557</v>
      </c>
      <c r="B6740" t="s">
        <v>13465</v>
      </c>
      <c r="C6740" s="3">
        <v>41025</v>
      </c>
      <c r="D6740" t="s">
        <v>50</v>
      </c>
      <c r="E6740">
        <v>3</v>
      </c>
      <c r="F6740" s="3">
        <f ca="1">41027+(RANDBETWEEN(1,10))</f>
        <v>41030</v>
      </c>
      <c r="G6740" t="s">
        <v>26</v>
      </c>
      <c r="H6740" t="s">
        <v>27</v>
      </c>
      <c r="I6740" t="s">
        <v>97</v>
      </c>
      <c r="J6740">
        <v>48.02</v>
      </c>
      <c r="K6740">
        <v>0.09</v>
      </c>
      <c r="L6740">
        <v>0.4</v>
      </c>
      <c r="M6740">
        <v>23.52</v>
      </c>
      <c r="N6740">
        <v>2.4569999999999999</v>
      </c>
      <c r="O6740" s="1" t="s">
        <v>53</v>
      </c>
      <c r="P6740" s="1" t="s">
        <v>13466</v>
      </c>
      <c r="Q6740" s="1" t="s">
        <v>13467</v>
      </c>
      <c r="R6740" s="1" t="s">
        <v>100</v>
      </c>
      <c r="S6740" s="1" t="s">
        <v>2549</v>
      </c>
      <c r="T6740" s="1" t="s">
        <v>2550</v>
      </c>
      <c r="U6740" s="2" t="s">
        <v>2298</v>
      </c>
      <c r="V6740" s="2" t="s">
        <v>47</v>
      </c>
      <c r="W6740" s="2" t="s">
        <v>74</v>
      </c>
      <c r="X6740" s="2">
        <v>14.98</v>
      </c>
    </row>
    <row r="6741" spans="1:24" x14ac:dyDescent="0.3">
      <c r="A6741">
        <v>24558</v>
      </c>
      <c r="B6741" t="s">
        <v>13468</v>
      </c>
      <c r="C6741" s="3">
        <v>41817</v>
      </c>
      <c r="D6741" t="s">
        <v>25</v>
      </c>
      <c r="E6741">
        <v>3</v>
      </c>
      <c r="F6741" s="3">
        <f ca="1">41821+(RANDBETWEEN(1,10))</f>
        <v>41825</v>
      </c>
      <c r="G6741" t="s">
        <v>76</v>
      </c>
      <c r="H6741" t="s">
        <v>77</v>
      </c>
      <c r="I6741" t="s">
        <v>97</v>
      </c>
      <c r="J6741">
        <v>1084.0899999999999</v>
      </c>
      <c r="K6741">
        <v>0.01</v>
      </c>
      <c r="L6741">
        <v>0.57999999999999996</v>
      </c>
      <c r="M6741">
        <v>203.7</v>
      </c>
      <c r="N6741">
        <v>-775.46</v>
      </c>
      <c r="O6741" s="1" t="s">
        <v>29</v>
      </c>
      <c r="P6741" s="1" t="s">
        <v>7734</v>
      </c>
      <c r="Q6741" s="1" t="s">
        <v>7735</v>
      </c>
      <c r="R6741" s="1" t="s">
        <v>675</v>
      </c>
      <c r="S6741" s="1" t="s">
        <v>7736</v>
      </c>
      <c r="T6741" s="1" t="s">
        <v>7737</v>
      </c>
      <c r="U6741" s="2" t="s">
        <v>82</v>
      </c>
      <c r="V6741" s="2" t="s">
        <v>83</v>
      </c>
      <c r="W6741" s="2" t="s">
        <v>84</v>
      </c>
      <c r="X6741" s="2">
        <v>335.93</v>
      </c>
    </row>
    <row r="6742" spans="1:24" x14ac:dyDescent="0.3">
      <c r="A6742">
        <v>24559</v>
      </c>
      <c r="B6742" t="s">
        <v>13469</v>
      </c>
      <c r="C6742" s="3">
        <v>40705</v>
      </c>
      <c r="D6742" t="s">
        <v>62</v>
      </c>
      <c r="E6742">
        <v>1</v>
      </c>
      <c r="F6742" s="3">
        <f ca="1">40706+(RANDBETWEEN(1,10))</f>
        <v>40709</v>
      </c>
      <c r="G6742" t="s">
        <v>26</v>
      </c>
      <c r="H6742" t="s">
        <v>27</v>
      </c>
      <c r="I6742" t="s">
        <v>97</v>
      </c>
      <c r="J6742">
        <v>25.024999999999999</v>
      </c>
      <c r="K6742">
        <v>0.05</v>
      </c>
      <c r="L6742">
        <v>0.4</v>
      </c>
      <c r="M6742">
        <v>21.91</v>
      </c>
      <c r="N6742">
        <v>-39.816000000000003</v>
      </c>
      <c r="O6742" s="1" t="s">
        <v>29</v>
      </c>
      <c r="P6742" s="1" t="s">
        <v>13470</v>
      </c>
      <c r="Q6742" s="1" t="s">
        <v>13471</v>
      </c>
      <c r="R6742" s="1" t="s">
        <v>32</v>
      </c>
      <c r="S6742" s="1" t="s">
        <v>13472</v>
      </c>
      <c r="T6742" s="1" t="s">
        <v>1896</v>
      </c>
      <c r="U6742" s="2" t="s">
        <v>817</v>
      </c>
      <c r="V6742" s="2" t="s">
        <v>47</v>
      </c>
      <c r="W6742" s="2" t="s">
        <v>74</v>
      </c>
      <c r="X6742" s="2">
        <v>18.48</v>
      </c>
    </row>
    <row r="6743" spans="1:24" x14ac:dyDescent="0.3">
      <c r="A6743">
        <v>24560</v>
      </c>
      <c r="B6743" t="s">
        <v>13473</v>
      </c>
      <c r="C6743" s="3">
        <v>41801</v>
      </c>
      <c r="D6743" t="s">
        <v>62</v>
      </c>
      <c r="E6743">
        <v>9</v>
      </c>
      <c r="F6743" s="3">
        <f ca="1">41802+(RANDBETWEEN(1,10))</f>
        <v>41808</v>
      </c>
      <c r="G6743" t="s">
        <v>26</v>
      </c>
      <c r="H6743" t="s">
        <v>27</v>
      </c>
      <c r="I6743" t="s">
        <v>97</v>
      </c>
      <c r="J6743">
        <v>1822.59</v>
      </c>
      <c r="K6743">
        <v>0.03</v>
      </c>
      <c r="L6743">
        <v>0.56000000000000005</v>
      </c>
      <c r="M6743">
        <v>18.41</v>
      </c>
      <c r="N6743">
        <v>1098.3924</v>
      </c>
      <c r="O6743" s="1" t="s">
        <v>29</v>
      </c>
      <c r="P6743" s="1" t="s">
        <v>13470</v>
      </c>
      <c r="Q6743" s="1" t="s">
        <v>13471</v>
      </c>
      <c r="R6743" s="1" t="s">
        <v>32</v>
      </c>
      <c r="S6743" s="1" t="s">
        <v>13472</v>
      </c>
      <c r="T6743" s="1" t="s">
        <v>1896</v>
      </c>
      <c r="U6743" s="2">
        <v>8860</v>
      </c>
      <c r="V6743" s="2" t="s">
        <v>36</v>
      </c>
      <c r="W6743" s="2" t="s">
        <v>37</v>
      </c>
      <c r="X6743" s="2">
        <v>230.965</v>
      </c>
    </row>
    <row r="6744" spans="1:24" x14ac:dyDescent="0.3">
      <c r="A6744">
        <v>24561</v>
      </c>
      <c r="B6744" t="s">
        <v>13474</v>
      </c>
      <c r="C6744" s="3">
        <v>41709</v>
      </c>
      <c r="D6744" t="s">
        <v>50</v>
      </c>
      <c r="E6744">
        <v>10</v>
      </c>
      <c r="F6744" s="3">
        <f ca="1">41711+(RANDBETWEEN(1,10))</f>
        <v>41716</v>
      </c>
      <c r="G6744" t="s">
        <v>26</v>
      </c>
      <c r="H6744" t="s">
        <v>27</v>
      </c>
      <c r="I6744" t="s">
        <v>28</v>
      </c>
      <c r="J6744">
        <v>835.38</v>
      </c>
      <c r="K6744">
        <v>0.05</v>
      </c>
      <c r="L6744">
        <v>0.39</v>
      </c>
      <c r="M6744">
        <v>59.22</v>
      </c>
      <c r="N6744">
        <v>-427.42</v>
      </c>
      <c r="O6744" s="1" t="s">
        <v>64</v>
      </c>
      <c r="P6744" s="1" t="s">
        <v>11448</v>
      </c>
      <c r="Q6744" s="1" t="s">
        <v>11449</v>
      </c>
      <c r="R6744" s="1" t="s">
        <v>67</v>
      </c>
      <c r="S6744" s="1" t="s">
        <v>11450</v>
      </c>
      <c r="T6744" s="1" t="s">
        <v>11451</v>
      </c>
      <c r="U6744" s="2" t="s">
        <v>1248</v>
      </c>
      <c r="V6744" s="2" t="s">
        <v>47</v>
      </c>
      <c r="W6744" s="2" t="s">
        <v>74</v>
      </c>
      <c r="X6744" s="2">
        <v>79.94</v>
      </c>
    </row>
    <row r="6745" spans="1:24" x14ac:dyDescent="0.3">
      <c r="A6745">
        <v>24562</v>
      </c>
      <c r="B6745" t="s">
        <v>13475</v>
      </c>
      <c r="C6745" s="3">
        <v>41836</v>
      </c>
      <c r="D6745" t="s">
        <v>39</v>
      </c>
      <c r="E6745">
        <v>9</v>
      </c>
      <c r="F6745" s="3">
        <f ca="1">41837+(RANDBETWEEN(1,10))</f>
        <v>41841</v>
      </c>
      <c r="G6745" t="s">
        <v>26</v>
      </c>
      <c r="H6745" t="s">
        <v>27</v>
      </c>
      <c r="I6745" t="s">
        <v>28</v>
      </c>
      <c r="J6745">
        <v>742.80499999999995</v>
      </c>
      <c r="K6745">
        <v>0.1</v>
      </c>
      <c r="L6745">
        <v>0.39</v>
      </c>
      <c r="M6745">
        <v>45.43</v>
      </c>
      <c r="N6745">
        <v>-141.267</v>
      </c>
      <c r="O6745" s="1" t="s">
        <v>225</v>
      </c>
      <c r="P6745" s="1" t="s">
        <v>10943</v>
      </c>
      <c r="Q6745" s="1" t="s">
        <v>10944</v>
      </c>
      <c r="R6745" s="1" t="s">
        <v>228</v>
      </c>
      <c r="S6745" s="1" t="s">
        <v>1949</v>
      </c>
      <c r="T6745" s="1" t="s">
        <v>1950</v>
      </c>
      <c r="U6745" s="2" t="s">
        <v>559</v>
      </c>
      <c r="V6745" s="2" t="s">
        <v>47</v>
      </c>
      <c r="W6745" s="2" t="s">
        <v>111</v>
      </c>
      <c r="X6745" s="2">
        <v>87.22</v>
      </c>
    </row>
    <row r="6746" spans="1:24" x14ac:dyDescent="0.3">
      <c r="A6746">
        <v>24563</v>
      </c>
      <c r="B6746" t="s">
        <v>13476</v>
      </c>
      <c r="C6746" s="3">
        <v>41637</v>
      </c>
      <c r="D6746" t="s">
        <v>62</v>
      </c>
      <c r="E6746">
        <v>4</v>
      </c>
      <c r="F6746" s="3">
        <f ca="1">41639+(RANDBETWEEN(1,10))</f>
        <v>41649</v>
      </c>
      <c r="G6746" t="s">
        <v>26</v>
      </c>
      <c r="H6746" t="s">
        <v>27</v>
      </c>
      <c r="I6746" t="s">
        <v>97</v>
      </c>
      <c r="J6746">
        <v>100.13500000000001</v>
      </c>
      <c r="K6746">
        <v>7.0000000000000007E-2</v>
      </c>
      <c r="L6746">
        <v>0.37</v>
      </c>
      <c r="M6746">
        <v>23.1</v>
      </c>
      <c r="N6746">
        <v>-48.51</v>
      </c>
      <c r="O6746" s="1" t="s">
        <v>64</v>
      </c>
      <c r="P6746" s="1" t="s">
        <v>13477</v>
      </c>
      <c r="Q6746" s="1" t="s">
        <v>13478</v>
      </c>
      <c r="R6746" s="1" t="s">
        <v>67</v>
      </c>
      <c r="S6746" s="1" t="s">
        <v>3653</v>
      </c>
      <c r="T6746" s="1" t="s">
        <v>13479</v>
      </c>
      <c r="U6746" s="2" t="s">
        <v>241</v>
      </c>
      <c r="V6746" s="2" t="s">
        <v>47</v>
      </c>
      <c r="W6746" s="2" t="s">
        <v>74</v>
      </c>
      <c r="X6746" s="2">
        <v>22.68</v>
      </c>
    </row>
    <row r="6747" spans="1:24" x14ac:dyDescent="0.3">
      <c r="A6747">
        <v>24564</v>
      </c>
      <c r="B6747" t="s">
        <v>13476</v>
      </c>
      <c r="C6747" s="3">
        <v>41637</v>
      </c>
      <c r="D6747" t="s">
        <v>62</v>
      </c>
      <c r="E6747">
        <v>17</v>
      </c>
      <c r="F6747" s="3">
        <f ca="1">41639+(RANDBETWEEN(1,10))</f>
        <v>41640</v>
      </c>
      <c r="G6747" t="s">
        <v>26</v>
      </c>
      <c r="H6747" t="s">
        <v>96</v>
      </c>
      <c r="I6747" t="s">
        <v>97</v>
      </c>
      <c r="J6747">
        <v>292.07499999999999</v>
      </c>
      <c r="K6747">
        <v>0.01</v>
      </c>
      <c r="L6747">
        <v>0.52</v>
      </c>
      <c r="M6747">
        <v>2.4849999999999999</v>
      </c>
      <c r="N6747">
        <v>201.53174999999999</v>
      </c>
      <c r="O6747" s="1" t="s">
        <v>64</v>
      </c>
      <c r="P6747" s="1" t="s">
        <v>13477</v>
      </c>
      <c r="Q6747" s="1" t="s">
        <v>13478</v>
      </c>
      <c r="R6747" s="1" t="s">
        <v>67</v>
      </c>
      <c r="S6747" s="1" t="s">
        <v>3653</v>
      </c>
      <c r="T6747" s="1" t="s">
        <v>13479</v>
      </c>
      <c r="U6747" s="2" t="s">
        <v>2636</v>
      </c>
      <c r="V6747" s="2" t="s">
        <v>47</v>
      </c>
      <c r="W6747" s="2" t="s">
        <v>104</v>
      </c>
      <c r="X6747" s="2">
        <v>16.940000000000001</v>
      </c>
    </row>
    <row r="6748" spans="1:24" x14ac:dyDescent="0.3">
      <c r="A6748">
        <v>24565</v>
      </c>
      <c r="B6748" t="s">
        <v>13476</v>
      </c>
      <c r="C6748" s="3">
        <v>41637</v>
      </c>
      <c r="D6748" t="s">
        <v>62</v>
      </c>
      <c r="E6748">
        <v>24</v>
      </c>
      <c r="F6748" s="3">
        <f ca="1">41639+(RANDBETWEEN(1,10))</f>
        <v>41643</v>
      </c>
      <c r="G6748" t="s">
        <v>26</v>
      </c>
      <c r="H6748" t="s">
        <v>96</v>
      </c>
      <c r="I6748" t="s">
        <v>97</v>
      </c>
      <c r="J6748">
        <v>5967.78</v>
      </c>
      <c r="K6748">
        <v>0.1</v>
      </c>
      <c r="L6748">
        <v>0.55000000000000004</v>
      </c>
      <c r="M6748">
        <v>3.4649999999999999</v>
      </c>
      <c r="N6748">
        <v>4117.7682000000004</v>
      </c>
      <c r="O6748" s="1" t="s">
        <v>64</v>
      </c>
      <c r="P6748" s="1" t="s">
        <v>13477</v>
      </c>
      <c r="Q6748" s="1" t="s">
        <v>13478</v>
      </c>
      <c r="R6748" s="1" t="s">
        <v>67</v>
      </c>
      <c r="S6748" s="1" t="s">
        <v>3653</v>
      </c>
      <c r="T6748" s="1" t="s">
        <v>13479</v>
      </c>
      <c r="U6748" s="2" t="s">
        <v>5311</v>
      </c>
      <c r="V6748" s="2" t="s">
        <v>36</v>
      </c>
      <c r="W6748" s="2" t="s">
        <v>37</v>
      </c>
      <c r="X6748" s="2">
        <v>300.96499999999997</v>
      </c>
    </row>
    <row r="6749" spans="1:24" x14ac:dyDescent="0.3">
      <c r="A6749">
        <v>24566</v>
      </c>
      <c r="B6749" t="s">
        <v>13480</v>
      </c>
      <c r="C6749" s="3">
        <v>41814</v>
      </c>
      <c r="D6749" t="s">
        <v>62</v>
      </c>
      <c r="E6749">
        <v>18</v>
      </c>
      <c r="F6749" s="3">
        <f ca="1">41816+(RANDBETWEEN(1,10))</f>
        <v>41822</v>
      </c>
      <c r="G6749" t="s">
        <v>26</v>
      </c>
      <c r="H6749" t="s">
        <v>63</v>
      </c>
      <c r="I6749" t="s">
        <v>86</v>
      </c>
      <c r="J6749">
        <v>2246.895</v>
      </c>
      <c r="K6749">
        <v>0.04</v>
      </c>
      <c r="L6749">
        <v>0.57999999999999996</v>
      </c>
      <c r="M6749">
        <v>79.099999999999994</v>
      </c>
      <c r="N6749">
        <v>-1283.3240000000001</v>
      </c>
      <c r="O6749" s="1" t="s">
        <v>87</v>
      </c>
      <c r="P6749" s="1" t="s">
        <v>13137</v>
      </c>
      <c r="Q6749" s="1" t="s">
        <v>13138</v>
      </c>
      <c r="R6749" s="1" t="s">
        <v>398</v>
      </c>
      <c r="S6749" s="1" t="s">
        <v>10476</v>
      </c>
      <c r="T6749" s="1" t="s">
        <v>10477</v>
      </c>
      <c r="U6749" s="2" t="s">
        <v>13481</v>
      </c>
      <c r="V6749" s="2" t="s">
        <v>83</v>
      </c>
      <c r="W6749" s="2" t="s">
        <v>178</v>
      </c>
      <c r="X6749" s="2">
        <v>128.27500000000001</v>
      </c>
    </row>
    <row r="6750" spans="1:24" x14ac:dyDescent="0.3">
      <c r="A6750">
        <v>24567</v>
      </c>
      <c r="B6750" t="s">
        <v>13482</v>
      </c>
      <c r="C6750" s="3">
        <v>41895</v>
      </c>
      <c r="D6750" t="s">
        <v>148</v>
      </c>
      <c r="E6750">
        <v>9</v>
      </c>
      <c r="F6750" s="3">
        <f ca="1">41896+(RANDBETWEEN(1,10))</f>
        <v>41897</v>
      </c>
      <c r="G6750" t="s">
        <v>26</v>
      </c>
      <c r="H6750" t="s">
        <v>27</v>
      </c>
      <c r="I6750" t="s">
        <v>28</v>
      </c>
      <c r="J6750">
        <v>264.84500000000003</v>
      </c>
      <c r="K6750">
        <v>0.03</v>
      </c>
      <c r="L6750">
        <v>0.36</v>
      </c>
      <c r="M6750">
        <v>40.284999999999997</v>
      </c>
      <c r="N6750">
        <v>2649.0239999999999</v>
      </c>
      <c r="O6750" s="1" t="s">
        <v>87</v>
      </c>
      <c r="P6750" s="1" t="s">
        <v>6417</v>
      </c>
      <c r="Q6750" s="1" t="s">
        <v>6418</v>
      </c>
      <c r="R6750" s="1" t="s">
        <v>90</v>
      </c>
      <c r="S6750" s="1" t="s">
        <v>6419</v>
      </c>
      <c r="T6750" s="1" t="s">
        <v>6420</v>
      </c>
      <c r="U6750" s="2" t="s">
        <v>5565</v>
      </c>
      <c r="V6750" s="2" t="s">
        <v>47</v>
      </c>
      <c r="W6750" s="2" t="s">
        <v>111</v>
      </c>
      <c r="X6750" s="2">
        <v>25.83</v>
      </c>
    </row>
    <row r="6751" spans="1:24" x14ac:dyDescent="0.3">
      <c r="A6751">
        <v>24568</v>
      </c>
      <c r="B6751" t="s">
        <v>13483</v>
      </c>
      <c r="C6751" s="3">
        <v>40799</v>
      </c>
      <c r="D6751" t="s">
        <v>148</v>
      </c>
      <c r="E6751">
        <v>16</v>
      </c>
      <c r="F6751" s="3">
        <f ca="1">40800+(RANDBETWEEN(1,10))</f>
        <v>40808</v>
      </c>
      <c r="G6751" t="s">
        <v>26</v>
      </c>
      <c r="H6751" t="s">
        <v>27</v>
      </c>
      <c r="I6751" t="s">
        <v>28</v>
      </c>
      <c r="J6751">
        <v>384.96499999999997</v>
      </c>
      <c r="K6751">
        <v>0.05</v>
      </c>
      <c r="L6751">
        <v>0.37</v>
      </c>
      <c r="M6751">
        <v>27.684999999999999</v>
      </c>
      <c r="N6751">
        <v>1127.4269999999999</v>
      </c>
      <c r="O6751" s="1" t="s">
        <v>87</v>
      </c>
      <c r="P6751" s="1" t="s">
        <v>6417</v>
      </c>
      <c r="Q6751" s="1" t="s">
        <v>6418</v>
      </c>
      <c r="R6751" s="1" t="s">
        <v>90</v>
      </c>
      <c r="S6751" s="1" t="s">
        <v>6419</v>
      </c>
      <c r="T6751" s="1" t="s">
        <v>6420</v>
      </c>
      <c r="U6751" s="2" t="s">
        <v>387</v>
      </c>
      <c r="V6751" s="2" t="s">
        <v>47</v>
      </c>
      <c r="W6751" s="2" t="s">
        <v>74</v>
      </c>
      <c r="X6751" s="2">
        <v>22.68</v>
      </c>
    </row>
    <row r="6752" spans="1:24" x14ac:dyDescent="0.3">
      <c r="A6752">
        <v>24569</v>
      </c>
      <c r="B6752" t="s">
        <v>13483</v>
      </c>
      <c r="C6752" s="3">
        <v>40799</v>
      </c>
      <c r="D6752" t="s">
        <v>148</v>
      </c>
      <c r="E6752">
        <v>8</v>
      </c>
      <c r="F6752" s="3">
        <f ca="1">40800+(RANDBETWEEN(1,10))</f>
        <v>40805</v>
      </c>
      <c r="G6752" t="s">
        <v>26</v>
      </c>
      <c r="H6752" t="s">
        <v>27</v>
      </c>
      <c r="I6752" t="s">
        <v>28</v>
      </c>
      <c r="J6752">
        <v>3150.42</v>
      </c>
      <c r="K6752">
        <v>0.03</v>
      </c>
      <c r="L6752">
        <v>0.78</v>
      </c>
      <c r="M6752">
        <v>30.24</v>
      </c>
      <c r="N6752">
        <v>1282.8900000000001</v>
      </c>
      <c r="O6752" s="1" t="s">
        <v>87</v>
      </c>
      <c r="P6752" s="1" t="s">
        <v>6417</v>
      </c>
      <c r="Q6752" s="1" t="s">
        <v>6418</v>
      </c>
      <c r="R6752" s="1" t="s">
        <v>90</v>
      </c>
      <c r="S6752" s="1" t="s">
        <v>6419</v>
      </c>
      <c r="T6752" s="1" t="s">
        <v>6420</v>
      </c>
      <c r="U6752" s="2" t="s">
        <v>5174</v>
      </c>
      <c r="V6752" s="2" t="s">
        <v>47</v>
      </c>
      <c r="W6752" s="2" t="s">
        <v>119</v>
      </c>
      <c r="X6752" s="2">
        <v>388.60500000000002</v>
      </c>
    </row>
    <row r="6753" spans="1:24" x14ac:dyDescent="0.3">
      <c r="A6753">
        <v>24570</v>
      </c>
      <c r="B6753" t="s">
        <v>13484</v>
      </c>
      <c r="C6753" s="3">
        <v>41172</v>
      </c>
      <c r="D6753" t="s">
        <v>50</v>
      </c>
      <c r="E6753">
        <v>6</v>
      </c>
      <c r="F6753" s="3">
        <f ca="1">41174+(RANDBETWEEN(1,10))</f>
        <v>41175</v>
      </c>
      <c r="G6753" t="s">
        <v>26</v>
      </c>
      <c r="H6753" t="s">
        <v>96</v>
      </c>
      <c r="I6753" t="s">
        <v>52</v>
      </c>
      <c r="J6753">
        <v>129.22</v>
      </c>
      <c r="K6753">
        <v>0.03</v>
      </c>
      <c r="L6753">
        <v>0.55000000000000004</v>
      </c>
      <c r="M6753">
        <v>4.2</v>
      </c>
      <c r="N6753">
        <v>38.36</v>
      </c>
      <c r="O6753" s="1" t="s">
        <v>225</v>
      </c>
      <c r="P6753" s="1" t="s">
        <v>12982</v>
      </c>
      <c r="Q6753" s="1" t="s">
        <v>12983</v>
      </c>
      <c r="R6753" s="1" t="s">
        <v>391</v>
      </c>
      <c r="S6753" s="1" t="s">
        <v>2934</v>
      </c>
      <c r="T6753" s="1" t="s">
        <v>2935</v>
      </c>
      <c r="U6753" s="2" t="s">
        <v>4460</v>
      </c>
      <c r="V6753" s="2" t="s">
        <v>47</v>
      </c>
      <c r="W6753" s="2" t="s">
        <v>104</v>
      </c>
      <c r="X6753" s="2">
        <v>20.440000000000001</v>
      </c>
    </row>
    <row r="6754" spans="1:24" x14ac:dyDescent="0.3">
      <c r="A6754">
        <v>24571</v>
      </c>
      <c r="B6754" t="s">
        <v>13485</v>
      </c>
      <c r="C6754" s="3">
        <v>41902</v>
      </c>
      <c r="D6754" t="s">
        <v>50</v>
      </c>
      <c r="E6754">
        <v>4</v>
      </c>
      <c r="F6754" s="3">
        <f ca="1">41903+(RANDBETWEEN(1,10))</f>
        <v>41913</v>
      </c>
      <c r="G6754" t="s">
        <v>26</v>
      </c>
      <c r="H6754" t="s">
        <v>27</v>
      </c>
      <c r="I6754" t="s">
        <v>52</v>
      </c>
      <c r="J6754">
        <v>240.48500000000001</v>
      </c>
      <c r="K6754">
        <v>0.04</v>
      </c>
      <c r="L6754">
        <v>0.57999999999999996</v>
      </c>
      <c r="M6754">
        <v>21.875</v>
      </c>
      <c r="N6754">
        <v>-80.049199999999999</v>
      </c>
      <c r="O6754" s="1" t="s">
        <v>225</v>
      </c>
      <c r="P6754" s="1" t="s">
        <v>12982</v>
      </c>
      <c r="Q6754" s="1" t="s">
        <v>12983</v>
      </c>
      <c r="R6754" s="1" t="s">
        <v>391</v>
      </c>
      <c r="S6754" s="1" t="s">
        <v>2934</v>
      </c>
      <c r="T6754" s="1" t="s">
        <v>2935</v>
      </c>
      <c r="U6754" s="2" t="s">
        <v>306</v>
      </c>
      <c r="V6754" s="2" t="s">
        <v>47</v>
      </c>
      <c r="W6754" s="2" t="s">
        <v>119</v>
      </c>
      <c r="X6754" s="2">
        <v>59.185000000000002</v>
      </c>
    </row>
    <row r="6755" spans="1:24" x14ac:dyDescent="0.3">
      <c r="A6755">
        <v>24572</v>
      </c>
      <c r="B6755" t="s">
        <v>13486</v>
      </c>
      <c r="C6755" s="3">
        <v>41825</v>
      </c>
      <c r="D6755" t="s">
        <v>50</v>
      </c>
      <c r="E6755">
        <v>16</v>
      </c>
      <c r="F6755" s="3">
        <f ca="1">41825+(RANDBETWEEN(1,10))</f>
        <v>41826</v>
      </c>
      <c r="G6755" t="s">
        <v>26</v>
      </c>
      <c r="H6755" t="s">
        <v>51</v>
      </c>
      <c r="I6755" t="s">
        <v>86</v>
      </c>
      <c r="J6755">
        <v>396.83</v>
      </c>
      <c r="K6755">
        <v>0.02</v>
      </c>
      <c r="L6755">
        <v>0.57999999999999996</v>
      </c>
      <c r="M6755">
        <v>29.295000000000002</v>
      </c>
      <c r="N6755">
        <v>-814.66224</v>
      </c>
      <c r="O6755" s="1" t="s">
        <v>64</v>
      </c>
      <c r="P6755" s="1" t="s">
        <v>4313</v>
      </c>
      <c r="Q6755" s="1" t="s">
        <v>4314</v>
      </c>
      <c r="R6755" s="1" t="s">
        <v>67</v>
      </c>
      <c r="S6755" s="1" t="s">
        <v>4315</v>
      </c>
      <c r="T6755" s="1" t="s">
        <v>4316</v>
      </c>
      <c r="U6755" s="2" t="s">
        <v>3635</v>
      </c>
      <c r="V6755" s="2" t="s">
        <v>47</v>
      </c>
      <c r="W6755" s="2" t="s">
        <v>94</v>
      </c>
      <c r="X6755" s="2">
        <v>23.94</v>
      </c>
    </row>
    <row r="6756" spans="1:24" x14ac:dyDescent="0.3">
      <c r="A6756">
        <v>24573</v>
      </c>
      <c r="B6756" t="s">
        <v>13486</v>
      </c>
      <c r="C6756" s="3">
        <v>41825</v>
      </c>
      <c r="D6756" t="s">
        <v>50</v>
      </c>
      <c r="E6756">
        <v>4</v>
      </c>
      <c r="F6756" s="3">
        <f ca="1">41827+(RANDBETWEEN(1,10))</f>
        <v>41831</v>
      </c>
      <c r="G6756" t="s">
        <v>26</v>
      </c>
      <c r="H6756" t="s">
        <v>27</v>
      </c>
      <c r="I6756" t="s">
        <v>86</v>
      </c>
      <c r="J6756">
        <v>69.510000000000005</v>
      </c>
      <c r="K6756">
        <v>0.02</v>
      </c>
      <c r="L6756">
        <v>0.35</v>
      </c>
      <c r="M6756">
        <v>5.2149999999999999</v>
      </c>
      <c r="N6756">
        <v>31.494064000000002</v>
      </c>
      <c r="O6756" s="1" t="s">
        <v>87</v>
      </c>
      <c r="P6756" s="1" t="s">
        <v>13487</v>
      </c>
      <c r="Q6756" s="1" t="s">
        <v>13488</v>
      </c>
      <c r="R6756" s="1" t="s">
        <v>90</v>
      </c>
      <c r="S6756" s="1" t="s">
        <v>13489</v>
      </c>
      <c r="T6756" s="1" t="s">
        <v>13490</v>
      </c>
      <c r="U6756" s="2" t="s">
        <v>5253</v>
      </c>
      <c r="V6756" s="2" t="s">
        <v>47</v>
      </c>
      <c r="W6756" s="2" t="s">
        <v>111</v>
      </c>
      <c r="X6756" s="2">
        <v>15.925000000000001</v>
      </c>
    </row>
    <row r="6757" spans="1:24" x14ac:dyDescent="0.3">
      <c r="A6757">
        <v>24574</v>
      </c>
      <c r="B6757" t="s">
        <v>13491</v>
      </c>
      <c r="C6757" s="3">
        <v>40827</v>
      </c>
      <c r="D6757" t="s">
        <v>148</v>
      </c>
      <c r="E6757">
        <v>1</v>
      </c>
      <c r="F6757" s="3">
        <f ca="1">40829+(RANDBETWEEN(1,10))</f>
        <v>40832</v>
      </c>
      <c r="G6757" t="s">
        <v>26</v>
      </c>
      <c r="H6757" t="s">
        <v>27</v>
      </c>
      <c r="I6757" t="s">
        <v>28</v>
      </c>
      <c r="J6757">
        <v>39.234999999999999</v>
      </c>
      <c r="K6757">
        <v>0.01</v>
      </c>
      <c r="L6757">
        <v>0.37</v>
      </c>
      <c r="M6757">
        <v>39.024999999999999</v>
      </c>
      <c r="N6757">
        <v>-84.861000000000004</v>
      </c>
      <c r="O6757" s="1" t="s">
        <v>29</v>
      </c>
      <c r="P6757" s="1" t="s">
        <v>7306</v>
      </c>
      <c r="Q6757" s="1" t="s">
        <v>7307</v>
      </c>
      <c r="R6757" s="1" t="s">
        <v>32</v>
      </c>
      <c r="S6757" s="1" t="s">
        <v>7308</v>
      </c>
      <c r="T6757" s="1" t="s">
        <v>7309</v>
      </c>
      <c r="U6757" s="2" t="s">
        <v>4160</v>
      </c>
      <c r="V6757" s="2" t="s">
        <v>47</v>
      </c>
      <c r="W6757" s="2" t="s">
        <v>74</v>
      </c>
      <c r="X6757" s="2">
        <v>25.48</v>
      </c>
    </row>
    <row r="6758" spans="1:24" x14ac:dyDescent="0.3">
      <c r="A6758">
        <v>24575</v>
      </c>
      <c r="B6758" t="s">
        <v>13492</v>
      </c>
      <c r="C6758" s="3">
        <v>41727</v>
      </c>
      <c r="D6758" t="s">
        <v>148</v>
      </c>
      <c r="E6758">
        <v>7</v>
      </c>
      <c r="F6758" s="3">
        <f ca="1">41729+(RANDBETWEEN(1,10))</f>
        <v>41731</v>
      </c>
      <c r="G6758" t="s">
        <v>26</v>
      </c>
      <c r="H6758" t="s">
        <v>27</v>
      </c>
      <c r="I6758" t="s">
        <v>28</v>
      </c>
      <c r="J6758">
        <v>152.35499999999999</v>
      </c>
      <c r="K6758">
        <v>0.1</v>
      </c>
      <c r="L6758">
        <v>0.37</v>
      </c>
      <c r="M6758">
        <v>32.094999999999999</v>
      </c>
      <c r="N6758">
        <v>-569.625</v>
      </c>
      <c r="O6758" s="1" t="s">
        <v>40</v>
      </c>
      <c r="P6758" s="1" t="s">
        <v>10067</v>
      </c>
      <c r="Q6758" s="1" t="s">
        <v>10068</v>
      </c>
      <c r="R6758" s="1" t="s">
        <v>43</v>
      </c>
      <c r="S6758" s="1" t="s">
        <v>10069</v>
      </c>
      <c r="T6758" s="1" t="s">
        <v>10070</v>
      </c>
      <c r="U6758" s="2" t="s">
        <v>4991</v>
      </c>
      <c r="V6758" s="2" t="s">
        <v>47</v>
      </c>
      <c r="W6758" s="2" t="s">
        <v>74</v>
      </c>
      <c r="X6758" s="2">
        <v>22.68</v>
      </c>
    </row>
    <row r="6759" spans="1:24" x14ac:dyDescent="0.3">
      <c r="A6759">
        <v>24576</v>
      </c>
      <c r="B6759" t="s">
        <v>13492</v>
      </c>
      <c r="C6759" s="3">
        <v>41727</v>
      </c>
      <c r="D6759" t="s">
        <v>148</v>
      </c>
      <c r="E6759">
        <v>8</v>
      </c>
      <c r="F6759" s="3">
        <f ca="1">41729+(RANDBETWEEN(1,10))</f>
        <v>41733</v>
      </c>
      <c r="G6759" t="s">
        <v>26</v>
      </c>
      <c r="H6759" t="s">
        <v>51</v>
      </c>
      <c r="I6759" t="s">
        <v>28</v>
      </c>
      <c r="J6759">
        <v>606.51499999999999</v>
      </c>
      <c r="K6759">
        <v>7.0000000000000007E-2</v>
      </c>
      <c r="L6759">
        <v>0.56999999999999995</v>
      </c>
      <c r="M6759">
        <v>31.465</v>
      </c>
      <c r="N6759">
        <v>-209.405</v>
      </c>
      <c r="O6759" s="1" t="s">
        <v>40</v>
      </c>
      <c r="P6759" s="1" t="s">
        <v>10067</v>
      </c>
      <c r="Q6759" s="1" t="s">
        <v>10068</v>
      </c>
      <c r="R6759" s="1" t="s">
        <v>43</v>
      </c>
      <c r="S6759" s="1" t="s">
        <v>10069</v>
      </c>
      <c r="T6759" s="1" t="s">
        <v>10070</v>
      </c>
      <c r="U6759" s="2" t="s">
        <v>246</v>
      </c>
      <c r="V6759" s="2" t="s">
        <v>47</v>
      </c>
      <c r="W6759" s="2" t="s">
        <v>104</v>
      </c>
      <c r="X6759" s="2">
        <v>80.465000000000003</v>
      </c>
    </row>
    <row r="6760" spans="1:24" x14ac:dyDescent="0.3">
      <c r="A6760">
        <v>24577</v>
      </c>
      <c r="B6760" t="s">
        <v>13493</v>
      </c>
      <c r="C6760" s="3">
        <v>40857</v>
      </c>
      <c r="D6760" t="s">
        <v>148</v>
      </c>
      <c r="E6760">
        <v>33</v>
      </c>
      <c r="F6760" s="3">
        <f ca="1">40859+(RANDBETWEEN(1,10))</f>
        <v>40863</v>
      </c>
      <c r="G6760" t="s">
        <v>26</v>
      </c>
      <c r="H6760" t="s">
        <v>27</v>
      </c>
      <c r="I6760" t="s">
        <v>86</v>
      </c>
      <c r="J6760">
        <v>11381.16</v>
      </c>
      <c r="K6760">
        <v>0.04</v>
      </c>
      <c r="L6760">
        <v>0.79</v>
      </c>
      <c r="M6760">
        <v>69.965000000000003</v>
      </c>
      <c r="N6760">
        <v>47.375999999999998</v>
      </c>
      <c r="O6760" s="1" t="s">
        <v>87</v>
      </c>
      <c r="P6760" s="1" t="s">
        <v>11904</v>
      </c>
      <c r="Q6760" s="1" t="s">
        <v>11905</v>
      </c>
      <c r="R6760" s="1" t="s">
        <v>90</v>
      </c>
      <c r="S6760" s="1" t="s">
        <v>11906</v>
      </c>
      <c r="T6760" s="1" t="s">
        <v>11907</v>
      </c>
      <c r="U6760" s="2" t="s">
        <v>1101</v>
      </c>
      <c r="V6760" s="2" t="s">
        <v>47</v>
      </c>
      <c r="W6760" s="2" t="s">
        <v>119</v>
      </c>
      <c r="X6760" s="2">
        <v>334.005</v>
      </c>
    </row>
    <row r="6761" spans="1:24" x14ac:dyDescent="0.3">
      <c r="A6761">
        <v>24578</v>
      </c>
      <c r="B6761" t="s">
        <v>13494</v>
      </c>
      <c r="C6761" s="3">
        <v>41256</v>
      </c>
      <c r="D6761" t="s">
        <v>50</v>
      </c>
      <c r="E6761">
        <v>11</v>
      </c>
      <c r="F6761" s="3">
        <f ca="1">41257+(RANDBETWEEN(1,10))</f>
        <v>41265</v>
      </c>
      <c r="G6761" t="s">
        <v>26</v>
      </c>
      <c r="H6761" t="s">
        <v>51</v>
      </c>
      <c r="I6761" t="s">
        <v>28</v>
      </c>
      <c r="J6761">
        <v>315.59500000000003</v>
      </c>
      <c r="K6761">
        <v>0.09</v>
      </c>
      <c r="L6761">
        <v>0.52</v>
      </c>
      <c r="M6761">
        <v>6.9649999999999999</v>
      </c>
      <c r="N6761">
        <v>51.555</v>
      </c>
      <c r="O6761" s="1" t="s">
        <v>87</v>
      </c>
      <c r="P6761" s="1" t="s">
        <v>12331</v>
      </c>
      <c r="Q6761" s="1" t="s">
        <v>12332</v>
      </c>
      <c r="R6761" s="1" t="s">
        <v>646</v>
      </c>
      <c r="S6761" s="1" t="s">
        <v>3194</v>
      </c>
      <c r="T6761" s="1" t="s">
        <v>3195</v>
      </c>
      <c r="U6761" s="2" t="s">
        <v>2853</v>
      </c>
      <c r="V6761" s="2" t="s">
        <v>36</v>
      </c>
      <c r="W6761" s="2" t="s">
        <v>60</v>
      </c>
      <c r="X6761" s="2">
        <v>29.155000000000001</v>
      </c>
    </row>
    <row r="6762" spans="1:24" x14ac:dyDescent="0.3">
      <c r="A6762">
        <v>24579</v>
      </c>
      <c r="B6762" t="s">
        <v>13495</v>
      </c>
      <c r="C6762" s="3">
        <v>41667</v>
      </c>
      <c r="D6762" t="s">
        <v>50</v>
      </c>
      <c r="E6762">
        <v>13</v>
      </c>
      <c r="F6762" s="3">
        <f ca="1">41669+(RANDBETWEEN(1,10))</f>
        <v>41676</v>
      </c>
      <c r="G6762" t="s">
        <v>156</v>
      </c>
      <c r="H6762" t="s">
        <v>27</v>
      </c>
      <c r="I6762" t="s">
        <v>86</v>
      </c>
      <c r="J6762">
        <v>1574.58</v>
      </c>
      <c r="K6762">
        <v>0.02</v>
      </c>
      <c r="L6762">
        <v>0.76</v>
      </c>
      <c r="M6762">
        <v>26.355</v>
      </c>
      <c r="N6762">
        <v>4733.7359999999999</v>
      </c>
      <c r="O6762" s="1" t="s">
        <v>40</v>
      </c>
      <c r="P6762" s="1" t="s">
        <v>11396</v>
      </c>
      <c r="Q6762" s="1" t="s">
        <v>11397</v>
      </c>
      <c r="R6762" s="1" t="s">
        <v>220</v>
      </c>
      <c r="S6762" s="1" t="s">
        <v>11398</v>
      </c>
      <c r="T6762" s="1" t="s">
        <v>11399</v>
      </c>
      <c r="U6762" s="2" t="s">
        <v>5838</v>
      </c>
      <c r="V6762" s="2" t="s">
        <v>36</v>
      </c>
      <c r="W6762" s="2" t="s">
        <v>60</v>
      </c>
      <c r="X6762" s="2">
        <v>122.43</v>
      </c>
    </row>
    <row r="6763" spans="1:24" x14ac:dyDescent="0.3">
      <c r="A6763">
        <v>24580</v>
      </c>
      <c r="B6763" t="s">
        <v>13495</v>
      </c>
      <c r="C6763" s="3">
        <v>41667</v>
      </c>
      <c r="D6763" t="s">
        <v>50</v>
      </c>
      <c r="E6763">
        <v>12</v>
      </c>
      <c r="F6763" s="3">
        <f ca="1">41668+(RANDBETWEEN(1,10))</f>
        <v>41669</v>
      </c>
      <c r="G6763" t="s">
        <v>26</v>
      </c>
      <c r="H6763" t="s">
        <v>51</v>
      </c>
      <c r="I6763" t="s">
        <v>86</v>
      </c>
      <c r="J6763">
        <v>210.07</v>
      </c>
      <c r="K6763">
        <v>0.01</v>
      </c>
      <c r="L6763">
        <v>0.66</v>
      </c>
      <c r="M6763">
        <v>17.254999999999999</v>
      </c>
      <c r="N6763">
        <v>340.09500000000003</v>
      </c>
      <c r="O6763" s="1" t="s">
        <v>40</v>
      </c>
      <c r="P6763" s="1" t="s">
        <v>11396</v>
      </c>
      <c r="Q6763" s="1" t="s">
        <v>11397</v>
      </c>
      <c r="R6763" s="1" t="s">
        <v>220</v>
      </c>
      <c r="S6763" s="1" t="s">
        <v>11398</v>
      </c>
      <c r="T6763" s="1" t="s">
        <v>11399</v>
      </c>
      <c r="U6763" s="2" t="s">
        <v>1387</v>
      </c>
      <c r="V6763" s="2" t="s">
        <v>36</v>
      </c>
      <c r="W6763" s="2" t="s">
        <v>60</v>
      </c>
      <c r="X6763" s="2">
        <v>17.114999999999998</v>
      </c>
    </row>
    <row r="6764" spans="1:24" x14ac:dyDescent="0.3">
      <c r="A6764">
        <v>24581</v>
      </c>
      <c r="B6764" t="s">
        <v>13496</v>
      </c>
      <c r="C6764" s="3">
        <v>41781</v>
      </c>
      <c r="D6764" t="s">
        <v>25</v>
      </c>
      <c r="E6764">
        <v>7</v>
      </c>
      <c r="F6764" s="3">
        <f ca="1">41781+(RANDBETWEEN(1,10))</f>
        <v>41786</v>
      </c>
      <c r="G6764" t="s">
        <v>26</v>
      </c>
      <c r="H6764" t="s">
        <v>27</v>
      </c>
      <c r="I6764" t="s">
        <v>97</v>
      </c>
      <c r="J6764">
        <v>6290.585</v>
      </c>
      <c r="K6764">
        <v>0.03</v>
      </c>
      <c r="L6764">
        <v>0.51</v>
      </c>
      <c r="M6764">
        <v>39.375</v>
      </c>
      <c r="N6764">
        <v>4340.5036499999997</v>
      </c>
      <c r="O6764" s="1" t="s">
        <v>29</v>
      </c>
      <c r="P6764" s="1" t="s">
        <v>13497</v>
      </c>
      <c r="Q6764" s="1" t="s">
        <v>13498</v>
      </c>
      <c r="R6764" s="1" t="s">
        <v>32</v>
      </c>
      <c r="S6764" s="1" t="s">
        <v>3174</v>
      </c>
      <c r="T6764" s="1" t="s">
        <v>3175</v>
      </c>
      <c r="U6764" s="2" t="s">
        <v>8299</v>
      </c>
      <c r="V6764" s="2" t="s">
        <v>36</v>
      </c>
      <c r="W6764" s="2" t="s">
        <v>60</v>
      </c>
      <c r="X6764" s="2">
        <v>899.46500000000003</v>
      </c>
    </row>
    <row r="6765" spans="1:24" x14ac:dyDescent="0.3">
      <c r="A6765">
        <v>24582</v>
      </c>
      <c r="B6765" t="s">
        <v>13499</v>
      </c>
      <c r="C6765" s="3">
        <v>40973</v>
      </c>
      <c r="D6765" t="s">
        <v>39</v>
      </c>
      <c r="E6765">
        <v>8</v>
      </c>
      <c r="F6765" s="3">
        <f ca="1">40974+(RANDBETWEEN(1,10))</f>
        <v>40981</v>
      </c>
      <c r="G6765" t="s">
        <v>26</v>
      </c>
      <c r="H6765" t="s">
        <v>96</v>
      </c>
      <c r="I6765" t="s">
        <v>28</v>
      </c>
      <c r="J6765">
        <v>46.69</v>
      </c>
      <c r="K6765">
        <v>0.04</v>
      </c>
      <c r="L6765">
        <v>0.68</v>
      </c>
      <c r="M6765">
        <v>2.4500000000000002</v>
      </c>
      <c r="N6765">
        <v>-16.38</v>
      </c>
      <c r="O6765" s="1" t="s">
        <v>87</v>
      </c>
      <c r="P6765" s="1" t="s">
        <v>12382</v>
      </c>
      <c r="Q6765" s="1" t="s">
        <v>12383</v>
      </c>
      <c r="R6765" s="1" t="s">
        <v>646</v>
      </c>
      <c r="S6765" s="1" t="s">
        <v>12384</v>
      </c>
      <c r="T6765" s="1" t="s">
        <v>3195</v>
      </c>
      <c r="U6765" s="2" t="s">
        <v>4047</v>
      </c>
      <c r="V6765" s="2" t="s">
        <v>83</v>
      </c>
      <c r="W6765" s="2" t="s">
        <v>178</v>
      </c>
      <c r="X6765" s="2">
        <v>5.88</v>
      </c>
    </row>
    <row r="6766" spans="1:24" x14ac:dyDescent="0.3">
      <c r="A6766">
        <v>24583</v>
      </c>
      <c r="B6766" t="s">
        <v>13500</v>
      </c>
      <c r="C6766" s="3">
        <v>41093</v>
      </c>
      <c r="D6766" t="s">
        <v>62</v>
      </c>
      <c r="E6766">
        <v>1</v>
      </c>
      <c r="F6766" s="3">
        <f ca="1">41095+(RANDBETWEEN(1,10))</f>
        <v>41105</v>
      </c>
      <c r="G6766" t="s">
        <v>26</v>
      </c>
      <c r="H6766" t="s">
        <v>96</v>
      </c>
      <c r="I6766" t="s">
        <v>28</v>
      </c>
      <c r="J6766">
        <v>104.965</v>
      </c>
      <c r="K6766">
        <v>7.0000000000000007E-2</v>
      </c>
      <c r="L6766">
        <v>0.39</v>
      </c>
      <c r="M6766">
        <v>29.12</v>
      </c>
      <c r="N6766">
        <v>-31.08</v>
      </c>
      <c r="O6766" s="1" t="s">
        <v>87</v>
      </c>
      <c r="P6766" s="1" t="s">
        <v>12126</v>
      </c>
      <c r="Q6766" s="1" t="s">
        <v>12127</v>
      </c>
      <c r="R6766" s="1" t="s">
        <v>90</v>
      </c>
      <c r="S6766" s="1" t="s">
        <v>5020</v>
      </c>
      <c r="T6766" s="1" t="s">
        <v>5021</v>
      </c>
      <c r="U6766" s="2" t="s">
        <v>8015</v>
      </c>
      <c r="V6766" s="2" t="s">
        <v>47</v>
      </c>
      <c r="W6766" s="2" t="s">
        <v>74</v>
      </c>
      <c r="X6766" s="2">
        <v>76.930000000000007</v>
      </c>
    </row>
    <row r="6767" spans="1:24" x14ac:dyDescent="0.3">
      <c r="A6767">
        <v>24584</v>
      </c>
      <c r="B6767" t="s">
        <v>13501</v>
      </c>
      <c r="C6767" s="3">
        <v>40822</v>
      </c>
      <c r="D6767" t="s">
        <v>62</v>
      </c>
      <c r="E6767">
        <v>14</v>
      </c>
      <c r="F6767" s="3">
        <f ca="1">40824+(RANDBETWEEN(1,10))</f>
        <v>40831</v>
      </c>
      <c r="G6767" t="s">
        <v>156</v>
      </c>
      <c r="H6767" t="s">
        <v>27</v>
      </c>
      <c r="I6767" t="s">
        <v>28</v>
      </c>
      <c r="J6767">
        <v>278.63499999999999</v>
      </c>
      <c r="K6767">
        <v>7.0000000000000007E-2</v>
      </c>
      <c r="L6767">
        <v>0.36</v>
      </c>
      <c r="M6767">
        <v>20.09</v>
      </c>
      <c r="N6767">
        <v>-658.11900000000003</v>
      </c>
      <c r="O6767" s="1" t="s">
        <v>40</v>
      </c>
      <c r="P6767" s="1" t="s">
        <v>13307</v>
      </c>
      <c r="Q6767" s="1" t="s">
        <v>13308</v>
      </c>
      <c r="R6767" s="1" t="s">
        <v>220</v>
      </c>
      <c r="S6767" s="1" t="s">
        <v>1455</v>
      </c>
      <c r="T6767" s="1" t="s">
        <v>1456</v>
      </c>
      <c r="U6767" s="2" t="s">
        <v>1239</v>
      </c>
      <c r="V6767" s="2" t="s">
        <v>47</v>
      </c>
      <c r="W6767" s="2" t="s">
        <v>111</v>
      </c>
      <c r="X6767" s="2">
        <v>18.13</v>
      </c>
    </row>
    <row r="6768" spans="1:24" x14ac:dyDescent="0.3">
      <c r="A6768">
        <v>24585</v>
      </c>
      <c r="B6768" t="s">
        <v>13502</v>
      </c>
      <c r="C6768" s="3">
        <v>41656</v>
      </c>
      <c r="D6768" t="s">
        <v>148</v>
      </c>
      <c r="E6768">
        <v>5</v>
      </c>
      <c r="F6768" s="3">
        <f ca="1">41658+(RANDBETWEEN(1,10))</f>
        <v>41666</v>
      </c>
      <c r="G6768" t="s">
        <v>26</v>
      </c>
      <c r="H6768" t="s">
        <v>27</v>
      </c>
      <c r="I6768" t="s">
        <v>28</v>
      </c>
      <c r="J6768">
        <v>126.49</v>
      </c>
      <c r="K6768">
        <v>0.1</v>
      </c>
      <c r="L6768">
        <v>0.36</v>
      </c>
      <c r="M6768">
        <v>4.8650000000000002</v>
      </c>
      <c r="N6768">
        <v>14.1372</v>
      </c>
      <c r="O6768" s="1" t="s">
        <v>64</v>
      </c>
      <c r="P6768" s="1" t="s">
        <v>13503</v>
      </c>
      <c r="Q6768" s="1" t="s">
        <v>13504</v>
      </c>
      <c r="R6768" s="1" t="s">
        <v>128</v>
      </c>
      <c r="S6768" s="1" t="s">
        <v>13505</v>
      </c>
      <c r="T6768" s="1" t="s">
        <v>13506</v>
      </c>
      <c r="U6768" s="2" t="s">
        <v>5969</v>
      </c>
      <c r="V6768" s="2" t="s">
        <v>47</v>
      </c>
      <c r="W6768" s="2" t="s">
        <v>48</v>
      </c>
      <c r="X6768" s="2">
        <v>26.74</v>
      </c>
    </row>
    <row r="6769" spans="1:24" x14ac:dyDescent="0.3">
      <c r="A6769">
        <v>24586</v>
      </c>
      <c r="B6769" t="s">
        <v>13502</v>
      </c>
      <c r="C6769" s="3">
        <v>41656</v>
      </c>
      <c r="D6769" t="s">
        <v>148</v>
      </c>
      <c r="E6769">
        <v>1</v>
      </c>
      <c r="F6769" s="3">
        <f ca="1">41658+(RANDBETWEEN(1,10))</f>
        <v>41661</v>
      </c>
      <c r="G6769" t="s">
        <v>26</v>
      </c>
      <c r="H6769" t="s">
        <v>27</v>
      </c>
      <c r="I6769" t="s">
        <v>28</v>
      </c>
      <c r="J6769">
        <v>393.57499999999999</v>
      </c>
      <c r="K6769">
        <v>0</v>
      </c>
      <c r="L6769">
        <v>0.59</v>
      </c>
      <c r="M6769">
        <v>8.75</v>
      </c>
      <c r="N6769">
        <v>-72.569000000000003</v>
      </c>
      <c r="O6769" s="1" t="s">
        <v>64</v>
      </c>
      <c r="P6769" s="1" t="s">
        <v>13503</v>
      </c>
      <c r="Q6769" s="1" t="s">
        <v>13504</v>
      </c>
      <c r="R6769" s="1" t="s">
        <v>128</v>
      </c>
      <c r="S6769" s="1" t="s">
        <v>13505</v>
      </c>
      <c r="T6769" s="1" t="s">
        <v>13506</v>
      </c>
      <c r="U6769" s="2">
        <v>6162</v>
      </c>
      <c r="V6769" s="2" t="s">
        <v>36</v>
      </c>
      <c r="W6769" s="2" t="s">
        <v>37</v>
      </c>
      <c r="X6769" s="2">
        <v>440.96499999999997</v>
      </c>
    </row>
    <row r="6770" spans="1:24" x14ac:dyDescent="0.3">
      <c r="A6770">
        <v>24587</v>
      </c>
      <c r="B6770" t="s">
        <v>13502</v>
      </c>
      <c r="C6770" s="3">
        <v>41656</v>
      </c>
      <c r="D6770" t="s">
        <v>148</v>
      </c>
      <c r="E6770">
        <v>7</v>
      </c>
      <c r="F6770" s="3">
        <f ca="1">41657+(RANDBETWEEN(1,10))</f>
        <v>41660</v>
      </c>
      <c r="G6770" t="s">
        <v>26</v>
      </c>
      <c r="H6770" t="s">
        <v>96</v>
      </c>
      <c r="I6770" t="s">
        <v>28</v>
      </c>
      <c r="J6770">
        <v>274.82</v>
      </c>
      <c r="K6770">
        <v>0.1</v>
      </c>
      <c r="L6770">
        <v>0.55000000000000004</v>
      </c>
      <c r="M6770">
        <v>8.26</v>
      </c>
      <c r="N6770">
        <v>105.1232</v>
      </c>
      <c r="O6770" s="1" t="s">
        <v>87</v>
      </c>
      <c r="P6770" s="1" t="s">
        <v>2198</v>
      </c>
      <c r="Q6770" s="1" t="s">
        <v>2199</v>
      </c>
      <c r="R6770" s="1" t="s">
        <v>398</v>
      </c>
      <c r="S6770" s="1" t="s">
        <v>2200</v>
      </c>
      <c r="T6770" s="1" t="s">
        <v>2201</v>
      </c>
      <c r="U6770" s="2" t="s">
        <v>2967</v>
      </c>
      <c r="V6770" s="2" t="s">
        <v>47</v>
      </c>
      <c r="W6770" s="2" t="s">
        <v>104</v>
      </c>
      <c r="X6770" s="2">
        <v>40.424999999999997</v>
      </c>
    </row>
    <row r="6771" spans="1:24" x14ac:dyDescent="0.3">
      <c r="A6771">
        <v>24588</v>
      </c>
      <c r="B6771" t="s">
        <v>13507</v>
      </c>
      <c r="C6771" s="3">
        <v>41432</v>
      </c>
      <c r="D6771" t="s">
        <v>25</v>
      </c>
      <c r="E6771">
        <v>11</v>
      </c>
      <c r="F6771" s="3">
        <f ca="1">41436+(RANDBETWEEN(1,10))</f>
        <v>41439</v>
      </c>
      <c r="G6771" t="s">
        <v>26</v>
      </c>
      <c r="H6771" t="s">
        <v>51</v>
      </c>
      <c r="I6771" t="s">
        <v>28</v>
      </c>
      <c r="J6771">
        <v>901.98500000000001</v>
      </c>
      <c r="K6771">
        <v>0.05</v>
      </c>
      <c r="L6771">
        <v>0.44</v>
      </c>
      <c r="M6771">
        <v>31.465</v>
      </c>
      <c r="N6771">
        <v>622.36964999999998</v>
      </c>
      <c r="O6771" s="1" t="s">
        <v>53</v>
      </c>
      <c r="P6771" s="1" t="s">
        <v>10260</v>
      </c>
      <c r="Q6771" s="1" t="s">
        <v>10261</v>
      </c>
      <c r="R6771" s="1" t="s">
        <v>56</v>
      </c>
      <c r="S6771" s="1" t="s">
        <v>10262</v>
      </c>
      <c r="T6771" s="1" t="s">
        <v>5360</v>
      </c>
      <c r="U6771" s="2" t="s">
        <v>2721</v>
      </c>
      <c r="V6771" s="2" t="s">
        <v>83</v>
      </c>
      <c r="W6771" s="2" t="s">
        <v>178</v>
      </c>
      <c r="X6771" s="2">
        <v>79.52</v>
      </c>
    </row>
    <row r="6772" spans="1:24" x14ac:dyDescent="0.3">
      <c r="A6772">
        <v>24589</v>
      </c>
      <c r="B6772" t="s">
        <v>13507</v>
      </c>
      <c r="C6772" s="3">
        <v>41432</v>
      </c>
      <c r="D6772" t="s">
        <v>25</v>
      </c>
      <c r="E6772">
        <v>20</v>
      </c>
      <c r="F6772" s="3">
        <f ca="1">41436+(RANDBETWEEN(1,10))</f>
        <v>41438</v>
      </c>
      <c r="G6772" t="s">
        <v>26</v>
      </c>
      <c r="H6772" t="s">
        <v>96</v>
      </c>
      <c r="I6772" t="s">
        <v>28</v>
      </c>
      <c r="J6772">
        <v>132.65</v>
      </c>
      <c r="K6772">
        <v>0.02</v>
      </c>
      <c r="L6772">
        <v>0.49</v>
      </c>
      <c r="M6772">
        <v>5.46</v>
      </c>
      <c r="N6772">
        <v>-84.308000000000007</v>
      </c>
      <c r="O6772" s="1" t="s">
        <v>53</v>
      </c>
      <c r="P6772" s="1" t="s">
        <v>10260</v>
      </c>
      <c r="Q6772" s="1" t="s">
        <v>10261</v>
      </c>
      <c r="R6772" s="1" t="s">
        <v>56</v>
      </c>
      <c r="S6772" s="1" t="s">
        <v>10262</v>
      </c>
      <c r="T6772" s="1" t="s">
        <v>5360</v>
      </c>
      <c r="U6772" s="2" t="s">
        <v>12838</v>
      </c>
      <c r="V6772" s="2" t="s">
        <v>47</v>
      </c>
      <c r="W6772" s="2" t="s">
        <v>176</v>
      </c>
      <c r="X6772" s="2">
        <v>6.335</v>
      </c>
    </row>
    <row r="6773" spans="1:24" x14ac:dyDescent="0.3">
      <c r="A6773">
        <v>2459</v>
      </c>
      <c r="B6773" t="s">
        <v>13508</v>
      </c>
      <c r="C6773" s="3">
        <v>41370</v>
      </c>
      <c r="D6773" t="s">
        <v>62</v>
      </c>
      <c r="E6773">
        <v>18</v>
      </c>
      <c r="F6773" s="3">
        <f ca="1">41372+(RANDBETWEEN(1,10))</f>
        <v>41380</v>
      </c>
      <c r="G6773" t="s">
        <v>156</v>
      </c>
      <c r="H6773" t="s">
        <v>27</v>
      </c>
      <c r="I6773" t="s">
        <v>86</v>
      </c>
      <c r="J6773">
        <v>547.33000000000004</v>
      </c>
      <c r="K6773">
        <v>0.05</v>
      </c>
      <c r="L6773">
        <v>0.57999999999999996</v>
      </c>
      <c r="M6773">
        <v>32.305</v>
      </c>
      <c r="N6773">
        <v>-337.15499999999997</v>
      </c>
      <c r="O6773" s="1" t="s">
        <v>40</v>
      </c>
      <c r="P6773" s="1" t="s">
        <v>209</v>
      </c>
      <c r="Q6773" s="1" t="s">
        <v>210</v>
      </c>
      <c r="R6773" s="1" t="s">
        <v>43</v>
      </c>
      <c r="S6773" s="1" t="s">
        <v>44</v>
      </c>
      <c r="T6773" s="1" t="s">
        <v>211</v>
      </c>
      <c r="U6773" s="2" t="s">
        <v>4333</v>
      </c>
      <c r="V6773" s="2" t="s">
        <v>47</v>
      </c>
      <c r="W6773" s="2" t="s">
        <v>71</v>
      </c>
      <c r="X6773" s="2">
        <v>27.195</v>
      </c>
    </row>
    <row r="6774" spans="1:24" x14ac:dyDescent="0.3">
      <c r="A6774">
        <v>24590</v>
      </c>
      <c r="B6774" t="s">
        <v>13507</v>
      </c>
      <c r="C6774" s="3">
        <v>41432</v>
      </c>
      <c r="D6774" t="s">
        <v>25</v>
      </c>
      <c r="E6774">
        <v>13</v>
      </c>
      <c r="F6774" s="3">
        <f ca="1">41437+(RANDBETWEEN(1,10))</f>
        <v>41444</v>
      </c>
      <c r="G6774" t="s">
        <v>26</v>
      </c>
      <c r="H6774" t="s">
        <v>27</v>
      </c>
      <c r="I6774" t="s">
        <v>28</v>
      </c>
      <c r="J6774">
        <v>2839.6550000000002</v>
      </c>
      <c r="K6774">
        <v>0.05</v>
      </c>
      <c r="L6774">
        <v>0.46</v>
      </c>
      <c r="M6774">
        <v>50.68</v>
      </c>
      <c r="N6774">
        <v>1959.36195</v>
      </c>
      <c r="O6774" s="1" t="s">
        <v>29</v>
      </c>
      <c r="P6774" s="1" t="s">
        <v>13509</v>
      </c>
      <c r="Q6774" s="1" t="s">
        <v>13510</v>
      </c>
      <c r="R6774" s="1" t="s">
        <v>32</v>
      </c>
      <c r="S6774" s="1" t="s">
        <v>1961</v>
      </c>
      <c r="T6774" s="1" t="s">
        <v>1962</v>
      </c>
      <c r="U6774" s="2" t="s">
        <v>6357</v>
      </c>
      <c r="V6774" s="2" t="s">
        <v>83</v>
      </c>
      <c r="W6774" s="2" t="s">
        <v>178</v>
      </c>
      <c r="X6774" s="2">
        <v>223.79</v>
      </c>
    </row>
    <row r="6775" spans="1:24" x14ac:dyDescent="0.3">
      <c r="A6775">
        <v>24591</v>
      </c>
      <c r="B6775" t="s">
        <v>13511</v>
      </c>
      <c r="C6775" s="3">
        <v>41820</v>
      </c>
      <c r="D6775" t="s">
        <v>25</v>
      </c>
      <c r="E6775">
        <v>2</v>
      </c>
      <c r="F6775" s="3">
        <f ca="1">41820+(RANDBETWEEN(1,10))</f>
        <v>41823</v>
      </c>
      <c r="G6775" t="s">
        <v>26</v>
      </c>
      <c r="H6775" t="s">
        <v>27</v>
      </c>
      <c r="I6775" t="s">
        <v>97</v>
      </c>
      <c r="J6775">
        <v>411.6</v>
      </c>
      <c r="K6775">
        <v>0</v>
      </c>
      <c r="L6775">
        <v>0.54</v>
      </c>
      <c r="M6775">
        <v>51.905000000000001</v>
      </c>
      <c r="N6775">
        <v>284.00400000000002</v>
      </c>
      <c r="O6775" s="1" t="s">
        <v>64</v>
      </c>
      <c r="P6775" s="1" t="s">
        <v>13512</v>
      </c>
      <c r="Q6775" s="1" t="s">
        <v>13513</v>
      </c>
      <c r="R6775" s="1" t="s">
        <v>67</v>
      </c>
      <c r="S6775" s="1" t="s">
        <v>2025</v>
      </c>
      <c r="T6775" s="1" t="s">
        <v>2026</v>
      </c>
      <c r="U6775" s="2" t="s">
        <v>7878</v>
      </c>
      <c r="V6775" s="2" t="s">
        <v>83</v>
      </c>
      <c r="W6775" s="2" t="s">
        <v>178</v>
      </c>
      <c r="X6775" s="2">
        <v>191.59</v>
      </c>
    </row>
    <row r="6776" spans="1:24" x14ac:dyDescent="0.3">
      <c r="A6776">
        <v>24592</v>
      </c>
      <c r="B6776" t="s">
        <v>13514</v>
      </c>
      <c r="C6776" s="3">
        <v>41550</v>
      </c>
      <c r="D6776" t="s">
        <v>39</v>
      </c>
      <c r="E6776">
        <v>20</v>
      </c>
      <c r="F6776" s="3">
        <f ca="1">41552+(RANDBETWEEN(1,10))</f>
        <v>41560</v>
      </c>
      <c r="G6776" t="s">
        <v>26</v>
      </c>
      <c r="H6776" t="s">
        <v>96</v>
      </c>
      <c r="I6776" t="s">
        <v>97</v>
      </c>
      <c r="J6776">
        <v>202.16</v>
      </c>
      <c r="K6776">
        <v>0</v>
      </c>
      <c r="L6776">
        <v>0.59</v>
      </c>
      <c r="M6776">
        <v>3.395</v>
      </c>
      <c r="N6776">
        <v>17.838799999999999</v>
      </c>
      <c r="O6776" s="1" t="s">
        <v>64</v>
      </c>
      <c r="P6776" s="1" t="s">
        <v>12753</v>
      </c>
      <c r="Q6776" s="1" t="s">
        <v>12754</v>
      </c>
      <c r="R6776" s="1" t="s">
        <v>128</v>
      </c>
      <c r="S6776" s="1" t="s">
        <v>12755</v>
      </c>
      <c r="T6776" s="1" t="s">
        <v>12756</v>
      </c>
      <c r="U6776" s="2" t="s">
        <v>4579</v>
      </c>
      <c r="V6776" s="2" t="s">
        <v>47</v>
      </c>
      <c r="W6776" s="2" t="s">
        <v>104</v>
      </c>
      <c r="X6776" s="2">
        <v>9.73</v>
      </c>
    </row>
    <row r="6777" spans="1:24" x14ac:dyDescent="0.3">
      <c r="A6777">
        <v>24593</v>
      </c>
      <c r="B6777" t="s">
        <v>13514</v>
      </c>
      <c r="C6777" s="3">
        <v>41550</v>
      </c>
      <c r="D6777" t="s">
        <v>39</v>
      </c>
      <c r="E6777">
        <v>20</v>
      </c>
      <c r="F6777" s="3">
        <f ca="1">41552+(RANDBETWEEN(1,10))</f>
        <v>41557</v>
      </c>
      <c r="G6777" t="s">
        <v>26</v>
      </c>
      <c r="H6777" t="s">
        <v>27</v>
      </c>
      <c r="I6777" t="s">
        <v>97</v>
      </c>
      <c r="J6777">
        <v>181.65</v>
      </c>
      <c r="K6777">
        <v>0.03</v>
      </c>
      <c r="L6777">
        <v>0.39</v>
      </c>
      <c r="M6777">
        <v>1.75</v>
      </c>
      <c r="N6777">
        <v>15.226050000000001</v>
      </c>
      <c r="O6777" s="1" t="s">
        <v>29</v>
      </c>
      <c r="P6777" s="1" t="s">
        <v>13515</v>
      </c>
      <c r="Q6777" s="1" t="s">
        <v>13516</v>
      </c>
      <c r="R6777" s="1" t="s">
        <v>32</v>
      </c>
      <c r="S6777" s="1" t="s">
        <v>4995</v>
      </c>
      <c r="T6777" s="1" t="s">
        <v>4996</v>
      </c>
      <c r="U6777" s="2" t="s">
        <v>1706</v>
      </c>
      <c r="V6777" s="2" t="s">
        <v>47</v>
      </c>
      <c r="W6777" s="2" t="s">
        <v>203</v>
      </c>
      <c r="X6777" s="2">
        <v>9.1349999999999998</v>
      </c>
    </row>
    <row r="6778" spans="1:24" x14ac:dyDescent="0.3">
      <c r="A6778">
        <v>24594</v>
      </c>
      <c r="B6778" t="s">
        <v>13514</v>
      </c>
      <c r="C6778" s="3">
        <v>41550</v>
      </c>
      <c r="D6778" t="s">
        <v>39</v>
      </c>
      <c r="E6778">
        <v>20</v>
      </c>
      <c r="F6778" s="3">
        <f ca="1">41552+(RANDBETWEEN(1,10))</f>
        <v>41557</v>
      </c>
      <c r="G6778" t="s">
        <v>26</v>
      </c>
      <c r="H6778" t="s">
        <v>27</v>
      </c>
      <c r="I6778" t="s">
        <v>97</v>
      </c>
      <c r="J6778">
        <v>3689.3850000000002</v>
      </c>
      <c r="K6778">
        <v>0.03</v>
      </c>
      <c r="L6778">
        <v>0.55000000000000004</v>
      </c>
      <c r="M6778">
        <v>69.965000000000003</v>
      </c>
      <c r="N6778">
        <v>1038.7251000000001</v>
      </c>
      <c r="O6778" s="1" t="s">
        <v>29</v>
      </c>
      <c r="P6778" s="1" t="s">
        <v>13515</v>
      </c>
      <c r="Q6778" s="1" t="s">
        <v>13516</v>
      </c>
      <c r="R6778" s="1" t="s">
        <v>32</v>
      </c>
      <c r="S6778" s="1" t="s">
        <v>4995</v>
      </c>
      <c r="T6778" s="1" t="s">
        <v>4996</v>
      </c>
      <c r="U6778" s="2" t="s">
        <v>8123</v>
      </c>
      <c r="V6778" s="2" t="s">
        <v>83</v>
      </c>
      <c r="W6778" s="2" t="s">
        <v>178</v>
      </c>
      <c r="X6778" s="2">
        <v>181.125</v>
      </c>
    </row>
    <row r="6779" spans="1:24" x14ac:dyDescent="0.3">
      <c r="A6779">
        <v>24595</v>
      </c>
      <c r="B6779" t="s">
        <v>13517</v>
      </c>
      <c r="C6779" s="3">
        <v>41808</v>
      </c>
      <c r="D6779" t="s">
        <v>25</v>
      </c>
      <c r="E6779">
        <v>12</v>
      </c>
      <c r="F6779" s="3">
        <f ca="1">41810+(RANDBETWEEN(1,10))</f>
        <v>41813</v>
      </c>
      <c r="G6779" t="s">
        <v>26</v>
      </c>
      <c r="H6779" t="s">
        <v>27</v>
      </c>
      <c r="I6779" t="s">
        <v>86</v>
      </c>
      <c r="J6779">
        <v>6074.9849999999997</v>
      </c>
      <c r="K6779">
        <v>7.0000000000000007E-2</v>
      </c>
      <c r="L6779">
        <v>0.74</v>
      </c>
      <c r="M6779">
        <v>22.75</v>
      </c>
      <c r="N6779">
        <v>733.36199999999997</v>
      </c>
      <c r="O6779" s="1" t="s">
        <v>40</v>
      </c>
      <c r="P6779" s="1" t="s">
        <v>4950</v>
      </c>
      <c r="Q6779" s="1" t="s">
        <v>4951</v>
      </c>
      <c r="R6779" s="1" t="s">
        <v>220</v>
      </c>
      <c r="S6779" s="1" t="s">
        <v>4952</v>
      </c>
      <c r="T6779" s="1" t="s">
        <v>4953</v>
      </c>
      <c r="U6779" s="2" t="s">
        <v>192</v>
      </c>
      <c r="V6779" s="2" t="s">
        <v>36</v>
      </c>
      <c r="W6779" s="2" t="s">
        <v>60</v>
      </c>
      <c r="X6779" s="2">
        <v>533.67999999999995</v>
      </c>
    </row>
    <row r="6780" spans="1:24" x14ac:dyDescent="0.3">
      <c r="A6780">
        <v>24596</v>
      </c>
      <c r="B6780" t="s">
        <v>13518</v>
      </c>
      <c r="C6780" s="3">
        <v>41779</v>
      </c>
      <c r="D6780" t="s">
        <v>25</v>
      </c>
      <c r="E6780">
        <v>3</v>
      </c>
      <c r="F6780" s="3">
        <f ca="1">41783+(RANDBETWEEN(1,10))</f>
        <v>41790</v>
      </c>
      <c r="G6780" t="s">
        <v>26</v>
      </c>
      <c r="H6780" t="s">
        <v>27</v>
      </c>
      <c r="I6780" t="s">
        <v>28</v>
      </c>
      <c r="J6780">
        <v>67.34</v>
      </c>
      <c r="K6780">
        <v>0.1</v>
      </c>
      <c r="L6780">
        <v>0.36</v>
      </c>
      <c r="M6780">
        <v>18.445</v>
      </c>
      <c r="N6780">
        <v>-101.38975000000001</v>
      </c>
      <c r="O6780" s="1" t="s">
        <v>29</v>
      </c>
      <c r="P6780" s="1" t="s">
        <v>13509</v>
      </c>
      <c r="Q6780" s="1" t="s">
        <v>13510</v>
      </c>
      <c r="R6780" s="1" t="s">
        <v>32</v>
      </c>
      <c r="S6780" s="1" t="s">
        <v>1961</v>
      </c>
      <c r="T6780" s="1" t="s">
        <v>1962</v>
      </c>
      <c r="U6780" s="2" t="s">
        <v>588</v>
      </c>
      <c r="V6780" s="2" t="s">
        <v>47</v>
      </c>
      <c r="W6780" s="2" t="s">
        <v>111</v>
      </c>
      <c r="X6780" s="2">
        <v>22.89</v>
      </c>
    </row>
    <row r="6781" spans="1:24" x14ac:dyDescent="0.3">
      <c r="A6781">
        <v>24597</v>
      </c>
      <c r="B6781" t="s">
        <v>13519</v>
      </c>
      <c r="C6781" s="3">
        <v>40975</v>
      </c>
      <c r="D6781" t="s">
        <v>39</v>
      </c>
      <c r="E6781">
        <v>9</v>
      </c>
      <c r="F6781" s="3">
        <f ca="1">40976+(RANDBETWEEN(1,10))</f>
        <v>40977</v>
      </c>
      <c r="G6781" t="s">
        <v>26</v>
      </c>
      <c r="H6781" t="s">
        <v>51</v>
      </c>
      <c r="I6781" t="s">
        <v>97</v>
      </c>
      <c r="J6781">
        <v>271.91500000000002</v>
      </c>
      <c r="K6781">
        <v>0.03</v>
      </c>
      <c r="L6781">
        <v>0.61</v>
      </c>
      <c r="M6781">
        <v>12.67</v>
      </c>
      <c r="N6781">
        <v>418.42500000000001</v>
      </c>
      <c r="O6781" s="1" t="s">
        <v>29</v>
      </c>
      <c r="P6781" s="1" t="s">
        <v>10762</v>
      </c>
      <c r="Q6781" s="1" t="s">
        <v>10763</v>
      </c>
      <c r="R6781" s="1" t="s">
        <v>675</v>
      </c>
      <c r="S6781" s="1" t="s">
        <v>10764</v>
      </c>
      <c r="T6781" s="1" t="s">
        <v>10765</v>
      </c>
      <c r="U6781" s="2" t="s">
        <v>1117</v>
      </c>
      <c r="V6781" s="2" t="s">
        <v>36</v>
      </c>
      <c r="W6781" s="2" t="s">
        <v>60</v>
      </c>
      <c r="X6781" s="2">
        <v>29.61</v>
      </c>
    </row>
    <row r="6782" spans="1:24" x14ac:dyDescent="0.3">
      <c r="A6782">
        <v>24598</v>
      </c>
      <c r="B6782" t="s">
        <v>13520</v>
      </c>
      <c r="C6782" s="3">
        <v>41595</v>
      </c>
      <c r="D6782" t="s">
        <v>62</v>
      </c>
      <c r="E6782">
        <v>22</v>
      </c>
      <c r="F6782" s="3">
        <f ca="1">41596+(RANDBETWEEN(1,10))</f>
        <v>41605</v>
      </c>
      <c r="G6782" t="s">
        <v>26</v>
      </c>
      <c r="H6782" t="s">
        <v>27</v>
      </c>
      <c r="I6782" t="s">
        <v>28</v>
      </c>
      <c r="J6782">
        <v>7046.48</v>
      </c>
      <c r="K6782">
        <v>0.09</v>
      </c>
      <c r="L6782">
        <v>0.57999999999999996</v>
      </c>
      <c r="M6782">
        <v>20.72</v>
      </c>
      <c r="N6782">
        <v>-104.86</v>
      </c>
      <c r="O6782" s="1" t="s">
        <v>29</v>
      </c>
      <c r="P6782" s="1" t="s">
        <v>4866</v>
      </c>
      <c r="Q6782" s="1" t="s">
        <v>4867</v>
      </c>
      <c r="R6782" s="1" t="s">
        <v>32</v>
      </c>
      <c r="S6782" s="1" t="s">
        <v>4868</v>
      </c>
      <c r="T6782" s="1" t="s">
        <v>4869</v>
      </c>
      <c r="U6782" s="2">
        <v>8890</v>
      </c>
      <c r="V6782" s="2" t="s">
        <v>36</v>
      </c>
      <c r="W6782" s="2" t="s">
        <v>37</v>
      </c>
      <c r="X6782" s="2">
        <v>405.96499999999997</v>
      </c>
    </row>
    <row r="6783" spans="1:24" x14ac:dyDescent="0.3">
      <c r="A6783">
        <v>24599</v>
      </c>
      <c r="B6783" t="s">
        <v>13521</v>
      </c>
      <c r="C6783" s="3">
        <v>41766</v>
      </c>
      <c r="D6783" t="s">
        <v>148</v>
      </c>
      <c r="E6783">
        <v>3</v>
      </c>
      <c r="F6783" s="3">
        <f ca="1">41768+(RANDBETWEEN(1,10))</f>
        <v>41769</v>
      </c>
      <c r="G6783" t="s">
        <v>26</v>
      </c>
      <c r="H6783" t="s">
        <v>27</v>
      </c>
      <c r="I6783" t="s">
        <v>52</v>
      </c>
      <c r="J6783">
        <v>52.954999999999998</v>
      </c>
      <c r="K6783">
        <v>0.06</v>
      </c>
      <c r="L6783">
        <v>0.36</v>
      </c>
      <c r="M6783">
        <v>5.2149999999999999</v>
      </c>
      <c r="N6783">
        <v>25.376750000000001</v>
      </c>
      <c r="O6783" s="1" t="s">
        <v>29</v>
      </c>
      <c r="P6783" s="1" t="s">
        <v>11371</v>
      </c>
      <c r="Q6783" s="1" t="s">
        <v>11372</v>
      </c>
      <c r="R6783" s="1" t="s">
        <v>460</v>
      </c>
      <c r="S6783" s="1" t="s">
        <v>5791</v>
      </c>
      <c r="T6783" s="1" t="s">
        <v>11373</v>
      </c>
      <c r="U6783" s="2" t="s">
        <v>6365</v>
      </c>
      <c r="V6783" s="2" t="s">
        <v>47</v>
      </c>
      <c r="W6783" s="2" t="s">
        <v>111</v>
      </c>
      <c r="X6783" s="2">
        <v>16.87</v>
      </c>
    </row>
    <row r="6784" spans="1:24" x14ac:dyDescent="0.3">
      <c r="A6784">
        <v>24600</v>
      </c>
      <c r="B6784" t="s">
        <v>13521</v>
      </c>
      <c r="C6784" s="3">
        <v>41766</v>
      </c>
      <c r="D6784" t="s">
        <v>148</v>
      </c>
      <c r="E6784">
        <v>6</v>
      </c>
      <c r="F6784" s="3">
        <f ca="1">41768+(RANDBETWEEN(1,10))</f>
        <v>41771</v>
      </c>
      <c r="G6784" t="s">
        <v>26</v>
      </c>
      <c r="H6784" t="s">
        <v>27</v>
      </c>
      <c r="I6784" t="s">
        <v>52</v>
      </c>
      <c r="J6784">
        <v>3294.0949999999998</v>
      </c>
      <c r="K6784">
        <v>0.02</v>
      </c>
      <c r="L6784">
        <v>0.56999999999999995</v>
      </c>
      <c r="M6784">
        <v>31.465</v>
      </c>
      <c r="N6784">
        <v>1731.2085</v>
      </c>
      <c r="O6784" s="1" t="s">
        <v>29</v>
      </c>
      <c r="P6784" s="1" t="s">
        <v>11371</v>
      </c>
      <c r="Q6784" s="1" t="s">
        <v>11372</v>
      </c>
      <c r="R6784" s="1" t="s">
        <v>460</v>
      </c>
      <c r="S6784" s="1" t="s">
        <v>5791</v>
      </c>
      <c r="T6784" s="1" t="s">
        <v>11373</v>
      </c>
      <c r="U6784" s="2">
        <v>2180</v>
      </c>
      <c r="V6784" s="2" t="s">
        <v>36</v>
      </c>
      <c r="W6784" s="2" t="s">
        <v>37</v>
      </c>
      <c r="X6784" s="2">
        <v>615.96500000000003</v>
      </c>
    </row>
    <row r="6785" spans="1:24" x14ac:dyDescent="0.3">
      <c r="A6785">
        <v>24601</v>
      </c>
      <c r="B6785" t="s">
        <v>13522</v>
      </c>
      <c r="C6785" s="3">
        <v>41836</v>
      </c>
      <c r="D6785" t="s">
        <v>25</v>
      </c>
      <c r="E6785">
        <v>11</v>
      </c>
      <c r="F6785" s="3">
        <f ca="1">41838+(RANDBETWEEN(1,10))</f>
        <v>41843</v>
      </c>
      <c r="G6785" t="s">
        <v>76</v>
      </c>
      <c r="H6785" t="s">
        <v>77</v>
      </c>
      <c r="I6785" t="s">
        <v>52</v>
      </c>
      <c r="J6785">
        <v>11188.695</v>
      </c>
      <c r="K6785">
        <v>0.09</v>
      </c>
      <c r="L6785">
        <v>0.56000000000000005</v>
      </c>
      <c r="M6785">
        <v>92.855000000000004</v>
      </c>
      <c r="N6785">
        <v>-620.34</v>
      </c>
      <c r="O6785" s="1" t="s">
        <v>64</v>
      </c>
      <c r="P6785" s="1" t="s">
        <v>9151</v>
      </c>
      <c r="Q6785" s="1" t="s">
        <v>9152</v>
      </c>
      <c r="R6785" s="1" t="s">
        <v>67</v>
      </c>
      <c r="S6785" s="1" t="s">
        <v>4655</v>
      </c>
      <c r="T6785" s="1" t="s">
        <v>4656</v>
      </c>
      <c r="U6785" s="2" t="s">
        <v>481</v>
      </c>
      <c r="V6785" s="2" t="s">
        <v>36</v>
      </c>
      <c r="W6785" s="2" t="s">
        <v>142</v>
      </c>
      <c r="X6785" s="2">
        <v>1071.49</v>
      </c>
    </row>
    <row r="6786" spans="1:24" x14ac:dyDescent="0.3">
      <c r="A6786">
        <v>24602</v>
      </c>
      <c r="B6786" t="s">
        <v>13522</v>
      </c>
      <c r="C6786" s="3">
        <v>41836</v>
      </c>
      <c r="D6786" t="s">
        <v>25</v>
      </c>
      <c r="E6786">
        <v>9</v>
      </c>
      <c r="F6786" s="3">
        <f ca="1">41845+(RANDBETWEEN(1,10))</f>
        <v>41848</v>
      </c>
      <c r="G6786" t="s">
        <v>26</v>
      </c>
      <c r="H6786" t="s">
        <v>27</v>
      </c>
      <c r="I6786" t="s">
        <v>52</v>
      </c>
      <c r="J6786">
        <v>164.64</v>
      </c>
      <c r="K6786">
        <v>0.05</v>
      </c>
      <c r="L6786">
        <v>0.38</v>
      </c>
      <c r="M6786">
        <v>19.215</v>
      </c>
      <c r="N6786">
        <v>-29.007999999999999</v>
      </c>
      <c r="O6786" s="1" t="s">
        <v>64</v>
      </c>
      <c r="P6786" s="1" t="s">
        <v>9151</v>
      </c>
      <c r="Q6786" s="1" t="s">
        <v>9152</v>
      </c>
      <c r="R6786" s="1" t="s">
        <v>67</v>
      </c>
      <c r="S6786" s="1" t="s">
        <v>4655</v>
      </c>
      <c r="T6786" s="1" t="s">
        <v>4656</v>
      </c>
      <c r="U6786" s="2" t="s">
        <v>236</v>
      </c>
      <c r="V6786" s="2" t="s">
        <v>47</v>
      </c>
      <c r="W6786" s="2" t="s">
        <v>74</v>
      </c>
      <c r="X6786" s="2">
        <v>17.43</v>
      </c>
    </row>
    <row r="6787" spans="1:24" x14ac:dyDescent="0.3">
      <c r="A6787">
        <v>24603</v>
      </c>
      <c r="B6787" t="s">
        <v>13523</v>
      </c>
      <c r="C6787" s="3">
        <v>41291</v>
      </c>
      <c r="D6787" t="s">
        <v>62</v>
      </c>
      <c r="E6787">
        <v>10</v>
      </c>
      <c r="F6787" s="3">
        <f ca="1">41291+(RANDBETWEEN(1,10))</f>
        <v>41299</v>
      </c>
      <c r="G6787" t="s">
        <v>26</v>
      </c>
      <c r="H6787" t="s">
        <v>27</v>
      </c>
      <c r="I6787" t="s">
        <v>28</v>
      </c>
      <c r="J6787">
        <v>222.67</v>
      </c>
      <c r="K6787">
        <v>0.01</v>
      </c>
      <c r="L6787">
        <v>0.39</v>
      </c>
      <c r="M6787">
        <v>1.75</v>
      </c>
      <c r="N6787">
        <v>153.64230000000001</v>
      </c>
      <c r="O6787" s="1" t="s">
        <v>53</v>
      </c>
      <c r="P6787" s="1" t="s">
        <v>6556</v>
      </c>
      <c r="Q6787" s="1" t="s">
        <v>6557</v>
      </c>
      <c r="R6787" s="1" t="s">
        <v>56</v>
      </c>
      <c r="S6787" s="1" t="s">
        <v>6558</v>
      </c>
      <c r="T6787" s="1" t="s">
        <v>6559</v>
      </c>
      <c r="U6787" s="2" t="s">
        <v>2675</v>
      </c>
      <c r="V6787" s="2" t="s">
        <v>47</v>
      </c>
      <c r="W6787" s="2" t="s">
        <v>203</v>
      </c>
      <c r="X6787" s="2">
        <v>22.05</v>
      </c>
    </row>
    <row r="6788" spans="1:24" x14ac:dyDescent="0.3">
      <c r="A6788">
        <v>24604</v>
      </c>
      <c r="B6788" t="s">
        <v>13524</v>
      </c>
      <c r="C6788" s="3">
        <v>40581</v>
      </c>
      <c r="D6788" t="s">
        <v>148</v>
      </c>
      <c r="E6788">
        <v>12</v>
      </c>
      <c r="F6788" s="3">
        <f ca="1">40581+(RANDBETWEEN(1,10))</f>
        <v>40584</v>
      </c>
      <c r="G6788" t="s">
        <v>26</v>
      </c>
      <c r="H6788" t="s">
        <v>27</v>
      </c>
      <c r="I6788" t="s">
        <v>28</v>
      </c>
      <c r="J6788">
        <v>1277.22</v>
      </c>
      <c r="K6788">
        <v>7.0000000000000007E-2</v>
      </c>
      <c r="L6788">
        <v>0.35</v>
      </c>
      <c r="M6788">
        <v>10.465</v>
      </c>
      <c r="N6788">
        <v>-334.6651</v>
      </c>
      <c r="O6788" s="1" t="s">
        <v>40</v>
      </c>
      <c r="P6788" s="1" t="s">
        <v>11319</v>
      </c>
      <c r="Q6788" s="1" t="s">
        <v>11320</v>
      </c>
      <c r="R6788" s="1" t="s">
        <v>220</v>
      </c>
      <c r="S6788" s="1" t="s">
        <v>478</v>
      </c>
      <c r="T6788" s="1" t="s">
        <v>479</v>
      </c>
      <c r="U6788" s="2" t="s">
        <v>4393</v>
      </c>
      <c r="V6788" s="2" t="s">
        <v>47</v>
      </c>
      <c r="W6788" s="2" t="s">
        <v>111</v>
      </c>
      <c r="X6788" s="2">
        <v>106.96</v>
      </c>
    </row>
    <row r="6789" spans="1:24" x14ac:dyDescent="0.3">
      <c r="A6789">
        <v>24605</v>
      </c>
      <c r="B6789" t="s">
        <v>13525</v>
      </c>
      <c r="C6789" s="3">
        <v>41794</v>
      </c>
      <c r="D6789" t="s">
        <v>62</v>
      </c>
      <c r="E6789">
        <v>12</v>
      </c>
      <c r="F6789" s="3">
        <f ca="1">41796+(RANDBETWEEN(1,10))</f>
        <v>41806</v>
      </c>
      <c r="G6789" t="s">
        <v>156</v>
      </c>
      <c r="H6789" t="s">
        <v>27</v>
      </c>
      <c r="I6789" t="s">
        <v>86</v>
      </c>
      <c r="J6789">
        <v>2083.165</v>
      </c>
      <c r="K6789">
        <v>0.09</v>
      </c>
      <c r="L6789">
        <v>0.45</v>
      </c>
      <c r="M6789">
        <v>69.965000000000003</v>
      </c>
      <c r="N6789">
        <v>-62.524000000000001</v>
      </c>
      <c r="O6789" s="1" t="s">
        <v>29</v>
      </c>
      <c r="P6789" s="1" t="s">
        <v>13108</v>
      </c>
      <c r="Q6789" s="1" t="s">
        <v>13109</v>
      </c>
      <c r="R6789" s="1" t="s">
        <v>675</v>
      </c>
      <c r="S6789" s="1" t="s">
        <v>746</v>
      </c>
      <c r="T6789" s="1" t="s">
        <v>747</v>
      </c>
      <c r="U6789" s="2" t="s">
        <v>72</v>
      </c>
      <c r="V6789" s="2" t="s">
        <v>36</v>
      </c>
      <c r="W6789" s="2" t="s">
        <v>60</v>
      </c>
      <c r="X6789" s="2">
        <v>174.965</v>
      </c>
    </row>
    <row r="6790" spans="1:24" x14ac:dyDescent="0.3">
      <c r="A6790">
        <v>24606</v>
      </c>
      <c r="B6790" t="s">
        <v>13526</v>
      </c>
      <c r="C6790" s="3">
        <v>41550</v>
      </c>
      <c r="D6790" t="s">
        <v>62</v>
      </c>
      <c r="E6790">
        <v>5</v>
      </c>
      <c r="F6790" s="3">
        <f ca="1">41550+(RANDBETWEEN(1,10))</f>
        <v>41551</v>
      </c>
      <c r="G6790" t="s">
        <v>76</v>
      </c>
      <c r="H6790" t="s">
        <v>77</v>
      </c>
      <c r="I6790" t="s">
        <v>28</v>
      </c>
      <c r="J6790">
        <v>2353.19</v>
      </c>
      <c r="K6790">
        <v>0.06</v>
      </c>
      <c r="L6790">
        <v>0.78</v>
      </c>
      <c r="M6790">
        <v>105</v>
      </c>
      <c r="N6790">
        <v>46.153799999999997</v>
      </c>
      <c r="O6790" s="1" t="s">
        <v>40</v>
      </c>
      <c r="P6790" s="1" t="s">
        <v>11319</v>
      </c>
      <c r="Q6790" s="1" t="s">
        <v>11320</v>
      </c>
      <c r="R6790" s="1" t="s">
        <v>220</v>
      </c>
      <c r="S6790" s="1" t="s">
        <v>478</v>
      </c>
      <c r="T6790" s="1" t="s">
        <v>479</v>
      </c>
      <c r="U6790" s="2" t="s">
        <v>2894</v>
      </c>
      <c r="V6790" s="2" t="s">
        <v>83</v>
      </c>
      <c r="W6790" s="2" t="s">
        <v>84</v>
      </c>
      <c r="X6790" s="2">
        <v>458.43</v>
      </c>
    </row>
    <row r="6791" spans="1:24" x14ac:dyDescent="0.3">
      <c r="A6791">
        <v>24607</v>
      </c>
      <c r="B6791" t="s">
        <v>13527</v>
      </c>
      <c r="C6791" s="3">
        <v>40593</v>
      </c>
      <c r="D6791" t="s">
        <v>39</v>
      </c>
      <c r="E6791">
        <v>8</v>
      </c>
      <c r="F6791" s="3">
        <f ca="1">40595+(RANDBETWEEN(1,10))</f>
        <v>40603</v>
      </c>
      <c r="G6791" t="s">
        <v>26</v>
      </c>
      <c r="H6791" t="s">
        <v>27</v>
      </c>
      <c r="I6791" t="s">
        <v>28</v>
      </c>
      <c r="J6791">
        <v>316.61</v>
      </c>
      <c r="K6791">
        <v>0.05</v>
      </c>
      <c r="L6791">
        <v>0.59</v>
      </c>
      <c r="M6791">
        <v>17.605</v>
      </c>
      <c r="N6791">
        <v>-123.41</v>
      </c>
      <c r="O6791" s="1" t="s">
        <v>225</v>
      </c>
      <c r="P6791" s="1" t="s">
        <v>11886</v>
      </c>
      <c r="Q6791" s="1" t="s">
        <v>11887</v>
      </c>
      <c r="R6791" s="1" t="s">
        <v>391</v>
      </c>
      <c r="S6791" s="1" t="s">
        <v>1832</v>
      </c>
      <c r="T6791" s="1" t="s">
        <v>1833</v>
      </c>
      <c r="U6791" s="2" t="s">
        <v>3292</v>
      </c>
      <c r="V6791" s="2" t="s">
        <v>47</v>
      </c>
      <c r="W6791" s="2" t="s">
        <v>119</v>
      </c>
      <c r="X6791" s="2">
        <v>39.515000000000001</v>
      </c>
    </row>
    <row r="6792" spans="1:24" x14ac:dyDescent="0.3">
      <c r="A6792">
        <v>24608</v>
      </c>
      <c r="B6792" t="s">
        <v>13528</v>
      </c>
      <c r="C6792" s="3">
        <v>41772</v>
      </c>
      <c r="D6792" t="s">
        <v>25</v>
      </c>
      <c r="E6792">
        <v>11</v>
      </c>
      <c r="F6792" s="3">
        <f ca="1">41776+(RANDBETWEEN(1,10))</f>
        <v>41783</v>
      </c>
      <c r="G6792" t="s">
        <v>156</v>
      </c>
      <c r="H6792" t="s">
        <v>51</v>
      </c>
      <c r="I6792" t="s">
        <v>86</v>
      </c>
      <c r="J6792">
        <v>642.84500000000003</v>
      </c>
      <c r="K6792">
        <v>0.08</v>
      </c>
      <c r="L6792">
        <v>0.56000000000000005</v>
      </c>
      <c r="M6792">
        <v>31.465</v>
      </c>
      <c r="N6792">
        <v>-340.23500000000001</v>
      </c>
      <c r="O6792" s="1" t="s">
        <v>29</v>
      </c>
      <c r="P6792" s="1" t="s">
        <v>13529</v>
      </c>
      <c r="Q6792" s="1" t="s">
        <v>13530</v>
      </c>
      <c r="R6792" s="1" t="s">
        <v>32</v>
      </c>
      <c r="S6792" s="1" t="s">
        <v>13400</v>
      </c>
      <c r="T6792" s="1" t="s">
        <v>13401</v>
      </c>
      <c r="U6792" s="2" t="s">
        <v>4099</v>
      </c>
      <c r="V6792" s="2" t="s">
        <v>47</v>
      </c>
      <c r="W6792" s="2" t="s">
        <v>104</v>
      </c>
      <c r="X6792" s="2">
        <v>59.465000000000003</v>
      </c>
    </row>
    <row r="6793" spans="1:24" x14ac:dyDescent="0.3">
      <c r="A6793">
        <v>24609</v>
      </c>
      <c r="B6793" t="s">
        <v>13531</v>
      </c>
      <c r="C6793" s="3">
        <v>41772</v>
      </c>
      <c r="D6793" t="s">
        <v>62</v>
      </c>
      <c r="E6793">
        <v>11</v>
      </c>
      <c r="F6793" s="3">
        <f ca="1">41774+(RANDBETWEEN(1,10))</f>
        <v>41778</v>
      </c>
      <c r="G6793" t="s">
        <v>76</v>
      </c>
      <c r="H6793" t="s">
        <v>77</v>
      </c>
      <c r="I6793" t="s">
        <v>86</v>
      </c>
      <c r="J6793">
        <v>936.95</v>
      </c>
      <c r="K6793">
        <v>0.08</v>
      </c>
      <c r="L6793">
        <v>0.6</v>
      </c>
      <c r="M6793">
        <v>50.26</v>
      </c>
      <c r="N6793">
        <v>775.58249999999998</v>
      </c>
      <c r="O6793" s="1" t="s">
        <v>40</v>
      </c>
      <c r="P6793" s="1" t="s">
        <v>10177</v>
      </c>
      <c r="Q6793" s="1" t="s">
        <v>10178</v>
      </c>
      <c r="R6793" s="1" t="s">
        <v>220</v>
      </c>
      <c r="S6793" s="1" t="s">
        <v>10179</v>
      </c>
      <c r="T6793" s="1" t="s">
        <v>10180</v>
      </c>
      <c r="U6793" s="2" t="s">
        <v>4583</v>
      </c>
      <c r="V6793" s="2" t="s">
        <v>83</v>
      </c>
      <c r="W6793" s="2" t="s">
        <v>84</v>
      </c>
      <c r="X6793" s="2">
        <v>90.93</v>
      </c>
    </row>
    <row r="6794" spans="1:24" x14ac:dyDescent="0.3">
      <c r="A6794">
        <v>24610</v>
      </c>
      <c r="B6794" t="s">
        <v>13532</v>
      </c>
      <c r="C6794" s="3">
        <v>41318</v>
      </c>
      <c r="D6794" t="s">
        <v>50</v>
      </c>
      <c r="E6794">
        <v>5</v>
      </c>
      <c r="F6794" s="3">
        <f ca="1">41319+(RANDBETWEEN(1,10))</f>
        <v>41320</v>
      </c>
      <c r="G6794" t="s">
        <v>76</v>
      </c>
      <c r="H6794" t="s">
        <v>258</v>
      </c>
      <c r="I6794" t="s">
        <v>28</v>
      </c>
      <c r="J6794">
        <v>5011.51</v>
      </c>
      <c r="K6794">
        <v>0.06</v>
      </c>
      <c r="L6794">
        <v>0.78</v>
      </c>
      <c r="M6794">
        <v>216.16</v>
      </c>
      <c r="N6794">
        <v>1174.1247000000001</v>
      </c>
      <c r="O6794" s="1" t="s">
        <v>29</v>
      </c>
      <c r="P6794" s="1" t="s">
        <v>12727</v>
      </c>
      <c r="Q6794" s="1" t="s">
        <v>12728</v>
      </c>
      <c r="R6794" s="1" t="s">
        <v>32</v>
      </c>
      <c r="S6794" s="1" t="s">
        <v>12729</v>
      </c>
      <c r="T6794" s="1" t="s">
        <v>12730</v>
      </c>
      <c r="U6794" s="2" t="s">
        <v>3683</v>
      </c>
      <c r="V6794" s="2" t="s">
        <v>83</v>
      </c>
      <c r="W6794" s="2" t="s">
        <v>263</v>
      </c>
      <c r="X6794" s="2">
        <v>1003.975</v>
      </c>
    </row>
    <row r="6795" spans="1:24" x14ac:dyDescent="0.3">
      <c r="A6795">
        <v>24611</v>
      </c>
      <c r="B6795" t="s">
        <v>13533</v>
      </c>
      <c r="C6795" s="3">
        <v>41137</v>
      </c>
      <c r="D6795" t="s">
        <v>39</v>
      </c>
      <c r="E6795">
        <v>17</v>
      </c>
      <c r="F6795" s="3">
        <f ca="1">41138+(RANDBETWEEN(1,10))</f>
        <v>41147</v>
      </c>
      <c r="G6795" t="s">
        <v>26</v>
      </c>
      <c r="H6795" t="s">
        <v>27</v>
      </c>
      <c r="I6795" t="s">
        <v>52</v>
      </c>
      <c r="J6795">
        <v>764.08500000000004</v>
      </c>
      <c r="K6795">
        <v>0.01</v>
      </c>
      <c r="L6795">
        <v>0.38</v>
      </c>
      <c r="M6795">
        <v>25.094999999999999</v>
      </c>
      <c r="N6795">
        <v>-62.548499999999997</v>
      </c>
      <c r="O6795" s="1" t="s">
        <v>53</v>
      </c>
      <c r="P6795" s="1" t="s">
        <v>8987</v>
      </c>
      <c r="Q6795" s="1" t="s">
        <v>8988</v>
      </c>
      <c r="R6795" s="1" t="s">
        <v>440</v>
      </c>
      <c r="S6795" s="1" t="s">
        <v>8989</v>
      </c>
      <c r="T6795" s="1" t="s">
        <v>8990</v>
      </c>
      <c r="U6795" s="2" t="s">
        <v>966</v>
      </c>
      <c r="V6795" s="2" t="s">
        <v>47</v>
      </c>
      <c r="W6795" s="2" t="s">
        <v>111</v>
      </c>
      <c r="X6795" s="2">
        <v>43.854999999999997</v>
      </c>
    </row>
    <row r="6796" spans="1:24" x14ac:dyDescent="0.3">
      <c r="A6796">
        <v>24612</v>
      </c>
      <c r="B6796" t="s">
        <v>13534</v>
      </c>
      <c r="C6796" s="3">
        <v>41730</v>
      </c>
      <c r="D6796" t="s">
        <v>50</v>
      </c>
      <c r="E6796">
        <v>9</v>
      </c>
      <c r="F6796" s="3">
        <f ca="1">41732+(RANDBETWEEN(1,10))</f>
        <v>41733</v>
      </c>
      <c r="G6796" t="s">
        <v>26</v>
      </c>
      <c r="H6796" t="s">
        <v>96</v>
      </c>
      <c r="I6796" t="s">
        <v>97</v>
      </c>
      <c r="J6796">
        <v>138.6</v>
      </c>
      <c r="K6796">
        <v>0.08</v>
      </c>
      <c r="L6796">
        <v>0.52</v>
      </c>
      <c r="M6796">
        <v>6.7549999999999999</v>
      </c>
      <c r="N6796">
        <v>-24.78</v>
      </c>
      <c r="O6796" s="1" t="s">
        <v>53</v>
      </c>
      <c r="P6796" s="1" t="s">
        <v>11838</v>
      </c>
      <c r="Q6796" s="1" t="s">
        <v>11839</v>
      </c>
      <c r="R6796" s="1" t="s">
        <v>100</v>
      </c>
      <c r="S6796" s="1" t="s">
        <v>11840</v>
      </c>
      <c r="T6796" s="1" t="s">
        <v>11841</v>
      </c>
      <c r="U6796" s="2" t="s">
        <v>3186</v>
      </c>
      <c r="V6796" s="2" t="s">
        <v>47</v>
      </c>
      <c r="W6796" s="2" t="s">
        <v>104</v>
      </c>
      <c r="X6796" s="2">
        <v>16.204999999999998</v>
      </c>
    </row>
    <row r="6797" spans="1:24" x14ac:dyDescent="0.3">
      <c r="A6797">
        <v>24613</v>
      </c>
      <c r="B6797" t="s">
        <v>13535</v>
      </c>
      <c r="C6797" s="3">
        <v>41700</v>
      </c>
      <c r="D6797" t="s">
        <v>62</v>
      </c>
      <c r="E6797">
        <v>11</v>
      </c>
      <c r="F6797" s="3">
        <f ca="1">41701+(RANDBETWEEN(1,10))</f>
        <v>41706</v>
      </c>
      <c r="G6797" t="s">
        <v>26</v>
      </c>
      <c r="H6797" t="s">
        <v>51</v>
      </c>
      <c r="I6797" t="s">
        <v>97</v>
      </c>
      <c r="J6797">
        <v>1176.7</v>
      </c>
      <c r="K6797">
        <v>0.03</v>
      </c>
      <c r="L6797">
        <v>0.39</v>
      </c>
      <c r="M6797">
        <v>11.55</v>
      </c>
      <c r="N6797">
        <v>811.923</v>
      </c>
      <c r="O6797" s="1" t="s">
        <v>40</v>
      </c>
      <c r="P6797" s="1" t="s">
        <v>13536</v>
      </c>
      <c r="Q6797" s="1" t="s">
        <v>13537</v>
      </c>
      <c r="R6797" s="1" t="s">
        <v>43</v>
      </c>
      <c r="S6797" s="1" t="s">
        <v>3877</v>
      </c>
      <c r="T6797" s="1" t="s">
        <v>3878</v>
      </c>
      <c r="U6797" s="2" t="s">
        <v>5976</v>
      </c>
      <c r="V6797" s="2" t="s">
        <v>36</v>
      </c>
      <c r="W6797" s="2" t="s">
        <v>37</v>
      </c>
      <c r="X6797" s="2">
        <v>125.965</v>
      </c>
    </row>
    <row r="6798" spans="1:24" x14ac:dyDescent="0.3">
      <c r="A6798">
        <v>24614</v>
      </c>
      <c r="B6798" t="s">
        <v>13538</v>
      </c>
      <c r="C6798" s="3">
        <v>41564</v>
      </c>
      <c r="D6798" t="s">
        <v>148</v>
      </c>
      <c r="E6798">
        <v>21</v>
      </c>
      <c r="F6798" s="3">
        <f ca="1">41566+(RANDBETWEEN(1,10))</f>
        <v>41575</v>
      </c>
      <c r="G6798" t="s">
        <v>76</v>
      </c>
      <c r="H6798" t="s">
        <v>258</v>
      </c>
      <c r="I6798" t="s">
        <v>97</v>
      </c>
      <c r="J6798">
        <v>7607.2150000000001</v>
      </c>
      <c r="K6798">
        <v>0.05</v>
      </c>
      <c r="L6798">
        <v>0.62</v>
      </c>
      <c r="M6798">
        <v>125.44</v>
      </c>
      <c r="N6798">
        <v>29.672999999999998</v>
      </c>
      <c r="O6798" s="1" t="s">
        <v>29</v>
      </c>
      <c r="P6798" s="1" t="s">
        <v>10762</v>
      </c>
      <c r="Q6798" s="1" t="s">
        <v>10763</v>
      </c>
      <c r="R6798" s="1" t="s">
        <v>675</v>
      </c>
      <c r="S6798" s="1" t="s">
        <v>10764</v>
      </c>
      <c r="T6798" s="1" t="s">
        <v>10765</v>
      </c>
      <c r="U6798" s="2" t="s">
        <v>1271</v>
      </c>
      <c r="V6798" s="2" t="s">
        <v>83</v>
      </c>
      <c r="W6798" s="2" t="s">
        <v>298</v>
      </c>
      <c r="X6798" s="2">
        <v>353.43</v>
      </c>
    </row>
    <row r="6799" spans="1:24" x14ac:dyDescent="0.3">
      <c r="A6799">
        <v>24615</v>
      </c>
      <c r="B6799" t="s">
        <v>13539</v>
      </c>
      <c r="C6799" s="3">
        <v>41018</v>
      </c>
      <c r="D6799" t="s">
        <v>148</v>
      </c>
      <c r="E6799">
        <v>5</v>
      </c>
      <c r="F6799" s="3">
        <f ca="1">41018+(RANDBETWEEN(1,10))</f>
        <v>41023</v>
      </c>
      <c r="G6799" t="s">
        <v>26</v>
      </c>
      <c r="H6799" t="s">
        <v>27</v>
      </c>
      <c r="I6799" t="s">
        <v>52</v>
      </c>
      <c r="J6799">
        <v>82.39</v>
      </c>
      <c r="K6799">
        <v>0.06</v>
      </c>
      <c r="L6799">
        <v>0.36</v>
      </c>
      <c r="M6799">
        <v>1.75</v>
      </c>
      <c r="N6799">
        <v>-144.84399999999999</v>
      </c>
      <c r="O6799" s="1" t="s">
        <v>29</v>
      </c>
      <c r="P6799" s="1" t="s">
        <v>8677</v>
      </c>
      <c r="Q6799" s="1" t="s">
        <v>8678</v>
      </c>
      <c r="R6799" s="1" t="s">
        <v>460</v>
      </c>
      <c r="S6799" s="1" t="s">
        <v>8679</v>
      </c>
      <c r="T6799" s="1" t="s">
        <v>8680</v>
      </c>
      <c r="U6799" s="2" t="s">
        <v>1158</v>
      </c>
      <c r="V6799" s="2" t="s">
        <v>47</v>
      </c>
      <c r="W6799" s="2" t="s">
        <v>203</v>
      </c>
      <c r="X6799" s="2">
        <v>17.184999999999999</v>
      </c>
    </row>
    <row r="6800" spans="1:24" x14ac:dyDescent="0.3">
      <c r="A6800">
        <v>24616</v>
      </c>
      <c r="B6800" t="s">
        <v>13539</v>
      </c>
      <c r="C6800" s="3">
        <v>41018</v>
      </c>
      <c r="D6800" t="s">
        <v>148</v>
      </c>
      <c r="E6800">
        <v>11</v>
      </c>
      <c r="F6800" s="3">
        <f ca="1">41019+(RANDBETWEEN(1,10))</f>
        <v>41028</v>
      </c>
      <c r="G6800" t="s">
        <v>26</v>
      </c>
      <c r="H6800" t="s">
        <v>96</v>
      </c>
      <c r="I6800" t="s">
        <v>52</v>
      </c>
      <c r="J6800">
        <v>250.53</v>
      </c>
      <c r="K6800">
        <v>0.01</v>
      </c>
      <c r="L6800">
        <v>0.38</v>
      </c>
      <c r="M6800">
        <v>7.49</v>
      </c>
      <c r="N6800">
        <v>-508.47300000000001</v>
      </c>
      <c r="O6800" s="1" t="s">
        <v>29</v>
      </c>
      <c r="P6800" s="1" t="s">
        <v>8677</v>
      </c>
      <c r="Q6800" s="1" t="s">
        <v>8678</v>
      </c>
      <c r="R6800" s="1" t="s">
        <v>460</v>
      </c>
      <c r="S6800" s="1" t="s">
        <v>8679</v>
      </c>
      <c r="T6800" s="1" t="s">
        <v>8680</v>
      </c>
      <c r="U6800" s="2" t="s">
        <v>8173</v>
      </c>
      <c r="V6800" s="2" t="s">
        <v>47</v>
      </c>
      <c r="W6800" s="2" t="s">
        <v>74</v>
      </c>
      <c r="X6800" s="2">
        <v>21.14</v>
      </c>
    </row>
    <row r="6801" spans="1:24" x14ac:dyDescent="0.3">
      <c r="A6801">
        <v>24617</v>
      </c>
      <c r="B6801" t="s">
        <v>13539</v>
      </c>
      <c r="C6801" s="3">
        <v>41018</v>
      </c>
      <c r="D6801" t="s">
        <v>148</v>
      </c>
      <c r="E6801">
        <v>5</v>
      </c>
      <c r="F6801" s="3">
        <f ca="1">41019+(RANDBETWEEN(1,10))</f>
        <v>41021</v>
      </c>
      <c r="G6801" t="s">
        <v>26</v>
      </c>
      <c r="H6801" t="s">
        <v>27</v>
      </c>
      <c r="I6801" t="s">
        <v>52</v>
      </c>
      <c r="J6801">
        <v>86.24</v>
      </c>
      <c r="K6801">
        <v>7.0000000000000007E-2</v>
      </c>
      <c r="L6801">
        <v>0.38</v>
      </c>
      <c r="M6801">
        <v>17.57</v>
      </c>
      <c r="N6801">
        <v>-394.00900000000001</v>
      </c>
      <c r="O6801" s="1" t="s">
        <v>29</v>
      </c>
      <c r="P6801" s="1" t="s">
        <v>8677</v>
      </c>
      <c r="Q6801" s="1" t="s">
        <v>8678</v>
      </c>
      <c r="R6801" s="1" t="s">
        <v>460</v>
      </c>
      <c r="S6801" s="1" t="s">
        <v>8679</v>
      </c>
      <c r="T6801" s="1" t="s">
        <v>8680</v>
      </c>
      <c r="U6801" s="2" t="s">
        <v>10244</v>
      </c>
      <c r="V6801" s="2" t="s">
        <v>47</v>
      </c>
      <c r="W6801" s="2" t="s">
        <v>74</v>
      </c>
      <c r="X6801" s="2">
        <v>17.43</v>
      </c>
    </row>
    <row r="6802" spans="1:24" x14ac:dyDescent="0.3">
      <c r="A6802">
        <v>24618</v>
      </c>
      <c r="B6802" t="s">
        <v>13540</v>
      </c>
      <c r="C6802" s="3">
        <v>41624</v>
      </c>
      <c r="D6802" t="s">
        <v>62</v>
      </c>
      <c r="E6802">
        <v>17</v>
      </c>
      <c r="F6802" s="3">
        <f ca="1">41626+(RANDBETWEEN(1,10))</f>
        <v>41627</v>
      </c>
      <c r="G6802" t="s">
        <v>76</v>
      </c>
      <c r="H6802" t="s">
        <v>258</v>
      </c>
      <c r="I6802" t="s">
        <v>97</v>
      </c>
      <c r="J6802">
        <v>1872.2550000000001</v>
      </c>
      <c r="K6802">
        <v>7.0000000000000007E-2</v>
      </c>
      <c r="L6802">
        <v>0.65</v>
      </c>
      <c r="M6802">
        <v>159.285</v>
      </c>
      <c r="N6802">
        <v>-214.96299999999999</v>
      </c>
      <c r="O6802" s="1" t="s">
        <v>29</v>
      </c>
      <c r="P6802" s="1" t="s">
        <v>13541</v>
      </c>
      <c r="Q6802" s="1" t="s">
        <v>13542</v>
      </c>
      <c r="R6802" s="1" t="s">
        <v>32</v>
      </c>
      <c r="S6802" s="1" t="s">
        <v>13543</v>
      </c>
      <c r="T6802" s="1" t="s">
        <v>13544</v>
      </c>
      <c r="U6802" s="2" t="s">
        <v>1566</v>
      </c>
      <c r="V6802" s="2" t="s">
        <v>83</v>
      </c>
      <c r="W6802" s="2" t="s">
        <v>263</v>
      </c>
      <c r="X6802" s="2">
        <v>111.16</v>
      </c>
    </row>
    <row r="6803" spans="1:24" x14ac:dyDescent="0.3">
      <c r="A6803">
        <v>24619</v>
      </c>
      <c r="B6803" t="s">
        <v>13545</v>
      </c>
      <c r="C6803" s="3">
        <v>41572</v>
      </c>
      <c r="D6803" t="s">
        <v>148</v>
      </c>
      <c r="E6803">
        <v>18</v>
      </c>
      <c r="F6803" s="3">
        <f ca="1">41574+(RANDBETWEEN(1,10))</f>
        <v>41576</v>
      </c>
      <c r="G6803" t="s">
        <v>26</v>
      </c>
      <c r="H6803" t="s">
        <v>27</v>
      </c>
      <c r="I6803" t="s">
        <v>97</v>
      </c>
      <c r="J6803">
        <v>3733.38</v>
      </c>
      <c r="K6803">
        <v>0.05</v>
      </c>
      <c r="L6803">
        <v>0.56999999999999995</v>
      </c>
      <c r="M6803">
        <v>13.965</v>
      </c>
      <c r="N6803">
        <v>2125.3932</v>
      </c>
      <c r="O6803" s="1" t="s">
        <v>29</v>
      </c>
      <c r="P6803" s="1" t="s">
        <v>13546</v>
      </c>
      <c r="Q6803" s="1" t="s">
        <v>13547</v>
      </c>
      <c r="R6803" s="1" t="s">
        <v>675</v>
      </c>
      <c r="S6803" s="1" t="s">
        <v>13548</v>
      </c>
      <c r="T6803" s="1" t="s">
        <v>13549</v>
      </c>
      <c r="U6803" s="2" t="s">
        <v>1024</v>
      </c>
      <c r="V6803" s="2" t="s">
        <v>47</v>
      </c>
      <c r="W6803" s="2" t="s">
        <v>71</v>
      </c>
      <c r="X6803" s="2">
        <v>209.93</v>
      </c>
    </row>
    <row r="6804" spans="1:24" x14ac:dyDescent="0.3">
      <c r="A6804">
        <v>24620</v>
      </c>
      <c r="B6804" t="s">
        <v>13545</v>
      </c>
      <c r="C6804" s="3">
        <v>41572</v>
      </c>
      <c r="D6804" t="s">
        <v>148</v>
      </c>
      <c r="E6804">
        <v>20</v>
      </c>
      <c r="F6804" s="3">
        <f ca="1">41574+(RANDBETWEEN(1,10))</f>
        <v>41577</v>
      </c>
      <c r="G6804" t="s">
        <v>26</v>
      </c>
      <c r="H6804" t="s">
        <v>27</v>
      </c>
      <c r="I6804" t="s">
        <v>97</v>
      </c>
      <c r="J6804">
        <v>11582.305</v>
      </c>
      <c r="K6804">
        <v>0.1</v>
      </c>
      <c r="L6804">
        <v>0.59</v>
      </c>
      <c r="M6804">
        <v>20.965</v>
      </c>
      <c r="N6804">
        <v>4797.6679800000002</v>
      </c>
      <c r="O6804" s="1" t="s">
        <v>64</v>
      </c>
      <c r="P6804" s="1" t="s">
        <v>13550</v>
      </c>
      <c r="Q6804" s="1" t="s">
        <v>13551</v>
      </c>
      <c r="R6804" s="1" t="s">
        <v>128</v>
      </c>
      <c r="S6804" s="1" t="s">
        <v>1686</v>
      </c>
      <c r="T6804" s="1" t="s">
        <v>1687</v>
      </c>
      <c r="U6804" s="2">
        <v>3285</v>
      </c>
      <c r="V6804" s="2" t="s">
        <v>36</v>
      </c>
      <c r="W6804" s="2" t="s">
        <v>37</v>
      </c>
      <c r="X6804" s="2">
        <v>720.96500000000003</v>
      </c>
    </row>
    <row r="6805" spans="1:24" x14ac:dyDescent="0.3">
      <c r="A6805">
        <v>24621</v>
      </c>
      <c r="B6805" t="s">
        <v>13552</v>
      </c>
      <c r="C6805" s="3">
        <v>41927</v>
      </c>
      <c r="D6805" t="s">
        <v>50</v>
      </c>
      <c r="E6805">
        <v>10</v>
      </c>
      <c r="F6805" s="3">
        <f ca="1">41928+(RANDBETWEEN(1,10))</f>
        <v>41933</v>
      </c>
      <c r="G6805" t="s">
        <v>26</v>
      </c>
      <c r="H6805" t="s">
        <v>51</v>
      </c>
      <c r="I6805" t="s">
        <v>52</v>
      </c>
      <c r="J6805">
        <v>662.58500000000004</v>
      </c>
      <c r="K6805">
        <v>7.0000000000000007E-2</v>
      </c>
      <c r="L6805">
        <v>0.39</v>
      </c>
      <c r="M6805">
        <v>13.195</v>
      </c>
      <c r="N6805">
        <v>457.18365</v>
      </c>
      <c r="O6805" s="1" t="s">
        <v>87</v>
      </c>
      <c r="P6805" s="1" t="s">
        <v>11193</v>
      </c>
      <c r="Q6805" s="1" t="s">
        <v>11194</v>
      </c>
      <c r="R6805" s="1" t="s">
        <v>90</v>
      </c>
      <c r="S6805" s="1" t="s">
        <v>11195</v>
      </c>
      <c r="T6805" s="1" t="s">
        <v>11196</v>
      </c>
      <c r="U6805" s="2" t="s">
        <v>6197</v>
      </c>
      <c r="V6805" s="2" t="s">
        <v>83</v>
      </c>
      <c r="W6805" s="2" t="s">
        <v>178</v>
      </c>
      <c r="X6805" s="2">
        <v>65.275000000000006</v>
      </c>
    </row>
    <row r="6806" spans="1:24" x14ac:dyDescent="0.3">
      <c r="A6806">
        <v>24622</v>
      </c>
      <c r="B6806" t="s">
        <v>13553</v>
      </c>
      <c r="C6806" s="3">
        <v>40831</v>
      </c>
      <c r="D6806" t="s">
        <v>50</v>
      </c>
      <c r="E6806">
        <v>3</v>
      </c>
      <c r="F6806" s="3">
        <f ca="1">40833+(RANDBETWEEN(1,10))</f>
        <v>40839</v>
      </c>
      <c r="G6806" t="s">
        <v>26</v>
      </c>
      <c r="H6806" t="s">
        <v>281</v>
      </c>
      <c r="I6806" t="s">
        <v>52</v>
      </c>
      <c r="J6806">
        <v>197.33</v>
      </c>
      <c r="K6806">
        <v>0.06</v>
      </c>
      <c r="L6806">
        <v>0.4</v>
      </c>
      <c r="M6806">
        <v>29.785</v>
      </c>
      <c r="N6806">
        <v>-165.350808</v>
      </c>
      <c r="O6806" s="1" t="s">
        <v>40</v>
      </c>
      <c r="P6806" s="1" t="s">
        <v>13554</v>
      </c>
      <c r="Q6806" s="1" t="s">
        <v>13555</v>
      </c>
      <c r="R6806" s="1" t="s">
        <v>43</v>
      </c>
      <c r="S6806" s="1" t="s">
        <v>13556</v>
      </c>
      <c r="T6806" s="1" t="s">
        <v>13557</v>
      </c>
      <c r="U6806" s="2" t="s">
        <v>282</v>
      </c>
      <c r="V6806" s="2" t="s">
        <v>36</v>
      </c>
      <c r="W6806" s="2" t="s">
        <v>142</v>
      </c>
      <c r="X6806" s="2">
        <v>62.93</v>
      </c>
    </row>
    <row r="6807" spans="1:24" x14ac:dyDescent="0.3">
      <c r="A6807">
        <v>24623</v>
      </c>
      <c r="B6807" t="s">
        <v>13553</v>
      </c>
      <c r="C6807" s="3">
        <v>40831</v>
      </c>
      <c r="D6807" t="s">
        <v>50</v>
      </c>
      <c r="E6807">
        <v>12</v>
      </c>
      <c r="F6807" s="3">
        <f ca="1">40834+(RANDBETWEEN(1,10))</f>
        <v>40835</v>
      </c>
      <c r="G6807" t="s">
        <v>156</v>
      </c>
      <c r="H6807" t="s">
        <v>27</v>
      </c>
      <c r="I6807" t="s">
        <v>52</v>
      </c>
      <c r="J6807">
        <v>416.95499999999998</v>
      </c>
      <c r="K6807">
        <v>0.1</v>
      </c>
      <c r="L6807">
        <v>0.4</v>
      </c>
      <c r="M6807">
        <v>16.73</v>
      </c>
      <c r="N6807">
        <v>32.039000000000001</v>
      </c>
      <c r="O6807" s="1" t="s">
        <v>40</v>
      </c>
      <c r="P6807" s="1" t="s">
        <v>13554</v>
      </c>
      <c r="Q6807" s="1" t="s">
        <v>13555</v>
      </c>
      <c r="R6807" s="1" t="s">
        <v>43</v>
      </c>
      <c r="S6807" s="1" t="s">
        <v>13556</v>
      </c>
      <c r="T6807" s="1" t="s">
        <v>13557</v>
      </c>
      <c r="U6807" s="2" t="s">
        <v>9387</v>
      </c>
      <c r="V6807" s="2" t="s">
        <v>47</v>
      </c>
      <c r="W6807" s="2" t="s">
        <v>74</v>
      </c>
      <c r="X6807" s="2">
        <v>34.965000000000003</v>
      </c>
    </row>
    <row r="6808" spans="1:24" x14ac:dyDescent="0.3">
      <c r="A6808">
        <v>24624</v>
      </c>
      <c r="B6808" t="s">
        <v>13552</v>
      </c>
      <c r="C6808" s="3">
        <v>41927</v>
      </c>
      <c r="D6808" t="s">
        <v>50</v>
      </c>
      <c r="E6808">
        <v>5</v>
      </c>
      <c r="F6808" s="3">
        <f ca="1">41928+(RANDBETWEEN(1,10))</f>
        <v>41934</v>
      </c>
      <c r="G6808" t="s">
        <v>156</v>
      </c>
      <c r="H6808" t="s">
        <v>27</v>
      </c>
      <c r="I6808" t="s">
        <v>52</v>
      </c>
      <c r="J6808">
        <v>2505.44</v>
      </c>
      <c r="K6808">
        <v>0.08</v>
      </c>
      <c r="L6808">
        <v>0.56999999999999995</v>
      </c>
      <c r="M6808">
        <v>31.465</v>
      </c>
      <c r="N6808">
        <v>-1338.9915000000001</v>
      </c>
      <c r="O6808" s="1" t="s">
        <v>40</v>
      </c>
      <c r="P6808" s="1" t="s">
        <v>13554</v>
      </c>
      <c r="Q6808" s="1" t="s">
        <v>13555</v>
      </c>
      <c r="R6808" s="1" t="s">
        <v>43</v>
      </c>
      <c r="S6808" s="1" t="s">
        <v>13556</v>
      </c>
      <c r="T6808" s="1" t="s">
        <v>13557</v>
      </c>
      <c r="U6808" s="2">
        <v>2180</v>
      </c>
      <c r="V6808" s="2" t="s">
        <v>36</v>
      </c>
      <c r="W6808" s="2" t="s">
        <v>37</v>
      </c>
      <c r="X6808" s="2">
        <v>615.96500000000003</v>
      </c>
    </row>
    <row r="6809" spans="1:24" x14ac:dyDescent="0.3">
      <c r="A6809">
        <v>24625</v>
      </c>
      <c r="B6809" t="s">
        <v>13558</v>
      </c>
      <c r="C6809" s="3">
        <v>41528</v>
      </c>
      <c r="D6809" t="s">
        <v>39</v>
      </c>
      <c r="E6809">
        <v>23</v>
      </c>
      <c r="F6809" s="3">
        <f ca="1">41530+(RANDBETWEEN(1,10))</f>
        <v>41539</v>
      </c>
      <c r="G6809" t="s">
        <v>26</v>
      </c>
      <c r="H6809" t="s">
        <v>281</v>
      </c>
      <c r="I6809" t="s">
        <v>86</v>
      </c>
      <c r="J6809">
        <v>10501.89</v>
      </c>
      <c r="K6809">
        <v>0.06</v>
      </c>
      <c r="L6809" t="s">
        <v>182</v>
      </c>
      <c r="M6809">
        <v>44.274999999999999</v>
      </c>
      <c r="N6809">
        <v>6457.36</v>
      </c>
      <c r="O6809" s="1" t="s">
        <v>29</v>
      </c>
      <c r="P6809" s="1" t="s">
        <v>12455</v>
      </c>
      <c r="Q6809" s="1" t="s">
        <v>12456</v>
      </c>
      <c r="R6809" s="1" t="s">
        <v>675</v>
      </c>
      <c r="S6809" s="1" t="s">
        <v>12457</v>
      </c>
      <c r="T6809" s="1" t="s">
        <v>12458</v>
      </c>
      <c r="U6809" s="2" t="s">
        <v>1695</v>
      </c>
      <c r="V6809" s="2" t="s">
        <v>83</v>
      </c>
      <c r="W6809" s="2" t="s">
        <v>84</v>
      </c>
      <c r="X6809" s="2">
        <v>448.84</v>
      </c>
    </row>
    <row r="6810" spans="1:24" x14ac:dyDescent="0.3">
      <c r="A6810">
        <v>24626</v>
      </c>
      <c r="B6810" t="s">
        <v>13559</v>
      </c>
      <c r="C6810" s="3">
        <v>41298</v>
      </c>
      <c r="D6810" t="s">
        <v>148</v>
      </c>
      <c r="E6810">
        <v>5</v>
      </c>
      <c r="F6810" s="3">
        <f ca="1">41300+(RANDBETWEEN(1,10))</f>
        <v>41306</v>
      </c>
      <c r="G6810" t="s">
        <v>26</v>
      </c>
      <c r="H6810" t="s">
        <v>27</v>
      </c>
      <c r="I6810" t="s">
        <v>86</v>
      </c>
      <c r="J6810">
        <v>87.5</v>
      </c>
      <c r="K6810">
        <v>0</v>
      </c>
      <c r="L6810">
        <v>0.36</v>
      </c>
      <c r="M6810">
        <v>5.2149999999999999</v>
      </c>
      <c r="N6810">
        <v>50.420299999999997</v>
      </c>
      <c r="O6810" s="1" t="s">
        <v>87</v>
      </c>
      <c r="P6810" s="1" t="s">
        <v>13560</v>
      </c>
      <c r="Q6810" s="1" t="s">
        <v>13561</v>
      </c>
      <c r="R6810" s="1" t="s">
        <v>90</v>
      </c>
      <c r="S6810" s="1" t="s">
        <v>13562</v>
      </c>
      <c r="T6810" s="1" t="s">
        <v>13563</v>
      </c>
      <c r="U6810" s="2" t="s">
        <v>6365</v>
      </c>
      <c r="V6810" s="2" t="s">
        <v>47</v>
      </c>
      <c r="W6810" s="2" t="s">
        <v>111</v>
      </c>
      <c r="X6810" s="2">
        <v>16.87</v>
      </c>
    </row>
    <row r="6811" spans="1:24" x14ac:dyDescent="0.3">
      <c r="A6811">
        <v>24627</v>
      </c>
      <c r="B6811" t="s">
        <v>13564</v>
      </c>
      <c r="C6811" s="3">
        <v>40552</v>
      </c>
      <c r="D6811" t="s">
        <v>25</v>
      </c>
      <c r="E6811">
        <v>1</v>
      </c>
      <c r="F6811" s="3">
        <f ca="1">40559+(RANDBETWEEN(1,10))</f>
        <v>40567</v>
      </c>
      <c r="G6811" t="s">
        <v>26</v>
      </c>
      <c r="H6811" t="s">
        <v>27</v>
      </c>
      <c r="I6811" t="s">
        <v>28</v>
      </c>
      <c r="J6811">
        <v>377.82499999999999</v>
      </c>
      <c r="K6811">
        <v>0.04</v>
      </c>
      <c r="L6811">
        <v>0.59</v>
      </c>
      <c r="M6811">
        <v>31.465</v>
      </c>
      <c r="N6811">
        <v>-2197.3767200000002</v>
      </c>
      <c r="O6811" s="1" t="s">
        <v>64</v>
      </c>
      <c r="P6811" s="1" t="s">
        <v>11936</v>
      </c>
      <c r="Q6811" s="1" t="s">
        <v>11937</v>
      </c>
      <c r="R6811" s="1" t="s">
        <v>67</v>
      </c>
      <c r="S6811" s="1" t="s">
        <v>4720</v>
      </c>
      <c r="T6811" s="1" t="s">
        <v>4721</v>
      </c>
      <c r="U6811" s="2" t="s">
        <v>295</v>
      </c>
      <c r="V6811" s="2" t="s">
        <v>36</v>
      </c>
      <c r="W6811" s="2" t="s">
        <v>37</v>
      </c>
      <c r="X6811" s="2">
        <v>440.96499999999997</v>
      </c>
    </row>
    <row r="6812" spans="1:24" x14ac:dyDescent="0.3">
      <c r="A6812">
        <v>24628</v>
      </c>
      <c r="B6812" t="s">
        <v>13565</v>
      </c>
      <c r="C6812" s="3">
        <v>41811</v>
      </c>
      <c r="D6812" t="s">
        <v>50</v>
      </c>
      <c r="E6812">
        <v>9</v>
      </c>
      <c r="F6812" s="3">
        <f ca="1">41812+(RANDBETWEEN(1,10))</f>
        <v>41820</v>
      </c>
      <c r="G6812" t="s">
        <v>76</v>
      </c>
      <c r="H6812" t="s">
        <v>77</v>
      </c>
      <c r="I6812" t="s">
        <v>28</v>
      </c>
      <c r="J6812">
        <v>3833.585</v>
      </c>
      <c r="K6812">
        <v>0.02</v>
      </c>
      <c r="L6812">
        <v>0.36</v>
      </c>
      <c r="M6812">
        <v>49</v>
      </c>
      <c r="N6812">
        <v>2645.1736500000002</v>
      </c>
      <c r="O6812" s="1" t="s">
        <v>225</v>
      </c>
      <c r="P6812" s="1" t="s">
        <v>12517</v>
      </c>
      <c r="Q6812" s="1" t="s">
        <v>12518</v>
      </c>
      <c r="R6812" s="1" t="s">
        <v>228</v>
      </c>
      <c r="S6812" s="1" t="s">
        <v>9407</v>
      </c>
      <c r="T6812" s="1" t="s">
        <v>1880</v>
      </c>
      <c r="U6812" s="2" t="s">
        <v>2196</v>
      </c>
      <c r="V6812" s="2" t="s">
        <v>36</v>
      </c>
      <c r="W6812" s="2" t="s">
        <v>142</v>
      </c>
      <c r="X6812" s="2">
        <v>419.96499999999997</v>
      </c>
    </row>
    <row r="6813" spans="1:24" x14ac:dyDescent="0.3">
      <c r="A6813">
        <v>24629</v>
      </c>
      <c r="B6813" t="s">
        <v>13566</v>
      </c>
      <c r="C6813" s="3">
        <v>40715</v>
      </c>
      <c r="D6813" t="s">
        <v>50</v>
      </c>
      <c r="E6813">
        <v>16</v>
      </c>
      <c r="F6813" s="3">
        <f ca="1">40716+(RANDBETWEEN(1,10))</f>
        <v>40717</v>
      </c>
      <c r="G6813" t="s">
        <v>26</v>
      </c>
      <c r="H6813" t="s">
        <v>27</v>
      </c>
      <c r="I6813" t="s">
        <v>28</v>
      </c>
      <c r="J6813">
        <v>349.72</v>
      </c>
      <c r="K6813">
        <v>0.09</v>
      </c>
      <c r="L6813">
        <v>0.36</v>
      </c>
      <c r="M6813">
        <v>33.880000000000003</v>
      </c>
      <c r="N6813">
        <v>-714.56</v>
      </c>
      <c r="O6813" s="1" t="s">
        <v>225</v>
      </c>
      <c r="P6813" s="1" t="s">
        <v>12517</v>
      </c>
      <c r="Q6813" s="1" t="s">
        <v>12518</v>
      </c>
      <c r="R6813" s="1" t="s">
        <v>228</v>
      </c>
      <c r="S6813" s="1" t="s">
        <v>9407</v>
      </c>
      <c r="T6813" s="1" t="s">
        <v>1880</v>
      </c>
      <c r="U6813" s="2" t="s">
        <v>6485</v>
      </c>
      <c r="V6813" s="2" t="s">
        <v>47</v>
      </c>
      <c r="W6813" s="2" t="s">
        <v>74</v>
      </c>
      <c r="X6813" s="2">
        <v>22.68</v>
      </c>
    </row>
    <row r="6814" spans="1:24" x14ac:dyDescent="0.3">
      <c r="A6814">
        <v>24630</v>
      </c>
      <c r="B6814" t="s">
        <v>13567</v>
      </c>
      <c r="C6814" s="3">
        <v>40971</v>
      </c>
      <c r="D6814" t="s">
        <v>148</v>
      </c>
      <c r="E6814">
        <v>4</v>
      </c>
      <c r="F6814" s="3">
        <f ca="1">40972+(RANDBETWEEN(1,10))</f>
        <v>40977</v>
      </c>
      <c r="G6814" t="s">
        <v>26</v>
      </c>
      <c r="H6814" t="s">
        <v>27</v>
      </c>
      <c r="I6814" t="s">
        <v>97</v>
      </c>
      <c r="J6814">
        <v>749.7</v>
      </c>
      <c r="K6814">
        <v>0.06</v>
      </c>
      <c r="L6814">
        <v>0.56000000000000005</v>
      </c>
      <c r="M6814">
        <v>18.41</v>
      </c>
      <c r="N6814">
        <v>-69.877499999999998</v>
      </c>
      <c r="O6814" s="1" t="s">
        <v>40</v>
      </c>
      <c r="P6814" s="1" t="s">
        <v>13568</v>
      </c>
      <c r="Q6814" s="1" t="s">
        <v>13569</v>
      </c>
      <c r="R6814" s="1" t="s">
        <v>43</v>
      </c>
      <c r="S6814" s="1" t="s">
        <v>2453</v>
      </c>
      <c r="T6814" s="1" t="s">
        <v>2454</v>
      </c>
      <c r="U6814" s="2">
        <v>8860</v>
      </c>
      <c r="V6814" s="2" t="s">
        <v>36</v>
      </c>
      <c r="W6814" s="2" t="s">
        <v>37</v>
      </c>
      <c r="X6814" s="2">
        <v>230.965</v>
      </c>
    </row>
    <row r="6815" spans="1:24" x14ac:dyDescent="0.3">
      <c r="A6815">
        <v>24631</v>
      </c>
      <c r="B6815" t="s">
        <v>13570</v>
      </c>
      <c r="C6815" s="3">
        <v>40915</v>
      </c>
      <c r="D6815" t="s">
        <v>148</v>
      </c>
      <c r="E6815">
        <v>5</v>
      </c>
      <c r="F6815" s="3">
        <f ca="1">40916+(RANDBETWEEN(1,10))</f>
        <v>40918</v>
      </c>
      <c r="G6815" t="s">
        <v>26</v>
      </c>
      <c r="H6815" t="s">
        <v>27</v>
      </c>
      <c r="I6815" t="s">
        <v>97</v>
      </c>
      <c r="J6815">
        <v>122.64</v>
      </c>
      <c r="K6815">
        <v>0.01</v>
      </c>
      <c r="L6815">
        <v>0.37</v>
      </c>
      <c r="M6815">
        <v>29.4</v>
      </c>
      <c r="N6815">
        <v>-401.66699999999997</v>
      </c>
      <c r="O6815" s="1" t="s">
        <v>29</v>
      </c>
      <c r="P6815" s="1" t="s">
        <v>12171</v>
      </c>
      <c r="Q6815" s="1" t="s">
        <v>12172</v>
      </c>
      <c r="R6815" s="1" t="s">
        <v>460</v>
      </c>
      <c r="S6815" s="1" t="s">
        <v>7575</v>
      </c>
      <c r="T6815" s="1" t="s">
        <v>7576</v>
      </c>
      <c r="U6815" s="2" t="s">
        <v>2097</v>
      </c>
      <c r="V6815" s="2" t="s">
        <v>47</v>
      </c>
      <c r="W6815" s="2" t="s">
        <v>74</v>
      </c>
      <c r="X6815" s="2">
        <v>22.68</v>
      </c>
    </row>
    <row r="6816" spans="1:24" x14ac:dyDescent="0.3">
      <c r="A6816">
        <v>24632</v>
      </c>
      <c r="B6816" t="s">
        <v>13571</v>
      </c>
      <c r="C6816" s="3">
        <v>41646</v>
      </c>
      <c r="D6816" t="s">
        <v>148</v>
      </c>
      <c r="E6816">
        <v>5</v>
      </c>
      <c r="F6816" s="3">
        <f ca="1">41647+(RANDBETWEEN(1,10))</f>
        <v>41653</v>
      </c>
      <c r="G6816" t="s">
        <v>26</v>
      </c>
      <c r="H6816" t="s">
        <v>96</v>
      </c>
      <c r="I6816" t="s">
        <v>97</v>
      </c>
      <c r="J6816">
        <v>46.13</v>
      </c>
      <c r="K6816">
        <v>0.03</v>
      </c>
      <c r="L6816">
        <v>0.56999999999999995</v>
      </c>
      <c r="M6816">
        <v>3.01</v>
      </c>
      <c r="N6816">
        <v>-2.3001999999999998</v>
      </c>
      <c r="O6816" s="1" t="s">
        <v>29</v>
      </c>
      <c r="P6816" s="1" t="s">
        <v>12171</v>
      </c>
      <c r="Q6816" s="1" t="s">
        <v>12172</v>
      </c>
      <c r="R6816" s="1" t="s">
        <v>460</v>
      </c>
      <c r="S6816" s="1" t="s">
        <v>7575</v>
      </c>
      <c r="T6816" s="1" t="s">
        <v>7576</v>
      </c>
      <c r="U6816" s="2" t="s">
        <v>13572</v>
      </c>
      <c r="V6816" s="2" t="s">
        <v>47</v>
      </c>
      <c r="W6816" s="2" t="s">
        <v>104</v>
      </c>
      <c r="X6816" s="2">
        <v>9.3450000000000006</v>
      </c>
    </row>
    <row r="6817" spans="1:24" x14ac:dyDescent="0.3">
      <c r="A6817">
        <v>24633</v>
      </c>
      <c r="B6817" t="s">
        <v>13571</v>
      </c>
      <c r="C6817" s="3">
        <v>41646</v>
      </c>
      <c r="D6817" t="s">
        <v>148</v>
      </c>
      <c r="E6817">
        <v>9</v>
      </c>
      <c r="F6817" s="3">
        <f ca="1">41646+(RANDBETWEEN(1,10))</f>
        <v>41656</v>
      </c>
      <c r="G6817" t="s">
        <v>76</v>
      </c>
      <c r="H6817" t="s">
        <v>258</v>
      </c>
      <c r="I6817" t="s">
        <v>97</v>
      </c>
      <c r="J6817">
        <v>6873.7550000000001</v>
      </c>
      <c r="K6817">
        <v>0.05</v>
      </c>
      <c r="L6817">
        <v>0.68</v>
      </c>
      <c r="M6817">
        <v>101.85</v>
      </c>
      <c r="N6817">
        <v>2328.9630000000002</v>
      </c>
      <c r="O6817" s="1" t="s">
        <v>29</v>
      </c>
      <c r="P6817" s="1" t="s">
        <v>12171</v>
      </c>
      <c r="Q6817" s="1" t="s">
        <v>12172</v>
      </c>
      <c r="R6817" s="1" t="s">
        <v>460</v>
      </c>
      <c r="S6817" s="1" t="s">
        <v>7575</v>
      </c>
      <c r="T6817" s="1" t="s">
        <v>7576</v>
      </c>
      <c r="U6817" s="2" t="s">
        <v>13573</v>
      </c>
      <c r="V6817" s="2" t="s">
        <v>83</v>
      </c>
      <c r="W6817" s="2" t="s">
        <v>263</v>
      </c>
      <c r="X6817" s="2">
        <v>762.47500000000002</v>
      </c>
    </row>
    <row r="6818" spans="1:24" x14ac:dyDescent="0.3">
      <c r="A6818">
        <v>24634</v>
      </c>
      <c r="B6818" t="s">
        <v>13574</v>
      </c>
      <c r="C6818" s="3">
        <v>41883</v>
      </c>
      <c r="D6818" t="s">
        <v>50</v>
      </c>
      <c r="E6818">
        <v>22</v>
      </c>
      <c r="F6818" s="3">
        <f ca="1">41885+(RANDBETWEEN(1,10))</f>
        <v>41886</v>
      </c>
      <c r="G6818" t="s">
        <v>26</v>
      </c>
      <c r="H6818" t="s">
        <v>281</v>
      </c>
      <c r="I6818" t="s">
        <v>28</v>
      </c>
      <c r="J6818">
        <v>520.34500000000003</v>
      </c>
      <c r="K6818">
        <v>0.03</v>
      </c>
      <c r="L6818">
        <v>0.6</v>
      </c>
      <c r="M6818">
        <v>17.605</v>
      </c>
      <c r="N6818">
        <v>1122.009</v>
      </c>
      <c r="O6818" s="1" t="s">
        <v>87</v>
      </c>
      <c r="P6818" s="1" t="s">
        <v>12400</v>
      </c>
      <c r="Q6818" s="1" t="s">
        <v>12401</v>
      </c>
      <c r="R6818" s="1" t="s">
        <v>90</v>
      </c>
      <c r="S6818" s="1" t="s">
        <v>6011</v>
      </c>
      <c r="T6818" s="1" t="s">
        <v>6012</v>
      </c>
      <c r="U6818" s="2" t="s">
        <v>408</v>
      </c>
      <c r="V6818" s="2" t="s">
        <v>36</v>
      </c>
      <c r="W6818" s="2" t="s">
        <v>37</v>
      </c>
      <c r="X6818" s="2">
        <v>27.965</v>
      </c>
    </row>
    <row r="6819" spans="1:24" x14ac:dyDescent="0.3">
      <c r="A6819">
        <v>24635</v>
      </c>
      <c r="B6819" t="s">
        <v>13575</v>
      </c>
      <c r="C6819" s="3">
        <v>41533</v>
      </c>
      <c r="D6819" t="s">
        <v>62</v>
      </c>
      <c r="E6819">
        <v>20</v>
      </c>
      <c r="F6819" s="3">
        <f ca="1">41533+(RANDBETWEEN(1,10))</f>
        <v>41541</v>
      </c>
      <c r="G6819" t="s">
        <v>26</v>
      </c>
      <c r="H6819" t="s">
        <v>281</v>
      </c>
      <c r="I6819" t="s">
        <v>28</v>
      </c>
      <c r="J6819">
        <v>1070.1600000000001</v>
      </c>
      <c r="K6819">
        <v>0</v>
      </c>
      <c r="L6819">
        <v>0.39</v>
      </c>
      <c r="M6819">
        <v>26.285</v>
      </c>
      <c r="N6819">
        <v>145.46</v>
      </c>
      <c r="O6819" s="1" t="s">
        <v>40</v>
      </c>
      <c r="P6819" s="1" t="s">
        <v>13536</v>
      </c>
      <c r="Q6819" s="1" t="s">
        <v>13537</v>
      </c>
      <c r="R6819" s="1" t="s">
        <v>43</v>
      </c>
      <c r="S6819" s="1" t="s">
        <v>3877</v>
      </c>
      <c r="T6819" s="1" t="s">
        <v>3878</v>
      </c>
      <c r="U6819" s="2" t="s">
        <v>1079</v>
      </c>
      <c r="V6819" s="2" t="s">
        <v>36</v>
      </c>
      <c r="W6819" s="2" t="s">
        <v>142</v>
      </c>
      <c r="X6819" s="2">
        <v>48.965000000000003</v>
      </c>
    </row>
    <row r="6820" spans="1:24" x14ac:dyDescent="0.3">
      <c r="A6820">
        <v>24636</v>
      </c>
      <c r="B6820" t="s">
        <v>13576</v>
      </c>
      <c r="C6820" s="3">
        <v>41024</v>
      </c>
      <c r="D6820" t="s">
        <v>50</v>
      </c>
      <c r="E6820">
        <v>10</v>
      </c>
      <c r="F6820" s="3">
        <f ca="1">41025+(RANDBETWEEN(1,10))</f>
        <v>41033</v>
      </c>
      <c r="G6820" t="s">
        <v>26</v>
      </c>
      <c r="H6820" t="s">
        <v>96</v>
      </c>
      <c r="I6820" t="s">
        <v>28</v>
      </c>
      <c r="J6820">
        <v>61.634999999999998</v>
      </c>
      <c r="K6820">
        <v>0.1</v>
      </c>
      <c r="L6820">
        <v>0.4</v>
      </c>
      <c r="M6820">
        <v>3.5</v>
      </c>
      <c r="N6820">
        <v>74.277000000000001</v>
      </c>
      <c r="O6820" s="1" t="s">
        <v>29</v>
      </c>
      <c r="P6820" s="1" t="s">
        <v>12727</v>
      </c>
      <c r="Q6820" s="1" t="s">
        <v>12728</v>
      </c>
      <c r="R6820" s="1" t="s">
        <v>32</v>
      </c>
      <c r="S6820" s="1" t="s">
        <v>12729</v>
      </c>
      <c r="T6820" s="1" t="s">
        <v>12730</v>
      </c>
      <c r="U6820" s="2" t="s">
        <v>2186</v>
      </c>
      <c r="V6820" s="2" t="s">
        <v>47</v>
      </c>
      <c r="W6820" s="2" t="s">
        <v>104</v>
      </c>
      <c r="X6820" s="2">
        <v>6.37</v>
      </c>
    </row>
    <row r="6821" spans="1:24" x14ac:dyDescent="0.3">
      <c r="A6821">
        <v>24637</v>
      </c>
      <c r="B6821" t="s">
        <v>13577</v>
      </c>
      <c r="C6821" s="3">
        <v>40905</v>
      </c>
      <c r="D6821" t="s">
        <v>62</v>
      </c>
      <c r="E6821">
        <v>8</v>
      </c>
      <c r="F6821" s="3">
        <f ca="1">40906+(RANDBETWEEN(1,10))</f>
        <v>40911</v>
      </c>
      <c r="G6821" t="s">
        <v>156</v>
      </c>
      <c r="H6821" t="s">
        <v>51</v>
      </c>
      <c r="I6821" t="s">
        <v>28</v>
      </c>
      <c r="J6821">
        <v>154.84</v>
      </c>
      <c r="K6821">
        <v>0.03</v>
      </c>
      <c r="L6821">
        <v>0.64</v>
      </c>
      <c r="M6821">
        <v>16.170000000000002</v>
      </c>
      <c r="N6821">
        <v>-106.575</v>
      </c>
      <c r="O6821" s="1" t="s">
        <v>53</v>
      </c>
      <c r="P6821" s="1" t="s">
        <v>12934</v>
      </c>
      <c r="Q6821" s="1" t="s">
        <v>12935</v>
      </c>
      <c r="R6821" s="1" t="s">
        <v>56</v>
      </c>
      <c r="S6821" s="1" t="s">
        <v>8071</v>
      </c>
      <c r="T6821" s="1" t="s">
        <v>8072</v>
      </c>
      <c r="U6821" s="2" t="s">
        <v>505</v>
      </c>
      <c r="V6821" s="2" t="s">
        <v>36</v>
      </c>
      <c r="W6821" s="2" t="s">
        <v>60</v>
      </c>
      <c r="X6821" s="2">
        <v>17.43</v>
      </c>
    </row>
    <row r="6822" spans="1:24" x14ac:dyDescent="0.3">
      <c r="A6822">
        <v>24638</v>
      </c>
      <c r="B6822" t="s">
        <v>13578</v>
      </c>
      <c r="C6822" s="3">
        <v>40895</v>
      </c>
      <c r="D6822" t="s">
        <v>62</v>
      </c>
      <c r="E6822">
        <v>4</v>
      </c>
      <c r="F6822" s="3">
        <f ca="1">40896+(RANDBETWEEN(1,10))</f>
        <v>40905</v>
      </c>
      <c r="G6822" t="s">
        <v>26</v>
      </c>
      <c r="H6822" t="s">
        <v>27</v>
      </c>
      <c r="I6822" t="s">
        <v>28</v>
      </c>
      <c r="J6822">
        <v>226.065</v>
      </c>
      <c r="K6822">
        <v>0.04</v>
      </c>
      <c r="L6822">
        <v>0.37</v>
      </c>
      <c r="M6822">
        <v>14</v>
      </c>
      <c r="N6822">
        <v>-67.227999999999994</v>
      </c>
      <c r="O6822" s="1" t="s">
        <v>87</v>
      </c>
      <c r="P6822" s="1" t="s">
        <v>12632</v>
      </c>
      <c r="Q6822" s="1" t="s">
        <v>12633</v>
      </c>
      <c r="R6822" s="1" t="s">
        <v>90</v>
      </c>
      <c r="S6822" s="1" t="s">
        <v>12634</v>
      </c>
      <c r="T6822" s="1" t="s">
        <v>12635</v>
      </c>
      <c r="U6822" s="2" t="s">
        <v>1006</v>
      </c>
      <c r="V6822" s="2" t="s">
        <v>36</v>
      </c>
      <c r="W6822" s="2" t="s">
        <v>60</v>
      </c>
      <c r="X6822" s="2">
        <v>55.93</v>
      </c>
    </row>
    <row r="6823" spans="1:24" x14ac:dyDescent="0.3">
      <c r="A6823">
        <v>24639</v>
      </c>
      <c r="B6823" t="s">
        <v>13578</v>
      </c>
      <c r="C6823" s="3">
        <v>40895</v>
      </c>
      <c r="D6823" t="s">
        <v>62</v>
      </c>
      <c r="E6823">
        <v>20</v>
      </c>
      <c r="F6823" s="3">
        <f ca="1">40897+(RANDBETWEEN(1,10))</f>
        <v>40903</v>
      </c>
      <c r="G6823" t="s">
        <v>26</v>
      </c>
      <c r="H6823" t="s">
        <v>27</v>
      </c>
      <c r="I6823" t="s">
        <v>28</v>
      </c>
      <c r="J6823">
        <v>1616.79</v>
      </c>
      <c r="K6823">
        <v>0.06</v>
      </c>
      <c r="L6823">
        <v>0.39</v>
      </c>
      <c r="M6823">
        <v>19.145</v>
      </c>
      <c r="N6823">
        <v>26.04</v>
      </c>
      <c r="O6823" s="1" t="s">
        <v>87</v>
      </c>
      <c r="P6823" s="1" t="s">
        <v>12632</v>
      </c>
      <c r="Q6823" s="1" t="s">
        <v>12633</v>
      </c>
      <c r="R6823" s="1" t="s">
        <v>90</v>
      </c>
      <c r="S6823" s="1" t="s">
        <v>12634</v>
      </c>
      <c r="T6823" s="1" t="s">
        <v>12635</v>
      </c>
      <c r="U6823" s="2" t="s">
        <v>1861</v>
      </c>
      <c r="V6823" s="2" t="s">
        <v>47</v>
      </c>
      <c r="W6823" s="2" t="s">
        <v>74</v>
      </c>
      <c r="X6823" s="2">
        <v>79.94</v>
      </c>
    </row>
    <row r="6824" spans="1:24" x14ac:dyDescent="0.3">
      <c r="A6824">
        <v>24640</v>
      </c>
      <c r="B6824" t="s">
        <v>13579</v>
      </c>
      <c r="C6824" s="3">
        <v>40895</v>
      </c>
      <c r="D6824" t="s">
        <v>25</v>
      </c>
      <c r="E6824">
        <v>7</v>
      </c>
      <c r="F6824" s="3">
        <f ca="1">40899+(RANDBETWEEN(1,10))</f>
        <v>40906</v>
      </c>
      <c r="G6824" t="s">
        <v>156</v>
      </c>
      <c r="H6824" t="s">
        <v>27</v>
      </c>
      <c r="I6824" t="s">
        <v>52</v>
      </c>
      <c r="J6824">
        <v>715.19</v>
      </c>
      <c r="K6824">
        <v>0.09</v>
      </c>
      <c r="L6824">
        <v>0.64</v>
      </c>
      <c r="M6824">
        <v>22.75</v>
      </c>
      <c r="N6824">
        <v>-195.89500000000001</v>
      </c>
      <c r="O6824" s="1" t="s">
        <v>64</v>
      </c>
      <c r="P6824" s="1" t="s">
        <v>13345</v>
      </c>
      <c r="Q6824" s="1" t="s">
        <v>13346</v>
      </c>
      <c r="R6824" s="1" t="s">
        <v>128</v>
      </c>
      <c r="S6824" s="1" t="s">
        <v>521</v>
      </c>
      <c r="T6824" s="1" t="s">
        <v>522</v>
      </c>
      <c r="U6824" s="2" t="s">
        <v>2033</v>
      </c>
      <c r="V6824" s="2" t="s">
        <v>36</v>
      </c>
      <c r="W6824" s="2" t="s">
        <v>60</v>
      </c>
      <c r="X6824" s="2">
        <v>108.43</v>
      </c>
    </row>
    <row r="6825" spans="1:24" x14ac:dyDescent="0.3">
      <c r="A6825">
        <v>24641</v>
      </c>
      <c r="B6825" t="s">
        <v>13580</v>
      </c>
      <c r="C6825" s="3">
        <v>41868</v>
      </c>
      <c r="D6825" t="s">
        <v>50</v>
      </c>
      <c r="E6825">
        <v>20</v>
      </c>
      <c r="F6825" s="3">
        <f ca="1">41870+(RANDBETWEEN(1,10))</f>
        <v>41878</v>
      </c>
      <c r="G6825" t="s">
        <v>156</v>
      </c>
      <c r="H6825" t="s">
        <v>27</v>
      </c>
      <c r="I6825" t="s">
        <v>28</v>
      </c>
      <c r="J6825">
        <v>980.73500000000001</v>
      </c>
      <c r="K6825">
        <v>0.1</v>
      </c>
      <c r="L6825">
        <v>0.81</v>
      </c>
      <c r="M6825">
        <v>15.855</v>
      </c>
      <c r="N6825">
        <v>162.64500000000001</v>
      </c>
      <c r="O6825" s="1" t="s">
        <v>53</v>
      </c>
      <c r="P6825" s="1" t="s">
        <v>1691</v>
      </c>
      <c r="Q6825" s="1" t="s">
        <v>1692</v>
      </c>
      <c r="R6825" s="1" t="s">
        <v>440</v>
      </c>
      <c r="S6825" s="1" t="s">
        <v>1693</v>
      </c>
      <c r="T6825" s="1" t="s">
        <v>1694</v>
      </c>
      <c r="U6825" s="2" t="s">
        <v>2304</v>
      </c>
      <c r="V6825" s="2" t="s">
        <v>47</v>
      </c>
      <c r="W6825" s="2" t="s">
        <v>119</v>
      </c>
      <c r="X6825" s="2">
        <v>52.99</v>
      </c>
    </row>
    <row r="6826" spans="1:24" x14ac:dyDescent="0.3">
      <c r="A6826">
        <v>24642</v>
      </c>
      <c r="B6826" t="s">
        <v>13581</v>
      </c>
      <c r="C6826" s="3">
        <v>41549</v>
      </c>
      <c r="D6826" t="s">
        <v>39</v>
      </c>
      <c r="E6826">
        <v>1</v>
      </c>
      <c r="F6826" s="3">
        <f ca="1">41551+(RANDBETWEEN(1,10))</f>
        <v>41553</v>
      </c>
      <c r="G6826" t="s">
        <v>26</v>
      </c>
      <c r="H6826" t="s">
        <v>27</v>
      </c>
      <c r="I6826" t="s">
        <v>97</v>
      </c>
      <c r="J6826">
        <v>248.185</v>
      </c>
      <c r="K6826">
        <v>0.03</v>
      </c>
      <c r="L6826">
        <v>0.59</v>
      </c>
      <c r="M6826">
        <v>12.25</v>
      </c>
      <c r="N6826">
        <v>-171.72540000000001</v>
      </c>
      <c r="O6826" s="1" t="s">
        <v>53</v>
      </c>
      <c r="P6826" s="1" t="s">
        <v>11085</v>
      </c>
      <c r="Q6826" s="1" t="s">
        <v>11086</v>
      </c>
      <c r="R6826" s="1" t="s">
        <v>440</v>
      </c>
      <c r="S6826" s="1" t="s">
        <v>11087</v>
      </c>
      <c r="T6826" s="1" t="s">
        <v>11088</v>
      </c>
      <c r="U6826" s="2" t="s">
        <v>989</v>
      </c>
      <c r="V6826" s="2" t="s">
        <v>47</v>
      </c>
      <c r="W6826" s="2" t="s">
        <v>71</v>
      </c>
      <c r="X6826" s="2">
        <v>248.39500000000001</v>
      </c>
    </row>
    <row r="6827" spans="1:24" x14ac:dyDescent="0.3">
      <c r="A6827">
        <v>24643</v>
      </c>
      <c r="B6827" t="s">
        <v>13582</v>
      </c>
      <c r="C6827" s="3">
        <v>41618</v>
      </c>
      <c r="D6827" t="s">
        <v>62</v>
      </c>
      <c r="E6827">
        <v>16</v>
      </c>
      <c r="F6827" s="3">
        <f ca="1">41619+(RANDBETWEEN(1,10))</f>
        <v>41626</v>
      </c>
      <c r="G6827" t="s">
        <v>26</v>
      </c>
      <c r="H6827" t="s">
        <v>27</v>
      </c>
      <c r="I6827" t="s">
        <v>97</v>
      </c>
      <c r="J6827">
        <v>338.03</v>
      </c>
      <c r="K6827">
        <v>0.02</v>
      </c>
      <c r="L6827">
        <v>0.36</v>
      </c>
      <c r="M6827">
        <v>19.11</v>
      </c>
      <c r="N6827">
        <v>-106.4525</v>
      </c>
      <c r="O6827" s="1" t="s">
        <v>40</v>
      </c>
      <c r="P6827" s="1" t="s">
        <v>5303</v>
      </c>
      <c r="Q6827" s="1" t="s">
        <v>5304</v>
      </c>
      <c r="R6827" s="1" t="s">
        <v>43</v>
      </c>
      <c r="S6827" s="1" t="s">
        <v>5305</v>
      </c>
      <c r="T6827" s="1" t="s">
        <v>4392</v>
      </c>
      <c r="U6827" s="2" t="s">
        <v>7070</v>
      </c>
      <c r="V6827" s="2" t="s">
        <v>47</v>
      </c>
      <c r="W6827" s="2" t="s">
        <v>74</v>
      </c>
      <c r="X6827" s="2">
        <v>20.93</v>
      </c>
    </row>
    <row r="6828" spans="1:24" x14ac:dyDescent="0.3">
      <c r="A6828">
        <v>24644</v>
      </c>
      <c r="B6828" t="s">
        <v>13583</v>
      </c>
      <c r="C6828" s="3">
        <v>42002</v>
      </c>
      <c r="D6828" t="s">
        <v>148</v>
      </c>
      <c r="E6828">
        <v>12</v>
      </c>
      <c r="F6828" s="3">
        <f ca="1">42003+(RANDBETWEEN(1,10))</f>
        <v>42007</v>
      </c>
      <c r="G6828" t="s">
        <v>26</v>
      </c>
      <c r="H6828" t="s">
        <v>27</v>
      </c>
      <c r="I6828" t="s">
        <v>28</v>
      </c>
      <c r="J6828">
        <v>862.26</v>
      </c>
      <c r="K6828">
        <v>0.02</v>
      </c>
      <c r="L6828">
        <v>0.37</v>
      </c>
      <c r="M6828">
        <v>30.38</v>
      </c>
      <c r="N6828">
        <v>390.26623999999998</v>
      </c>
      <c r="O6828" s="1" t="s">
        <v>53</v>
      </c>
      <c r="P6828" s="1" t="s">
        <v>1273</v>
      </c>
      <c r="Q6828" s="1" t="s">
        <v>1274</v>
      </c>
      <c r="R6828" s="1" t="s">
        <v>56</v>
      </c>
      <c r="S6828" s="1" t="s">
        <v>1275</v>
      </c>
      <c r="T6828" s="1" t="s">
        <v>1276</v>
      </c>
      <c r="U6828" s="2" t="s">
        <v>3983</v>
      </c>
      <c r="V6828" s="2" t="s">
        <v>47</v>
      </c>
      <c r="W6828" s="2" t="s">
        <v>74</v>
      </c>
      <c r="X6828" s="2">
        <v>69.930000000000007</v>
      </c>
    </row>
    <row r="6829" spans="1:24" x14ac:dyDescent="0.3">
      <c r="A6829">
        <v>24645</v>
      </c>
      <c r="B6829" t="s">
        <v>13584</v>
      </c>
      <c r="C6829" s="3">
        <v>41272</v>
      </c>
      <c r="D6829" t="s">
        <v>148</v>
      </c>
      <c r="E6829">
        <v>6</v>
      </c>
      <c r="F6829" s="3">
        <f ca="1">41273+(RANDBETWEEN(1,10))</f>
        <v>41277</v>
      </c>
      <c r="G6829" t="s">
        <v>76</v>
      </c>
      <c r="H6829" t="s">
        <v>258</v>
      </c>
      <c r="I6829" t="s">
        <v>28</v>
      </c>
      <c r="J6829">
        <v>1563.1</v>
      </c>
      <c r="K6829">
        <v>0.04</v>
      </c>
      <c r="L6829">
        <v>0.69</v>
      </c>
      <c r="M6829">
        <v>312.55</v>
      </c>
      <c r="N6829">
        <v>-1629.684</v>
      </c>
      <c r="O6829" s="1" t="s">
        <v>53</v>
      </c>
      <c r="P6829" s="1" t="s">
        <v>1273</v>
      </c>
      <c r="Q6829" s="1" t="s">
        <v>1274</v>
      </c>
      <c r="R6829" s="1" t="s">
        <v>56</v>
      </c>
      <c r="S6829" s="1" t="s">
        <v>1275</v>
      </c>
      <c r="T6829" s="1" t="s">
        <v>1276</v>
      </c>
      <c r="U6829" s="2" t="s">
        <v>407</v>
      </c>
      <c r="V6829" s="2" t="s">
        <v>83</v>
      </c>
      <c r="W6829" s="2" t="s">
        <v>263</v>
      </c>
      <c r="X6829" s="2">
        <v>248.11500000000001</v>
      </c>
    </row>
    <row r="6830" spans="1:24" x14ac:dyDescent="0.3">
      <c r="A6830">
        <v>24646</v>
      </c>
      <c r="B6830" t="s">
        <v>13585</v>
      </c>
      <c r="C6830" s="3">
        <v>41123</v>
      </c>
      <c r="D6830" t="s">
        <v>62</v>
      </c>
      <c r="E6830">
        <v>18</v>
      </c>
      <c r="F6830" s="3">
        <f ca="1">41126+(RANDBETWEEN(1,10))</f>
        <v>41127</v>
      </c>
      <c r="G6830" t="s">
        <v>156</v>
      </c>
      <c r="H6830" t="s">
        <v>96</v>
      </c>
      <c r="I6830" t="s">
        <v>97</v>
      </c>
      <c r="J6830">
        <v>602.66499999999996</v>
      </c>
      <c r="K6830">
        <v>0.03</v>
      </c>
      <c r="L6830">
        <v>0.38</v>
      </c>
      <c r="M6830">
        <v>15.365</v>
      </c>
      <c r="N6830">
        <v>2904.9720000000002</v>
      </c>
      <c r="O6830" s="1" t="s">
        <v>53</v>
      </c>
      <c r="P6830" s="1" t="s">
        <v>13586</v>
      </c>
      <c r="Q6830" s="1" t="s">
        <v>13587</v>
      </c>
      <c r="R6830" s="1" t="s">
        <v>56</v>
      </c>
      <c r="S6830" s="1" t="s">
        <v>13588</v>
      </c>
      <c r="T6830" s="1" t="s">
        <v>13589</v>
      </c>
      <c r="U6830" s="2" t="s">
        <v>1254</v>
      </c>
      <c r="V6830" s="2" t="s">
        <v>47</v>
      </c>
      <c r="W6830" s="2" t="s">
        <v>74</v>
      </c>
      <c r="X6830" s="2">
        <v>32.445</v>
      </c>
    </row>
    <row r="6831" spans="1:24" x14ac:dyDescent="0.3">
      <c r="A6831">
        <v>24647</v>
      </c>
      <c r="B6831" t="s">
        <v>13585</v>
      </c>
      <c r="C6831" s="3">
        <v>41123</v>
      </c>
      <c r="D6831" t="s">
        <v>62</v>
      </c>
      <c r="E6831">
        <v>4</v>
      </c>
      <c r="F6831" s="3">
        <f ca="1">41125+(RANDBETWEEN(1,10))</f>
        <v>41133</v>
      </c>
      <c r="G6831" t="s">
        <v>26</v>
      </c>
      <c r="H6831" t="s">
        <v>27</v>
      </c>
      <c r="I6831" t="s">
        <v>97</v>
      </c>
      <c r="J6831">
        <v>94.885000000000005</v>
      </c>
      <c r="K6831">
        <v>0.08</v>
      </c>
      <c r="L6831">
        <v>0.36</v>
      </c>
      <c r="M6831">
        <v>23.835000000000001</v>
      </c>
      <c r="N6831">
        <v>249.459</v>
      </c>
      <c r="O6831" s="1" t="s">
        <v>53</v>
      </c>
      <c r="P6831" s="1" t="s">
        <v>13586</v>
      </c>
      <c r="Q6831" s="1" t="s">
        <v>13587</v>
      </c>
      <c r="R6831" s="1" t="s">
        <v>56</v>
      </c>
      <c r="S6831" s="1" t="s">
        <v>13588</v>
      </c>
      <c r="T6831" s="1" t="s">
        <v>13589</v>
      </c>
      <c r="U6831" s="2" t="s">
        <v>2113</v>
      </c>
      <c r="V6831" s="2" t="s">
        <v>47</v>
      </c>
      <c r="W6831" s="2" t="s">
        <v>74</v>
      </c>
      <c r="X6831" s="2">
        <v>22.68</v>
      </c>
    </row>
    <row r="6832" spans="1:24" x14ac:dyDescent="0.3">
      <c r="A6832">
        <v>24648</v>
      </c>
      <c r="B6832" t="s">
        <v>13585</v>
      </c>
      <c r="C6832" s="3">
        <v>41123</v>
      </c>
      <c r="D6832" t="s">
        <v>62</v>
      </c>
      <c r="E6832">
        <v>9</v>
      </c>
      <c r="F6832" s="3">
        <f ca="1">41125+(RANDBETWEEN(1,10))</f>
        <v>41134</v>
      </c>
      <c r="G6832" t="s">
        <v>26</v>
      </c>
      <c r="H6832" t="s">
        <v>27</v>
      </c>
      <c r="I6832" t="s">
        <v>97</v>
      </c>
      <c r="J6832">
        <v>5901.4549999999999</v>
      </c>
      <c r="K6832">
        <v>0</v>
      </c>
      <c r="L6832">
        <v>0.57999999999999996</v>
      </c>
      <c r="M6832">
        <v>10.5</v>
      </c>
      <c r="N6832">
        <v>-636.31399999999996</v>
      </c>
      <c r="O6832" s="1" t="s">
        <v>53</v>
      </c>
      <c r="P6832" s="1" t="s">
        <v>13586</v>
      </c>
      <c r="Q6832" s="1" t="s">
        <v>13587</v>
      </c>
      <c r="R6832" s="1" t="s">
        <v>56</v>
      </c>
      <c r="S6832" s="1" t="s">
        <v>13588</v>
      </c>
      <c r="T6832" s="1" t="s">
        <v>13589</v>
      </c>
      <c r="U6832" s="2">
        <v>6185</v>
      </c>
      <c r="V6832" s="2" t="s">
        <v>36</v>
      </c>
      <c r="W6832" s="2" t="s">
        <v>37</v>
      </c>
      <c r="X6832" s="2">
        <v>720.96500000000003</v>
      </c>
    </row>
    <row r="6833" spans="1:24" x14ac:dyDescent="0.3">
      <c r="A6833">
        <v>24649</v>
      </c>
      <c r="B6833" t="s">
        <v>13590</v>
      </c>
      <c r="C6833" s="3">
        <v>41483</v>
      </c>
      <c r="D6833" t="s">
        <v>148</v>
      </c>
      <c r="E6833">
        <v>15</v>
      </c>
      <c r="F6833" s="3">
        <f ca="1">41484+(RANDBETWEEN(1,10))</f>
        <v>41487</v>
      </c>
      <c r="G6833" t="s">
        <v>26</v>
      </c>
      <c r="H6833" t="s">
        <v>51</v>
      </c>
      <c r="I6833" t="s">
        <v>28</v>
      </c>
      <c r="J6833">
        <v>264.18</v>
      </c>
      <c r="K6833">
        <v>0.03</v>
      </c>
      <c r="L6833">
        <v>0.64</v>
      </c>
      <c r="M6833">
        <v>16.170000000000002</v>
      </c>
      <c r="N6833">
        <v>2036.7018</v>
      </c>
      <c r="O6833" s="1" t="s">
        <v>87</v>
      </c>
      <c r="P6833" s="1" t="s">
        <v>12321</v>
      </c>
      <c r="Q6833" s="1" t="s">
        <v>12322</v>
      </c>
      <c r="R6833" s="1" t="s">
        <v>398</v>
      </c>
      <c r="S6833" s="1" t="s">
        <v>12323</v>
      </c>
      <c r="T6833" s="1" t="s">
        <v>12324</v>
      </c>
      <c r="U6833" s="2" t="s">
        <v>505</v>
      </c>
      <c r="V6833" s="2" t="s">
        <v>36</v>
      </c>
      <c r="W6833" s="2" t="s">
        <v>60</v>
      </c>
      <c r="X6833" s="2">
        <v>17.43</v>
      </c>
    </row>
    <row r="6834" spans="1:24" x14ac:dyDescent="0.3">
      <c r="A6834">
        <v>24650</v>
      </c>
      <c r="B6834" t="s">
        <v>13591</v>
      </c>
      <c r="C6834" s="3">
        <v>41472</v>
      </c>
      <c r="D6834" t="s">
        <v>25</v>
      </c>
      <c r="E6834">
        <v>2</v>
      </c>
      <c r="F6834" s="3">
        <f ca="1">41477+(RANDBETWEEN(1,10))</f>
        <v>41478</v>
      </c>
      <c r="G6834" t="s">
        <v>26</v>
      </c>
      <c r="H6834" t="s">
        <v>63</v>
      </c>
      <c r="I6834" t="s">
        <v>52</v>
      </c>
      <c r="J6834">
        <v>537.495</v>
      </c>
      <c r="K6834">
        <v>0.02</v>
      </c>
      <c r="L6834">
        <v>0.8</v>
      </c>
      <c r="M6834">
        <v>122.5</v>
      </c>
      <c r="N6834">
        <v>-811.82500000000005</v>
      </c>
      <c r="O6834" s="1" t="s">
        <v>40</v>
      </c>
      <c r="P6834" s="1" t="s">
        <v>12733</v>
      </c>
      <c r="Q6834" s="1" t="s">
        <v>12734</v>
      </c>
      <c r="R6834" s="1" t="s">
        <v>43</v>
      </c>
      <c r="S6834" s="1" t="s">
        <v>7810</v>
      </c>
      <c r="T6834" s="1" t="s">
        <v>7811</v>
      </c>
      <c r="U6834" s="2" t="s">
        <v>13592</v>
      </c>
      <c r="V6834" s="2" t="s">
        <v>47</v>
      </c>
      <c r="W6834" s="2" t="s">
        <v>119</v>
      </c>
      <c r="X6834" s="2">
        <v>248.43</v>
      </c>
    </row>
    <row r="6835" spans="1:24" x14ac:dyDescent="0.3">
      <c r="A6835">
        <v>24651</v>
      </c>
      <c r="B6835" t="s">
        <v>13593</v>
      </c>
      <c r="C6835" s="3">
        <v>41613</v>
      </c>
      <c r="D6835" t="s">
        <v>148</v>
      </c>
      <c r="E6835">
        <v>24</v>
      </c>
      <c r="F6835" s="3">
        <f ca="1">41614+(RANDBETWEEN(1,10))</f>
        <v>41615</v>
      </c>
      <c r="G6835" t="s">
        <v>26</v>
      </c>
      <c r="H6835" t="s">
        <v>27</v>
      </c>
      <c r="I6835" t="s">
        <v>28</v>
      </c>
      <c r="J6835">
        <v>2526.8249999999998</v>
      </c>
      <c r="K6835">
        <v>0.1</v>
      </c>
      <c r="L6835">
        <v>0.37</v>
      </c>
      <c r="M6835">
        <v>40.704999999999998</v>
      </c>
      <c r="N6835">
        <v>1189.3008749999999</v>
      </c>
      <c r="O6835" s="1" t="s">
        <v>64</v>
      </c>
      <c r="P6835" s="1" t="s">
        <v>10555</v>
      </c>
      <c r="Q6835" s="1" t="s">
        <v>10556</v>
      </c>
      <c r="R6835" s="1" t="s">
        <v>128</v>
      </c>
      <c r="S6835" s="1" t="s">
        <v>10557</v>
      </c>
      <c r="T6835" s="1" t="s">
        <v>10558</v>
      </c>
      <c r="U6835" s="2" t="s">
        <v>4541</v>
      </c>
      <c r="V6835" s="2" t="s">
        <v>47</v>
      </c>
      <c r="W6835" s="2" t="s">
        <v>111</v>
      </c>
      <c r="X6835" s="2">
        <v>108.43</v>
      </c>
    </row>
    <row r="6836" spans="1:24" x14ac:dyDescent="0.3">
      <c r="A6836">
        <v>24652</v>
      </c>
      <c r="B6836" t="s">
        <v>13593</v>
      </c>
      <c r="C6836" s="3">
        <v>41613</v>
      </c>
      <c r="D6836" t="s">
        <v>148</v>
      </c>
      <c r="E6836">
        <v>4</v>
      </c>
      <c r="F6836" s="3">
        <f ca="1">41614+(RANDBETWEEN(1,10))</f>
        <v>41619</v>
      </c>
      <c r="G6836" t="s">
        <v>26</v>
      </c>
      <c r="H6836" t="s">
        <v>27</v>
      </c>
      <c r="I6836" t="s">
        <v>28</v>
      </c>
      <c r="J6836">
        <v>113.785</v>
      </c>
      <c r="K6836">
        <v>0.03</v>
      </c>
      <c r="L6836">
        <v>0.36</v>
      </c>
      <c r="M6836">
        <v>4.8650000000000002</v>
      </c>
      <c r="N6836">
        <v>66.36</v>
      </c>
      <c r="O6836" s="1" t="s">
        <v>64</v>
      </c>
      <c r="P6836" s="1" t="s">
        <v>10555</v>
      </c>
      <c r="Q6836" s="1" t="s">
        <v>10556</v>
      </c>
      <c r="R6836" s="1" t="s">
        <v>128</v>
      </c>
      <c r="S6836" s="1" t="s">
        <v>10557</v>
      </c>
      <c r="T6836" s="1" t="s">
        <v>10558</v>
      </c>
      <c r="U6836" s="2" t="s">
        <v>3975</v>
      </c>
      <c r="V6836" s="2" t="s">
        <v>47</v>
      </c>
      <c r="W6836" s="2" t="s">
        <v>48</v>
      </c>
      <c r="X6836" s="2">
        <v>26.74</v>
      </c>
    </row>
    <row r="6837" spans="1:24" x14ac:dyDescent="0.3">
      <c r="A6837">
        <v>24653</v>
      </c>
      <c r="B6837" t="s">
        <v>13593</v>
      </c>
      <c r="C6837" s="3">
        <v>41613</v>
      </c>
      <c r="D6837" t="s">
        <v>148</v>
      </c>
      <c r="E6837">
        <v>23</v>
      </c>
      <c r="F6837" s="3">
        <f ca="1">41615+(RANDBETWEEN(1,10))</f>
        <v>41624</v>
      </c>
      <c r="G6837" t="s">
        <v>156</v>
      </c>
      <c r="H6837" t="s">
        <v>27</v>
      </c>
      <c r="I6837" t="s">
        <v>28</v>
      </c>
      <c r="J6837">
        <v>552.61500000000001</v>
      </c>
      <c r="K6837">
        <v>0.04</v>
      </c>
      <c r="L6837">
        <v>0.37</v>
      </c>
      <c r="M6837">
        <v>25.795000000000002</v>
      </c>
      <c r="N6837">
        <v>-251.26499999999999</v>
      </c>
      <c r="O6837" s="1" t="s">
        <v>64</v>
      </c>
      <c r="P6837" s="1" t="s">
        <v>10555</v>
      </c>
      <c r="Q6837" s="1" t="s">
        <v>10556</v>
      </c>
      <c r="R6837" s="1" t="s">
        <v>128</v>
      </c>
      <c r="S6837" s="1" t="s">
        <v>10557</v>
      </c>
      <c r="T6837" s="1" t="s">
        <v>10558</v>
      </c>
      <c r="U6837" s="2" t="s">
        <v>2975</v>
      </c>
      <c r="V6837" s="2" t="s">
        <v>47</v>
      </c>
      <c r="W6837" s="2" t="s">
        <v>74</v>
      </c>
      <c r="X6837" s="2">
        <v>22.68</v>
      </c>
    </row>
    <row r="6838" spans="1:24" x14ac:dyDescent="0.3">
      <c r="A6838">
        <v>24654</v>
      </c>
      <c r="B6838" t="s">
        <v>13594</v>
      </c>
      <c r="C6838" s="3">
        <v>40949</v>
      </c>
      <c r="D6838" t="s">
        <v>25</v>
      </c>
      <c r="E6838">
        <v>1</v>
      </c>
      <c r="F6838" s="3">
        <f ca="1">40954+(RANDBETWEEN(1,10))</f>
        <v>40956</v>
      </c>
      <c r="G6838" t="s">
        <v>156</v>
      </c>
      <c r="H6838" t="s">
        <v>96</v>
      </c>
      <c r="I6838" t="s">
        <v>97</v>
      </c>
      <c r="J6838">
        <v>46.62</v>
      </c>
      <c r="K6838">
        <v>0.09</v>
      </c>
      <c r="L6838">
        <v>0.55000000000000004</v>
      </c>
      <c r="M6838">
        <v>8.26</v>
      </c>
      <c r="N6838">
        <v>-48.58</v>
      </c>
      <c r="O6838" s="1" t="s">
        <v>40</v>
      </c>
      <c r="P6838" s="1" t="s">
        <v>3923</v>
      </c>
      <c r="Q6838" s="1" t="s">
        <v>3924</v>
      </c>
      <c r="R6838" s="1" t="s">
        <v>220</v>
      </c>
      <c r="S6838" s="1" t="s">
        <v>3925</v>
      </c>
      <c r="T6838" s="1" t="s">
        <v>3926</v>
      </c>
      <c r="U6838" s="2" t="s">
        <v>2967</v>
      </c>
      <c r="V6838" s="2" t="s">
        <v>47</v>
      </c>
      <c r="W6838" s="2" t="s">
        <v>104</v>
      </c>
      <c r="X6838" s="2">
        <v>40.424999999999997</v>
      </c>
    </row>
    <row r="6839" spans="1:24" x14ac:dyDescent="0.3">
      <c r="A6839">
        <v>24655</v>
      </c>
      <c r="B6839" t="s">
        <v>13595</v>
      </c>
      <c r="C6839" s="3">
        <v>41680</v>
      </c>
      <c r="D6839" t="s">
        <v>25</v>
      </c>
      <c r="E6839">
        <v>4</v>
      </c>
      <c r="F6839" s="3">
        <f ca="1">41689+(RANDBETWEEN(1,10))</f>
        <v>41695</v>
      </c>
      <c r="G6839" t="s">
        <v>26</v>
      </c>
      <c r="H6839" t="s">
        <v>27</v>
      </c>
      <c r="I6839" t="s">
        <v>97</v>
      </c>
      <c r="J6839">
        <v>77.174999999999997</v>
      </c>
      <c r="K6839">
        <v>0.03</v>
      </c>
      <c r="L6839">
        <v>0.36</v>
      </c>
      <c r="M6839">
        <v>16.52</v>
      </c>
      <c r="N6839">
        <v>-90.894999999999996</v>
      </c>
      <c r="O6839" s="1" t="s">
        <v>64</v>
      </c>
      <c r="P6839" s="1" t="s">
        <v>10915</v>
      </c>
      <c r="Q6839" s="1" t="s">
        <v>10916</v>
      </c>
      <c r="R6839" s="1" t="s">
        <v>67</v>
      </c>
      <c r="S6839" s="1" t="s">
        <v>1865</v>
      </c>
      <c r="T6839" s="1" t="s">
        <v>1866</v>
      </c>
      <c r="U6839" s="2" t="s">
        <v>904</v>
      </c>
      <c r="V6839" s="2" t="s">
        <v>47</v>
      </c>
      <c r="W6839" s="2" t="s">
        <v>74</v>
      </c>
      <c r="X6839" s="2">
        <v>17.43</v>
      </c>
    </row>
    <row r="6840" spans="1:24" x14ac:dyDescent="0.3">
      <c r="A6840">
        <v>24656</v>
      </c>
      <c r="B6840" t="s">
        <v>13596</v>
      </c>
      <c r="C6840" s="3">
        <v>41524</v>
      </c>
      <c r="D6840" t="s">
        <v>62</v>
      </c>
      <c r="E6840">
        <v>8</v>
      </c>
      <c r="F6840" s="3">
        <f ca="1">41524+(RANDBETWEEN(1,10))</f>
        <v>41527</v>
      </c>
      <c r="G6840" t="s">
        <v>26</v>
      </c>
      <c r="H6840" t="s">
        <v>51</v>
      </c>
      <c r="I6840" t="s">
        <v>97</v>
      </c>
      <c r="J6840">
        <v>1330.42</v>
      </c>
      <c r="K6840">
        <v>0.04</v>
      </c>
      <c r="L6840">
        <v>0.59</v>
      </c>
      <c r="M6840">
        <v>11.55</v>
      </c>
      <c r="N6840">
        <v>104.29649999999999</v>
      </c>
      <c r="O6840" s="1" t="s">
        <v>225</v>
      </c>
      <c r="P6840" s="1" t="s">
        <v>6762</v>
      </c>
      <c r="Q6840" s="1" t="s">
        <v>6763</v>
      </c>
      <c r="R6840" s="1" t="s">
        <v>228</v>
      </c>
      <c r="S6840" s="1" t="s">
        <v>6764</v>
      </c>
      <c r="T6840" s="1" t="s">
        <v>6765</v>
      </c>
      <c r="U6840" s="2" t="s">
        <v>3769</v>
      </c>
      <c r="V6840" s="2" t="s">
        <v>36</v>
      </c>
      <c r="W6840" s="2" t="s">
        <v>37</v>
      </c>
      <c r="X6840" s="2">
        <v>195.965</v>
      </c>
    </row>
    <row r="6841" spans="1:24" x14ac:dyDescent="0.3">
      <c r="A6841">
        <v>24657</v>
      </c>
      <c r="B6841" t="s">
        <v>13597</v>
      </c>
      <c r="C6841" s="3">
        <v>41190</v>
      </c>
      <c r="D6841" t="s">
        <v>50</v>
      </c>
      <c r="E6841">
        <v>11</v>
      </c>
      <c r="F6841" s="3">
        <f ca="1">41192+(RANDBETWEEN(1,10))</f>
        <v>41200</v>
      </c>
      <c r="G6841" t="s">
        <v>76</v>
      </c>
      <c r="H6841" t="s">
        <v>77</v>
      </c>
      <c r="I6841" t="s">
        <v>97</v>
      </c>
      <c r="J6841">
        <v>3388.98</v>
      </c>
      <c r="K6841">
        <v>0.05</v>
      </c>
      <c r="L6841">
        <v>0.66</v>
      </c>
      <c r="M6841">
        <v>147</v>
      </c>
      <c r="N6841">
        <v>-1943.6004</v>
      </c>
      <c r="O6841" s="1" t="s">
        <v>225</v>
      </c>
      <c r="P6841" s="1" t="s">
        <v>11460</v>
      </c>
      <c r="Q6841" s="1" t="s">
        <v>11461</v>
      </c>
      <c r="R6841" s="1" t="s">
        <v>228</v>
      </c>
      <c r="S6841" s="1" t="s">
        <v>11462</v>
      </c>
      <c r="T6841" s="1" t="s">
        <v>11463</v>
      </c>
      <c r="U6841" s="2" t="s">
        <v>2462</v>
      </c>
      <c r="V6841" s="2" t="s">
        <v>83</v>
      </c>
      <c r="W6841" s="2" t="s">
        <v>84</v>
      </c>
      <c r="X6841" s="2">
        <v>314.96499999999997</v>
      </c>
    </row>
    <row r="6842" spans="1:24" x14ac:dyDescent="0.3">
      <c r="A6842">
        <v>24658</v>
      </c>
      <c r="B6842" t="s">
        <v>13598</v>
      </c>
      <c r="C6842" s="3">
        <v>41380</v>
      </c>
      <c r="D6842" t="s">
        <v>148</v>
      </c>
      <c r="E6842">
        <v>2</v>
      </c>
      <c r="F6842" s="3">
        <f ca="1">41380+(RANDBETWEEN(1,10))</f>
        <v>41390</v>
      </c>
      <c r="G6842" t="s">
        <v>26</v>
      </c>
      <c r="H6842" t="s">
        <v>27</v>
      </c>
      <c r="I6842" t="s">
        <v>28</v>
      </c>
      <c r="J6842">
        <v>28</v>
      </c>
      <c r="K6842">
        <v>0.06</v>
      </c>
      <c r="L6842">
        <v>0.38</v>
      </c>
      <c r="M6842">
        <v>5.2149999999999999</v>
      </c>
      <c r="N6842">
        <v>-0.60375000000000001</v>
      </c>
      <c r="O6842" s="1" t="s">
        <v>53</v>
      </c>
      <c r="P6842" s="1" t="s">
        <v>11734</v>
      </c>
      <c r="Q6842" s="1" t="s">
        <v>11735</v>
      </c>
      <c r="R6842" s="1" t="s">
        <v>100</v>
      </c>
      <c r="S6842" s="1" t="s">
        <v>4707</v>
      </c>
      <c r="T6842" s="1" t="s">
        <v>4708</v>
      </c>
      <c r="U6842" s="2" t="s">
        <v>1763</v>
      </c>
      <c r="V6842" s="2" t="s">
        <v>47</v>
      </c>
      <c r="W6842" s="2" t="s">
        <v>111</v>
      </c>
      <c r="X6842" s="2">
        <v>13.3</v>
      </c>
    </row>
    <row r="6843" spans="1:24" x14ac:dyDescent="0.3">
      <c r="A6843">
        <v>24659</v>
      </c>
      <c r="B6843" t="s">
        <v>13598</v>
      </c>
      <c r="C6843" s="3">
        <v>41380</v>
      </c>
      <c r="D6843" t="s">
        <v>148</v>
      </c>
      <c r="E6843">
        <v>2</v>
      </c>
      <c r="F6843" s="3">
        <f ca="1">41381+(RANDBETWEEN(1,10))</f>
        <v>41390</v>
      </c>
      <c r="G6843" t="s">
        <v>26</v>
      </c>
      <c r="H6843" t="s">
        <v>27</v>
      </c>
      <c r="I6843" t="s">
        <v>28</v>
      </c>
      <c r="J6843">
        <v>24.57</v>
      </c>
      <c r="K6843">
        <v>0.08</v>
      </c>
      <c r="L6843">
        <v>0.38</v>
      </c>
      <c r="M6843">
        <v>1.75</v>
      </c>
      <c r="N6843">
        <v>7.98</v>
      </c>
      <c r="O6843" s="1" t="s">
        <v>53</v>
      </c>
      <c r="P6843" s="1" t="s">
        <v>11734</v>
      </c>
      <c r="Q6843" s="1" t="s">
        <v>11735</v>
      </c>
      <c r="R6843" s="1" t="s">
        <v>100</v>
      </c>
      <c r="S6843" s="1" t="s">
        <v>4707</v>
      </c>
      <c r="T6843" s="1" t="s">
        <v>4708</v>
      </c>
      <c r="U6843" s="2" t="s">
        <v>1307</v>
      </c>
      <c r="V6843" s="2" t="s">
        <v>47</v>
      </c>
      <c r="W6843" s="2" t="s">
        <v>203</v>
      </c>
      <c r="X6843" s="2">
        <v>12.914999999999999</v>
      </c>
    </row>
    <row r="6844" spans="1:24" x14ac:dyDescent="0.3">
      <c r="A6844">
        <v>24660</v>
      </c>
      <c r="B6844" t="s">
        <v>13599</v>
      </c>
      <c r="C6844" s="3">
        <v>41442</v>
      </c>
      <c r="D6844" t="s">
        <v>148</v>
      </c>
      <c r="E6844">
        <v>2</v>
      </c>
      <c r="F6844" s="3">
        <f ca="1">41444+(RANDBETWEEN(1,10))</f>
        <v>41449</v>
      </c>
      <c r="G6844" t="s">
        <v>76</v>
      </c>
      <c r="H6844" t="s">
        <v>258</v>
      </c>
      <c r="I6844" t="s">
        <v>28</v>
      </c>
      <c r="J6844">
        <v>1525.0550000000001</v>
      </c>
      <c r="K6844">
        <v>0.03</v>
      </c>
      <c r="L6844">
        <v>0.75</v>
      </c>
      <c r="M6844">
        <v>219.59</v>
      </c>
      <c r="N6844">
        <v>-810.70500000000004</v>
      </c>
      <c r="O6844" s="1" t="s">
        <v>29</v>
      </c>
      <c r="P6844" s="1" t="s">
        <v>13191</v>
      </c>
      <c r="Q6844" s="1" t="s">
        <v>13192</v>
      </c>
      <c r="R6844" s="1" t="s">
        <v>460</v>
      </c>
      <c r="S6844" s="1" t="s">
        <v>13193</v>
      </c>
      <c r="T6844" s="1" t="s">
        <v>13194</v>
      </c>
      <c r="U6844" s="2" t="s">
        <v>4957</v>
      </c>
      <c r="V6844" s="2" t="s">
        <v>83</v>
      </c>
      <c r="W6844" s="2" t="s">
        <v>263</v>
      </c>
      <c r="X6844" s="2">
        <v>917.38499999999999</v>
      </c>
    </row>
    <row r="6845" spans="1:24" x14ac:dyDescent="0.3">
      <c r="A6845">
        <v>24661</v>
      </c>
      <c r="B6845" t="s">
        <v>13600</v>
      </c>
      <c r="C6845" s="3">
        <v>41852</v>
      </c>
      <c r="D6845" t="s">
        <v>25</v>
      </c>
      <c r="E6845">
        <v>13</v>
      </c>
      <c r="F6845" s="3">
        <f ca="1">41852+(RANDBETWEEN(1,10))</f>
        <v>41859</v>
      </c>
      <c r="G6845" t="s">
        <v>26</v>
      </c>
      <c r="H6845" t="s">
        <v>27</v>
      </c>
      <c r="I6845" t="s">
        <v>52</v>
      </c>
      <c r="J6845">
        <v>255.08</v>
      </c>
      <c r="K6845">
        <v>0</v>
      </c>
      <c r="L6845">
        <v>0.37</v>
      </c>
      <c r="M6845">
        <v>10.465</v>
      </c>
      <c r="N6845">
        <v>-691.48800000000006</v>
      </c>
      <c r="O6845" s="1" t="s">
        <v>64</v>
      </c>
      <c r="P6845" s="1" t="s">
        <v>13272</v>
      </c>
      <c r="Q6845" s="1" t="s">
        <v>13273</v>
      </c>
      <c r="R6845" s="1" t="s">
        <v>67</v>
      </c>
      <c r="S6845" s="1" t="s">
        <v>13274</v>
      </c>
      <c r="T6845" s="1" t="s">
        <v>13275</v>
      </c>
      <c r="U6845" s="2" t="s">
        <v>1041</v>
      </c>
      <c r="V6845" s="2" t="s">
        <v>47</v>
      </c>
      <c r="W6845" s="2" t="s">
        <v>111</v>
      </c>
      <c r="X6845" s="2">
        <v>18.48</v>
      </c>
    </row>
    <row r="6846" spans="1:24" x14ac:dyDescent="0.3">
      <c r="A6846">
        <v>24662</v>
      </c>
      <c r="B6846" t="s">
        <v>13601</v>
      </c>
      <c r="C6846" s="3">
        <v>41790</v>
      </c>
      <c r="D6846" t="s">
        <v>25</v>
      </c>
      <c r="E6846">
        <v>14</v>
      </c>
      <c r="F6846" s="3">
        <f ca="1">41797+(RANDBETWEEN(1,10))</f>
        <v>41806</v>
      </c>
      <c r="G6846" t="s">
        <v>26</v>
      </c>
      <c r="H6846" t="s">
        <v>27</v>
      </c>
      <c r="I6846" t="s">
        <v>28</v>
      </c>
      <c r="J6846">
        <v>315.73500000000001</v>
      </c>
      <c r="K6846">
        <v>0.08</v>
      </c>
      <c r="L6846">
        <v>0.37</v>
      </c>
      <c r="M6846">
        <v>27.684999999999999</v>
      </c>
      <c r="N6846">
        <v>-626.88499999999999</v>
      </c>
      <c r="O6846" s="1" t="s">
        <v>29</v>
      </c>
      <c r="P6846" s="1" t="s">
        <v>10073</v>
      </c>
      <c r="Q6846" s="1" t="s">
        <v>10074</v>
      </c>
      <c r="R6846" s="1" t="s">
        <v>675</v>
      </c>
      <c r="S6846" s="1" t="s">
        <v>10075</v>
      </c>
      <c r="T6846" s="1" t="s">
        <v>10076</v>
      </c>
      <c r="U6846" s="2" t="s">
        <v>387</v>
      </c>
      <c r="V6846" s="2" t="s">
        <v>47</v>
      </c>
      <c r="W6846" s="2" t="s">
        <v>74</v>
      </c>
      <c r="X6846" s="2">
        <v>22.68</v>
      </c>
    </row>
    <row r="6847" spans="1:24" x14ac:dyDescent="0.3">
      <c r="A6847">
        <v>24663</v>
      </c>
      <c r="B6847" t="s">
        <v>13602</v>
      </c>
      <c r="C6847" s="3">
        <v>40697</v>
      </c>
      <c r="D6847" t="s">
        <v>25</v>
      </c>
      <c r="E6847">
        <v>19</v>
      </c>
      <c r="F6847" s="3">
        <f ca="1">40702+(RANDBETWEEN(1,10))</f>
        <v>40707</v>
      </c>
      <c r="G6847" t="s">
        <v>26</v>
      </c>
      <c r="H6847" t="s">
        <v>27</v>
      </c>
      <c r="I6847" t="s">
        <v>28</v>
      </c>
      <c r="J6847">
        <v>10946.915000000001</v>
      </c>
      <c r="K6847">
        <v>0.05</v>
      </c>
      <c r="L6847">
        <v>0.66</v>
      </c>
      <c r="M6847">
        <v>69.965000000000003</v>
      </c>
      <c r="N6847">
        <v>6623.4840000000004</v>
      </c>
      <c r="O6847" s="1" t="s">
        <v>29</v>
      </c>
      <c r="P6847" s="1" t="s">
        <v>12452</v>
      </c>
      <c r="Q6847" s="1" t="s">
        <v>12453</v>
      </c>
      <c r="R6847" s="1" t="s">
        <v>460</v>
      </c>
      <c r="S6847" s="1" t="s">
        <v>1431</v>
      </c>
      <c r="T6847" s="1" t="s">
        <v>1432</v>
      </c>
      <c r="U6847" s="2" t="s">
        <v>6421</v>
      </c>
      <c r="V6847" s="2" t="s">
        <v>47</v>
      </c>
      <c r="W6847" s="2" t="s">
        <v>119</v>
      </c>
      <c r="X6847" s="2">
        <v>565.42499999999995</v>
      </c>
    </row>
    <row r="6848" spans="1:24" x14ac:dyDescent="0.3">
      <c r="A6848">
        <v>24664</v>
      </c>
      <c r="B6848" t="s">
        <v>13603</v>
      </c>
      <c r="C6848" s="3">
        <v>41503</v>
      </c>
      <c r="D6848" t="s">
        <v>50</v>
      </c>
      <c r="E6848">
        <v>5</v>
      </c>
      <c r="F6848" s="3">
        <f ca="1">41504+(RANDBETWEEN(1,10))</f>
        <v>41513</v>
      </c>
      <c r="G6848" t="s">
        <v>26</v>
      </c>
      <c r="H6848" t="s">
        <v>27</v>
      </c>
      <c r="I6848" t="s">
        <v>97</v>
      </c>
      <c r="J6848">
        <v>345.13499999999999</v>
      </c>
      <c r="K6848">
        <v>0.06</v>
      </c>
      <c r="L6848">
        <v>0.35</v>
      </c>
      <c r="M6848">
        <v>5.2149999999999999</v>
      </c>
      <c r="N6848">
        <v>238.14314999999999</v>
      </c>
      <c r="O6848" s="1" t="s">
        <v>40</v>
      </c>
      <c r="P6848" s="1" t="s">
        <v>13604</v>
      </c>
      <c r="Q6848" s="1" t="s">
        <v>13605</v>
      </c>
      <c r="R6848" s="1" t="s">
        <v>43</v>
      </c>
      <c r="S6848" s="1" t="s">
        <v>5804</v>
      </c>
      <c r="T6848" s="1" t="s">
        <v>5805</v>
      </c>
      <c r="U6848" s="2" t="s">
        <v>3361</v>
      </c>
      <c r="V6848" s="2" t="s">
        <v>47</v>
      </c>
      <c r="W6848" s="2" t="s">
        <v>111</v>
      </c>
      <c r="X6848" s="2">
        <v>73.430000000000007</v>
      </c>
    </row>
    <row r="6849" spans="1:24" x14ac:dyDescent="0.3">
      <c r="A6849">
        <v>24665</v>
      </c>
      <c r="B6849" t="s">
        <v>13606</v>
      </c>
      <c r="C6849" s="3">
        <v>41192</v>
      </c>
      <c r="D6849" t="s">
        <v>62</v>
      </c>
      <c r="E6849">
        <v>5</v>
      </c>
      <c r="F6849" s="3">
        <f ca="1">41194+(RANDBETWEEN(1,10))</f>
        <v>41201</v>
      </c>
      <c r="G6849" t="s">
        <v>26</v>
      </c>
      <c r="H6849" t="s">
        <v>96</v>
      </c>
      <c r="I6849" t="s">
        <v>28</v>
      </c>
      <c r="J6849">
        <v>46.094999999999999</v>
      </c>
      <c r="K6849">
        <v>0.1</v>
      </c>
      <c r="L6849">
        <v>0.54</v>
      </c>
      <c r="M6849">
        <v>3.2549999999999999</v>
      </c>
      <c r="N6849">
        <v>-13.7592</v>
      </c>
      <c r="O6849" s="1" t="s">
        <v>87</v>
      </c>
      <c r="P6849" s="1" t="s">
        <v>12083</v>
      </c>
      <c r="Q6849" s="1" t="s">
        <v>12084</v>
      </c>
      <c r="R6849" s="1" t="s">
        <v>497</v>
      </c>
      <c r="S6849" s="1" t="s">
        <v>1263</v>
      </c>
      <c r="T6849" s="1" t="s">
        <v>3297</v>
      </c>
      <c r="U6849" s="2" t="s">
        <v>1476</v>
      </c>
      <c r="V6849" s="2" t="s">
        <v>47</v>
      </c>
      <c r="W6849" s="2" t="s">
        <v>104</v>
      </c>
      <c r="X6849" s="2">
        <v>9.94</v>
      </c>
    </row>
    <row r="6850" spans="1:24" x14ac:dyDescent="0.3">
      <c r="A6850">
        <v>24666</v>
      </c>
      <c r="B6850" t="s">
        <v>13607</v>
      </c>
      <c r="C6850" s="3">
        <v>41754</v>
      </c>
      <c r="D6850" t="s">
        <v>39</v>
      </c>
      <c r="E6850">
        <v>10</v>
      </c>
      <c r="F6850" s="3">
        <f ca="1">41755+(RANDBETWEEN(1,10))</f>
        <v>41760</v>
      </c>
      <c r="G6850" t="s">
        <v>26</v>
      </c>
      <c r="H6850" t="s">
        <v>96</v>
      </c>
      <c r="I6850" t="s">
        <v>86</v>
      </c>
      <c r="J6850">
        <v>285.63499999999999</v>
      </c>
      <c r="K6850">
        <v>0.08</v>
      </c>
      <c r="L6850">
        <v>0.38</v>
      </c>
      <c r="M6850">
        <v>5.915</v>
      </c>
      <c r="N6850">
        <v>197.08815000000001</v>
      </c>
      <c r="O6850" s="1" t="s">
        <v>29</v>
      </c>
      <c r="P6850" s="1" t="s">
        <v>2598</v>
      </c>
      <c r="Q6850" s="1" t="s">
        <v>2599</v>
      </c>
      <c r="R6850" s="1" t="s">
        <v>460</v>
      </c>
      <c r="S6850" s="1" t="s">
        <v>2600</v>
      </c>
      <c r="T6850" s="1" t="s">
        <v>2601</v>
      </c>
      <c r="U6850" s="2" t="s">
        <v>3010</v>
      </c>
      <c r="V6850" s="2" t="s">
        <v>47</v>
      </c>
      <c r="W6850" s="2" t="s">
        <v>74</v>
      </c>
      <c r="X6850" s="2">
        <v>28.594999999999999</v>
      </c>
    </row>
    <row r="6851" spans="1:24" x14ac:dyDescent="0.3">
      <c r="A6851">
        <v>24667</v>
      </c>
      <c r="B6851" t="s">
        <v>13608</v>
      </c>
      <c r="C6851" s="3">
        <v>41024</v>
      </c>
      <c r="D6851" t="s">
        <v>39</v>
      </c>
      <c r="E6851">
        <v>9</v>
      </c>
      <c r="F6851" s="3">
        <f ca="1">41025+(RANDBETWEEN(1,10))</f>
        <v>41035</v>
      </c>
      <c r="G6851" t="s">
        <v>156</v>
      </c>
      <c r="H6851" t="s">
        <v>27</v>
      </c>
      <c r="I6851" t="s">
        <v>86</v>
      </c>
      <c r="J6851">
        <v>268.24</v>
      </c>
      <c r="K6851">
        <v>0.08</v>
      </c>
      <c r="L6851">
        <v>0.39</v>
      </c>
      <c r="M6851">
        <v>10.465</v>
      </c>
      <c r="N6851">
        <v>164.39850000000001</v>
      </c>
      <c r="O6851" s="1" t="s">
        <v>40</v>
      </c>
      <c r="P6851" s="1" t="s">
        <v>13609</v>
      </c>
      <c r="Q6851" s="1" t="s">
        <v>13610</v>
      </c>
      <c r="R6851" s="1" t="s">
        <v>220</v>
      </c>
      <c r="S6851" s="1" t="s">
        <v>13611</v>
      </c>
      <c r="T6851" s="1" t="s">
        <v>13612</v>
      </c>
      <c r="U6851" s="2" t="s">
        <v>618</v>
      </c>
      <c r="V6851" s="2" t="s">
        <v>47</v>
      </c>
      <c r="W6851" s="2" t="s">
        <v>111</v>
      </c>
      <c r="X6851" s="2">
        <v>30.414999999999999</v>
      </c>
    </row>
    <row r="6852" spans="1:24" x14ac:dyDescent="0.3">
      <c r="A6852">
        <v>24668</v>
      </c>
      <c r="B6852" t="s">
        <v>13607</v>
      </c>
      <c r="C6852" s="3">
        <v>41754</v>
      </c>
      <c r="D6852" t="s">
        <v>39</v>
      </c>
      <c r="E6852">
        <v>11</v>
      </c>
      <c r="F6852" s="3">
        <f ca="1">41756+(RANDBETWEEN(1,10))</f>
        <v>41759</v>
      </c>
      <c r="G6852" t="s">
        <v>26</v>
      </c>
      <c r="H6852" t="s">
        <v>96</v>
      </c>
      <c r="I6852" t="s">
        <v>86</v>
      </c>
      <c r="J6852">
        <v>276.185</v>
      </c>
      <c r="K6852">
        <v>0.06</v>
      </c>
      <c r="L6852">
        <v>0.47</v>
      </c>
      <c r="M6852">
        <v>8.2249999999999996</v>
      </c>
      <c r="N6852">
        <v>186.02500000000001</v>
      </c>
      <c r="O6852" s="1" t="s">
        <v>40</v>
      </c>
      <c r="P6852" s="1" t="s">
        <v>13609</v>
      </c>
      <c r="Q6852" s="1" t="s">
        <v>13610</v>
      </c>
      <c r="R6852" s="1" t="s">
        <v>220</v>
      </c>
      <c r="S6852" s="1" t="s">
        <v>13611</v>
      </c>
      <c r="T6852" s="1" t="s">
        <v>13612</v>
      </c>
      <c r="U6852" s="2" t="s">
        <v>6690</v>
      </c>
      <c r="V6852" s="2" t="s">
        <v>47</v>
      </c>
      <c r="W6852" s="2" t="s">
        <v>104</v>
      </c>
      <c r="X6852" s="2">
        <v>24.78</v>
      </c>
    </row>
    <row r="6853" spans="1:24" x14ac:dyDescent="0.3">
      <c r="A6853">
        <v>24669</v>
      </c>
      <c r="B6853" t="s">
        <v>13613</v>
      </c>
      <c r="C6853" s="3">
        <v>41434</v>
      </c>
      <c r="D6853" t="s">
        <v>39</v>
      </c>
      <c r="E6853">
        <v>18</v>
      </c>
      <c r="F6853" s="3">
        <f ca="1">41436+(RANDBETWEEN(1,10))</f>
        <v>41443</v>
      </c>
      <c r="G6853" t="s">
        <v>26</v>
      </c>
      <c r="H6853" t="s">
        <v>27</v>
      </c>
      <c r="I6853" t="s">
        <v>28</v>
      </c>
      <c r="J6853">
        <v>225.89</v>
      </c>
      <c r="K6853">
        <v>0.08</v>
      </c>
      <c r="L6853">
        <v>0.37</v>
      </c>
      <c r="M6853">
        <v>19.145</v>
      </c>
      <c r="N6853">
        <v>-467.38299999999998</v>
      </c>
      <c r="O6853" s="1" t="s">
        <v>225</v>
      </c>
      <c r="P6853" s="1" t="s">
        <v>12872</v>
      </c>
      <c r="Q6853" s="1" t="s">
        <v>12873</v>
      </c>
      <c r="R6853" s="1" t="s">
        <v>228</v>
      </c>
      <c r="S6853" s="1" t="s">
        <v>12874</v>
      </c>
      <c r="T6853" s="1" t="s">
        <v>12875</v>
      </c>
      <c r="U6853" s="2" t="s">
        <v>879</v>
      </c>
      <c r="V6853" s="2" t="s">
        <v>47</v>
      </c>
      <c r="W6853" s="2" t="s">
        <v>111</v>
      </c>
      <c r="X6853" s="2">
        <v>12.53</v>
      </c>
    </row>
    <row r="6854" spans="1:24" x14ac:dyDescent="0.3">
      <c r="A6854">
        <v>24670</v>
      </c>
      <c r="B6854" t="s">
        <v>13613</v>
      </c>
      <c r="C6854" s="3">
        <v>41434</v>
      </c>
      <c r="D6854" t="s">
        <v>39</v>
      </c>
      <c r="E6854">
        <v>7</v>
      </c>
      <c r="F6854" s="3">
        <f ca="1">41436+(RANDBETWEEN(1,10))</f>
        <v>41439</v>
      </c>
      <c r="G6854" t="s">
        <v>26</v>
      </c>
      <c r="H6854" t="s">
        <v>96</v>
      </c>
      <c r="I6854" t="s">
        <v>28</v>
      </c>
      <c r="J6854">
        <v>150.15</v>
      </c>
      <c r="K6854">
        <v>0.05</v>
      </c>
      <c r="L6854">
        <v>0.56000000000000005</v>
      </c>
      <c r="M6854">
        <v>7.9450000000000003</v>
      </c>
      <c r="N6854">
        <v>-3.4159999999999999</v>
      </c>
      <c r="O6854" s="1" t="s">
        <v>225</v>
      </c>
      <c r="P6854" s="1" t="s">
        <v>12872</v>
      </c>
      <c r="Q6854" s="1" t="s">
        <v>12873</v>
      </c>
      <c r="R6854" s="1" t="s">
        <v>228</v>
      </c>
      <c r="S6854" s="1" t="s">
        <v>12874</v>
      </c>
      <c r="T6854" s="1" t="s">
        <v>12875</v>
      </c>
      <c r="U6854" s="2" t="s">
        <v>212</v>
      </c>
      <c r="V6854" s="2" t="s">
        <v>47</v>
      </c>
      <c r="W6854" s="2" t="s">
        <v>104</v>
      </c>
      <c r="X6854" s="2">
        <v>20.475000000000001</v>
      </c>
    </row>
    <row r="6855" spans="1:24" x14ac:dyDescent="0.3">
      <c r="A6855">
        <v>24671</v>
      </c>
      <c r="B6855" t="s">
        <v>13613</v>
      </c>
      <c r="C6855" s="3">
        <v>41434</v>
      </c>
      <c r="D6855" t="s">
        <v>39</v>
      </c>
      <c r="E6855">
        <v>17</v>
      </c>
      <c r="F6855" s="3">
        <f ca="1">41436+(RANDBETWEEN(1,10))</f>
        <v>41443</v>
      </c>
      <c r="G6855" t="s">
        <v>26</v>
      </c>
      <c r="H6855" t="s">
        <v>96</v>
      </c>
      <c r="I6855" t="s">
        <v>28</v>
      </c>
      <c r="J6855">
        <v>199.57</v>
      </c>
      <c r="K6855">
        <v>0.02</v>
      </c>
      <c r="L6855">
        <v>0.4</v>
      </c>
      <c r="M6855">
        <v>4.7249999999999996</v>
      </c>
      <c r="N6855">
        <v>90.804000000000002</v>
      </c>
      <c r="O6855" s="1" t="s">
        <v>225</v>
      </c>
      <c r="P6855" s="1" t="s">
        <v>12872</v>
      </c>
      <c r="Q6855" s="1" t="s">
        <v>12873</v>
      </c>
      <c r="R6855" s="1" t="s">
        <v>228</v>
      </c>
      <c r="S6855" s="1" t="s">
        <v>12874</v>
      </c>
      <c r="T6855" s="1" t="s">
        <v>12875</v>
      </c>
      <c r="U6855" s="2" t="s">
        <v>2529</v>
      </c>
      <c r="V6855" s="2" t="s">
        <v>47</v>
      </c>
      <c r="W6855" s="2" t="s">
        <v>176</v>
      </c>
      <c r="X6855" s="2">
        <v>11.515000000000001</v>
      </c>
    </row>
    <row r="6856" spans="1:24" x14ac:dyDescent="0.3">
      <c r="A6856">
        <v>24672</v>
      </c>
      <c r="B6856" t="s">
        <v>13614</v>
      </c>
      <c r="C6856" s="3">
        <v>41478</v>
      </c>
      <c r="D6856" t="s">
        <v>39</v>
      </c>
      <c r="E6856">
        <v>7</v>
      </c>
      <c r="F6856" s="3">
        <f ca="1">41480+(RANDBETWEEN(1,10))</f>
        <v>41481</v>
      </c>
      <c r="G6856" t="s">
        <v>26</v>
      </c>
      <c r="H6856" t="s">
        <v>27</v>
      </c>
      <c r="I6856" t="s">
        <v>28</v>
      </c>
      <c r="J6856">
        <v>723.55499999999995</v>
      </c>
      <c r="K6856">
        <v>7.0000000000000007E-2</v>
      </c>
      <c r="L6856">
        <v>0.74</v>
      </c>
      <c r="M6856">
        <v>30.274999999999999</v>
      </c>
      <c r="N6856">
        <v>-551.28499999999997</v>
      </c>
      <c r="O6856" s="1" t="s">
        <v>29</v>
      </c>
      <c r="P6856" s="1" t="s">
        <v>7729</v>
      </c>
      <c r="Q6856" s="1" t="s">
        <v>7730</v>
      </c>
      <c r="R6856" s="1" t="s">
        <v>32</v>
      </c>
      <c r="S6856" s="1" t="s">
        <v>7731</v>
      </c>
      <c r="T6856" s="1" t="s">
        <v>7732</v>
      </c>
      <c r="U6856" s="2" t="s">
        <v>344</v>
      </c>
      <c r="V6856" s="2" t="s">
        <v>36</v>
      </c>
      <c r="W6856" s="2" t="s">
        <v>60</v>
      </c>
      <c r="X6856" s="2">
        <v>106.47</v>
      </c>
    </row>
    <row r="6857" spans="1:24" x14ac:dyDescent="0.3">
      <c r="A6857">
        <v>24673</v>
      </c>
      <c r="B6857" t="s">
        <v>13615</v>
      </c>
      <c r="C6857" s="3">
        <v>40585</v>
      </c>
      <c r="D6857" t="s">
        <v>62</v>
      </c>
      <c r="E6857">
        <v>9</v>
      </c>
      <c r="F6857" s="3">
        <f ca="1">40587+(RANDBETWEEN(1,10))</f>
        <v>40596</v>
      </c>
      <c r="G6857" t="s">
        <v>76</v>
      </c>
      <c r="H6857" t="s">
        <v>77</v>
      </c>
      <c r="I6857" t="s">
        <v>28</v>
      </c>
      <c r="J6857">
        <v>8537.7950000000001</v>
      </c>
      <c r="K6857">
        <v>7.0000000000000007E-2</v>
      </c>
      <c r="L6857">
        <v>0.77</v>
      </c>
      <c r="M6857">
        <v>175</v>
      </c>
      <c r="N6857">
        <v>97.040999999999997</v>
      </c>
      <c r="O6857" s="1" t="s">
        <v>29</v>
      </c>
      <c r="P6857" s="1" t="s">
        <v>11723</v>
      </c>
      <c r="Q6857" s="1" t="s">
        <v>11724</v>
      </c>
      <c r="R6857" s="1" t="s">
        <v>32</v>
      </c>
      <c r="S6857" s="1" t="s">
        <v>5392</v>
      </c>
      <c r="T6857" s="1" t="s">
        <v>5393</v>
      </c>
      <c r="U6857" s="2" t="s">
        <v>5741</v>
      </c>
      <c r="V6857" s="2" t="s">
        <v>83</v>
      </c>
      <c r="W6857" s="2" t="s">
        <v>84</v>
      </c>
      <c r="X6857" s="2">
        <v>948.43</v>
      </c>
    </row>
    <row r="6858" spans="1:24" x14ac:dyDescent="0.3">
      <c r="A6858">
        <v>24674</v>
      </c>
      <c r="B6858" t="s">
        <v>13616</v>
      </c>
      <c r="C6858" s="3">
        <v>40725</v>
      </c>
      <c r="D6858" t="s">
        <v>39</v>
      </c>
      <c r="E6858">
        <v>13</v>
      </c>
      <c r="F6858" s="3">
        <f ca="1">40726+(RANDBETWEEN(1,10))</f>
        <v>40736</v>
      </c>
      <c r="G6858" t="s">
        <v>26</v>
      </c>
      <c r="H6858" t="s">
        <v>51</v>
      </c>
      <c r="I6858" t="s">
        <v>52</v>
      </c>
      <c r="J6858">
        <v>2131.8150000000001</v>
      </c>
      <c r="K6858">
        <v>0.04</v>
      </c>
      <c r="L6858">
        <v>0.55000000000000004</v>
      </c>
      <c r="M6858">
        <v>6.9649999999999999</v>
      </c>
      <c r="N6858">
        <v>-214.179</v>
      </c>
      <c r="O6858" s="1" t="s">
        <v>87</v>
      </c>
      <c r="P6858" s="1" t="s">
        <v>12472</v>
      </c>
      <c r="Q6858" s="1" t="s">
        <v>12473</v>
      </c>
      <c r="R6858" s="1" t="s">
        <v>90</v>
      </c>
      <c r="S6858" s="1" t="s">
        <v>12474</v>
      </c>
      <c r="T6858" s="1" t="s">
        <v>12475</v>
      </c>
      <c r="U6858" s="2" t="s">
        <v>2560</v>
      </c>
      <c r="V6858" s="2" t="s">
        <v>36</v>
      </c>
      <c r="W6858" s="2" t="s">
        <v>60</v>
      </c>
      <c r="X6858" s="2">
        <v>158.16499999999999</v>
      </c>
    </row>
    <row r="6859" spans="1:24" x14ac:dyDescent="0.3">
      <c r="A6859">
        <v>24675</v>
      </c>
      <c r="B6859" t="s">
        <v>13617</v>
      </c>
      <c r="C6859" s="3">
        <v>41821</v>
      </c>
      <c r="D6859" t="s">
        <v>39</v>
      </c>
      <c r="E6859">
        <v>3</v>
      </c>
      <c r="F6859" s="3">
        <f ca="1">41821+(RANDBETWEEN(1,10))</f>
        <v>41827</v>
      </c>
      <c r="G6859" t="s">
        <v>26</v>
      </c>
      <c r="H6859" t="s">
        <v>27</v>
      </c>
      <c r="I6859" t="s">
        <v>52</v>
      </c>
      <c r="J6859">
        <v>61.354999999999997</v>
      </c>
      <c r="K6859">
        <v>0.03</v>
      </c>
      <c r="L6859">
        <v>0.36</v>
      </c>
      <c r="M6859">
        <v>21.245000000000001</v>
      </c>
      <c r="N6859">
        <v>-408.75799999999998</v>
      </c>
      <c r="O6859" s="1" t="s">
        <v>87</v>
      </c>
      <c r="P6859" s="1" t="s">
        <v>12472</v>
      </c>
      <c r="Q6859" s="1" t="s">
        <v>12473</v>
      </c>
      <c r="R6859" s="1" t="s">
        <v>90</v>
      </c>
      <c r="S6859" s="1" t="s">
        <v>12474</v>
      </c>
      <c r="T6859" s="1" t="s">
        <v>12475</v>
      </c>
      <c r="U6859" s="2" t="s">
        <v>250</v>
      </c>
      <c r="V6859" s="2" t="s">
        <v>47</v>
      </c>
      <c r="W6859" s="2" t="s">
        <v>74</v>
      </c>
      <c r="X6859" s="2">
        <v>17.43</v>
      </c>
    </row>
    <row r="6860" spans="1:24" x14ac:dyDescent="0.3">
      <c r="A6860">
        <v>24676</v>
      </c>
      <c r="B6860" t="s">
        <v>13311</v>
      </c>
      <c r="C6860" s="3">
        <v>41919</v>
      </c>
      <c r="D6860" t="s">
        <v>50</v>
      </c>
      <c r="E6860">
        <v>19</v>
      </c>
      <c r="F6860" s="3">
        <f ca="1">41921+(RANDBETWEEN(1,10))</f>
        <v>41923</v>
      </c>
      <c r="G6860" t="s">
        <v>26</v>
      </c>
      <c r="H6860" t="s">
        <v>27</v>
      </c>
      <c r="I6860" t="s">
        <v>52</v>
      </c>
      <c r="J6860">
        <v>513.30999999999995</v>
      </c>
      <c r="K6860">
        <v>0.09</v>
      </c>
      <c r="L6860">
        <v>0.35</v>
      </c>
      <c r="M6860">
        <v>21.56</v>
      </c>
      <c r="N6860">
        <v>-225.44024999999999</v>
      </c>
      <c r="O6860" s="1" t="s">
        <v>29</v>
      </c>
      <c r="P6860" s="1" t="s">
        <v>13618</v>
      </c>
      <c r="Q6860" s="1" t="s">
        <v>13619</v>
      </c>
      <c r="R6860" s="1" t="s">
        <v>32</v>
      </c>
      <c r="S6860" s="1" t="s">
        <v>1051</v>
      </c>
      <c r="T6860" s="1" t="s">
        <v>1052</v>
      </c>
      <c r="U6860" s="2" t="s">
        <v>3717</v>
      </c>
      <c r="V6860" s="2" t="s">
        <v>47</v>
      </c>
      <c r="W6860" s="2" t="s">
        <v>111</v>
      </c>
      <c r="X6860" s="2">
        <v>26.88</v>
      </c>
    </row>
    <row r="6861" spans="1:24" x14ac:dyDescent="0.3">
      <c r="A6861">
        <v>24677</v>
      </c>
      <c r="B6861" t="s">
        <v>13620</v>
      </c>
      <c r="C6861" s="3">
        <v>40823</v>
      </c>
      <c r="D6861" t="s">
        <v>50</v>
      </c>
      <c r="E6861">
        <v>6</v>
      </c>
      <c r="F6861" s="3">
        <f ca="1">40825+(RANDBETWEEN(1,10))</f>
        <v>40828</v>
      </c>
      <c r="G6861" t="s">
        <v>76</v>
      </c>
      <c r="H6861" t="s">
        <v>77</v>
      </c>
      <c r="I6861" t="s">
        <v>52</v>
      </c>
      <c r="J6861">
        <v>6364.4350000000004</v>
      </c>
      <c r="K6861">
        <v>0.05</v>
      </c>
      <c r="L6861">
        <v>0.56000000000000005</v>
      </c>
      <c r="M6861">
        <v>170.8</v>
      </c>
      <c r="N6861">
        <v>1926.3327999999999</v>
      </c>
      <c r="O6861" s="1" t="s">
        <v>29</v>
      </c>
      <c r="P6861" s="1" t="s">
        <v>13618</v>
      </c>
      <c r="Q6861" s="1" t="s">
        <v>13619</v>
      </c>
      <c r="R6861" s="1" t="s">
        <v>32</v>
      </c>
      <c r="S6861" s="1" t="s">
        <v>1051</v>
      </c>
      <c r="T6861" s="1" t="s">
        <v>1052</v>
      </c>
      <c r="U6861" s="2" t="s">
        <v>2173</v>
      </c>
      <c r="V6861" s="2" t="s">
        <v>83</v>
      </c>
      <c r="W6861" s="2" t="s">
        <v>84</v>
      </c>
      <c r="X6861" s="2">
        <v>1021.0549999999999</v>
      </c>
    </row>
    <row r="6862" spans="1:24" x14ac:dyDescent="0.3">
      <c r="A6862">
        <v>24678</v>
      </c>
      <c r="B6862" t="s">
        <v>13311</v>
      </c>
      <c r="C6862" s="3">
        <v>41919</v>
      </c>
      <c r="D6862" t="s">
        <v>50</v>
      </c>
      <c r="E6862">
        <v>25</v>
      </c>
      <c r="F6862" s="3">
        <f ca="1">41921+(RANDBETWEEN(1,10))</f>
        <v>41931</v>
      </c>
      <c r="G6862" t="s">
        <v>26</v>
      </c>
      <c r="H6862" t="s">
        <v>27</v>
      </c>
      <c r="I6862" t="s">
        <v>52</v>
      </c>
      <c r="J6862">
        <v>1722.63</v>
      </c>
      <c r="K6862">
        <v>0.04</v>
      </c>
      <c r="L6862">
        <v>0.38</v>
      </c>
      <c r="M6862">
        <v>20.195</v>
      </c>
      <c r="N6862">
        <v>900.58500000000004</v>
      </c>
      <c r="O6862" s="1" t="s">
        <v>29</v>
      </c>
      <c r="P6862" s="1" t="s">
        <v>13618</v>
      </c>
      <c r="Q6862" s="1" t="s">
        <v>13619</v>
      </c>
      <c r="R6862" s="1" t="s">
        <v>32</v>
      </c>
      <c r="S6862" s="1" t="s">
        <v>1051</v>
      </c>
      <c r="T6862" s="1" t="s">
        <v>1052</v>
      </c>
      <c r="U6862" s="2" t="s">
        <v>5065</v>
      </c>
      <c r="V6862" s="2" t="s">
        <v>47</v>
      </c>
      <c r="W6862" s="2" t="s">
        <v>74</v>
      </c>
      <c r="X6862" s="2">
        <v>69.930000000000007</v>
      </c>
    </row>
    <row r="6863" spans="1:24" x14ac:dyDescent="0.3">
      <c r="A6863">
        <v>24679</v>
      </c>
      <c r="B6863" t="s">
        <v>13621</v>
      </c>
      <c r="C6863" s="3">
        <v>41935</v>
      </c>
      <c r="D6863" t="s">
        <v>39</v>
      </c>
      <c r="E6863">
        <v>3</v>
      </c>
      <c r="F6863" s="3">
        <f ca="1">41936+(RANDBETWEEN(1,10))</f>
        <v>41943</v>
      </c>
      <c r="G6863" t="s">
        <v>26</v>
      </c>
      <c r="H6863" t="s">
        <v>27</v>
      </c>
      <c r="I6863" t="s">
        <v>28</v>
      </c>
      <c r="J6863">
        <v>169.19</v>
      </c>
      <c r="K6863">
        <v>0.03</v>
      </c>
      <c r="L6863">
        <v>0.38</v>
      </c>
      <c r="M6863">
        <v>4.8650000000000002</v>
      </c>
      <c r="N6863">
        <v>43.75</v>
      </c>
      <c r="O6863" s="1" t="s">
        <v>40</v>
      </c>
      <c r="P6863" s="1" t="s">
        <v>6292</v>
      </c>
      <c r="Q6863" s="1" t="s">
        <v>6293</v>
      </c>
      <c r="R6863" s="1" t="s">
        <v>43</v>
      </c>
      <c r="S6863" s="1" t="s">
        <v>80</v>
      </c>
      <c r="T6863" s="1" t="s">
        <v>6294</v>
      </c>
      <c r="U6863" s="2" t="s">
        <v>2854</v>
      </c>
      <c r="V6863" s="2" t="s">
        <v>47</v>
      </c>
      <c r="W6863" s="2" t="s">
        <v>48</v>
      </c>
      <c r="X6863" s="2">
        <v>54.844999999999999</v>
      </c>
    </row>
    <row r="6864" spans="1:24" x14ac:dyDescent="0.3">
      <c r="A6864">
        <v>24680</v>
      </c>
      <c r="B6864" t="s">
        <v>13622</v>
      </c>
      <c r="C6864" s="3">
        <v>41014</v>
      </c>
      <c r="D6864" t="s">
        <v>148</v>
      </c>
      <c r="E6864">
        <v>10</v>
      </c>
      <c r="F6864" s="3">
        <f ca="1">41014+(RANDBETWEEN(1,10))</f>
        <v>41024</v>
      </c>
      <c r="G6864" t="s">
        <v>26</v>
      </c>
      <c r="H6864" t="s">
        <v>96</v>
      </c>
      <c r="I6864" t="s">
        <v>28</v>
      </c>
      <c r="J6864">
        <v>215.11</v>
      </c>
      <c r="K6864">
        <v>0.08</v>
      </c>
      <c r="L6864">
        <v>0.36</v>
      </c>
      <c r="M6864">
        <v>4.6900000000000004</v>
      </c>
      <c r="N6864">
        <v>-782.70150000000001</v>
      </c>
      <c r="O6864" s="1" t="s">
        <v>29</v>
      </c>
      <c r="P6864" s="1" t="s">
        <v>12727</v>
      </c>
      <c r="Q6864" s="1" t="s">
        <v>12728</v>
      </c>
      <c r="R6864" s="1" t="s">
        <v>32</v>
      </c>
      <c r="S6864" s="1" t="s">
        <v>12729</v>
      </c>
      <c r="T6864" s="1" t="s">
        <v>12730</v>
      </c>
      <c r="U6864" s="2" t="s">
        <v>7075</v>
      </c>
      <c r="V6864" s="2" t="s">
        <v>47</v>
      </c>
      <c r="W6864" s="2" t="s">
        <v>74</v>
      </c>
      <c r="X6864" s="2">
        <v>22.574999999999999</v>
      </c>
    </row>
    <row r="6865" spans="1:24" x14ac:dyDescent="0.3">
      <c r="A6865">
        <v>24681</v>
      </c>
      <c r="B6865" t="s">
        <v>13622</v>
      </c>
      <c r="C6865" s="3">
        <v>41014</v>
      </c>
      <c r="D6865" t="s">
        <v>148</v>
      </c>
      <c r="E6865">
        <v>2</v>
      </c>
      <c r="F6865" s="3">
        <f ca="1">41016+(RANDBETWEEN(1,10))</f>
        <v>41026</v>
      </c>
      <c r="G6865" t="s">
        <v>26</v>
      </c>
      <c r="H6865" t="s">
        <v>27</v>
      </c>
      <c r="I6865" t="s">
        <v>28</v>
      </c>
      <c r="J6865">
        <v>235.51499999999999</v>
      </c>
      <c r="K6865">
        <v>0.1</v>
      </c>
      <c r="L6865">
        <v>0.75</v>
      </c>
      <c r="M6865">
        <v>31.57</v>
      </c>
      <c r="N6865">
        <v>-562.52</v>
      </c>
      <c r="O6865" s="1" t="s">
        <v>64</v>
      </c>
      <c r="P6865" s="1" t="s">
        <v>13623</v>
      </c>
      <c r="Q6865" s="1" t="s">
        <v>13624</v>
      </c>
      <c r="R6865" s="1" t="s">
        <v>128</v>
      </c>
      <c r="S6865" s="1" t="s">
        <v>3967</v>
      </c>
      <c r="T6865" s="1" t="s">
        <v>2650</v>
      </c>
      <c r="U6865" s="2" t="s">
        <v>6246</v>
      </c>
      <c r="V6865" s="2" t="s">
        <v>36</v>
      </c>
      <c r="W6865" s="2" t="s">
        <v>60</v>
      </c>
      <c r="X6865" s="2">
        <v>125.19499999999999</v>
      </c>
    </row>
    <row r="6866" spans="1:24" x14ac:dyDescent="0.3">
      <c r="A6866">
        <v>24682</v>
      </c>
      <c r="B6866" t="s">
        <v>13625</v>
      </c>
      <c r="C6866" s="3">
        <v>41336</v>
      </c>
      <c r="D6866" t="s">
        <v>148</v>
      </c>
      <c r="E6866">
        <v>11</v>
      </c>
      <c r="F6866" s="3">
        <f ca="1">41337+(RANDBETWEEN(1,10))</f>
        <v>41340</v>
      </c>
      <c r="G6866" t="s">
        <v>26</v>
      </c>
      <c r="H6866" t="s">
        <v>27</v>
      </c>
      <c r="I6866" t="s">
        <v>86</v>
      </c>
      <c r="J6866">
        <v>625.1</v>
      </c>
      <c r="K6866">
        <v>0.01</v>
      </c>
      <c r="L6866">
        <v>0.37</v>
      </c>
      <c r="M6866">
        <v>14</v>
      </c>
      <c r="N6866">
        <v>431.31900000000002</v>
      </c>
      <c r="O6866" s="1" t="s">
        <v>87</v>
      </c>
      <c r="P6866" s="1" t="s">
        <v>13159</v>
      </c>
      <c r="Q6866" s="1" t="s">
        <v>13160</v>
      </c>
      <c r="R6866" s="1" t="s">
        <v>497</v>
      </c>
      <c r="S6866" s="1" t="s">
        <v>13161</v>
      </c>
      <c r="T6866" s="1" t="s">
        <v>13162</v>
      </c>
      <c r="U6866" s="2" t="s">
        <v>1006</v>
      </c>
      <c r="V6866" s="2" t="s">
        <v>36</v>
      </c>
      <c r="W6866" s="2" t="s">
        <v>60</v>
      </c>
      <c r="X6866" s="2">
        <v>55.93</v>
      </c>
    </row>
    <row r="6867" spans="1:24" x14ac:dyDescent="0.3">
      <c r="A6867">
        <v>24683</v>
      </c>
      <c r="B6867" t="s">
        <v>13626</v>
      </c>
      <c r="C6867" s="3">
        <v>41169</v>
      </c>
      <c r="D6867" t="s">
        <v>148</v>
      </c>
      <c r="E6867">
        <v>22</v>
      </c>
      <c r="F6867" s="3">
        <f ca="1">41170+(RANDBETWEEN(1,10))</f>
        <v>41180</v>
      </c>
      <c r="G6867" t="s">
        <v>76</v>
      </c>
      <c r="H6867" t="s">
        <v>77</v>
      </c>
      <c r="I6867" t="s">
        <v>97</v>
      </c>
      <c r="J6867">
        <v>19366.935000000001</v>
      </c>
      <c r="K6867">
        <v>0.04</v>
      </c>
      <c r="L6867">
        <v>0.55000000000000004</v>
      </c>
      <c r="M6867">
        <v>151.62</v>
      </c>
      <c r="N6867">
        <v>10725.785</v>
      </c>
      <c r="O6867" s="1" t="s">
        <v>64</v>
      </c>
      <c r="P6867" s="1" t="s">
        <v>6685</v>
      </c>
      <c r="Q6867" s="1" t="s">
        <v>6686</v>
      </c>
      <c r="R6867" s="1" t="s">
        <v>67</v>
      </c>
      <c r="S6867" s="1" t="s">
        <v>6687</v>
      </c>
      <c r="T6867" s="1" t="s">
        <v>6688</v>
      </c>
      <c r="U6867" s="2" t="s">
        <v>1924</v>
      </c>
      <c r="V6867" s="2" t="s">
        <v>83</v>
      </c>
      <c r="W6867" s="2" t="s">
        <v>84</v>
      </c>
      <c r="X6867" s="2">
        <v>853.93</v>
      </c>
    </row>
    <row r="6868" spans="1:24" x14ac:dyDescent="0.3">
      <c r="A6868">
        <v>24684</v>
      </c>
      <c r="B6868" t="s">
        <v>13627</v>
      </c>
      <c r="C6868" s="3">
        <v>41416</v>
      </c>
      <c r="D6868" t="s">
        <v>148</v>
      </c>
      <c r="E6868">
        <v>19</v>
      </c>
      <c r="F6868" s="3">
        <f ca="1">41417+(RANDBETWEEN(1,10))</f>
        <v>41425</v>
      </c>
      <c r="G6868" t="s">
        <v>76</v>
      </c>
      <c r="H6868" t="s">
        <v>258</v>
      </c>
      <c r="I6868" t="s">
        <v>28</v>
      </c>
      <c r="J6868">
        <v>28095.48</v>
      </c>
      <c r="K6868">
        <v>0.08</v>
      </c>
      <c r="L6868">
        <v>0.71</v>
      </c>
      <c r="M6868">
        <v>159.94999999999999</v>
      </c>
      <c r="N6868">
        <v>13714.89</v>
      </c>
      <c r="O6868" s="1" t="s">
        <v>40</v>
      </c>
      <c r="P6868" s="1" t="s">
        <v>13628</v>
      </c>
      <c r="Q6868" s="1" t="s">
        <v>13629</v>
      </c>
      <c r="R6868" s="1" t="s">
        <v>43</v>
      </c>
      <c r="S6868" s="1" t="s">
        <v>13630</v>
      </c>
      <c r="T6868" s="1" t="s">
        <v>13631</v>
      </c>
      <c r="U6868" s="2" t="s">
        <v>3553</v>
      </c>
      <c r="V6868" s="2" t="s">
        <v>83</v>
      </c>
      <c r="W6868" s="2" t="s">
        <v>263</v>
      </c>
      <c r="X6868" s="2">
        <v>1928.43</v>
      </c>
    </row>
    <row r="6869" spans="1:24" x14ac:dyDescent="0.3">
      <c r="A6869">
        <v>24685</v>
      </c>
      <c r="B6869" t="s">
        <v>13632</v>
      </c>
      <c r="C6869" s="3">
        <v>41711</v>
      </c>
      <c r="D6869" t="s">
        <v>25</v>
      </c>
      <c r="E6869">
        <v>2</v>
      </c>
      <c r="F6869" s="3">
        <f ca="1">41711+(RANDBETWEEN(1,10))</f>
        <v>41718</v>
      </c>
      <c r="G6869" t="s">
        <v>76</v>
      </c>
      <c r="H6869" t="s">
        <v>77</v>
      </c>
      <c r="I6869" t="s">
        <v>28</v>
      </c>
      <c r="J6869">
        <v>339.36</v>
      </c>
      <c r="K6869">
        <v>0.08</v>
      </c>
      <c r="L6869">
        <v>0.56000000000000005</v>
      </c>
      <c r="M6869">
        <v>49.664999999999999</v>
      </c>
      <c r="N6869">
        <v>1895.502</v>
      </c>
      <c r="O6869" s="1" t="s">
        <v>40</v>
      </c>
      <c r="P6869" s="1" t="s">
        <v>8882</v>
      </c>
      <c r="Q6869" s="1" t="s">
        <v>8883</v>
      </c>
      <c r="R6869" s="1" t="s">
        <v>43</v>
      </c>
      <c r="S6869" s="1" t="s">
        <v>8884</v>
      </c>
      <c r="T6869" s="1" t="s">
        <v>8885</v>
      </c>
      <c r="U6869" s="2" t="s">
        <v>3412</v>
      </c>
      <c r="V6869" s="2" t="s">
        <v>83</v>
      </c>
      <c r="W6869" s="2" t="s">
        <v>84</v>
      </c>
      <c r="X6869" s="2">
        <v>178.43</v>
      </c>
    </row>
    <row r="6870" spans="1:24" x14ac:dyDescent="0.3">
      <c r="A6870">
        <v>24686</v>
      </c>
      <c r="B6870" t="s">
        <v>13633</v>
      </c>
      <c r="C6870" s="3">
        <v>40981</v>
      </c>
      <c r="D6870" t="s">
        <v>25</v>
      </c>
      <c r="E6870">
        <v>12</v>
      </c>
      <c r="F6870" s="3">
        <f ca="1">40988+(RANDBETWEEN(1,10))</f>
        <v>40992</v>
      </c>
      <c r="G6870" t="s">
        <v>26</v>
      </c>
      <c r="H6870" t="s">
        <v>96</v>
      </c>
      <c r="I6870" t="s">
        <v>28</v>
      </c>
      <c r="J6870">
        <v>325.46499999999997</v>
      </c>
      <c r="K6870">
        <v>0.01</v>
      </c>
      <c r="L6870">
        <v>0.42</v>
      </c>
      <c r="M6870">
        <v>14</v>
      </c>
      <c r="N6870">
        <v>-108.584</v>
      </c>
      <c r="O6870" s="1" t="s">
        <v>29</v>
      </c>
      <c r="P6870" s="1" t="s">
        <v>13634</v>
      </c>
      <c r="Q6870" s="1" t="s">
        <v>13635</v>
      </c>
      <c r="R6870" s="1" t="s">
        <v>675</v>
      </c>
      <c r="S6870" s="1" t="s">
        <v>3538</v>
      </c>
      <c r="T6870" s="1" t="s">
        <v>3539</v>
      </c>
      <c r="U6870" s="2" t="s">
        <v>2801</v>
      </c>
      <c r="V6870" s="2" t="s">
        <v>83</v>
      </c>
      <c r="W6870" s="2" t="s">
        <v>178</v>
      </c>
      <c r="X6870" s="2">
        <v>26.565000000000001</v>
      </c>
    </row>
    <row r="6871" spans="1:24" x14ac:dyDescent="0.3">
      <c r="A6871">
        <v>24687</v>
      </c>
      <c r="B6871" t="s">
        <v>13636</v>
      </c>
      <c r="C6871" s="3">
        <v>41115</v>
      </c>
      <c r="D6871" t="s">
        <v>25</v>
      </c>
      <c r="E6871">
        <v>9</v>
      </c>
      <c r="F6871" s="3">
        <f ca="1">41117+(RANDBETWEEN(1,10))</f>
        <v>41127</v>
      </c>
      <c r="G6871" t="s">
        <v>26</v>
      </c>
      <c r="H6871" t="s">
        <v>27</v>
      </c>
      <c r="I6871" t="s">
        <v>97</v>
      </c>
      <c r="J6871">
        <v>516.56500000000005</v>
      </c>
      <c r="K6871">
        <v>0.04</v>
      </c>
      <c r="L6871">
        <v>0.37</v>
      </c>
      <c r="M6871">
        <v>14</v>
      </c>
      <c r="N6871">
        <v>356.42984999999999</v>
      </c>
      <c r="O6871" s="1" t="s">
        <v>40</v>
      </c>
      <c r="P6871" s="1" t="s">
        <v>13100</v>
      </c>
      <c r="Q6871" s="1" t="s">
        <v>13101</v>
      </c>
      <c r="R6871" s="1" t="s">
        <v>43</v>
      </c>
      <c r="S6871" s="1" t="s">
        <v>2209</v>
      </c>
      <c r="T6871" s="1" t="s">
        <v>2210</v>
      </c>
      <c r="U6871" s="2" t="s">
        <v>1006</v>
      </c>
      <c r="V6871" s="2" t="s">
        <v>36</v>
      </c>
      <c r="W6871" s="2" t="s">
        <v>60</v>
      </c>
      <c r="X6871" s="2">
        <v>55.93</v>
      </c>
    </row>
    <row r="6872" spans="1:24" x14ac:dyDescent="0.3">
      <c r="A6872">
        <v>24688</v>
      </c>
      <c r="B6872" t="s">
        <v>13637</v>
      </c>
      <c r="C6872" s="3">
        <v>41847</v>
      </c>
      <c r="D6872" t="s">
        <v>62</v>
      </c>
      <c r="E6872">
        <v>1</v>
      </c>
      <c r="F6872" s="3">
        <f ca="1">41849+(RANDBETWEEN(1,10))</f>
        <v>41857</v>
      </c>
      <c r="G6872" t="s">
        <v>26</v>
      </c>
      <c r="H6872" t="s">
        <v>27</v>
      </c>
      <c r="I6872" t="s">
        <v>97</v>
      </c>
      <c r="J6872">
        <v>17.675000000000001</v>
      </c>
      <c r="K6872">
        <v>0.03</v>
      </c>
      <c r="L6872">
        <v>0.36</v>
      </c>
      <c r="M6872">
        <v>1.75</v>
      </c>
      <c r="N6872">
        <v>4.9504000000000001</v>
      </c>
      <c r="O6872" s="1" t="s">
        <v>29</v>
      </c>
      <c r="P6872" s="1" t="s">
        <v>11609</v>
      </c>
      <c r="Q6872" s="1" t="s">
        <v>11610</v>
      </c>
      <c r="R6872" s="1" t="s">
        <v>32</v>
      </c>
      <c r="S6872" s="1" t="s">
        <v>2137</v>
      </c>
      <c r="T6872" s="1" t="s">
        <v>2138</v>
      </c>
      <c r="U6872" s="2" t="s">
        <v>2281</v>
      </c>
      <c r="V6872" s="2" t="s">
        <v>47</v>
      </c>
      <c r="W6872" s="2" t="s">
        <v>203</v>
      </c>
      <c r="X6872" s="2">
        <v>17.184999999999999</v>
      </c>
    </row>
    <row r="6873" spans="1:24" x14ac:dyDescent="0.3">
      <c r="A6873">
        <v>24689</v>
      </c>
      <c r="B6873" t="s">
        <v>13638</v>
      </c>
      <c r="C6873" s="3">
        <v>41117</v>
      </c>
      <c r="D6873" t="s">
        <v>62</v>
      </c>
      <c r="E6873">
        <v>13</v>
      </c>
      <c r="F6873" s="3">
        <f ca="1">41118+(RANDBETWEEN(1,10))</f>
        <v>41121</v>
      </c>
      <c r="G6873" t="s">
        <v>26</v>
      </c>
      <c r="H6873" t="s">
        <v>96</v>
      </c>
      <c r="I6873" t="s">
        <v>97</v>
      </c>
      <c r="J6873">
        <v>79.344999999999999</v>
      </c>
      <c r="K6873">
        <v>0.08</v>
      </c>
      <c r="L6873">
        <v>0.56999999999999995</v>
      </c>
      <c r="M6873">
        <v>2.9049999999999998</v>
      </c>
      <c r="N6873">
        <v>-31.324999999999999</v>
      </c>
      <c r="O6873" s="1" t="s">
        <v>29</v>
      </c>
      <c r="P6873" s="1" t="s">
        <v>11609</v>
      </c>
      <c r="Q6873" s="1" t="s">
        <v>11610</v>
      </c>
      <c r="R6873" s="1" t="s">
        <v>32</v>
      </c>
      <c r="S6873" s="1" t="s">
        <v>2137</v>
      </c>
      <c r="T6873" s="1" t="s">
        <v>2138</v>
      </c>
      <c r="U6873" s="2" t="s">
        <v>6051</v>
      </c>
      <c r="V6873" s="2" t="s">
        <v>47</v>
      </c>
      <c r="W6873" s="2" t="s">
        <v>104</v>
      </c>
      <c r="X6873" s="2">
        <v>6.37</v>
      </c>
    </row>
    <row r="6874" spans="1:24" x14ac:dyDescent="0.3">
      <c r="A6874">
        <v>24690</v>
      </c>
      <c r="B6874" t="s">
        <v>13639</v>
      </c>
      <c r="C6874" s="3">
        <v>41641</v>
      </c>
      <c r="D6874" t="s">
        <v>62</v>
      </c>
      <c r="E6874">
        <v>7</v>
      </c>
      <c r="F6874" s="3">
        <f ca="1">41642+(RANDBETWEEN(1,10))</f>
        <v>41648</v>
      </c>
      <c r="G6874" t="s">
        <v>26</v>
      </c>
      <c r="H6874" t="s">
        <v>27</v>
      </c>
      <c r="I6874" t="s">
        <v>86</v>
      </c>
      <c r="J6874">
        <v>253.54</v>
      </c>
      <c r="K6874">
        <v>0.1</v>
      </c>
      <c r="L6874">
        <v>0.57999999999999996</v>
      </c>
      <c r="M6874">
        <v>24.184999999999999</v>
      </c>
      <c r="N6874">
        <v>-400.36500000000001</v>
      </c>
      <c r="O6874" s="1" t="s">
        <v>53</v>
      </c>
      <c r="P6874" s="1" t="s">
        <v>13640</v>
      </c>
      <c r="Q6874" s="1" t="s">
        <v>13641</v>
      </c>
      <c r="R6874" s="1" t="s">
        <v>100</v>
      </c>
      <c r="S6874" s="1" t="s">
        <v>4844</v>
      </c>
      <c r="T6874" s="1" t="s">
        <v>4845</v>
      </c>
      <c r="U6874" s="2" t="s">
        <v>9760</v>
      </c>
      <c r="V6874" s="2" t="s">
        <v>47</v>
      </c>
      <c r="W6874" s="2" t="s">
        <v>119</v>
      </c>
      <c r="X6874" s="2">
        <v>36.68</v>
      </c>
    </row>
    <row r="6875" spans="1:24" x14ac:dyDescent="0.3">
      <c r="A6875">
        <v>24691</v>
      </c>
      <c r="B6875" t="s">
        <v>13642</v>
      </c>
      <c r="C6875" s="3">
        <v>40885</v>
      </c>
      <c r="D6875" t="s">
        <v>50</v>
      </c>
      <c r="E6875">
        <v>8</v>
      </c>
      <c r="F6875" s="3">
        <f ca="1">40886+(RANDBETWEEN(1,10))</f>
        <v>40888</v>
      </c>
      <c r="G6875" t="s">
        <v>26</v>
      </c>
      <c r="H6875" t="s">
        <v>27</v>
      </c>
      <c r="I6875" t="s">
        <v>28</v>
      </c>
      <c r="J6875">
        <v>8237.4249999999993</v>
      </c>
      <c r="K6875">
        <v>0.09</v>
      </c>
      <c r="L6875">
        <v>0.4</v>
      </c>
      <c r="M6875">
        <v>69.965000000000003</v>
      </c>
      <c r="N6875">
        <v>5683.8232500000004</v>
      </c>
      <c r="O6875" s="1" t="s">
        <v>53</v>
      </c>
      <c r="P6875" s="1" t="s">
        <v>13643</v>
      </c>
      <c r="Q6875" s="1" t="s">
        <v>13644</v>
      </c>
      <c r="R6875" s="1" t="s">
        <v>56</v>
      </c>
      <c r="S6875" s="1" t="s">
        <v>10482</v>
      </c>
      <c r="T6875" s="1" t="s">
        <v>10483</v>
      </c>
      <c r="U6875" s="2" t="s">
        <v>2149</v>
      </c>
      <c r="V6875" s="2" t="s">
        <v>47</v>
      </c>
      <c r="W6875" s="2" t="s">
        <v>111</v>
      </c>
      <c r="X6875" s="2">
        <v>1067.4649999999999</v>
      </c>
    </row>
    <row r="6876" spans="1:24" x14ac:dyDescent="0.3">
      <c r="A6876">
        <v>24692</v>
      </c>
      <c r="B6876" t="s">
        <v>13645</v>
      </c>
      <c r="C6876" s="3">
        <v>41816</v>
      </c>
      <c r="D6876" t="s">
        <v>25</v>
      </c>
      <c r="E6876">
        <v>10</v>
      </c>
      <c r="F6876" s="3">
        <f ca="1">41825+(RANDBETWEEN(1,10))</f>
        <v>41829</v>
      </c>
      <c r="G6876" t="s">
        <v>26</v>
      </c>
      <c r="H6876" t="s">
        <v>51</v>
      </c>
      <c r="I6876" t="s">
        <v>28</v>
      </c>
      <c r="J6876">
        <v>391.755</v>
      </c>
      <c r="K6876">
        <v>0.04</v>
      </c>
      <c r="L6876">
        <v>0.56999999999999995</v>
      </c>
      <c r="M6876">
        <v>11.795</v>
      </c>
      <c r="N6876">
        <v>85.134</v>
      </c>
      <c r="O6876" s="1" t="s">
        <v>40</v>
      </c>
      <c r="P6876" s="1" t="s">
        <v>13646</v>
      </c>
      <c r="Q6876" s="1" t="s">
        <v>13647</v>
      </c>
      <c r="R6876" s="1" t="s">
        <v>220</v>
      </c>
      <c r="S6876" s="1" t="s">
        <v>1039</v>
      </c>
      <c r="T6876" s="1" t="s">
        <v>1040</v>
      </c>
      <c r="U6876" s="2" t="s">
        <v>5857</v>
      </c>
      <c r="V6876" s="2" t="s">
        <v>47</v>
      </c>
      <c r="W6876" s="2" t="s">
        <v>94</v>
      </c>
      <c r="X6876" s="2">
        <v>38.43</v>
      </c>
    </row>
    <row r="6877" spans="1:24" x14ac:dyDescent="0.3">
      <c r="A6877">
        <v>24693</v>
      </c>
      <c r="B6877" t="s">
        <v>13648</v>
      </c>
      <c r="C6877" s="3">
        <v>40735</v>
      </c>
      <c r="D6877" t="s">
        <v>62</v>
      </c>
      <c r="E6877">
        <v>5</v>
      </c>
      <c r="F6877" s="3">
        <f ca="1">40737+(RANDBETWEEN(1,10))</f>
        <v>40743</v>
      </c>
      <c r="G6877" t="s">
        <v>156</v>
      </c>
      <c r="H6877" t="s">
        <v>96</v>
      </c>
      <c r="I6877" t="s">
        <v>97</v>
      </c>
      <c r="J6877">
        <v>252.38499999999999</v>
      </c>
      <c r="K6877">
        <v>0.08</v>
      </c>
      <c r="L6877">
        <v>0.46</v>
      </c>
      <c r="M6877">
        <v>18.55</v>
      </c>
      <c r="N6877">
        <v>95.305000000000007</v>
      </c>
      <c r="O6877" s="1" t="s">
        <v>53</v>
      </c>
      <c r="P6877" s="1" t="s">
        <v>13649</v>
      </c>
      <c r="Q6877" s="1" t="s">
        <v>13650</v>
      </c>
      <c r="R6877" s="1" t="s">
        <v>440</v>
      </c>
      <c r="S6877" s="1" t="s">
        <v>10660</v>
      </c>
      <c r="T6877" s="1" t="s">
        <v>10661</v>
      </c>
      <c r="U6877" s="2" t="s">
        <v>2729</v>
      </c>
      <c r="V6877" s="2" t="s">
        <v>83</v>
      </c>
      <c r="W6877" s="2" t="s">
        <v>178</v>
      </c>
      <c r="X6877" s="2">
        <v>49.7</v>
      </c>
    </row>
    <row r="6878" spans="1:24" x14ac:dyDescent="0.3">
      <c r="A6878">
        <v>24694</v>
      </c>
      <c r="B6878" t="s">
        <v>13651</v>
      </c>
      <c r="C6878" s="3">
        <v>41894</v>
      </c>
      <c r="D6878" t="s">
        <v>50</v>
      </c>
      <c r="E6878">
        <v>22</v>
      </c>
      <c r="F6878" s="3">
        <f ca="1">41895+(RANDBETWEEN(1,10))</f>
        <v>41897</v>
      </c>
      <c r="G6878" t="s">
        <v>26</v>
      </c>
      <c r="H6878" t="s">
        <v>281</v>
      </c>
      <c r="I6878" t="s">
        <v>28</v>
      </c>
      <c r="J6878">
        <v>15377.81</v>
      </c>
      <c r="K6878">
        <v>0.05</v>
      </c>
      <c r="L6878">
        <v>0.37</v>
      </c>
      <c r="M6878">
        <v>48.965000000000003</v>
      </c>
      <c r="N6878">
        <v>620.76</v>
      </c>
      <c r="O6878" s="1" t="s">
        <v>225</v>
      </c>
      <c r="P6878" s="1" t="s">
        <v>2956</v>
      </c>
      <c r="Q6878" s="1" t="s">
        <v>2957</v>
      </c>
      <c r="R6878" s="1" t="s">
        <v>228</v>
      </c>
      <c r="S6878" s="1" t="s">
        <v>2958</v>
      </c>
      <c r="T6878" s="1" t="s">
        <v>2959</v>
      </c>
      <c r="U6878" s="2" t="s">
        <v>2505</v>
      </c>
      <c r="V6878" s="2" t="s">
        <v>36</v>
      </c>
      <c r="W6878" s="2" t="s">
        <v>142</v>
      </c>
      <c r="X6878" s="2">
        <v>714.35</v>
      </c>
    </row>
    <row r="6879" spans="1:24" x14ac:dyDescent="0.3">
      <c r="A6879">
        <v>24695</v>
      </c>
      <c r="B6879" t="s">
        <v>13652</v>
      </c>
      <c r="C6879" s="3">
        <v>41959</v>
      </c>
      <c r="D6879" t="s">
        <v>50</v>
      </c>
      <c r="E6879">
        <v>34</v>
      </c>
      <c r="F6879" s="3">
        <f ca="1">41960+(RANDBETWEEN(1,10))</f>
        <v>41967</v>
      </c>
      <c r="G6879" t="s">
        <v>26</v>
      </c>
      <c r="H6879" t="s">
        <v>27</v>
      </c>
      <c r="I6879" t="s">
        <v>86</v>
      </c>
      <c r="J6879">
        <v>9993.6200000000008</v>
      </c>
      <c r="K6879">
        <v>0</v>
      </c>
      <c r="L6879">
        <v>0.38</v>
      </c>
      <c r="M6879">
        <v>17.535</v>
      </c>
      <c r="N6879">
        <v>6895.5977999999996</v>
      </c>
      <c r="O6879" s="1" t="s">
        <v>87</v>
      </c>
      <c r="P6879" s="1" t="s">
        <v>8263</v>
      </c>
      <c r="Q6879" s="1" t="s">
        <v>8264</v>
      </c>
      <c r="R6879" s="1" t="s">
        <v>646</v>
      </c>
      <c r="S6879" s="1" t="s">
        <v>8265</v>
      </c>
      <c r="T6879" s="1" t="s">
        <v>1527</v>
      </c>
      <c r="U6879" s="2" t="s">
        <v>9050</v>
      </c>
      <c r="V6879" s="2" t="s">
        <v>47</v>
      </c>
      <c r="W6879" s="2" t="s">
        <v>48</v>
      </c>
      <c r="X6879" s="2">
        <v>293.93</v>
      </c>
    </row>
    <row r="6880" spans="1:24" x14ac:dyDescent="0.3">
      <c r="A6880">
        <v>24696</v>
      </c>
      <c r="B6880" t="s">
        <v>13653</v>
      </c>
      <c r="C6880" s="3">
        <v>41153</v>
      </c>
      <c r="D6880" t="s">
        <v>25</v>
      </c>
      <c r="E6880">
        <v>17</v>
      </c>
      <c r="F6880" s="3">
        <f ca="1">41160+(RANDBETWEEN(1,10))</f>
        <v>41162</v>
      </c>
      <c r="G6880" t="s">
        <v>26</v>
      </c>
      <c r="H6880" t="s">
        <v>27</v>
      </c>
      <c r="I6880" t="s">
        <v>28</v>
      </c>
      <c r="J6880">
        <v>128.345</v>
      </c>
      <c r="K6880">
        <v>0.05</v>
      </c>
      <c r="L6880">
        <v>0.4</v>
      </c>
      <c r="M6880">
        <v>16.695</v>
      </c>
      <c r="N6880">
        <v>-520.79475000000002</v>
      </c>
      <c r="O6880" s="1" t="s">
        <v>64</v>
      </c>
      <c r="P6880" s="1" t="s">
        <v>11448</v>
      </c>
      <c r="Q6880" s="1" t="s">
        <v>11449</v>
      </c>
      <c r="R6880" s="1" t="s">
        <v>67</v>
      </c>
      <c r="S6880" s="1" t="s">
        <v>11450</v>
      </c>
      <c r="T6880" s="1" t="s">
        <v>11451</v>
      </c>
      <c r="U6880" s="2" t="s">
        <v>2166</v>
      </c>
      <c r="V6880" s="2" t="s">
        <v>47</v>
      </c>
      <c r="W6880" s="2" t="s">
        <v>111</v>
      </c>
      <c r="X6880" s="2">
        <v>6.93</v>
      </c>
    </row>
    <row r="6881" spans="1:24" x14ac:dyDescent="0.3">
      <c r="A6881">
        <v>24697</v>
      </c>
      <c r="B6881" t="s">
        <v>13654</v>
      </c>
      <c r="C6881" s="3">
        <v>41923</v>
      </c>
      <c r="D6881" t="s">
        <v>50</v>
      </c>
      <c r="E6881">
        <v>25</v>
      </c>
      <c r="F6881" s="3">
        <f ca="1">41925+(RANDBETWEEN(1,10))</f>
        <v>41929</v>
      </c>
      <c r="G6881" t="s">
        <v>26</v>
      </c>
      <c r="H6881" t="s">
        <v>96</v>
      </c>
      <c r="I6881" t="s">
        <v>97</v>
      </c>
      <c r="J6881">
        <v>327.495</v>
      </c>
      <c r="K6881">
        <v>0.1</v>
      </c>
      <c r="L6881">
        <v>0.55000000000000004</v>
      </c>
      <c r="M6881">
        <v>4.3049999999999997</v>
      </c>
      <c r="N6881">
        <v>11.62</v>
      </c>
      <c r="O6881" s="1" t="s">
        <v>53</v>
      </c>
      <c r="P6881" s="1" t="s">
        <v>11085</v>
      </c>
      <c r="Q6881" s="1" t="s">
        <v>11086</v>
      </c>
      <c r="R6881" s="1" t="s">
        <v>440</v>
      </c>
      <c r="S6881" s="1" t="s">
        <v>11087</v>
      </c>
      <c r="T6881" s="1" t="s">
        <v>11088</v>
      </c>
      <c r="U6881" s="2" t="s">
        <v>10766</v>
      </c>
      <c r="V6881" s="2" t="s">
        <v>47</v>
      </c>
      <c r="W6881" s="2" t="s">
        <v>104</v>
      </c>
      <c r="X6881" s="2">
        <v>14.455</v>
      </c>
    </row>
    <row r="6882" spans="1:24" x14ac:dyDescent="0.3">
      <c r="A6882">
        <v>24698</v>
      </c>
      <c r="B6882" t="s">
        <v>13655</v>
      </c>
      <c r="C6882" s="3">
        <v>41833</v>
      </c>
      <c r="D6882" t="s">
        <v>25</v>
      </c>
      <c r="E6882">
        <v>18</v>
      </c>
      <c r="F6882" s="3">
        <f ca="1">41838+(RANDBETWEEN(1,10))</f>
        <v>41843</v>
      </c>
      <c r="G6882" t="s">
        <v>156</v>
      </c>
      <c r="H6882" t="s">
        <v>27</v>
      </c>
      <c r="I6882" t="s">
        <v>97</v>
      </c>
      <c r="J6882">
        <v>345.27499999999998</v>
      </c>
      <c r="K6882">
        <v>0.1</v>
      </c>
      <c r="L6882">
        <v>0.36</v>
      </c>
      <c r="M6882">
        <v>26.495000000000001</v>
      </c>
      <c r="N6882">
        <v>-778.42984799999999</v>
      </c>
      <c r="O6882" s="1" t="s">
        <v>40</v>
      </c>
      <c r="P6882" s="1" t="s">
        <v>13026</v>
      </c>
      <c r="Q6882" s="1" t="s">
        <v>13027</v>
      </c>
      <c r="R6882" s="1" t="s">
        <v>220</v>
      </c>
      <c r="S6882" s="1" t="s">
        <v>828</v>
      </c>
      <c r="T6882" s="1" t="s">
        <v>829</v>
      </c>
      <c r="U6882" s="2" t="s">
        <v>8401</v>
      </c>
      <c r="V6882" s="2" t="s">
        <v>47</v>
      </c>
      <c r="W6882" s="2" t="s">
        <v>111</v>
      </c>
      <c r="X6882" s="2">
        <v>18.829999999999998</v>
      </c>
    </row>
    <row r="6883" spans="1:24" x14ac:dyDescent="0.3">
      <c r="A6883">
        <v>24699</v>
      </c>
      <c r="B6883" t="s">
        <v>13656</v>
      </c>
      <c r="C6883" s="3">
        <v>41823</v>
      </c>
      <c r="D6883" t="s">
        <v>39</v>
      </c>
      <c r="E6883">
        <v>12</v>
      </c>
      <c r="F6883" s="3">
        <f ca="1">41823+(RANDBETWEEN(1,10))</f>
        <v>41824</v>
      </c>
      <c r="G6883" t="s">
        <v>26</v>
      </c>
      <c r="H6883" t="s">
        <v>27</v>
      </c>
      <c r="I6883" t="s">
        <v>97</v>
      </c>
      <c r="J6883">
        <v>4223.66</v>
      </c>
      <c r="K6883">
        <v>0</v>
      </c>
      <c r="L6883">
        <v>0.57999999999999996</v>
      </c>
      <c r="M6883">
        <v>20.72</v>
      </c>
      <c r="N6883">
        <v>2914.3254000000002</v>
      </c>
      <c r="O6883" s="1" t="s">
        <v>64</v>
      </c>
      <c r="P6883" s="1" t="s">
        <v>2525</v>
      </c>
      <c r="Q6883" s="1" t="s">
        <v>2526</v>
      </c>
      <c r="R6883" s="1" t="s">
        <v>128</v>
      </c>
      <c r="S6883" s="1" t="s">
        <v>2527</v>
      </c>
      <c r="T6883" s="1" t="s">
        <v>2528</v>
      </c>
      <c r="U6883" s="2">
        <v>8890</v>
      </c>
      <c r="V6883" s="2" t="s">
        <v>36</v>
      </c>
      <c r="W6883" s="2" t="s">
        <v>37</v>
      </c>
      <c r="X6883" s="2">
        <v>405.96499999999997</v>
      </c>
    </row>
    <row r="6884" spans="1:24" x14ac:dyDescent="0.3">
      <c r="A6884">
        <v>24700</v>
      </c>
      <c r="B6884" t="s">
        <v>13657</v>
      </c>
      <c r="C6884" s="3">
        <v>41343</v>
      </c>
      <c r="D6884" t="s">
        <v>148</v>
      </c>
      <c r="E6884">
        <v>8</v>
      </c>
      <c r="F6884" s="3">
        <f ca="1">41344+(RANDBETWEEN(1,10))</f>
        <v>41345</v>
      </c>
      <c r="G6884" t="s">
        <v>26</v>
      </c>
      <c r="H6884" t="s">
        <v>27</v>
      </c>
      <c r="I6884" t="s">
        <v>28</v>
      </c>
      <c r="J6884">
        <v>164.39500000000001</v>
      </c>
      <c r="K6884">
        <v>0.01</v>
      </c>
      <c r="L6884">
        <v>0.39</v>
      </c>
      <c r="M6884">
        <v>24.43</v>
      </c>
      <c r="N6884">
        <v>-438.76524999999998</v>
      </c>
      <c r="O6884" s="1" t="s">
        <v>64</v>
      </c>
      <c r="P6884" s="1" t="s">
        <v>9933</v>
      </c>
      <c r="Q6884" s="1" t="s">
        <v>9934</v>
      </c>
      <c r="R6884" s="1" t="s">
        <v>67</v>
      </c>
      <c r="S6884" s="1" t="s">
        <v>9935</v>
      </c>
      <c r="T6884" s="1" t="s">
        <v>9936</v>
      </c>
      <c r="U6884" s="2" t="s">
        <v>4859</v>
      </c>
      <c r="V6884" s="2" t="s">
        <v>47</v>
      </c>
      <c r="W6884" s="2" t="s">
        <v>111</v>
      </c>
      <c r="X6884" s="2">
        <v>19.355</v>
      </c>
    </row>
    <row r="6885" spans="1:24" x14ac:dyDescent="0.3">
      <c r="A6885">
        <v>24701</v>
      </c>
      <c r="B6885" t="s">
        <v>13657</v>
      </c>
      <c r="C6885" s="3">
        <v>41343</v>
      </c>
      <c r="D6885" t="s">
        <v>148</v>
      </c>
      <c r="E6885">
        <v>8</v>
      </c>
      <c r="F6885" s="3">
        <f ca="1">41344+(RANDBETWEEN(1,10))</f>
        <v>41354</v>
      </c>
      <c r="G6885" t="s">
        <v>76</v>
      </c>
      <c r="H6885" t="s">
        <v>258</v>
      </c>
      <c r="I6885" t="s">
        <v>28</v>
      </c>
      <c r="J6885">
        <v>2844.45</v>
      </c>
      <c r="K6885">
        <v>0.06</v>
      </c>
      <c r="L6885">
        <v>0.75</v>
      </c>
      <c r="M6885">
        <v>145.74</v>
      </c>
      <c r="N6885">
        <v>-2415.7350000000001</v>
      </c>
      <c r="O6885" s="1" t="s">
        <v>29</v>
      </c>
      <c r="P6885" s="1" t="s">
        <v>13658</v>
      </c>
      <c r="Q6885" s="1" t="s">
        <v>13659</v>
      </c>
      <c r="R6885" s="1" t="s">
        <v>675</v>
      </c>
      <c r="S6885" s="1" t="s">
        <v>860</v>
      </c>
      <c r="T6885" s="1" t="s">
        <v>861</v>
      </c>
      <c r="U6885" s="2" t="s">
        <v>1314</v>
      </c>
      <c r="V6885" s="2" t="s">
        <v>83</v>
      </c>
      <c r="W6885" s="2" t="s">
        <v>263</v>
      </c>
      <c r="X6885" s="2">
        <v>369.21499999999997</v>
      </c>
    </row>
    <row r="6886" spans="1:24" x14ac:dyDescent="0.3">
      <c r="A6886">
        <v>24702</v>
      </c>
      <c r="B6886" t="s">
        <v>13660</v>
      </c>
      <c r="C6886" s="3">
        <v>41625</v>
      </c>
      <c r="D6886" t="s">
        <v>50</v>
      </c>
      <c r="E6886">
        <v>18</v>
      </c>
      <c r="F6886" s="3">
        <f ca="1">41626+(RANDBETWEEN(1,10))</f>
        <v>41635</v>
      </c>
      <c r="G6886" t="s">
        <v>26</v>
      </c>
      <c r="H6886" t="s">
        <v>27</v>
      </c>
      <c r="I6886" t="s">
        <v>52</v>
      </c>
      <c r="J6886">
        <v>311.77999999999997</v>
      </c>
      <c r="K6886">
        <v>0.04</v>
      </c>
      <c r="L6886">
        <v>0.36</v>
      </c>
      <c r="M6886">
        <v>1.75</v>
      </c>
      <c r="N6886">
        <v>-88.346999999999994</v>
      </c>
      <c r="O6886" s="1" t="s">
        <v>64</v>
      </c>
      <c r="P6886" s="1" t="s">
        <v>12267</v>
      </c>
      <c r="Q6886" s="1" t="s">
        <v>12268</v>
      </c>
      <c r="R6886" s="1" t="s">
        <v>128</v>
      </c>
      <c r="S6886" s="1" t="s">
        <v>3441</v>
      </c>
      <c r="T6886" s="1" t="s">
        <v>3442</v>
      </c>
      <c r="U6886" s="2" t="s">
        <v>1158</v>
      </c>
      <c r="V6886" s="2" t="s">
        <v>47</v>
      </c>
      <c r="W6886" s="2" t="s">
        <v>203</v>
      </c>
      <c r="X6886" s="2">
        <v>17.184999999999999</v>
      </c>
    </row>
    <row r="6887" spans="1:24" x14ac:dyDescent="0.3">
      <c r="A6887">
        <v>24703</v>
      </c>
      <c r="B6887" t="s">
        <v>13661</v>
      </c>
      <c r="C6887" s="3">
        <v>41599</v>
      </c>
      <c r="D6887" t="s">
        <v>39</v>
      </c>
      <c r="E6887">
        <v>34</v>
      </c>
      <c r="F6887" s="3">
        <f ca="1">41601+(RANDBETWEEN(1,10))</f>
        <v>41608</v>
      </c>
      <c r="G6887" t="s">
        <v>156</v>
      </c>
      <c r="H6887" t="s">
        <v>27</v>
      </c>
      <c r="I6887" t="s">
        <v>52</v>
      </c>
      <c r="J6887">
        <v>303.90499999999997</v>
      </c>
      <c r="K6887">
        <v>0.03</v>
      </c>
      <c r="L6887">
        <v>0.43</v>
      </c>
      <c r="M6887">
        <v>18.655000000000001</v>
      </c>
      <c r="N6887">
        <v>5353.7462999999998</v>
      </c>
      <c r="O6887" s="1" t="s">
        <v>40</v>
      </c>
      <c r="P6887" s="1" t="s">
        <v>13662</v>
      </c>
      <c r="Q6887" s="1" t="s">
        <v>13663</v>
      </c>
      <c r="R6887" s="1" t="s">
        <v>220</v>
      </c>
      <c r="S6887" s="1" t="s">
        <v>2390</v>
      </c>
      <c r="T6887" s="1" t="s">
        <v>2391</v>
      </c>
      <c r="U6887" s="2" t="s">
        <v>2500</v>
      </c>
      <c r="V6887" s="2" t="s">
        <v>83</v>
      </c>
      <c r="W6887" s="2" t="s">
        <v>178</v>
      </c>
      <c r="X6887" s="2">
        <v>7.28</v>
      </c>
    </row>
    <row r="6888" spans="1:24" x14ac:dyDescent="0.3">
      <c r="A6888">
        <v>24704</v>
      </c>
      <c r="B6888" t="s">
        <v>13664</v>
      </c>
      <c r="C6888" s="3">
        <v>41714</v>
      </c>
      <c r="D6888" t="s">
        <v>148</v>
      </c>
      <c r="E6888">
        <v>12</v>
      </c>
      <c r="F6888" s="3">
        <f ca="1">41714+(RANDBETWEEN(1,10))</f>
        <v>41716</v>
      </c>
      <c r="G6888" t="s">
        <v>26</v>
      </c>
      <c r="H6888" t="s">
        <v>51</v>
      </c>
      <c r="I6888" t="s">
        <v>86</v>
      </c>
      <c r="J6888">
        <v>364.84</v>
      </c>
      <c r="K6888">
        <v>0.04</v>
      </c>
      <c r="L6888">
        <v>0.55000000000000004</v>
      </c>
      <c r="M6888">
        <v>27.195</v>
      </c>
      <c r="N6888">
        <v>-659.85500000000002</v>
      </c>
      <c r="O6888" s="1" t="s">
        <v>53</v>
      </c>
      <c r="P6888" s="1" t="s">
        <v>10318</v>
      </c>
      <c r="Q6888" s="1" t="s">
        <v>10319</v>
      </c>
      <c r="R6888" s="1" t="s">
        <v>100</v>
      </c>
      <c r="S6888" s="1" t="s">
        <v>10320</v>
      </c>
      <c r="T6888" s="1" t="s">
        <v>10321</v>
      </c>
      <c r="U6888" s="2" t="s">
        <v>6938</v>
      </c>
      <c r="V6888" s="2" t="s">
        <v>47</v>
      </c>
      <c r="W6888" s="2" t="s">
        <v>94</v>
      </c>
      <c r="X6888" s="2">
        <v>29.574999999999999</v>
      </c>
    </row>
    <row r="6889" spans="1:24" x14ac:dyDescent="0.3">
      <c r="A6889">
        <v>24705</v>
      </c>
      <c r="B6889" t="s">
        <v>13665</v>
      </c>
      <c r="C6889" s="3">
        <v>41075</v>
      </c>
      <c r="D6889" t="s">
        <v>25</v>
      </c>
      <c r="E6889">
        <v>14</v>
      </c>
      <c r="F6889" s="3">
        <f ca="1">41080+(RANDBETWEEN(1,10))</f>
        <v>41089</v>
      </c>
      <c r="G6889" t="s">
        <v>26</v>
      </c>
      <c r="H6889" t="s">
        <v>27</v>
      </c>
      <c r="I6889" t="s">
        <v>28</v>
      </c>
      <c r="J6889">
        <v>135.69499999999999</v>
      </c>
      <c r="K6889">
        <v>0.08</v>
      </c>
      <c r="L6889">
        <v>0.39</v>
      </c>
      <c r="M6889">
        <v>1.75</v>
      </c>
      <c r="N6889">
        <v>93.629549999999995</v>
      </c>
      <c r="O6889" s="1" t="s">
        <v>225</v>
      </c>
      <c r="P6889" s="1" t="s">
        <v>11029</v>
      </c>
      <c r="Q6889" s="1" t="s">
        <v>11030</v>
      </c>
      <c r="R6889" s="1" t="s">
        <v>228</v>
      </c>
      <c r="S6889" s="1" t="s">
        <v>1788</v>
      </c>
      <c r="T6889" s="1" t="s">
        <v>1789</v>
      </c>
      <c r="U6889" s="2" t="s">
        <v>3481</v>
      </c>
      <c r="V6889" s="2" t="s">
        <v>47</v>
      </c>
      <c r="W6889" s="2" t="s">
        <v>203</v>
      </c>
      <c r="X6889" s="2">
        <v>10.08</v>
      </c>
    </row>
    <row r="6890" spans="1:24" x14ac:dyDescent="0.3">
      <c r="A6890">
        <v>24706</v>
      </c>
      <c r="B6890" t="s">
        <v>13665</v>
      </c>
      <c r="C6890" s="3">
        <v>41075</v>
      </c>
      <c r="D6890" t="s">
        <v>25</v>
      </c>
      <c r="E6890">
        <v>16</v>
      </c>
      <c r="F6890" s="3">
        <f ca="1">41080+(RANDBETWEEN(1,10))</f>
        <v>41081</v>
      </c>
      <c r="G6890" t="s">
        <v>26</v>
      </c>
      <c r="H6890" t="s">
        <v>51</v>
      </c>
      <c r="I6890" t="s">
        <v>28</v>
      </c>
      <c r="J6890">
        <v>1429.4349999999999</v>
      </c>
      <c r="K6890">
        <v>0.05</v>
      </c>
      <c r="L6890">
        <v>0.5</v>
      </c>
      <c r="M6890">
        <v>31.465</v>
      </c>
      <c r="N6890">
        <v>907.70399999999995</v>
      </c>
      <c r="O6890" s="1" t="s">
        <v>87</v>
      </c>
      <c r="P6890" s="1" t="s">
        <v>7029</v>
      </c>
      <c r="Q6890" s="1" t="s">
        <v>7030</v>
      </c>
      <c r="R6890" s="1" t="s">
        <v>497</v>
      </c>
      <c r="S6890" s="1" t="s">
        <v>5030</v>
      </c>
      <c r="T6890" s="1" t="s">
        <v>5031</v>
      </c>
      <c r="U6890" s="2" t="s">
        <v>2788</v>
      </c>
      <c r="V6890" s="2" t="s">
        <v>83</v>
      </c>
      <c r="W6890" s="2" t="s">
        <v>178</v>
      </c>
      <c r="X6890" s="2">
        <v>88.83</v>
      </c>
    </row>
    <row r="6891" spans="1:24" x14ac:dyDescent="0.3">
      <c r="A6891">
        <v>24707</v>
      </c>
      <c r="B6891" t="s">
        <v>13665</v>
      </c>
      <c r="C6891" s="3">
        <v>41075</v>
      </c>
      <c r="D6891" t="s">
        <v>25</v>
      </c>
      <c r="E6891">
        <v>1</v>
      </c>
      <c r="F6891" s="3">
        <f ca="1">41075+(RANDBETWEEN(1,10))</f>
        <v>41079</v>
      </c>
      <c r="G6891" t="s">
        <v>26</v>
      </c>
      <c r="H6891" t="s">
        <v>63</v>
      </c>
      <c r="I6891" t="s">
        <v>28</v>
      </c>
      <c r="J6891">
        <v>682.64</v>
      </c>
      <c r="K6891">
        <v>0.08</v>
      </c>
      <c r="L6891">
        <v>0.85</v>
      </c>
      <c r="M6891">
        <v>122.5</v>
      </c>
      <c r="N6891">
        <v>-418.34800000000001</v>
      </c>
      <c r="O6891" s="1" t="s">
        <v>87</v>
      </c>
      <c r="P6891" s="1" t="s">
        <v>7595</v>
      </c>
      <c r="Q6891" s="1" t="s">
        <v>7596</v>
      </c>
      <c r="R6891" s="1" t="s">
        <v>646</v>
      </c>
      <c r="S6891" s="1" t="s">
        <v>5251</v>
      </c>
      <c r="T6891" s="1" t="s">
        <v>5252</v>
      </c>
      <c r="U6891" s="2" t="s">
        <v>4771</v>
      </c>
      <c r="V6891" s="2" t="s">
        <v>47</v>
      </c>
      <c r="W6891" s="2" t="s">
        <v>119</v>
      </c>
      <c r="X6891" s="2">
        <v>585.44500000000005</v>
      </c>
    </row>
    <row r="6892" spans="1:24" x14ac:dyDescent="0.3">
      <c r="A6892">
        <v>24708</v>
      </c>
      <c r="B6892" t="s">
        <v>13666</v>
      </c>
      <c r="C6892" s="3">
        <v>41968</v>
      </c>
      <c r="D6892" t="s">
        <v>25</v>
      </c>
      <c r="E6892">
        <v>12</v>
      </c>
      <c r="F6892" s="3">
        <f ca="1">41970+(RANDBETWEEN(1,10))</f>
        <v>41977</v>
      </c>
      <c r="G6892" t="s">
        <v>26</v>
      </c>
      <c r="H6892" t="s">
        <v>27</v>
      </c>
      <c r="I6892" t="s">
        <v>97</v>
      </c>
      <c r="J6892">
        <v>284.02499999999998</v>
      </c>
      <c r="K6892">
        <v>0.05</v>
      </c>
      <c r="L6892">
        <v>0.37</v>
      </c>
      <c r="M6892">
        <v>18.934999999999999</v>
      </c>
      <c r="N6892">
        <v>168.73500000000001</v>
      </c>
      <c r="O6892" s="1" t="s">
        <v>225</v>
      </c>
      <c r="P6892" s="1" t="s">
        <v>8118</v>
      </c>
      <c r="Q6892" s="1" t="s">
        <v>8119</v>
      </c>
      <c r="R6892" s="1" t="s">
        <v>391</v>
      </c>
      <c r="S6892" s="1" t="s">
        <v>509</v>
      </c>
      <c r="T6892" s="1" t="s">
        <v>510</v>
      </c>
      <c r="U6892" s="2" t="s">
        <v>809</v>
      </c>
      <c r="V6892" s="2" t="s">
        <v>47</v>
      </c>
      <c r="W6892" s="2" t="s">
        <v>74</v>
      </c>
      <c r="X6892" s="2">
        <v>23.38</v>
      </c>
    </row>
    <row r="6893" spans="1:24" x14ac:dyDescent="0.3">
      <c r="A6893">
        <v>24709</v>
      </c>
      <c r="B6893" t="s">
        <v>13667</v>
      </c>
      <c r="C6893" s="3">
        <v>40953</v>
      </c>
      <c r="D6893" t="s">
        <v>62</v>
      </c>
      <c r="E6893">
        <v>3</v>
      </c>
      <c r="F6893" s="3">
        <f ca="1">40955+(RANDBETWEEN(1,10))</f>
        <v>40957</v>
      </c>
      <c r="G6893" t="s">
        <v>26</v>
      </c>
      <c r="H6893" t="s">
        <v>96</v>
      </c>
      <c r="I6893" t="s">
        <v>28</v>
      </c>
      <c r="J6893">
        <v>152.35499999999999</v>
      </c>
      <c r="K6893">
        <v>0.06</v>
      </c>
      <c r="L6893">
        <v>0.54</v>
      </c>
      <c r="M6893">
        <v>23.975000000000001</v>
      </c>
      <c r="N6893">
        <v>-85.82</v>
      </c>
      <c r="O6893" s="1" t="s">
        <v>40</v>
      </c>
      <c r="P6893" s="1" t="s">
        <v>11527</v>
      </c>
      <c r="Q6893" s="1" t="s">
        <v>11528</v>
      </c>
      <c r="R6893" s="1" t="s">
        <v>43</v>
      </c>
      <c r="S6893" s="1" t="s">
        <v>11529</v>
      </c>
      <c r="T6893" s="1" t="s">
        <v>11530</v>
      </c>
      <c r="U6893" s="2" t="s">
        <v>1047</v>
      </c>
      <c r="V6893" s="2" t="s">
        <v>83</v>
      </c>
      <c r="W6893" s="2" t="s">
        <v>178</v>
      </c>
      <c r="X6893" s="2">
        <v>48.055</v>
      </c>
    </row>
    <row r="6894" spans="1:24" x14ac:dyDescent="0.3">
      <c r="A6894">
        <v>24710</v>
      </c>
      <c r="B6894" t="s">
        <v>13668</v>
      </c>
      <c r="C6894" s="3">
        <v>41500</v>
      </c>
      <c r="D6894" t="s">
        <v>62</v>
      </c>
      <c r="E6894">
        <v>1</v>
      </c>
      <c r="F6894" s="3">
        <f ca="1">41501+(RANDBETWEEN(1,10))</f>
        <v>41509</v>
      </c>
      <c r="G6894" t="s">
        <v>26</v>
      </c>
      <c r="H6894" t="s">
        <v>96</v>
      </c>
      <c r="I6894" t="s">
        <v>97</v>
      </c>
      <c r="J6894">
        <v>22.82</v>
      </c>
      <c r="K6894">
        <v>0.02</v>
      </c>
      <c r="L6894">
        <v>0.55000000000000004</v>
      </c>
      <c r="M6894">
        <v>4.2</v>
      </c>
      <c r="N6894">
        <v>119.637</v>
      </c>
      <c r="O6894" s="1" t="s">
        <v>225</v>
      </c>
      <c r="P6894" s="1" t="s">
        <v>8764</v>
      </c>
      <c r="Q6894" s="1" t="s">
        <v>8765</v>
      </c>
      <c r="R6894" s="1" t="s">
        <v>228</v>
      </c>
      <c r="S6894" s="1" t="s">
        <v>8766</v>
      </c>
      <c r="T6894" s="1" t="s">
        <v>8767</v>
      </c>
      <c r="U6894" s="2" t="s">
        <v>4460</v>
      </c>
      <c r="V6894" s="2" t="s">
        <v>47</v>
      </c>
      <c r="W6894" s="2" t="s">
        <v>104</v>
      </c>
      <c r="X6894" s="2">
        <v>20.440000000000001</v>
      </c>
    </row>
    <row r="6895" spans="1:24" x14ac:dyDescent="0.3">
      <c r="A6895">
        <v>24711</v>
      </c>
      <c r="B6895" t="s">
        <v>13669</v>
      </c>
      <c r="C6895" s="3">
        <v>40782</v>
      </c>
      <c r="D6895" t="s">
        <v>39</v>
      </c>
      <c r="E6895">
        <v>23</v>
      </c>
      <c r="F6895" s="3">
        <f ca="1">40784+(RANDBETWEEN(1,10))</f>
        <v>40786</v>
      </c>
      <c r="G6895" t="s">
        <v>26</v>
      </c>
      <c r="H6895" t="s">
        <v>27</v>
      </c>
      <c r="I6895" t="s">
        <v>97</v>
      </c>
      <c r="J6895">
        <v>552.23</v>
      </c>
      <c r="K6895">
        <v>0</v>
      </c>
      <c r="L6895">
        <v>0.37</v>
      </c>
      <c r="M6895">
        <v>19.809999999999999</v>
      </c>
      <c r="N6895">
        <v>-140.0308</v>
      </c>
      <c r="O6895" s="1" t="s">
        <v>64</v>
      </c>
      <c r="P6895" s="1" t="s">
        <v>13670</v>
      </c>
      <c r="Q6895" s="1" t="s">
        <v>13671</v>
      </c>
      <c r="R6895" s="1" t="s">
        <v>67</v>
      </c>
      <c r="S6895" s="1" t="s">
        <v>68</v>
      </c>
      <c r="T6895" s="1" t="s">
        <v>12158</v>
      </c>
      <c r="U6895" s="2" t="s">
        <v>1796</v>
      </c>
      <c r="V6895" s="2" t="s">
        <v>47</v>
      </c>
      <c r="W6895" s="2" t="s">
        <v>74</v>
      </c>
      <c r="X6895" s="2">
        <v>23.38</v>
      </c>
    </row>
    <row r="6896" spans="1:24" x14ac:dyDescent="0.3">
      <c r="A6896">
        <v>24712</v>
      </c>
      <c r="B6896" t="s">
        <v>13672</v>
      </c>
      <c r="C6896" s="3">
        <v>42003</v>
      </c>
      <c r="D6896" t="s">
        <v>50</v>
      </c>
      <c r="E6896">
        <v>23</v>
      </c>
      <c r="F6896" s="3">
        <f ca="1">42003+(RANDBETWEEN(1,10))</f>
        <v>42006</v>
      </c>
      <c r="G6896" t="s">
        <v>26</v>
      </c>
      <c r="H6896" t="s">
        <v>96</v>
      </c>
      <c r="I6896" t="s">
        <v>86</v>
      </c>
      <c r="J6896">
        <v>1039.29</v>
      </c>
      <c r="K6896">
        <v>0.08</v>
      </c>
      <c r="L6896">
        <v>0.54</v>
      </c>
      <c r="M6896">
        <v>23.975000000000001</v>
      </c>
      <c r="N6896">
        <v>-817.02599999999995</v>
      </c>
      <c r="O6896" s="1" t="s">
        <v>29</v>
      </c>
      <c r="P6896" s="1" t="s">
        <v>13673</v>
      </c>
      <c r="Q6896" s="1" t="s">
        <v>13674</v>
      </c>
      <c r="R6896" s="1" t="s">
        <v>460</v>
      </c>
      <c r="S6896" s="1" t="s">
        <v>13675</v>
      </c>
      <c r="T6896" s="1" t="s">
        <v>13676</v>
      </c>
      <c r="U6896" s="2" t="s">
        <v>1047</v>
      </c>
      <c r="V6896" s="2" t="s">
        <v>83</v>
      </c>
      <c r="W6896" s="2" t="s">
        <v>178</v>
      </c>
      <c r="X6896" s="2">
        <v>48.055</v>
      </c>
    </row>
    <row r="6897" spans="1:24" x14ac:dyDescent="0.3">
      <c r="A6897">
        <v>24713</v>
      </c>
      <c r="B6897" t="s">
        <v>13677</v>
      </c>
      <c r="C6897" s="3">
        <v>41771</v>
      </c>
      <c r="D6897" t="s">
        <v>148</v>
      </c>
      <c r="E6897">
        <v>16</v>
      </c>
      <c r="F6897" s="3">
        <f ca="1">41771+(RANDBETWEEN(1,10))</f>
        <v>41778</v>
      </c>
      <c r="G6897" t="s">
        <v>156</v>
      </c>
      <c r="H6897" t="s">
        <v>27</v>
      </c>
      <c r="I6897" t="s">
        <v>86</v>
      </c>
      <c r="J6897">
        <v>257.84500000000003</v>
      </c>
      <c r="K6897">
        <v>0.06</v>
      </c>
      <c r="L6897">
        <v>0.4</v>
      </c>
      <c r="M6897">
        <v>20.09</v>
      </c>
      <c r="N6897">
        <v>-528.255</v>
      </c>
      <c r="O6897" s="1" t="s">
        <v>64</v>
      </c>
      <c r="P6897" s="1" t="s">
        <v>13678</v>
      </c>
      <c r="Q6897" s="1" t="s">
        <v>13679</v>
      </c>
      <c r="R6897" s="1" t="s">
        <v>128</v>
      </c>
      <c r="S6897" s="1" t="s">
        <v>1156</v>
      </c>
      <c r="T6897" s="1" t="s">
        <v>10158</v>
      </c>
      <c r="U6897" s="2" t="s">
        <v>6105</v>
      </c>
      <c r="V6897" s="2" t="s">
        <v>47</v>
      </c>
      <c r="W6897" s="2" t="s">
        <v>74</v>
      </c>
      <c r="X6897" s="2">
        <v>14.98</v>
      </c>
    </row>
    <row r="6898" spans="1:24" x14ac:dyDescent="0.3">
      <c r="A6898">
        <v>24714</v>
      </c>
      <c r="B6898" t="s">
        <v>13680</v>
      </c>
      <c r="C6898" s="3">
        <v>41985</v>
      </c>
      <c r="D6898" t="s">
        <v>62</v>
      </c>
      <c r="E6898">
        <v>21</v>
      </c>
      <c r="F6898" s="3">
        <f ca="1">41987+(RANDBETWEEN(1,10))</f>
        <v>41993</v>
      </c>
      <c r="G6898" t="s">
        <v>76</v>
      </c>
      <c r="H6898" t="s">
        <v>77</v>
      </c>
      <c r="I6898" t="s">
        <v>52</v>
      </c>
      <c r="J6898">
        <v>10440.605</v>
      </c>
      <c r="K6898">
        <v>0.1</v>
      </c>
      <c r="L6898">
        <v>0.74</v>
      </c>
      <c r="M6898">
        <v>105</v>
      </c>
      <c r="N6898">
        <v>313.94580000000002</v>
      </c>
      <c r="O6898" s="1" t="s">
        <v>87</v>
      </c>
      <c r="P6898" s="1" t="s">
        <v>13403</v>
      </c>
      <c r="Q6898" s="1" t="s">
        <v>13404</v>
      </c>
      <c r="R6898" s="1" t="s">
        <v>646</v>
      </c>
      <c r="S6898" s="1" t="s">
        <v>4444</v>
      </c>
      <c r="T6898" s="1" t="s">
        <v>4445</v>
      </c>
      <c r="U6898" s="2" t="s">
        <v>4069</v>
      </c>
      <c r="V6898" s="2" t="s">
        <v>83</v>
      </c>
      <c r="W6898" s="2" t="s">
        <v>84</v>
      </c>
      <c r="X6898" s="2">
        <v>528.42999999999995</v>
      </c>
    </row>
    <row r="6899" spans="1:24" x14ac:dyDescent="0.3">
      <c r="A6899">
        <v>24715</v>
      </c>
      <c r="B6899" t="s">
        <v>13681</v>
      </c>
      <c r="C6899" s="3">
        <v>41862</v>
      </c>
      <c r="D6899" t="s">
        <v>39</v>
      </c>
      <c r="E6899">
        <v>3</v>
      </c>
      <c r="F6899" s="3">
        <f ca="1">41864+(RANDBETWEEN(1,10))</f>
        <v>41874</v>
      </c>
      <c r="G6899" t="s">
        <v>26</v>
      </c>
      <c r="H6899" t="s">
        <v>63</v>
      </c>
      <c r="I6899" t="s">
        <v>28</v>
      </c>
      <c r="J6899">
        <v>139.51</v>
      </c>
      <c r="K6899">
        <v>0.01</v>
      </c>
      <c r="L6899">
        <v>0.6</v>
      </c>
      <c r="M6899">
        <v>45.64</v>
      </c>
      <c r="N6899">
        <v>-14.0238</v>
      </c>
      <c r="O6899" s="1" t="s">
        <v>29</v>
      </c>
      <c r="P6899" s="1" t="s">
        <v>11700</v>
      </c>
      <c r="Q6899" s="1" t="s">
        <v>11701</v>
      </c>
      <c r="R6899" s="1" t="s">
        <v>675</v>
      </c>
      <c r="S6899" s="1" t="s">
        <v>11702</v>
      </c>
      <c r="T6899" s="1" t="s">
        <v>11703</v>
      </c>
      <c r="U6899" s="2" t="s">
        <v>13682</v>
      </c>
      <c r="V6899" s="2" t="s">
        <v>83</v>
      </c>
      <c r="W6899" s="2" t="s">
        <v>178</v>
      </c>
      <c r="X6899" s="2">
        <v>37.380000000000003</v>
      </c>
    </row>
    <row r="6900" spans="1:24" x14ac:dyDescent="0.3">
      <c r="A6900">
        <v>24716</v>
      </c>
      <c r="B6900" t="s">
        <v>13681</v>
      </c>
      <c r="C6900" s="3">
        <v>41862</v>
      </c>
      <c r="D6900" t="s">
        <v>39</v>
      </c>
      <c r="E6900">
        <v>13</v>
      </c>
      <c r="F6900" s="3">
        <f ca="1">41864+(RANDBETWEEN(1,10))</f>
        <v>41867</v>
      </c>
      <c r="G6900" t="s">
        <v>26</v>
      </c>
      <c r="H6900" t="s">
        <v>281</v>
      </c>
      <c r="I6900" t="s">
        <v>28</v>
      </c>
      <c r="J6900">
        <v>4866.9949999999999</v>
      </c>
      <c r="K6900">
        <v>0.06</v>
      </c>
      <c r="L6900">
        <v>0.69</v>
      </c>
      <c r="M6900">
        <v>48.965000000000003</v>
      </c>
      <c r="N6900">
        <v>3358.2265499999999</v>
      </c>
      <c r="O6900" s="1" t="s">
        <v>29</v>
      </c>
      <c r="P6900" s="1" t="s">
        <v>11700</v>
      </c>
      <c r="Q6900" s="1" t="s">
        <v>11701</v>
      </c>
      <c r="R6900" s="1" t="s">
        <v>675</v>
      </c>
      <c r="S6900" s="1" t="s">
        <v>11702</v>
      </c>
      <c r="T6900" s="1" t="s">
        <v>11703</v>
      </c>
      <c r="U6900" s="2" t="s">
        <v>1145</v>
      </c>
      <c r="V6900" s="2" t="s">
        <v>83</v>
      </c>
      <c r="W6900" s="2" t="s">
        <v>178</v>
      </c>
      <c r="X6900" s="2">
        <v>388.43</v>
      </c>
    </row>
    <row r="6901" spans="1:24" x14ac:dyDescent="0.3">
      <c r="A6901">
        <v>24717</v>
      </c>
      <c r="B6901" t="s">
        <v>13681</v>
      </c>
      <c r="C6901" s="3">
        <v>41862</v>
      </c>
      <c r="D6901" t="s">
        <v>39</v>
      </c>
      <c r="E6901">
        <v>25</v>
      </c>
      <c r="F6901" s="3">
        <f ca="1">41863+(RANDBETWEEN(1,10))</f>
        <v>41868</v>
      </c>
      <c r="G6901" t="s">
        <v>26</v>
      </c>
      <c r="H6901" t="s">
        <v>281</v>
      </c>
      <c r="I6901" t="s">
        <v>28</v>
      </c>
      <c r="J6901">
        <v>9649.1849999999995</v>
      </c>
      <c r="K6901">
        <v>0.03</v>
      </c>
      <c r="L6901">
        <v>0.65</v>
      </c>
      <c r="M6901">
        <v>48.965000000000003</v>
      </c>
      <c r="N6901">
        <v>6657.9376499999998</v>
      </c>
      <c r="O6901" s="1" t="s">
        <v>29</v>
      </c>
      <c r="P6901" s="1" t="s">
        <v>11700</v>
      </c>
      <c r="Q6901" s="1" t="s">
        <v>11701</v>
      </c>
      <c r="R6901" s="1" t="s">
        <v>675</v>
      </c>
      <c r="S6901" s="1" t="s">
        <v>11702</v>
      </c>
      <c r="T6901" s="1" t="s">
        <v>11703</v>
      </c>
      <c r="U6901" s="2" t="s">
        <v>3518</v>
      </c>
      <c r="V6901" s="2" t="s">
        <v>83</v>
      </c>
      <c r="W6901" s="2" t="s">
        <v>178</v>
      </c>
      <c r="X6901" s="2">
        <v>370.93</v>
      </c>
    </row>
    <row r="6902" spans="1:24" x14ac:dyDescent="0.3">
      <c r="A6902">
        <v>24718</v>
      </c>
      <c r="B6902" t="s">
        <v>13681</v>
      </c>
      <c r="C6902" s="3">
        <v>41862</v>
      </c>
      <c r="D6902" t="s">
        <v>39</v>
      </c>
      <c r="E6902">
        <v>19</v>
      </c>
      <c r="F6902" s="3">
        <f ca="1">41863+(RANDBETWEEN(1,10))</f>
        <v>41867</v>
      </c>
      <c r="G6902" t="s">
        <v>26</v>
      </c>
      <c r="H6902" t="s">
        <v>27</v>
      </c>
      <c r="I6902" t="s">
        <v>28</v>
      </c>
      <c r="J6902">
        <v>433.40499999999997</v>
      </c>
      <c r="K6902">
        <v>0.08</v>
      </c>
      <c r="L6902">
        <v>0.37</v>
      </c>
      <c r="M6902">
        <v>24.254999999999999</v>
      </c>
      <c r="N6902">
        <v>-178.19872000000001</v>
      </c>
      <c r="O6902" s="1" t="s">
        <v>29</v>
      </c>
      <c r="P6902" s="1" t="s">
        <v>11700</v>
      </c>
      <c r="Q6902" s="1" t="s">
        <v>11701</v>
      </c>
      <c r="R6902" s="1" t="s">
        <v>675</v>
      </c>
      <c r="S6902" s="1" t="s">
        <v>11702</v>
      </c>
      <c r="T6902" s="1" t="s">
        <v>11703</v>
      </c>
      <c r="U6902" s="2" t="s">
        <v>2817</v>
      </c>
      <c r="V6902" s="2" t="s">
        <v>47</v>
      </c>
      <c r="W6902" s="2" t="s">
        <v>74</v>
      </c>
      <c r="X6902" s="2">
        <v>23.38</v>
      </c>
    </row>
    <row r="6903" spans="1:24" x14ac:dyDescent="0.3">
      <c r="A6903">
        <v>24719</v>
      </c>
      <c r="B6903" t="s">
        <v>13683</v>
      </c>
      <c r="C6903" s="3">
        <v>41802</v>
      </c>
      <c r="D6903" t="s">
        <v>62</v>
      </c>
      <c r="E6903">
        <v>14</v>
      </c>
      <c r="F6903" s="3">
        <f ca="1">41804+(RANDBETWEEN(1,10))</f>
        <v>41812</v>
      </c>
      <c r="G6903" t="s">
        <v>26</v>
      </c>
      <c r="H6903" t="s">
        <v>281</v>
      </c>
      <c r="I6903" t="s">
        <v>97</v>
      </c>
      <c r="J6903">
        <v>2264.6750000000002</v>
      </c>
      <c r="K6903">
        <v>0.09</v>
      </c>
      <c r="L6903">
        <v>0.46</v>
      </c>
      <c r="M6903">
        <v>17.850000000000001</v>
      </c>
      <c r="N6903">
        <v>1562.6257499999999</v>
      </c>
      <c r="O6903" s="1" t="s">
        <v>53</v>
      </c>
      <c r="P6903" s="1" t="s">
        <v>13684</v>
      </c>
      <c r="Q6903" s="1" t="s">
        <v>13685</v>
      </c>
      <c r="R6903" s="1" t="s">
        <v>56</v>
      </c>
      <c r="S6903" s="1" t="s">
        <v>13686</v>
      </c>
      <c r="T6903" s="1" t="s">
        <v>13687</v>
      </c>
      <c r="U6903" s="2" t="s">
        <v>4675</v>
      </c>
      <c r="V6903" s="2" t="s">
        <v>47</v>
      </c>
      <c r="W6903" s="2" t="s">
        <v>71</v>
      </c>
      <c r="X6903" s="2">
        <v>164.11500000000001</v>
      </c>
    </row>
    <row r="6904" spans="1:24" x14ac:dyDescent="0.3">
      <c r="A6904">
        <v>24720</v>
      </c>
      <c r="B6904" t="s">
        <v>13683</v>
      </c>
      <c r="C6904" s="3">
        <v>41802</v>
      </c>
      <c r="D6904" t="s">
        <v>62</v>
      </c>
      <c r="E6904">
        <v>19</v>
      </c>
      <c r="F6904" s="3">
        <f ca="1">41803+(RANDBETWEEN(1,10))</f>
        <v>41805</v>
      </c>
      <c r="G6904" t="s">
        <v>26</v>
      </c>
      <c r="H6904" t="s">
        <v>51</v>
      </c>
      <c r="I6904" t="s">
        <v>97</v>
      </c>
      <c r="J6904">
        <v>459.62</v>
      </c>
      <c r="K6904">
        <v>0.05</v>
      </c>
      <c r="L6904">
        <v>0.37</v>
      </c>
      <c r="M6904">
        <v>17.324999999999999</v>
      </c>
      <c r="N6904">
        <v>-106.512</v>
      </c>
      <c r="O6904" s="1" t="s">
        <v>53</v>
      </c>
      <c r="P6904" s="1" t="s">
        <v>13684</v>
      </c>
      <c r="Q6904" s="1" t="s">
        <v>13685</v>
      </c>
      <c r="R6904" s="1" t="s">
        <v>56</v>
      </c>
      <c r="S6904" s="1" t="s">
        <v>13686</v>
      </c>
      <c r="T6904" s="1" t="s">
        <v>13687</v>
      </c>
      <c r="U6904" s="2" t="s">
        <v>790</v>
      </c>
      <c r="V6904" s="2" t="s">
        <v>83</v>
      </c>
      <c r="W6904" s="2" t="s">
        <v>178</v>
      </c>
      <c r="X6904" s="2">
        <v>23.24</v>
      </c>
    </row>
    <row r="6905" spans="1:24" x14ac:dyDescent="0.3">
      <c r="A6905">
        <v>24721</v>
      </c>
      <c r="B6905" t="s">
        <v>13688</v>
      </c>
      <c r="C6905" s="3">
        <v>41956</v>
      </c>
      <c r="D6905" t="s">
        <v>62</v>
      </c>
      <c r="E6905">
        <v>7</v>
      </c>
      <c r="F6905" s="3">
        <f ca="1">41958+(RANDBETWEEN(1,10))</f>
        <v>41961</v>
      </c>
      <c r="G6905" t="s">
        <v>26</v>
      </c>
      <c r="H6905" t="s">
        <v>27</v>
      </c>
      <c r="I6905" t="s">
        <v>28</v>
      </c>
      <c r="J6905">
        <v>160.44</v>
      </c>
      <c r="K6905">
        <v>0.08</v>
      </c>
      <c r="L6905">
        <v>0.41</v>
      </c>
      <c r="M6905">
        <v>19.495000000000001</v>
      </c>
      <c r="N6905">
        <v>28.22512</v>
      </c>
      <c r="O6905" s="1" t="s">
        <v>29</v>
      </c>
      <c r="P6905" s="1" t="s">
        <v>10835</v>
      </c>
      <c r="Q6905" s="1" t="s">
        <v>10836</v>
      </c>
      <c r="R6905" s="1" t="s">
        <v>460</v>
      </c>
      <c r="S6905" s="1" t="s">
        <v>3781</v>
      </c>
      <c r="T6905" s="1" t="s">
        <v>10837</v>
      </c>
      <c r="U6905" s="2" t="s">
        <v>10299</v>
      </c>
      <c r="V6905" s="2" t="s">
        <v>83</v>
      </c>
      <c r="W6905" s="2" t="s">
        <v>178</v>
      </c>
      <c r="X6905" s="2">
        <v>20.614999999999998</v>
      </c>
    </row>
    <row r="6906" spans="1:24" x14ac:dyDescent="0.3">
      <c r="A6906">
        <v>24722</v>
      </c>
      <c r="B6906" t="s">
        <v>13103</v>
      </c>
      <c r="C6906" s="3">
        <v>40902</v>
      </c>
      <c r="D6906" t="s">
        <v>39</v>
      </c>
      <c r="E6906">
        <v>4</v>
      </c>
      <c r="F6906" s="3">
        <f ca="1">40904+(RANDBETWEEN(1,10))</f>
        <v>40914</v>
      </c>
      <c r="G6906" t="s">
        <v>26</v>
      </c>
      <c r="H6906" t="s">
        <v>281</v>
      </c>
      <c r="I6906" t="s">
        <v>86</v>
      </c>
      <c r="J6906">
        <v>639.13499999999999</v>
      </c>
      <c r="K6906">
        <v>0.04</v>
      </c>
      <c r="L6906">
        <v>0.46</v>
      </c>
      <c r="M6906">
        <v>17.850000000000001</v>
      </c>
      <c r="N6906">
        <v>304.92</v>
      </c>
      <c r="O6906" s="1" t="s">
        <v>53</v>
      </c>
      <c r="P6906" s="1" t="s">
        <v>5681</v>
      </c>
      <c r="Q6906" s="1" t="s">
        <v>5682</v>
      </c>
      <c r="R6906" s="1" t="s">
        <v>440</v>
      </c>
      <c r="S6906" s="1" t="s">
        <v>1172</v>
      </c>
      <c r="T6906" s="1" t="s">
        <v>5683</v>
      </c>
      <c r="U6906" s="2" t="s">
        <v>4675</v>
      </c>
      <c r="V6906" s="2" t="s">
        <v>47</v>
      </c>
      <c r="W6906" s="2" t="s">
        <v>71</v>
      </c>
      <c r="X6906" s="2">
        <v>164.11500000000001</v>
      </c>
    </row>
    <row r="6907" spans="1:24" x14ac:dyDescent="0.3">
      <c r="A6907">
        <v>24723</v>
      </c>
      <c r="B6907" t="s">
        <v>13689</v>
      </c>
      <c r="C6907" s="3">
        <v>40783</v>
      </c>
      <c r="D6907" t="s">
        <v>148</v>
      </c>
      <c r="E6907">
        <v>7</v>
      </c>
      <c r="F6907" s="3">
        <f ca="1">40786+(RANDBETWEEN(1,10))</f>
        <v>40791</v>
      </c>
      <c r="G6907" t="s">
        <v>26</v>
      </c>
      <c r="H6907" t="s">
        <v>51</v>
      </c>
      <c r="I6907" t="s">
        <v>97</v>
      </c>
      <c r="J6907">
        <v>418.6</v>
      </c>
      <c r="K6907">
        <v>0.04</v>
      </c>
      <c r="L6907">
        <v>0.56000000000000005</v>
      </c>
      <c r="M6907">
        <v>11.41</v>
      </c>
      <c r="N6907">
        <v>167.05500000000001</v>
      </c>
      <c r="O6907" s="1" t="s">
        <v>87</v>
      </c>
      <c r="P6907" s="1" t="s">
        <v>2731</v>
      </c>
      <c r="Q6907" s="1" t="s">
        <v>2732</v>
      </c>
      <c r="R6907" s="1" t="s">
        <v>398</v>
      </c>
      <c r="S6907" s="1" t="s">
        <v>2733</v>
      </c>
      <c r="T6907" s="1" t="s">
        <v>735</v>
      </c>
      <c r="U6907" s="2" t="s">
        <v>10717</v>
      </c>
      <c r="V6907" s="2" t="s">
        <v>47</v>
      </c>
      <c r="W6907" s="2" t="s">
        <v>94</v>
      </c>
      <c r="X6907" s="2">
        <v>60.34</v>
      </c>
    </row>
    <row r="6908" spans="1:24" x14ac:dyDescent="0.3">
      <c r="A6908">
        <v>24724</v>
      </c>
      <c r="B6908" t="s">
        <v>13690</v>
      </c>
      <c r="C6908" s="3">
        <v>41879</v>
      </c>
      <c r="D6908" t="s">
        <v>148</v>
      </c>
      <c r="E6908">
        <v>10</v>
      </c>
      <c r="F6908" s="3">
        <f ca="1">41881+(RANDBETWEEN(1,10))</f>
        <v>41883</v>
      </c>
      <c r="G6908" t="s">
        <v>76</v>
      </c>
      <c r="H6908" t="s">
        <v>258</v>
      </c>
      <c r="I6908" t="s">
        <v>97</v>
      </c>
      <c r="J6908">
        <v>5969.7749999999996</v>
      </c>
      <c r="K6908">
        <v>7.0000000000000007E-2</v>
      </c>
      <c r="L6908">
        <v>0.77</v>
      </c>
      <c r="M6908">
        <v>243.74</v>
      </c>
      <c r="N6908">
        <v>-1025.9040399999999</v>
      </c>
      <c r="O6908" s="1" t="s">
        <v>87</v>
      </c>
      <c r="P6908" s="1" t="s">
        <v>2731</v>
      </c>
      <c r="Q6908" s="1" t="s">
        <v>2732</v>
      </c>
      <c r="R6908" s="1" t="s">
        <v>398</v>
      </c>
      <c r="S6908" s="1" t="s">
        <v>2733</v>
      </c>
      <c r="T6908" s="1" t="s">
        <v>735</v>
      </c>
      <c r="U6908" s="2" t="s">
        <v>1233</v>
      </c>
      <c r="V6908" s="2" t="s">
        <v>83</v>
      </c>
      <c r="W6908" s="2" t="s">
        <v>263</v>
      </c>
      <c r="X6908" s="2">
        <v>765.625</v>
      </c>
    </row>
    <row r="6909" spans="1:24" x14ac:dyDescent="0.3">
      <c r="A6909">
        <v>24725</v>
      </c>
      <c r="B6909" t="s">
        <v>13690</v>
      </c>
      <c r="C6909" s="3">
        <v>41879</v>
      </c>
      <c r="D6909" t="s">
        <v>148</v>
      </c>
      <c r="E6909">
        <v>25</v>
      </c>
      <c r="F6909" s="3">
        <f ca="1">41881+(RANDBETWEEN(1,10))</f>
        <v>41885</v>
      </c>
      <c r="G6909" t="s">
        <v>26</v>
      </c>
      <c r="H6909" t="s">
        <v>63</v>
      </c>
      <c r="I6909" t="s">
        <v>97</v>
      </c>
      <c r="J6909">
        <v>14390.985000000001</v>
      </c>
      <c r="K6909">
        <v>0.08</v>
      </c>
      <c r="L6909">
        <v>0.79</v>
      </c>
      <c r="M6909">
        <v>241.5</v>
      </c>
      <c r="N6909">
        <v>-2406.1279199999999</v>
      </c>
      <c r="O6909" s="1" t="s">
        <v>87</v>
      </c>
      <c r="P6909" s="1" t="s">
        <v>2731</v>
      </c>
      <c r="Q6909" s="1" t="s">
        <v>2732</v>
      </c>
      <c r="R6909" s="1" t="s">
        <v>398</v>
      </c>
      <c r="S6909" s="1" t="s">
        <v>2733</v>
      </c>
      <c r="T6909" s="1" t="s">
        <v>735</v>
      </c>
      <c r="U6909" s="2" t="s">
        <v>3449</v>
      </c>
      <c r="V6909" s="2" t="s">
        <v>83</v>
      </c>
      <c r="W6909" s="2" t="s">
        <v>263</v>
      </c>
      <c r="X6909" s="2">
        <v>732.79499999999996</v>
      </c>
    </row>
    <row r="6910" spans="1:24" x14ac:dyDescent="0.3">
      <c r="A6910">
        <v>24726</v>
      </c>
      <c r="B6910" t="s">
        <v>13691</v>
      </c>
      <c r="C6910" s="3">
        <v>41650</v>
      </c>
      <c r="D6910" t="s">
        <v>62</v>
      </c>
      <c r="E6910">
        <v>5</v>
      </c>
      <c r="F6910" s="3">
        <f ca="1">41651+(RANDBETWEEN(1,10))</f>
        <v>41657</v>
      </c>
      <c r="G6910" t="s">
        <v>26</v>
      </c>
      <c r="H6910" t="s">
        <v>96</v>
      </c>
      <c r="I6910" t="s">
        <v>28</v>
      </c>
      <c r="J6910">
        <v>158.935</v>
      </c>
      <c r="K6910">
        <v>0.08</v>
      </c>
      <c r="L6910">
        <v>0.4</v>
      </c>
      <c r="M6910">
        <v>7.5250000000000004</v>
      </c>
      <c r="N6910">
        <v>109.66515</v>
      </c>
      <c r="O6910" s="1" t="s">
        <v>87</v>
      </c>
      <c r="P6910" s="1" t="s">
        <v>2731</v>
      </c>
      <c r="Q6910" s="1" t="s">
        <v>2732</v>
      </c>
      <c r="R6910" s="1" t="s">
        <v>398</v>
      </c>
      <c r="S6910" s="1" t="s">
        <v>2733</v>
      </c>
      <c r="T6910" s="1" t="s">
        <v>735</v>
      </c>
      <c r="U6910" s="2" t="s">
        <v>4359</v>
      </c>
      <c r="V6910" s="2" t="s">
        <v>47</v>
      </c>
      <c r="W6910" s="2" t="s">
        <v>74</v>
      </c>
      <c r="X6910" s="2">
        <v>31.885000000000002</v>
      </c>
    </row>
    <row r="6911" spans="1:24" x14ac:dyDescent="0.3">
      <c r="A6911">
        <v>24727</v>
      </c>
      <c r="B6911" t="s">
        <v>13692</v>
      </c>
      <c r="C6911" s="3">
        <v>40977</v>
      </c>
      <c r="D6911" t="s">
        <v>148</v>
      </c>
      <c r="E6911">
        <v>10</v>
      </c>
      <c r="F6911" s="3">
        <f ca="1">40977+(RANDBETWEEN(1,10))</f>
        <v>40984</v>
      </c>
      <c r="G6911" t="s">
        <v>26</v>
      </c>
      <c r="H6911" t="s">
        <v>27</v>
      </c>
      <c r="I6911" t="s">
        <v>97</v>
      </c>
      <c r="J6911">
        <v>170.55500000000001</v>
      </c>
      <c r="K6911">
        <v>7.0000000000000007E-2</v>
      </c>
      <c r="L6911">
        <v>0.36</v>
      </c>
      <c r="M6911">
        <v>26.04</v>
      </c>
      <c r="N6911">
        <v>224.65799999999999</v>
      </c>
      <c r="O6911" s="1" t="s">
        <v>40</v>
      </c>
      <c r="P6911" s="1" t="s">
        <v>13693</v>
      </c>
      <c r="Q6911" s="1" t="s">
        <v>13694</v>
      </c>
      <c r="R6911" s="1" t="s">
        <v>43</v>
      </c>
      <c r="S6911" s="1" t="s">
        <v>1505</v>
      </c>
      <c r="T6911" s="1" t="s">
        <v>1506</v>
      </c>
      <c r="U6911" s="2" t="s">
        <v>131</v>
      </c>
      <c r="V6911" s="2" t="s">
        <v>47</v>
      </c>
      <c r="W6911" s="2" t="s">
        <v>74</v>
      </c>
      <c r="X6911" s="2">
        <v>17.43</v>
      </c>
    </row>
    <row r="6912" spans="1:24" x14ac:dyDescent="0.3">
      <c r="A6912">
        <v>24728</v>
      </c>
      <c r="B6912" t="s">
        <v>13692</v>
      </c>
      <c r="C6912" s="3">
        <v>40977</v>
      </c>
      <c r="D6912" t="s">
        <v>148</v>
      </c>
      <c r="E6912">
        <v>6</v>
      </c>
      <c r="F6912" s="3">
        <f ca="1">40978+(RANDBETWEEN(1,10))</f>
        <v>40984</v>
      </c>
      <c r="G6912" t="s">
        <v>26</v>
      </c>
      <c r="H6912" t="s">
        <v>51</v>
      </c>
      <c r="I6912" t="s">
        <v>97</v>
      </c>
      <c r="J6912">
        <v>210.245</v>
      </c>
      <c r="K6912">
        <v>7.0000000000000007E-2</v>
      </c>
      <c r="L6912">
        <v>0.59</v>
      </c>
      <c r="M6912">
        <v>16.38</v>
      </c>
      <c r="N6912">
        <v>448.60199999999998</v>
      </c>
      <c r="O6912" s="1" t="s">
        <v>40</v>
      </c>
      <c r="P6912" s="1" t="s">
        <v>13693</v>
      </c>
      <c r="Q6912" s="1" t="s">
        <v>13694</v>
      </c>
      <c r="R6912" s="1" t="s">
        <v>43</v>
      </c>
      <c r="S6912" s="1" t="s">
        <v>1505</v>
      </c>
      <c r="T6912" s="1" t="s">
        <v>1506</v>
      </c>
      <c r="U6912" s="2" t="s">
        <v>3567</v>
      </c>
      <c r="V6912" s="2" t="s">
        <v>47</v>
      </c>
      <c r="W6912" s="2" t="s">
        <v>94</v>
      </c>
      <c r="X6912" s="2">
        <v>35.805</v>
      </c>
    </row>
    <row r="6913" spans="1:24" x14ac:dyDescent="0.3">
      <c r="A6913">
        <v>24729</v>
      </c>
      <c r="B6913" t="s">
        <v>13692</v>
      </c>
      <c r="C6913" s="3">
        <v>40977</v>
      </c>
      <c r="D6913" t="s">
        <v>148</v>
      </c>
      <c r="E6913">
        <v>12</v>
      </c>
      <c r="F6913" s="3">
        <f ca="1">40979+(RANDBETWEEN(1,10))</f>
        <v>40988</v>
      </c>
      <c r="G6913" t="s">
        <v>26</v>
      </c>
      <c r="H6913" t="s">
        <v>96</v>
      </c>
      <c r="I6913" t="s">
        <v>97</v>
      </c>
      <c r="J6913">
        <v>737.66</v>
      </c>
      <c r="K6913">
        <v>0.08</v>
      </c>
      <c r="L6913">
        <v>0.37</v>
      </c>
      <c r="M6913">
        <v>3.4649999999999999</v>
      </c>
      <c r="N6913">
        <v>662.19299999999998</v>
      </c>
      <c r="O6913" s="1" t="s">
        <v>40</v>
      </c>
      <c r="P6913" s="1" t="s">
        <v>13693</v>
      </c>
      <c r="Q6913" s="1" t="s">
        <v>13694</v>
      </c>
      <c r="R6913" s="1" t="s">
        <v>43</v>
      </c>
      <c r="S6913" s="1" t="s">
        <v>1505</v>
      </c>
      <c r="T6913" s="1" t="s">
        <v>1506</v>
      </c>
      <c r="U6913" s="2" t="s">
        <v>3359</v>
      </c>
      <c r="V6913" s="2" t="s">
        <v>36</v>
      </c>
      <c r="W6913" s="2" t="s">
        <v>37</v>
      </c>
      <c r="X6913" s="2">
        <v>73.465000000000003</v>
      </c>
    </row>
    <row r="6914" spans="1:24" x14ac:dyDescent="0.3">
      <c r="A6914">
        <v>24730</v>
      </c>
      <c r="B6914" t="s">
        <v>13695</v>
      </c>
      <c r="C6914" s="3">
        <v>41866</v>
      </c>
      <c r="D6914" t="s">
        <v>39</v>
      </c>
      <c r="E6914">
        <v>15</v>
      </c>
      <c r="F6914" s="3">
        <f ca="1">41867+(RANDBETWEEN(1,10))</f>
        <v>41868</v>
      </c>
      <c r="G6914" t="s">
        <v>26</v>
      </c>
      <c r="H6914" t="s">
        <v>27</v>
      </c>
      <c r="I6914" t="s">
        <v>97</v>
      </c>
      <c r="J6914">
        <v>9258.5149999999994</v>
      </c>
      <c r="K6914">
        <v>0.08</v>
      </c>
      <c r="L6914">
        <v>0.55000000000000004</v>
      </c>
      <c r="M6914">
        <v>69.965000000000003</v>
      </c>
      <c r="N6914">
        <v>6388.3753500000003</v>
      </c>
      <c r="O6914" s="1" t="s">
        <v>53</v>
      </c>
      <c r="P6914" s="1" t="s">
        <v>13684</v>
      </c>
      <c r="Q6914" s="1" t="s">
        <v>13685</v>
      </c>
      <c r="R6914" s="1" t="s">
        <v>56</v>
      </c>
      <c r="S6914" s="1" t="s">
        <v>13686</v>
      </c>
      <c r="T6914" s="1" t="s">
        <v>13687</v>
      </c>
      <c r="U6914" s="2" t="s">
        <v>721</v>
      </c>
      <c r="V6914" s="2" t="s">
        <v>47</v>
      </c>
      <c r="W6914" s="2" t="s">
        <v>119</v>
      </c>
      <c r="X6914" s="2">
        <v>624.64499999999998</v>
      </c>
    </row>
    <row r="6915" spans="1:24" x14ac:dyDescent="0.3">
      <c r="A6915">
        <v>24731</v>
      </c>
      <c r="B6915" t="s">
        <v>13696</v>
      </c>
      <c r="C6915" s="3">
        <v>40718</v>
      </c>
      <c r="D6915" t="s">
        <v>25</v>
      </c>
      <c r="E6915">
        <v>6</v>
      </c>
      <c r="F6915" s="3">
        <f ca="1">40725+(RANDBETWEEN(1,10))</f>
        <v>40726</v>
      </c>
      <c r="G6915" t="s">
        <v>26</v>
      </c>
      <c r="H6915" t="s">
        <v>96</v>
      </c>
      <c r="I6915" t="s">
        <v>28</v>
      </c>
      <c r="J6915">
        <v>350.38499999999999</v>
      </c>
      <c r="K6915">
        <v>0.09</v>
      </c>
      <c r="L6915">
        <v>0.81</v>
      </c>
      <c r="M6915">
        <v>8.75</v>
      </c>
      <c r="N6915">
        <v>-476.42700000000002</v>
      </c>
      <c r="O6915" s="1" t="s">
        <v>225</v>
      </c>
      <c r="P6915" s="1" t="s">
        <v>2956</v>
      </c>
      <c r="Q6915" s="1" t="s">
        <v>2957</v>
      </c>
      <c r="R6915" s="1" t="s">
        <v>228</v>
      </c>
      <c r="S6915" s="1" t="s">
        <v>2958</v>
      </c>
      <c r="T6915" s="1" t="s">
        <v>2959</v>
      </c>
      <c r="U6915" s="2" t="s">
        <v>1282</v>
      </c>
      <c r="V6915" s="2" t="s">
        <v>36</v>
      </c>
      <c r="W6915" s="2" t="s">
        <v>37</v>
      </c>
      <c r="X6915" s="2">
        <v>73.465000000000003</v>
      </c>
    </row>
    <row r="6916" spans="1:24" x14ac:dyDescent="0.3">
      <c r="A6916">
        <v>24732</v>
      </c>
      <c r="B6916" t="s">
        <v>13697</v>
      </c>
      <c r="C6916" s="3">
        <v>41859</v>
      </c>
      <c r="D6916" t="s">
        <v>39</v>
      </c>
      <c r="E6916">
        <v>8</v>
      </c>
      <c r="F6916" s="3">
        <f ca="1">41859+(RANDBETWEEN(1,10))</f>
        <v>41865</v>
      </c>
      <c r="G6916" t="s">
        <v>26</v>
      </c>
      <c r="H6916" t="s">
        <v>27</v>
      </c>
      <c r="I6916" t="s">
        <v>28</v>
      </c>
      <c r="J6916">
        <v>2216.0250000000001</v>
      </c>
      <c r="K6916">
        <v>0.03</v>
      </c>
      <c r="L6916">
        <v>0.56000000000000005</v>
      </c>
      <c r="M6916">
        <v>17.149999999999999</v>
      </c>
      <c r="N6916">
        <v>1695.5001</v>
      </c>
      <c r="O6916" s="1" t="s">
        <v>29</v>
      </c>
      <c r="P6916" s="1" t="s">
        <v>12260</v>
      </c>
      <c r="Q6916" s="1" t="s">
        <v>12261</v>
      </c>
      <c r="R6916" s="1" t="s">
        <v>32</v>
      </c>
      <c r="S6916" s="1" t="s">
        <v>12262</v>
      </c>
      <c r="T6916" s="1" t="s">
        <v>12263</v>
      </c>
      <c r="U6916" s="2" t="s">
        <v>35</v>
      </c>
      <c r="V6916" s="2" t="s">
        <v>36</v>
      </c>
      <c r="W6916" s="2" t="s">
        <v>37</v>
      </c>
      <c r="X6916" s="2">
        <v>335.96499999999997</v>
      </c>
    </row>
    <row r="6917" spans="1:24" x14ac:dyDescent="0.3">
      <c r="A6917">
        <v>24733</v>
      </c>
      <c r="B6917" t="s">
        <v>13698</v>
      </c>
      <c r="C6917" s="3">
        <v>40966</v>
      </c>
      <c r="D6917" t="s">
        <v>148</v>
      </c>
      <c r="E6917">
        <v>8</v>
      </c>
      <c r="F6917" s="3">
        <f ca="1">40969+(RANDBETWEEN(1,10))</f>
        <v>40978</v>
      </c>
      <c r="G6917" t="s">
        <v>26</v>
      </c>
      <c r="H6917" t="s">
        <v>63</v>
      </c>
      <c r="I6917" t="s">
        <v>28</v>
      </c>
      <c r="J6917">
        <v>15899.275</v>
      </c>
      <c r="K6917">
        <v>0.09</v>
      </c>
      <c r="L6917">
        <v>0.37</v>
      </c>
      <c r="M6917">
        <v>85.715000000000003</v>
      </c>
      <c r="N6917">
        <v>13.566000000000001</v>
      </c>
      <c r="O6917" s="1" t="s">
        <v>87</v>
      </c>
      <c r="P6917" s="1" t="s">
        <v>13699</v>
      </c>
      <c r="Q6917" s="1" t="s">
        <v>13700</v>
      </c>
      <c r="R6917" s="1" t="s">
        <v>90</v>
      </c>
      <c r="S6917" s="1" t="s">
        <v>609</v>
      </c>
      <c r="T6917" s="1" t="s">
        <v>610</v>
      </c>
      <c r="U6917" s="2" t="s">
        <v>1737</v>
      </c>
      <c r="V6917" s="2" t="s">
        <v>36</v>
      </c>
      <c r="W6917" s="2" t="s">
        <v>1327</v>
      </c>
      <c r="X6917" s="2">
        <v>2099.9650000000001</v>
      </c>
    </row>
    <row r="6918" spans="1:24" x14ac:dyDescent="0.3">
      <c r="A6918">
        <v>24734</v>
      </c>
      <c r="B6918" t="s">
        <v>13701</v>
      </c>
      <c r="C6918" s="3">
        <v>41697</v>
      </c>
      <c r="D6918" t="s">
        <v>148</v>
      </c>
      <c r="E6918">
        <v>1</v>
      </c>
      <c r="F6918" s="3">
        <f ca="1">41699+(RANDBETWEEN(1,10))</f>
        <v>41708</v>
      </c>
      <c r="G6918" t="s">
        <v>156</v>
      </c>
      <c r="H6918" t="s">
        <v>96</v>
      </c>
      <c r="I6918" t="s">
        <v>28</v>
      </c>
      <c r="J6918">
        <v>26.355</v>
      </c>
      <c r="K6918">
        <v>0.04</v>
      </c>
      <c r="L6918">
        <v>0.36</v>
      </c>
      <c r="M6918">
        <v>10.64</v>
      </c>
      <c r="N6918">
        <v>-292.67700000000002</v>
      </c>
      <c r="O6918" s="1" t="s">
        <v>87</v>
      </c>
      <c r="P6918" s="1" t="s">
        <v>13699</v>
      </c>
      <c r="Q6918" s="1" t="s">
        <v>13700</v>
      </c>
      <c r="R6918" s="1" t="s">
        <v>90</v>
      </c>
      <c r="S6918" s="1" t="s">
        <v>609</v>
      </c>
      <c r="T6918" s="1" t="s">
        <v>610</v>
      </c>
      <c r="U6918" s="2" t="s">
        <v>2918</v>
      </c>
      <c r="V6918" s="2" t="s">
        <v>47</v>
      </c>
      <c r="W6918" s="2" t="s">
        <v>74</v>
      </c>
      <c r="X6918" s="2">
        <v>20.58</v>
      </c>
    </row>
    <row r="6919" spans="1:24" x14ac:dyDescent="0.3">
      <c r="A6919">
        <v>24735</v>
      </c>
      <c r="B6919" t="s">
        <v>13698</v>
      </c>
      <c r="C6919" s="3">
        <v>40966</v>
      </c>
      <c r="D6919" t="s">
        <v>148</v>
      </c>
      <c r="E6919">
        <v>2</v>
      </c>
      <c r="F6919" s="3">
        <f ca="1">40967+(RANDBETWEEN(1,10))</f>
        <v>40973</v>
      </c>
      <c r="G6919" t="s">
        <v>156</v>
      </c>
      <c r="H6919" t="s">
        <v>27</v>
      </c>
      <c r="I6919" t="s">
        <v>28</v>
      </c>
      <c r="J6919">
        <v>714.56</v>
      </c>
      <c r="K6919">
        <v>0.06</v>
      </c>
      <c r="L6919">
        <v>0.57999999999999996</v>
      </c>
      <c r="M6919">
        <v>26.914999999999999</v>
      </c>
      <c r="N6919">
        <v>24.254999999999999</v>
      </c>
      <c r="O6919" s="1" t="s">
        <v>87</v>
      </c>
      <c r="P6919" s="1" t="s">
        <v>13699</v>
      </c>
      <c r="Q6919" s="1" t="s">
        <v>13700</v>
      </c>
      <c r="R6919" s="1" t="s">
        <v>90</v>
      </c>
      <c r="S6919" s="1" t="s">
        <v>609</v>
      </c>
      <c r="T6919" s="1" t="s">
        <v>610</v>
      </c>
      <c r="U6919" s="2" t="s">
        <v>2511</v>
      </c>
      <c r="V6919" s="2" t="s">
        <v>36</v>
      </c>
      <c r="W6919" s="2" t="s">
        <v>37</v>
      </c>
      <c r="X6919" s="2">
        <v>440.96499999999997</v>
      </c>
    </row>
    <row r="6920" spans="1:24" x14ac:dyDescent="0.3">
      <c r="A6920">
        <v>24736</v>
      </c>
      <c r="B6920" t="s">
        <v>13702</v>
      </c>
      <c r="C6920" s="3">
        <v>41957</v>
      </c>
      <c r="D6920" t="s">
        <v>148</v>
      </c>
      <c r="E6920">
        <v>11</v>
      </c>
      <c r="F6920" s="3">
        <f ca="1">41957+(RANDBETWEEN(1,10))</f>
        <v>41965</v>
      </c>
      <c r="G6920" t="s">
        <v>26</v>
      </c>
      <c r="H6920" t="s">
        <v>27</v>
      </c>
      <c r="I6920" t="s">
        <v>97</v>
      </c>
      <c r="J6920">
        <v>196</v>
      </c>
      <c r="K6920">
        <v>0.04</v>
      </c>
      <c r="L6920">
        <v>0.36</v>
      </c>
      <c r="M6920">
        <v>1.75</v>
      </c>
      <c r="N6920">
        <v>135.24</v>
      </c>
      <c r="O6920" s="1" t="s">
        <v>64</v>
      </c>
      <c r="P6920" s="1" t="s">
        <v>9543</v>
      </c>
      <c r="Q6920" s="1" t="s">
        <v>9544</v>
      </c>
      <c r="R6920" s="1" t="s">
        <v>128</v>
      </c>
      <c r="S6920" s="1" t="s">
        <v>2117</v>
      </c>
      <c r="T6920" s="1" t="s">
        <v>1313</v>
      </c>
      <c r="U6920" s="2" t="s">
        <v>4577</v>
      </c>
      <c r="V6920" s="2" t="s">
        <v>47</v>
      </c>
      <c r="W6920" s="2" t="s">
        <v>203</v>
      </c>
      <c r="X6920" s="2">
        <v>17.184999999999999</v>
      </c>
    </row>
    <row r="6921" spans="1:24" x14ac:dyDescent="0.3">
      <c r="A6921">
        <v>24737</v>
      </c>
      <c r="B6921" t="s">
        <v>13703</v>
      </c>
      <c r="C6921" s="3">
        <v>40861</v>
      </c>
      <c r="D6921" t="s">
        <v>148</v>
      </c>
      <c r="E6921">
        <v>41</v>
      </c>
      <c r="F6921" s="3">
        <f ca="1">40862+(RANDBETWEEN(1,10))</f>
        <v>40872</v>
      </c>
      <c r="G6921" t="s">
        <v>26</v>
      </c>
      <c r="H6921" t="s">
        <v>51</v>
      </c>
      <c r="I6921" t="s">
        <v>97</v>
      </c>
      <c r="J6921">
        <v>2325.19</v>
      </c>
      <c r="K6921">
        <v>0.02</v>
      </c>
      <c r="L6921">
        <v>0.55000000000000004</v>
      </c>
      <c r="M6921">
        <v>19.074999999999999</v>
      </c>
      <c r="N6921">
        <v>488.642</v>
      </c>
      <c r="O6921" s="1" t="s">
        <v>64</v>
      </c>
      <c r="P6921" s="1" t="s">
        <v>9543</v>
      </c>
      <c r="Q6921" s="1" t="s">
        <v>9544</v>
      </c>
      <c r="R6921" s="1" t="s">
        <v>128</v>
      </c>
      <c r="S6921" s="1" t="s">
        <v>2117</v>
      </c>
      <c r="T6921" s="1" t="s">
        <v>1313</v>
      </c>
      <c r="U6921" s="2" t="s">
        <v>2180</v>
      </c>
      <c r="V6921" s="2" t="s">
        <v>47</v>
      </c>
      <c r="W6921" s="2" t="s">
        <v>104</v>
      </c>
      <c r="X6921" s="2">
        <v>55.79</v>
      </c>
    </row>
    <row r="6922" spans="1:24" x14ac:dyDescent="0.3">
      <c r="A6922">
        <v>24738</v>
      </c>
      <c r="B6922" t="s">
        <v>13704</v>
      </c>
      <c r="C6922" s="3">
        <v>41941</v>
      </c>
      <c r="D6922" t="s">
        <v>39</v>
      </c>
      <c r="E6922">
        <v>13</v>
      </c>
      <c r="F6922" s="3">
        <f ca="1">41942+(RANDBETWEEN(1,10))</f>
        <v>41952</v>
      </c>
      <c r="G6922" t="s">
        <v>26</v>
      </c>
      <c r="H6922" t="s">
        <v>27</v>
      </c>
      <c r="I6922" t="s">
        <v>97</v>
      </c>
      <c r="J6922">
        <v>215.04</v>
      </c>
      <c r="K6922">
        <v>0.09</v>
      </c>
      <c r="L6922">
        <v>0.41</v>
      </c>
      <c r="M6922">
        <v>18.62</v>
      </c>
      <c r="N6922">
        <v>-185.71</v>
      </c>
      <c r="O6922" s="1" t="s">
        <v>40</v>
      </c>
      <c r="P6922" s="1" t="s">
        <v>13147</v>
      </c>
      <c r="Q6922" s="1" t="s">
        <v>13148</v>
      </c>
      <c r="R6922" s="1" t="s">
        <v>220</v>
      </c>
      <c r="S6922" s="1" t="s">
        <v>13149</v>
      </c>
      <c r="T6922" s="1" t="s">
        <v>13150</v>
      </c>
      <c r="U6922" s="2" t="s">
        <v>5159</v>
      </c>
      <c r="V6922" s="2" t="s">
        <v>83</v>
      </c>
      <c r="W6922" s="2" t="s">
        <v>178</v>
      </c>
      <c r="X6922" s="2">
        <v>17.324999999999999</v>
      </c>
    </row>
    <row r="6923" spans="1:24" x14ac:dyDescent="0.3">
      <c r="A6923">
        <v>24739</v>
      </c>
      <c r="B6923" t="s">
        <v>13705</v>
      </c>
      <c r="C6923" s="3">
        <v>41923</v>
      </c>
      <c r="D6923" t="s">
        <v>148</v>
      </c>
      <c r="E6923">
        <v>24</v>
      </c>
      <c r="F6923" s="3">
        <f ca="1">41925+(RANDBETWEEN(1,10))</f>
        <v>41931</v>
      </c>
      <c r="G6923" t="s">
        <v>156</v>
      </c>
      <c r="H6923" t="s">
        <v>27</v>
      </c>
      <c r="I6923" t="s">
        <v>28</v>
      </c>
      <c r="J6923">
        <v>14034.615</v>
      </c>
      <c r="K6923">
        <v>0.02</v>
      </c>
      <c r="L6923">
        <v>0.59</v>
      </c>
      <c r="M6923">
        <v>69.965000000000003</v>
      </c>
      <c r="N6923">
        <v>6832.5249999999996</v>
      </c>
      <c r="O6923" s="1" t="s">
        <v>225</v>
      </c>
      <c r="P6923" s="1" t="s">
        <v>12149</v>
      </c>
      <c r="Q6923" s="1" t="s">
        <v>12150</v>
      </c>
      <c r="R6923" s="1" t="s">
        <v>391</v>
      </c>
      <c r="S6923" s="1" t="s">
        <v>4320</v>
      </c>
      <c r="T6923" s="1" t="s">
        <v>4321</v>
      </c>
      <c r="U6923" s="2" t="s">
        <v>2230</v>
      </c>
      <c r="V6923" s="2" t="s">
        <v>47</v>
      </c>
      <c r="W6923" s="2" t="s">
        <v>119</v>
      </c>
      <c r="X6923" s="2">
        <v>578.20000000000005</v>
      </c>
    </row>
    <row r="6924" spans="1:24" x14ac:dyDescent="0.3">
      <c r="A6924">
        <v>2474</v>
      </c>
      <c r="B6924" t="s">
        <v>13706</v>
      </c>
      <c r="C6924" s="3">
        <v>41376</v>
      </c>
      <c r="D6924" t="s">
        <v>148</v>
      </c>
      <c r="E6924">
        <v>4</v>
      </c>
      <c r="F6924" s="3">
        <f ca="1">41377+(RANDBETWEEN(1,10))</f>
        <v>41386</v>
      </c>
      <c r="G6924" t="s">
        <v>76</v>
      </c>
      <c r="H6924" t="s">
        <v>77</v>
      </c>
      <c r="I6924" t="s">
        <v>97</v>
      </c>
      <c r="J6924">
        <v>1658.58</v>
      </c>
      <c r="K6924">
        <v>0.01</v>
      </c>
      <c r="L6924">
        <v>0.71</v>
      </c>
      <c r="M6924">
        <v>105</v>
      </c>
      <c r="N6924">
        <v>-641.41</v>
      </c>
      <c r="O6924" s="1" t="s">
        <v>40</v>
      </c>
      <c r="P6924" s="1" t="s">
        <v>13707</v>
      </c>
      <c r="Q6924" s="1" t="s">
        <v>13708</v>
      </c>
      <c r="R6924" s="1" t="s">
        <v>43</v>
      </c>
      <c r="S6924" s="1" t="s">
        <v>44</v>
      </c>
      <c r="T6924" s="1" t="s">
        <v>13709</v>
      </c>
      <c r="U6924" s="2" t="s">
        <v>7057</v>
      </c>
      <c r="V6924" s="2" t="s">
        <v>83</v>
      </c>
      <c r="W6924" s="2" t="s">
        <v>84</v>
      </c>
      <c r="X6924" s="2">
        <v>388.43</v>
      </c>
    </row>
    <row r="6925" spans="1:24" x14ac:dyDescent="0.3">
      <c r="A6925">
        <v>24740</v>
      </c>
      <c r="B6925" t="s">
        <v>13710</v>
      </c>
      <c r="C6925" s="3">
        <v>41882</v>
      </c>
      <c r="D6925" t="s">
        <v>148</v>
      </c>
      <c r="E6925">
        <v>3</v>
      </c>
      <c r="F6925" s="3">
        <f ca="1">41884+(RANDBETWEEN(1,10))</f>
        <v>41894</v>
      </c>
      <c r="G6925" t="s">
        <v>26</v>
      </c>
      <c r="H6925" t="s">
        <v>96</v>
      </c>
      <c r="I6925" t="s">
        <v>28</v>
      </c>
      <c r="J6925">
        <v>31.535</v>
      </c>
      <c r="K6925">
        <v>0.01</v>
      </c>
      <c r="L6925">
        <v>0.45</v>
      </c>
      <c r="M6925">
        <v>4.6900000000000004</v>
      </c>
      <c r="N6925">
        <v>-4.5855600000000001</v>
      </c>
      <c r="O6925" s="1" t="s">
        <v>40</v>
      </c>
      <c r="P6925" s="1" t="s">
        <v>11527</v>
      </c>
      <c r="Q6925" s="1" t="s">
        <v>11528</v>
      </c>
      <c r="R6925" s="1" t="s">
        <v>43</v>
      </c>
      <c r="S6925" s="1" t="s">
        <v>11529</v>
      </c>
      <c r="T6925" s="1" t="s">
        <v>11530</v>
      </c>
      <c r="U6925" s="2" t="s">
        <v>1227</v>
      </c>
      <c r="V6925" s="2" t="s">
        <v>47</v>
      </c>
      <c r="W6925" s="2" t="s">
        <v>104</v>
      </c>
      <c r="X6925" s="2">
        <v>9.73</v>
      </c>
    </row>
    <row r="6926" spans="1:24" x14ac:dyDescent="0.3">
      <c r="A6926">
        <v>24741</v>
      </c>
      <c r="B6926" t="s">
        <v>13711</v>
      </c>
      <c r="C6926" s="3">
        <v>41864</v>
      </c>
      <c r="D6926" t="s">
        <v>39</v>
      </c>
      <c r="E6926">
        <v>6</v>
      </c>
      <c r="F6926" s="3">
        <f ca="1">41865+(RANDBETWEEN(1,10))</f>
        <v>41872</v>
      </c>
      <c r="G6926" t="s">
        <v>26</v>
      </c>
      <c r="H6926" t="s">
        <v>51</v>
      </c>
      <c r="I6926" t="s">
        <v>86</v>
      </c>
      <c r="J6926">
        <v>376.14499999999998</v>
      </c>
      <c r="K6926">
        <v>0.06</v>
      </c>
      <c r="L6926">
        <v>0.45</v>
      </c>
      <c r="M6926">
        <v>6.9649999999999999</v>
      </c>
      <c r="N6926">
        <v>147.553</v>
      </c>
      <c r="O6926" s="1" t="s">
        <v>64</v>
      </c>
      <c r="P6926" s="1" t="s">
        <v>11567</v>
      </c>
      <c r="Q6926" s="1" t="s">
        <v>11568</v>
      </c>
      <c r="R6926" s="1" t="s">
        <v>128</v>
      </c>
      <c r="S6926" s="1" t="s">
        <v>11569</v>
      </c>
      <c r="T6926" s="1" t="s">
        <v>11570</v>
      </c>
      <c r="U6926" s="2" t="s">
        <v>59</v>
      </c>
      <c r="V6926" s="2" t="s">
        <v>36</v>
      </c>
      <c r="W6926" s="2" t="s">
        <v>60</v>
      </c>
      <c r="X6926" s="2">
        <v>61.18</v>
      </c>
    </row>
    <row r="6927" spans="1:24" x14ac:dyDescent="0.3">
      <c r="A6927">
        <v>24742</v>
      </c>
      <c r="B6927" t="s">
        <v>13712</v>
      </c>
      <c r="C6927" s="3">
        <v>41665</v>
      </c>
      <c r="D6927" t="s">
        <v>148</v>
      </c>
      <c r="E6927">
        <v>8</v>
      </c>
      <c r="F6927" s="3">
        <f ca="1">41667+(RANDBETWEEN(1,10))</f>
        <v>41669</v>
      </c>
      <c r="G6927" t="s">
        <v>26</v>
      </c>
      <c r="H6927" t="s">
        <v>51</v>
      </c>
      <c r="I6927" t="s">
        <v>52</v>
      </c>
      <c r="J6927">
        <v>171.11500000000001</v>
      </c>
      <c r="K6927">
        <v>0.05</v>
      </c>
      <c r="L6927">
        <v>0.75</v>
      </c>
      <c r="M6927">
        <v>15.33</v>
      </c>
      <c r="N6927">
        <v>-462.3836</v>
      </c>
      <c r="O6927" s="1" t="s">
        <v>87</v>
      </c>
      <c r="P6927" s="1" t="s">
        <v>12382</v>
      </c>
      <c r="Q6927" s="1" t="s">
        <v>12383</v>
      </c>
      <c r="R6927" s="1" t="s">
        <v>646</v>
      </c>
      <c r="S6927" s="1" t="s">
        <v>12384</v>
      </c>
      <c r="T6927" s="1" t="s">
        <v>3195</v>
      </c>
      <c r="U6927" s="2" t="s">
        <v>1783</v>
      </c>
      <c r="V6927" s="2" t="s">
        <v>36</v>
      </c>
      <c r="W6927" s="2" t="s">
        <v>60</v>
      </c>
      <c r="X6927" s="2">
        <v>20.93</v>
      </c>
    </row>
    <row r="6928" spans="1:24" x14ac:dyDescent="0.3">
      <c r="A6928">
        <v>24743</v>
      </c>
      <c r="B6928" t="s">
        <v>13712</v>
      </c>
      <c r="C6928" s="3">
        <v>41665</v>
      </c>
      <c r="D6928" t="s">
        <v>148</v>
      </c>
      <c r="E6928">
        <v>3</v>
      </c>
      <c r="F6928" s="3">
        <f ca="1">41667+(RANDBETWEEN(1,10))</f>
        <v>41672</v>
      </c>
      <c r="G6928" t="s">
        <v>26</v>
      </c>
      <c r="H6928" t="s">
        <v>51</v>
      </c>
      <c r="I6928" t="s">
        <v>52</v>
      </c>
      <c r="J6928">
        <v>77.069999999999993</v>
      </c>
      <c r="K6928">
        <v>0.04</v>
      </c>
      <c r="L6928">
        <v>0.44</v>
      </c>
      <c r="M6928">
        <v>33.880000000000003</v>
      </c>
      <c r="N6928">
        <v>-299.67700000000002</v>
      </c>
      <c r="O6928" s="1" t="s">
        <v>87</v>
      </c>
      <c r="P6928" s="1" t="s">
        <v>12382</v>
      </c>
      <c r="Q6928" s="1" t="s">
        <v>12383</v>
      </c>
      <c r="R6928" s="1" t="s">
        <v>646</v>
      </c>
      <c r="S6928" s="1" t="s">
        <v>12384</v>
      </c>
      <c r="T6928" s="1" t="s">
        <v>3195</v>
      </c>
      <c r="U6928" s="2" t="s">
        <v>2721</v>
      </c>
      <c r="V6928" s="2" t="s">
        <v>83</v>
      </c>
      <c r="W6928" s="2" t="s">
        <v>178</v>
      </c>
      <c r="X6928" s="2">
        <v>22.68</v>
      </c>
    </row>
    <row r="6929" spans="1:24" x14ac:dyDescent="0.3">
      <c r="A6929">
        <v>24744</v>
      </c>
      <c r="B6929" t="s">
        <v>13713</v>
      </c>
      <c r="C6929" s="3">
        <v>41147</v>
      </c>
      <c r="D6929" t="s">
        <v>39</v>
      </c>
      <c r="E6929">
        <v>19</v>
      </c>
      <c r="F6929" s="3">
        <f ca="1">41148+(RANDBETWEEN(1,10))</f>
        <v>41158</v>
      </c>
      <c r="G6929" t="s">
        <v>26</v>
      </c>
      <c r="H6929" t="s">
        <v>27</v>
      </c>
      <c r="I6929" t="s">
        <v>28</v>
      </c>
      <c r="J6929">
        <v>489.51</v>
      </c>
      <c r="K6929">
        <v>0.09</v>
      </c>
      <c r="L6929">
        <v>0.57999999999999996</v>
      </c>
      <c r="M6929">
        <v>32.305</v>
      </c>
      <c r="N6929">
        <v>-44.933</v>
      </c>
      <c r="O6929" s="1" t="s">
        <v>29</v>
      </c>
      <c r="P6929" s="1" t="s">
        <v>12886</v>
      </c>
      <c r="Q6929" s="1" t="s">
        <v>12887</v>
      </c>
      <c r="R6929" s="1" t="s">
        <v>460</v>
      </c>
      <c r="S6929" s="1" t="s">
        <v>461</v>
      </c>
      <c r="T6929" s="1" t="s">
        <v>462</v>
      </c>
      <c r="U6929" s="2" t="s">
        <v>4333</v>
      </c>
      <c r="V6929" s="2" t="s">
        <v>47</v>
      </c>
      <c r="W6929" s="2" t="s">
        <v>71</v>
      </c>
      <c r="X6929" s="2">
        <v>27.195</v>
      </c>
    </row>
    <row r="6930" spans="1:24" x14ac:dyDescent="0.3">
      <c r="A6930">
        <v>24745</v>
      </c>
      <c r="B6930" t="s">
        <v>13713</v>
      </c>
      <c r="C6930" s="3">
        <v>41147</v>
      </c>
      <c r="D6930" t="s">
        <v>39</v>
      </c>
      <c r="E6930">
        <v>13</v>
      </c>
      <c r="F6930" s="3">
        <f ca="1">41148+(RANDBETWEEN(1,10))</f>
        <v>41151</v>
      </c>
      <c r="G6930" t="s">
        <v>26</v>
      </c>
      <c r="H6930" t="s">
        <v>27</v>
      </c>
      <c r="I6930" t="s">
        <v>28</v>
      </c>
      <c r="J6930">
        <v>647.78</v>
      </c>
      <c r="K6930">
        <v>7.0000000000000007E-2</v>
      </c>
      <c r="L6930">
        <v>0.81</v>
      </c>
      <c r="M6930">
        <v>15.855</v>
      </c>
      <c r="N6930">
        <v>-253.52600000000001</v>
      </c>
      <c r="O6930" s="1" t="s">
        <v>29</v>
      </c>
      <c r="P6930" s="1" t="s">
        <v>12886</v>
      </c>
      <c r="Q6930" s="1" t="s">
        <v>12887</v>
      </c>
      <c r="R6930" s="1" t="s">
        <v>460</v>
      </c>
      <c r="S6930" s="1" t="s">
        <v>461</v>
      </c>
      <c r="T6930" s="1" t="s">
        <v>462</v>
      </c>
      <c r="U6930" s="2" t="s">
        <v>2304</v>
      </c>
      <c r="V6930" s="2" t="s">
        <v>47</v>
      </c>
      <c r="W6930" s="2" t="s">
        <v>119</v>
      </c>
      <c r="X6930" s="2">
        <v>52.99</v>
      </c>
    </row>
    <row r="6931" spans="1:24" x14ac:dyDescent="0.3">
      <c r="A6931">
        <v>24746</v>
      </c>
      <c r="B6931" t="s">
        <v>13714</v>
      </c>
      <c r="C6931" s="3">
        <v>40738</v>
      </c>
      <c r="D6931" t="s">
        <v>50</v>
      </c>
      <c r="E6931">
        <v>14</v>
      </c>
      <c r="F6931" s="3">
        <f ca="1">40739+(RANDBETWEEN(1,10))</f>
        <v>40742</v>
      </c>
      <c r="G6931" t="s">
        <v>26</v>
      </c>
      <c r="H6931" t="s">
        <v>51</v>
      </c>
      <c r="I6931" t="s">
        <v>97</v>
      </c>
      <c r="J6931">
        <v>986.125</v>
      </c>
      <c r="K6931">
        <v>0.1</v>
      </c>
      <c r="L6931">
        <v>0.59</v>
      </c>
      <c r="M6931">
        <v>19.355</v>
      </c>
      <c r="N6931">
        <v>110.565</v>
      </c>
      <c r="O6931" s="1" t="s">
        <v>53</v>
      </c>
      <c r="P6931" s="1" t="s">
        <v>2067</v>
      </c>
      <c r="Q6931" s="1" t="s">
        <v>2068</v>
      </c>
      <c r="R6931" s="1" t="s">
        <v>56</v>
      </c>
      <c r="S6931" s="1" t="s">
        <v>2069</v>
      </c>
      <c r="T6931" s="1" t="s">
        <v>2070</v>
      </c>
      <c r="U6931" s="2" t="s">
        <v>2037</v>
      </c>
      <c r="V6931" s="2" t="s">
        <v>47</v>
      </c>
      <c r="W6931" s="2" t="s">
        <v>104</v>
      </c>
      <c r="X6931" s="2">
        <v>77.034999999999997</v>
      </c>
    </row>
    <row r="6932" spans="1:24" x14ac:dyDescent="0.3">
      <c r="A6932">
        <v>24747</v>
      </c>
      <c r="B6932" t="s">
        <v>13715</v>
      </c>
      <c r="C6932" s="3">
        <v>41834</v>
      </c>
      <c r="D6932" t="s">
        <v>50</v>
      </c>
      <c r="E6932">
        <v>4</v>
      </c>
      <c r="F6932" s="3">
        <f ca="1">41834+(RANDBETWEEN(1,10))</f>
        <v>41838</v>
      </c>
      <c r="G6932" t="s">
        <v>76</v>
      </c>
      <c r="H6932" t="s">
        <v>258</v>
      </c>
      <c r="I6932" t="s">
        <v>97</v>
      </c>
      <c r="J6932">
        <v>2730.5949999999998</v>
      </c>
      <c r="K6932">
        <v>0.04</v>
      </c>
      <c r="L6932">
        <v>0.61</v>
      </c>
      <c r="M6932">
        <v>207.34</v>
      </c>
      <c r="N6932">
        <v>925.95327999999995</v>
      </c>
      <c r="O6932" s="1" t="s">
        <v>53</v>
      </c>
      <c r="P6932" s="1" t="s">
        <v>2067</v>
      </c>
      <c r="Q6932" s="1" t="s">
        <v>2068</v>
      </c>
      <c r="R6932" s="1" t="s">
        <v>56</v>
      </c>
      <c r="S6932" s="1" t="s">
        <v>2069</v>
      </c>
      <c r="T6932" s="1" t="s">
        <v>2070</v>
      </c>
      <c r="U6932" s="2" t="s">
        <v>8709</v>
      </c>
      <c r="V6932" s="2" t="s">
        <v>83</v>
      </c>
      <c r="W6932" s="2" t="s">
        <v>263</v>
      </c>
      <c r="X6932" s="2">
        <v>829.39499999999998</v>
      </c>
    </row>
    <row r="6933" spans="1:24" x14ac:dyDescent="0.3">
      <c r="A6933">
        <v>24748</v>
      </c>
      <c r="B6933" t="s">
        <v>13716</v>
      </c>
      <c r="C6933" s="3">
        <v>40633</v>
      </c>
      <c r="D6933" t="s">
        <v>62</v>
      </c>
      <c r="E6933">
        <v>2</v>
      </c>
      <c r="F6933" s="3">
        <f ca="1">40634+(RANDBETWEEN(1,10))</f>
        <v>40640</v>
      </c>
      <c r="G6933" t="s">
        <v>156</v>
      </c>
      <c r="H6933" t="s">
        <v>281</v>
      </c>
      <c r="I6933" t="s">
        <v>97</v>
      </c>
      <c r="J6933">
        <v>136.43</v>
      </c>
      <c r="K6933">
        <v>0.09</v>
      </c>
      <c r="L6933">
        <v>0.57999999999999996</v>
      </c>
      <c r="M6933">
        <v>16.835000000000001</v>
      </c>
      <c r="N6933">
        <v>954.42899999999997</v>
      </c>
      <c r="O6933" s="1" t="s">
        <v>40</v>
      </c>
      <c r="P6933" s="1" t="s">
        <v>9658</v>
      </c>
      <c r="Q6933" s="1" t="s">
        <v>9659</v>
      </c>
      <c r="R6933" s="1" t="s">
        <v>43</v>
      </c>
      <c r="S6933" s="1" t="s">
        <v>2030</v>
      </c>
      <c r="T6933" s="1" t="s">
        <v>2031</v>
      </c>
      <c r="U6933" s="2" t="s">
        <v>1890</v>
      </c>
      <c r="V6933" s="2" t="s">
        <v>36</v>
      </c>
      <c r="W6933" s="2" t="s">
        <v>37</v>
      </c>
      <c r="X6933" s="2">
        <v>73.465000000000003</v>
      </c>
    </row>
    <row r="6934" spans="1:24" x14ac:dyDescent="0.3">
      <c r="A6934">
        <v>24749</v>
      </c>
      <c r="B6934" t="s">
        <v>13717</v>
      </c>
      <c r="C6934" s="3">
        <v>41819</v>
      </c>
      <c r="D6934" t="s">
        <v>25</v>
      </c>
      <c r="E6934">
        <v>12</v>
      </c>
      <c r="F6934" s="3">
        <f ca="1">41821+(RANDBETWEEN(1,10))</f>
        <v>41828</v>
      </c>
      <c r="G6934" t="s">
        <v>156</v>
      </c>
      <c r="H6934" t="s">
        <v>27</v>
      </c>
      <c r="I6934" t="s">
        <v>86</v>
      </c>
      <c r="J6934">
        <v>4375.665</v>
      </c>
      <c r="K6934">
        <v>0.05</v>
      </c>
      <c r="L6934">
        <v>0.59</v>
      </c>
      <c r="M6934">
        <v>10.5</v>
      </c>
      <c r="N6934">
        <v>2919.2561999999998</v>
      </c>
      <c r="O6934" s="1" t="s">
        <v>87</v>
      </c>
      <c r="P6934" s="1" t="s">
        <v>4608</v>
      </c>
      <c r="Q6934" s="1" t="s">
        <v>4609</v>
      </c>
      <c r="R6934" s="1" t="s">
        <v>497</v>
      </c>
      <c r="S6934" s="1" t="s">
        <v>4610</v>
      </c>
      <c r="T6934" s="1" t="s">
        <v>4611</v>
      </c>
      <c r="U6934" s="2" t="s">
        <v>1744</v>
      </c>
      <c r="V6934" s="2" t="s">
        <v>36</v>
      </c>
      <c r="W6934" s="2" t="s">
        <v>37</v>
      </c>
      <c r="X6934" s="2">
        <v>440.96499999999997</v>
      </c>
    </row>
    <row r="6935" spans="1:24" x14ac:dyDescent="0.3">
      <c r="A6935">
        <v>2475</v>
      </c>
      <c r="B6935" t="s">
        <v>13706</v>
      </c>
      <c r="C6935" s="3">
        <v>41376</v>
      </c>
      <c r="D6935" t="s">
        <v>148</v>
      </c>
      <c r="E6935">
        <v>56</v>
      </c>
      <c r="F6935" s="3">
        <f ca="1">41378+(RANDBETWEEN(1,10))</f>
        <v>41379</v>
      </c>
      <c r="G6935" t="s">
        <v>26</v>
      </c>
      <c r="H6935" t="s">
        <v>51</v>
      </c>
      <c r="I6935" t="s">
        <v>97</v>
      </c>
      <c r="J6935">
        <v>3328.1849999999999</v>
      </c>
      <c r="K6935">
        <v>7.0000000000000007E-2</v>
      </c>
      <c r="L6935">
        <v>0.81</v>
      </c>
      <c r="M6935">
        <v>11.55</v>
      </c>
      <c r="N6935">
        <v>-466.58150000000001</v>
      </c>
      <c r="O6935" s="1" t="s">
        <v>40</v>
      </c>
      <c r="P6935" s="1" t="s">
        <v>13707</v>
      </c>
      <c r="Q6935" s="1" t="s">
        <v>13708</v>
      </c>
      <c r="R6935" s="1" t="s">
        <v>43</v>
      </c>
      <c r="S6935" s="1" t="s">
        <v>44</v>
      </c>
      <c r="T6935" s="1" t="s">
        <v>13709</v>
      </c>
      <c r="U6935" s="2" t="s">
        <v>2224</v>
      </c>
      <c r="V6935" s="2" t="s">
        <v>36</v>
      </c>
      <c r="W6935" s="2" t="s">
        <v>37</v>
      </c>
      <c r="X6935" s="2">
        <v>73.465000000000003</v>
      </c>
    </row>
    <row r="6936" spans="1:24" x14ac:dyDescent="0.3">
      <c r="A6936">
        <v>24750</v>
      </c>
      <c r="B6936" t="s">
        <v>13717</v>
      </c>
      <c r="C6936" s="3">
        <v>41819</v>
      </c>
      <c r="D6936" t="s">
        <v>25</v>
      </c>
      <c r="E6936">
        <v>9</v>
      </c>
      <c r="F6936" s="3">
        <f ca="1">41819+(RANDBETWEEN(1,10))</f>
        <v>41828</v>
      </c>
      <c r="G6936" t="s">
        <v>156</v>
      </c>
      <c r="H6936" t="s">
        <v>27</v>
      </c>
      <c r="I6936" t="s">
        <v>86</v>
      </c>
      <c r="J6936">
        <v>5264.35</v>
      </c>
      <c r="K6936">
        <v>0</v>
      </c>
      <c r="L6936">
        <v>0.6</v>
      </c>
      <c r="M6936">
        <v>31.465</v>
      </c>
      <c r="N6936">
        <v>2648.9484000000002</v>
      </c>
      <c r="O6936" s="1" t="s">
        <v>87</v>
      </c>
      <c r="P6936" s="1" t="s">
        <v>4608</v>
      </c>
      <c r="Q6936" s="1" t="s">
        <v>4609</v>
      </c>
      <c r="R6936" s="1" t="s">
        <v>497</v>
      </c>
      <c r="S6936" s="1" t="s">
        <v>4610</v>
      </c>
      <c r="T6936" s="1" t="s">
        <v>4611</v>
      </c>
      <c r="U6936" s="2" t="s">
        <v>1123</v>
      </c>
      <c r="V6936" s="2" t="s">
        <v>36</v>
      </c>
      <c r="W6936" s="2" t="s">
        <v>37</v>
      </c>
      <c r="X6936" s="2">
        <v>685.96500000000003</v>
      </c>
    </row>
    <row r="6937" spans="1:24" x14ac:dyDescent="0.3">
      <c r="A6937">
        <v>24751</v>
      </c>
      <c r="B6937" t="s">
        <v>13718</v>
      </c>
      <c r="C6937" s="3">
        <v>41336</v>
      </c>
      <c r="D6937" t="s">
        <v>25</v>
      </c>
      <c r="E6937">
        <v>1</v>
      </c>
      <c r="F6937" s="3">
        <f ca="1">41345+(RANDBETWEEN(1,10))</f>
        <v>41353</v>
      </c>
      <c r="G6937" t="s">
        <v>156</v>
      </c>
      <c r="H6937" t="s">
        <v>51</v>
      </c>
      <c r="I6937" t="s">
        <v>97</v>
      </c>
      <c r="J6937">
        <v>79.59</v>
      </c>
      <c r="K6937">
        <v>0.03</v>
      </c>
      <c r="L6937">
        <v>0.48</v>
      </c>
      <c r="M6937">
        <v>17.43</v>
      </c>
      <c r="N6937">
        <v>-47.564999999999998</v>
      </c>
      <c r="O6937" s="1" t="s">
        <v>64</v>
      </c>
      <c r="P6937" s="1" t="s">
        <v>13719</v>
      </c>
      <c r="Q6937" s="1" t="s">
        <v>13720</v>
      </c>
      <c r="R6937" s="1" t="s">
        <v>128</v>
      </c>
      <c r="S6937" s="1" t="s">
        <v>6481</v>
      </c>
      <c r="T6937" s="1" t="s">
        <v>6482</v>
      </c>
      <c r="U6937" s="2" t="s">
        <v>430</v>
      </c>
      <c r="V6937" s="2" t="s">
        <v>83</v>
      </c>
      <c r="W6937" s="2" t="s">
        <v>178</v>
      </c>
      <c r="X6937" s="2">
        <v>44.24</v>
      </c>
    </row>
    <row r="6938" spans="1:24" x14ac:dyDescent="0.3">
      <c r="A6938">
        <v>24752</v>
      </c>
      <c r="B6938" t="s">
        <v>13721</v>
      </c>
      <c r="C6938" s="3">
        <v>40706</v>
      </c>
      <c r="D6938" t="s">
        <v>39</v>
      </c>
      <c r="E6938">
        <v>1</v>
      </c>
      <c r="F6938" s="3">
        <f ca="1">40707+(RANDBETWEEN(1,10))</f>
        <v>40712</v>
      </c>
      <c r="G6938" t="s">
        <v>156</v>
      </c>
      <c r="H6938" t="s">
        <v>27</v>
      </c>
      <c r="I6938" t="s">
        <v>97</v>
      </c>
      <c r="J6938">
        <v>39.935000000000002</v>
      </c>
      <c r="K6938">
        <v>0.02</v>
      </c>
      <c r="L6938">
        <v>0.37</v>
      </c>
      <c r="M6938">
        <v>27.51</v>
      </c>
      <c r="N6938">
        <v>389.27699999999999</v>
      </c>
      <c r="O6938" s="1" t="s">
        <v>53</v>
      </c>
      <c r="P6938" s="1" t="s">
        <v>13586</v>
      </c>
      <c r="Q6938" s="1" t="s">
        <v>13587</v>
      </c>
      <c r="R6938" s="1" t="s">
        <v>56</v>
      </c>
      <c r="S6938" s="1" t="s">
        <v>13588</v>
      </c>
      <c r="T6938" s="1" t="s">
        <v>13589</v>
      </c>
      <c r="U6938" s="2" t="s">
        <v>2667</v>
      </c>
      <c r="V6938" s="2" t="s">
        <v>47</v>
      </c>
      <c r="W6938" s="2" t="s">
        <v>74</v>
      </c>
      <c r="X6938" s="2">
        <v>22.68</v>
      </c>
    </row>
    <row r="6939" spans="1:24" x14ac:dyDescent="0.3">
      <c r="A6939">
        <v>24753</v>
      </c>
      <c r="B6939" t="s">
        <v>13722</v>
      </c>
      <c r="C6939" s="3">
        <v>41802</v>
      </c>
      <c r="D6939" t="s">
        <v>39</v>
      </c>
      <c r="E6939">
        <v>8</v>
      </c>
      <c r="F6939" s="3">
        <f ca="1">41804+(RANDBETWEEN(1,10))</f>
        <v>41813</v>
      </c>
      <c r="G6939" t="s">
        <v>26</v>
      </c>
      <c r="H6939" t="s">
        <v>27</v>
      </c>
      <c r="I6939" t="s">
        <v>97</v>
      </c>
      <c r="J6939">
        <v>487.86500000000001</v>
      </c>
      <c r="K6939">
        <v>0.03</v>
      </c>
      <c r="L6939">
        <v>0.38</v>
      </c>
      <c r="M6939">
        <v>28.454999999999998</v>
      </c>
      <c r="N6939">
        <v>-223.636</v>
      </c>
      <c r="O6939" s="1" t="s">
        <v>29</v>
      </c>
      <c r="P6939" s="1" t="s">
        <v>13723</v>
      </c>
      <c r="Q6939" s="1" t="s">
        <v>13724</v>
      </c>
      <c r="R6939" s="1" t="s">
        <v>32</v>
      </c>
      <c r="S6939" s="1" t="s">
        <v>13725</v>
      </c>
      <c r="T6939" s="1" t="s">
        <v>11298</v>
      </c>
      <c r="U6939" s="2" t="s">
        <v>8130</v>
      </c>
      <c r="V6939" s="2" t="s">
        <v>47</v>
      </c>
      <c r="W6939" s="2" t="s">
        <v>48</v>
      </c>
      <c r="X6939" s="2">
        <v>59.744999999999997</v>
      </c>
    </row>
    <row r="6940" spans="1:24" x14ac:dyDescent="0.3">
      <c r="A6940">
        <v>24754</v>
      </c>
      <c r="B6940" t="s">
        <v>13726</v>
      </c>
      <c r="C6940" s="3">
        <v>41529</v>
      </c>
      <c r="D6940" t="s">
        <v>39</v>
      </c>
      <c r="E6940">
        <v>2</v>
      </c>
      <c r="F6940" s="3">
        <f ca="1">41531+(RANDBETWEEN(1,10))</f>
        <v>41532</v>
      </c>
      <c r="G6940" t="s">
        <v>26</v>
      </c>
      <c r="H6940" t="s">
        <v>27</v>
      </c>
      <c r="I6940" t="s">
        <v>97</v>
      </c>
      <c r="J6940">
        <v>190.54</v>
      </c>
      <c r="K6940">
        <v>0.05</v>
      </c>
      <c r="L6940">
        <v>0.39</v>
      </c>
      <c r="M6940">
        <v>59.045000000000002</v>
      </c>
      <c r="N6940">
        <v>-139.72</v>
      </c>
      <c r="O6940" s="1" t="s">
        <v>87</v>
      </c>
      <c r="P6940" s="1" t="s">
        <v>9167</v>
      </c>
      <c r="Q6940" s="1" t="s">
        <v>9168</v>
      </c>
      <c r="R6940" s="1" t="s">
        <v>398</v>
      </c>
      <c r="S6940" s="1" t="s">
        <v>9169</v>
      </c>
      <c r="T6940" s="1" t="s">
        <v>9170</v>
      </c>
      <c r="U6940" s="2" t="s">
        <v>6800</v>
      </c>
      <c r="V6940" s="2" t="s">
        <v>47</v>
      </c>
      <c r="W6940" s="2" t="s">
        <v>74</v>
      </c>
      <c r="X6940" s="2">
        <v>79.94</v>
      </c>
    </row>
    <row r="6941" spans="1:24" x14ac:dyDescent="0.3">
      <c r="A6941">
        <v>24755</v>
      </c>
      <c r="B6941" t="s">
        <v>13727</v>
      </c>
      <c r="C6941" s="3">
        <v>41740</v>
      </c>
      <c r="D6941" t="s">
        <v>148</v>
      </c>
      <c r="E6941">
        <v>1</v>
      </c>
      <c r="F6941" s="3">
        <f ca="1">41741+(RANDBETWEEN(1,10))</f>
        <v>41748</v>
      </c>
      <c r="G6941" t="s">
        <v>156</v>
      </c>
      <c r="H6941" t="s">
        <v>63</v>
      </c>
      <c r="I6941" t="s">
        <v>52</v>
      </c>
      <c r="J6941">
        <v>1820.3150000000001</v>
      </c>
      <c r="K6941">
        <v>0.03</v>
      </c>
      <c r="L6941">
        <v>0.36</v>
      </c>
      <c r="M6941">
        <v>85.715000000000003</v>
      </c>
      <c r="N6941">
        <v>745.41600000000005</v>
      </c>
      <c r="O6941" s="1" t="s">
        <v>40</v>
      </c>
      <c r="P6941" s="1" t="s">
        <v>5271</v>
      </c>
      <c r="Q6941" s="1" t="s">
        <v>5272</v>
      </c>
      <c r="R6941" s="1" t="s">
        <v>43</v>
      </c>
      <c r="S6941" s="1" t="s">
        <v>2055</v>
      </c>
      <c r="T6941" s="1" t="s">
        <v>2056</v>
      </c>
      <c r="U6941" s="2" t="s">
        <v>3414</v>
      </c>
      <c r="V6941" s="2" t="s">
        <v>36</v>
      </c>
      <c r="W6941" s="2" t="s">
        <v>1327</v>
      </c>
      <c r="X6941" s="2">
        <v>1749.9649999999999</v>
      </c>
    </row>
    <row r="6942" spans="1:24" x14ac:dyDescent="0.3">
      <c r="A6942">
        <v>24756</v>
      </c>
      <c r="B6942" t="s">
        <v>13728</v>
      </c>
      <c r="C6942" s="3">
        <v>40652</v>
      </c>
      <c r="D6942" t="s">
        <v>39</v>
      </c>
      <c r="E6942">
        <v>5</v>
      </c>
      <c r="F6942" s="3">
        <f ca="1">40654+(RANDBETWEEN(1,10))</f>
        <v>40664</v>
      </c>
      <c r="G6942" t="s">
        <v>156</v>
      </c>
      <c r="H6942" t="s">
        <v>63</v>
      </c>
      <c r="I6942" t="s">
        <v>97</v>
      </c>
      <c r="J6942">
        <v>3465.875</v>
      </c>
      <c r="K6942">
        <v>0.09</v>
      </c>
      <c r="L6942">
        <v>0.46</v>
      </c>
      <c r="M6942">
        <v>85.715000000000003</v>
      </c>
      <c r="N6942">
        <v>2209.6550000000002</v>
      </c>
      <c r="O6942" s="1" t="s">
        <v>40</v>
      </c>
      <c r="P6942" s="1" t="s">
        <v>13729</v>
      </c>
      <c r="Q6942" s="1" t="s">
        <v>13730</v>
      </c>
      <c r="R6942" s="1" t="s">
        <v>43</v>
      </c>
      <c r="S6942" s="1" t="s">
        <v>13731</v>
      </c>
      <c r="T6942" s="1" t="s">
        <v>13732</v>
      </c>
      <c r="U6942" s="2" t="s">
        <v>7870</v>
      </c>
      <c r="V6942" s="2" t="s">
        <v>36</v>
      </c>
      <c r="W6942" s="2" t="s">
        <v>1327</v>
      </c>
      <c r="X6942" s="2">
        <v>699.96500000000003</v>
      </c>
    </row>
    <row r="6943" spans="1:24" x14ac:dyDescent="0.3">
      <c r="A6943">
        <v>24757</v>
      </c>
      <c r="B6943" t="s">
        <v>13733</v>
      </c>
      <c r="C6943" s="3">
        <v>41748</v>
      </c>
      <c r="D6943" t="s">
        <v>39</v>
      </c>
      <c r="E6943">
        <v>10</v>
      </c>
      <c r="F6943" s="3">
        <f ca="1">41748+(RANDBETWEEN(1,10))</f>
        <v>41757</v>
      </c>
      <c r="G6943" t="s">
        <v>26</v>
      </c>
      <c r="H6943" t="s">
        <v>51</v>
      </c>
      <c r="I6943" t="s">
        <v>97</v>
      </c>
      <c r="J6943">
        <v>656.39</v>
      </c>
      <c r="K6943">
        <v>0.02</v>
      </c>
      <c r="L6943">
        <v>0.47</v>
      </c>
      <c r="M6943">
        <v>31.465</v>
      </c>
      <c r="N6943">
        <v>-94.668000000000006</v>
      </c>
      <c r="O6943" s="1" t="s">
        <v>40</v>
      </c>
      <c r="P6943" s="1" t="s">
        <v>9302</v>
      </c>
      <c r="Q6943" s="1" t="s">
        <v>9303</v>
      </c>
      <c r="R6943" s="1" t="s">
        <v>43</v>
      </c>
      <c r="S6943" s="1" t="s">
        <v>9304</v>
      </c>
      <c r="T6943" s="1" t="s">
        <v>9305</v>
      </c>
      <c r="U6943" s="2" t="s">
        <v>1320</v>
      </c>
      <c r="V6943" s="2" t="s">
        <v>83</v>
      </c>
      <c r="W6943" s="2" t="s">
        <v>178</v>
      </c>
      <c r="X6943" s="2">
        <v>61.844999999999999</v>
      </c>
    </row>
    <row r="6944" spans="1:24" x14ac:dyDescent="0.3">
      <c r="A6944">
        <v>24758</v>
      </c>
      <c r="B6944" t="s">
        <v>13734</v>
      </c>
      <c r="C6944" s="3">
        <v>41417</v>
      </c>
      <c r="D6944" t="s">
        <v>50</v>
      </c>
      <c r="E6944">
        <v>6</v>
      </c>
      <c r="F6944" s="3">
        <f ca="1">41419+(RANDBETWEEN(1,10))</f>
        <v>41429</v>
      </c>
      <c r="G6944" t="s">
        <v>26</v>
      </c>
      <c r="H6944" t="s">
        <v>27</v>
      </c>
      <c r="I6944" t="s">
        <v>97</v>
      </c>
      <c r="J6944">
        <v>183.33</v>
      </c>
      <c r="K6944">
        <v>0.01</v>
      </c>
      <c r="L6944">
        <v>0.57999999999999996</v>
      </c>
      <c r="M6944">
        <v>32.305</v>
      </c>
      <c r="N6944">
        <v>-334.74</v>
      </c>
      <c r="O6944" s="1" t="s">
        <v>29</v>
      </c>
      <c r="P6944" s="1" t="s">
        <v>13735</v>
      </c>
      <c r="Q6944" s="1" t="s">
        <v>2879</v>
      </c>
      <c r="R6944" s="1" t="s">
        <v>32</v>
      </c>
      <c r="S6944" s="1" t="s">
        <v>13736</v>
      </c>
      <c r="T6944" s="1" t="s">
        <v>13737</v>
      </c>
      <c r="U6944" s="2" t="s">
        <v>4333</v>
      </c>
      <c r="V6944" s="2" t="s">
        <v>47</v>
      </c>
      <c r="W6944" s="2" t="s">
        <v>71</v>
      </c>
      <c r="X6944" s="2">
        <v>27.195</v>
      </c>
    </row>
    <row r="6945" spans="1:24" x14ac:dyDescent="0.3">
      <c r="A6945">
        <v>24759</v>
      </c>
      <c r="B6945" t="s">
        <v>13734</v>
      </c>
      <c r="C6945" s="3">
        <v>41417</v>
      </c>
      <c r="D6945" t="s">
        <v>50</v>
      </c>
      <c r="E6945">
        <v>15</v>
      </c>
      <c r="F6945" s="3">
        <f ca="1">41418+(RANDBETWEEN(1,10))</f>
        <v>41426</v>
      </c>
      <c r="G6945" t="s">
        <v>26</v>
      </c>
      <c r="H6945" t="s">
        <v>27</v>
      </c>
      <c r="I6945" t="s">
        <v>97</v>
      </c>
      <c r="J6945">
        <v>8118.0749999999998</v>
      </c>
      <c r="K6945">
        <v>0.09</v>
      </c>
      <c r="L6945">
        <v>0.57999999999999996</v>
      </c>
      <c r="M6945">
        <v>31.465</v>
      </c>
      <c r="N6945">
        <v>4192.4925000000003</v>
      </c>
      <c r="O6945" s="1" t="s">
        <v>29</v>
      </c>
      <c r="P6945" s="1" t="s">
        <v>13735</v>
      </c>
      <c r="Q6945" s="1" t="s">
        <v>2879</v>
      </c>
      <c r="R6945" s="1" t="s">
        <v>32</v>
      </c>
      <c r="S6945" s="1" t="s">
        <v>13736</v>
      </c>
      <c r="T6945" s="1" t="s">
        <v>13737</v>
      </c>
      <c r="U6945" s="2" t="s">
        <v>5032</v>
      </c>
      <c r="V6945" s="2" t="s">
        <v>36</v>
      </c>
      <c r="W6945" s="2" t="s">
        <v>37</v>
      </c>
      <c r="X6945" s="2">
        <v>685.96500000000003</v>
      </c>
    </row>
    <row r="6946" spans="1:24" x14ac:dyDescent="0.3">
      <c r="A6946">
        <v>24760</v>
      </c>
      <c r="B6946" t="s">
        <v>13738</v>
      </c>
      <c r="C6946" s="3">
        <v>41576</v>
      </c>
      <c r="D6946" t="s">
        <v>39</v>
      </c>
      <c r="E6946">
        <v>16</v>
      </c>
      <c r="F6946" s="3">
        <f ca="1">41578+(RANDBETWEEN(1,10))</f>
        <v>41585</v>
      </c>
      <c r="G6946" t="s">
        <v>26</v>
      </c>
      <c r="H6946" t="s">
        <v>96</v>
      </c>
      <c r="I6946" t="s">
        <v>86</v>
      </c>
      <c r="J6946">
        <v>160.16</v>
      </c>
      <c r="K6946">
        <v>7.0000000000000007E-2</v>
      </c>
      <c r="L6946">
        <v>0.56000000000000005</v>
      </c>
      <c r="M6946">
        <v>2.4500000000000002</v>
      </c>
      <c r="N6946">
        <v>39.638199999999998</v>
      </c>
      <c r="O6946" s="1" t="s">
        <v>40</v>
      </c>
      <c r="P6946" s="1" t="s">
        <v>11421</v>
      </c>
      <c r="Q6946" s="1" t="s">
        <v>11422</v>
      </c>
      <c r="R6946" s="1" t="s">
        <v>220</v>
      </c>
      <c r="S6946" s="1" t="s">
        <v>3354</v>
      </c>
      <c r="T6946" s="1" t="s">
        <v>7424</v>
      </c>
      <c r="U6946" s="2" t="s">
        <v>443</v>
      </c>
      <c r="V6946" s="2" t="s">
        <v>47</v>
      </c>
      <c r="W6946" s="2" t="s">
        <v>104</v>
      </c>
      <c r="X6946" s="2">
        <v>10.08</v>
      </c>
    </row>
    <row r="6947" spans="1:24" x14ac:dyDescent="0.3">
      <c r="A6947">
        <v>24761</v>
      </c>
      <c r="B6947" t="s">
        <v>13739</v>
      </c>
      <c r="C6947" s="3">
        <v>41218</v>
      </c>
      <c r="D6947" t="s">
        <v>39</v>
      </c>
      <c r="E6947">
        <v>24</v>
      </c>
      <c r="F6947" s="3">
        <f ca="1">41220+(RANDBETWEEN(1,10))</f>
        <v>41226</v>
      </c>
      <c r="G6947" t="s">
        <v>26</v>
      </c>
      <c r="H6947" t="s">
        <v>27</v>
      </c>
      <c r="I6947" t="s">
        <v>86</v>
      </c>
      <c r="J6947">
        <v>599.83000000000004</v>
      </c>
      <c r="K6947">
        <v>0.01</v>
      </c>
      <c r="L6947">
        <v>0.37</v>
      </c>
      <c r="M6947">
        <v>33.39</v>
      </c>
      <c r="N6947">
        <v>103.089</v>
      </c>
      <c r="O6947" s="1" t="s">
        <v>40</v>
      </c>
      <c r="P6947" s="1" t="s">
        <v>7663</v>
      </c>
      <c r="Q6947" s="1" t="s">
        <v>7664</v>
      </c>
      <c r="R6947" s="1" t="s">
        <v>43</v>
      </c>
      <c r="S6947" s="1" t="s">
        <v>7665</v>
      </c>
      <c r="T6947" s="1" t="s">
        <v>7666</v>
      </c>
      <c r="U6947" s="2" t="s">
        <v>272</v>
      </c>
      <c r="V6947" s="2" t="s">
        <v>47</v>
      </c>
      <c r="W6947" s="2" t="s">
        <v>74</v>
      </c>
      <c r="X6947" s="2">
        <v>22.68</v>
      </c>
    </row>
    <row r="6948" spans="1:24" x14ac:dyDescent="0.3">
      <c r="A6948">
        <v>24762</v>
      </c>
      <c r="B6948" t="s">
        <v>13740</v>
      </c>
      <c r="C6948" s="3">
        <v>41888</v>
      </c>
      <c r="D6948" t="s">
        <v>62</v>
      </c>
      <c r="E6948">
        <v>23</v>
      </c>
      <c r="F6948" s="3">
        <f ca="1">41891+(RANDBETWEEN(1,10))</f>
        <v>41897</v>
      </c>
      <c r="G6948" t="s">
        <v>76</v>
      </c>
      <c r="H6948" t="s">
        <v>77</v>
      </c>
      <c r="I6948" t="s">
        <v>28</v>
      </c>
      <c r="J6948">
        <v>9438.0650000000005</v>
      </c>
      <c r="K6948">
        <v>0.06</v>
      </c>
      <c r="L6948">
        <v>0.74</v>
      </c>
      <c r="M6948">
        <v>245.7</v>
      </c>
      <c r="N6948">
        <v>-6880.0451999999996</v>
      </c>
      <c r="O6948" s="1" t="s">
        <v>53</v>
      </c>
      <c r="P6948" s="1" t="s">
        <v>7739</v>
      </c>
      <c r="Q6948" s="1" t="s">
        <v>7740</v>
      </c>
      <c r="R6948" s="1" t="s">
        <v>440</v>
      </c>
      <c r="S6948" s="1" t="s">
        <v>2835</v>
      </c>
      <c r="T6948" s="1" t="s">
        <v>2836</v>
      </c>
      <c r="U6948" s="2" t="s">
        <v>358</v>
      </c>
      <c r="V6948" s="2" t="s">
        <v>83</v>
      </c>
      <c r="W6948" s="2" t="s">
        <v>84</v>
      </c>
      <c r="X6948" s="2">
        <v>430.46499999999997</v>
      </c>
    </row>
    <row r="6949" spans="1:24" x14ac:dyDescent="0.3">
      <c r="A6949">
        <v>24763</v>
      </c>
      <c r="B6949" t="s">
        <v>13741</v>
      </c>
      <c r="C6949" s="3">
        <v>40792</v>
      </c>
      <c r="D6949" t="s">
        <v>62</v>
      </c>
      <c r="E6949">
        <v>20</v>
      </c>
      <c r="F6949" s="3">
        <f ca="1">40793+(RANDBETWEEN(1,10))</f>
        <v>40800</v>
      </c>
      <c r="G6949" t="s">
        <v>26</v>
      </c>
      <c r="H6949" t="s">
        <v>27</v>
      </c>
      <c r="I6949" t="s">
        <v>28</v>
      </c>
      <c r="J6949">
        <v>440.19499999999999</v>
      </c>
      <c r="K6949">
        <v>0.06</v>
      </c>
      <c r="L6949">
        <v>0.37</v>
      </c>
      <c r="M6949">
        <v>31.08</v>
      </c>
      <c r="N6949">
        <v>-831.14499999999998</v>
      </c>
      <c r="O6949" s="1" t="s">
        <v>53</v>
      </c>
      <c r="P6949" s="1" t="s">
        <v>7739</v>
      </c>
      <c r="Q6949" s="1" t="s">
        <v>7740</v>
      </c>
      <c r="R6949" s="1" t="s">
        <v>440</v>
      </c>
      <c r="S6949" s="1" t="s">
        <v>2835</v>
      </c>
      <c r="T6949" s="1" t="s">
        <v>2836</v>
      </c>
      <c r="U6949" s="2" t="s">
        <v>2179</v>
      </c>
      <c r="V6949" s="2" t="s">
        <v>47</v>
      </c>
      <c r="W6949" s="2" t="s">
        <v>74</v>
      </c>
      <c r="X6949" s="2">
        <v>22.68</v>
      </c>
    </row>
    <row r="6950" spans="1:24" x14ac:dyDescent="0.3">
      <c r="A6950">
        <v>24764</v>
      </c>
      <c r="B6950" t="s">
        <v>13741</v>
      </c>
      <c r="C6950" s="3">
        <v>40792</v>
      </c>
      <c r="D6950" t="s">
        <v>62</v>
      </c>
      <c r="E6950">
        <v>12</v>
      </c>
      <c r="F6950" s="3">
        <f ca="1">40793+(RANDBETWEEN(1,10))</f>
        <v>40797</v>
      </c>
      <c r="G6950" t="s">
        <v>76</v>
      </c>
      <c r="H6950" t="s">
        <v>77</v>
      </c>
      <c r="I6950" t="s">
        <v>28</v>
      </c>
      <c r="J6950">
        <v>13716.43</v>
      </c>
      <c r="K6950">
        <v>0.09</v>
      </c>
      <c r="L6950" t="s">
        <v>182</v>
      </c>
      <c r="M6950">
        <v>210</v>
      </c>
      <c r="N6950">
        <v>-10311.1785</v>
      </c>
      <c r="O6950" s="1" t="s">
        <v>53</v>
      </c>
      <c r="P6950" s="1" t="s">
        <v>7739</v>
      </c>
      <c r="Q6950" s="1" t="s">
        <v>7740</v>
      </c>
      <c r="R6950" s="1" t="s">
        <v>440</v>
      </c>
      <c r="S6950" s="1" t="s">
        <v>2835</v>
      </c>
      <c r="T6950" s="1" t="s">
        <v>2836</v>
      </c>
      <c r="U6950" s="2" t="s">
        <v>3108</v>
      </c>
      <c r="V6950" s="2" t="s">
        <v>83</v>
      </c>
      <c r="W6950" s="2" t="s">
        <v>263</v>
      </c>
      <c r="X6950" s="2">
        <v>1223.075</v>
      </c>
    </row>
    <row r="6951" spans="1:24" x14ac:dyDescent="0.3">
      <c r="A6951">
        <v>24765</v>
      </c>
      <c r="B6951" t="s">
        <v>13742</v>
      </c>
      <c r="C6951" s="3">
        <v>41989</v>
      </c>
      <c r="D6951" t="s">
        <v>62</v>
      </c>
      <c r="E6951">
        <v>8</v>
      </c>
      <c r="F6951" s="3">
        <f ca="1">41990+(RANDBETWEEN(1,10))</f>
        <v>41994</v>
      </c>
      <c r="G6951" t="s">
        <v>76</v>
      </c>
      <c r="H6951" t="s">
        <v>258</v>
      </c>
      <c r="I6951" t="s">
        <v>52</v>
      </c>
      <c r="J6951">
        <v>4251.66</v>
      </c>
      <c r="K6951">
        <v>0</v>
      </c>
      <c r="L6951">
        <v>0.77</v>
      </c>
      <c r="M6951">
        <v>126.315</v>
      </c>
      <c r="N6951">
        <v>-204.57696000000001</v>
      </c>
      <c r="O6951" s="1" t="s">
        <v>87</v>
      </c>
      <c r="P6951" s="1" t="s">
        <v>6029</v>
      </c>
      <c r="Q6951" s="1" t="s">
        <v>6030</v>
      </c>
      <c r="R6951" s="1" t="s">
        <v>497</v>
      </c>
      <c r="S6951" s="1" t="s">
        <v>1859</v>
      </c>
      <c r="T6951" s="1" t="s">
        <v>1860</v>
      </c>
      <c r="U6951" s="2" t="s">
        <v>3136</v>
      </c>
      <c r="V6951" s="2" t="s">
        <v>83</v>
      </c>
      <c r="W6951" s="2" t="s">
        <v>298</v>
      </c>
      <c r="X6951" s="2">
        <v>493.43</v>
      </c>
    </row>
    <row r="6952" spans="1:24" x14ac:dyDescent="0.3">
      <c r="A6952">
        <v>24766</v>
      </c>
      <c r="B6952" t="s">
        <v>13743</v>
      </c>
      <c r="C6952" s="3">
        <v>41240</v>
      </c>
      <c r="D6952" t="s">
        <v>50</v>
      </c>
      <c r="E6952">
        <v>30</v>
      </c>
      <c r="F6952" s="3">
        <f ca="1">41241+(RANDBETWEEN(1,10))</f>
        <v>41247</v>
      </c>
      <c r="G6952" t="s">
        <v>26</v>
      </c>
      <c r="H6952" t="s">
        <v>27</v>
      </c>
      <c r="I6952" t="s">
        <v>28</v>
      </c>
      <c r="J6952">
        <v>10012.555</v>
      </c>
      <c r="K6952">
        <v>7.0000000000000007E-2</v>
      </c>
      <c r="L6952">
        <v>0.56999999999999995</v>
      </c>
      <c r="M6952">
        <v>8.75</v>
      </c>
      <c r="N6952">
        <v>6549.1271999999999</v>
      </c>
      <c r="O6952" s="1" t="s">
        <v>40</v>
      </c>
      <c r="P6952" s="1" t="s">
        <v>6603</v>
      </c>
      <c r="Q6952" s="1" t="s">
        <v>6604</v>
      </c>
      <c r="R6952" s="1" t="s">
        <v>43</v>
      </c>
      <c r="S6952" s="1" t="s">
        <v>6605</v>
      </c>
      <c r="T6952" s="1" t="s">
        <v>6606</v>
      </c>
      <c r="U6952" s="2" t="s">
        <v>8962</v>
      </c>
      <c r="V6952" s="2" t="s">
        <v>36</v>
      </c>
      <c r="W6952" s="2" t="s">
        <v>37</v>
      </c>
      <c r="X6952" s="2">
        <v>405.96499999999997</v>
      </c>
    </row>
    <row r="6953" spans="1:24" x14ac:dyDescent="0.3">
      <c r="A6953">
        <v>24767</v>
      </c>
      <c r="B6953" t="s">
        <v>13743</v>
      </c>
      <c r="C6953" s="3">
        <v>41240</v>
      </c>
      <c r="D6953" t="s">
        <v>50</v>
      </c>
      <c r="E6953">
        <v>30</v>
      </c>
      <c r="F6953" s="3">
        <f ca="1">41240+(RANDBETWEEN(1,10))</f>
        <v>41244</v>
      </c>
      <c r="G6953" t="s">
        <v>26</v>
      </c>
      <c r="H6953" t="s">
        <v>96</v>
      </c>
      <c r="I6953" t="s">
        <v>28</v>
      </c>
      <c r="J6953">
        <v>3055.22</v>
      </c>
      <c r="K6953">
        <v>0.09</v>
      </c>
      <c r="L6953">
        <v>0.38</v>
      </c>
      <c r="M6953">
        <v>20.965</v>
      </c>
      <c r="N6953">
        <v>2108.1017999999999</v>
      </c>
      <c r="O6953" s="1" t="s">
        <v>40</v>
      </c>
      <c r="P6953" s="1" t="s">
        <v>6603</v>
      </c>
      <c r="Q6953" s="1" t="s">
        <v>6604</v>
      </c>
      <c r="R6953" s="1" t="s">
        <v>43</v>
      </c>
      <c r="S6953" s="1" t="s">
        <v>6605</v>
      </c>
      <c r="T6953" s="1" t="s">
        <v>6606</v>
      </c>
      <c r="U6953" s="2" t="s">
        <v>5234</v>
      </c>
      <c r="V6953" s="2" t="s">
        <v>36</v>
      </c>
      <c r="W6953" s="2" t="s">
        <v>37</v>
      </c>
      <c r="X6953" s="2">
        <v>125.965</v>
      </c>
    </row>
    <row r="6954" spans="1:24" x14ac:dyDescent="0.3">
      <c r="A6954">
        <v>24768</v>
      </c>
      <c r="B6954" t="s">
        <v>13743</v>
      </c>
      <c r="C6954" s="3">
        <v>41240</v>
      </c>
      <c r="D6954" t="s">
        <v>50</v>
      </c>
      <c r="E6954">
        <v>40</v>
      </c>
      <c r="F6954" s="3">
        <f ca="1">41241+(RANDBETWEEN(1,10))</f>
        <v>41249</v>
      </c>
      <c r="G6954" t="s">
        <v>26</v>
      </c>
      <c r="H6954" t="s">
        <v>27</v>
      </c>
      <c r="I6954" t="s">
        <v>28</v>
      </c>
      <c r="J6954">
        <v>7980.3850000000002</v>
      </c>
      <c r="K6954">
        <v>0.01</v>
      </c>
      <c r="L6954">
        <v>0.59</v>
      </c>
      <c r="M6954">
        <v>69.965000000000003</v>
      </c>
      <c r="N6954">
        <v>364.03289999999998</v>
      </c>
      <c r="O6954" s="1" t="s">
        <v>53</v>
      </c>
      <c r="P6954" s="1" t="s">
        <v>13744</v>
      </c>
      <c r="Q6954" s="1" t="s">
        <v>13745</v>
      </c>
      <c r="R6954" s="1" t="s">
        <v>100</v>
      </c>
      <c r="S6954" s="1" t="s">
        <v>835</v>
      </c>
      <c r="T6954" s="1" t="s">
        <v>836</v>
      </c>
      <c r="U6954" s="2" t="s">
        <v>730</v>
      </c>
      <c r="V6954" s="2" t="s">
        <v>36</v>
      </c>
      <c r="W6954" s="2" t="s">
        <v>37</v>
      </c>
      <c r="X6954" s="2">
        <v>230.965</v>
      </c>
    </row>
    <row r="6955" spans="1:24" x14ac:dyDescent="0.3">
      <c r="A6955">
        <v>24769</v>
      </c>
      <c r="B6955" t="s">
        <v>13746</v>
      </c>
      <c r="C6955" s="3">
        <v>41764</v>
      </c>
      <c r="D6955" t="s">
        <v>50</v>
      </c>
      <c r="E6955">
        <v>10</v>
      </c>
      <c r="F6955" s="3">
        <f ca="1">41766+(RANDBETWEEN(1,10))</f>
        <v>41767</v>
      </c>
      <c r="G6955" t="s">
        <v>26</v>
      </c>
      <c r="H6955" t="s">
        <v>63</v>
      </c>
      <c r="I6955" t="s">
        <v>52</v>
      </c>
      <c r="J6955">
        <v>1402.73</v>
      </c>
      <c r="K6955">
        <v>7.0000000000000007E-2</v>
      </c>
      <c r="L6955">
        <v>0.56999999999999995</v>
      </c>
      <c r="M6955">
        <v>50.575000000000003</v>
      </c>
      <c r="N6955">
        <v>541.59</v>
      </c>
      <c r="O6955" s="1" t="s">
        <v>40</v>
      </c>
      <c r="P6955" s="1" t="s">
        <v>13747</v>
      </c>
      <c r="Q6955" s="1" t="s">
        <v>13748</v>
      </c>
      <c r="R6955" s="1" t="s">
        <v>220</v>
      </c>
      <c r="S6955" s="1" t="s">
        <v>4304</v>
      </c>
      <c r="T6955" s="1" t="s">
        <v>4305</v>
      </c>
      <c r="U6955" s="2" t="s">
        <v>1470</v>
      </c>
      <c r="V6955" s="2" t="s">
        <v>83</v>
      </c>
      <c r="W6955" s="2" t="s">
        <v>178</v>
      </c>
      <c r="X6955" s="2">
        <v>143.39500000000001</v>
      </c>
    </row>
    <row r="6956" spans="1:24" x14ac:dyDescent="0.3">
      <c r="A6956">
        <v>24770</v>
      </c>
      <c r="B6956" t="s">
        <v>13749</v>
      </c>
      <c r="C6956" s="3">
        <v>40867</v>
      </c>
      <c r="D6956" t="s">
        <v>62</v>
      </c>
      <c r="E6956">
        <v>6</v>
      </c>
      <c r="F6956" s="3">
        <f ca="1">40868+(RANDBETWEEN(1,10))</f>
        <v>40877</v>
      </c>
      <c r="G6956" t="s">
        <v>76</v>
      </c>
      <c r="H6956" t="s">
        <v>77</v>
      </c>
      <c r="I6956" t="s">
        <v>97</v>
      </c>
      <c r="J6956">
        <v>8440.0049999999992</v>
      </c>
      <c r="K6956">
        <v>0.1</v>
      </c>
      <c r="L6956">
        <v>0.56000000000000005</v>
      </c>
      <c r="M6956">
        <v>51.45</v>
      </c>
      <c r="N6956">
        <v>481.90778999999998</v>
      </c>
      <c r="O6956" s="1" t="s">
        <v>29</v>
      </c>
      <c r="P6956" s="1" t="s">
        <v>7990</v>
      </c>
      <c r="Q6956" s="1" t="s">
        <v>7991</v>
      </c>
      <c r="R6956" s="1" t="s">
        <v>32</v>
      </c>
      <c r="S6956" s="1" t="s">
        <v>7992</v>
      </c>
      <c r="T6956" s="1" t="s">
        <v>7993</v>
      </c>
      <c r="U6956" s="2" t="s">
        <v>3549</v>
      </c>
      <c r="V6956" s="2" t="s">
        <v>36</v>
      </c>
      <c r="W6956" s="2" t="s">
        <v>142</v>
      </c>
      <c r="X6956" s="2">
        <v>1547.49</v>
      </c>
    </row>
    <row r="6957" spans="1:24" x14ac:dyDescent="0.3">
      <c r="A6957">
        <v>24771</v>
      </c>
      <c r="B6957" t="s">
        <v>13750</v>
      </c>
      <c r="C6957" s="3">
        <v>41963</v>
      </c>
      <c r="D6957" t="s">
        <v>62</v>
      </c>
      <c r="E6957">
        <v>41</v>
      </c>
      <c r="F6957" s="3">
        <f ca="1">41965+(RANDBETWEEN(1,10))</f>
        <v>41974</v>
      </c>
      <c r="G6957" t="s">
        <v>26</v>
      </c>
      <c r="H6957" t="s">
        <v>27</v>
      </c>
      <c r="I6957" t="s">
        <v>97</v>
      </c>
      <c r="J6957">
        <v>8555.1550000000007</v>
      </c>
      <c r="K6957">
        <v>0.01</v>
      </c>
      <c r="L6957">
        <v>0.56999999999999995</v>
      </c>
      <c r="M6957">
        <v>12.25</v>
      </c>
      <c r="N6957">
        <v>5903.0569500000001</v>
      </c>
      <c r="O6957" s="1" t="s">
        <v>87</v>
      </c>
      <c r="P6957" s="1" t="s">
        <v>13751</v>
      </c>
      <c r="Q6957" s="1" t="s">
        <v>13752</v>
      </c>
      <c r="R6957" s="1" t="s">
        <v>646</v>
      </c>
      <c r="S6957" s="1" t="s">
        <v>3302</v>
      </c>
      <c r="T6957" s="1" t="s">
        <v>3303</v>
      </c>
      <c r="U6957" s="2" t="s">
        <v>6491</v>
      </c>
      <c r="V6957" s="2" t="s">
        <v>47</v>
      </c>
      <c r="W6957" s="2" t="s">
        <v>71</v>
      </c>
      <c r="X6957" s="2">
        <v>210.77</v>
      </c>
    </row>
    <row r="6958" spans="1:24" x14ac:dyDescent="0.3">
      <c r="A6958">
        <v>24772</v>
      </c>
      <c r="B6958" t="s">
        <v>13753</v>
      </c>
      <c r="C6958" s="3">
        <v>41657</v>
      </c>
      <c r="D6958" t="s">
        <v>50</v>
      </c>
      <c r="E6958">
        <v>13</v>
      </c>
      <c r="F6958" s="3">
        <f ca="1">41660+(RANDBETWEEN(1,10))</f>
        <v>41666</v>
      </c>
      <c r="G6958" t="s">
        <v>26</v>
      </c>
      <c r="H6958" t="s">
        <v>27</v>
      </c>
      <c r="I6958" t="s">
        <v>28</v>
      </c>
      <c r="J6958">
        <v>651</v>
      </c>
      <c r="K6958">
        <v>0.1</v>
      </c>
      <c r="L6958">
        <v>0.4</v>
      </c>
      <c r="M6958">
        <v>4.8650000000000002</v>
      </c>
      <c r="N6958">
        <v>449.19</v>
      </c>
      <c r="O6958" s="1" t="s">
        <v>225</v>
      </c>
      <c r="P6958" s="1" t="s">
        <v>10463</v>
      </c>
      <c r="Q6958" s="1" t="s">
        <v>10464</v>
      </c>
      <c r="R6958" s="1" t="s">
        <v>228</v>
      </c>
      <c r="S6958" s="1" t="s">
        <v>10465</v>
      </c>
      <c r="T6958" s="1" t="s">
        <v>10466</v>
      </c>
      <c r="U6958" s="2" t="s">
        <v>1095</v>
      </c>
      <c r="V6958" s="2" t="s">
        <v>47</v>
      </c>
      <c r="W6958" s="2" t="s">
        <v>48</v>
      </c>
      <c r="X6958" s="2">
        <v>55.09</v>
      </c>
    </row>
    <row r="6959" spans="1:24" x14ac:dyDescent="0.3">
      <c r="A6959">
        <v>24773</v>
      </c>
      <c r="B6959" t="s">
        <v>13754</v>
      </c>
      <c r="C6959" s="3">
        <v>40549</v>
      </c>
      <c r="D6959" t="s">
        <v>25</v>
      </c>
      <c r="E6959">
        <v>6</v>
      </c>
      <c r="F6959" s="3">
        <f ca="1">40549+(RANDBETWEEN(1,10))</f>
        <v>40550</v>
      </c>
      <c r="G6959" t="s">
        <v>76</v>
      </c>
      <c r="H6959" t="s">
        <v>258</v>
      </c>
      <c r="I6959" t="s">
        <v>86</v>
      </c>
      <c r="J6959">
        <v>2152.4650000000001</v>
      </c>
      <c r="K6959">
        <v>0.02</v>
      </c>
      <c r="L6959">
        <v>0.62</v>
      </c>
      <c r="M6959">
        <v>125.44</v>
      </c>
      <c r="N6959">
        <v>-472.19200000000001</v>
      </c>
      <c r="O6959" s="1" t="s">
        <v>225</v>
      </c>
      <c r="P6959" s="1" t="s">
        <v>13755</v>
      </c>
      <c r="Q6959" s="1" t="s">
        <v>13756</v>
      </c>
      <c r="R6959" s="1" t="s">
        <v>228</v>
      </c>
      <c r="S6959" s="1" t="s">
        <v>6525</v>
      </c>
      <c r="T6959" s="1" t="s">
        <v>6526</v>
      </c>
      <c r="U6959" s="2" t="s">
        <v>1271</v>
      </c>
      <c r="V6959" s="2" t="s">
        <v>83</v>
      </c>
      <c r="W6959" s="2" t="s">
        <v>298</v>
      </c>
      <c r="X6959" s="2">
        <v>353.43</v>
      </c>
    </row>
    <row r="6960" spans="1:24" x14ac:dyDescent="0.3">
      <c r="A6960">
        <v>24774</v>
      </c>
      <c r="B6960" t="s">
        <v>13757</v>
      </c>
      <c r="C6960" s="3">
        <v>40599</v>
      </c>
      <c r="D6960" t="s">
        <v>50</v>
      </c>
      <c r="E6960">
        <v>10</v>
      </c>
      <c r="F6960" s="3">
        <f ca="1">40601+(RANDBETWEEN(1,10))</f>
        <v>40610</v>
      </c>
      <c r="G6960" t="s">
        <v>156</v>
      </c>
      <c r="H6960" t="s">
        <v>27</v>
      </c>
      <c r="I6960" t="s">
        <v>28</v>
      </c>
      <c r="J6960">
        <v>1023.295</v>
      </c>
      <c r="K6960">
        <v>0.04</v>
      </c>
      <c r="L6960">
        <v>0.42</v>
      </c>
      <c r="M6960">
        <v>29.925000000000001</v>
      </c>
      <c r="N6960">
        <v>706.07354999999995</v>
      </c>
      <c r="O6960" s="1" t="s">
        <v>53</v>
      </c>
      <c r="P6960" s="1" t="s">
        <v>7739</v>
      </c>
      <c r="Q6960" s="1" t="s">
        <v>7740</v>
      </c>
      <c r="R6960" s="1" t="s">
        <v>440</v>
      </c>
      <c r="S6960" s="1" t="s">
        <v>2835</v>
      </c>
      <c r="T6960" s="1" t="s">
        <v>2836</v>
      </c>
      <c r="U6960" s="2" t="s">
        <v>2535</v>
      </c>
      <c r="V6960" s="2" t="s">
        <v>83</v>
      </c>
      <c r="W6960" s="2" t="s">
        <v>178</v>
      </c>
      <c r="X6960" s="2">
        <v>102.13</v>
      </c>
    </row>
    <row r="6961" spans="1:24" x14ac:dyDescent="0.3">
      <c r="A6961">
        <v>24775</v>
      </c>
      <c r="B6961" t="s">
        <v>13757</v>
      </c>
      <c r="C6961" s="3">
        <v>40599</v>
      </c>
      <c r="D6961" t="s">
        <v>50</v>
      </c>
      <c r="E6961">
        <v>8</v>
      </c>
      <c r="F6961" s="3">
        <f ca="1">40601+(RANDBETWEEN(1,10))</f>
        <v>40603</v>
      </c>
      <c r="G6961" t="s">
        <v>26</v>
      </c>
      <c r="H6961" t="s">
        <v>63</v>
      </c>
      <c r="I6961" t="s">
        <v>28</v>
      </c>
      <c r="J6961">
        <v>2389.7649999999999</v>
      </c>
      <c r="K6961">
        <v>0</v>
      </c>
      <c r="L6961">
        <v>0.83</v>
      </c>
      <c r="M6961">
        <v>122.5</v>
      </c>
      <c r="N6961">
        <v>-2396.73</v>
      </c>
      <c r="O6961" s="1" t="s">
        <v>53</v>
      </c>
      <c r="P6961" s="1" t="s">
        <v>7739</v>
      </c>
      <c r="Q6961" s="1" t="s">
        <v>7740</v>
      </c>
      <c r="R6961" s="1" t="s">
        <v>440</v>
      </c>
      <c r="S6961" s="1" t="s">
        <v>2835</v>
      </c>
      <c r="T6961" s="1" t="s">
        <v>2836</v>
      </c>
      <c r="U6961" s="2" t="s">
        <v>6492</v>
      </c>
      <c r="V6961" s="2" t="s">
        <v>47</v>
      </c>
      <c r="W6961" s="2" t="s">
        <v>119</v>
      </c>
      <c r="X6961" s="2">
        <v>283.43</v>
      </c>
    </row>
    <row r="6962" spans="1:24" x14ac:dyDescent="0.3">
      <c r="A6962">
        <v>24776</v>
      </c>
      <c r="B6962" t="s">
        <v>13758</v>
      </c>
      <c r="C6962" s="3">
        <v>40655</v>
      </c>
      <c r="D6962" t="s">
        <v>25</v>
      </c>
      <c r="E6962">
        <v>11</v>
      </c>
      <c r="F6962" s="3">
        <f ca="1">40659+(RANDBETWEEN(1,10))</f>
        <v>40669</v>
      </c>
      <c r="G6962" t="s">
        <v>26</v>
      </c>
      <c r="H6962" t="s">
        <v>27</v>
      </c>
      <c r="I6962" t="s">
        <v>28</v>
      </c>
      <c r="J6962">
        <v>189.14</v>
      </c>
      <c r="K6962">
        <v>0.02</v>
      </c>
      <c r="L6962">
        <v>0.37</v>
      </c>
      <c r="M6962">
        <v>18.97</v>
      </c>
      <c r="N6962">
        <v>-1234.8489999999999</v>
      </c>
      <c r="O6962" s="1" t="s">
        <v>64</v>
      </c>
      <c r="P6962" s="1" t="s">
        <v>9358</v>
      </c>
      <c r="Q6962" s="1" t="s">
        <v>9359</v>
      </c>
      <c r="R6962" s="1" t="s">
        <v>128</v>
      </c>
      <c r="S6962" s="1" t="s">
        <v>4800</v>
      </c>
      <c r="T6962" s="1" t="s">
        <v>4801</v>
      </c>
      <c r="U6962" s="2" t="s">
        <v>1571</v>
      </c>
      <c r="V6962" s="2" t="s">
        <v>47</v>
      </c>
      <c r="W6962" s="2" t="s">
        <v>111</v>
      </c>
      <c r="X6962" s="2">
        <v>15.994999999999999</v>
      </c>
    </row>
    <row r="6963" spans="1:24" x14ac:dyDescent="0.3">
      <c r="A6963">
        <v>24777</v>
      </c>
      <c r="B6963" t="s">
        <v>13759</v>
      </c>
      <c r="C6963" s="3">
        <v>41351</v>
      </c>
      <c r="D6963" t="s">
        <v>148</v>
      </c>
      <c r="E6963">
        <v>4</v>
      </c>
      <c r="F6963" s="3">
        <f ca="1">41352+(RANDBETWEEN(1,10))</f>
        <v>41358</v>
      </c>
      <c r="G6963" t="s">
        <v>76</v>
      </c>
      <c r="H6963" t="s">
        <v>77</v>
      </c>
      <c r="I6963" t="s">
        <v>97</v>
      </c>
      <c r="J6963">
        <v>1988.63</v>
      </c>
      <c r="K6963">
        <v>0.01</v>
      </c>
      <c r="L6963">
        <v>0.78</v>
      </c>
      <c r="M6963">
        <v>105</v>
      </c>
      <c r="N6963">
        <v>-398.19499999999999</v>
      </c>
      <c r="O6963" s="1" t="s">
        <v>53</v>
      </c>
      <c r="P6963" s="1" t="s">
        <v>11085</v>
      </c>
      <c r="Q6963" s="1" t="s">
        <v>11086</v>
      </c>
      <c r="R6963" s="1" t="s">
        <v>440</v>
      </c>
      <c r="S6963" s="1" t="s">
        <v>11087</v>
      </c>
      <c r="T6963" s="1" t="s">
        <v>11088</v>
      </c>
      <c r="U6963" s="2" t="s">
        <v>2894</v>
      </c>
      <c r="V6963" s="2" t="s">
        <v>83</v>
      </c>
      <c r="W6963" s="2" t="s">
        <v>84</v>
      </c>
      <c r="X6963" s="2">
        <v>458.43</v>
      </c>
    </row>
    <row r="6964" spans="1:24" x14ac:dyDescent="0.3">
      <c r="A6964">
        <v>24778</v>
      </c>
      <c r="B6964" t="s">
        <v>13760</v>
      </c>
      <c r="C6964" s="3">
        <v>40977</v>
      </c>
      <c r="D6964" t="s">
        <v>148</v>
      </c>
      <c r="E6964">
        <v>7</v>
      </c>
      <c r="F6964" s="3">
        <f ca="1">40978+(RANDBETWEEN(1,10))</f>
        <v>40985</v>
      </c>
      <c r="G6964" t="s">
        <v>26</v>
      </c>
      <c r="H6964" t="s">
        <v>27</v>
      </c>
      <c r="I6964" t="s">
        <v>52</v>
      </c>
      <c r="J6964">
        <v>143.71</v>
      </c>
      <c r="K6964">
        <v>0.1</v>
      </c>
      <c r="L6964">
        <v>0.4</v>
      </c>
      <c r="M6964">
        <v>26.25</v>
      </c>
      <c r="N6964">
        <v>-436.52</v>
      </c>
      <c r="O6964" s="1" t="s">
        <v>64</v>
      </c>
      <c r="P6964" s="1" t="s">
        <v>13761</v>
      </c>
      <c r="Q6964" s="1" t="s">
        <v>13762</v>
      </c>
      <c r="R6964" s="1" t="s">
        <v>128</v>
      </c>
      <c r="S6964" s="1" t="s">
        <v>13763</v>
      </c>
      <c r="T6964" s="1" t="s">
        <v>13764</v>
      </c>
      <c r="U6964" s="2" t="s">
        <v>6464</v>
      </c>
      <c r="V6964" s="2" t="s">
        <v>47</v>
      </c>
      <c r="W6964" s="2" t="s">
        <v>74</v>
      </c>
      <c r="X6964" s="2">
        <v>20.93</v>
      </c>
    </row>
    <row r="6965" spans="1:24" x14ac:dyDescent="0.3">
      <c r="A6965">
        <v>24779</v>
      </c>
      <c r="B6965" t="s">
        <v>13760</v>
      </c>
      <c r="C6965" s="3">
        <v>40977</v>
      </c>
      <c r="D6965" t="s">
        <v>148</v>
      </c>
      <c r="E6965">
        <v>6</v>
      </c>
      <c r="F6965" s="3">
        <f ca="1">40978+(RANDBETWEEN(1,10))</f>
        <v>40979</v>
      </c>
      <c r="G6965" t="s">
        <v>26</v>
      </c>
      <c r="H6965" t="s">
        <v>96</v>
      </c>
      <c r="I6965" t="s">
        <v>52</v>
      </c>
      <c r="J6965">
        <v>114.17</v>
      </c>
      <c r="K6965">
        <v>7.0000000000000007E-2</v>
      </c>
      <c r="L6965">
        <v>0.4</v>
      </c>
      <c r="M6965">
        <v>4.2350000000000003</v>
      </c>
      <c r="N6965">
        <v>78.777299999999997</v>
      </c>
      <c r="O6965" s="1" t="s">
        <v>87</v>
      </c>
      <c r="P6965" s="1" t="s">
        <v>13765</v>
      </c>
      <c r="Q6965" s="1" t="s">
        <v>13766</v>
      </c>
      <c r="R6965" s="1" t="s">
        <v>90</v>
      </c>
      <c r="S6965" s="1" t="s">
        <v>10511</v>
      </c>
      <c r="T6965" s="1" t="s">
        <v>10512</v>
      </c>
      <c r="U6965" s="2" t="s">
        <v>13767</v>
      </c>
      <c r="V6965" s="2" t="s">
        <v>47</v>
      </c>
      <c r="W6965" s="2" t="s">
        <v>74</v>
      </c>
      <c r="X6965" s="2">
        <v>19.88</v>
      </c>
    </row>
    <row r="6966" spans="1:24" x14ac:dyDescent="0.3">
      <c r="A6966">
        <v>24780</v>
      </c>
      <c r="B6966" t="s">
        <v>13768</v>
      </c>
      <c r="C6966" s="3">
        <v>41477</v>
      </c>
      <c r="D6966" t="s">
        <v>148</v>
      </c>
      <c r="E6966">
        <v>8</v>
      </c>
      <c r="F6966" s="3">
        <f ca="1">41479+(RANDBETWEEN(1,10))</f>
        <v>41488</v>
      </c>
      <c r="G6966" t="s">
        <v>76</v>
      </c>
      <c r="H6966" t="s">
        <v>258</v>
      </c>
      <c r="I6966" t="s">
        <v>52</v>
      </c>
      <c r="J6966">
        <v>3705.2750000000001</v>
      </c>
      <c r="K6966">
        <v>0.08</v>
      </c>
      <c r="L6966">
        <v>0.69</v>
      </c>
      <c r="M6966">
        <v>191.59</v>
      </c>
      <c r="N6966">
        <v>-2035.5650000000001</v>
      </c>
      <c r="O6966" s="1" t="s">
        <v>64</v>
      </c>
      <c r="P6966" s="1" t="s">
        <v>8588</v>
      </c>
      <c r="Q6966" s="1" t="s">
        <v>8589</v>
      </c>
      <c r="R6966" s="1" t="s">
        <v>67</v>
      </c>
      <c r="S6966" s="1" t="s">
        <v>8590</v>
      </c>
      <c r="T6966" s="1" t="s">
        <v>8591</v>
      </c>
      <c r="U6966" s="2" t="s">
        <v>493</v>
      </c>
      <c r="V6966" s="2" t="s">
        <v>83</v>
      </c>
      <c r="W6966" s="2" t="s">
        <v>298</v>
      </c>
      <c r="X6966" s="2">
        <v>458.43</v>
      </c>
    </row>
    <row r="6967" spans="1:24" x14ac:dyDescent="0.3">
      <c r="A6967">
        <v>24781</v>
      </c>
      <c r="B6967" t="s">
        <v>13769</v>
      </c>
      <c r="C6967" s="3">
        <v>41738</v>
      </c>
      <c r="D6967" t="s">
        <v>62</v>
      </c>
      <c r="E6967">
        <v>12</v>
      </c>
      <c r="F6967" s="3">
        <f ca="1">41739+(RANDBETWEEN(1,10))</f>
        <v>41746</v>
      </c>
      <c r="G6967" t="s">
        <v>26</v>
      </c>
      <c r="H6967" t="s">
        <v>27</v>
      </c>
      <c r="I6967" t="s">
        <v>28</v>
      </c>
      <c r="J6967">
        <v>331.17</v>
      </c>
      <c r="K6967">
        <v>0.03</v>
      </c>
      <c r="L6967">
        <v>0.36</v>
      </c>
      <c r="M6967">
        <v>4.8650000000000002</v>
      </c>
      <c r="N6967">
        <v>228.50729999999999</v>
      </c>
      <c r="O6967" s="1" t="s">
        <v>64</v>
      </c>
      <c r="P6967" s="1" t="s">
        <v>11057</v>
      </c>
      <c r="Q6967" s="1" t="s">
        <v>11058</v>
      </c>
      <c r="R6967" s="1" t="s">
        <v>128</v>
      </c>
      <c r="S6967" s="1" t="s">
        <v>11059</v>
      </c>
      <c r="T6967" s="1" t="s">
        <v>11060</v>
      </c>
      <c r="U6967" s="2" t="s">
        <v>3975</v>
      </c>
      <c r="V6967" s="2" t="s">
        <v>47</v>
      </c>
      <c r="W6967" s="2" t="s">
        <v>48</v>
      </c>
      <c r="X6967" s="2">
        <v>26.74</v>
      </c>
    </row>
    <row r="6968" spans="1:24" x14ac:dyDescent="0.3">
      <c r="A6968">
        <v>24782</v>
      </c>
      <c r="B6968" t="s">
        <v>13770</v>
      </c>
      <c r="C6968" s="3">
        <v>41055</v>
      </c>
      <c r="D6968" t="s">
        <v>39</v>
      </c>
      <c r="E6968">
        <v>16</v>
      </c>
      <c r="F6968" s="3">
        <f ca="1">41055+(RANDBETWEEN(1,10))</f>
        <v>41063</v>
      </c>
      <c r="G6968" t="s">
        <v>26</v>
      </c>
      <c r="H6968" t="s">
        <v>27</v>
      </c>
      <c r="I6968" t="s">
        <v>97</v>
      </c>
      <c r="J6968">
        <v>5303.0950000000003</v>
      </c>
      <c r="K6968">
        <v>0.01</v>
      </c>
      <c r="L6968">
        <v>0.56000000000000005</v>
      </c>
      <c r="M6968">
        <v>3.4649999999999999</v>
      </c>
      <c r="N6968">
        <v>3659.13555</v>
      </c>
      <c r="O6968" s="1" t="s">
        <v>64</v>
      </c>
      <c r="P6968" s="1" t="s">
        <v>13477</v>
      </c>
      <c r="Q6968" s="1" t="s">
        <v>13478</v>
      </c>
      <c r="R6968" s="1" t="s">
        <v>67</v>
      </c>
      <c r="S6968" s="1" t="s">
        <v>3653</v>
      </c>
      <c r="T6968" s="1" t="s">
        <v>13479</v>
      </c>
      <c r="U6968" s="2" t="s">
        <v>2007</v>
      </c>
      <c r="V6968" s="2" t="s">
        <v>47</v>
      </c>
      <c r="W6968" s="2" t="s">
        <v>71</v>
      </c>
      <c r="X6968" s="2">
        <v>315.83999999999997</v>
      </c>
    </row>
    <row r="6969" spans="1:24" x14ac:dyDescent="0.3">
      <c r="A6969">
        <v>24783</v>
      </c>
      <c r="B6969" t="s">
        <v>13771</v>
      </c>
      <c r="C6969" s="3">
        <v>40870</v>
      </c>
      <c r="D6969" t="s">
        <v>148</v>
      </c>
      <c r="E6969">
        <v>41</v>
      </c>
      <c r="F6969" s="3">
        <f ca="1">40872+(RANDBETWEEN(1,10))</f>
        <v>40874</v>
      </c>
      <c r="G6969" t="s">
        <v>26</v>
      </c>
      <c r="H6969" t="s">
        <v>281</v>
      </c>
      <c r="I6969" t="s">
        <v>86</v>
      </c>
      <c r="J6969">
        <v>30049.845000000001</v>
      </c>
      <c r="K6969">
        <v>0.05</v>
      </c>
      <c r="L6969">
        <v>0.37</v>
      </c>
      <c r="M6969">
        <v>48.965000000000003</v>
      </c>
      <c r="N6969">
        <v>20734.393049999999</v>
      </c>
      <c r="O6969" s="1" t="s">
        <v>64</v>
      </c>
      <c r="P6969" s="1" t="s">
        <v>7688</v>
      </c>
      <c r="Q6969" s="1" t="s">
        <v>7689</v>
      </c>
      <c r="R6969" s="1" t="s">
        <v>67</v>
      </c>
      <c r="S6969" s="1" t="s">
        <v>7690</v>
      </c>
      <c r="T6969" s="1" t="s">
        <v>7691</v>
      </c>
      <c r="U6969" s="2" t="s">
        <v>2505</v>
      </c>
      <c r="V6969" s="2" t="s">
        <v>36</v>
      </c>
      <c r="W6969" s="2" t="s">
        <v>142</v>
      </c>
      <c r="X6969" s="2">
        <v>714.35</v>
      </c>
    </row>
    <row r="6970" spans="1:24" x14ac:dyDescent="0.3">
      <c r="A6970">
        <v>24784</v>
      </c>
      <c r="B6970" t="s">
        <v>13772</v>
      </c>
      <c r="C6970" s="3">
        <v>41119</v>
      </c>
      <c r="D6970" t="s">
        <v>39</v>
      </c>
      <c r="E6970">
        <v>9</v>
      </c>
      <c r="F6970" s="3">
        <f ca="1">41120+(RANDBETWEEN(1,10))</f>
        <v>41128</v>
      </c>
      <c r="G6970" t="s">
        <v>26</v>
      </c>
      <c r="H6970" t="s">
        <v>27</v>
      </c>
      <c r="I6970" t="s">
        <v>52</v>
      </c>
      <c r="J6970">
        <v>5970.44</v>
      </c>
      <c r="K6970">
        <v>0.02</v>
      </c>
      <c r="L6970">
        <v>0.55000000000000004</v>
      </c>
      <c r="M6970">
        <v>69.965000000000003</v>
      </c>
      <c r="N6970">
        <v>4119.6036000000004</v>
      </c>
      <c r="O6970" s="1" t="s">
        <v>40</v>
      </c>
      <c r="P6970" s="1" t="s">
        <v>2107</v>
      </c>
      <c r="Q6970" s="1" t="s">
        <v>2108</v>
      </c>
      <c r="R6970" s="1" t="s">
        <v>43</v>
      </c>
      <c r="S6970" s="1" t="s">
        <v>2109</v>
      </c>
      <c r="T6970" s="1" t="s">
        <v>2110</v>
      </c>
      <c r="U6970" s="2" t="s">
        <v>721</v>
      </c>
      <c r="V6970" s="2" t="s">
        <v>47</v>
      </c>
      <c r="W6970" s="2" t="s">
        <v>119</v>
      </c>
      <c r="X6970" s="2">
        <v>624.64499999999998</v>
      </c>
    </row>
    <row r="6971" spans="1:24" x14ac:dyDescent="0.3">
      <c r="A6971">
        <v>24785</v>
      </c>
      <c r="B6971" t="s">
        <v>13773</v>
      </c>
      <c r="C6971" s="3">
        <v>41702</v>
      </c>
      <c r="D6971" t="s">
        <v>148</v>
      </c>
      <c r="E6971">
        <v>4</v>
      </c>
      <c r="F6971" s="3">
        <f ca="1">41703+(RANDBETWEEN(1,10))</f>
        <v>41711</v>
      </c>
      <c r="G6971" t="s">
        <v>26</v>
      </c>
      <c r="H6971" t="s">
        <v>96</v>
      </c>
      <c r="I6971" t="s">
        <v>52</v>
      </c>
      <c r="J6971">
        <v>41.37</v>
      </c>
      <c r="K6971">
        <v>0.05</v>
      </c>
      <c r="L6971">
        <v>0.57999999999999996</v>
      </c>
      <c r="M6971">
        <v>2.4500000000000002</v>
      </c>
      <c r="N6971">
        <v>6.37</v>
      </c>
      <c r="O6971" s="1" t="s">
        <v>87</v>
      </c>
      <c r="P6971" s="1" t="s">
        <v>6735</v>
      </c>
      <c r="Q6971" s="1" t="s">
        <v>6736</v>
      </c>
      <c r="R6971" s="1" t="s">
        <v>398</v>
      </c>
      <c r="S6971" s="1" t="s">
        <v>3402</v>
      </c>
      <c r="T6971" s="1" t="s">
        <v>3403</v>
      </c>
      <c r="U6971" s="2" t="s">
        <v>2921</v>
      </c>
      <c r="V6971" s="2" t="s">
        <v>47</v>
      </c>
      <c r="W6971" s="2" t="s">
        <v>104</v>
      </c>
      <c r="X6971" s="2">
        <v>10.29</v>
      </c>
    </row>
    <row r="6972" spans="1:24" x14ac:dyDescent="0.3">
      <c r="A6972">
        <v>24786</v>
      </c>
      <c r="B6972" t="s">
        <v>13774</v>
      </c>
      <c r="C6972" s="3">
        <v>40765</v>
      </c>
      <c r="D6972" t="s">
        <v>50</v>
      </c>
      <c r="E6972">
        <v>6</v>
      </c>
      <c r="F6972" s="3">
        <f ca="1">40767+(RANDBETWEEN(1,10))</f>
        <v>40776</v>
      </c>
      <c r="G6972" t="s">
        <v>26</v>
      </c>
      <c r="H6972" t="s">
        <v>51</v>
      </c>
      <c r="I6972" t="s">
        <v>97</v>
      </c>
      <c r="J6972">
        <v>134.88999999999999</v>
      </c>
      <c r="K6972">
        <v>0.03</v>
      </c>
      <c r="L6972">
        <v>0.68</v>
      </c>
      <c r="M6972">
        <v>13.475</v>
      </c>
      <c r="N6972">
        <v>-266.37380000000002</v>
      </c>
      <c r="O6972" s="1" t="s">
        <v>40</v>
      </c>
      <c r="P6972" s="1" t="s">
        <v>7997</v>
      </c>
      <c r="Q6972" s="1" t="s">
        <v>7998</v>
      </c>
      <c r="R6972" s="1" t="s">
        <v>43</v>
      </c>
      <c r="S6972" s="1" t="s">
        <v>7999</v>
      </c>
      <c r="T6972" s="1" t="s">
        <v>8000</v>
      </c>
      <c r="U6972" s="2" t="s">
        <v>3286</v>
      </c>
      <c r="V6972" s="2" t="s">
        <v>36</v>
      </c>
      <c r="W6972" s="2" t="s">
        <v>60</v>
      </c>
      <c r="X6972" s="2">
        <v>20.93</v>
      </c>
    </row>
    <row r="6973" spans="1:24" x14ac:dyDescent="0.3">
      <c r="A6973">
        <v>24787</v>
      </c>
      <c r="B6973" t="s">
        <v>13775</v>
      </c>
      <c r="C6973" s="3">
        <v>41988</v>
      </c>
      <c r="D6973" t="s">
        <v>50</v>
      </c>
      <c r="E6973">
        <v>9</v>
      </c>
      <c r="F6973" s="3">
        <f ca="1">41990+(RANDBETWEEN(1,10))</f>
        <v>41996</v>
      </c>
      <c r="G6973" t="s">
        <v>26</v>
      </c>
      <c r="H6973" t="s">
        <v>96</v>
      </c>
      <c r="I6973" t="s">
        <v>28</v>
      </c>
      <c r="J6973">
        <v>124.63500000000001</v>
      </c>
      <c r="K6973">
        <v>0.04</v>
      </c>
      <c r="L6973">
        <v>0.44</v>
      </c>
      <c r="M6973">
        <v>2.4500000000000002</v>
      </c>
      <c r="N6973">
        <v>85.998149999999995</v>
      </c>
      <c r="O6973" s="1" t="s">
        <v>87</v>
      </c>
      <c r="P6973" s="1" t="s">
        <v>12600</v>
      </c>
      <c r="Q6973" s="1" t="s">
        <v>12601</v>
      </c>
      <c r="R6973" s="1" t="s">
        <v>90</v>
      </c>
      <c r="S6973" s="1" t="s">
        <v>5001</v>
      </c>
      <c r="T6973" s="1" t="s">
        <v>5002</v>
      </c>
      <c r="U6973" s="2" t="s">
        <v>703</v>
      </c>
      <c r="V6973" s="2" t="s">
        <v>47</v>
      </c>
      <c r="W6973" s="2" t="s">
        <v>104</v>
      </c>
      <c r="X6973" s="2">
        <v>13.475</v>
      </c>
    </row>
    <row r="6974" spans="1:24" x14ac:dyDescent="0.3">
      <c r="A6974">
        <v>24788</v>
      </c>
      <c r="B6974" t="s">
        <v>13776</v>
      </c>
      <c r="C6974" s="3">
        <v>41384</v>
      </c>
      <c r="D6974" t="s">
        <v>148</v>
      </c>
      <c r="E6974">
        <v>7</v>
      </c>
      <c r="F6974" s="3">
        <f ca="1">41385+(RANDBETWEEN(1,10))</f>
        <v>41391</v>
      </c>
      <c r="G6974" t="s">
        <v>156</v>
      </c>
      <c r="H6974" t="s">
        <v>27</v>
      </c>
      <c r="I6974" t="s">
        <v>97</v>
      </c>
      <c r="J6974">
        <v>1359.54</v>
      </c>
      <c r="K6974">
        <v>0.03</v>
      </c>
      <c r="L6974">
        <v>0.37</v>
      </c>
      <c r="M6974">
        <v>50.05</v>
      </c>
      <c r="N6974">
        <v>938.08259999999996</v>
      </c>
      <c r="O6974" s="1" t="s">
        <v>53</v>
      </c>
      <c r="P6974" s="1" t="s">
        <v>10359</v>
      </c>
      <c r="Q6974" s="1" t="s">
        <v>10360</v>
      </c>
      <c r="R6974" s="1" t="s">
        <v>100</v>
      </c>
      <c r="S6974" s="1" t="s">
        <v>9930</v>
      </c>
      <c r="T6974" s="1" t="s">
        <v>9931</v>
      </c>
      <c r="U6974" s="2" t="s">
        <v>1168</v>
      </c>
      <c r="V6974" s="2" t="s">
        <v>47</v>
      </c>
      <c r="W6974" s="2" t="s">
        <v>74</v>
      </c>
      <c r="X6974" s="2">
        <v>194.18</v>
      </c>
    </row>
    <row r="6975" spans="1:24" x14ac:dyDescent="0.3">
      <c r="A6975">
        <v>24789</v>
      </c>
      <c r="B6975" t="s">
        <v>13777</v>
      </c>
      <c r="C6975" s="3">
        <v>41726</v>
      </c>
      <c r="D6975" t="s">
        <v>50</v>
      </c>
      <c r="E6975">
        <v>4</v>
      </c>
      <c r="F6975" s="3">
        <f ca="1">41726+(RANDBETWEEN(1,10))</f>
        <v>41732</v>
      </c>
      <c r="G6975" t="s">
        <v>26</v>
      </c>
      <c r="H6975" t="s">
        <v>281</v>
      </c>
      <c r="I6975" t="s">
        <v>52</v>
      </c>
      <c r="J6975">
        <v>2069.7600000000002</v>
      </c>
      <c r="K6975">
        <v>0.04</v>
      </c>
      <c r="L6975">
        <v>0.38</v>
      </c>
      <c r="M6975">
        <v>48.965000000000003</v>
      </c>
      <c r="N6975">
        <v>1428.1343999999999</v>
      </c>
      <c r="O6975" s="1" t="s">
        <v>40</v>
      </c>
      <c r="P6975" s="1" t="s">
        <v>12733</v>
      </c>
      <c r="Q6975" s="1" t="s">
        <v>12734</v>
      </c>
      <c r="R6975" s="1" t="s">
        <v>43</v>
      </c>
      <c r="S6975" s="1" t="s">
        <v>7810</v>
      </c>
      <c r="T6975" s="1" t="s">
        <v>7811</v>
      </c>
      <c r="U6975" s="2" t="s">
        <v>480</v>
      </c>
      <c r="V6975" s="2" t="s">
        <v>36</v>
      </c>
      <c r="W6975" s="2" t="s">
        <v>142</v>
      </c>
      <c r="X6975" s="2">
        <v>528.42999999999995</v>
      </c>
    </row>
    <row r="6976" spans="1:24" x14ac:dyDescent="0.3">
      <c r="A6976">
        <v>24790</v>
      </c>
      <c r="B6976" t="s">
        <v>13778</v>
      </c>
      <c r="C6976" s="3">
        <v>41900</v>
      </c>
      <c r="D6976" t="s">
        <v>148</v>
      </c>
      <c r="E6976">
        <v>8</v>
      </c>
      <c r="F6976" s="3">
        <f ca="1">41902+(RANDBETWEEN(1,10))</f>
        <v>41912</v>
      </c>
      <c r="G6976" t="s">
        <v>26</v>
      </c>
      <c r="H6976" t="s">
        <v>51</v>
      </c>
      <c r="I6976" t="s">
        <v>86</v>
      </c>
      <c r="J6976">
        <v>154.41999999999999</v>
      </c>
      <c r="K6976">
        <v>0.01</v>
      </c>
      <c r="L6976">
        <v>0.64</v>
      </c>
      <c r="M6976">
        <v>16.170000000000002</v>
      </c>
      <c r="N6976">
        <v>-182.25200000000001</v>
      </c>
      <c r="O6976" s="1" t="s">
        <v>87</v>
      </c>
      <c r="P6976" s="1" t="s">
        <v>11163</v>
      </c>
      <c r="Q6976" s="1" t="s">
        <v>11164</v>
      </c>
      <c r="R6976" s="1" t="s">
        <v>398</v>
      </c>
      <c r="S6976" s="1" t="s">
        <v>2267</v>
      </c>
      <c r="T6976" s="1" t="s">
        <v>2268</v>
      </c>
      <c r="U6976" s="2" t="s">
        <v>505</v>
      </c>
      <c r="V6976" s="2" t="s">
        <v>36</v>
      </c>
      <c r="W6976" s="2" t="s">
        <v>60</v>
      </c>
      <c r="X6976" s="2">
        <v>17.43</v>
      </c>
    </row>
    <row r="6977" spans="1:24" x14ac:dyDescent="0.3">
      <c r="A6977">
        <v>24791</v>
      </c>
      <c r="B6977" t="s">
        <v>13779</v>
      </c>
      <c r="C6977" s="3">
        <v>40764</v>
      </c>
      <c r="D6977" t="s">
        <v>39</v>
      </c>
      <c r="E6977">
        <v>1</v>
      </c>
      <c r="F6977" s="3">
        <f ca="1">40766+(RANDBETWEEN(1,10))</f>
        <v>40769</v>
      </c>
      <c r="G6977" t="s">
        <v>26</v>
      </c>
      <c r="H6977" t="s">
        <v>27</v>
      </c>
      <c r="I6977" t="s">
        <v>28</v>
      </c>
      <c r="J6977">
        <v>25.234999999999999</v>
      </c>
      <c r="K6977">
        <v>0.08</v>
      </c>
      <c r="L6977">
        <v>0.39</v>
      </c>
      <c r="M6977">
        <v>17.535</v>
      </c>
      <c r="N6977">
        <v>-24.25787</v>
      </c>
      <c r="O6977" s="1" t="s">
        <v>40</v>
      </c>
      <c r="P6977" s="1" t="s">
        <v>5383</v>
      </c>
      <c r="Q6977" s="1" t="s">
        <v>5384</v>
      </c>
      <c r="R6977" s="1" t="s">
        <v>43</v>
      </c>
      <c r="S6977" s="1" t="s">
        <v>5385</v>
      </c>
      <c r="T6977" s="1" t="s">
        <v>5386</v>
      </c>
      <c r="U6977" s="2" t="s">
        <v>2422</v>
      </c>
      <c r="V6977" s="2" t="s">
        <v>47</v>
      </c>
      <c r="W6977" s="2" t="s">
        <v>111</v>
      </c>
      <c r="X6977" s="2">
        <v>20.09</v>
      </c>
    </row>
    <row r="6978" spans="1:24" x14ac:dyDescent="0.3">
      <c r="A6978">
        <v>24792</v>
      </c>
      <c r="B6978" t="s">
        <v>13780</v>
      </c>
      <c r="C6978" s="3">
        <v>41211</v>
      </c>
      <c r="D6978" t="s">
        <v>50</v>
      </c>
      <c r="E6978">
        <v>20</v>
      </c>
      <c r="F6978" s="3">
        <f ca="1">41212+(RANDBETWEEN(1,10))</f>
        <v>41215</v>
      </c>
      <c r="G6978" t="s">
        <v>26</v>
      </c>
      <c r="H6978" t="s">
        <v>27</v>
      </c>
      <c r="I6978" t="s">
        <v>28</v>
      </c>
      <c r="J6978">
        <v>396.55</v>
      </c>
      <c r="K6978">
        <v>0.1</v>
      </c>
      <c r="L6978">
        <v>0.36</v>
      </c>
      <c r="M6978">
        <v>19.11</v>
      </c>
      <c r="N6978">
        <v>282.93299999999999</v>
      </c>
      <c r="O6978" s="1" t="s">
        <v>40</v>
      </c>
      <c r="P6978" s="1" t="s">
        <v>13307</v>
      </c>
      <c r="Q6978" s="1" t="s">
        <v>13308</v>
      </c>
      <c r="R6978" s="1" t="s">
        <v>220</v>
      </c>
      <c r="S6978" s="1" t="s">
        <v>1455</v>
      </c>
      <c r="T6978" s="1" t="s">
        <v>1456</v>
      </c>
      <c r="U6978" s="2" t="s">
        <v>7070</v>
      </c>
      <c r="V6978" s="2" t="s">
        <v>47</v>
      </c>
      <c r="W6978" s="2" t="s">
        <v>74</v>
      </c>
      <c r="X6978" s="2">
        <v>20.93</v>
      </c>
    </row>
    <row r="6979" spans="1:24" x14ac:dyDescent="0.3">
      <c r="A6979">
        <v>24793</v>
      </c>
      <c r="B6979" t="s">
        <v>13781</v>
      </c>
      <c r="C6979" s="3">
        <v>40730</v>
      </c>
      <c r="D6979" t="s">
        <v>50</v>
      </c>
      <c r="E6979">
        <v>7</v>
      </c>
      <c r="F6979" s="3">
        <f ca="1">40732+(RANDBETWEEN(1,10))</f>
        <v>40737</v>
      </c>
      <c r="G6979" t="s">
        <v>26</v>
      </c>
      <c r="H6979" t="s">
        <v>27</v>
      </c>
      <c r="I6979" t="s">
        <v>86</v>
      </c>
      <c r="J6979">
        <v>178.60499999999999</v>
      </c>
      <c r="K6979">
        <v>0.01</v>
      </c>
      <c r="L6979">
        <v>0.37</v>
      </c>
      <c r="M6979">
        <v>17.184999999999999</v>
      </c>
      <c r="N6979">
        <v>-54.18</v>
      </c>
      <c r="O6979" s="1" t="s">
        <v>53</v>
      </c>
      <c r="P6979" s="1" t="s">
        <v>9928</v>
      </c>
      <c r="Q6979" s="1" t="s">
        <v>9929</v>
      </c>
      <c r="R6979" s="1" t="s">
        <v>100</v>
      </c>
      <c r="S6979" s="1" t="s">
        <v>9930</v>
      </c>
      <c r="T6979" s="1" t="s">
        <v>9931</v>
      </c>
      <c r="U6979" s="2" t="s">
        <v>9164</v>
      </c>
      <c r="V6979" s="2" t="s">
        <v>47</v>
      </c>
      <c r="W6979" s="2" t="s">
        <v>74</v>
      </c>
      <c r="X6979" s="2">
        <v>23.38</v>
      </c>
    </row>
    <row r="6980" spans="1:24" x14ac:dyDescent="0.3">
      <c r="A6980">
        <v>24794</v>
      </c>
      <c r="B6980" t="s">
        <v>13782</v>
      </c>
      <c r="C6980" s="3">
        <v>40827</v>
      </c>
      <c r="D6980" t="s">
        <v>25</v>
      </c>
      <c r="E6980">
        <v>21</v>
      </c>
      <c r="F6980" s="3">
        <f ca="1">40829+(RANDBETWEEN(1,10))</f>
        <v>40835</v>
      </c>
      <c r="G6980" t="s">
        <v>156</v>
      </c>
      <c r="H6980" t="s">
        <v>51</v>
      </c>
      <c r="I6980" t="s">
        <v>28</v>
      </c>
      <c r="J6980">
        <v>1379.35</v>
      </c>
      <c r="K6980">
        <v>0.09</v>
      </c>
      <c r="L6980">
        <v>0.44</v>
      </c>
      <c r="M6980">
        <v>21.524999999999999</v>
      </c>
      <c r="N6980">
        <v>739.31200000000001</v>
      </c>
      <c r="O6980" s="1" t="s">
        <v>64</v>
      </c>
      <c r="P6980" s="1" t="s">
        <v>12637</v>
      </c>
      <c r="Q6980" s="1" t="s">
        <v>12638</v>
      </c>
      <c r="R6980" s="1" t="s">
        <v>128</v>
      </c>
      <c r="S6980" s="1" t="s">
        <v>2082</v>
      </c>
      <c r="T6980" s="1" t="s">
        <v>2083</v>
      </c>
      <c r="U6980" s="2" t="s">
        <v>3649</v>
      </c>
      <c r="V6980" s="2" t="s">
        <v>83</v>
      </c>
      <c r="W6980" s="2" t="s">
        <v>178</v>
      </c>
      <c r="X6980" s="2">
        <v>67.305000000000007</v>
      </c>
    </row>
    <row r="6981" spans="1:24" x14ac:dyDescent="0.3">
      <c r="A6981">
        <v>24795</v>
      </c>
      <c r="B6981" t="s">
        <v>13783</v>
      </c>
      <c r="C6981" s="3">
        <v>41943</v>
      </c>
      <c r="D6981" t="s">
        <v>39</v>
      </c>
      <c r="E6981">
        <v>26</v>
      </c>
      <c r="F6981" s="3">
        <f ca="1">41943+(RANDBETWEEN(1,10))</f>
        <v>41946</v>
      </c>
      <c r="G6981" t="s">
        <v>26</v>
      </c>
      <c r="H6981" t="s">
        <v>27</v>
      </c>
      <c r="I6981" t="s">
        <v>97</v>
      </c>
      <c r="J6981">
        <v>769.05499999999995</v>
      </c>
      <c r="K6981">
        <v>0.08</v>
      </c>
      <c r="L6981">
        <v>0.38</v>
      </c>
      <c r="M6981">
        <v>29.015000000000001</v>
      </c>
      <c r="N6981">
        <v>17.681999999999999</v>
      </c>
      <c r="O6981" s="1" t="s">
        <v>225</v>
      </c>
      <c r="P6981" s="1" t="s">
        <v>11344</v>
      </c>
      <c r="Q6981" s="1" t="s">
        <v>11345</v>
      </c>
      <c r="R6981" s="1" t="s">
        <v>391</v>
      </c>
      <c r="S6981" s="1" t="s">
        <v>3508</v>
      </c>
      <c r="T6981" s="1" t="s">
        <v>11346</v>
      </c>
      <c r="U6981" s="2" t="s">
        <v>1682</v>
      </c>
      <c r="V6981" s="2" t="s">
        <v>47</v>
      </c>
      <c r="W6981" s="2" t="s">
        <v>48</v>
      </c>
      <c r="X6981" s="2">
        <v>30.59</v>
      </c>
    </row>
    <row r="6982" spans="1:24" x14ac:dyDescent="0.3">
      <c r="A6982">
        <v>24796</v>
      </c>
      <c r="B6982" t="s">
        <v>13784</v>
      </c>
      <c r="C6982" s="3">
        <v>41959</v>
      </c>
      <c r="D6982" t="s">
        <v>25</v>
      </c>
      <c r="E6982">
        <v>18</v>
      </c>
      <c r="F6982" s="3">
        <f ca="1">41959+(RANDBETWEEN(1,10))</f>
        <v>41960</v>
      </c>
      <c r="G6982" t="s">
        <v>26</v>
      </c>
      <c r="H6982" t="s">
        <v>96</v>
      </c>
      <c r="I6982" t="s">
        <v>97</v>
      </c>
      <c r="J6982">
        <v>1074.01</v>
      </c>
      <c r="K6982">
        <v>0.09</v>
      </c>
      <c r="L6982">
        <v>0.37</v>
      </c>
      <c r="M6982">
        <v>3.4649999999999999</v>
      </c>
      <c r="N6982">
        <v>-1206.4290000000001</v>
      </c>
      <c r="O6982" s="1" t="s">
        <v>29</v>
      </c>
      <c r="P6982" s="1" t="s">
        <v>10801</v>
      </c>
      <c r="Q6982" s="1" t="s">
        <v>10802</v>
      </c>
      <c r="R6982" s="1" t="s">
        <v>32</v>
      </c>
      <c r="S6982" s="1" t="s">
        <v>5627</v>
      </c>
      <c r="T6982" s="1" t="s">
        <v>5628</v>
      </c>
      <c r="U6982" s="2" t="s">
        <v>3359</v>
      </c>
      <c r="V6982" s="2" t="s">
        <v>36</v>
      </c>
      <c r="W6982" s="2" t="s">
        <v>37</v>
      </c>
      <c r="X6982" s="2">
        <v>73.465000000000003</v>
      </c>
    </row>
    <row r="6983" spans="1:24" x14ac:dyDescent="0.3">
      <c r="A6983">
        <v>24797</v>
      </c>
      <c r="B6983" t="s">
        <v>13785</v>
      </c>
      <c r="C6983" s="3">
        <v>41191</v>
      </c>
      <c r="D6983" t="s">
        <v>39</v>
      </c>
      <c r="E6983">
        <v>14</v>
      </c>
      <c r="F6983" s="3">
        <f ca="1">41193+(RANDBETWEEN(1,10))</f>
        <v>41200</v>
      </c>
      <c r="G6983" t="s">
        <v>76</v>
      </c>
      <c r="H6983" t="s">
        <v>77</v>
      </c>
      <c r="I6983" t="s">
        <v>28</v>
      </c>
      <c r="J6983">
        <v>2846.62</v>
      </c>
      <c r="K6983">
        <v>0.09</v>
      </c>
      <c r="L6983">
        <v>0.7</v>
      </c>
      <c r="M6983">
        <v>105</v>
      </c>
      <c r="N6983">
        <v>-2226.0419999999999</v>
      </c>
      <c r="O6983" s="1" t="s">
        <v>29</v>
      </c>
      <c r="P6983" s="1" t="s">
        <v>11644</v>
      </c>
      <c r="Q6983" s="1" t="s">
        <v>11645</v>
      </c>
      <c r="R6983" s="1" t="s">
        <v>32</v>
      </c>
      <c r="S6983" s="1" t="s">
        <v>11646</v>
      </c>
      <c r="T6983" s="1" t="s">
        <v>11647</v>
      </c>
      <c r="U6983" s="2" t="s">
        <v>5111</v>
      </c>
      <c r="V6983" s="2" t="s">
        <v>83</v>
      </c>
      <c r="W6983" s="2" t="s">
        <v>84</v>
      </c>
      <c r="X6983" s="2">
        <v>213.43</v>
      </c>
    </row>
    <row r="6984" spans="1:24" x14ac:dyDescent="0.3">
      <c r="A6984">
        <v>24798</v>
      </c>
      <c r="B6984" t="s">
        <v>13785</v>
      </c>
      <c r="C6984" s="3">
        <v>41191</v>
      </c>
      <c r="D6984" t="s">
        <v>39</v>
      </c>
      <c r="E6984">
        <v>9</v>
      </c>
      <c r="F6984" s="3">
        <f ca="1">41191+(RANDBETWEEN(1,10))</f>
        <v>41200</v>
      </c>
      <c r="G6984" t="s">
        <v>26</v>
      </c>
      <c r="H6984" t="s">
        <v>27</v>
      </c>
      <c r="I6984" t="s">
        <v>28</v>
      </c>
      <c r="J6984">
        <v>2952.88</v>
      </c>
      <c r="K6984">
        <v>0.1</v>
      </c>
      <c r="L6984">
        <v>0.5</v>
      </c>
      <c r="M6984">
        <v>69.965000000000003</v>
      </c>
      <c r="N6984">
        <v>165.63679999999999</v>
      </c>
      <c r="O6984" s="1" t="s">
        <v>29</v>
      </c>
      <c r="P6984" s="1" t="s">
        <v>11644</v>
      </c>
      <c r="Q6984" s="1" t="s">
        <v>11645</v>
      </c>
      <c r="R6984" s="1" t="s">
        <v>32</v>
      </c>
      <c r="S6984" s="1" t="s">
        <v>11646</v>
      </c>
      <c r="T6984" s="1" t="s">
        <v>11647</v>
      </c>
      <c r="U6984" s="2" t="s">
        <v>6456</v>
      </c>
      <c r="V6984" s="2" t="s">
        <v>36</v>
      </c>
      <c r="W6984" s="2" t="s">
        <v>60</v>
      </c>
      <c r="X6984" s="2">
        <v>349.96499999999997</v>
      </c>
    </row>
    <row r="6985" spans="1:24" x14ac:dyDescent="0.3">
      <c r="A6985">
        <v>24799</v>
      </c>
      <c r="B6985" t="s">
        <v>13786</v>
      </c>
      <c r="C6985" s="3">
        <v>41921</v>
      </c>
      <c r="D6985" t="s">
        <v>39</v>
      </c>
      <c r="E6985">
        <v>23</v>
      </c>
      <c r="F6985" s="3">
        <f ca="1">41922+(RANDBETWEEN(1,10))</f>
        <v>41923</v>
      </c>
      <c r="G6985" t="s">
        <v>26</v>
      </c>
      <c r="H6985" t="s">
        <v>27</v>
      </c>
      <c r="I6985" t="s">
        <v>28</v>
      </c>
      <c r="J6985">
        <v>339.04500000000002</v>
      </c>
      <c r="K6985">
        <v>0.03</v>
      </c>
      <c r="L6985">
        <v>0.49</v>
      </c>
      <c r="M6985">
        <v>24.22</v>
      </c>
      <c r="N6985">
        <v>-673.96</v>
      </c>
      <c r="O6985" s="1" t="s">
        <v>29</v>
      </c>
      <c r="P6985" s="1" t="s">
        <v>11644</v>
      </c>
      <c r="Q6985" s="1" t="s">
        <v>11645</v>
      </c>
      <c r="R6985" s="1" t="s">
        <v>32</v>
      </c>
      <c r="S6985" s="1" t="s">
        <v>11646</v>
      </c>
      <c r="T6985" s="1" t="s">
        <v>11647</v>
      </c>
      <c r="U6985" s="2" t="s">
        <v>6098</v>
      </c>
      <c r="V6985" s="2" t="s">
        <v>83</v>
      </c>
      <c r="W6985" s="2" t="s">
        <v>178</v>
      </c>
      <c r="X6985" s="2">
        <v>14.63</v>
      </c>
    </row>
    <row r="6986" spans="1:24" x14ac:dyDescent="0.3">
      <c r="A6986">
        <v>24800</v>
      </c>
      <c r="B6986" t="s">
        <v>13786</v>
      </c>
      <c r="C6986" s="3">
        <v>41921</v>
      </c>
      <c r="D6986" t="s">
        <v>39</v>
      </c>
      <c r="E6986">
        <v>8</v>
      </c>
      <c r="F6986" s="3">
        <f ca="1">41923+(RANDBETWEEN(1,10))</f>
        <v>41926</v>
      </c>
      <c r="G6986" t="s">
        <v>26</v>
      </c>
      <c r="H6986" t="s">
        <v>27</v>
      </c>
      <c r="I6986" t="s">
        <v>28</v>
      </c>
      <c r="J6986">
        <v>137.02500000000001</v>
      </c>
      <c r="K6986">
        <v>0.08</v>
      </c>
      <c r="L6986">
        <v>0.38</v>
      </c>
      <c r="M6986">
        <v>17.395</v>
      </c>
      <c r="N6986">
        <v>-156.77375000000001</v>
      </c>
      <c r="O6986" s="1" t="s">
        <v>64</v>
      </c>
      <c r="P6986" s="1" t="s">
        <v>13787</v>
      </c>
      <c r="Q6986" s="1" t="s">
        <v>13788</v>
      </c>
      <c r="R6986" s="1" t="s">
        <v>67</v>
      </c>
      <c r="S6986" s="1" t="s">
        <v>6687</v>
      </c>
      <c r="T6986" s="1" t="s">
        <v>6688</v>
      </c>
      <c r="U6986" s="2" t="s">
        <v>8128</v>
      </c>
      <c r="V6986" s="2" t="s">
        <v>47</v>
      </c>
      <c r="W6986" s="2" t="s">
        <v>111</v>
      </c>
      <c r="X6986" s="2">
        <v>17.184999999999999</v>
      </c>
    </row>
    <row r="6987" spans="1:24" x14ac:dyDescent="0.3">
      <c r="A6987">
        <v>24801</v>
      </c>
      <c r="B6987" t="s">
        <v>13785</v>
      </c>
      <c r="C6987" s="3">
        <v>41191</v>
      </c>
      <c r="D6987" t="s">
        <v>39</v>
      </c>
      <c r="E6987">
        <v>13</v>
      </c>
      <c r="F6987" s="3">
        <f ca="1">41193+(RANDBETWEEN(1,10))</f>
        <v>41198</v>
      </c>
      <c r="G6987" t="s">
        <v>26</v>
      </c>
      <c r="H6987" t="s">
        <v>96</v>
      </c>
      <c r="I6987" t="s">
        <v>28</v>
      </c>
      <c r="J6987">
        <v>70.944999999999993</v>
      </c>
      <c r="K6987">
        <v>0.04</v>
      </c>
      <c r="L6987">
        <v>0.37</v>
      </c>
      <c r="M6987">
        <v>2.4500000000000002</v>
      </c>
      <c r="N6987">
        <v>18.5794</v>
      </c>
      <c r="O6987" s="1" t="s">
        <v>64</v>
      </c>
      <c r="P6987" s="1" t="s">
        <v>13787</v>
      </c>
      <c r="Q6987" s="1" t="s">
        <v>13788</v>
      </c>
      <c r="R6987" s="1" t="s">
        <v>67</v>
      </c>
      <c r="S6987" s="1" t="s">
        <v>6687</v>
      </c>
      <c r="T6987" s="1" t="s">
        <v>6688</v>
      </c>
      <c r="U6987" s="2" t="s">
        <v>3561</v>
      </c>
      <c r="V6987" s="2" t="s">
        <v>47</v>
      </c>
      <c r="W6987" s="2" t="s">
        <v>176</v>
      </c>
      <c r="X6987" s="2">
        <v>5.18</v>
      </c>
    </row>
    <row r="6988" spans="1:24" x14ac:dyDescent="0.3">
      <c r="A6988">
        <v>24802</v>
      </c>
      <c r="B6988" t="s">
        <v>13789</v>
      </c>
      <c r="C6988" s="3">
        <v>40750</v>
      </c>
      <c r="D6988" t="s">
        <v>148</v>
      </c>
      <c r="E6988">
        <v>15</v>
      </c>
      <c r="F6988" s="3">
        <f ca="1">40750+(RANDBETWEEN(1,10))</f>
        <v>40753</v>
      </c>
      <c r="G6988" t="s">
        <v>26</v>
      </c>
      <c r="H6988" t="s">
        <v>27</v>
      </c>
      <c r="I6988" t="s">
        <v>97</v>
      </c>
      <c r="J6988">
        <v>406.38499999999999</v>
      </c>
      <c r="K6988">
        <v>0.04</v>
      </c>
      <c r="L6988">
        <v>0.41</v>
      </c>
      <c r="M6988">
        <v>17.324999999999999</v>
      </c>
      <c r="N6988">
        <v>-27.055</v>
      </c>
      <c r="O6988" s="1" t="s">
        <v>225</v>
      </c>
      <c r="P6988" s="1" t="s">
        <v>11748</v>
      </c>
      <c r="Q6988" s="1" t="s">
        <v>11749</v>
      </c>
      <c r="R6988" s="1" t="s">
        <v>228</v>
      </c>
      <c r="S6988" s="1" t="s">
        <v>11750</v>
      </c>
      <c r="T6988" s="1" t="s">
        <v>11751</v>
      </c>
      <c r="U6988" s="2" t="s">
        <v>3405</v>
      </c>
      <c r="V6988" s="2" t="s">
        <v>83</v>
      </c>
      <c r="W6988" s="2" t="s">
        <v>178</v>
      </c>
      <c r="X6988" s="2">
        <v>27.86</v>
      </c>
    </row>
    <row r="6989" spans="1:24" x14ac:dyDescent="0.3">
      <c r="A6989">
        <v>24803</v>
      </c>
      <c r="B6989" t="s">
        <v>13790</v>
      </c>
      <c r="C6989" s="3">
        <v>40696</v>
      </c>
      <c r="D6989" t="s">
        <v>62</v>
      </c>
      <c r="E6989">
        <v>13</v>
      </c>
      <c r="F6989" s="3">
        <f ca="1">40697+(RANDBETWEEN(1,10))</f>
        <v>40699</v>
      </c>
      <c r="G6989" t="s">
        <v>26</v>
      </c>
      <c r="H6989" t="s">
        <v>27</v>
      </c>
      <c r="I6989" t="s">
        <v>86</v>
      </c>
      <c r="J6989">
        <v>1094.0650000000001</v>
      </c>
      <c r="K6989">
        <v>0.03</v>
      </c>
      <c r="L6989">
        <v>0.39</v>
      </c>
      <c r="M6989">
        <v>40.39</v>
      </c>
      <c r="N6989">
        <v>321.846</v>
      </c>
      <c r="O6989" s="1" t="s">
        <v>87</v>
      </c>
      <c r="P6989" s="1" t="s">
        <v>13791</v>
      </c>
      <c r="Q6989" s="1" t="s">
        <v>13792</v>
      </c>
      <c r="R6989" s="1" t="s">
        <v>90</v>
      </c>
      <c r="S6989" s="1" t="s">
        <v>13793</v>
      </c>
      <c r="T6989" s="1" t="s">
        <v>13794</v>
      </c>
      <c r="U6989" s="2" t="s">
        <v>642</v>
      </c>
      <c r="V6989" s="2" t="s">
        <v>47</v>
      </c>
      <c r="W6989" s="2" t="s">
        <v>74</v>
      </c>
      <c r="X6989" s="2">
        <v>79.94</v>
      </c>
    </row>
    <row r="6990" spans="1:24" x14ac:dyDescent="0.3">
      <c r="A6990">
        <v>24804</v>
      </c>
      <c r="B6990" t="s">
        <v>13795</v>
      </c>
      <c r="C6990" s="3">
        <v>41792</v>
      </c>
      <c r="D6990" t="s">
        <v>62</v>
      </c>
      <c r="E6990">
        <v>1</v>
      </c>
      <c r="F6990" s="3">
        <f ca="1">41793+(RANDBETWEEN(1,10))</f>
        <v>41801</v>
      </c>
      <c r="G6990" t="s">
        <v>26</v>
      </c>
      <c r="H6990" t="s">
        <v>281</v>
      </c>
      <c r="I6990" t="s">
        <v>86</v>
      </c>
      <c r="J6990">
        <v>45.43</v>
      </c>
      <c r="K6990">
        <v>0.06</v>
      </c>
      <c r="L6990">
        <v>0.36</v>
      </c>
      <c r="M6990">
        <v>21.84</v>
      </c>
      <c r="N6990">
        <v>-82.020120000000006</v>
      </c>
      <c r="O6990" s="1" t="s">
        <v>40</v>
      </c>
      <c r="P6990" s="1" t="s">
        <v>13796</v>
      </c>
      <c r="Q6990" s="1" t="s">
        <v>13797</v>
      </c>
      <c r="R6990" s="1" t="s">
        <v>43</v>
      </c>
      <c r="S6990" s="1" t="s">
        <v>4289</v>
      </c>
      <c r="T6990" s="1" t="s">
        <v>4290</v>
      </c>
      <c r="U6990" s="2" t="s">
        <v>4423</v>
      </c>
      <c r="V6990" s="2" t="s">
        <v>36</v>
      </c>
      <c r="W6990" s="2" t="s">
        <v>142</v>
      </c>
      <c r="X6990" s="2">
        <v>34.965000000000003</v>
      </c>
    </row>
    <row r="6991" spans="1:24" x14ac:dyDescent="0.3">
      <c r="A6991">
        <v>24805</v>
      </c>
      <c r="B6991" t="s">
        <v>13790</v>
      </c>
      <c r="C6991" s="3">
        <v>40696</v>
      </c>
      <c r="D6991" t="s">
        <v>62</v>
      </c>
      <c r="E6991">
        <v>6</v>
      </c>
      <c r="F6991" s="3">
        <f ca="1">40697+(RANDBETWEEN(1,10))</f>
        <v>40704</v>
      </c>
      <c r="G6991" t="s">
        <v>26</v>
      </c>
      <c r="H6991" t="s">
        <v>51</v>
      </c>
      <c r="I6991" t="s">
        <v>86</v>
      </c>
      <c r="J6991">
        <v>225.4</v>
      </c>
      <c r="K6991">
        <v>0.05</v>
      </c>
      <c r="L6991">
        <v>0.56999999999999995</v>
      </c>
      <c r="M6991">
        <v>11.795</v>
      </c>
      <c r="N6991">
        <v>-8.9039999999999999</v>
      </c>
      <c r="O6991" s="1" t="s">
        <v>64</v>
      </c>
      <c r="P6991" s="1" t="s">
        <v>13798</v>
      </c>
      <c r="Q6991" s="1" t="s">
        <v>13799</v>
      </c>
      <c r="R6991" s="1" t="s">
        <v>128</v>
      </c>
      <c r="S6991" s="1" t="s">
        <v>13800</v>
      </c>
      <c r="T6991" s="1" t="s">
        <v>13801</v>
      </c>
      <c r="U6991" s="2" t="s">
        <v>5857</v>
      </c>
      <c r="V6991" s="2" t="s">
        <v>47</v>
      </c>
      <c r="W6991" s="2" t="s">
        <v>94</v>
      </c>
      <c r="X6991" s="2">
        <v>38.43</v>
      </c>
    </row>
    <row r="6992" spans="1:24" x14ac:dyDescent="0.3">
      <c r="A6992">
        <v>24806</v>
      </c>
      <c r="B6992" t="s">
        <v>13802</v>
      </c>
      <c r="C6992" s="3">
        <v>41641</v>
      </c>
      <c r="D6992" t="s">
        <v>62</v>
      </c>
      <c r="E6992">
        <v>9</v>
      </c>
      <c r="F6992" s="3">
        <f ca="1">41644+(RANDBETWEEN(1,10))</f>
        <v>41650</v>
      </c>
      <c r="G6992" t="s">
        <v>76</v>
      </c>
      <c r="H6992" t="s">
        <v>77</v>
      </c>
      <c r="I6992" t="s">
        <v>28</v>
      </c>
      <c r="J6992">
        <v>10930.254999999999</v>
      </c>
      <c r="K6992">
        <v>0.1</v>
      </c>
      <c r="L6992">
        <v>0.65</v>
      </c>
      <c r="M6992">
        <v>346.5</v>
      </c>
      <c r="N6992">
        <v>-2268.0405999999998</v>
      </c>
      <c r="O6992" s="1" t="s">
        <v>87</v>
      </c>
      <c r="P6992" s="1" t="s">
        <v>13803</v>
      </c>
      <c r="Q6992" s="1" t="s">
        <v>13804</v>
      </c>
      <c r="R6992" s="1" t="s">
        <v>90</v>
      </c>
      <c r="S6992" s="1" t="s">
        <v>3819</v>
      </c>
      <c r="T6992" s="1" t="s">
        <v>3820</v>
      </c>
      <c r="U6992" s="2" t="s">
        <v>1540</v>
      </c>
      <c r="V6992" s="2" t="s">
        <v>47</v>
      </c>
      <c r="W6992" s="2" t="s">
        <v>119</v>
      </c>
      <c r="X6992" s="2">
        <v>1298.43</v>
      </c>
    </row>
    <row r="6993" spans="1:24" x14ac:dyDescent="0.3">
      <c r="A6993">
        <v>24807</v>
      </c>
      <c r="B6993" t="s">
        <v>13805</v>
      </c>
      <c r="C6993" s="3">
        <v>41983</v>
      </c>
      <c r="D6993" t="s">
        <v>62</v>
      </c>
      <c r="E6993">
        <v>9</v>
      </c>
      <c r="F6993" s="3">
        <f ca="1">41984+(RANDBETWEEN(1,10))</f>
        <v>41987</v>
      </c>
      <c r="G6993" t="s">
        <v>156</v>
      </c>
      <c r="H6993" t="s">
        <v>96</v>
      </c>
      <c r="I6993" t="s">
        <v>86</v>
      </c>
      <c r="J6993">
        <v>83.23</v>
      </c>
      <c r="K6993">
        <v>0</v>
      </c>
      <c r="L6993">
        <v>0.38</v>
      </c>
      <c r="M6993">
        <v>3.5</v>
      </c>
      <c r="N6993">
        <v>57.428699999999999</v>
      </c>
      <c r="O6993" s="1" t="s">
        <v>87</v>
      </c>
      <c r="P6993" s="1" t="s">
        <v>13806</v>
      </c>
      <c r="Q6993" s="1" t="s">
        <v>13807</v>
      </c>
      <c r="R6993" s="1" t="s">
        <v>90</v>
      </c>
      <c r="S6993" s="1" t="s">
        <v>13808</v>
      </c>
      <c r="T6993" s="1" t="s">
        <v>13809</v>
      </c>
      <c r="U6993" s="2" t="s">
        <v>671</v>
      </c>
      <c r="V6993" s="2" t="s">
        <v>47</v>
      </c>
      <c r="W6993" s="2" t="s">
        <v>104</v>
      </c>
      <c r="X6993" s="2">
        <v>7.7350000000000003</v>
      </c>
    </row>
    <row r="6994" spans="1:24" x14ac:dyDescent="0.3">
      <c r="A6994">
        <v>24808</v>
      </c>
      <c r="B6994" t="s">
        <v>13810</v>
      </c>
      <c r="C6994" s="3">
        <v>41083</v>
      </c>
      <c r="D6994" t="s">
        <v>148</v>
      </c>
      <c r="E6994">
        <v>8</v>
      </c>
      <c r="F6994" s="3">
        <f ca="1">41084+(RANDBETWEEN(1,10))</f>
        <v>41093</v>
      </c>
      <c r="G6994" t="s">
        <v>26</v>
      </c>
      <c r="H6994" t="s">
        <v>51</v>
      </c>
      <c r="I6994" t="s">
        <v>86</v>
      </c>
      <c r="J6994">
        <v>440.89499999999998</v>
      </c>
      <c r="K6994">
        <v>0.05</v>
      </c>
      <c r="L6994">
        <v>0.42</v>
      </c>
      <c r="M6994">
        <v>6.9649999999999999</v>
      </c>
      <c r="N6994">
        <v>285.43200000000002</v>
      </c>
      <c r="O6994" s="1" t="s">
        <v>64</v>
      </c>
      <c r="P6994" s="1" t="s">
        <v>10946</v>
      </c>
      <c r="Q6994" s="1" t="s">
        <v>10947</v>
      </c>
      <c r="R6994" s="1" t="s">
        <v>67</v>
      </c>
      <c r="S6994" s="1" t="s">
        <v>10948</v>
      </c>
      <c r="T6994" s="1" t="s">
        <v>10949</v>
      </c>
      <c r="U6994" s="2" t="s">
        <v>5273</v>
      </c>
      <c r="V6994" s="2" t="s">
        <v>36</v>
      </c>
      <c r="W6994" s="2" t="s">
        <v>60</v>
      </c>
      <c r="X6994" s="2">
        <v>57.68</v>
      </c>
    </row>
    <row r="6995" spans="1:24" x14ac:dyDescent="0.3">
      <c r="A6995">
        <v>24809</v>
      </c>
      <c r="B6995" t="s">
        <v>13810</v>
      </c>
      <c r="C6995" s="3">
        <v>41083</v>
      </c>
      <c r="D6995" t="s">
        <v>148</v>
      </c>
      <c r="E6995">
        <v>15</v>
      </c>
      <c r="F6995" s="3">
        <f ca="1">41084+(RANDBETWEEN(1,10))</f>
        <v>41092</v>
      </c>
      <c r="G6995" t="s">
        <v>156</v>
      </c>
      <c r="H6995" t="s">
        <v>51</v>
      </c>
      <c r="I6995" t="s">
        <v>86</v>
      </c>
      <c r="J6995">
        <v>990.39499999999998</v>
      </c>
      <c r="K6995">
        <v>0.08</v>
      </c>
      <c r="L6995">
        <v>0.49</v>
      </c>
      <c r="M6995">
        <v>23.344999999999999</v>
      </c>
      <c r="N6995">
        <v>562.08600000000001</v>
      </c>
      <c r="O6995" s="1" t="s">
        <v>40</v>
      </c>
      <c r="P6995" s="1" t="s">
        <v>13811</v>
      </c>
      <c r="Q6995" s="1" t="s">
        <v>13812</v>
      </c>
      <c r="R6995" s="1" t="s">
        <v>43</v>
      </c>
      <c r="S6995" s="1" t="s">
        <v>1598</v>
      </c>
      <c r="T6995" s="1" t="s">
        <v>13813</v>
      </c>
      <c r="U6995" s="2" t="s">
        <v>2831</v>
      </c>
      <c r="V6995" s="2" t="s">
        <v>83</v>
      </c>
      <c r="W6995" s="2" t="s">
        <v>178</v>
      </c>
      <c r="X6995" s="2">
        <v>70.84</v>
      </c>
    </row>
    <row r="6996" spans="1:24" x14ac:dyDescent="0.3">
      <c r="A6996">
        <v>24810</v>
      </c>
      <c r="B6996" t="s">
        <v>13810</v>
      </c>
      <c r="C6996" s="3">
        <v>41083</v>
      </c>
      <c r="D6996" t="s">
        <v>148</v>
      </c>
      <c r="E6996">
        <v>16</v>
      </c>
      <c r="F6996" s="3">
        <f ca="1">41085+(RANDBETWEEN(1,10))</f>
        <v>41091</v>
      </c>
      <c r="G6996" t="s">
        <v>26</v>
      </c>
      <c r="H6996" t="s">
        <v>27</v>
      </c>
      <c r="I6996" t="s">
        <v>86</v>
      </c>
      <c r="J6996">
        <v>1148.4549999999999</v>
      </c>
      <c r="K6996">
        <v>0</v>
      </c>
      <c r="L6996">
        <v>0.37</v>
      </c>
      <c r="M6996">
        <v>31.605</v>
      </c>
      <c r="N6996">
        <v>645.96</v>
      </c>
      <c r="O6996" s="1" t="s">
        <v>40</v>
      </c>
      <c r="P6996" s="1" t="s">
        <v>13811</v>
      </c>
      <c r="Q6996" s="1" t="s">
        <v>13812</v>
      </c>
      <c r="R6996" s="1" t="s">
        <v>43</v>
      </c>
      <c r="S6996" s="1" t="s">
        <v>1598</v>
      </c>
      <c r="T6996" s="1" t="s">
        <v>13813</v>
      </c>
      <c r="U6996" s="2" t="s">
        <v>482</v>
      </c>
      <c r="V6996" s="2" t="s">
        <v>47</v>
      </c>
      <c r="W6996" s="2" t="s">
        <v>74</v>
      </c>
      <c r="X6996" s="2">
        <v>66.394999999999996</v>
      </c>
    </row>
    <row r="6997" spans="1:24" x14ac:dyDescent="0.3">
      <c r="A6997">
        <v>24811</v>
      </c>
      <c r="B6997" t="s">
        <v>13810</v>
      </c>
      <c r="C6997" s="3">
        <v>41083</v>
      </c>
      <c r="D6997" t="s">
        <v>148</v>
      </c>
      <c r="E6997">
        <v>19</v>
      </c>
      <c r="F6997" s="3">
        <f ca="1">41085+(RANDBETWEEN(1,10))</f>
        <v>41094</v>
      </c>
      <c r="G6997" t="s">
        <v>26</v>
      </c>
      <c r="H6997" t="s">
        <v>27</v>
      </c>
      <c r="I6997" t="s">
        <v>86</v>
      </c>
      <c r="J6997">
        <v>6739.88</v>
      </c>
      <c r="K6997">
        <v>0.09</v>
      </c>
      <c r="L6997">
        <v>0.55000000000000004</v>
      </c>
      <c r="M6997">
        <v>31.465</v>
      </c>
      <c r="N6997">
        <v>4650.5172000000002</v>
      </c>
      <c r="O6997" s="1" t="s">
        <v>40</v>
      </c>
      <c r="P6997" s="1" t="s">
        <v>13811</v>
      </c>
      <c r="Q6997" s="1" t="s">
        <v>13812</v>
      </c>
      <c r="R6997" s="1" t="s">
        <v>43</v>
      </c>
      <c r="S6997" s="1" t="s">
        <v>1598</v>
      </c>
      <c r="T6997" s="1" t="s">
        <v>13813</v>
      </c>
      <c r="U6997" s="2" t="s">
        <v>5120</v>
      </c>
      <c r="V6997" s="2" t="s">
        <v>36</v>
      </c>
      <c r="W6997" s="2" t="s">
        <v>37</v>
      </c>
      <c r="X6997" s="2">
        <v>440.96499999999997</v>
      </c>
    </row>
    <row r="6998" spans="1:24" x14ac:dyDescent="0.3">
      <c r="A6998">
        <v>24812</v>
      </c>
      <c r="B6998" t="s">
        <v>13814</v>
      </c>
      <c r="C6998" s="3">
        <v>41406</v>
      </c>
      <c r="D6998" t="s">
        <v>39</v>
      </c>
      <c r="E6998">
        <v>16</v>
      </c>
      <c r="F6998" s="3">
        <f ca="1">41408+(RANDBETWEEN(1,10))</f>
        <v>41414</v>
      </c>
      <c r="G6998" t="s">
        <v>26</v>
      </c>
      <c r="H6998" t="s">
        <v>27</v>
      </c>
      <c r="I6998" t="s">
        <v>28</v>
      </c>
      <c r="J6998">
        <v>361.51499999999999</v>
      </c>
      <c r="K6998">
        <v>7.0000000000000007E-2</v>
      </c>
      <c r="L6998">
        <v>0.37</v>
      </c>
      <c r="M6998">
        <v>27.684999999999999</v>
      </c>
      <c r="N6998">
        <v>-611.59</v>
      </c>
      <c r="O6998" s="1" t="s">
        <v>40</v>
      </c>
      <c r="P6998" s="1" t="s">
        <v>11527</v>
      </c>
      <c r="Q6998" s="1" t="s">
        <v>11528</v>
      </c>
      <c r="R6998" s="1" t="s">
        <v>43</v>
      </c>
      <c r="S6998" s="1" t="s">
        <v>11529</v>
      </c>
      <c r="T6998" s="1" t="s">
        <v>11530</v>
      </c>
      <c r="U6998" s="2" t="s">
        <v>387</v>
      </c>
      <c r="V6998" s="2" t="s">
        <v>47</v>
      </c>
      <c r="W6998" s="2" t="s">
        <v>74</v>
      </c>
      <c r="X6998" s="2">
        <v>22.68</v>
      </c>
    </row>
    <row r="6999" spans="1:24" x14ac:dyDescent="0.3">
      <c r="A6999">
        <v>24813</v>
      </c>
      <c r="B6999" t="s">
        <v>13815</v>
      </c>
      <c r="C6999" s="3">
        <v>40919</v>
      </c>
      <c r="D6999" t="s">
        <v>25</v>
      </c>
      <c r="E6999">
        <v>7</v>
      </c>
      <c r="F6999" s="3">
        <f ca="1">40921+(RANDBETWEEN(1,10))</f>
        <v>40927</v>
      </c>
      <c r="G6999" t="s">
        <v>26</v>
      </c>
      <c r="H6999" t="s">
        <v>27</v>
      </c>
      <c r="I6999" t="s">
        <v>97</v>
      </c>
      <c r="J6999">
        <v>327.28500000000003</v>
      </c>
      <c r="K6999">
        <v>0</v>
      </c>
      <c r="L6999">
        <v>0.35</v>
      </c>
      <c r="M6999">
        <v>5.2149999999999999</v>
      </c>
      <c r="N6999">
        <v>225.82665</v>
      </c>
      <c r="O6999" s="1" t="s">
        <v>225</v>
      </c>
      <c r="P6999" s="1" t="s">
        <v>11038</v>
      </c>
      <c r="Q6999" s="1" t="s">
        <v>11039</v>
      </c>
      <c r="R6999" s="1" t="s">
        <v>228</v>
      </c>
      <c r="S6999" s="1" t="s">
        <v>11040</v>
      </c>
      <c r="T6999" s="1" t="s">
        <v>11041</v>
      </c>
      <c r="U6999" s="2" t="s">
        <v>2551</v>
      </c>
      <c r="V6999" s="2" t="s">
        <v>47</v>
      </c>
      <c r="W6999" s="2" t="s">
        <v>111</v>
      </c>
      <c r="X6999" s="2">
        <v>45.395000000000003</v>
      </c>
    </row>
    <row r="7000" spans="1:24" x14ac:dyDescent="0.3">
      <c r="A7000">
        <v>24814</v>
      </c>
      <c r="B7000" t="s">
        <v>13816</v>
      </c>
      <c r="C7000" s="3">
        <v>41489</v>
      </c>
      <c r="D7000" t="s">
        <v>50</v>
      </c>
      <c r="E7000">
        <v>24</v>
      </c>
      <c r="F7000" s="3">
        <f ca="1">41490+(RANDBETWEEN(1,10))</f>
        <v>41498</v>
      </c>
      <c r="G7000" t="s">
        <v>26</v>
      </c>
      <c r="H7000" t="s">
        <v>27</v>
      </c>
      <c r="I7000" t="s">
        <v>52</v>
      </c>
      <c r="J7000">
        <v>417.9</v>
      </c>
      <c r="K7000">
        <v>0.04</v>
      </c>
      <c r="L7000">
        <v>0.36</v>
      </c>
      <c r="M7000">
        <v>16.52</v>
      </c>
      <c r="N7000">
        <v>-152.4796</v>
      </c>
      <c r="O7000" s="1" t="s">
        <v>40</v>
      </c>
      <c r="P7000" s="1" t="s">
        <v>4515</v>
      </c>
      <c r="Q7000" s="1" t="s">
        <v>4516</v>
      </c>
      <c r="R7000" s="1" t="s">
        <v>220</v>
      </c>
      <c r="S7000" s="1" t="s">
        <v>4517</v>
      </c>
      <c r="T7000" s="1" t="s">
        <v>4518</v>
      </c>
      <c r="U7000" s="2" t="s">
        <v>904</v>
      </c>
      <c r="V7000" s="2" t="s">
        <v>47</v>
      </c>
      <c r="W7000" s="2" t="s">
        <v>74</v>
      </c>
      <c r="X7000" s="2">
        <v>17.43</v>
      </c>
    </row>
    <row r="7001" spans="1:24" x14ac:dyDescent="0.3">
      <c r="A7001">
        <v>24815</v>
      </c>
      <c r="B7001" t="s">
        <v>13816</v>
      </c>
      <c r="C7001" s="3">
        <v>41489</v>
      </c>
      <c r="D7001" t="s">
        <v>50</v>
      </c>
      <c r="E7001">
        <v>23</v>
      </c>
      <c r="F7001" s="3">
        <f ca="1">41489+(RANDBETWEEN(1,10))</f>
        <v>41491</v>
      </c>
      <c r="G7001" t="s">
        <v>156</v>
      </c>
      <c r="H7001" t="s">
        <v>96</v>
      </c>
      <c r="I7001" t="s">
        <v>52</v>
      </c>
      <c r="J7001">
        <v>253.92500000000001</v>
      </c>
      <c r="K7001">
        <v>0.04</v>
      </c>
      <c r="L7001">
        <v>0.4</v>
      </c>
      <c r="M7001">
        <v>2.835</v>
      </c>
      <c r="N7001">
        <v>175.20824999999999</v>
      </c>
      <c r="O7001" s="1" t="s">
        <v>40</v>
      </c>
      <c r="P7001" s="1" t="s">
        <v>4515</v>
      </c>
      <c r="Q7001" s="1" t="s">
        <v>4516</v>
      </c>
      <c r="R7001" s="1" t="s">
        <v>220</v>
      </c>
      <c r="S7001" s="1" t="s">
        <v>4517</v>
      </c>
      <c r="T7001" s="1" t="s">
        <v>4518</v>
      </c>
      <c r="U7001" s="2" t="s">
        <v>5264</v>
      </c>
      <c r="V7001" s="2" t="s">
        <v>47</v>
      </c>
      <c r="W7001" s="2" t="s">
        <v>104</v>
      </c>
      <c r="X7001" s="2">
        <v>10.29</v>
      </c>
    </row>
    <row r="7002" spans="1:24" x14ac:dyDescent="0.3">
      <c r="A7002">
        <v>24816</v>
      </c>
      <c r="B7002" t="s">
        <v>13817</v>
      </c>
      <c r="C7002" s="3">
        <v>41628</v>
      </c>
      <c r="D7002" t="s">
        <v>62</v>
      </c>
      <c r="E7002">
        <v>24</v>
      </c>
      <c r="F7002" s="3">
        <f ca="1">41628+(RANDBETWEEN(1,10))</f>
        <v>41635</v>
      </c>
      <c r="G7002" t="s">
        <v>156</v>
      </c>
      <c r="H7002" t="s">
        <v>96</v>
      </c>
      <c r="I7002" t="s">
        <v>52</v>
      </c>
      <c r="J7002">
        <v>1297.17</v>
      </c>
      <c r="K7002">
        <v>0.01</v>
      </c>
      <c r="L7002">
        <v>0.39</v>
      </c>
      <c r="M7002">
        <v>6.8949999999999996</v>
      </c>
      <c r="N7002">
        <v>895.04729999999995</v>
      </c>
      <c r="O7002" s="1" t="s">
        <v>40</v>
      </c>
      <c r="P7002" s="1" t="s">
        <v>12247</v>
      </c>
      <c r="Q7002" s="1" t="s">
        <v>12248</v>
      </c>
      <c r="R7002" s="1" t="s">
        <v>220</v>
      </c>
      <c r="S7002" s="1" t="s">
        <v>7326</v>
      </c>
      <c r="T7002" s="1" t="s">
        <v>7327</v>
      </c>
      <c r="U7002" s="2" t="s">
        <v>372</v>
      </c>
      <c r="V7002" s="2" t="s">
        <v>47</v>
      </c>
      <c r="W7002" s="2" t="s">
        <v>74</v>
      </c>
      <c r="X7002" s="2">
        <v>52.64</v>
      </c>
    </row>
    <row r="7003" spans="1:24" x14ac:dyDescent="0.3">
      <c r="A7003">
        <v>24817</v>
      </c>
      <c r="B7003" t="s">
        <v>13818</v>
      </c>
      <c r="C7003" s="3">
        <v>40635</v>
      </c>
      <c r="D7003" t="s">
        <v>148</v>
      </c>
      <c r="E7003">
        <v>4</v>
      </c>
      <c r="F7003" s="3">
        <f ca="1">40637+(RANDBETWEEN(1,10))</f>
        <v>40640</v>
      </c>
      <c r="G7003" t="s">
        <v>156</v>
      </c>
      <c r="H7003" t="s">
        <v>96</v>
      </c>
      <c r="I7003" t="s">
        <v>28</v>
      </c>
      <c r="J7003">
        <v>482.16</v>
      </c>
      <c r="K7003">
        <v>0.1</v>
      </c>
      <c r="L7003">
        <v>0.38</v>
      </c>
      <c r="M7003">
        <v>17.78</v>
      </c>
      <c r="N7003">
        <v>332.69040000000001</v>
      </c>
      <c r="O7003" s="1" t="s">
        <v>40</v>
      </c>
      <c r="P7003" s="1" t="s">
        <v>5140</v>
      </c>
      <c r="Q7003" s="1" t="s">
        <v>5141</v>
      </c>
      <c r="R7003" s="1" t="s">
        <v>43</v>
      </c>
      <c r="S7003" s="1" t="s">
        <v>5142</v>
      </c>
      <c r="T7003" s="1" t="s">
        <v>5143</v>
      </c>
      <c r="U7003" s="2" t="s">
        <v>2638</v>
      </c>
      <c r="V7003" s="2" t="s">
        <v>47</v>
      </c>
      <c r="W7003" s="2" t="s">
        <v>74</v>
      </c>
      <c r="X7003" s="2">
        <v>132.79</v>
      </c>
    </row>
    <row r="7004" spans="1:24" x14ac:dyDescent="0.3">
      <c r="A7004">
        <v>24818</v>
      </c>
      <c r="B7004" t="s">
        <v>13819</v>
      </c>
      <c r="C7004" s="3">
        <v>41410</v>
      </c>
      <c r="D7004" t="s">
        <v>39</v>
      </c>
      <c r="E7004">
        <v>17</v>
      </c>
      <c r="F7004" s="3">
        <f ca="1">41412+(RANDBETWEEN(1,10))</f>
        <v>41415</v>
      </c>
      <c r="G7004" t="s">
        <v>26</v>
      </c>
      <c r="H7004" t="s">
        <v>96</v>
      </c>
      <c r="I7004" t="s">
        <v>86</v>
      </c>
      <c r="J7004">
        <v>1124.5150000000001</v>
      </c>
      <c r="K7004">
        <v>0.01</v>
      </c>
      <c r="L7004">
        <v>0.56999999999999995</v>
      </c>
      <c r="M7004">
        <v>3.4649999999999999</v>
      </c>
      <c r="N7004">
        <v>-1857.59</v>
      </c>
      <c r="O7004" s="1" t="s">
        <v>29</v>
      </c>
      <c r="P7004" s="1" t="s">
        <v>11759</v>
      </c>
      <c r="Q7004" s="1" t="s">
        <v>11760</v>
      </c>
      <c r="R7004" s="1" t="s">
        <v>32</v>
      </c>
      <c r="S7004" s="1" t="s">
        <v>11761</v>
      </c>
      <c r="T7004" s="1" t="s">
        <v>1929</v>
      </c>
      <c r="U7004" s="2" t="s">
        <v>5426</v>
      </c>
      <c r="V7004" s="2" t="s">
        <v>36</v>
      </c>
      <c r="W7004" s="2" t="s">
        <v>37</v>
      </c>
      <c r="X7004" s="2">
        <v>73.465000000000003</v>
      </c>
    </row>
    <row r="7005" spans="1:24" x14ac:dyDescent="0.3">
      <c r="A7005">
        <v>24819</v>
      </c>
      <c r="B7005" t="s">
        <v>13820</v>
      </c>
      <c r="C7005" s="3">
        <v>41359</v>
      </c>
      <c r="D7005" t="s">
        <v>62</v>
      </c>
      <c r="E7005">
        <v>1</v>
      </c>
      <c r="F7005" s="3">
        <f ca="1">41360+(RANDBETWEEN(1,10))</f>
        <v>41366</v>
      </c>
      <c r="G7005" t="s">
        <v>26</v>
      </c>
      <c r="H7005" t="s">
        <v>96</v>
      </c>
      <c r="I7005" t="s">
        <v>28</v>
      </c>
      <c r="J7005">
        <v>15.994999999999999</v>
      </c>
      <c r="K7005">
        <v>0.03</v>
      </c>
      <c r="L7005">
        <v>0.56000000000000005</v>
      </c>
      <c r="M7005">
        <v>13.895</v>
      </c>
      <c r="N7005">
        <v>-35.945</v>
      </c>
      <c r="O7005" s="1" t="s">
        <v>87</v>
      </c>
      <c r="P7005" s="1" t="s">
        <v>13821</v>
      </c>
      <c r="Q7005" s="1" t="s">
        <v>13822</v>
      </c>
      <c r="R7005" s="1" t="s">
        <v>497</v>
      </c>
      <c r="S7005" s="1" t="s">
        <v>11150</v>
      </c>
      <c r="T7005" s="1" t="s">
        <v>11151</v>
      </c>
      <c r="U7005" s="2" t="s">
        <v>4166</v>
      </c>
      <c r="V7005" s="2" t="s">
        <v>47</v>
      </c>
      <c r="W7005" s="2" t="s">
        <v>104</v>
      </c>
      <c r="X7005" s="2">
        <v>11.48</v>
      </c>
    </row>
    <row r="7006" spans="1:24" x14ac:dyDescent="0.3">
      <c r="A7006">
        <v>24820</v>
      </c>
      <c r="B7006" t="s">
        <v>13823</v>
      </c>
      <c r="C7006" s="3">
        <v>41974</v>
      </c>
      <c r="D7006" t="s">
        <v>50</v>
      </c>
      <c r="E7006">
        <v>9</v>
      </c>
      <c r="F7006" s="3">
        <f ca="1">41975+(RANDBETWEEN(1,10))</f>
        <v>41979</v>
      </c>
      <c r="G7006" t="s">
        <v>26</v>
      </c>
      <c r="H7006" t="s">
        <v>27</v>
      </c>
      <c r="I7006" t="s">
        <v>97</v>
      </c>
      <c r="J7006">
        <v>860.86</v>
      </c>
      <c r="K7006">
        <v>7.0000000000000007E-2</v>
      </c>
      <c r="L7006">
        <v>0.38</v>
      </c>
      <c r="M7006">
        <v>5.2149999999999999</v>
      </c>
      <c r="N7006">
        <v>593.99339999999995</v>
      </c>
      <c r="O7006" s="1" t="s">
        <v>29</v>
      </c>
      <c r="P7006" s="1" t="s">
        <v>12171</v>
      </c>
      <c r="Q7006" s="1" t="s">
        <v>12172</v>
      </c>
      <c r="R7006" s="1" t="s">
        <v>460</v>
      </c>
      <c r="S7006" s="1" t="s">
        <v>7575</v>
      </c>
      <c r="T7006" s="1" t="s">
        <v>7576</v>
      </c>
      <c r="U7006" s="2" t="s">
        <v>301</v>
      </c>
      <c r="V7006" s="2" t="s">
        <v>47</v>
      </c>
      <c r="W7006" s="2" t="s">
        <v>111</v>
      </c>
      <c r="X7006" s="2">
        <v>99.855000000000004</v>
      </c>
    </row>
    <row r="7007" spans="1:24" x14ac:dyDescent="0.3">
      <c r="A7007">
        <v>24821</v>
      </c>
      <c r="B7007" t="s">
        <v>13823</v>
      </c>
      <c r="C7007" s="3">
        <v>41974</v>
      </c>
      <c r="D7007" t="s">
        <v>50</v>
      </c>
      <c r="E7007">
        <v>24</v>
      </c>
      <c r="F7007" s="3">
        <f ca="1">41976+(RANDBETWEEN(1,10))</f>
        <v>41986</v>
      </c>
      <c r="G7007" t="s">
        <v>26</v>
      </c>
      <c r="H7007" t="s">
        <v>27</v>
      </c>
      <c r="I7007" t="s">
        <v>97</v>
      </c>
      <c r="J7007">
        <v>565.98500000000001</v>
      </c>
      <c r="K7007">
        <v>0.06</v>
      </c>
      <c r="L7007">
        <v>0.37</v>
      </c>
      <c r="M7007">
        <v>26.215</v>
      </c>
      <c r="N7007">
        <v>-189.33600000000001</v>
      </c>
      <c r="O7007" s="1" t="s">
        <v>29</v>
      </c>
      <c r="P7007" s="1" t="s">
        <v>12171</v>
      </c>
      <c r="Q7007" s="1" t="s">
        <v>12172</v>
      </c>
      <c r="R7007" s="1" t="s">
        <v>460</v>
      </c>
      <c r="S7007" s="1" t="s">
        <v>7575</v>
      </c>
      <c r="T7007" s="1" t="s">
        <v>7576</v>
      </c>
      <c r="U7007" s="2" t="s">
        <v>2916</v>
      </c>
      <c r="V7007" s="2" t="s">
        <v>47</v>
      </c>
      <c r="W7007" s="2" t="s">
        <v>74</v>
      </c>
      <c r="X7007" s="2">
        <v>22.68</v>
      </c>
    </row>
    <row r="7008" spans="1:24" x14ac:dyDescent="0.3">
      <c r="A7008">
        <v>24822</v>
      </c>
      <c r="B7008" t="s">
        <v>13824</v>
      </c>
      <c r="C7008" s="3">
        <v>41828</v>
      </c>
      <c r="D7008" t="s">
        <v>148</v>
      </c>
      <c r="E7008">
        <v>2</v>
      </c>
      <c r="F7008" s="3">
        <f ca="1">41830+(RANDBETWEEN(1,10))</f>
        <v>41837</v>
      </c>
      <c r="G7008" t="s">
        <v>26</v>
      </c>
      <c r="H7008" t="s">
        <v>27</v>
      </c>
      <c r="I7008" t="s">
        <v>28</v>
      </c>
      <c r="J7008">
        <v>235.48</v>
      </c>
      <c r="K7008">
        <v>0.02</v>
      </c>
      <c r="L7008">
        <v>0.4</v>
      </c>
      <c r="M7008">
        <v>17.815000000000001</v>
      </c>
      <c r="N7008">
        <v>8466.402</v>
      </c>
      <c r="O7008" s="1" t="s">
        <v>29</v>
      </c>
      <c r="P7008" s="1" t="s">
        <v>10111</v>
      </c>
      <c r="Q7008" s="1" t="s">
        <v>10112</v>
      </c>
      <c r="R7008" s="1" t="s">
        <v>460</v>
      </c>
      <c r="S7008" s="1" t="s">
        <v>1753</v>
      </c>
      <c r="T7008" s="1" t="s">
        <v>1437</v>
      </c>
      <c r="U7008" s="2" t="s">
        <v>4417</v>
      </c>
      <c r="V7008" s="2" t="s">
        <v>47</v>
      </c>
      <c r="W7008" s="2" t="s">
        <v>74</v>
      </c>
      <c r="X7008" s="2">
        <v>108.43</v>
      </c>
    </row>
    <row r="7009" spans="1:24" x14ac:dyDescent="0.3">
      <c r="A7009">
        <v>24823</v>
      </c>
      <c r="B7009" t="s">
        <v>13825</v>
      </c>
      <c r="C7009" s="3">
        <v>40963</v>
      </c>
      <c r="D7009" t="s">
        <v>39</v>
      </c>
      <c r="E7009">
        <v>7</v>
      </c>
      <c r="F7009" s="3">
        <f ca="1">40964+(RANDBETWEEN(1,10))</f>
        <v>40971</v>
      </c>
      <c r="G7009" t="s">
        <v>26</v>
      </c>
      <c r="H7009" t="s">
        <v>27</v>
      </c>
      <c r="I7009" t="s">
        <v>28</v>
      </c>
      <c r="J7009">
        <v>166.18</v>
      </c>
      <c r="K7009">
        <v>0</v>
      </c>
      <c r="L7009">
        <v>0.37</v>
      </c>
      <c r="M7009">
        <v>27.51</v>
      </c>
      <c r="N7009">
        <v>6637.3230000000003</v>
      </c>
      <c r="O7009" s="1" t="s">
        <v>40</v>
      </c>
      <c r="P7009" s="1" t="s">
        <v>10127</v>
      </c>
      <c r="Q7009" s="1" t="s">
        <v>10128</v>
      </c>
      <c r="R7009" s="1" t="s">
        <v>43</v>
      </c>
      <c r="S7009" s="1" t="s">
        <v>1034</v>
      </c>
      <c r="T7009" s="1" t="s">
        <v>1035</v>
      </c>
      <c r="U7009" s="2" t="s">
        <v>2667</v>
      </c>
      <c r="V7009" s="2" t="s">
        <v>47</v>
      </c>
      <c r="W7009" s="2" t="s">
        <v>74</v>
      </c>
      <c r="X7009" s="2">
        <v>22.68</v>
      </c>
    </row>
    <row r="7010" spans="1:24" x14ac:dyDescent="0.3">
      <c r="A7010">
        <v>24824</v>
      </c>
      <c r="B7010" t="s">
        <v>13825</v>
      </c>
      <c r="C7010" s="3">
        <v>40963</v>
      </c>
      <c r="D7010" t="s">
        <v>39</v>
      </c>
      <c r="E7010">
        <v>1</v>
      </c>
      <c r="F7010" s="3">
        <f ca="1">40964+(RANDBETWEEN(1,10))</f>
        <v>40965</v>
      </c>
      <c r="G7010" t="s">
        <v>156</v>
      </c>
      <c r="H7010" t="s">
        <v>96</v>
      </c>
      <c r="I7010" t="s">
        <v>28</v>
      </c>
      <c r="J7010">
        <v>130.55000000000001</v>
      </c>
      <c r="K7010">
        <v>0.04</v>
      </c>
      <c r="L7010">
        <v>0.46</v>
      </c>
      <c r="M7010">
        <v>14.945</v>
      </c>
      <c r="N7010">
        <v>-22.295000000000002</v>
      </c>
      <c r="O7010" s="1" t="s">
        <v>40</v>
      </c>
      <c r="P7010" s="1" t="s">
        <v>10127</v>
      </c>
      <c r="Q7010" s="1" t="s">
        <v>10128</v>
      </c>
      <c r="R7010" s="1" t="s">
        <v>43</v>
      </c>
      <c r="S7010" s="1" t="s">
        <v>1034</v>
      </c>
      <c r="T7010" s="1" t="s">
        <v>1035</v>
      </c>
      <c r="U7010" s="2" t="s">
        <v>3070</v>
      </c>
      <c r="V7010" s="2" t="s">
        <v>47</v>
      </c>
      <c r="W7010" s="2" t="s">
        <v>104</v>
      </c>
      <c r="X7010" s="2">
        <v>131.04</v>
      </c>
    </row>
    <row r="7011" spans="1:24" x14ac:dyDescent="0.3">
      <c r="A7011">
        <v>24825</v>
      </c>
      <c r="B7011" t="s">
        <v>13826</v>
      </c>
      <c r="C7011" s="3">
        <v>41790</v>
      </c>
      <c r="D7011" t="s">
        <v>62</v>
      </c>
      <c r="E7011">
        <v>15</v>
      </c>
      <c r="F7011" s="3">
        <f ca="1">41790+(RANDBETWEEN(1,10))</f>
        <v>41798</v>
      </c>
      <c r="G7011" t="s">
        <v>26</v>
      </c>
      <c r="H7011" t="s">
        <v>27</v>
      </c>
      <c r="I7011" t="s">
        <v>28</v>
      </c>
      <c r="J7011">
        <v>9091.5300000000007</v>
      </c>
      <c r="K7011">
        <v>0.01</v>
      </c>
      <c r="L7011">
        <v>0.6</v>
      </c>
      <c r="M7011">
        <v>31.465</v>
      </c>
      <c r="N7011">
        <v>6273.1557000000003</v>
      </c>
      <c r="O7011" s="1" t="s">
        <v>53</v>
      </c>
      <c r="P7011" s="1" t="s">
        <v>12108</v>
      </c>
      <c r="Q7011" s="1" t="s">
        <v>12109</v>
      </c>
      <c r="R7011" s="1" t="s">
        <v>440</v>
      </c>
      <c r="S7011" s="1" t="s">
        <v>12110</v>
      </c>
      <c r="T7011" s="1" t="s">
        <v>12111</v>
      </c>
      <c r="U7011" s="2" t="s">
        <v>1123</v>
      </c>
      <c r="V7011" s="2" t="s">
        <v>36</v>
      </c>
      <c r="W7011" s="2" t="s">
        <v>37</v>
      </c>
      <c r="X7011" s="2">
        <v>685.96500000000003</v>
      </c>
    </row>
    <row r="7012" spans="1:24" x14ac:dyDescent="0.3">
      <c r="A7012">
        <v>24826</v>
      </c>
      <c r="B7012" t="s">
        <v>13827</v>
      </c>
      <c r="C7012" s="3">
        <v>41976</v>
      </c>
      <c r="D7012" t="s">
        <v>25</v>
      </c>
      <c r="E7012">
        <v>2</v>
      </c>
      <c r="F7012" s="3">
        <f ca="1">41980+(RANDBETWEEN(1,10))</f>
        <v>41988</v>
      </c>
      <c r="G7012" t="s">
        <v>26</v>
      </c>
      <c r="H7012" t="s">
        <v>27</v>
      </c>
      <c r="I7012" t="s">
        <v>28</v>
      </c>
      <c r="J7012">
        <v>29.61</v>
      </c>
      <c r="K7012">
        <v>0.08</v>
      </c>
      <c r="L7012">
        <v>0.39</v>
      </c>
      <c r="M7012">
        <v>1.75</v>
      </c>
      <c r="N7012">
        <v>1.2230399999999999</v>
      </c>
      <c r="O7012" s="1" t="s">
        <v>29</v>
      </c>
      <c r="P7012" s="1" t="s">
        <v>10062</v>
      </c>
      <c r="Q7012" s="1" t="s">
        <v>10063</v>
      </c>
      <c r="R7012" s="1" t="s">
        <v>32</v>
      </c>
      <c r="S7012" s="1" t="s">
        <v>5480</v>
      </c>
      <c r="T7012" s="1" t="s">
        <v>5481</v>
      </c>
      <c r="U7012" s="2" t="s">
        <v>1889</v>
      </c>
      <c r="V7012" s="2" t="s">
        <v>47</v>
      </c>
      <c r="W7012" s="2" t="s">
        <v>203</v>
      </c>
      <c r="X7012" s="2">
        <v>14.455</v>
      </c>
    </row>
    <row r="7013" spans="1:24" x14ac:dyDescent="0.3">
      <c r="A7013">
        <v>24827</v>
      </c>
      <c r="B7013" t="s">
        <v>13827</v>
      </c>
      <c r="C7013" s="3">
        <v>41976</v>
      </c>
      <c r="D7013" t="s">
        <v>25</v>
      </c>
      <c r="E7013">
        <v>4</v>
      </c>
      <c r="F7013" s="3">
        <f ca="1">41981+(RANDBETWEEN(1,10))</f>
        <v>41990</v>
      </c>
      <c r="G7013" t="s">
        <v>26</v>
      </c>
      <c r="H7013" t="s">
        <v>27</v>
      </c>
      <c r="I7013" t="s">
        <v>28</v>
      </c>
      <c r="J7013">
        <v>813.15499999999997</v>
      </c>
      <c r="K7013">
        <v>0.04</v>
      </c>
      <c r="L7013">
        <v>0.54</v>
      </c>
      <c r="M7013">
        <v>51.905000000000001</v>
      </c>
      <c r="N7013">
        <v>561.07695000000001</v>
      </c>
      <c r="O7013" s="1" t="s">
        <v>29</v>
      </c>
      <c r="P7013" s="1" t="s">
        <v>10062</v>
      </c>
      <c r="Q7013" s="1" t="s">
        <v>10063</v>
      </c>
      <c r="R7013" s="1" t="s">
        <v>32</v>
      </c>
      <c r="S7013" s="1" t="s">
        <v>5480</v>
      </c>
      <c r="T7013" s="1" t="s">
        <v>5481</v>
      </c>
      <c r="U7013" s="2" t="s">
        <v>7878</v>
      </c>
      <c r="V7013" s="2" t="s">
        <v>83</v>
      </c>
      <c r="W7013" s="2" t="s">
        <v>178</v>
      </c>
      <c r="X7013" s="2">
        <v>191.59</v>
      </c>
    </row>
    <row r="7014" spans="1:24" x14ac:dyDescent="0.3">
      <c r="A7014">
        <v>24828</v>
      </c>
      <c r="B7014" t="s">
        <v>13828</v>
      </c>
      <c r="C7014" s="3">
        <v>41613</v>
      </c>
      <c r="D7014" t="s">
        <v>39</v>
      </c>
      <c r="E7014">
        <v>7</v>
      </c>
      <c r="F7014" s="3">
        <f ca="1">41614+(RANDBETWEEN(1,10))</f>
        <v>41621</v>
      </c>
      <c r="G7014" t="s">
        <v>26</v>
      </c>
      <c r="H7014" t="s">
        <v>96</v>
      </c>
      <c r="I7014" t="s">
        <v>86</v>
      </c>
      <c r="J7014">
        <v>125.965</v>
      </c>
      <c r="K7014">
        <v>0</v>
      </c>
      <c r="L7014">
        <v>0.36</v>
      </c>
      <c r="M7014">
        <v>2.8</v>
      </c>
      <c r="N7014">
        <v>86.915850000000006</v>
      </c>
      <c r="O7014" s="1" t="s">
        <v>29</v>
      </c>
      <c r="P7014" s="1" t="s">
        <v>9417</v>
      </c>
      <c r="Q7014" s="1" t="s">
        <v>9418</v>
      </c>
      <c r="R7014" s="1" t="s">
        <v>675</v>
      </c>
      <c r="S7014" s="1" t="s">
        <v>7383</v>
      </c>
      <c r="T7014" s="1" t="s">
        <v>9419</v>
      </c>
      <c r="U7014" s="2" t="s">
        <v>1416</v>
      </c>
      <c r="V7014" s="2" t="s">
        <v>47</v>
      </c>
      <c r="W7014" s="2" t="s">
        <v>74</v>
      </c>
      <c r="X7014" s="2">
        <v>17.43</v>
      </c>
    </row>
    <row r="7015" spans="1:24" x14ac:dyDescent="0.3">
      <c r="A7015">
        <v>24829</v>
      </c>
      <c r="B7015" t="s">
        <v>13829</v>
      </c>
      <c r="C7015" s="3">
        <v>40940</v>
      </c>
      <c r="D7015" t="s">
        <v>39</v>
      </c>
      <c r="E7015">
        <v>9</v>
      </c>
      <c r="F7015" s="3">
        <f ca="1">40940+(RANDBETWEEN(1,10))</f>
        <v>40942</v>
      </c>
      <c r="G7015" t="s">
        <v>26</v>
      </c>
      <c r="H7015" t="s">
        <v>96</v>
      </c>
      <c r="I7015" t="s">
        <v>97</v>
      </c>
      <c r="J7015">
        <v>97.86</v>
      </c>
      <c r="K7015">
        <v>0</v>
      </c>
      <c r="L7015">
        <v>0.57999999999999996</v>
      </c>
      <c r="M7015">
        <v>2.4500000000000002</v>
      </c>
      <c r="N7015">
        <v>67.523399999999995</v>
      </c>
      <c r="O7015" s="1" t="s">
        <v>40</v>
      </c>
      <c r="P7015" s="1" t="s">
        <v>13729</v>
      </c>
      <c r="Q7015" s="1" t="s">
        <v>13730</v>
      </c>
      <c r="R7015" s="1" t="s">
        <v>43</v>
      </c>
      <c r="S7015" s="1" t="s">
        <v>13731</v>
      </c>
      <c r="T7015" s="1" t="s">
        <v>13732</v>
      </c>
      <c r="U7015" s="2" t="s">
        <v>2921</v>
      </c>
      <c r="V7015" s="2" t="s">
        <v>47</v>
      </c>
      <c r="W7015" s="2" t="s">
        <v>104</v>
      </c>
      <c r="X7015" s="2">
        <v>10.29</v>
      </c>
    </row>
    <row r="7016" spans="1:24" x14ac:dyDescent="0.3">
      <c r="A7016">
        <v>24830</v>
      </c>
      <c r="B7016" t="s">
        <v>13829</v>
      </c>
      <c r="C7016" s="3">
        <v>40940</v>
      </c>
      <c r="D7016" t="s">
        <v>39</v>
      </c>
      <c r="E7016">
        <v>13</v>
      </c>
      <c r="F7016" s="3">
        <f ca="1">40940+(RANDBETWEEN(1,10))</f>
        <v>40946</v>
      </c>
      <c r="G7016" t="s">
        <v>156</v>
      </c>
      <c r="H7016" t="s">
        <v>27</v>
      </c>
      <c r="I7016" t="s">
        <v>97</v>
      </c>
      <c r="J7016">
        <v>3785.25</v>
      </c>
      <c r="K7016">
        <v>0.05</v>
      </c>
      <c r="L7016">
        <v>0.56000000000000005</v>
      </c>
      <c r="M7016">
        <v>17.149999999999999</v>
      </c>
      <c r="N7016">
        <v>2611.8225000000002</v>
      </c>
      <c r="O7016" s="1" t="s">
        <v>40</v>
      </c>
      <c r="P7016" s="1" t="s">
        <v>13729</v>
      </c>
      <c r="Q7016" s="1" t="s">
        <v>13730</v>
      </c>
      <c r="R7016" s="1" t="s">
        <v>43</v>
      </c>
      <c r="S7016" s="1" t="s">
        <v>13731</v>
      </c>
      <c r="T7016" s="1" t="s">
        <v>13732</v>
      </c>
      <c r="U7016" s="2" t="s">
        <v>35</v>
      </c>
      <c r="V7016" s="2" t="s">
        <v>36</v>
      </c>
      <c r="W7016" s="2" t="s">
        <v>37</v>
      </c>
      <c r="X7016" s="2">
        <v>335.96499999999997</v>
      </c>
    </row>
    <row r="7017" spans="1:24" x14ac:dyDescent="0.3">
      <c r="A7017">
        <v>24831</v>
      </c>
      <c r="B7017" t="s">
        <v>13829</v>
      </c>
      <c r="C7017" s="3">
        <v>40940</v>
      </c>
      <c r="D7017" t="s">
        <v>39</v>
      </c>
      <c r="E7017">
        <v>1</v>
      </c>
      <c r="F7017" s="3">
        <f ca="1">40942+(RANDBETWEEN(1,10))</f>
        <v>40951</v>
      </c>
      <c r="G7017" t="s">
        <v>26</v>
      </c>
      <c r="H7017" t="s">
        <v>27</v>
      </c>
      <c r="I7017" t="s">
        <v>97</v>
      </c>
      <c r="J7017">
        <v>33.005000000000003</v>
      </c>
      <c r="K7017">
        <v>0.06</v>
      </c>
      <c r="L7017">
        <v>0.57999999999999996</v>
      </c>
      <c r="M7017">
        <v>12.25</v>
      </c>
      <c r="N7017">
        <v>-48.02</v>
      </c>
      <c r="O7017" s="1" t="s">
        <v>53</v>
      </c>
      <c r="P7017" s="1" t="s">
        <v>13830</v>
      </c>
      <c r="Q7017" s="1" t="s">
        <v>13831</v>
      </c>
      <c r="R7017" s="1" t="s">
        <v>56</v>
      </c>
      <c r="S7017" s="1" t="s">
        <v>10459</v>
      </c>
      <c r="T7017" s="1" t="s">
        <v>10460</v>
      </c>
      <c r="U7017" s="2" t="s">
        <v>2447</v>
      </c>
      <c r="V7017" s="2" t="s">
        <v>47</v>
      </c>
      <c r="W7017" s="2" t="s">
        <v>71</v>
      </c>
      <c r="X7017" s="2">
        <v>30.344999999999999</v>
      </c>
    </row>
    <row r="7018" spans="1:24" x14ac:dyDescent="0.3">
      <c r="A7018">
        <v>24832</v>
      </c>
      <c r="B7018" t="s">
        <v>13829</v>
      </c>
      <c r="C7018" s="3">
        <v>40940</v>
      </c>
      <c r="D7018" t="s">
        <v>39</v>
      </c>
      <c r="E7018">
        <v>1</v>
      </c>
      <c r="F7018" s="3">
        <f ca="1">40941+(RANDBETWEEN(1,10))</f>
        <v>40948</v>
      </c>
      <c r="G7018" t="s">
        <v>156</v>
      </c>
      <c r="H7018" t="s">
        <v>27</v>
      </c>
      <c r="I7018" t="s">
        <v>97</v>
      </c>
      <c r="J7018">
        <v>363.79</v>
      </c>
      <c r="K7018">
        <v>0.02</v>
      </c>
      <c r="L7018">
        <v>0.4</v>
      </c>
      <c r="M7018">
        <v>25.13</v>
      </c>
      <c r="N7018">
        <v>-427.315</v>
      </c>
      <c r="O7018" s="1" t="s">
        <v>53</v>
      </c>
      <c r="P7018" s="1" t="s">
        <v>13830</v>
      </c>
      <c r="Q7018" s="1" t="s">
        <v>13831</v>
      </c>
      <c r="R7018" s="1" t="s">
        <v>56</v>
      </c>
      <c r="S7018" s="1" t="s">
        <v>10459</v>
      </c>
      <c r="T7018" s="1" t="s">
        <v>10460</v>
      </c>
      <c r="U7018" s="2" t="s">
        <v>5772</v>
      </c>
      <c r="V7018" s="2" t="s">
        <v>36</v>
      </c>
      <c r="W7018" s="2" t="s">
        <v>60</v>
      </c>
      <c r="X7018" s="2">
        <v>353.43</v>
      </c>
    </row>
    <row r="7019" spans="1:24" x14ac:dyDescent="0.3">
      <c r="A7019">
        <v>24833</v>
      </c>
      <c r="B7019" t="s">
        <v>13832</v>
      </c>
      <c r="C7019" s="3">
        <v>41930</v>
      </c>
      <c r="D7019" t="s">
        <v>148</v>
      </c>
      <c r="E7019">
        <v>7</v>
      </c>
      <c r="F7019" s="3">
        <f ca="1">41932+(RANDBETWEEN(1,10))</f>
        <v>41936</v>
      </c>
      <c r="G7019" t="s">
        <v>76</v>
      </c>
      <c r="H7019" t="s">
        <v>77</v>
      </c>
      <c r="I7019" t="s">
        <v>97</v>
      </c>
      <c r="J7019">
        <v>16050.51</v>
      </c>
      <c r="K7019">
        <v>0.06</v>
      </c>
      <c r="L7019">
        <v>0.4</v>
      </c>
      <c r="M7019">
        <v>193.55</v>
      </c>
      <c r="N7019">
        <v>711.71100000000001</v>
      </c>
      <c r="O7019" s="1" t="s">
        <v>64</v>
      </c>
      <c r="P7019" s="1" t="s">
        <v>12942</v>
      </c>
      <c r="Q7019" s="1" t="s">
        <v>12943</v>
      </c>
      <c r="R7019" s="1" t="s">
        <v>67</v>
      </c>
      <c r="S7019" s="1" t="s">
        <v>12944</v>
      </c>
      <c r="T7019" s="1" t="s">
        <v>12945</v>
      </c>
      <c r="U7019" s="2" t="s">
        <v>8440</v>
      </c>
      <c r="V7019" s="2" t="s">
        <v>36</v>
      </c>
      <c r="W7019" s="2" t="s">
        <v>142</v>
      </c>
      <c r="X7019" s="2">
        <v>2829.7150000000001</v>
      </c>
    </row>
    <row r="7020" spans="1:24" x14ac:dyDescent="0.3">
      <c r="A7020">
        <v>24834</v>
      </c>
      <c r="B7020" t="s">
        <v>13832</v>
      </c>
      <c r="C7020" s="3">
        <v>41930</v>
      </c>
      <c r="D7020" t="s">
        <v>148</v>
      </c>
      <c r="E7020">
        <v>3</v>
      </c>
      <c r="F7020" s="3">
        <f ca="1">41932+(RANDBETWEEN(1,10))</f>
        <v>41934</v>
      </c>
      <c r="G7020" t="s">
        <v>26</v>
      </c>
      <c r="H7020" t="s">
        <v>27</v>
      </c>
      <c r="I7020" t="s">
        <v>97</v>
      </c>
      <c r="J7020">
        <v>31.605</v>
      </c>
      <c r="K7020">
        <v>0.06</v>
      </c>
      <c r="L7020">
        <v>0.36</v>
      </c>
      <c r="M7020">
        <v>3.4649999999999999</v>
      </c>
      <c r="N7020">
        <v>784.40039999999999</v>
      </c>
      <c r="O7020" s="1" t="s">
        <v>29</v>
      </c>
      <c r="P7020" s="1" t="s">
        <v>13833</v>
      </c>
      <c r="Q7020" s="1" t="s">
        <v>13834</v>
      </c>
      <c r="R7020" s="1" t="s">
        <v>675</v>
      </c>
      <c r="S7020" s="1" t="s">
        <v>2348</v>
      </c>
      <c r="T7020" s="1" t="s">
        <v>2349</v>
      </c>
      <c r="U7020" s="2" t="s">
        <v>3527</v>
      </c>
      <c r="V7020" s="2" t="s">
        <v>47</v>
      </c>
      <c r="W7020" s="2" t="s">
        <v>203</v>
      </c>
      <c r="X7020" s="2">
        <v>10.08</v>
      </c>
    </row>
    <row r="7021" spans="1:24" x14ac:dyDescent="0.3">
      <c r="A7021">
        <v>24835</v>
      </c>
      <c r="B7021" t="s">
        <v>13832</v>
      </c>
      <c r="C7021" s="3">
        <v>41930</v>
      </c>
      <c r="D7021" t="s">
        <v>148</v>
      </c>
      <c r="E7021">
        <v>26</v>
      </c>
      <c r="F7021" s="3">
        <f ca="1">41932+(RANDBETWEEN(1,10))</f>
        <v>41942</v>
      </c>
      <c r="G7021" t="s">
        <v>26</v>
      </c>
      <c r="H7021" t="s">
        <v>27</v>
      </c>
      <c r="I7021" t="s">
        <v>97</v>
      </c>
      <c r="J7021">
        <v>5271.3850000000002</v>
      </c>
      <c r="K7021">
        <v>0</v>
      </c>
      <c r="L7021">
        <v>0.6</v>
      </c>
      <c r="M7021">
        <v>31.465</v>
      </c>
      <c r="N7021">
        <v>-692.22299999999996</v>
      </c>
      <c r="O7021" s="1" t="s">
        <v>29</v>
      </c>
      <c r="P7021" s="1" t="s">
        <v>13833</v>
      </c>
      <c r="Q7021" s="1" t="s">
        <v>13834</v>
      </c>
      <c r="R7021" s="1" t="s">
        <v>675</v>
      </c>
      <c r="S7021" s="1" t="s">
        <v>2348</v>
      </c>
      <c r="T7021" s="1" t="s">
        <v>2349</v>
      </c>
      <c r="U7021" s="2" t="s">
        <v>8372</v>
      </c>
      <c r="V7021" s="2" t="s">
        <v>36</v>
      </c>
      <c r="W7021" s="2" t="s">
        <v>37</v>
      </c>
      <c r="X7021" s="2">
        <v>230.965</v>
      </c>
    </row>
    <row r="7022" spans="1:24" x14ac:dyDescent="0.3">
      <c r="A7022">
        <v>24836</v>
      </c>
      <c r="B7022" t="s">
        <v>13835</v>
      </c>
      <c r="C7022" s="3">
        <v>41999</v>
      </c>
      <c r="D7022" t="s">
        <v>39</v>
      </c>
      <c r="E7022">
        <v>22</v>
      </c>
      <c r="F7022" s="3">
        <f ca="1">41999+(RANDBETWEEN(1,10))</f>
        <v>42002</v>
      </c>
      <c r="G7022" t="s">
        <v>26</v>
      </c>
      <c r="H7022" t="s">
        <v>96</v>
      </c>
      <c r="I7022" t="s">
        <v>86</v>
      </c>
      <c r="J7022">
        <v>457.87</v>
      </c>
      <c r="K7022">
        <v>0</v>
      </c>
      <c r="L7022">
        <v>0.54</v>
      </c>
      <c r="M7022">
        <v>11.795</v>
      </c>
      <c r="N7022">
        <v>-42.030239999999999</v>
      </c>
      <c r="O7022" s="1" t="s">
        <v>225</v>
      </c>
      <c r="P7022" s="1" t="s">
        <v>9556</v>
      </c>
      <c r="Q7022" s="1" t="s">
        <v>9557</v>
      </c>
      <c r="R7022" s="1" t="s">
        <v>228</v>
      </c>
      <c r="S7022" s="1" t="s">
        <v>6990</v>
      </c>
      <c r="T7022" s="1" t="s">
        <v>6991</v>
      </c>
      <c r="U7022" s="2" t="s">
        <v>665</v>
      </c>
      <c r="V7022" s="2" t="s">
        <v>47</v>
      </c>
      <c r="W7022" s="2" t="s">
        <v>176</v>
      </c>
      <c r="X7022" s="2">
        <v>20.335000000000001</v>
      </c>
    </row>
    <row r="7023" spans="1:24" x14ac:dyDescent="0.3">
      <c r="A7023">
        <v>24837</v>
      </c>
      <c r="B7023" t="s">
        <v>13836</v>
      </c>
      <c r="C7023" s="3">
        <v>41755</v>
      </c>
      <c r="D7023" t="s">
        <v>50</v>
      </c>
      <c r="E7023">
        <v>9</v>
      </c>
      <c r="F7023" s="3">
        <f ca="1">41756+(RANDBETWEEN(1,10))</f>
        <v>41763</v>
      </c>
      <c r="G7023" t="s">
        <v>26</v>
      </c>
      <c r="H7023" t="s">
        <v>27</v>
      </c>
      <c r="I7023" t="s">
        <v>97</v>
      </c>
      <c r="J7023">
        <v>498.89</v>
      </c>
      <c r="K7023">
        <v>0.03</v>
      </c>
      <c r="L7023">
        <v>0.56999999999999995</v>
      </c>
      <c r="M7023">
        <v>30.73</v>
      </c>
      <c r="N7023">
        <v>-317.52</v>
      </c>
      <c r="O7023" s="1" t="s">
        <v>87</v>
      </c>
      <c r="P7023" s="1" t="s">
        <v>10733</v>
      </c>
      <c r="Q7023" s="1" t="s">
        <v>10734</v>
      </c>
      <c r="R7023" s="1" t="s">
        <v>90</v>
      </c>
      <c r="S7023" s="1" t="s">
        <v>1492</v>
      </c>
      <c r="T7023" s="1" t="s">
        <v>1493</v>
      </c>
      <c r="U7023" s="2" t="s">
        <v>3278</v>
      </c>
      <c r="V7023" s="2" t="s">
        <v>47</v>
      </c>
      <c r="W7023" s="2" t="s">
        <v>119</v>
      </c>
      <c r="X7023" s="2">
        <v>53.585000000000001</v>
      </c>
    </row>
    <row r="7024" spans="1:24" x14ac:dyDescent="0.3">
      <c r="A7024">
        <v>24838</v>
      </c>
      <c r="B7024" t="s">
        <v>13837</v>
      </c>
      <c r="C7024" s="3">
        <v>41648</v>
      </c>
      <c r="D7024" t="s">
        <v>39</v>
      </c>
      <c r="E7024">
        <v>3</v>
      </c>
      <c r="F7024" s="3">
        <f ca="1">41649+(RANDBETWEEN(1,10))</f>
        <v>41659</v>
      </c>
      <c r="G7024" t="s">
        <v>26</v>
      </c>
      <c r="H7024" t="s">
        <v>27</v>
      </c>
      <c r="I7024" t="s">
        <v>97</v>
      </c>
      <c r="J7024">
        <v>1191.155</v>
      </c>
      <c r="K7024">
        <v>0.01</v>
      </c>
      <c r="L7024">
        <v>0.56999999999999995</v>
      </c>
      <c r="M7024">
        <v>31.465</v>
      </c>
      <c r="N7024">
        <v>494.57100000000003</v>
      </c>
      <c r="O7024" s="1" t="s">
        <v>53</v>
      </c>
      <c r="P7024" s="1" t="s">
        <v>10714</v>
      </c>
      <c r="Q7024" s="1" t="s">
        <v>10715</v>
      </c>
      <c r="R7024" s="1" t="s">
        <v>100</v>
      </c>
      <c r="S7024" s="1" t="s">
        <v>8116</v>
      </c>
      <c r="T7024" s="1" t="s">
        <v>6127</v>
      </c>
      <c r="U7024" s="2" t="s">
        <v>5713</v>
      </c>
      <c r="V7024" s="2" t="s">
        <v>36</v>
      </c>
      <c r="W7024" s="2" t="s">
        <v>37</v>
      </c>
      <c r="X7024" s="2">
        <v>440.96499999999997</v>
      </c>
    </row>
    <row r="7025" spans="1:24" x14ac:dyDescent="0.3">
      <c r="A7025">
        <v>24839</v>
      </c>
      <c r="B7025" t="s">
        <v>13838</v>
      </c>
      <c r="C7025" s="3">
        <v>41942</v>
      </c>
      <c r="D7025" t="s">
        <v>25</v>
      </c>
      <c r="E7025">
        <v>15</v>
      </c>
      <c r="F7025" s="3">
        <f ca="1">41946+(RANDBETWEEN(1,10))</f>
        <v>41948</v>
      </c>
      <c r="G7025" t="s">
        <v>26</v>
      </c>
      <c r="H7025" t="s">
        <v>96</v>
      </c>
      <c r="I7025" t="s">
        <v>86</v>
      </c>
      <c r="J7025">
        <v>58.484999999999999</v>
      </c>
      <c r="K7025">
        <v>0.09</v>
      </c>
      <c r="L7025">
        <v>0.38</v>
      </c>
      <c r="M7025">
        <v>2.4500000000000002</v>
      </c>
      <c r="N7025">
        <v>-9.8350000000000009</v>
      </c>
      <c r="O7025" s="1" t="s">
        <v>29</v>
      </c>
      <c r="P7025" s="1" t="s">
        <v>13839</v>
      </c>
      <c r="Q7025" s="1" t="s">
        <v>13840</v>
      </c>
      <c r="R7025" s="1" t="s">
        <v>32</v>
      </c>
      <c r="S7025" s="1" t="s">
        <v>13841</v>
      </c>
      <c r="T7025" s="1" t="s">
        <v>13842</v>
      </c>
      <c r="U7025" s="2" t="s">
        <v>293</v>
      </c>
      <c r="V7025" s="2" t="s">
        <v>47</v>
      </c>
      <c r="W7025" s="2" t="s">
        <v>176</v>
      </c>
      <c r="X7025" s="2">
        <v>3.99</v>
      </c>
    </row>
    <row r="7026" spans="1:24" x14ac:dyDescent="0.3">
      <c r="A7026">
        <v>24840</v>
      </c>
      <c r="B7026" t="s">
        <v>13838</v>
      </c>
      <c r="C7026" s="3">
        <v>41942</v>
      </c>
      <c r="D7026" t="s">
        <v>25</v>
      </c>
      <c r="E7026">
        <v>9</v>
      </c>
      <c r="F7026" s="3">
        <f ca="1">41949+(RANDBETWEEN(1,10))</f>
        <v>41955</v>
      </c>
      <c r="G7026" t="s">
        <v>26</v>
      </c>
      <c r="H7026" t="s">
        <v>27</v>
      </c>
      <c r="I7026" t="s">
        <v>86</v>
      </c>
      <c r="J7026">
        <v>232.36500000000001</v>
      </c>
      <c r="K7026">
        <v>0.09</v>
      </c>
      <c r="L7026">
        <v>0.37</v>
      </c>
      <c r="M7026">
        <v>39.024999999999999</v>
      </c>
      <c r="N7026">
        <v>-458.36</v>
      </c>
      <c r="O7026" s="1" t="s">
        <v>40</v>
      </c>
      <c r="P7026" s="1" t="s">
        <v>13843</v>
      </c>
      <c r="Q7026" s="1" t="s">
        <v>13844</v>
      </c>
      <c r="R7026" s="1" t="s">
        <v>220</v>
      </c>
      <c r="S7026" s="1" t="s">
        <v>13246</v>
      </c>
      <c r="T7026" s="1" t="s">
        <v>13247</v>
      </c>
      <c r="U7026" s="2" t="s">
        <v>4160</v>
      </c>
      <c r="V7026" s="2" t="s">
        <v>47</v>
      </c>
      <c r="W7026" s="2" t="s">
        <v>74</v>
      </c>
      <c r="X7026" s="2">
        <v>25.48</v>
      </c>
    </row>
    <row r="7027" spans="1:24" x14ac:dyDescent="0.3">
      <c r="A7027">
        <v>24841</v>
      </c>
      <c r="B7027" t="s">
        <v>13845</v>
      </c>
      <c r="C7027" s="3">
        <v>41514</v>
      </c>
      <c r="D7027" t="s">
        <v>39</v>
      </c>
      <c r="E7027">
        <v>8</v>
      </c>
      <c r="F7027" s="3">
        <f ca="1">41516+(RANDBETWEEN(1,10))</f>
        <v>41519</v>
      </c>
      <c r="G7027" t="s">
        <v>26</v>
      </c>
      <c r="H7027" t="s">
        <v>96</v>
      </c>
      <c r="I7027" t="s">
        <v>28</v>
      </c>
      <c r="J7027">
        <v>77.594999999999999</v>
      </c>
      <c r="K7027">
        <v>0.01</v>
      </c>
      <c r="L7027">
        <v>0.44</v>
      </c>
      <c r="M7027">
        <v>14.98</v>
      </c>
      <c r="N7027">
        <v>-85.558199999999999</v>
      </c>
      <c r="O7027" s="1" t="s">
        <v>29</v>
      </c>
      <c r="P7027" s="1" t="s">
        <v>7115</v>
      </c>
      <c r="Q7027" s="1" t="s">
        <v>7116</v>
      </c>
      <c r="R7027" s="1" t="s">
        <v>460</v>
      </c>
      <c r="S7027" s="1" t="s">
        <v>7117</v>
      </c>
      <c r="T7027" s="1" t="s">
        <v>7118</v>
      </c>
      <c r="U7027" s="2" t="s">
        <v>5200</v>
      </c>
      <c r="V7027" s="2" t="s">
        <v>47</v>
      </c>
      <c r="W7027" s="2" t="s">
        <v>104</v>
      </c>
      <c r="X7027" s="2">
        <v>8.82</v>
      </c>
    </row>
    <row r="7028" spans="1:24" x14ac:dyDescent="0.3">
      <c r="A7028">
        <v>24842</v>
      </c>
      <c r="B7028" t="s">
        <v>13846</v>
      </c>
      <c r="C7028" s="3">
        <v>40872</v>
      </c>
      <c r="D7028" t="s">
        <v>148</v>
      </c>
      <c r="E7028">
        <v>3</v>
      </c>
      <c r="F7028" s="3">
        <f ca="1">40873+(RANDBETWEEN(1,10))</f>
        <v>40881</v>
      </c>
      <c r="G7028" t="s">
        <v>26</v>
      </c>
      <c r="H7028" t="s">
        <v>96</v>
      </c>
      <c r="I7028" t="s">
        <v>97</v>
      </c>
      <c r="J7028">
        <v>76.754999999999995</v>
      </c>
      <c r="K7028">
        <v>0.01</v>
      </c>
      <c r="L7028">
        <v>0.38</v>
      </c>
      <c r="M7028">
        <v>5.6</v>
      </c>
      <c r="N7028">
        <v>1.2110000000000001</v>
      </c>
      <c r="O7028" s="1" t="s">
        <v>40</v>
      </c>
      <c r="P7028" s="1" t="s">
        <v>13847</v>
      </c>
      <c r="Q7028" s="1" t="s">
        <v>13848</v>
      </c>
      <c r="R7028" s="1" t="s">
        <v>43</v>
      </c>
      <c r="S7028" s="1" t="s">
        <v>4009</v>
      </c>
      <c r="T7028" s="1" t="s">
        <v>4010</v>
      </c>
      <c r="U7028" s="2" t="s">
        <v>4250</v>
      </c>
      <c r="V7028" s="2" t="s">
        <v>47</v>
      </c>
      <c r="W7028" s="2" t="s">
        <v>74</v>
      </c>
      <c r="X7028" s="2">
        <v>24.43</v>
      </c>
    </row>
    <row r="7029" spans="1:24" x14ac:dyDescent="0.3">
      <c r="A7029">
        <v>24843</v>
      </c>
      <c r="B7029" t="s">
        <v>13849</v>
      </c>
      <c r="C7029" s="3">
        <v>41746</v>
      </c>
      <c r="D7029" t="s">
        <v>50</v>
      </c>
      <c r="E7029">
        <v>11</v>
      </c>
      <c r="F7029" s="3">
        <f ca="1">41748+(RANDBETWEEN(1,10))</f>
        <v>41750</v>
      </c>
      <c r="G7029" t="s">
        <v>26</v>
      </c>
      <c r="H7029" t="s">
        <v>27</v>
      </c>
      <c r="I7029" t="s">
        <v>52</v>
      </c>
      <c r="J7029">
        <v>756.84</v>
      </c>
      <c r="K7029">
        <v>0.03</v>
      </c>
      <c r="L7029">
        <v>0.35</v>
      </c>
      <c r="M7029">
        <v>5.2149999999999999</v>
      </c>
      <c r="N7029">
        <v>522.21960000000001</v>
      </c>
      <c r="O7029" s="1" t="s">
        <v>87</v>
      </c>
      <c r="P7029" s="1" t="s">
        <v>3981</v>
      </c>
      <c r="Q7029" s="1" t="s">
        <v>3982</v>
      </c>
      <c r="R7029" s="1" t="s">
        <v>90</v>
      </c>
      <c r="S7029" s="1" t="s">
        <v>1492</v>
      </c>
      <c r="T7029" s="1" t="s">
        <v>1493</v>
      </c>
      <c r="U7029" s="2" t="s">
        <v>292</v>
      </c>
      <c r="V7029" s="2" t="s">
        <v>47</v>
      </c>
      <c r="W7029" s="2" t="s">
        <v>111</v>
      </c>
      <c r="X7029" s="2">
        <v>66.290000000000006</v>
      </c>
    </row>
    <row r="7030" spans="1:24" x14ac:dyDescent="0.3">
      <c r="A7030">
        <v>24844</v>
      </c>
      <c r="B7030" t="s">
        <v>13850</v>
      </c>
      <c r="C7030" s="3">
        <v>40675</v>
      </c>
      <c r="D7030" t="s">
        <v>148</v>
      </c>
      <c r="E7030">
        <v>16</v>
      </c>
      <c r="F7030" s="3">
        <f ca="1">40677+(RANDBETWEEN(1,10))</f>
        <v>40681</v>
      </c>
      <c r="G7030" t="s">
        <v>26</v>
      </c>
      <c r="H7030" t="s">
        <v>27</v>
      </c>
      <c r="I7030" t="s">
        <v>86</v>
      </c>
      <c r="J7030">
        <v>4075.5749999999998</v>
      </c>
      <c r="K7030">
        <v>0.09</v>
      </c>
      <c r="L7030">
        <v>0.43</v>
      </c>
      <c r="M7030">
        <v>69.965000000000003</v>
      </c>
      <c r="N7030">
        <v>2812.1467499999999</v>
      </c>
      <c r="O7030" s="1" t="s">
        <v>87</v>
      </c>
      <c r="P7030" s="1" t="s">
        <v>13851</v>
      </c>
      <c r="Q7030" s="1" t="s">
        <v>13852</v>
      </c>
      <c r="R7030" s="1" t="s">
        <v>90</v>
      </c>
      <c r="S7030" s="1" t="s">
        <v>3063</v>
      </c>
      <c r="T7030" s="1" t="s">
        <v>3064</v>
      </c>
      <c r="U7030" s="2" t="s">
        <v>7425</v>
      </c>
      <c r="V7030" s="2" t="s">
        <v>83</v>
      </c>
      <c r="W7030" s="2" t="s">
        <v>178</v>
      </c>
      <c r="X7030" s="2">
        <v>275.41500000000002</v>
      </c>
    </row>
    <row r="7031" spans="1:24" x14ac:dyDescent="0.3">
      <c r="A7031">
        <v>24845</v>
      </c>
      <c r="B7031" t="s">
        <v>13853</v>
      </c>
      <c r="C7031" s="3">
        <v>41771</v>
      </c>
      <c r="D7031" t="s">
        <v>148</v>
      </c>
      <c r="E7031">
        <v>4</v>
      </c>
      <c r="F7031" s="3">
        <f ca="1">41772+(RANDBETWEEN(1,10))</f>
        <v>41773</v>
      </c>
      <c r="G7031" t="s">
        <v>26</v>
      </c>
      <c r="H7031" t="s">
        <v>27</v>
      </c>
      <c r="I7031" t="s">
        <v>86</v>
      </c>
      <c r="J7031">
        <v>103.425</v>
      </c>
      <c r="K7031">
        <v>0.01</v>
      </c>
      <c r="L7031">
        <v>0.37</v>
      </c>
      <c r="M7031">
        <v>27.51</v>
      </c>
      <c r="N7031">
        <v>-155.88999999999999</v>
      </c>
      <c r="O7031" s="1" t="s">
        <v>87</v>
      </c>
      <c r="P7031" s="1" t="s">
        <v>13851</v>
      </c>
      <c r="Q7031" s="1" t="s">
        <v>13852</v>
      </c>
      <c r="R7031" s="1" t="s">
        <v>90</v>
      </c>
      <c r="S7031" s="1" t="s">
        <v>3063</v>
      </c>
      <c r="T7031" s="1" t="s">
        <v>3064</v>
      </c>
      <c r="U7031" s="2" t="s">
        <v>2667</v>
      </c>
      <c r="V7031" s="2" t="s">
        <v>47</v>
      </c>
      <c r="W7031" s="2" t="s">
        <v>74</v>
      </c>
      <c r="X7031" s="2">
        <v>22.68</v>
      </c>
    </row>
    <row r="7032" spans="1:24" x14ac:dyDescent="0.3">
      <c r="A7032">
        <v>24846</v>
      </c>
      <c r="B7032" t="s">
        <v>13850</v>
      </c>
      <c r="C7032" s="3">
        <v>40675</v>
      </c>
      <c r="D7032" t="s">
        <v>148</v>
      </c>
      <c r="E7032">
        <v>7</v>
      </c>
      <c r="F7032" s="3">
        <f ca="1">40676+(RANDBETWEEN(1,10))</f>
        <v>40682</v>
      </c>
      <c r="G7032" t="s">
        <v>26</v>
      </c>
      <c r="H7032" t="s">
        <v>96</v>
      </c>
      <c r="I7032" t="s">
        <v>86</v>
      </c>
      <c r="J7032">
        <v>77.805000000000007</v>
      </c>
      <c r="K7032">
        <v>0.08</v>
      </c>
      <c r="L7032">
        <v>0.56000000000000005</v>
      </c>
      <c r="M7032">
        <v>8.0850000000000009</v>
      </c>
      <c r="N7032">
        <v>-84.105000000000004</v>
      </c>
      <c r="O7032" s="1" t="s">
        <v>87</v>
      </c>
      <c r="P7032" s="1" t="s">
        <v>13851</v>
      </c>
      <c r="Q7032" s="1" t="s">
        <v>13852</v>
      </c>
      <c r="R7032" s="1" t="s">
        <v>90</v>
      </c>
      <c r="S7032" s="1" t="s">
        <v>3063</v>
      </c>
      <c r="T7032" s="1" t="s">
        <v>3064</v>
      </c>
      <c r="U7032" s="2" t="s">
        <v>11842</v>
      </c>
      <c r="V7032" s="2" t="s">
        <v>47</v>
      </c>
      <c r="W7032" s="2" t="s">
        <v>104</v>
      </c>
      <c r="X7032" s="2">
        <v>11.48</v>
      </c>
    </row>
    <row r="7033" spans="1:24" x14ac:dyDescent="0.3">
      <c r="A7033">
        <v>24847</v>
      </c>
      <c r="B7033" t="s">
        <v>13850</v>
      </c>
      <c r="C7033" s="3">
        <v>40675</v>
      </c>
      <c r="D7033" t="s">
        <v>148</v>
      </c>
      <c r="E7033">
        <v>4</v>
      </c>
      <c r="F7033" s="3">
        <f ca="1">40676+(RANDBETWEEN(1,10))</f>
        <v>40680</v>
      </c>
      <c r="G7033" t="s">
        <v>26</v>
      </c>
      <c r="H7033" t="s">
        <v>96</v>
      </c>
      <c r="I7033" t="s">
        <v>86</v>
      </c>
      <c r="J7033">
        <v>48.965000000000003</v>
      </c>
      <c r="K7033">
        <v>0.05</v>
      </c>
      <c r="L7033">
        <v>0.56000000000000005</v>
      </c>
      <c r="M7033">
        <v>14.7</v>
      </c>
      <c r="N7033">
        <v>-129.60499999999999</v>
      </c>
      <c r="O7033" s="1" t="s">
        <v>87</v>
      </c>
      <c r="P7033" s="1" t="s">
        <v>13851</v>
      </c>
      <c r="Q7033" s="1" t="s">
        <v>13852</v>
      </c>
      <c r="R7033" s="1" t="s">
        <v>90</v>
      </c>
      <c r="S7033" s="1" t="s">
        <v>3063</v>
      </c>
      <c r="T7033" s="1" t="s">
        <v>3064</v>
      </c>
      <c r="U7033" s="2" t="s">
        <v>11452</v>
      </c>
      <c r="V7033" s="2" t="s">
        <v>47</v>
      </c>
      <c r="W7033" s="2" t="s">
        <v>104</v>
      </c>
      <c r="X7033" s="2">
        <v>11.48</v>
      </c>
    </row>
    <row r="7034" spans="1:24" x14ac:dyDescent="0.3">
      <c r="A7034">
        <v>24848</v>
      </c>
      <c r="B7034" t="s">
        <v>13850</v>
      </c>
      <c r="C7034" s="3">
        <v>40675</v>
      </c>
      <c r="D7034" t="s">
        <v>148</v>
      </c>
      <c r="E7034">
        <v>4</v>
      </c>
      <c r="F7034" s="3">
        <f ca="1">40676+(RANDBETWEEN(1,10))</f>
        <v>40680</v>
      </c>
      <c r="G7034" t="s">
        <v>26</v>
      </c>
      <c r="H7034" t="s">
        <v>96</v>
      </c>
      <c r="I7034" t="s">
        <v>86</v>
      </c>
      <c r="J7034">
        <v>49.91</v>
      </c>
      <c r="K7034">
        <v>0.05</v>
      </c>
      <c r="L7034">
        <v>0.36</v>
      </c>
      <c r="M7034">
        <v>5.7050000000000001</v>
      </c>
      <c r="N7034">
        <v>-2.4849999999999999</v>
      </c>
      <c r="O7034" s="1" t="s">
        <v>87</v>
      </c>
      <c r="P7034" s="1" t="s">
        <v>13851</v>
      </c>
      <c r="Q7034" s="1" t="s">
        <v>13852</v>
      </c>
      <c r="R7034" s="1" t="s">
        <v>90</v>
      </c>
      <c r="S7034" s="1" t="s">
        <v>3063</v>
      </c>
      <c r="T7034" s="1" t="s">
        <v>3064</v>
      </c>
      <c r="U7034" s="2" t="s">
        <v>1087</v>
      </c>
      <c r="V7034" s="2" t="s">
        <v>47</v>
      </c>
      <c r="W7034" s="2" t="s">
        <v>176</v>
      </c>
      <c r="X7034" s="2">
        <v>12.53</v>
      </c>
    </row>
    <row r="7035" spans="1:24" x14ac:dyDescent="0.3">
      <c r="A7035">
        <v>24849</v>
      </c>
      <c r="B7035" t="s">
        <v>13854</v>
      </c>
      <c r="C7035" s="3">
        <v>40558</v>
      </c>
      <c r="D7035" t="s">
        <v>148</v>
      </c>
      <c r="E7035">
        <v>2</v>
      </c>
      <c r="F7035" s="3">
        <f ca="1">40560+(RANDBETWEEN(1,10))</f>
        <v>40569</v>
      </c>
      <c r="G7035" t="s">
        <v>26</v>
      </c>
      <c r="H7035" t="s">
        <v>96</v>
      </c>
      <c r="I7035" t="s">
        <v>86</v>
      </c>
      <c r="J7035">
        <v>51.274999999999999</v>
      </c>
      <c r="K7035">
        <v>0.06</v>
      </c>
      <c r="L7035">
        <v>0.38</v>
      </c>
      <c r="M7035">
        <v>7.5949999999999998</v>
      </c>
      <c r="N7035">
        <v>8.6981999999999999</v>
      </c>
      <c r="O7035" s="1" t="s">
        <v>87</v>
      </c>
      <c r="P7035" s="1" t="s">
        <v>13855</v>
      </c>
      <c r="Q7035" s="1" t="s">
        <v>13856</v>
      </c>
      <c r="R7035" s="1" t="s">
        <v>90</v>
      </c>
      <c r="S7035" s="1" t="s">
        <v>1630</v>
      </c>
      <c r="T7035" s="1" t="s">
        <v>1631</v>
      </c>
      <c r="U7035" s="2" t="s">
        <v>6554</v>
      </c>
      <c r="V7035" s="2" t="s">
        <v>47</v>
      </c>
      <c r="W7035" s="2" t="s">
        <v>74</v>
      </c>
      <c r="X7035" s="2">
        <v>24.64</v>
      </c>
    </row>
    <row r="7036" spans="1:24" x14ac:dyDescent="0.3">
      <c r="A7036">
        <v>24850</v>
      </c>
      <c r="B7036" t="s">
        <v>13857</v>
      </c>
      <c r="C7036" s="3">
        <v>41860</v>
      </c>
      <c r="D7036" t="s">
        <v>39</v>
      </c>
      <c r="E7036">
        <v>16</v>
      </c>
      <c r="F7036" s="3">
        <f ca="1">41862+(RANDBETWEEN(1,10))</f>
        <v>41864</v>
      </c>
      <c r="G7036" t="s">
        <v>76</v>
      </c>
      <c r="H7036" t="s">
        <v>77</v>
      </c>
      <c r="I7036" t="s">
        <v>86</v>
      </c>
      <c r="J7036">
        <v>13230.07</v>
      </c>
      <c r="K7036">
        <v>0.04</v>
      </c>
      <c r="L7036">
        <v>0.56999999999999995</v>
      </c>
      <c r="M7036">
        <v>220.29</v>
      </c>
      <c r="N7036">
        <v>3163.7017999999998</v>
      </c>
      <c r="O7036" s="1" t="s">
        <v>87</v>
      </c>
      <c r="P7036" s="1" t="s">
        <v>9265</v>
      </c>
      <c r="Q7036" s="1" t="s">
        <v>9266</v>
      </c>
      <c r="R7036" s="1" t="s">
        <v>90</v>
      </c>
      <c r="S7036" s="1" t="s">
        <v>5918</v>
      </c>
      <c r="T7036" s="1" t="s">
        <v>5919</v>
      </c>
      <c r="U7036" s="2" t="s">
        <v>4113</v>
      </c>
      <c r="V7036" s="2" t="s">
        <v>83</v>
      </c>
      <c r="W7036" s="2" t="s">
        <v>84</v>
      </c>
      <c r="X7036" s="2">
        <v>853.93</v>
      </c>
    </row>
    <row r="7037" spans="1:24" x14ac:dyDescent="0.3">
      <c r="A7037">
        <v>24851</v>
      </c>
      <c r="B7037" t="s">
        <v>13858</v>
      </c>
      <c r="C7037" s="3">
        <v>40792</v>
      </c>
      <c r="D7037" t="s">
        <v>25</v>
      </c>
      <c r="E7037">
        <v>8</v>
      </c>
      <c r="F7037" s="3">
        <f ca="1">40794+(RANDBETWEEN(1,10))</f>
        <v>40804</v>
      </c>
      <c r="G7037" t="s">
        <v>26</v>
      </c>
      <c r="H7037" t="s">
        <v>27</v>
      </c>
      <c r="I7037" t="s">
        <v>28</v>
      </c>
      <c r="J7037">
        <v>178.08</v>
      </c>
      <c r="K7037">
        <v>0.09</v>
      </c>
      <c r="L7037">
        <v>0.37</v>
      </c>
      <c r="M7037">
        <v>24.01</v>
      </c>
      <c r="N7037">
        <v>-217.80500000000001</v>
      </c>
      <c r="O7037" s="1" t="s">
        <v>29</v>
      </c>
      <c r="P7037" s="1" t="s">
        <v>3889</v>
      </c>
      <c r="Q7037" s="1" t="s">
        <v>3890</v>
      </c>
      <c r="R7037" s="1" t="s">
        <v>32</v>
      </c>
      <c r="S7037" s="1" t="s">
        <v>3891</v>
      </c>
      <c r="T7037" s="1" t="s">
        <v>3892</v>
      </c>
      <c r="U7037" s="2" t="s">
        <v>1514</v>
      </c>
      <c r="V7037" s="2" t="s">
        <v>47</v>
      </c>
      <c r="W7037" s="2" t="s">
        <v>74</v>
      </c>
      <c r="X7037" s="2">
        <v>22.68</v>
      </c>
    </row>
    <row r="7038" spans="1:24" x14ac:dyDescent="0.3">
      <c r="A7038">
        <v>24852</v>
      </c>
      <c r="B7038" t="s">
        <v>13859</v>
      </c>
      <c r="C7038" s="3">
        <v>41204</v>
      </c>
      <c r="D7038" t="s">
        <v>50</v>
      </c>
      <c r="E7038">
        <v>4</v>
      </c>
      <c r="F7038" s="3">
        <f ca="1">41205+(RANDBETWEEN(1,10))</f>
        <v>41214</v>
      </c>
      <c r="G7038" t="s">
        <v>26</v>
      </c>
      <c r="H7038" t="s">
        <v>63</v>
      </c>
      <c r="I7038" t="s">
        <v>97</v>
      </c>
      <c r="J7038">
        <v>50332.66</v>
      </c>
      <c r="K7038">
        <v>0.04</v>
      </c>
      <c r="L7038">
        <v>0.37</v>
      </c>
      <c r="M7038">
        <v>85.715000000000003</v>
      </c>
      <c r="N7038">
        <v>918.06385999999998</v>
      </c>
      <c r="O7038" s="1" t="s">
        <v>87</v>
      </c>
      <c r="P7038" s="1" t="s">
        <v>13860</v>
      </c>
      <c r="Q7038" s="1" t="s">
        <v>13861</v>
      </c>
      <c r="R7038" s="1" t="s">
        <v>398</v>
      </c>
      <c r="S7038" s="1" t="s">
        <v>7233</v>
      </c>
      <c r="T7038" s="1" t="s">
        <v>7234</v>
      </c>
      <c r="U7038" s="2" t="s">
        <v>6194</v>
      </c>
      <c r="V7038" s="2" t="s">
        <v>36</v>
      </c>
      <c r="W7038" s="2" t="s">
        <v>1327</v>
      </c>
      <c r="X7038" s="2">
        <v>12249.965</v>
      </c>
    </row>
    <row r="7039" spans="1:24" x14ac:dyDescent="0.3">
      <c r="A7039">
        <v>24853</v>
      </c>
      <c r="B7039" t="s">
        <v>13862</v>
      </c>
      <c r="C7039" s="3">
        <v>41925</v>
      </c>
      <c r="D7039" t="s">
        <v>39</v>
      </c>
      <c r="E7039">
        <v>23</v>
      </c>
      <c r="F7039" s="3">
        <f ca="1">41925+(RANDBETWEEN(1,10))</f>
        <v>41930</v>
      </c>
      <c r="G7039" t="s">
        <v>26</v>
      </c>
      <c r="H7039" t="s">
        <v>281</v>
      </c>
      <c r="I7039" t="s">
        <v>97</v>
      </c>
      <c r="J7039">
        <v>4469.8149999999996</v>
      </c>
      <c r="K7039">
        <v>0.01</v>
      </c>
      <c r="L7039">
        <v>0.64</v>
      </c>
      <c r="M7039">
        <v>38.85</v>
      </c>
      <c r="N7039">
        <v>1844.9549999999999</v>
      </c>
      <c r="O7039" s="1" t="s">
        <v>64</v>
      </c>
      <c r="P7039" s="1" t="s">
        <v>7403</v>
      </c>
      <c r="Q7039" s="1" t="s">
        <v>7404</v>
      </c>
      <c r="R7039" s="1" t="s">
        <v>67</v>
      </c>
      <c r="S7039" s="1" t="s">
        <v>7405</v>
      </c>
      <c r="T7039" s="1" t="s">
        <v>7406</v>
      </c>
      <c r="U7039" s="2" t="s">
        <v>3827</v>
      </c>
      <c r="V7039" s="2" t="s">
        <v>83</v>
      </c>
      <c r="W7039" s="2" t="s">
        <v>178</v>
      </c>
      <c r="X7039" s="2">
        <v>189.7</v>
      </c>
    </row>
    <row r="7040" spans="1:24" x14ac:dyDescent="0.3">
      <c r="A7040">
        <v>24854</v>
      </c>
      <c r="B7040" t="s">
        <v>13863</v>
      </c>
      <c r="C7040" s="3">
        <v>41952</v>
      </c>
      <c r="D7040" t="s">
        <v>62</v>
      </c>
      <c r="E7040">
        <v>17</v>
      </c>
      <c r="F7040" s="3">
        <f ca="1">41953+(RANDBETWEEN(1,10))</f>
        <v>41959</v>
      </c>
      <c r="G7040" t="s">
        <v>26</v>
      </c>
      <c r="H7040" t="s">
        <v>51</v>
      </c>
      <c r="I7040" t="s">
        <v>97</v>
      </c>
      <c r="J7040">
        <v>627.58500000000004</v>
      </c>
      <c r="K7040">
        <v>0.05</v>
      </c>
      <c r="L7040">
        <v>0.59</v>
      </c>
      <c r="M7040">
        <v>16.38</v>
      </c>
      <c r="N7040">
        <v>38.407600000000002</v>
      </c>
      <c r="O7040" s="1" t="s">
        <v>40</v>
      </c>
      <c r="P7040" s="1" t="s">
        <v>13609</v>
      </c>
      <c r="Q7040" s="1" t="s">
        <v>13610</v>
      </c>
      <c r="R7040" s="1" t="s">
        <v>220</v>
      </c>
      <c r="S7040" s="1" t="s">
        <v>13611</v>
      </c>
      <c r="T7040" s="1" t="s">
        <v>13612</v>
      </c>
      <c r="U7040" s="2" t="s">
        <v>3567</v>
      </c>
      <c r="V7040" s="2" t="s">
        <v>47</v>
      </c>
      <c r="W7040" s="2" t="s">
        <v>94</v>
      </c>
      <c r="X7040" s="2">
        <v>35.805</v>
      </c>
    </row>
    <row r="7041" spans="1:24" x14ac:dyDescent="0.3">
      <c r="A7041">
        <v>24855</v>
      </c>
      <c r="B7041" t="s">
        <v>13864</v>
      </c>
      <c r="C7041" s="3">
        <v>41764</v>
      </c>
      <c r="D7041" t="s">
        <v>39</v>
      </c>
      <c r="E7041">
        <v>16</v>
      </c>
      <c r="F7041" s="3">
        <f ca="1">41764+(RANDBETWEEN(1,10))</f>
        <v>41772</v>
      </c>
      <c r="G7041" t="s">
        <v>76</v>
      </c>
      <c r="H7041" t="s">
        <v>77</v>
      </c>
      <c r="I7041" t="s">
        <v>86</v>
      </c>
      <c r="J7041">
        <v>5227.7049999999999</v>
      </c>
      <c r="K7041">
        <v>0.02</v>
      </c>
      <c r="L7041">
        <v>0.61</v>
      </c>
      <c r="M7041">
        <v>105</v>
      </c>
      <c r="N7041">
        <v>682.64</v>
      </c>
      <c r="O7041" s="1" t="s">
        <v>53</v>
      </c>
      <c r="P7041" s="1" t="s">
        <v>11473</v>
      </c>
      <c r="Q7041" s="1" t="s">
        <v>11474</v>
      </c>
      <c r="R7041" s="1" t="s">
        <v>56</v>
      </c>
      <c r="S7041" s="1" t="s">
        <v>11475</v>
      </c>
      <c r="T7041" s="1" t="s">
        <v>11476</v>
      </c>
      <c r="U7041" s="2" t="s">
        <v>1790</v>
      </c>
      <c r="V7041" s="2" t="s">
        <v>83</v>
      </c>
      <c r="W7041" s="2" t="s">
        <v>84</v>
      </c>
      <c r="X7041" s="2">
        <v>318.43</v>
      </c>
    </row>
    <row r="7042" spans="1:24" x14ac:dyDescent="0.3">
      <c r="A7042">
        <v>24856</v>
      </c>
      <c r="B7042" t="s">
        <v>13865</v>
      </c>
      <c r="C7042" s="3">
        <v>40588</v>
      </c>
      <c r="D7042" t="s">
        <v>62</v>
      </c>
      <c r="E7042">
        <v>2</v>
      </c>
      <c r="F7042" s="3">
        <f ca="1">40590+(RANDBETWEEN(1,10))</f>
        <v>40597</v>
      </c>
      <c r="G7042" t="s">
        <v>76</v>
      </c>
      <c r="H7042" t="s">
        <v>258</v>
      </c>
      <c r="I7042" t="s">
        <v>97</v>
      </c>
      <c r="J7042">
        <v>2319.8000000000002</v>
      </c>
      <c r="K7042">
        <v>0.09</v>
      </c>
      <c r="L7042">
        <v>0.62</v>
      </c>
      <c r="M7042">
        <v>140.66499999999999</v>
      </c>
      <c r="N7042">
        <v>-328.47500000000002</v>
      </c>
      <c r="O7042" s="1" t="s">
        <v>64</v>
      </c>
      <c r="P7042" s="1" t="s">
        <v>8588</v>
      </c>
      <c r="Q7042" s="1" t="s">
        <v>8589</v>
      </c>
      <c r="R7042" s="1" t="s">
        <v>67</v>
      </c>
      <c r="S7042" s="1" t="s">
        <v>8590</v>
      </c>
      <c r="T7042" s="1" t="s">
        <v>8591</v>
      </c>
      <c r="U7042" s="2" t="s">
        <v>3482</v>
      </c>
      <c r="V7042" s="2" t="s">
        <v>83</v>
      </c>
      <c r="W7042" s="2" t="s">
        <v>263</v>
      </c>
      <c r="X7042" s="2">
        <v>1218.7349999999999</v>
      </c>
    </row>
    <row r="7043" spans="1:24" x14ac:dyDescent="0.3">
      <c r="A7043">
        <v>24857</v>
      </c>
      <c r="B7043" t="s">
        <v>13866</v>
      </c>
      <c r="C7043" s="3">
        <v>41473</v>
      </c>
      <c r="D7043" t="s">
        <v>50</v>
      </c>
      <c r="E7043">
        <v>13</v>
      </c>
      <c r="F7043" s="3">
        <f ca="1">41475+(RANDBETWEEN(1,10))</f>
        <v>41477</v>
      </c>
      <c r="G7043" t="s">
        <v>26</v>
      </c>
      <c r="H7043" t="s">
        <v>27</v>
      </c>
      <c r="I7043" t="s">
        <v>28</v>
      </c>
      <c r="J7043">
        <v>5599.7550000000001</v>
      </c>
      <c r="K7043">
        <v>0.09</v>
      </c>
      <c r="L7043">
        <v>0.55000000000000004</v>
      </c>
      <c r="M7043">
        <v>13.65</v>
      </c>
      <c r="N7043">
        <v>-600.82330000000002</v>
      </c>
      <c r="O7043" s="1" t="s">
        <v>87</v>
      </c>
      <c r="P7043" s="1" t="s">
        <v>13403</v>
      </c>
      <c r="Q7043" s="1" t="s">
        <v>13404</v>
      </c>
      <c r="R7043" s="1" t="s">
        <v>646</v>
      </c>
      <c r="S7043" s="1" t="s">
        <v>4444</v>
      </c>
      <c r="T7043" s="1" t="s">
        <v>4445</v>
      </c>
      <c r="U7043" s="2" t="s">
        <v>1983</v>
      </c>
      <c r="V7043" s="2" t="s">
        <v>36</v>
      </c>
      <c r="W7043" s="2" t="s">
        <v>37</v>
      </c>
      <c r="X7043" s="2">
        <v>545.96500000000003</v>
      </c>
    </row>
    <row r="7044" spans="1:24" x14ac:dyDescent="0.3">
      <c r="A7044">
        <v>24858</v>
      </c>
      <c r="B7044" t="s">
        <v>13867</v>
      </c>
      <c r="C7044" s="3">
        <v>41100</v>
      </c>
      <c r="D7044" t="s">
        <v>62</v>
      </c>
      <c r="E7044">
        <v>1</v>
      </c>
      <c r="F7044" s="3">
        <f ca="1">41102+(RANDBETWEEN(1,10))</f>
        <v>41107</v>
      </c>
      <c r="G7044" t="s">
        <v>26</v>
      </c>
      <c r="H7044" t="s">
        <v>27</v>
      </c>
      <c r="I7044" t="s">
        <v>28</v>
      </c>
      <c r="J7044">
        <v>339.95499999999998</v>
      </c>
      <c r="K7044">
        <v>0.05</v>
      </c>
      <c r="L7044">
        <v>0.36</v>
      </c>
      <c r="M7044">
        <v>1.7150000000000001</v>
      </c>
      <c r="N7044">
        <v>-129.71</v>
      </c>
      <c r="O7044" s="1" t="s">
        <v>29</v>
      </c>
      <c r="P7044" s="1" t="s">
        <v>9630</v>
      </c>
      <c r="Q7044" s="1" t="s">
        <v>9631</v>
      </c>
      <c r="R7044" s="1" t="s">
        <v>32</v>
      </c>
      <c r="S7044" s="1" t="s">
        <v>9632</v>
      </c>
      <c r="T7044" s="1" t="s">
        <v>9633</v>
      </c>
      <c r="U7044" s="2" t="s">
        <v>12278</v>
      </c>
      <c r="V7044" s="2" t="s">
        <v>47</v>
      </c>
      <c r="W7044" s="2" t="s">
        <v>203</v>
      </c>
      <c r="X7044" s="2">
        <v>344.08499999999998</v>
      </c>
    </row>
    <row r="7045" spans="1:24" x14ac:dyDescent="0.3">
      <c r="A7045">
        <v>24859</v>
      </c>
      <c r="B7045" t="s">
        <v>13868</v>
      </c>
      <c r="C7045" s="3">
        <v>41803</v>
      </c>
      <c r="D7045" t="s">
        <v>50</v>
      </c>
      <c r="E7045">
        <v>18</v>
      </c>
      <c r="F7045" s="3">
        <f ca="1">41805+(RANDBETWEEN(1,10))</f>
        <v>41806</v>
      </c>
      <c r="G7045" t="s">
        <v>156</v>
      </c>
      <c r="H7045" t="s">
        <v>63</v>
      </c>
      <c r="I7045" t="s">
        <v>28</v>
      </c>
      <c r="J7045">
        <v>10251.535</v>
      </c>
      <c r="K7045">
        <v>0.05</v>
      </c>
      <c r="L7045">
        <v>0.85</v>
      </c>
      <c r="M7045">
        <v>122.5</v>
      </c>
      <c r="N7045">
        <v>3707.6235000000001</v>
      </c>
      <c r="O7045" s="1" t="s">
        <v>87</v>
      </c>
      <c r="P7045" s="1" t="s">
        <v>11711</v>
      </c>
      <c r="Q7045" s="1" t="s">
        <v>11712</v>
      </c>
      <c r="R7045" s="1" t="s">
        <v>646</v>
      </c>
      <c r="S7045" s="1" t="s">
        <v>1426</v>
      </c>
      <c r="T7045" s="1" t="s">
        <v>1427</v>
      </c>
      <c r="U7045" s="2" t="s">
        <v>4771</v>
      </c>
      <c r="V7045" s="2" t="s">
        <v>47</v>
      </c>
      <c r="W7045" s="2" t="s">
        <v>119</v>
      </c>
      <c r="X7045" s="2">
        <v>585.44500000000005</v>
      </c>
    </row>
    <row r="7046" spans="1:24" x14ac:dyDescent="0.3">
      <c r="A7046">
        <v>24860</v>
      </c>
      <c r="B7046" t="s">
        <v>13868</v>
      </c>
      <c r="C7046" s="3">
        <v>41803</v>
      </c>
      <c r="D7046" t="s">
        <v>50</v>
      </c>
      <c r="E7046">
        <v>16</v>
      </c>
      <c r="F7046" s="3">
        <f ca="1">41804+(RANDBETWEEN(1,10))</f>
        <v>41811</v>
      </c>
      <c r="G7046" t="s">
        <v>26</v>
      </c>
      <c r="H7046" t="s">
        <v>27</v>
      </c>
      <c r="I7046" t="s">
        <v>28</v>
      </c>
      <c r="J7046">
        <v>8936.375</v>
      </c>
      <c r="K7046">
        <v>7.0000000000000007E-2</v>
      </c>
      <c r="L7046">
        <v>0.59</v>
      </c>
      <c r="M7046">
        <v>13.965</v>
      </c>
      <c r="N7046">
        <v>1715.1120000000001</v>
      </c>
      <c r="O7046" s="1" t="s">
        <v>87</v>
      </c>
      <c r="P7046" s="1" t="s">
        <v>11711</v>
      </c>
      <c r="Q7046" s="1" t="s">
        <v>11712</v>
      </c>
      <c r="R7046" s="1" t="s">
        <v>646</v>
      </c>
      <c r="S7046" s="1" t="s">
        <v>1426</v>
      </c>
      <c r="T7046" s="1" t="s">
        <v>1427</v>
      </c>
      <c r="U7046" s="2" t="s">
        <v>8434</v>
      </c>
      <c r="V7046" s="2" t="s">
        <v>36</v>
      </c>
      <c r="W7046" s="2" t="s">
        <v>37</v>
      </c>
      <c r="X7046" s="2">
        <v>685.96500000000003</v>
      </c>
    </row>
    <row r="7047" spans="1:24" x14ac:dyDescent="0.3">
      <c r="A7047">
        <v>24861</v>
      </c>
      <c r="B7047" t="s">
        <v>13869</v>
      </c>
      <c r="C7047" s="3">
        <v>41940</v>
      </c>
      <c r="D7047" t="s">
        <v>62</v>
      </c>
      <c r="E7047">
        <v>23</v>
      </c>
      <c r="F7047" s="3">
        <f ca="1">41942+(RANDBETWEEN(1,10))</f>
        <v>41952</v>
      </c>
      <c r="G7047" t="s">
        <v>26</v>
      </c>
      <c r="H7047" t="s">
        <v>27</v>
      </c>
      <c r="I7047" t="s">
        <v>97</v>
      </c>
      <c r="J7047">
        <v>1604.19</v>
      </c>
      <c r="K7047">
        <v>0.02</v>
      </c>
      <c r="L7047">
        <v>0.37</v>
      </c>
      <c r="M7047">
        <v>33.39</v>
      </c>
      <c r="N7047">
        <v>282.91199999999998</v>
      </c>
      <c r="O7047" s="1" t="s">
        <v>53</v>
      </c>
      <c r="P7047" s="1" t="s">
        <v>13870</v>
      </c>
      <c r="Q7047" s="1" t="s">
        <v>13871</v>
      </c>
      <c r="R7047" s="1" t="s">
        <v>100</v>
      </c>
      <c r="S7047" s="1" t="s">
        <v>13872</v>
      </c>
      <c r="T7047" s="1" t="s">
        <v>13873</v>
      </c>
      <c r="U7047" s="2" t="s">
        <v>838</v>
      </c>
      <c r="V7047" s="2" t="s">
        <v>47</v>
      </c>
      <c r="W7047" s="2" t="s">
        <v>74</v>
      </c>
      <c r="X7047" s="2">
        <v>66.394999999999996</v>
      </c>
    </row>
    <row r="7048" spans="1:24" x14ac:dyDescent="0.3">
      <c r="A7048">
        <v>24862</v>
      </c>
      <c r="B7048" t="s">
        <v>13874</v>
      </c>
      <c r="C7048" s="3">
        <v>40624</v>
      </c>
      <c r="D7048" t="s">
        <v>50</v>
      </c>
      <c r="E7048">
        <v>7</v>
      </c>
      <c r="F7048" s="3">
        <f ca="1">40626+(RANDBETWEEN(1,10))</f>
        <v>40634</v>
      </c>
      <c r="G7048" t="s">
        <v>26</v>
      </c>
      <c r="H7048" t="s">
        <v>27</v>
      </c>
      <c r="I7048" t="s">
        <v>86</v>
      </c>
      <c r="J7048">
        <v>306.35500000000002</v>
      </c>
      <c r="K7048">
        <v>0.03</v>
      </c>
      <c r="L7048">
        <v>0.38</v>
      </c>
      <c r="M7048">
        <v>22.225000000000001</v>
      </c>
      <c r="N7048">
        <v>240.36600000000001</v>
      </c>
      <c r="O7048" s="1" t="s">
        <v>29</v>
      </c>
      <c r="P7048" s="1" t="s">
        <v>11759</v>
      </c>
      <c r="Q7048" s="1" t="s">
        <v>11760</v>
      </c>
      <c r="R7048" s="1" t="s">
        <v>32</v>
      </c>
      <c r="S7048" s="1" t="s">
        <v>11761</v>
      </c>
      <c r="T7048" s="1" t="s">
        <v>1929</v>
      </c>
      <c r="U7048" s="2" t="s">
        <v>13875</v>
      </c>
      <c r="V7048" s="2" t="s">
        <v>47</v>
      </c>
      <c r="W7048" s="2" t="s">
        <v>74</v>
      </c>
      <c r="X7048" s="2">
        <v>42.98</v>
      </c>
    </row>
    <row r="7049" spans="1:24" x14ac:dyDescent="0.3">
      <c r="A7049">
        <v>24863</v>
      </c>
      <c r="B7049" t="s">
        <v>13876</v>
      </c>
      <c r="C7049" s="3">
        <v>41720</v>
      </c>
      <c r="D7049" t="s">
        <v>50</v>
      </c>
      <c r="E7049">
        <v>11</v>
      </c>
      <c r="F7049" s="3">
        <f ca="1">41721+(RANDBETWEEN(1,10))</f>
        <v>41723</v>
      </c>
      <c r="G7049" t="s">
        <v>26</v>
      </c>
      <c r="H7049" t="s">
        <v>27</v>
      </c>
      <c r="I7049" t="s">
        <v>86</v>
      </c>
      <c r="J7049">
        <v>583.30999999999995</v>
      </c>
      <c r="K7049">
        <v>0.08</v>
      </c>
      <c r="L7049">
        <v>0.81</v>
      </c>
      <c r="M7049">
        <v>15.855</v>
      </c>
      <c r="N7049">
        <v>741.72</v>
      </c>
      <c r="O7049" s="1" t="s">
        <v>29</v>
      </c>
      <c r="P7049" s="1" t="s">
        <v>11759</v>
      </c>
      <c r="Q7049" s="1" t="s">
        <v>11760</v>
      </c>
      <c r="R7049" s="1" t="s">
        <v>32</v>
      </c>
      <c r="S7049" s="1" t="s">
        <v>11761</v>
      </c>
      <c r="T7049" s="1" t="s">
        <v>1929</v>
      </c>
      <c r="U7049" s="2" t="s">
        <v>2304</v>
      </c>
      <c r="V7049" s="2" t="s">
        <v>47</v>
      </c>
      <c r="W7049" s="2" t="s">
        <v>119</v>
      </c>
      <c r="X7049" s="2">
        <v>52.99</v>
      </c>
    </row>
    <row r="7050" spans="1:24" x14ac:dyDescent="0.3">
      <c r="A7050">
        <v>24864</v>
      </c>
      <c r="B7050" t="s">
        <v>13877</v>
      </c>
      <c r="C7050" s="3">
        <v>41935</v>
      </c>
      <c r="D7050" t="s">
        <v>148</v>
      </c>
      <c r="E7050">
        <v>4</v>
      </c>
      <c r="F7050" s="3">
        <f ca="1">41937+(RANDBETWEEN(1,10))</f>
        <v>41943</v>
      </c>
      <c r="G7050" t="s">
        <v>26</v>
      </c>
      <c r="H7050" t="s">
        <v>27</v>
      </c>
      <c r="I7050" t="s">
        <v>28</v>
      </c>
      <c r="J7050">
        <v>106.575</v>
      </c>
      <c r="K7050">
        <v>0.01</v>
      </c>
      <c r="L7050">
        <v>0.37</v>
      </c>
      <c r="M7050">
        <v>26.215</v>
      </c>
      <c r="N7050">
        <v>-101.08</v>
      </c>
      <c r="O7050" s="1" t="s">
        <v>64</v>
      </c>
      <c r="P7050" s="1" t="s">
        <v>11936</v>
      </c>
      <c r="Q7050" s="1" t="s">
        <v>11937</v>
      </c>
      <c r="R7050" s="1" t="s">
        <v>67</v>
      </c>
      <c r="S7050" s="1" t="s">
        <v>4720</v>
      </c>
      <c r="T7050" s="1" t="s">
        <v>4721</v>
      </c>
      <c r="U7050" s="2" t="s">
        <v>2916</v>
      </c>
      <c r="V7050" s="2" t="s">
        <v>47</v>
      </c>
      <c r="W7050" s="2" t="s">
        <v>74</v>
      </c>
      <c r="X7050" s="2">
        <v>22.68</v>
      </c>
    </row>
    <row r="7051" spans="1:24" x14ac:dyDescent="0.3">
      <c r="A7051">
        <v>24865</v>
      </c>
      <c r="B7051" t="s">
        <v>13878</v>
      </c>
      <c r="C7051" s="3">
        <v>40838</v>
      </c>
      <c r="D7051" t="s">
        <v>39</v>
      </c>
      <c r="E7051">
        <v>20</v>
      </c>
      <c r="F7051" s="3">
        <f ca="1">40841+(RANDBETWEEN(1,10))</f>
        <v>40850</v>
      </c>
      <c r="G7051" t="s">
        <v>26</v>
      </c>
      <c r="H7051" t="s">
        <v>27</v>
      </c>
      <c r="I7051" t="s">
        <v>86</v>
      </c>
      <c r="J7051">
        <v>3261.5450000000001</v>
      </c>
      <c r="K7051">
        <v>0.03</v>
      </c>
      <c r="L7051">
        <v>0.37</v>
      </c>
      <c r="M7051">
        <v>20.51</v>
      </c>
      <c r="N7051">
        <v>2250.46605</v>
      </c>
      <c r="O7051" s="1" t="s">
        <v>53</v>
      </c>
      <c r="P7051" s="1" t="s">
        <v>13879</v>
      </c>
      <c r="Q7051" s="1" t="s">
        <v>13880</v>
      </c>
      <c r="R7051" s="1" t="s">
        <v>56</v>
      </c>
      <c r="S7051" s="1" t="s">
        <v>13881</v>
      </c>
      <c r="T7051" s="1" t="s">
        <v>13882</v>
      </c>
      <c r="U7051" s="2" t="s">
        <v>2008</v>
      </c>
      <c r="V7051" s="2" t="s">
        <v>47</v>
      </c>
      <c r="W7051" s="2" t="s">
        <v>74</v>
      </c>
      <c r="X7051" s="2">
        <v>167.65</v>
      </c>
    </row>
    <row r="7052" spans="1:24" x14ac:dyDescent="0.3">
      <c r="A7052">
        <v>24866</v>
      </c>
      <c r="B7052" t="s">
        <v>13878</v>
      </c>
      <c r="C7052" s="3">
        <v>40838</v>
      </c>
      <c r="D7052" t="s">
        <v>39</v>
      </c>
      <c r="E7052">
        <v>1</v>
      </c>
      <c r="F7052" s="3">
        <f ca="1">40839+(RANDBETWEEN(1,10))</f>
        <v>40849</v>
      </c>
      <c r="G7052" t="s">
        <v>26</v>
      </c>
      <c r="H7052" t="s">
        <v>27</v>
      </c>
      <c r="I7052" t="s">
        <v>86</v>
      </c>
      <c r="J7052">
        <v>194.005</v>
      </c>
      <c r="K7052">
        <v>0.01</v>
      </c>
      <c r="L7052">
        <v>0.38</v>
      </c>
      <c r="M7052">
        <v>69.965000000000003</v>
      </c>
      <c r="N7052">
        <v>-184.87979999999999</v>
      </c>
      <c r="O7052" s="1" t="s">
        <v>87</v>
      </c>
      <c r="P7052" s="1" t="s">
        <v>13883</v>
      </c>
      <c r="Q7052" s="1" t="s">
        <v>13884</v>
      </c>
      <c r="R7052" s="1" t="s">
        <v>90</v>
      </c>
      <c r="S7052" s="1" t="s">
        <v>5318</v>
      </c>
      <c r="T7052" s="1" t="s">
        <v>5319</v>
      </c>
      <c r="U7052" s="2" t="s">
        <v>3329</v>
      </c>
      <c r="V7052" s="2" t="s">
        <v>47</v>
      </c>
      <c r="W7052" s="2" t="s">
        <v>74</v>
      </c>
      <c r="X7052" s="2">
        <v>124.04</v>
      </c>
    </row>
    <row r="7053" spans="1:24" x14ac:dyDescent="0.3">
      <c r="A7053">
        <v>24867</v>
      </c>
      <c r="B7053" t="s">
        <v>13885</v>
      </c>
      <c r="C7053" s="3">
        <v>41807</v>
      </c>
      <c r="D7053" t="s">
        <v>25</v>
      </c>
      <c r="E7053">
        <v>12</v>
      </c>
      <c r="F7053" s="3">
        <f ca="1">41814+(RANDBETWEEN(1,10))</f>
        <v>41822</v>
      </c>
      <c r="G7053" t="s">
        <v>26</v>
      </c>
      <c r="H7053" t="s">
        <v>27</v>
      </c>
      <c r="I7053" t="s">
        <v>28</v>
      </c>
      <c r="J7053">
        <v>955.39499999999998</v>
      </c>
      <c r="K7053">
        <v>0</v>
      </c>
      <c r="L7053">
        <v>0.6</v>
      </c>
      <c r="M7053">
        <v>14</v>
      </c>
      <c r="N7053">
        <v>504.21</v>
      </c>
      <c r="O7053" s="1" t="s">
        <v>53</v>
      </c>
      <c r="P7053" s="1" t="s">
        <v>7962</v>
      </c>
      <c r="Q7053" s="1" t="s">
        <v>7963</v>
      </c>
      <c r="R7053" s="1" t="s">
        <v>440</v>
      </c>
      <c r="S7053" s="1" t="s">
        <v>7964</v>
      </c>
      <c r="T7053" s="1" t="s">
        <v>7965</v>
      </c>
      <c r="U7053" s="2" t="s">
        <v>3946</v>
      </c>
      <c r="V7053" s="2" t="s">
        <v>36</v>
      </c>
      <c r="W7053" s="2" t="s">
        <v>60</v>
      </c>
      <c r="X7053" s="2">
        <v>73.325000000000003</v>
      </c>
    </row>
    <row r="7054" spans="1:24" x14ac:dyDescent="0.3">
      <c r="A7054">
        <v>24868</v>
      </c>
      <c r="B7054" t="s">
        <v>13885</v>
      </c>
      <c r="C7054" s="3">
        <v>41807</v>
      </c>
      <c r="D7054" t="s">
        <v>25</v>
      </c>
      <c r="E7054">
        <v>3</v>
      </c>
      <c r="F7054" s="3">
        <f ca="1">41809+(RANDBETWEEN(1,10))</f>
        <v>41818</v>
      </c>
      <c r="G7054" t="s">
        <v>26</v>
      </c>
      <c r="H7054" t="s">
        <v>27</v>
      </c>
      <c r="I7054" t="s">
        <v>28</v>
      </c>
      <c r="J7054">
        <v>333.79500000000002</v>
      </c>
      <c r="K7054">
        <v>0.01</v>
      </c>
      <c r="L7054">
        <v>0.79</v>
      </c>
      <c r="M7054">
        <v>22.75</v>
      </c>
      <c r="N7054">
        <v>-328.69200000000001</v>
      </c>
      <c r="O7054" s="1" t="s">
        <v>40</v>
      </c>
      <c r="P7054" s="1" t="s">
        <v>6184</v>
      </c>
      <c r="Q7054" s="1" t="s">
        <v>6185</v>
      </c>
      <c r="R7054" s="1" t="s">
        <v>220</v>
      </c>
      <c r="S7054" s="1" t="s">
        <v>6186</v>
      </c>
      <c r="T7054" s="1" t="s">
        <v>6187</v>
      </c>
      <c r="U7054" s="2" t="s">
        <v>4252</v>
      </c>
      <c r="V7054" s="2" t="s">
        <v>36</v>
      </c>
      <c r="W7054" s="2" t="s">
        <v>60</v>
      </c>
      <c r="X7054" s="2">
        <v>108.43</v>
      </c>
    </row>
    <row r="7055" spans="1:24" x14ac:dyDescent="0.3">
      <c r="A7055">
        <v>24869</v>
      </c>
      <c r="B7055" t="s">
        <v>13886</v>
      </c>
      <c r="C7055" s="3">
        <v>40711</v>
      </c>
      <c r="D7055" t="s">
        <v>25</v>
      </c>
      <c r="E7055">
        <v>16</v>
      </c>
      <c r="F7055" s="3">
        <f ca="1">40716+(RANDBETWEEN(1,10))</f>
        <v>40726</v>
      </c>
      <c r="G7055" t="s">
        <v>26</v>
      </c>
      <c r="H7055" t="s">
        <v>27</v>
      </c>
      <c r="I7055" t="s">
        <v>28</v>
      </c>
      <c r="J7055">
        <v>2865.835</v>
      </c>
      <c r="K7055">
        <v>0.03</v>
      </c>
      <c r="L7055">
        <v>0.55000000000000004</v>
      </c>
      <c r="M7055">
        <v>69.965000000000003</v>
      </c>
      <c r="N7055">
        <v>915.05399999999997</v>
      </c>
      <c r="O7055" s="1" t="s">
        <v>40</v>
      </c>
      <c r="P7055" s="1" t="s">
        <v>6184</v>
      </c>
      <c r="Q7055" s="1" t="s">
        <v>6185</v>
      </c>
      <c r="R7055" s="1" t="s">
        <v>220</v>
      </c>
      <c r="S7055" s="1" t="s">
        <v>6186</v>
      </c>
      <c r="T7055" s="1" t="s">
        <v>6187</v>
      </c>
      <c r="U7055" s="2" t="s">
        <v>8123</v>
      </c>
      <c r="V7055" s="2" t="s">
        <v>83</v>
      </c>
      <c r="W7055" s="2" t="s">
        <v>178</v>
      </c>
      <c r="X7055" s="2">
        <v>181.125</v>
      </c>
    </row>
    <row r="7056" spans="1:24" x14ac:dyDescent="0.3">
      <c r="A7056">
        <v>24870</v>
      </c>
      <c r="B7056" t="s">
        <v>13887</v>
      </c>
      <c r="C7056" s="3">
        <v>41646</v>
      </c>
      <c r="D7056" t="s">
        <v>25</v>
      </c>
      <c r="E7056">
        <v>6</v>
      </c>
      <c r="F7056" s="3">
        <f ca="1">41648+(RANDBETWEEN(1,10))</f>
        <v>41654</v>
      </c>
      <c r="G7056" t="s">
        <v>26</v>
      </c>
      <c r="H7056" t="s">
        <v>27</v>
      </c>
      <c r="I7056" t="s">
        <v>52</v>
      </c>
      <c r="J7056">
        <v>106.19</v>
      </c>
      <c r="K7056">
        <v>0</v>
      </c>
      <c r="L7056">
        <v>0.36</v>
      </c>
      <c r="M7056">
        <v>1.75</v>
      </c>
      <c r="N7056">
        <v>73.271100000000004</v>
      </c>
      <c r="O7056" s="1" t="s">
        <v>87</v>
      </c>
      <c r="P7056" s="1" t="s">
        <v>6029</v>
      </c>
      <c r="Q7056" s="1" t="s">
        <v>6030</v>
      </c>
      <c r="R7056" s="1" t="s">
        <v>497</v>
      </c>
      <c r="S7056" s="1" t="s">
        <v>1859</v>
      </c>
      <c r="T7056" s="1" t="s">
        <v>1860</v>
      </c>
      <c r="U7056" s="2" t="s">
        <v>2281</v>
      </c>
      <c r="V7056" s="2" t="s">
        <v>47</v>
      </c>
      <c r="W7056" s="2" t="s">
        <v>203</v>
      </c>
      <c r="X7056" s="2">
        <v>17.184999999999999</v>
      </c>
    </row>
    <row r="7057" spans="1:24" x14ac:dyDescent="0.3">
      <c r="A7057">
        <v>24871</v>
      </c>
      <c r="B7057" t="s">
        <v>13888</v>
      </c>
      <c r="C7057" s="3">
        <v>41841</v>
      </c>
      <c r="D7057" t="s">
        <v>50</v>
      </c>
      <c r="E7057">
        <v>8</v>
      </c>
      <c r="F7057" s="3">
        <f ca="1">41843+(RANDBETWEEN(1,10))</f>
        <v>41850</v>
      </c>
      <c r="G7057" t="s">
        <v>26</v>
      </c>
      <c r="H7057" t="s">
        <v>27</v>
      </c>
      <c r="I7057" t="s">
        <v>86</v>
      </c>
      <c r="J7057">
        <v>607.46</v>
      </c>
      <c r="K7057">
        <v>0.09</v>
      </c>
      <c r="L7057">
        <v>0.39</v>
      </c>
      <c r="M7057">
        <v>59.045000000000002</v>
      </c>
      <c r="N7057">
        <v>-458.56272000000001</v>
      </c>
      <c r="O7057" s="1" t="s">
        <v>87</v>
      </c>
      <c r="P7057" s="1" t="s">
        <v>13409</v>
      </c>
      <c r="Q7057" s="1" t="s">
        <v>13410</v>
      </c>
      <c r="R7057" s="1" t="s">
        <v>398</v>
      </c>
      <c r="S7057" s="1" t="s">
        <v>13411</v>
      </c>
      <c r="T7057" s="1" t="s">
        <v>13412</v>
      </c>
      <c r="U7057" s="2" t="s">
        <v>6800</v>
      </c>
      <c r="V7057" s="2" t="s">
        <v>47</v>
      </c>
      <c r="W7057" s="2" t="s">
        <v>74</v>
      </c>
      <c r="X7057" s="2">
        <v>79.94</v>
      </c>
    </row>
    <row r="7058" spans="1:24" x14ac:dyDescent="0.3">
      <c r="A7058">
        <v>24872</v>
      </c>
      <c r="B7058" t="s">
        <v>13889</v>
      </c>
      <c r="C7058" s="3">
        <v>40745</v>
      </c>
      <c r="D7058" t="s">
        <v>50</v>
      </c>
      <c r="E7058">
        <v>8</v>
      </c>
      <c r="F7058" s="3">
        <f ca="1">40747+(RANDBETWEEN(1,10))</f>
        <v>40757</v>
      </c>
      <c r="G7058" t="s">
        <v>156</v>
      </c>
      <c r="H7058" t="s">
        <v>27</v>
      </c>
      <c r="I7058" t="s">
        <v>86</v>
      </c>
      <c r="J7058">
        <v>401.83499999999998</v>
      </c>
      <c r="K7058">
        <v>0.1</v>
      </c>
      <c r="L7058">
        <v>0.56999999999999995</v>
      </c>
      <c r="M7058">
        <v>26.914999999999999</v>
      </c>
      <c r="N7058">
        <v>-269.14999999999998</v>
      </c>
      <c r="O7058" s="1" t="s">
        <v>87</v>
      </c>
      <c r="P7058" s="1" t="s">
        <v>13409</v>
      </c>
      <c r="Q7058" s="1" t="s">
        <v>13410</v>
      </c>
      <c r="R7058" s="1" t="s">
        <v>398</v>
      </c>
      <c r="S7058" s="1" t="s">
        <v>13411</v>
      </c>
      <c r="T7058" s="1" t="s">
        <v>13412</v>
      </c>
      <c r="U7058" s="2" t="s">
        <v>3304</v>
      </c>
      <c r="V7058" s="2" t="s">
        <v>47</v>
      </c>
      <c r="W7058" s="2" t="s">
        <v>119</v>
      </c>
      <c r="X7058" s="2">
        <v>52.43</v>
      </c>
    </row>
    <row r="7059" spans="1:24" x14ac:dyDescent="0.3">
      <c r="A7059">
        <v>24873</v>
      </c>
      <c r="B7059" t="s">
        <v>13890</v>
      </c>
      <c r="C7059" s="3">
        <v>41201</v>
      </c>
      <c r="D7059" t="s">
        <v>50</v>
      </c>
      <c r="E7059">
        <v>5</v>
      </c>
      <c r="F7059" s="3">
        <f ca="1">41203+(RANDBETWEEN(1,10))</f>
        <v>41204</v>
      </c>
      <c r="G7059" t="s">
        <v>26</v>
      </c>
      <c r="H7059" t="s">
        <v>27</v>
      </c>
      <c r="I7059" t="s">
        <v>97</v>
      </c>
      <c r="J7059">
        <v>119.38500000000001</v>
      </c>
      <c r="K7059">
        <v>7.0000000000000007E-2</v>
      </c>
      <c r="L7059">
        <v>0.37</v>
      </c>
      <c r="M7059">
        <v>20.79</v>
      </c>
      <c r="N7059">
        <v>-117.7092</v>
      </c>
      <c r="O7059" s="1" t="s">
        <v>64</v>
      </c>
      <c r="P7059" s="1" t="s">
        <v>13891</v>
      </c>
      <c r="Q7059" s="1" t="s">
        <v>13892</v>
      </c>
      <c r="R7059" s="1" t="s">
        <v>67</v>
      </c>
      <c r="S7059" s="1" t="s">
        <v>8012</v>
      </c>
      <c r="T7059" s="1" t="s">
        <v>8013</v>
      </c>
      <c r="U7059" s="2" t="s">
        <v>3813</v>
      </c>
      <c r="V7059" s="2" t="s">
        <v>47</v>
      </c>
      <c r="W7059" s="2" t="s">
        <v>74</v>
      </c>
      <c r="X7059" s="2">
        <v>22.68</v>
      </c>
    </row>
    <row r="7060" spans="1:24" x14ac:dyDescent="0.3">
      <c r="A7060">
        <v>24874</v>
      </c>
      <c r="B7060" t="s">
        <v>13893</v>
      </c>
      <c r="C7060" s="3">
        <v>41790</v>
      </c>
      <c r="D7060" t="s">
        <v>25</v>
      </c>
      <c r="E7060">
        <v>6</v>
      </c>
      <c r="F7060" s="3">
        <f ca="1">41790+(RANDBETWEEN(1,10))</f>
        <v>41799</v>
      </c>
      <c r="G7060" t="s">
        <v>156</v>
      </c>
      <c r="H7060" t="s">
        <v>27</v>
      </c>
      <c r="I7060" t="s">
        <v>52</v>
      </c>
      <c r="J7060">
        <v>151.23500000000001</v>
      </c>
      <c r="K7060">
        <v>0.08</v>
      </c>
      <c r="L7060">
        <v>0.37</v>
      </c>
      <c r="M7060">
        <v>21.77</v>
      </c>
      <c r="N7060">
        <v>-37.975000000000001</v>
      </c>
      <c r="O7060" s="1" t="s">
        <v>87</v>
      </c>
      <c r="P7060" s="1" t="s">
        <v>4135</v>
      </c>
      <c r="Q7060" s="1" t="s">
        <v>4136</v>
      </c>
      <c r="R7060" s="1" t="s">
        <v>646</v>
      </c>
      <c r="S7060" s="1" t="s">
        <v>933</v>
      </c>
      <c r="T7060" s="1" t="s">
        <v>934</v>
      </c>
      <c r="U7060" s="2" t="s">
        <v>4158</v>
      </c>
      <c r="V7060" s="2" t="s">
        <v>47</v>
      </c>
      <c r="W7060" s="2" t="s">
        <v>74</v>
      </c>
      <c r="X7060" s="2">
        <v>22.68</v>
      </c>
    </row>
    <row r="7061" spans="1:24" x14ac:dyDescent="0.3">
      <c r="A7061">
        <v>24875</v>
      </c>
      <c r="B7061" t="s">
        <v>13894</v>
      </c>
      <c r="C7061" s="3">
        <v>41204</v>
      </c>
      <c r="D7061" t="s">
        <v>50</v>
      </c>
      <c r="E7061">
        <v>3</v>
      </c>
      <c r="F7061" s="3">
        <f ca="1">41206+(RANDBETWEEN(1,10))</f>
        <v>41216</v>
      </c>
      <c r="G7061" t="s">
        <v>26</v>
      </c>
      <c r="H7061" t="s">
        <v>63</v>
      </c>
      <c r="I7061" t="s">
        <v>52</v>
      </c>
      <c r="J7061">
        <v>1901.2</v>
      </c>
      <c r="K7061">
        <v>0.03</v>
      </c>
      <c r="L7061">
        <v>0.85</v>
      </c>
      <c r="M7061">
        <v>122.5</v>
      </c>
      <c r="N7061">
        <v>-1176.4494</v>
      </c>
      <c r="O7061" s="1" t="s">
        <v>29</v>
      </c>
      <c r="P7061" s="1" t="s">
        <v>13895</v>
      </c>
      <c r="Q7061" s="1" t="s">
        <v>13896</v>
      </c>
      <c r="R7061" s="1" t="s">
        <v>32</v>
      </c>
      <c r="S7061" s="1" t="s">
        <v>13897</v>
      </c>
      <c r="T7061" s="1" t="s">
        <v>13898</v>
      </c>
      <c r="U7061" s="2" t="s">
        <v>4771</v>
      </c>
      <c r="V7061" s="2" t="s">
        <v>47</v>
      </c>
      <c r="W7061" s="2" t="s">
        <v>119</v>
      </c>
      <c r="X7061" s="2">
        <v>585.44500000000005</v>
      </c>
    </row>
    <row r="7062" spans="1:24" x14ac:dyDescent="0.3">
      <c r="A7062">
        <v>24876</v>
      </c>
      <c r="B7062" t="s">
        <v>13899</v>
      </c>
      <c r="C7062" s="3">
        <v>41686</v>
      </c>
      <c r="D7062" t="s">
        <v>25</v>
      </c>
      <c r="E7062">
        <v>4</v>
      </c>
      <c r="F7062" s="3">
        <f ca="1">41688+(RANDBETWEEN(1,10))</f>
        <v>41695</v>
      </c>
      <c r="G7062" t="s">
        <v>26</v>
      </c>
      <c r="H7062" t="s">
        <v>27</v>
      </c>
      <c r="I7062" t="s">
        <v>97</v>
      </c>
      <c r="J7062">
        <v>168.35</v>
      </c>
      <c r="K7062">
        <v>0.04</v>
      </c>
      <c r="L7062">
        <v>0.35</v>
      </c>
      <c r="M7062">
        <v>24.395</v>
      </c>
      <c r="N7062">
        <v>-28.385000000000002</v>
      </c>
      <c r="O7062" s="1" t="s">
        <v>40</v>
      </c>
      <c r="P7062" s="1" t="s">
        <v>13900</v>
      </c>
      <c r="Q7062" s="1" t="s">
        <v>13901</v>
      </c>
      <c r="R7062" s="1" t="s">
        <v>220</v>
      </c>
      <c r="S7062" s="1" t="s">
        <v>9501</v>
      </c>
      <c r="T7062" s="1" t="s">
        <v>9502</v>
      </c>
      <c r="U7062" s="2" t="s">
        <v>2886</v>
      </c>
      <c r="V7062" s="2" t="s">
        <v>47</v>
      </c>
      <c r="W7062" s="2" t="s">
        <v>48</v>
      </c>
      <c r="X7062" s="2">
        <v>40.53</v>
      </c>
    </row>
    <row r="7063" spans="1:24" x14ac:dyDescent="0.3">
      <c r="A7063">
        <v>24877</v>
      </c>
      <c r="B7063" t="s">
        <v>13902</v>
      </c>
      <c r="C7063" s="3">
        <v>41340</v>
      </c>
      <c r="D7063" t="s">
        <v>25</v>
      </c>
      <c r="E7063">
        <v>10</v>
      </c>
      <c r="F7063" s="3">
        <f ca="1">41345+(RANDBETWEEN(1,10))</f>
        <v>41346</v>
      </c>
      <c r="G7063" t="s">
        <v>26</v>
      </c>
      <c r="H7063" t="s">
        <v>51</v>
      </c>
      <c r="I7063" t="s">
        <v>28</v>
      </c>
      <c r="J7063">
        <v>400.33</v>
      </c>
      <c r="K7063">
        <v>0.05</v>
      </c>
      <c r="L7063">
        <v>0.59</v>
      </c>
      <c r="M7063">
        <v>31.465</v>
      </c>
      <c r="N7063">
        <v>-640.04499999999996</v>
      </c>
      <c r="O7063" s="1" t="s">
        <v>225</v>
      </c>
      <c r="P7063" s="1" t="s">
        <v>11886</v>
      </c>
      <c r="Q7063" s="1" t="s">
        <v>11887</v>
      </c>
      <c r="R7063" s="1" t="s">
        <v>391</v>
      </c>
      <c r="S7063" s="1" t="s">
        <v>1832</v>
      </c>
      <c r="T7063" s="1" t="s">
        <v>1833</v>
      </c>
      <c r="U7063" s="2" t="s">
        <v>2687</v>
      </c>
      <c r="V7063" s="2" t="s">
        <v>47</v>
      </c>
      <c r="W7063" s="2" t="s">
        <v>104</v>
      </c>
      <c r="X7063" s="2">
        <v>40.81</v>
      </c>
    </row>
    <row r="7064" spans="1:24" x14ac:dyDescent="0.3">
      <c r="A7064">
        <v>24878</v>
      </c>
      <c r="B7064" t="s">
        <v>13903</v>
      </c>
      <c r="C7064" s="3">
        <v>41375</v>
      </c>
      <c r="D7064" t="s">
        <v>39</v>
      </c>
      <c r="E7064">
        <v>11</v>
      </c>
      <c r="F7064" s="3">
        <f ca="1">41376+(RANDBETWEEN(1,10))</f>
        <v>41379</v>
      </c>
      <c r="G7064" t="s">
        <v>26</v>
      </c>
      <c r="H7064" t="s">
        <v>51</v>
      </c>
      <c r="I7064" t="s">
        <v>97</v>
      </c>
      <c r="J7064">
        <v>665.59500000000003</v>
      </c>
      <c r="K7064">
        <v>0.08</v>
      </c>
      <c r="L7064">
        <v>0.47</v>
      </c>
      <c r="M7064">
        <v>31.465</v>
      </c>
      <c r="N7064">
        <v>122.78</v>
      </c>
      <c r="O7064" s="1" t="s">
        <v>64</v>
      </c>
      <c r="P7064" s="1" t="s">
        <v>10578</v>
      </c>
      <c r="Q7064" s="1" t="s">
        <v>10579</v>
      </c>
      <c r="R7064" s="1" t="s">
        <v>67</v>
      </c>
      <c r="S7064" s="1" t="s">
        <v>10580</v>
      </c>
      <c r="T7064" s="1" t="s">
        <v>10581</v>
      </c>
      <c r="U7064" s="2" t="s">
        <v>1320</v>
      </c>
      <c r="V7064" s="2" t="s">
        <v>83</v>
      </c>
      <c r="W7064" s="2" t="s">
        <v>178</v>
      </c>
      <c r="X7064" s="2">
        <v>61.844999999999999</v>
      </c>
    </row>
    <row r="7065" spans="1:24" x14ac:dyDescent="0.3">
      <c r="A7065">
        <v>24879</v>
      </c>
      <c r="B7065" t="s">
        <v>13904</v>
      </c>
      <c r="C7065" s="3">
        <v>41779</v>
      </c>
      <c r="D7065" t="s">
        <v>39</v>
      </c>
      <c r="E7065">
        <v>16</v>
      </c>
      <c r="F7065" s="3">
        <f ca="1">41781+(RANDBETWEEN(1,10))</f>
        <v>41787</v>
      </c>
      <c r="G7065" t="s">
        <v>156</v>
      </c>
      <c r="H7065" t="s">
        <v>27</v>
      </c>
      <c r="I7065" t="s">
        <v>28</v>
      </c>
      <c r="J7065">
        <v>9397.7800000000007</v>
      </c>
      <c r="K7065">
        <v>0.06</v>
      </c>
      <c r="L7065">
        <v>0.59</v>
      </c>
      <c r="M7065">
        <v>13.965</v>
      </c>
      <c r="N7065">
        <v>6484.4682000000003</v>
      </c>
      <c r="O7065" s="1" t="s">
        <v>40</v>
      </c>
      <c r="P7065" s="1" t="s">
        <v>12328</v>
      </c>
      <c r="Q7065" s="1" t="s">
        <v>12329</v>
      </c>
      <c r="R7065" s="1" t="s">
        <v>43</v>
      </c>
      <c r="S7065" s="1" t="s">
        <v>5075</v>
      </c>
      <c r="T7065" s="1" t="s">
        <v>5076</v>
      </c>
      <c r="U7065" s="2" t="s">
        <v>8434</v>
      </c>
      <c r="V7065" s="2" t="s">
        <v>36</v>
      </c>
      <c r="W7065" s="2" t="s">
        <v>37</v>
      </c>
      <c r="X7065" s="2">
        <v>685.96500000000003</v>
      </c>
    </row>
    <row r="7066" spans="1:24" x14ac:dyDescent="0.3">
      <c r="A7066">
        <v>24880</v>
      </c>
      <c r="B7066" t="s">
        <v>13905</v>
      </c>
      <c r="C7066" s="3">
        <v>40817</v>
      </c>
      <c r="D7066" t="s">
        <v>39</v>
      </c>
      <c r="E7066">
        <v>21</v>
      </c>
      <c r="F7066" s="3">
        <f ca="1">40819+(RANDBETWEEN(1,10))</f>
        <v>40825</v>
      </c>
      <c r="G7066" t="s">
        <v>26</v>
      </c>
      <c r="H7066" t="s">
        <v>27</v>
      </c>
      <c r="I7066" t="s">
        <v>97</v>
      </c>
      <c r="J7066">
        <v>479.46499999999997</v>
      </c>
      <c r="K7066">
        <v>0.05</v>
      </c>
      <c r="L7066">
        <v>0.37</v>
      </c>
      <c r="M7066">
        <v>29.4</v>
      </c>
      <c r="N7066">
        <v>-792.2124</v>
      </c>
      <c r="O7066" s="1" t="s">
        <v>53</v>
      </c>
      <c r="P7066" s="1" t="s">
        <v>13906</v>
      </c>
      <c r="Q7066" s="1" t="s">
        <v>13907</v>
      </c>
      <c r="R7066" s="1" t="s">
        <v>56</v>
      </c>
      <c r="S7066" s="1" t="s">
        <v>13908</v>
      </c>
      <c r="T7066" s="1" t="s">
        <v>13909</v>
      </c>
      <c r="U7066" s="2" t="s">
        <v>2097</v>
      </c>
      <c r="V7066" s="2" t="s">
        <v>47</v>
      </c>
      <c r="W7066" s="2" t="s">
        <v>74</v>
      </c>
      <c r="X7066" s="2">
        <v>22.68</v>
      </c>
    </row>
    <row r="7067" spans="1:24" x14ac:dyDescent="0.3">
      <c r="A7067">
        <v>24881</v>
      </c>
      <c r="B7067" t="s">
        <v>13905</v>
      </c>
      <c r="C7067" s="3">
        <v>40817</v>
      </c>
      <c r="D7067" t="s">
        <v>39</v>
      </c>
      <c r="E7067">
        <v>2</v>
      </c>
      <c r="F7067" s="3">
        <f ca="1">40817+(RANDBETWEEN(1,10))</f>
        <v>40823</v>
      </c>
      <c r="G7067" t="s">
        <v>26</v>
      </c>
      <c r="H7067" t="s">
        <v>51</v>
      </c>
      <c r="I7067" t="s">
        <v>97</v>
      </c>
      <c r="J7067">
        <v>347.76</v>
      </c>
      <c r="K7067">
        <v>0.05</v>
      </c>
      <c r="L7067">
        <v>0.8</v>
      </c>
      <c r="M7067">
        <v>17.5</v>
      </c>
      <c r="N7067">
        <v>-984.11544000000004</v>
      </c>
      <c r="O7067" s="1" t="s">
        <v>29</v>
      </c>
      <c r="P7067" s="1" t="s">
        <v>13910</v>
      </c>
      <c r="Q7067" s="1" t="s">
        <v>13911</v>
      </c>
      <c r="R7067" s="1" t="s">
        <v>32</v>
      </c>
      <c r="S7067" s="1" t="s">
        <v>3276</v>
      </c>
      <c r="T7067" s="1" t="s">
        <v>3277</v>
      </c>
      <c r="U7067" s="2" t="s">
        <v>2876</v>
      </c>
      <c r="V7067" s="2" t="s">
        <v>36</v>
      </c>
      <c r="W7067" s="2" t="s">
        <v>37</v>
      </c>
      <c r="X7067" s="2">
        <v>195.965</v>
      </c>
    </row>
    <row r="7068" spans="1:24" x14ac:dyDescent="0.3">
      <c r="A7068">
        <v>24882</v>
      </c>
      <c r="B7068" t="s">
        <v>13912</v>
      </c>
      <c r="C7068" s="3">
        <v>40806</v>
      </c>
      <c r="D7068" t="s">
        <v>148</v>
      </c>
      <c r="E7068">
        <v>22</v>
      </c>
      <c r="F7068" s="3">
        <f ca="1">40808+(RANDBETWEEN(1,10))</f>
        <v>40814</v>
      </c>
      <c r="G7068" t="s">
        <v>26</v>
      </c>
      <c r="H7068" t="s">
        <v>27</v>
      </c>
      <c r="I7068" t="s">
        <v>97</v>
      </c>
      <c r="J7068">
        <v>205.345</v>
      </c>
      <c r="K7068">
        <v>0.09</v>
      </c>
      <c r="L7068">
        <v>0.38</v>
      </c>
      <c r="M7068">
        <v>1.75</v>
      </c>
      <c r="N7068">
        <v>141.68805</v>
      </c>
      <c r="O7068" s="1" t="s">
        <v>29</v>
      </c>
      <c r="P7068" s="1" t="s">
        <v>13913</v>
      </c>
      <c r="Q7068" s="1" t="s">
        <v>13914</v>
      </c>
      <c r="R7068" s="1" t="s">
        <v>460</v>
      </c>
      <c r="S7068" s="1" t="s">
        <v>2302</v>
      </c>
      <c r="T7068" s="1" t="s">
        <v>2303</v>
      </c>
      <c r="U7068" s="2" t="s">
        <v>468</v>
      </c>
      <c r="V7068" s="2" t="s">
        <v>47</v>
      </c>
      <c r="W7068" s="2" t="s">
        <v>203</v>
      </c>
      <c r="X7068" s="2">
        <v>10.115</v>
      </c>
    </row>
    <row r="7069" spans="1:24" x14ac:dyDescent="0.3">
      <c r="A7069">
        <v>24883</v>
      </c>
      <c r="B7069" t="s">
        <v>13912</v>
      </c>
      <c r="C7069" s="3">
        <v>40806</v>
      </c>
      <c r="D7069" t="s">
        <v>148</v>
      </c>
      <c r="E7069">
        <v>2</v>
      </c>
      <c r="F7069" s="3">
        <f ca="1">40807+(RANDBETWEEN(1,10))</f>
        <v>40816</v>
      </c>
      <c r="G7069" t="s">
        <v>26</v>
      </c>
      <c r="H7069" t="s">
        <v>27</v>
      </c>
      <c r="I7069" t="s">
        <v>97</v>
      </c>
      <c r="J7069">
        <v>353.71</v>
      </c>
      <c r="K7069">
        <v>0.02</v>
      </c>
      <c r="L7069">
        <v>0.38</v>
      </c>
      <c r="M7069">
        <v>20.335000000000001</v>
      </c>
      <c r="N7069">
        <v>115.01</v>
      </c>
      <c r="O7069" s="1" t="s">
        <v>29</v>
      </c>
      <c r="P7069" s="1" t="s">
        <v>13913</v>
      </c>
      <c r="Q7069" s="1" t="s">
        <v>13914</v>
      </c>
      <c r="R7069" s="1" t="s">
        <v>460</v>
      </c>
      <c r="S7069" s="1" t="s">
        <v>2302</v>
      </c>
      <c r="T7069" s="1" t="s">
        <v>2303</v>
      </c>
      <c r="U7069" s="2" t="s">
        <v>1912</v>
      </c>
      <c r="V7069" s="2" t="s">
        <v>47</v>
      </c>
      <c r="W7069" s="2" t="s">
        <v>74</v>
      </c>
      <c r="X7069" s="2">
        <v>171.185</v>
      </c>
    </row>
    <row r="7070" spans="1:24" x14ac:dyDescent="0.3">
      <c r="A7070">
        <v>24884</v>
      </c>
      <c r="B7070" t="s">
        <v>13915</v>
      </c>
      <c r="C7070" s="3">
        <v>41740</v>
      </c>
      <c r="D7070" t="s">
        <v>25</v>
      </c>
      <c r="E7070">
        <v>8</v>
      </c>
      <c r="F7070" s="3">
        <f ca="1">41747+(RANDBETWEEN(1,10))</f>
        <v>41750</v>
      </c>
      <c r="G7070" t="s">
        <v>26</v>
      </c>
      <c r="H7070" t="s">
        <v>96</v>
      </c>
      <c r="I7070" t="s">
        <v>97</v>
      </c>
      <c r="J7070">
        <v>87.674999999999997</v>
      </c>
      <c r="K7070">
        <v>0</v>
      </c>
      <c r="L7070">
        <v>0.56999999999999995</v>
      </c>
      <c r="M7070">
        <v>7.1050000000000004</v>
      </c>
      <c r="N7070">
        <v>-789.92899999999997</v>
      </c>
      <c r="O7070" s="1" t="s">
        <v>29</v>
      </c>
      <c r="P7070" s="1" t="s">
        <v>13541</v>
      </c>
      <c r="Q7070" s="1" t="s">
        <v>13542</v>
      </c>
      <c r="R7070" s="1" t="s">
        <v>32</v>
      </c>
      <c r="S7070" s="1" t="s">
        <v>13543</v>
      </c>
      <c r="T7070" s="1" t="s">
        <v>13544</v>
      </c>
      <c r="U7070" s="2" t="s">
        <v>7905</v>
      </c>
      <c r="V7070" s="2" t="s">
        <v>47</v>
      </c>
      <c r="W7070" s="2" t="s">
        <v>104</v>
      </c>
      <c r="X7070" s="2">
        <v>10.43</v>
      </c>
    </row>
    <row r="7071" spans="1:24" x14ac:dyDescent="0.3">
      <c r="A7071">
        <v>24885</v>
      </c>
      <c r="B7071" t="s">
        <v>13916</v>
      </c>
      <c r="C7071" s="3">
        <v>41905</v>
      </c>
      <c r="D7071" t="s">
        <v>62</v>
      </c>
      <c r="E7071">
        <v>8</v>
      </c>
      <c r="F7071" s="3">
        <f ca="1">41906+(RANDBETWEEN(1,10))</f>
        <v>41914</v>
      </c>
      <c r="G7071" t="s">
        <v>26</v>
      </c>
      <c r="H7071" t="s">
        <v>51</v>
      </c>
      <c r="I7071" t="s">
        <v>52</v>
      </c>
      <c r="J7071">
        <v>227.71</v>
      </c>
      <c r="K7071">
        <v>0.03</v>
      </c>
      <c r="L7071">
        <v>0.77</v>
      </c>
      <c r="M7071">
        <v>9.9049999999999994</v>
      </c>
      <c r="N7071">
        <v>-153.56180000000001</v>
      </c>
      <c r="O7071" s="1" t="s">
        <v>87</v>
      </c>
      <c r="P7071" s="1" t="s">
        <v>6646</v>
      </c>
      <c r="Q7071" s="1" t="s">
        <v>6647</v>
      </c>
      <c r="R7071" s="1" t="s">
        <v>398</v>
      </c>
      <c r="S7071" s="1" t="s">
        <v>3179</v>
      </c>
      <c r="T7071" s="1" t="s">
        <v>6648</v>
      </c>
      <c r="U7071" s="2" t="s">
        <v>2563</v>
      </c>
      <c r="V7071" s="2" t="s">
        <v>36</v>
      </c>
      <c r="W7071" s="2" t="s">
        <v>60</v>
      </c>
      <c r="X7071" s="2">
        <v>28.42</v>
      </c>
    </row>
    <row r="7072" spans="1:24" x14ac:dyDescent="0.3">
      <c r="A7072">
        <v>24886</v>
      </c>
      <c r="B7072" t="s">
        <v>13916</v>
      </c>
      <c r="C7072" s="3">
        <v>41905</v>
      </c>
      <c r="D7072" t="s">
        <v>62</v>
      </c>
      <c r="E7072">
        <v>8</v>
      </c>
      <c r="F7072" s="3">
        <f ca="1">41906+(RANDBETWEEN(1,10))</f>
        <v>41909</v>
      </c>
      <c r="G7072" t="s">
        <v>156</v>
      </c>
      <c r="H7072" t="s">
        <v>63</v>
      </c>
      <c r="I7072" t="s">
        <v>52</v>
      </c>
      <c r="J7072">
        <v>7490.14</v>
      </c>
      <c r="K7072">
        <v>0.05</v>
      </c>
      <c r="L7072">
        <v>0.8</v>
      </c>
      <c r="M7072">
        <v>122.5</v>
      </c>
      <c r="N7072">
        <v>-1368.9508000000001</v>
      </c>
      <c r="O7072" s="1" t="s">
        <v>87</v>
      </c>
      <c r="P7072" s="1" t="s">
        <v>6646</v>
      </c>
      <c r="Q7072" s="1" t="s">
        <v>6647</v>
      </c>
      <c r="R7072" s="1" t="s">
        <v>398</v>
      </c>
      <c r="S7072" s="1" t="s">
        <v>3179</v>
      </c>
      <c r="T7072" s="1" t="s">
        <v>6648</v>
      </c>
      <c r="U7072" s="2" t="s">
        <v>2645</v>
      </c>
      <c r="V7072" s="2" t="s">
        <v>47</v>
      </c>
      <c r="W7072" s="2" t="s">
        <v>119</v>
      </c>
      <c r="X7072" s="2">
        <v>978.18</v>
      </c>
    </row>
    <row r="7073" spans="1:24" x14ac:dyDescent="0.3">
      <c r="A7073">
        <v>24887</v>
      </c>
      <c r="B7073" t="s">
        <v>13917</v>
      </c>
      <c r="C7073" s="3">
        <v>40809</v>
      </c>
      <c r="D7073" t="s">
        <v>62</v>
      </c>
      <c r="E7073">
        <v>14</v>
      </c>
      <c r="F7073" s="3">
        <f ca="1">40811+(RANDBETWEEN(1,10))</f>
        <v>40817</v>
      </c>
      <c r="G7073" t="s">
        <v>26</v>
      </c>
      <c r="H7073" t="s">
        <v>27</v>
      </c>
      <c r="I7073" t="s">
        <v>52</v>
      </c>
      <c r="J7073">
        <v>2047.78</v>
      </c>
      <c r="K7073">
        <v>0.06</v>
      </c>
      <c r="L7073">
        <v>0.36</v>
      </c>
      <c r="M7073">
        <v>61.18</v>
      </c>
      <c r="N7073">
        <v>749.80499999999995</v>
      </c>
      <c r="O7073" s="1" t="s">
        <v>64</v>
      </c>
      <c r="P7073" s="1" t="s">
        <v>13918</v>
      </c>
      <c r="Q7073" s="1" t="s">
        <v>13919</v>
      </c>
      <c r="R7073" s="1" t="s">
        <v>67</v>
      </c>
      <c r="S7073" s="1" t="s">
        <v>13920</v>
      </c>
      <c r="T7073" s="1" t="s">
        <v>13921</v>
      </c>
      <c r="U7073" s="2" t="s">
        <v>1688</v>
      </c>
      <c r="V7073" s="2" t="s">
        <v>47</v>
      </c>
      <c r="W7073" s="2" t="s">
        <v>74</v>
      </c>
      <c r="X7073" s="2">
        <v>143.465</v>
      </c>
    </row>
    <row r="7074" spans="1:24" x14ac:dyDescent="0.3">
      <c r="A7074">
        <v>24888</v>
      </c>
      <c r="B7074" t="s">
        <v>13922</v>
      </c>
      <c r="C7074" s="3">
        <v>41885</v>
      </c>
      <c r="D7074" t="s">
        <v>62</v>
      </c>
      <c r="E7074">
        <v>16</v>
      </c>
      <c r="F7074" s="3">
        <f ca="1">41887+(RANDBETWEEN(1,10))</f>
        <v>41893</v>
      </c>
      <c r="G7074" t="s">
        <v>26</v>
      </c>
      <c r="H7074" t="s">
        <v>27</v>
      </c>
      <c r="I7074" t="s">
        <v>52</v>
      </c>
      <c r="J7074">
        <v>1529.78</v>
      </c>
      <c r="K7074">
        <v>0.03</v>
      </c>
      <c r="L7074">
        <v>0.75</v>
      </c>
      <c r="M7074">
        <v>14</v>
      </c>
      <c r="N7074">
        <v>-83.655600000000007</v>
      </c>
      <c r="O7074" s="1" t="s">
        <v>87</v>
      </c>
      <c r="P7074" s="1" t="s">
        <v>8875</v>
      </c>
      <c r="Q7074" s="1" t="s">
        <v>8876</v>
      </c>
      <c r="R7074" s="1" t="s">
        <v>646</v>
      </c>
      <c r="S7074" s="1" t="s">
        <v>8877</v>
      </c>
      <c r="T7074" s="1" t="s">
        <v>8378</v>
      </c>
      <c r="U7074" s="2" t="s">
        <v>4155</v>
      </c>
      <c r="V7074" s="2" t="s">
        <v>36</v>
      </c>
      <c r="W7074" s="2" t="s">
        <v>60</v>
      </c>
      <c r="X7074" s="2">
        <v>96.18</v>
      </c>
    </row>
    <row r="7075" spans="1:24" x14ac:dyDescent="0.3">
      <c r="A7075">
        <v>24889</v>
      </c>
      <c r="B7075" t="s">
        <v>13923</v>
      </c>
      <c r="C7075" s="3">
        <v>41695</v>
      </c>
      <c r="D7075" t="s">
        <v>39</v>
      </c>
      <c r="E7075">
        <v>8</v>
      </c>
      <c r="F7075" s="3">
        <f ca="1">41696+(RANDBETWEEN(1,10))</f>
        <v>41702</v>
      </c>
      <c r="G7075" t="s">
        <v>26</v>
      </c>
      <c r="H7075" t="s">
        <v>27</v>
      </c>
      <c r="I7075" t="s">
        <v>28</v>
      </c>
      <c r="J7075">
        <v>276.185</v>
      </c>
      <c r="K7075">
        <v>0.1</v>
      </c>
      <c r="L7075">
        <v>0.39</v>
      </c>
      <c r="M7075">
        <v>20.125</v>
      </c>
      <c r="N7075">
        <v>-86.215500000000006</v>
      </c>
      <c r="O7075" s="1" t="s">
        <v>87</v>
      </c>
      <c r="P7075" s="1" t="s">
        <v>13924</v>
      </c>
      <c r="Q7075" s="1" t="s">
        <v>13925</v>
      </c>
      <c r="R7075" s="1" t="s">
        <v>90</v>
      </c>
      <c r="S7075" s="1" t="s">
        <v>2383</v>
      </c>
      <c r="T7075" s="1" t="s">
        <v>2384</v>
      </c>
      <c r="U7075" s="2" t="s">
        <v>10033</v>
      </c>
      <c r="V7075" s="2" t="s">
        <v>47</v>
      </c>
      <c r="W7075" s="2" t="s">
        <v>111</v>
      </c>
      <c r="X7075" s="2">
        <v>36.54</v>
      </c>
    </row>
    <row r="7076" spans="1:24" x14ac:dyDescent="0.3">
      <c r="A7076">
        <v>24890</v>
      </c>
      <c r="B7076" t="s">
        <v>13926</v>
      </c>
      <c r="C7076" s="3">
        <v>40599</v>
      </c>
      <c r="D7076" t="s">
        <v>39</v>
      </c>
      <c r="E7076">
        <v>1</v>
      </c>
      <c r="F7076" s="3">
        <f ca="1">40600+(RANDBETWEEN(1,10))</f>
        <v>40604</v>
      </c>
      <c r="G7076" t="s">
        <v>26</v>
      </c>
      <c r="H7076" t="s">
        <v>51</v>
      </c>
      <c r="I7076" t="s">
        <v>28</v>
      </c>
      <c r="J7076">
        <v>29.715</v>
      </c>
      <c r="K7076">
        <v>0.06</v>
      </c>
      <c r="L7076">
        <v>0.52</v>
      </c>
      <c r="M7076">
        <v>6.9649999999999999</v>
      </c>
      <c r="N7076">
        <v>-1206.8699999999999</v>
      </c>
      <c r="O7076" s="1" t="s">
        <v>87</v>
      </c>
      <c r="P7076" s="1" t="s">
        <v>13924</v>
      </c>
      <c r="Q7076" s="1" t="s">
        <v>13925</v>
      </c>
      <c r="R7076" s="1" t="s">
        <v>90</v>
      </c>
      <c r="S7076" s="1" t="s">
        <v>2383</v>
      </c>
      <c r="T7076" s="1" t="s">
        <v>2384</v>
      </c>
      <c r="U7076" s="2" t="s">
        <v>2853</v>
      </c>
      <c r="V7076" s="2" t="s">
        <v>36</v>
      </c>
      <c r="W7076" s="2" t="s">
        <v>60</v>
      </c>
      <c r="X7076" s="2">
        <v>29.155000000000001</v>
      </c>
    </row>
    <row r="7077" spans="1:24" x14ac:dyDescent="0.3">
      <c r="A7077">
        <v>24891</v>
      </c>
      <c r="B7077" t="s">
        <v>13927</v>
      </c>
      <c r="C7077" s="3">
        <v>41727</v>
      </c>
      <c r="D7077" t="s">
        <v>50</v>
      </c>
      <c r="E7077">
        <v>7</v>
      </c>
      <c r="F7077" s="3">
        <f ca="1">41729+(RANDBETWEEN(1,10))</f>
        <v>41731</v>
      </c>
      <c r="G7077" t="s">
        <v>156</v>
      </c>
      <c r="H7077" t="s">
        <v>27</v>
      </c>
      <c r="I7077" t="s">
        <v>28</v>
      </c>
      <c r="J7077">
        <v>149.87</v>
      </c>
      <c r="K7077">
        <v>0.05</v>
      </c>
      <c r="L7077">
        <v>0.36</v>
      </c>
      <c r="M7077">
        <v>26.74</v>
      </c>
      <c r="N7077">
        <v>-406.17500000000001</v>
      </c>
      <c r="O7077" s="1" t="s">
        <v>53</v>
      </c>
      <c r="P7077" s="1" t="s">
        <v>13127</v>
      </c>
      <c r="Q7077" s="1" t="s">
        <v>13128</v>
      </c>
      <c r="R7077" s="1" t="s">
        <v>440</v>
      </c>
      <c r="S7077" s="1" t="s">
        <v>13129</v>
      </c>
      <c r="T7077" s="1" t="s">
        <v>13130</v>
      </c>
      <c r="U7077" s="2" t="s">
        <v>3201</v>
      </c>
      <c r="V7077" s="2" t="s">
        <v>47</v>
      </c>
      <c r="W7077" s="2" t="s">
        <v>74</v>
      </c>
      <c r="X7077" s="2">
        <v>20.23</v>
      </c>
    </row>
    <row r="7078" spans="1:24" x14ac:dyDescent="0.3">
      <c r="A7078">
        <v>24892</v>
      </c>
      <c r="B7078" t="s">
        <v>13928</v>
      </c>
      <c r="C7078" s="3">
        <v>41465</v>
      </c>
      <c r="D7078" t="s">
        <v>25</v>
      </c>
      <c r="E7078">
        <v>11</v>
      </c>
      <c r="F7078" s="3">
        <f ca="1">41472+(RANDBETWEEN(1,10))</f>
        <v>41473</v>
      </c>
      <c r="G7078" t="s">
        <v>76</v>
      </c>
      <c r="H7078" t="s">
        <v>77</v>
      </c>
      <c r="I7078" t="s">
        <v>28</v>
      </c>
      <c r="J7078">
        <v>6604.6049999999996</v>
      </c>
      <c r="K7078">
        <v>0</v>
      </c>
      <c r="L7078">
        <v>0.62</v>
      </c>
      <c r="M7078">
        <v>105</v>
      </c>
      <c r="N7078">
        <v>3694.145</v>
      </c>
      <c r="O7078" s="1" t="s">
        <v>53</v>
      </c>
      <c r="P7078" s="1" t="s">
        <v>11940</v>
      </c>
      <c r="Q7078" s="1" t="s">
        <v>11941</v>
      </c>
      <c r="R7078" s="1" t="s">
        <v>100</v>
      </c>
      <c r="S7078" s="1" t="s">
        <v>11026</v>
      </c>
      <c r="T7078" s="1" t="s">
        <v>11027</v>
      </c>
      <c r="U7078" s="2" t="s">
        <v>2089</v>
      </c>
      <c r="V7078" s="2" t="s">
        <v>83</v>
      </c>
      <c r="W7078" s="2" t="s">
        <v>84</v>
      </c>
      <c r="X7078" s="2">
        <v>563.42999999999995</v>
      </c>
    </row>
    <row r="7079" spans="1:24" x14ac:dyDescent="0.3">
      <c r="A7079">
        <v>24893</v>
      </c>
      <c r="B7079" t="s">
        <v>13929</v>
      </c>
      <c r="C7079" s="3">
        <v>41848</v>
      </c>
      <c r="D7079" t="s">
        <v>148</v>
      </c>
      <c r="E7079">
        <v>11</v>
      </c>
      <c r="F7079" s="3">
        <f ca="1">41848+(RANDBETWEEN(1,10))</f>
        <v>41857</v>
      </c>
      <c r="G7079" t="s">
        <v>76</v>
      </c>
      <c r="H7079" t="s">
        <v>77</v>
      </c>
      <c r="I7079" t="s">
        <v>86</v>
      </c>
      <c r="J7079">
        <v>2789.1149999999998</v>
      </c>
      <c r="K7079">
        <v>0.05</v>
      </c>
      <c r="L7079">
        <v>0.73</v>
      </c>
      <c r="M7079">
        <v>105</v>
      </c>
      <c r="N7079">
        <v>-1380.4123199999999</v>
      </c>
      <c r="O7079" s="1" t="s">
        <v>40</v>
      </c>
      <c r="P7079" s="1" t="s">
        <v>13811</v>
      </c>
      <c r="Q7079" s="1" t="s">
        <v>13812</v>
      </c>
      <c r="R7079" s="1" t="s">
        <v>43</v>
      </c>
      <c r="S7079" s="1" t="s">
        <v>1598</v>
      </c>
      <c r="T7079" s="1" t="s">
        <v>13813</v>
      </c>
      <c r="U7079" s="2" t="s">
        <v>2847</v>
      </c>
      <c r="V7079" s="2" t="s">
        <v>83</v>
      </c>
      <c r="W7079" s="2" t="s">
        <v>84</v>
      </c>
      <c r="X7079" s="2">
        <v>248.43</v>
      </c>
    </row>
    <row r="7080" spans="1:24" x14ac:dyDescent="0.3">
      <c r="A7080">
        <v>24894</v>
      </c>
      <c r="B7080" t="s">
        <v>13930</v>
      </c>
      <c r="C7080" s="3">
        <v>40608</v>
      </c>
      <c r="D7080" t="s">
        <v>148</v>
      </c>
      <c r="E7080">
        <v>7</v>
      </c>
      <c r="F7080" s="3">
        <f ca="1">40609+(RANDBETWEEN(1,10))</f>
        <v>40611</v>
      </c>
      <c r="G7080" t="s">
        <v>26</v>
      </c>
      <c r="H7080" t="s">
        <v>63</v>
      </c>
      <c r="I7080" t="s">
        <v>97</v>
      </c>
      <c r="J7080">
        <v>1435.595</v>
      </c>
      <c r="K7080">
        <v>7.0000000000000007E-2</v>
      </c>
      <c r="L7080">
        <v>0.59</v>
      </c>
      <c r="M7080">
        <v>171.5</v>
      </c>
      <c r="N7080">
        <v>-2827.6149999999998</v>
      </c>
      <c r="O7080" s="1" t="s">
        <v>64</v>
      </c>
      <c r="P7080" s="1" t="s">
        <v>13512</v>
      </c>
      <c r="Q7080" s="1" t="s">
        <v>13513</v>
      </c>
      <c r="R7080" s="1" t="s">
        <v>67</v>
      </c>
      <c r="S7080" s="1" t="s">
        <v>2025</v>
      </c>
      <c r="T7080" s="1" t="s">
        <v>2026</v>
      </c>
      <c r="U7080" s="2" t="s">
        <v>1546</v>
      </c>
      <c r="V7080" s="2" t="s">
        <v>47</v>
      </c>
      <c r="W7080" s="2" t="s">
        <v>71</v>
      </c>
      <c r="X7080" s="2">
        <v>213.43</v>
      </c>
    </row>
    <row r="7081" spans="1:24" x14ac:dyDescent="0.3">
      <c r="A7081">
        <v>24895</v>
      </c>
      <c r="B7081" t="s">
        <v>13931</v>
      </c>
      <c r="C7081" s="3">
        <v>41170</v>
      </c>
      <c r="D7081" t="s">
        <v>25</v>
      </c>
      <c r="E7081">
        <v>10</v>
      </c>
      <c r="F7081" s="3">
        <f ca="1">41175+(RANDBETWEEN(1,10))</f>
        <v>41183</v>
      </c>
      <c r="G7081" t="s">
        <v>26</v>
      </c>
      <c r="H7081" t="s">
        <v>27</v>
      </c>
      <c r="I7081" t="s">
        <v>86</v>
      </c>
      <c r="J7081">
        <v>5982.3050000000003</v>
      </c>
      <c r="K7081">
        <v>0.05</v>
      </c>
      <c r="L7081">
        <v>0.6</v>
      </c>
      <c r="M7081">
        <v>31.465</v>
      </c>
      <c r="N7081">
        <v>-508.375</v>
      </c>
      <c r="O7081" s="1" t="s">
        <v>40</v>
      </c>
      <c r="P7081" s="1" t="s">
        <v>10177</v>
      </c>
      <c r="Q7081" s="1" t="s">
        <v>10178</v>
      </c>
      <c r="R7081" s="1" t="s">
        <v>220</v>
      </c>
      <c r="S7081" s="1" t="s">
        <v>10179</v>
      </c>
      <c r="T7081" s="1" t="s">
        <v>10180</v>
      </c>
      <c r="U7081" s="2" t="s">
        <v>1123</v>
      </c>
      <c r="V7081" s="2" t="s">
        <v>36</v>
      </c>
      <c r="W7081" s="2" t="s">
        <v>37</v>
      </c>
      <c r="X7081" s="2">
        <v>685.96500000000003</v>
      </c>
    </row>
    <row r="7082" spans="1:24" x14ac:dyDescent="0.3">
      <c r="A7082">
        <v>24896</v>
      </c>
      <c r="B7082" t="s">
        <v>13932</v>
      </c>
      <c r="C7082" s="3">
        <v>41289</v>
      </c>
      <c r="D7082" t="s">
        <v>62</v>
      </c>
      <c r="E7082">
        <v>9</v>
      </c>
      <c r="F7082" s="3">
        <f ca="1">41292+(RANDBETWEEN(1,10))</f>
        <v>41296</v>
      </c>
      <c r="G7082" t="s">
        <v>26</v>
      </c>
      <c r="H7082" t="s">
        <v>27</v>
      </c>
      <c r="I7082" t="s">
        <v>97</v>
      </c>
      <c r="J7082">
        <v>245.7</v>
      </c>
      <c r="K7082">
        <v>0.06</v>
      </c>
      <c r="L7082">
        <v>0.36</v>
      </c>
      <c r="M7082">
        <v>4.8650000000000002</v>
      </c>
      <c r="N7082">
        <v>169.53299999999999</v>
      </c>
      <c r="O7082" s="1" t="s">
        <v>29</v>
      </c>
      <c r="P7082" s="1" t="s">
        <v>6578</v>
      </c>
      <c r="Q7082" s="1" t="s">
        <v>6579</v>
      </c>
      <c r="R7082" s="1" t="s">
        <v>460</v>
      </c>
      <c r="S7082" s="1" t="s">
        <v>6580</v>
      </c>
      <c r="T7082" s="1" t="s">
        <v>6581</v>
      </c>
      <c r="U7082" s="2" t="s">
        <v>5969</v>
      </c>
      <c r="V7082" s="2" t="s">
        <v>47</v>
      </c>
      <c r="W7082" s="2" t="s">
        <v>48</v>
      </c>
      <c r="X7082" s="2">
        <v>26.74</v>
      </c>
    </row>
    <row r="7083" spans="1:24" x14ac:dyDescent="0.3">
      <c r="A7083">
        <v>24897</v>
      </c>
      <c r="B7083" t="s">
        <v>13933</v>
      </c>
      <c r="C7083" s="3">
        <v>41984</v>
      </c>
      <c r="D7083" t="s">
        <v>39</v>
      </c>
      <c r="E7083">
        <v>2</v>
      </c>
      <c r="F7083" s="3">
        <f ca="1">41985+(RANDBETWEEN(1,10))</f>
        <v>41987</v>
      </c>
      <c r="G7083" t="s">
        <v>26</v>
      </c>
      <c r="H7083" t="s">
        <v>96</v>
      </c>
      <c r="I7083" t="s">
        <v>28</v>
      </c>
      <c r="J7083">
        <v>49.07</v>
      </c>
      <c r="K7083">
        <v>0.09</v>
      </c>
      <c r="L7083">
        <v>0.39</v>
      </c>
      <c r="M7083">
        <v>7</v>
      </c>
      <c r="N7083">
        <v>-5.2332000000000001</v>
      </c>
      <c r="O7083" s="1" t="s">
        <v>40</v>
      </c>
      <c r="P7083" s="1" t="s">
        <v>13934</v>
      </c>
      <c r="Q7083" s="1" t="s">
        <v>13935</v>
      </c>
      <c r="R7083" s="1" t="s">
        <v>43</v>
      </c>
      <c r="S7083" s="1" t="s">
        <v>5804</v>
      </c>
      <c r="T7083" s="1" t="s">
        <v>5805</v>
      </c>
      <c r="U7083" s="2" t="s">
        <v>336</v>
      </c>
      <c r="V7083" s="2" t="s">
        <v>47</v>
      </c>
      <c r="W7083" s="2" t="s">
        <v>74</v>
      </c>
      <c r="X7083" s="2">
        <v>24.08</v>
      </c>
    </row>
    <row r="7084" spans="1:24" x14ac:dyDescent="0.3">
      <c r="A7084">
        <v>24898</v>
      </c>
      <c r="B7084" t="s">
        <v>13936</v>
      </c>
      <c r="C7084" s="3">
        <v>41717</v>
      </c>
      <c r="D7084" t="s">
        <v>39</v>
      </c>
      <c r="E7084">
        <v>7</v>
      </c>
      <c r="F7084" s="3">
        <f ca="1">41717+(RANDBETWEEN(1,10))</f>
        <v>41723</v>
      </c>
      <c r="G7084" t="s">
        <v>26</v>
      </c>
      <c r="H7084" t="s">
        <v>96</v>
      </c>
      <c r="I7084" t="s">
        <v>97</v>
      </c>
      <c r="J7084">
        <v>84.63</v>
      </c>
      <c r="K7084">
        <v>0.01</v>
      </c>
      <c r="L7084">
        <v>0.56000000000000005</v>
      </c>
      <c r="M7084">
        <v>13.895</v>
      </c>
      <c r="N7084">
        <v>-253.54</v>
      </c>
      <c r="O7084" s="1" t="s">
        <v>40</v>
      </c>
      <c r="P7084" s="1" t="s">
        <v>8856</v>
      </c>
      <c r="Q7084" s="1" t="s">
        <v>8857</v>
      </c>
      <c r="R7084" s="1" t="s">
        <v>43</v>
      </c>
      <c r="S7084" s="1" t="s">
        <v>8858</v>
      </c>
      <c r="T7084" s="1" t="s">
        <v>8859</v>
      </c>
      <c r="U7084" s="2" t="s">
        <v>5622</v>
      </c>
      <c r="V7084" s="2" t="s">
        <v>47</v>
      </c>
      <c r="W7084" s="2" t="s">
        <v>104</v>
      </c>
      <c r="X7084" s="2">
        <v>11.48</v>
      </c>
    </row>
    <row r="7085" spans="1:24" x14ac:dyDescent="0.3">
      <c r="A7085">
        <v>24899</v>
      </c>
      <c r="B7085" t="s">
        <v>13937</v>
      </c>
      <c r="C7085" s="3">
        <v>40621</v>
      </c>
      <c r="D7085" t="s">
        <v>39</v>
      </c>
      <c r="E7085">
        <v>3</v>
      </c>
      <c r="F7085" s="3">
        <f ca="1">40621+(RANDBETWEEN(1,10))</f>
        <v>40630</v>
      </c>
      <c r="G7085" t="s">
        <v>26</v>
      </c>
      <c r="H7085" t="s">
        <v>27</v>
      </c>
      <c r="I7085" t="s">
        <v>97</v>
      </c>
      <c r="J7085">
        <v>247.87</v>
      </c>
      <c r="K7085">
        <v>0.1</v>
      </c>
      <c r="L7085">
        <v>0.39</v>
      </c>
      <c r="M7085">
        <v>45.43</v>
      </c>
      <c r="N7085">
        <v>-160.35599999999999</v>
      </c>
      <c r="O7085" s="1" t="s">
        <v>53</v>
      </c>
      <c r="P7085" s="1" t="s">
        <v>13938</v>
      </c>
      <c r="Q7085" s="1" t="s">
        <v>13939</v>
      </c>
      <c r="R7085" s="1" t="s">
        <v>56</v>
      </c>
      <c r="S7085" s="1" t="s">
        <v>896</v>
      </c>
      <c r="T7085" s="1" t="s">
        <v>13940</v>
      </c>
      <c r="U7085" s="2" t="s">
        <v>559</v>
      </c>
      <c r="V7085" s="2" t="s">
        <v>47</v>
      </c>
      <c r="W7085" s="2" t="s">
        <v>111</v>
      </c>
      <c r="X7085" s="2">
        <v>87.22</v>
      </c>
    </row>
    <row r="7086" spans="1:24" x14ac:dyDescent="0.3">
      <c r="A7086">
        <v>24900</v>
      </c>
      <c r="B7086" t="s">
        <v>13936</v>
      </c>
      <c r="C7086" s="3">
        <v>41717</v>
      </c>
      <c r="D7086" t="s">
        <v>39</v>
      </c>
      <c r="E7086">
        <v>2</v>
      </c>
      <c r="F7086" s="3">
        <f ca="1">41717+(RANDBETWEEN(1,10))</f>
        <v>41725</v>
      </c>
      <c r="G7086" t="s">
        <v>76</v>
      </c>
      <c r="H7086" t="s">
        <v>77</v>
      </c>
      <c r="I7086" t="s">
        <v>97</v>
      </c>
      <c r="J7086">
        <v>1947.4349999999999</v>
      </c>
      <c r="K7086">
        <v>0.06</v>
      </c>
      <c r="L7086">
        <v>0.56000000000000005</v>
      </c>
      <c r="M7086">
        <v>98.21</v>
      </c>
      <c r="N7086">
        <v>-603.67124999999999</v>
      </c>
      <c r="O7086" s="1" t="s">
        <v>53</v>
      </c>
      <c r="P7086" s="1" t="s">
        <v>13938</v>
      </c>
      <c r="Q7086" s="1" t="s">
        <v>13939</v>
      </c>
      <c r="R7086" s="1" t="s">
        <v>56</v>
      </c>
      <c r="S7086" s="1" t="s">
        <v>896</v>
      </c>
      <c r="T7086" s="1" t="s">
        <v>13940</v>
      </c>
      <c r="U7086" s="2" t="s">
        <v>6948</v>
      </c>
      <c r="V7086" s="2" t="s">
        <v>36</v>
      </c>
      <c r="W7086" s="2" t="s">
        <v>142</v>
      </c>
      <c r="X7086" s="2">
        <v>948.39499999999998</v>
      </c>
    </row>
    <row r="7087" spans="1:24" x14ac:dyDescent="0.3">
      <c r="A7087">
        <v>24901</v>
      </c>
      <c r="B7087" t="s">
        <v>13937</v>
      </c>
      <c r="C7087" s="3">
        <v>40621</v>
      </c>
      <c r="D7087" t="s">
        <v>39</v>
      </c>
      <c r="E7087">
        <v>7</v>
      </c>
      <c r="F7087" s="3">
        <f ca="1">40622+(RANDBETWEEN(1,10))</f>
        <v>40624</v>
      </c>
      <c r="G7087" t="s">
        <v>156</v>
      </c>
      <c r="H7087" t="s">
        <v>27</v>
      </c>
      <c r="I7087" t="s">
        <v>97</v>
      </c>
      <c r="J7087">
        <v>316.54000000000002</v>
      </c>
      <c r="K7087">
        <v>0</v>
      </c>
      <c r="L7087">
        <v>0.38</v>
      </c>
      <c r="M7087">
        <v>22.225000000000001</v>
      </c>
      <c r="N7087">
        <v>107.205</v>
      </c>
      <c r="O7087" s="1" t="s">
        <v>53</v>
      </c>
      <c r="P7087" s="1" t="s">
        <v>13938</v>
      </c>
      <c r="Q7087" s="1" t="s">
        <v>13939</v>
      </c>
      <c r="R7087" s="1" t="s">
        <v>56</v>
      </c>
      <c r="S7087" s="1" t="s">
        <v>896</v>
      </c>
      <c r="T7087" s="1" t="s">
        <v>13940</v>
      </c>
      <c r="U7087" s="2" t="s">
        <v>13875</v>
      </c>
      <c r="V7087" s="2" t="s">
        <v>47</v>
      </c>
      <c r="W7087" s="2" t="s">
        <v>74</v>
      </c>
      <c r="X7087" s="2">
        <v>42.98</v>
      </c>
    </row>
    <row r="7088" spans="1:24" x14ac:dyDescent="0.3">
      <c r="A7088">
        <v>24902</v>
      </c>
      <c r="B7088" t="s">
        <v>13941</v>
      </c>
      <c r="C7088" s="3">
        <v>41064</v>
      </c>
      <c r="D7088" t="s">
        <v>25</v>
      </c>
      <c r="E7088">
        <v>8</v>
      </c>
      <c r="F7088" s="3">
        <f ca="1">41064+(RANDBETWEEN(1,10))</f>
        <v>41072</v>
      </c>
      <c r="G7088" t="s">
        <v>26</v>
      </c>
      <c r="H7088" t="s">
        <v>27</v>
      </c>
      <c r="I7088" t="s">
        <v>28</v>
      </c>
      <c r="J7088">
        <v>115.535</v>
      </c>
      <c r="K7088">
        <v>0.09</v>
      </c>
      <c r="L7088">
        <v>0.38</v>
      </c>
      <c r="M7088">
        <v>18.41</v>
      </c>
      <c r="N7088">
        <v>-204.59880000000001</v>
      </c>
      <c r="O7088" s="1" t="s">
        <v>53</v>
      </c>
      <c r="P7088" s="1" t="s">
        <v>13942</v>
      </c>
      <c r="Q7088" s="1" t="s">
        <v>13943</v>
      </c>
      <c r="R7088" s="1" t="s">
        <v>56</v>
      </c>
      <c r="S7088" s="1" t="s">
        <v>2222</v>
      </c>
      <c r="T7088" s="1" t="s">
        <v>2223</v>
      </c>
      <c r="U7088" s="2" t="s">
        <v>1287</v>
      </c>
      <c r="V7088" s="2" t="s">
        <v>47</v>
      </c>
      <c r="W7088" s="2" t="s">
        <v>111</v>
      </c>
      <c r="X7088" s="2">
        <v>13.93</v>
      </c>
    </row>
    <row r="7089" spans="1:24" x14ac:dyDescent="0.3">
      <c r="A7089">
        <v>24903</v>
      </c>
      <c r="B7089" t="s">
        <v>13944</v>
      </c>
      <c r="C7089" s="3">
        <v>41499</v>
      </c>
      <c r="D7089" t="s">
        <v>62</v>
      </c>
      <c r="E7089">
        <v>6</v>
      </c>
      <c r="F7089" s="3">
        <f ca="1">41500+(RANDBETWEEN(1,10))</f>
        <v>41508</v>
      </c>
      <c r="G7089" t="s">
        <v>26</v>
      </c>
      <c r="H7089" t="s">
        <v>27</v>
      </c>
      <c r="I7089" t="s">
        <v>28</v>
      </c>
      <c r="J7089">
        <v>662.27</v>
      </c>
      <c r="K7089">
        <v>7.0000000000000007E-2</v>
      </c>
      <c r="L7089">
        <v>0.59</v>
      </c>
      <c r="M7089">
        <v>12.25</v>
      </c>
      <c r="N7089">
        <v>1363.0050000000001</v>
      </c>
      <c r="O7089" s="1" t="s">
        <v>29</v>
      </c>
      <c r="P7089" s="1" t="s">
        <v>13945</v>
      </c>
      <c r="Q7089" s="1" t="s">
        <v>13946</v>
      </c>
      <c r="R7089" s="1" t="s">
        <v>675</v>
      </c>
      <c r="S7089" s="1" t="s">
        <v>4215</v>
      </c>
      <c r="T7089" s="1" t="s">
        <v>4216</v>
      </c>
      <c r="U7089" s="2" t="s">
        <v>13947</v>
      </c>
      <c r="V7089" s="2" t="s">
        <v>47</v>
      </c>
      <c r="W7089" s="2" t="s">
        <v>71</v>
      </c>
      <c r="X7089" s="2">
        <v>117.67</v>
      </c>
    </row>
    <row r="7090" spans="1:24" x14ac:dyDescent="0.3">
      <c r="A7090">
        <v>24904</v>
      </c>
      <c r="B7090" t="s">
        <v>13948</v>
      </c>
      <c r="C7090" s="3">
        <v>41093</v>
      </c>
      <c r="D7090" t="s">
        <v>50</v>
      </c>
      <c r="E7090">
        <v>7</v>
      </c>
      <c r="F7090" s="3">
        <f ca="1">41094+(RANDBETWEEN(1,10))</f>
        <v>41102</v>
      </c>
      <c r="G7090" t="s">
        <v>26</v>
      </c>
      <c r="H7090" t="s">
        <v>281</v>
      </c>
      <c r="I7090" t="s">
        <v>28</v>
      </c>
      <c r="J7090">
        <v>445.06</v>
      </c>
      <c r="K7090">
        <v>0.04</v>
      </c>
      <c r="L7090">
        <v>0.4</v>
      </c>
      <c r="M7090">
        <v>29.785</v>
      </c>
      <c r="N7090">
        <v>-53.9574</v>
      </c>
      <c r="O7090" s="1" t="s">
        <v>64</v>
      </c>
      <c r="P7090" s="1" t="s">
        <v>12064</v>
      </c>
      <c r="Q7090" s="1" t="s">
        <v>12065</v>
      </c>
      <c r="R7090" s="1" t="s">
        <v>67</v>
      </c>
      <c r="S7090" s="1" t="s">
        <v>1099</v>
      </c>
      <c r="T7090" s="1" t="s">
        <v>1100</v>
      </c>
      <c r="U7090" s="2" t="s">
        <v>282</v>
      </c>
      <c r="V7090" s="2" t="s">
        <v>36</v>
      </c>
      <c r="W7090" s="2" t="s">
        <v>142</v>
      </c>
      <c r="X7090" s="2">
        <v>62.93</v>
      </c>
    </row>
    <row r="7091" spans="1:24" x14ac:dyDescent="0.3">
      <c r="A7091">
        <v>24905</v>
      </c>
      <c r="B7091" t="s">
        <v>13948</v>
      </c>
      <c r="C7091" s="3">
        <v>41093</v>
      </c>
      <c r="D7091" t="s">
        <v>50</v>
      </c>
      <c r="E7091">
        <v>12</v>
      </c>
      <c r="F7091" s="3">
        <f ca="1">41094+(RANDBETWEEN(1,10))</f>
        <v>41096</v>
      </c>
      <c r="G7091" t="s">
        <v>26</v>
      </c>
      <c r="H7091" t="s">
        <v>27</v>
      </c>
      <c r="I7091" t="s">
        <v>28</v>
      </c>
      <c r="J7091">
        <v>284.13</v>
      </c>
      <c r="K7091">
        <v>0.02</v>
      </c>
      <c r="L7091">
        <v>0.37</v>
      </c>
      <c r="M7091">
        <v>22.995000000000001</v>
      </c>
      <c r="N7091">
        <v>-361.48</v>
      </c>
      <c r="O7091" s="1" t="s">
        <v>64</v>
      </c>
      <c r="P7091" s="1" t="s">
        <v>12064</v>
      </c>
      <c r="Q7091" s="1" t="s">
        <v>12065</v>
      </c>
      <c r="R7091" s="1" t="s">
        <v>67</v>
      </c>
      <c r="S7091" s="1" t="s">
        <v>1099</v>
      </c>
      <c r="T7091" s="1" t="s">
        <v>1100</v>
      </c>
      <c r="U7091" s="2" t="s">
        <v>6722</v>
      </c>
      <c r="V7091" s="2" t="s">
        <v>47</v>
      </c>
      <c r="W7091" s="2" t="s">
        <v>74</v>
      </c>
      <c r="X7091" s="2">
        <v>22.68</v>
      </c>
    </row>
    <row r="7092" spans="1:24" x14ac:dyDescent="0.3">
      <c r="A7092">
        <v>24906</v>
      </c>
      <c r="B7092" t="s">
        <v>13949</v>
      </c>
      <c r="C7092" s="3">
        <v>41549</v>
      </c>
      <c r="D7092" t="s">
        <v>148</v>
      </c>
      <c r="E7092">
        <v>12</v>
      </c>
      <c r="F7092" s="3">
        <f ca="1">41549+(RANDBETWEEN(1,10))</f>
        <v>41550</v>
      </c>
      <c r="G7092" t="s">
        <v>26</v>
      </c>
      <c r="H7092" t="s">
        <v>27</v>
      </c>
      <c r="I7092" t="s">
        <v>28</v>
      </c>
      <c r="J7092">
        <v>416.95499999999998</v>
      </c>
      <c r="K7092">
        <v>0.05</v>
      </c>
      <c r="L7092">
        <v>0.56999999999999995</v>
      </c>
      <c r="M7092">
        <v>25.48</v>
      </c>
      <c r="N7092">
        <v>-315.81900000000002</v>
      </c>
      <c r="O7092" s="1" t="s">
        <v>40</v>
      </c>
      <c r="P7092" s="1" t="s">
        <v>11579</v>
      </c>
      <c r="Q7092" s="1" t="s">
        <v>11580</v>
      </c>
      <c r="R7092" s="1" t="s">
        <v>43</v>
      </c>
      <c r="S7092" s="1" t="s">
        <v>5728</v>
      </c>
      <c r="T7092" s="1" t="s">
        <v>5729</v>
      </c>
      <c r="U7092" s="2" t="s">
        <v>6887</v>
      </c>
      <c r="V7092" s="2" t="s">
        <v>47</v>
      </c>
      <c r="W7092" s="2" t="s">
        <v>119</v>
      </c>
      <c r="X7092" s="2">
        <v>32.83</v>
      </c>
    </row>
    <row r="7093" spans="1:24" x14ac:dyDescent="0.3">
      <c r="A7093">
        <v>24907</v>
      </c>
      <c r="B7093" t="s">
        <v>13950</v>
      </c>
      <c r="C7093" s="3">
        <v>41812</v>
      </c>
      <c r="D7093" t="s">
        <v>39</v>
      </c>
      <c r="E7093">
        <v>8</v>
      </c>
      <c r="F7093" s="3">
        <f ca="1">41813+(RANDBETWEEN(1,10))</f>
        <v>41820</v>
      </c>
      <c r="G7093" t="s">
        <v>76</v>
      </c>
      <c r="H7093" t="s">
        <v>258</v>
      </c>
      <c r="I7093" t="s">
        <v>28</v>
      </c>
      <c r="J7093">
        <v>1900.43</v>
      </c>
      <c r="K7093">
        <v>0.09</v>
      </c>
      <c r="L7093" t="s">
        <v>182</v>
      </c>
      <c r="M7093">
        <v>93.974999999999994</v>
      </c>
      <c r="N7093">
        <v>-286.44</v>
      </c>
      <c r="O7093" s="1" t="s">
        <v>29</v>
      </c>
      <c r="P7093" s="1" t="s">
        <v>6995</v>
      </c>
      <c r="Q7093" s="1" t="s">
        <v>6996</v>
      </c>
      <c r="R7093" s="1" t="s">
        <v>32</v>
      </c>
      <c r="S7093" s="1" t="s">
        <v>6997</v>
      </c>
      <c r="T7093" s="1" t="s">
        <v>6998</v>
      </c>
      <c r="U7093" s="2" t="s">
        <v>9883</v>
      </c>
      <c r="V7093" s="2" t="s">
        <v>83</v>
      </c>
      <c r="W7093" s="2" t="s">
        <v>298</v>
      </c>
      <c r="X7093" s="2">
        <v>248.43</v>
      </c>
    </row>
    <row r="7094" spans="1:24" x14ac:dyDescent="0.3">
      <c r="A7094">
        <v>24908</v>
      </c>
      <c r="B7094" t="s">
        <v>13951</v>
      </c>
      <c r="C7094" s="3">
        <v>40888</v>
      </c>
      <c r="D7094" t="s">
        <v>39</v>
      </c>
      <c r="E7094">
        <v>12</v>
      </c>
      <c r="F7094" s="3">
        <f ca="1">40889+(RANDBETWEEN(1,10))</f>
        <v>40896</v>
      </c>
      <c r="G7094" t="s">
        <v>26</v>
      </c>
      <c r="H7094" t="s">
        <v>27</v>
      </c>
      <c r="I7094" t="s">
        <v>97</v>
      </c>
      <c r="J7094">
        <v>562.30999999999995</v>
      </c>
      <c r="K7094">
        <v>0.01</v>
      </c>
      <c r="L7094">
        <v>0.38</v>
      </c>
      <c r="M7094">
        <v>22.645</v>
      </c>
      <c r="N7094">
        <v>166.63499999999999</v>
      </c>
      <c r="O7094" s="1" t="s">
        <v>87</v>
      </c>
      <c r="P7094" s="1" t="s">
        <v>3817</v>
      </c>
      <c r="Q7094" s="1" t="s">
        <v>3818</v>
      </c>
      <c r="R7094" s="1" t="s">
        <v>90</v>
      </c>
      <c r="S7094" s="1" t="s">
        <v>3819</v>
      </c>
      <c r="T7094" s="1" t="s">
        <v>3820</v>
      </c>
      <c r="U7094" s="2" t="s">
        <v>2420</v>
      </c>
      <c r="V7094" s="2" t="s">
        <v>47</v>
      </c>
      <c r="W7094" s="2" t="s">
        <v>74</v>
      </c>
      <c r="X7094" s="2">
        <v>42.98</v>
      </c>
    </row>
    <row r="7095" spans="1:24" x14ac:dyDescent="0.3">
      <c r="A7095">
        <v>24909</v>
      </c>
      <c r="B7095" t="s">
        <v>13952</v>
      </c>
      <c r="C7095" s="3">
        <v>41326</v>
      </c>
      <c r="D7095" t="s">
        <v>62</v>
      </c>
      <c r="E7095">
        <v>8</v>
      </c>
      <c r="F7095" s="3">
        <f ca="1">41327+(RANDBETWEEN(1,10))</f>
        <v>41333</v>
      </c>
      <c r="G7095" t="s">
        <v>26</v>
      </c>
      <c r="H7095" t="s">
        <v>27</v>
      </c>
      <c r="I7095" t="s">
        <v>28</v>
      </c>
      <c r="J7095">
        <v>153.44</v>
      </c>
      <c r="K7095">
        <v>0</v>
      </c>
      <c r="L7095">
        <v>0.38</v>
      </c>
      <c r="M7095">
        <v>26.39</v>
      </c>
      <c r="N7095">
        <v>-449.82</v>
      </c>
      <c r="O7095" s="1" t="s">
        <v>29</v>
      </c>
      <c r="P7095" s="1" t="s">
        <v>13953</v>
      </c>
      <c r="Q7095" s="1" t="s">
        <v>13954</v>
      </c>
      <c r="R7095" s="1" t="s">
        <v>675</v>
      </c>
      <c r="S7095" s="1" t="s">
        <v>13955</v>
      </c>
      <c r="T7095" s="1" t="s">
        <v>12406</v>
      </c>
      <c r="U7095" s="2" t="s">
        <v>9298</v>
      </c>
      <c r="V7095" s="2" t="s">
        <v>47</v>
      </c>
      <c r="W7095" s="2" t="s">
        <v>74</v>
      </c>
      <c r="X7095" s="2">
        <v>17.43</v>
      </c>
    </row>
    <row r="7096" spans="1:24" x14ac:dyDescent="0.3">
      <c r="A7096">
        <v>24910</v>
      </c>
      <c r="B7096" t="s">
        <v>13952</v>
      </c>
      <c r="C7096" s="3">
        <v>41326</v>
      </c>
      <c r="D7096" t="s">
        <v>62</v>
      </c>
      <c r="E7096">
        <v>5</v>
      </c>
      <c r="F7096" s="3">
        <f ca="1">41328+(RANDBETWEEN(1,10))</f>
        <v>41329</v>
      </c>
      <c r="G7096" t="s">
        <v>156</v>
      </c>
      <c r="H7096" t="s">
        <v>281</v>
      </c>
      <c r="I7096" t="s">
        <v>28</v>
      </c>
      <c r="J7096">
        <v>1733.585</v>
      </c>
      <c r="K7096">
        <v>0.09</v>
      </c>
      <c r="L7096">
        <v>0.65</v>
      </c>
      <c r="M7096">
        <v>20.335000000000001</v>
      </c>
      <c r="N7096">
        <v>1176.9100000000001</v>
      </c>
      <c r="O7096" s="1" t="s">
        <v>40</v>
      </c>
      <c r="P7096" s="1" t="s">
        <v>13956</v>
      </c>
      <c r="Q7096" s="1" t="s">
        <v>13957</v>
      </c>
      <c r="R7096" s="1" t="s">
        <v>220</v>
      </c>
      <c r="S7096" s="1" t="s">
        <v>2425</v>
      </c>
      <c r="T7096" s="1" t="s">
        <v>2426</v>
      </c>
      <c r="U7096" s="2" t="s">
        <v>351</v>
      </c>
      <c r="V7096" s="2" t="s">
        <v>83</v>
      </c>
      <c r="W7096" s="2" t="s">
        <v>178</v>
      </c>
      <c r="X7096" s="2">
        <v>376.35500000000002</v>
      </c>
    </row>
    <row r="7097" spans="1:24" x14ac:dyDescent="0.3">
      <c r="A7097">
        <v>24911</v>
      </c>
      <c r="B7097" t="s">
        <v>13958</v>
      </c>
      <c r="C7097" s="3">
        <v>40820</v>
      </c>
      <c r="D7097" t="s">
        <v>148</v>
      </c>
      <c r="E7097">
        <v>15</v>
      </c>
      <c r="F7097" s="3">
        <f ca="1">40820+(RANDBETWEEN(1,10))</f>
        <v>40824</v>
      </c>
      <c r="G7097" t="s">
        <v>156</v>
      </c>
      <c r="H7097" t="s">
        <v>27</v>
      </c>
      <c r="I7097" t="s">
        <v>86</v>
      </c>
      <c r="J7097">
        <v>475.23</v>
      </c>
      <c r="K7097">
        <v>0.1</v>
      </c>
      <c r="L7097">
        <v>0.56999999999999995</v>
      </c>
      <c r="M7097">
        <v>17.254999999999999</v>
      </c>
      <c r="N7097">
        <v>-86.486400000000003</v>
      </c>
      <c r="O7097" s="1" t="s">
        <v>40</v>
      </c>
      <c r="P7097" s="1" t="s">
        <v>11853</v>
      </c>
      <c r="Q7097" s="1" t="s">
        <v>11854</v>
      </c>
      <c r="R7097" s="1" t="s">
        <v>220</v>
      </c>
      <c r="S7097" s="1" t="s">
        <v>11855</v>
      </c>
      <c r="T7097" s="1" t="s">
        <v>11856</v>
      </c>
      <c r="U7097" s="2" t="s">
        <v>1718</v>
      </c>
      <c r="V7097" s="2" t="s">
        <v>83</v>
      </c>
      <c r="W7097" s="2" t="s">
        <v>178</v>
      </c>
      <c r="X7097" s="2">
        <v>32.83</v>
      </c>
    </row>
    <row r="7098" spans="1:24" x14ac:dyDescent="0.3">
      <c r="A7098">
        <v>24912</v>
      </c>
      <c r="B7098" t="s">
        <v>13959</v>
      </c>
      <c r="C7098" s="3">
        <v>41916</v>
      </c>
      <c r="D7098" t="s">
        <v>148</v>
      </c>
      <c r="E7098">
        <v>19</v>
      </c>
      <c r="F7098" s="3">
        <f ca="1">41917+(RANDBETWEEN(1,10))</f>
        <v>41925</v>
      </c>
      <c r="G7098" t="s">
        <v>26</v>
      </c>
      <c r="H7098" t="s">
        <v>51</v>
      </c>
      <c r="I7098" t="s">
        <v>86</v>
      </c>
      <c r="J7098">
        <v>2087.2249999999999</v>
      </c>
      <c r="K7098">
        <v>0.05</v>
      </c>
      <c r="L7098">
        <v>0.36</v>
      </c>
      <c r="M7098">
        <v>4.375</v>
      </c>
      <c r="N7098">
        <v>1440.18525</v>
      </c>
      <c r="O7098" s="1" t="s">
        <v>40</v>
      </c>
      <c r="P7098" s="1" t="s">
        <v>11853</v>
      </c>
      <c r="Q7098" s="1" t="s">
        <v>11854</v>
      </c>
      <c r="R7098" s="1" t="s">
        <v>220</v>
      </c>
      <c r="S7098" s="1" t="s">
        <v>11855</v>
      </c>
      <c r="T7098" s="1" t="s">
        <v>11856</v>
      </c>
      <c r="U7098" s="2" t="s">
        <v>6006</v>
      </c>
      <c r="V7098" s="2" t="s">
        <v>36</v>
      </c>
      <c r="W7098" s="2" t="s">
        <v>37</v>
      </c>
      <c r="X7098" s="2">
        <v>125.965</v>
      </c>
    </row>
    <row r="7099" spans="1:24" x14ac:dyDescent="0.3">
      <c r="A7099">
        <v>24913</v>
      </c>
      <c r="B7099" t="s">
        <v>13960</v>
      </c>
      <c r="C7099" s="3">
        <v>41511</v>
      </c>
      <c r="D7099" t="s">
        <v>25</v>
      </c>
      <c r="E7099">
        <v>6</v>
      </c>
      <c r="F7099" s="3">
        <f ca="1">41513+(RANDBETWEEN(1,10))</f>
        <v>41519</v>
      </c>
      <c r="G7099" t="s">
        <v>26</v>
      </c>
      <c r="H7099" t="s">
        <v>51</v>
      </c>
      <c r="I7099" t="s">
        <v>28</v>
      </c>
      <c r="J7099">
        <v>159.63499999999999</v>
      </c>
      <c r="K7099">
        <v>0.09</v>
      </c>
      <c r="L7099">
        <v>0.69</v>
      </c>
      <c r="M7099">
        <v>19.355</v>
      </c>
      <c r="N7099">
        <v>15.79725</v>
      </c>
      <c r="O7099" s="1" t="s">
        <v>53</v>
      </c>
      <c r="P7099" s="1" t="s">
        <v>11159</v>
      </c>
      <c r="Q7099" s="1" t="s">
        <v>11160</v>
      </c>
      <c r="R7099" s="1" t="s">
        <v>100</v>
      </c>
      <c r="S7099" s="1" t="s">
        <v>10089</v>
      </c>
      <c r="T7099" s="1" t="s">
        <v>10090</v>
      </c>
      <c r="U7099" s="2" t="s">
        <v>3244</v>
      </c>
      <c r="V7099" s="2" t="s">
        <v>36</v>
      </c>
      <c r="W7099" s="2" t="s">
        <v>60</v>
      </c>
      <c r="X7099" s="2">
        <v>25.795000000000002</v>
      </c>
    </row>
    <row r="7100" spans="1:24" x14ac:dyDescent="0.3">
      <c r="A7100">
        <v>24914</v>
      </c>
      <c r="B7100" t="s">
        <v>13960</v>
      </c>
      <c r="C7100" s="3">
        <v>41511</v>
      </c>
      <c r="D7100" t="s">
        <v>25</v>
      </c>
      <c r="E7100">
        <v>20</v>
      </c>
      <c r="F7100" s="3">
        <f ca="1">41513+(RANDBETWEEN(1,10))</f>
        <v>41514</v>
      </c>
      <c r="G7100" t="s">
        <v>26</v>
      </c>
      <c r="H7100" t="s">
        <v>27</v>
      </c>
      <c r="I7100" t="s">
        <v>28</v>
      </c>
      <c r="J7100">
        <v>506.1</v>
      </c>
      <c r="K7100">
        <v>0.01</v>
      </c>
      <c r="L7100">
        <v>0.37</v>
      </c>
      <c r="M7100">
        <v>21.524999999999999</v>
      </c>
      <c r="N7100">
        <v>102.60599999999999</v>
      </c>
      <c r="O7100" s="1" t="s">
        <v>53</v>
      </c>
      <c r="P7100" s="1" t="s">
        <v>11159</v>
      </c>
      <c r="Q7100" s="1" t="s">
        <v>11160</v>
      </c>
      <c r="R7100" s="1" t="s">
        <v>100</v>
      </c>
      <c r="S7100" s="1" t="s">
        <v>10089</v>
      </c>
      <c r="T7100" s="1" t="s">
        <v>10090</v>
      </c>
      <c r="U7100" s="2" t="s">
        <v>11330</v>
      </c>
      <c r="V7100" s="2" t="s">
        <v>47</v>
      </c>
      <c r="W7100" s="2" t="s">
        <v>74</v>
      </c>
      <c r="X7100" s="2">
        <v>23.38</v>
      </c>
    </row>
    <row r="7101" spans="1:24" x14ac:dyDescent="0.3">
      <c r="A7101">
        <v>24915</v>
      </c>
      <c r="B7101" t="s">
        <v>13961</v>
      </c>
      <c r="C7101" s="3">
        <v>42003</v>
      </c>
      <c r="D7101" t="s">
        <v>25</v>
      </c>
      <c r="E7101">
        <v>16</v>
      </c>
      <c r="F7101" s="3">
        <f ca="1">42003+(RANDBETWEEN(1,10))</f>
        <v>42005</v>
      </c>
      <c r="G7101" t="s">
        <v>26</v>
      </c>
      <c r="H7101" t="s">
        <v>27</v>
      </c>
      <c r="I7101" t="s">
        <v>97</v>
      </c>
      <c r="J7101">
        <v>1215.6199999999999</v>
      </c>
      <c r="K7101">
        <v>0</v>
      </c>
      <c r="L7101">
        <v>0.68</v>
      </c>
      <c r="M7101">
        <v>14</v>
      </c>
      <c r="N7101">
        <v>1576.1466</v>
      </c>
      <c r="O7101" s="1" t="s">
        <v>225</v>
      </c>
      <c r="P7101" s="1" t="s">
        <v>11073</v>
      </c>
      <c r="Q7101" s="1" t="s">
        <v>11074</v>
      </c>
      <c r="R7101" s="1" t="s">
        <v>228</v>
      </c>
      <c r="S7101" s="1" t="s">
        <v>11075</v>
      </c>
      <c r="T7101" s="1" t="s">
        <v>11076</v>
      </c>
      <c r="U7101" s="2" t="s">
        <v>2334</v>
      </c>
      <c r="V7101" s="2" t="s">
        <v>36</v>
      </c>
      <c r="W7101" s="2" t="s">
        <v>60</v>
      </c>
      <c r="X7101" s="2">
        <v>69.930000000000007</v>
      </c>
    </row>
    <row r="7102" spans="1:24" x14ac:dyDescent="0.3">
      <c r="A7102">
        <v>24916</v>
      </c>
      <c r="B7102" t="s">
        <v>13961</v>
      </c>
      <c r="C7102" s="3">
        <v>42003</v>
      </c>
      <c r="D7102" t="s">
        <v>25</v>
      </c>
      <c r="E7102">
        <v>1</v>
      </c>
      <c r="F7102" s="3">
        <f ca="1">42003+(RANDBETWEEN(1,10))</f>
        <v>42010</v>
      </c>
      <c r="G7102" t="s">
        <v>26</v>
      </c>
      <c r="H7102" t="s">
        <v>281</v>
      </c>
      <c r="I7102" t="s">
        <v>97</v>
      </c>
      <c r="J7102">
        <v>2811.6550000000002</v>
      </c>
      <c r="K7102">
        <v>0.09</v>
      </c>
      <c r="L7102">
        <v>0.83</v>
      </c>
      <c r="M7102">
        <v>85.715000000000003</v>
      </c>
      <c r="N7102">
        <v>2366.1120000000001</v>
      </c>
      <c r="O7102" s="1" t="s">
        <v>225</v>
      </c>
      <c r="P7102" s="1" t="s">
        <v>11073</v>
      </c>
      <c r="Q7102" s="1" t="s">
        <v>11074</v>
      </c>
      <c r="R7102" s="1" t="s">
        <v>228</v>
      </c>
      <c r="S7102" s="1" t="s">
        <v>11075</v>
      </c>
      <c r="T7102" s="1" t="s">
        <v>11076</v>
      </c>
      <c r="U7102" s="2" t="s">
        <v>13962</v>
      </c>
      <c r="V7102" s="2" t="s">
        <v>47</v>
      </c>
      <c r="W7102" s="2" t="s">
        <v>94</v>
      </c>
      <c r="X7102" s="2">
        <v>2914.835</v>
      </c>
    </row>
    <row r="7103" spans="1:24" x14ac:dyDescent="0.3">
      <c r="A7103">
        <v>24917</v>
      </c>
      <c r="B7103" t="s">
        <v>13963</v>
      </c>
      <c r="C7103" s="3">
        <v>41399</v>
      </c>
      <c r="D7103" t="s">
        <v>50</v>
      </c>
      <c r="E7103">
        <v>3</v>
      </c>
      <c r="F7103" s="3">
        <f ca="1">41402+(RANDBETWEEN(1,10))</f>
        <v>41412</v>
      </c>
      <c r="G7103" t="s">
        <v>26</v>
      </c>
      <c r="H7103" t="s">
        <v>51</v>
      </c>
      <c r="I7103" t="s">
        <v>28</v>
      </c>
      <c r="J7103">
        <v>123.83</v>
      </c>
      <c r="K7103">
        <v>0.1</v>
      </c>
      <c r="L7103">
        <v>0.55000000000000004</v>
      </c>
      <c r="M7103">
        <v>9.9749999999999996</v>
      </c>
      <c r="N7103">
        <v>-1995.133</v>
      </c>
      <c r="O7103" s="1" t="s">
        <v>87</v>
      </c>
      <c r="P7103" s="1" t="s">
        <v>13964</v>
      </c>
      <c r="Q7103" s="1" t="s">
        <v>13965</v>
      </c>
      <c r="R7103" s="1" t="s">
        <v>398</v>
      </c>
      <c r="S7103" s="1" t="s">
        <v>771</v>
      </c>
      <c r="T7103" s="1" t="s">
        <v>772</v>
      </c>
      <c r="U7103" s="2" t="s">
        <v>3256</v>
      </c>
      <c r="V7103" s="2" t="s">
        <v>83</v>
      </c>
      <c r="W7103" s="2" t="s">
        <v>178</v>
      </c>
      <c r="X7103" s="2">
        <v>42.77</v>
      </c>
    </row>
    <row r="7104" spans="1:24" x14ac:dyDescent="0.3">
      <c r="A7104">
        <v>24918</v>
      </c>
      <c r="B7104" t="s">
        <v>13963</v>
      </c>
      <c r="C7104" s="3">
        <v>41399</v>
      </c>
      <c r="D7104" t="s">
        <v>50</v>
      </c>
      <c r="E7104">
        <v>20</v>
      </c>
      <c r="F7104" s="3">
        <f ca="1">41400+(RANDBETWEEN(1,10))</f>
        <v>41409</v>
      </c>
      <c r="G7104" t="s">
        <v>26</v>
      </c>
      <c r="H7104" t="s">
        <v>27</v>
      </c>
      <c r="I7104" t="s">
        <v>28</v>
      </c>
      <c r="J7104">
        <v>387.45</v>
      </c>
      <c r="K7104">
        <v>0.04</v>
      </c>
      <c r="L7104">
        <v>0.4</v>
      </c>
      <c r="M7104">
        <v>19.495000000000001</v>
      </c>
      <c r="N7104">
        <v>5449.8727500000005</v>
      </c>
      <c r="O7104" s="1" t="s">
        <v>87</v>
      </c>
      <c r="P7104" s="1" t="s">
        <v>13964</v>
      </c>
      <c r="Q7104" s="1" t="s">
        <v>13965</v>
      </c>
      <c r="R7104" s="1" t="s">
        <v>398</v>
      </c>
      <c r="S7104" s="1" t="s">
        <v>771</v>
      </c>
      <c r="T7104" s="1" t="s">
        <v>772</v>
      </c>
      <c r="U7104" s="2" t="s">
        <v>1213</v>
      </c>
      <c r="V7104" s="2" t="s">
        <v>47</v>
      </c>
      <c r="W7104" s="2" t="s">
        <v>74</v>
      </c>
      <c r="X7104" s="2">
        <v>18.48</v>
      </c>
    </row>
    <row r="7105" spans="1:24" x14ac:dyDescent="0.3">
      <c r="A7105">
        <v>24919</v>
      </c>
      <c r="B7105" t="s">
        <v>13966</v>
      </c>
      <c r="C7105" s="3">
        <v>41426</v>
      </c>
      <c r="D7105" t="s">
        <v>39</v>
      </c>
      <c r="E7105">
        <v>5</v>
      </c>
      <c r="F7105" s="3">
        <f ca="1">41426+(RANDBETWEEN(1,10))</f>
        <v>41432</v>
      </c>
      <c r="G7105" t="s">
        <v>26</v>
      </c>
      <c r="H7105" t="s">
        <v>27</v>
      </c>
      <c r="I7105" t="s">
        <v>97</v>
      </c>
      <c r="J7105">
        <v>196.21</v>
      </c>
      <c r="K7105">
        <v>7.0000000000000007E-2</v>
      </c>
      <c r="L7105">
        <v>0.36</v>
      </c>
      <c r="M7105">
        <v>17.535</v>
      </c>
      <c r="N7105">
        <v>2.6880000000000002</v>
      </c>
      <c r="O7105" s="1" t="s">
        <v>40</v>
      </c>
      <c r="P7105" s="1" t="s">
        <v>5339</v>
      </c>
      <c r="Q7105" s="1" t="s">
        <v>5340</v>
      </c>
      <c r="R7105" s="1" t="s">
        <v>43</v>
      </c>
      <c r="S7105" s="1" t="s">
        <v>5341</v>
      </c>
      <c r="T7105" s="1" t="s">
        <v>5342</v>
      </c>
      <c r="U7105" s="2" t="s">
        <v>4556</v>
      </c>
      <c r="V7105" s="2" t="s">
        <v>47</v>
      </c>
      <c r="W7105" s="2" t="s">
        <v>74</v>
      </c>
      <c r="X7105" s="2">
        <v>39.69</v>
      </c>
    </row>
    <row r="7106" spans="1:24" x14ac:dyDescent="0.3">
      <c r="A7106">
        <v>24920</v>
      </c>
      <c r="B7106" t="s">
        <v>13966</v>
      </c>
      <c r="C7106" s="3">
        <v>41426</v>
      </c>
      <c r="D7106" t="s">
        <v>39</v>
      </c>
      <c r="E7106">
        <v>9</v>
      </c>
      <c r="F7106" s="3">
        <f ca="1">41428+(RANDBETWEEN(1,10))</f>
        <v>41433</v>
      </c>
      <c r="G7106" t="s">
        <v>76</v>
      </c>
      <c r="H7106" t="s">
        <v>77</v>
      </c>
      <c r="I7106" t="s">
        <v>97</v>
      </c>
      <c r="J7106">
        <v>2249.4850000000001</v>
      </c>
      <c r="K7106">
        <v>0.01</v>
      </c>
      <c r="L7106">
        <v>0.41</v>
      </c>
      <c r="M7106">
        <v>210</v>
      </c>
      <c r="N7106">
        <v>-1467.2840000000001</v>
      </c>
      <c r="O7106" s="1" t="s">
        <v>64</v>
      </c>
      <c r="P7106" s="1" t="s">
        <v>13967</v>
      </c>
      <c r="Q7106" s="1" t="s">
        <v>13968</v>
      </c>
      <c r="R7106" s="1" t="s">
        <v>128</v>
      </c>
      <c r="S7106" s="1" t="s">
        <v>7683</v>
      </c>
      <c r="T7106" s="1" t="s">
        <v>7684</v>
      </c>
      <c r="U7106" s="2" t="s">
        <v>287</v>
      </c>
      <c r="V7106" s="2" t="s">
        <v>47</v>
      </c>
      <c r="W7106" s="2" t="s">
        <v>71</v>
      </c>
      <c r="X7106" s="2">
        <v>240.83500000000001</v>
      </c>
    </row>
    <row r="7107" spans="1:24" x14ac:dyDescent="0.3">
      <c r="A7107">
        <v>24921</v>
      </c>
      <c r="B7107" t="s">
        <v>13969</v>
      </c>
      <c r="C7107" s="3">
        <v>41873</v>
      </c>
      <c r="D7107" t="s">
        <v>39</v>
      </c>
      <c r="E7107">
        <v>25</v>
      </c>
      <c r="F7107" s="3">
        <f ca="1">41875+(RANDBETWEEN(1,10))</f>
        <v>41879</v>
      </c>
      <c r="G7107" t="s">
        <v>26</v>
      </c>
      <c r="H7107" t="s">
        <v>27</v>
      </c>
      <c r="I7107" t="s">
        <v>86</v>
      </c>
      <c r="J7107">
        <v>656.46</v>
      </c>
      <c r="K7107">
        <v>0.01</v>
      </c>
      <c r="L7107">
        <v>0.37</v>
      </c>
      <c r="M7107">
        <v>39.024999999999999</v>
      </c>
      <c r="N7107">
        <v>-492.13891999999998</v>
      </c>
      <c r="O7107" s="1" t="s">
        <v>53</v>
      </c>
      <c r="P7107" s="1" t="s">
        <v>10362</v>
      </c>
      <c r="Q7107" s="1" t="s">
        <v>10363</v>
      </c>
      <c r="R7107" s="1" t="s">
        <v>56</v>
      </c>
      <c r="S7107" s="1" t="s">
        <v>10364</v>
      </c>
      <c r="T7107" s="1" t="s">
        <v>10365</v>
      </c>
      <c r="U7107" s="2" t="s">
        <v>4160</v>
      </c>
      <c r="V7107" s="2" t="s">
        <v>47</v>
      </c>
      <c r="W7107" s="2" t="s">
        <v>74</v>
      </c>
      <c r="X7107" s="2">
        <v>25.48</v>
      </c>
    </row>
    <row r="7108" spans="1:24" x14ac:dyDescent="0.3">
      <c r="A7108">
        <v>24922</v>
      </c>
      <c r="B7108" t="s">
        <v>13970</v>
      </c>
      <c r="C7108" s="3">
        <v>41728</v>
      </c>
      <c r="D7108" t="s">
        <v>25</v>
      </c>
      <c r="E7108">
        <v>7</v>
      </c>
      <c r="F7108" s="3">
        <f ca="1">41732+(RANDBETWEEN(1,10))</f>
        <v>41742</v>
      </c>
      <c r="G7108" t="s">
        <v>26</v>
      </c>
      <c r="H7108" t="s">
        <v>96</v>
      </c>
      <c r="I7108" t="s">
        <v>28</v>
      </c>
      <c r="J7108">
        <v>99.75</v>
      </c>
      <c r="K7108">
        <v>0.06</v>
      </c>
      <c r="L7108">
        <v>0.51</v>
      </c>
      <c r="M7108">
        <v>2.9049999999999998</v>
      </c>
      <c r="N7108">
        <v>31.437000000000001</v>
      </c>
      <c r="O7108" s="1" t="s">
        <v>29</v>
      </c>
      <c r="P7108" s="1" t="s">
        <v>9063</v>
      </c>
      <c r="Q7108" s="1" t="s">
        <v>9064</v>
      </c>
      <c r="R7108" s="1" t="s">
        <v>460</v>
      </c>
      <c r="S7108" s="1" t="s">
        <v>9065</v>
      </c>
      <c r="T7108" s="1" t="s">
        <v>9066</v>
      </c>
      <c r="U7108" s="2" t="s">
        <v>4777</v>
      </c>
      <c r="V7108" s="2" t="s">
        <v>47</v>
      </c>
      <c r="W7108" s="2" t="s">
        <v>104</v>
      </c>
      <c r="X7108" s="2">
        <v>13.93</v>
      </c>
    </row>
    <row r="7109" spans="1:24" x14ac:dyDescent="0.3">
      <c r="A7109">
        <v>24923</v>
      </c>
      <c r="B7109" t="s">
        <v>13971</v>
      </c>
      <c r="C7109" s="3">
        <v>41763</v>
      </c>
      <c r="D7109" t="s">
        <v>148</v>
      </c>
      <c r="E7109">
        <v>4</v>
      </c>
      <c r="F7109" s="3">
        <f ca="1">41765+(RANDBETWEEN(1,10))</f>
        <v>41767</v>
      </c>
      <c r="G7109" t="s">
        <v>26</v>
      </c>
      <c r="H7109" t="s">
        <v>281</v>
      </c>
      <c r="I7109" t="s">
        <v>52</v>
      </c>
      <c r="J7109">
        <v>28185.01</v>
      </c>
      <c r="K7109">
        <v>0.02</v>
      </c>
      <c r="L7109">
        <v>0.38</v>
      </c>
      <c r="M7109">
        <v>48.965000000000003</v>
      </c>
      <c r="N7109">
        <v>-1391.31531</v>
      </c>
      <c r="O7109" s="1" t="s">
        <v>87</v>
      </c>
      <c r="P7109" s="1" t="s">
        <v>5015</v>
      </c>
      <c r="Q7109" s="1" t="s">
        <v>5016</v>
      </c>
      <c r="R7109" s="1" t="s">
        <v>398</v>
      </c>
      <c r="S7109" s="1" t="s">
        <v>1674</v>
      </c>
      <c r="T7109" s="1" t="s">
        <v>1675</v>
      </c>
      <c r="U7109" s="2" t="s">
        <v>5558</v>
      </c>
      <c r="V7109" s="2" t="s">
        <v>36</v>
      </c>
      <c r="W7109" s="2" t="s">
        <v>142</v>
      </c>
      <c r="X7109" s="2">
        <v>6783.07</v>
      </c>
    </row>
    <row r="7110" spans="1:24" x14ac:dyDescent="0.3">
      <c r="A7110">
        <v>24924</v>
      </c>
      <c r="B7110" t="s">
        <v>13972</v>
      </c>
      <c r="C7110" s="3">
        <v>41986</v>
      </c>
      <c r="D7110" t="s">
        <v>50</v>
      </c>
      <c r="E7110">
        <v>11</v>
      </c>
      <c r="F7110" s="3">
        <f ca="1">41987+(RANDBETWEEN(1,10))</f>
        <v>41996</v>
      </c>
      <c r="G7110" t="s">
        <v>26</v>
      </c>
      <c r="H7110" t="s">
        <v>63</v>
      </c>
      <c r="I7110" t="s">
        <v>52</v>
      </c>
      <c r="J7110">
        <v>2818.76</v>
      </c>
      <c r="K7110">
        <v>0.04</v>
      </c>
      <c r="L7110">
        <v>0.8</v>
      </c>
      <c r="M7110">
        <v>122.5</v>
      </c>
      <c r="N7110">
        <v>-625.53791999999999</v>
      </c>
      <c r="O7110" s="1" t="s">
        <v>64</v>
      </c>
      <c r="P7110" s="1" t="s">
        <v>3667</v>
      </c>
      <c r="Q7110" s="1" t="s">
        <v>3668</v>
      </c>
      <c r="R7110" s="1" t="s">
        <v>128</v>
      </c>
      <c r="S7110" s="1" t="s">
        <v>3669</v>
      </c>
      <c r="T7110" s="1" t="s">
        <v>3670</v>
      </c>
      <c r="U7110" s="2" t="s">
        <v>13592</v>
      </c>
      <c r="V7110" s="2" t="s">
        <v>47</v>
      </c>
      <c r="W7110" s="2" t="s">
        <v>119</v>
      </c>
      <c r="X7110" s="2">
        <v>248.43</v>
      </c>
    </row>
    <row r="7111" spans="1:24" x14ac:dyDescent="0.3">
      <c r="A7111">
        <v>24925</v>
      </c>
      <c r="B7111" t="s">
        <v>13973</v>
      </c>
      <c r="C7111" s="3">
        <v>41502</v>
      </c>
      <c r="D7111" t="s">
        <v>39</v>
      </c>
      <c r="E7111">
        <v>14</v>
      </c>
      <c r="F7111" s="3">
        <f ca="1">41503+(RANDBETWEEN(1,10))</f>
        <v>41507</v>
      </c>
      <c r="G7111" t="s">
        <v>26</v>
      </c>
      <c r="H7111" t="s">
        <v>27</v>
      </c>
      <c r="I7111" t="s">
        <v>52</v>
      </c>
      <c r="J7111">
        <v>2551.1149999999998</v>
      </c>
      <c r="K7111">
        <v>0.04</v>
      </c>
      <c r="L7111">
        <v>0.45</v>
      </c>
      <c r="M7111">
        <v>69.965000000000003</v>
      </c>
      <c r="N7111">
        <v>896.00699999999995</v>
      </c>
      <c r="O7111" s="1" t="s">
        <v>64</v>
      </c>
      <c r="P7111" s="1" t="s">
        <v>8187</v>
      </c>
      <c r="Q7111" s="1" t="s">
        <v>8188</v>
      </c>
      <c r="R7111" s="1" t="s">
        <v>67</v>
      </c>
      <c r="S7111" s="1" t="s">
        <v>254</v>
      </c>
      <c r="T7111" s="1" t="s">
        <v>8189</v>
      </c>
      <c r="U7111" s="2" t="s">
        <v>72</v>
      </c>
      <c r="V7111" s="2" t="s">
        <v>36</v>
      </c>
      <c r="W7111" s="2" t="s">
        <v>60</v>
      </c>
      <c r="X7111" s="2">
        <v>174.965</v>
      </c>
    </row>
    <row r="7112" spans="1:24" x14ac:dyDescent="0.3">
      <c r="A7112">
        <v>24926</v>
      </c>
      <c r="B7112" t="s">
        <v>13974</v>
      </c>
      <c r="C7112" s="3">
        <v>40609</v>
      </c>
      <c r="D7112" t="s">
        <v>62</v>
      </c>
      <c r="E7112">
        <v>5</v>
      </c>
      <c r="F7112" s="3">
        <f ca="1">40609+(RANDBETWEEN(1,10))</f>
        <v>40612</v>
      </c>
      <c r="G7112" t="s">
        <v>76</v>
      </c>
      <c r="H7112" t="s">
        <v>258</v>
      </c>
      <c r="I7112" t="s">
        <v>86</v>
      </c>
      <c r="J7112">
        <v>8240.89</v>
      </c>
      <c r="K7112">
        <v>0.09</v>
      </c>
      <c r="L7112">
        <v>0.59</v>
      </c>
      <c r="M7112">
        <v>58.204999999999998</v>
      </c>
      <c r="N7112">
        <v>3182.76</v>
      </c>
      <c r="O7112" s="1" t="s">
        <v>40</v>
      </c>
      <c r="P7112" s="1" t="s">
        <v>7663</v>
      </c>
      <c r="Q7112" s="1" t="s">
        <v>7664</v>
      </c>
      <c r="R7112" s="1" t="s">
        <v>43</v>
      </c>
      <c r="S7112" s="1" t="s">
        <v>7665</v>
      </c>
      <c r="T7112" s="1" t="s">
        <v>7666</v>
      </c>
      <c r="U7112" s="2" t="s">
        <v>10060</v>
      </c>
      <c r="V7112" s="2" t="s">
        <v>36</v>
      </c>
      <c r="W7112" s="2" t="s">
        <v>142</v>
      </c>
      <c r="X7112" s="2">
        <v>1811.18</v>
      </c>
    </row>
    <row r="7113" spans="1:24" x14ac:dyDescent="0.3">
      <c r="A7113">
        <v>24927</v>
      </c>
      <c r="B7113" t="s">
        <v>13975</v>
      </c>
      <c r="C7113" s="3">
        <v>41909</v>
      </c>
      <c r="D7113" t="s">
        <v>148</v>
      </c>
      <c r="E7113">
        <v>26</v>
      </c>
      <c r="F7113" s="3">
        <f ca="1">41910+(RANDBETWEEN(1,10))</f>
        <v>41919</v>
      </c>
      <c r="G7113" t="s">
        <v>156</v>
      </c>
      <c r="H7113" t="s">
        <v>281</v>
      </c>
      <c r="I7113" t="s">
        <v>97</v>
      </c>
      <c r="J7113">
        <v>3679.48</v>
      </c>
      <c r="K7113">
        <v>7.0000000000000007E-2</v>
      </c>
      <c r="L7113">
        <v>0.76</v>
      </c>
      <c r="M7113">
        <v>30.31</v>
      </c>
      <c r="N7113">
        <v>381.024</v>
      </c>
      <c r="O7113" s="1" t="s">
        <v>53</v>
      </c>
      <c r="P7113" s="1" t="s">
        <v>11024</v>
      </c>
      <c r="Q7113" s="1" t="s">
        <v>11025</v>
      </c>
      <c r="R7113" s="1" t="s">
        <v>100</v>
      </c>
      <c r="S7113" s="1" t="s">
        <v>11026</v>
      </c>
      <c r="T7113" s="1" t="s">
        <v>11027</v>
      </c>
      <c r="U7113" s="2" t="s">
        <v>880</v>
      </c>
      <c r="V7113" s="2" t="s">
        <v>83</v>
      </c>
      <c r="W7113" s="2" t="s">
        <v>178</v>
      </c>
      <c r="X7113" s="2">
        <v>144.62</v>
      </c>
    </row>
    <row r="7114" spans="1:24" x14ac:dyDescent="0.3">
      <c r="A7114">
        <v>24928</v>
      </c>
      <c r="B7114" t="s">
        <v>13976</v>
      </c>
      <c r="C7114" s="3">
        <v>41860</v>
      </c>
      <c r="D7114" t="s">
        <v>39</v>
      </c>
      <c r="E7114">
        <v>6</v>
      </c>
      <c r="F7114" s="3">
        <f ca="1">41860+(RANDBETWEEN(1,10))</f>
        <v>41870</v>
      </c>
      <c r="G7114" t="s">
        <v>26</v>
      </c>
      <c r="H7114" t="s">
        <v>27</v>
      </c>
      <c r="I7114" t="s">
        <v>28</v>
      </c>
      <c r="J7114">
        <v>250.32</v>
      </c>
      <c r="K7114">
        <v>0.03</v>
      </c>
      <c r="L7114">
        <v>0.4</v>
      </c>
      <c r="M7114">
        <v>25.164999999999999</v>
      </c>
      <c r="N7114">
        <v>-36.811362000000003</v>
      </c>
      <c r="O7114" s="1" t="s">
        <v>40</v>
      </c>
      <c r="P7114" s="1" t="s">
        <v>13977</v>
      </c>
      <c r="Q7114" s="1" t="s">
        <v>13978</v>
      </c>
      <c r="R7114" s="1" t="s">
        <v>43</v>
      </c>
      <c r="S7114" s="1" t="s">
        <v>2727</v>
      </c>
      <c r="T7114" s="1" t="s">
        <v>2728</v>
      </c>
      <c r="U7114" s="2" t="s">
        <v>1736</v>
      </c>
      <c r="V7114" s="2" t="s">
        <v>47</v>
      </c>
      <c r="W7114" s="2" t="s">
        <v>111</v>
      </c>
      <c r="X7114" s="2">
        <v>40.25</v>
      </c>
    </row>
    <row r="7115" spans="1:24" x14ac:dyDescent="0.3">
      <c r="A7115">
        <v>24929</v>
      </c>
      <c r="B7115" t="s">
        <v>13979</v>
      </c>
      <c r="C7115" s="3">
        <v>41297</v>
      </c>
      <c r="D7115" t="s">
        <v>39</v>
      </c>
      <c r="E7115">
        <v>11</v>
      </c>
      <c r="F7115" s="3">
        <f ca="1">41298+(RANDBETWEEN(1,10))</f>
        <v>41299</v>
      </c>
      <c r="G7115" t="s">
        <v>26</v>
      </c>
      <c r="H7115" t="s">
        <v>96</v>
      </c>
      <c r="I7115" t="s">
        <v>97</v>
      </c>
      <c r="J7115">
        <v>371.98</v>
      </c>
      <c r="K7115">
        <v>0.05</v>
      </c>
      <c r="L7115">
        <v>0.47</v>
      </c>
      <c r="M7115">
        <v>16.87</v>
      </c>
      <c r="N7115">
        <v>-47.653199999999998</v>
      </c>
      <c r="O7115" s="1" t="s">
        <v>40</v>
      </c>
      <c r="P7115" s="1" t="s">
        <v>13980</v>
      </c>
      <c r="Q7115" s="1" t="s">
        <v>13981</v>
      </c>
      <c r="R7115" s="1" t="s">
        <v>43</v>
      </c>
      <c r="S7115" s="1" t="s">
        <v>13982</v>
      </c>
      <c r="T7115" s="1" t="s">
        <v>13983</v>
      </c>
      <c r="U7115" s="2" t="s">
        <v>9076</v>
      </c>
      <c r="V7115" s="2" t="s">
        <v>47</v>
      </c>
      <c r="W7115" s="2" t="s">
        <v>104</v>
      </c>
      <c r="X7115" s="2">
        <v>34.475000000000001</v>
      </c>
    </row>
    <row r="7116" spans="1:24" x14ac:dyDescent="0.3">
      <c r="A7116">
        <v>24930</v>
      </c>
      <c r="B7116" t="s">
        <v>13984</v>
      </c>
      <c r="C7116" s="3">
        <v>41836</v>
      </c>
      <c r="D7116" t="s">
        <v>25</v>
      </c>
      <c r="E7116">
        <v>8</v>
      </c>
      <c r="F7116" s="3">
        <f ca="1">41841+(RANDBETWEEN(1,10))</f>
        <v>41843</v>
      </c>
      <c r="G7116" t="s">
        <v>26</v>
      </c>
      <c r="H7116" t="s">
        <v>96</v>
      </c>
      <c r="I7116" t="s">
        <v>86</v>
      </c>
      <c r="J7116">
        <v>125.65</v>
      </c>
      <c r="K7116">
        <v>0.02</v>
      </c>
      <c r="L7116">
        <v>0.56000000000000005</v>
      </c>
      <c r="M7116">
        <v>3.29</v>
      </c>
      <c r="N7116">
        <v>68.125119999999995</v>
      </c>
      <c r="O7116" s="1" t="s">
        <v>40</v>
      </c>
      <c r="P7116" s="1" t="s">
        <v>13985</v>
      </c>
      <c r="Q7116" s="1" t="s">
        <v>13986</v>
      </c>
      <c r="R7116" s="1" t="s">
        <v>43</v>
      </c>
      <c r="S7116" s="1" t="s">
        <v>576</v>
      </c>
      <c r="T7116" s="1" t="s">
        <v>577</v>
      </c>
      <c r="U7116" s="2" t="s">
        <v>331</v>
      </c>
      <c r="V7116" s="2" t="s">
        <v>47</v>
      </c>
      <c r="W7116" s="2" t="s">
        <v>104</v>
      </c>
      <c r="X7116" s="2">
        <v>14.98</v>
      </c>
    </row>
    <row r="7117" spans="1:24" x14ac:dyDescent="0.3">
      <c r="A7117">
        <v>24931</v>
      </c>
      <c r="B7117" t="s">
        <v>13987</v>
      </c>
      <c r="C7117" s="3">
        <v>41106</v>
      </c>
      <c r="D7117" t="s">
        <v>25</v>
      </c>
      <c r="E7117">
        <v>5</v>
      </c>
      <c r="F7117" s="3">
        <f ca="1">41111+(RANDBETWEEN(1,10))</f>
        <v>41116</v>
      </c>
      <c r="G7117" t="s">
        <v>26</v>
      </c>
      <c r="H7117" t="s">
        <v>51</v>
      </c>
      <c r="I7117" t="s">
        <v>86</v>
      </c>
      <c r="J7117">
        <v>168.17500000000001</v>
      </c>
      <c r="K7117">
        <v>0.05</v>
      </c>
      <c r="L7117">
        <v>0.43</v>
      </c>
      <c r="M7117">
        <v>6.9649999999999999</v>
      </c>
      <c r="N7117">
        <v>42.314999999999998</v>
      </c>
      <c r="O7117" s="1" t="s">
        <v>53</v>
      </c>
      <c r="P7117" s="1" t="s">
        <v>13988</v>
      </c>
      <c r="Q7117" s="1" t="s">
        <v>13989</v>
      </c>
      <c r="R7117" s="1" t="s">
        <v>440</v>
      </c>
      <c r="S7117" s="1" t="s">
        <v>13990</v>
      </c>
      <c r="T7117" s="1" t="s">
        <v>13991</v>
      </c>
      <c r="U7117" s="2" t="s">
        <v>237</v>
      </c>
      <c r="V7117" s="2" t="s">
        <v>36</v>
      </c>
      <c r="W7117" s="2" t="s">
        <v>60</v>
      </c>
      <c r="X7117" s="2">
        <v>34.229999999999997</v>
      </c>
    </row>
    <row r="7118" spans="1:24" x14ac:dyDescent="0.3">
      <c r="A7118">
        <v>24932</v>
      </c>
      <c r="B7118" t="s">
        <v>13984</v>
      </c>
      <c r="C7118" s="3">
        <v>41836</v>
      </c>
      <c r="D7118" t="s">
        <v>25</v>
      </c>
      <c r="E7118">
        <v>3</v>
      </c>
      <c r="F7118" s="3">
        <f ca="1">41840+(RANDBETWEEN(1,10))</f>
        <v>41849</v>
      </c>
      <c r="G7118" t="s">
        <v>26</v>
      </c>
      <c r="H7118" t="s">
        <v>96</v>
      </c>
      <c r="I7118" t="s">
        <v>86</v>
      </c>
      <c r="J7118">
        <v>35.770000000000003</v>
      </c>
      <c r="K7118">
        <v>0.03</v>
      </c>
      <c r="L7118">
        <v>0.4</v>
      </c>
      <c r="M7118">
        <v>4.7249999999999996</v>
      </c>
      <c r="N7118">
        <v>0.30464000000000002</v>
      </c>
      <c r="O7118" s="1" t="s">
        <v>53</v>
      </c>
      <c r="P7118" s="1" t="s">
        <v>13992</v>
      </c>
      <c r="Q7118" s="1" t="s">
        <v>13993</v>
      </c>
      <c r="R7118" s="1" t="s">
        <v>100</v>
      </c>
      <c r="S7118" s="1" t="s">
        <v>13994</v>
      </c>
      <c r="T7118" s="1" t="s">
        <v>13995</v>
      </c>
      <c r="U7118" s="2" t="s">
        <v>2529</v>
      </c>
      <c r="V7118" s="2" t="s">
        <v>47</v>
      </c>
      <c r="W7118" s="2" t="s">
        <v>176</v>
      </c>
      <c r="X7118" s="2">
        <v>11.515000000000001</v>
      </c>
    </row>
    <row r="7119" spans="1:24" x14ac:dyDescent="0.3">
      <c r="A7119">
        <v>24933</v>
      </c>
      <c r="B7119" t="s">
        <v>13996</v>
      </c>
      <c r="C7119" s="3">
        <v>41607</v>
      </c>
      <c r="D7119" t="s">
        <v>148</v>
      </c>
      <c r="E7119">
        <v>8</v>
      </c>
      <c r="F7119" s="3">
        <f ca="1">41607+(RANDBETWEEN(1,10))</f>
        <v>41608</v>
      </c>
      <c r="G7119" t="s">
        <v>26</v>
      </c>
      <c r="H7119" t="s">
        <v>96</v>
      </c>
      <c r="I7119" t="s">
        <v>28</v>
      </c>
      <c r="J7119">
        <v>236.25</v>
      </c>
      <c r="K7119">
        <v>0.01</v>
      </c>
      <c r="L7119">
        <v>0.36</v>
      </c>
      <c r="M7119">
        <v>20.405000000000001</v>
      </c>
      <c r="N7119">
        <v>11.592000000000001</v>
      </c>
      <c r="O7119" s="1" t="s">
        <v>40</v>
      </c>
      <c r="P7119" s="1" t="s">
        <v>11853</v>
      </c>
      <c r="Q7119" s="1" t="s">
        <v>11854</v>
      </c>
      <c r="R7119" s="1" t="s">
        <v>220</v>
      </c>
      <c r="S7119" s="1" t="s">
        <v>11855</v>
      </c>
      <c r="T7119" s="1" t="s">
        <v>11856</v>
      </c>
      <c r="U7119" s="2" t="s">
        <v>605</v>
      </c>
      <c r="V7119" s="2" t="s">
        <v>47</v>
      </c>
      <c r="W7119" s="2" t="s">
        <v>74</v>
      </c>
      <c r="X7119" s="2">
        <v>26.74</v>
      </c>
    </row>
    <row r="7120" spans="1:24" x14ac:dyDescent="0.3">
      <c r="A7120">
        <v>24934</v>
      </c>
      <c r="B7120" t="s">
        <v>13997</v>
      </c>
      <c r="C7120" s="3">
        <v>41482</v>
      </c>
      <c r="D7120" t="s">
        <v>148</v>
      </c>
      <c r="E7120">
        <v>16</v>
      </c>
      <c r="F7120" s="3">
        <f ca="1">41484+(RANDBETWEEN(1,10))</f>
        <v>41489</v>
      </c>
      <c r="G7120" t="s">
        <v>76</v>
      </c>
      <c r="H7120" t="s">
        <v>77</v>
      </c>
      <c r="I7120" t="s">
        <v>52</v>
      </c>
      <c r="J7120">
        <v>6836.13</v>
      </c>
      <c r="K7120">
        <v>7.0000000000000007E-2</v>
      </c>
      <c r="L7120">
        <v>0.38</v>
      </c>
      <c r="M7120">
        <v>92.05</v>
      </c>
      <c r="N7120">
        <v>592.43100000000004</v>
      </c>
      <c r="O7120" s="1" t="s">
        <v>225</v>
      </c>
      <c r="P7120" s="1" t="s">
        <v>3713</v>
      </c>
      <c r="Q7120" s="1" t="s">
        <v>3714</v>
      </c>
      <c r="R7120" s="1" t="s">
        <v>228</v>
      </c>
      <c r="S7120" s="1" t="s">
        <v>3715</v>
      </c>
      <c r="T7120" s="1" t="s">
        <v>3716</v>
      </c>
      <c r="U7120" s="2" t="s">
        <v>7068</v>
      </c>
      <c r="V7120" s="2" t="s">
        <v>36</v>
      </c>
      <c r="W7120" s="2" t="s">
        <v>142</v>
      </c>
      <c r="X7120" s="2">
        <v>423.39499999999998</v>
      </c>
    </row>
    <row r="7121" spans="1:24" x14ac:dyDescent="0.3">
      <c r="A7121">
        <v>24935</v>
      </c>
      <c r="B7121" t="s">
        <v>13998</v>
      </c>
      <c r="C7121" s="3">
        <v>40863</v>
      </c>
      <c r="D7121" t="s">
        <v>50</v>
      </c>
      <c r="E7121">
        <v>38</v>
      </c>
      <c r="F7121" s="3">
        <f ca="1">40863+(RANDBETWEEN(1,10))</f>
        <v>40864</v>
      </c>
      <c r="G7121" t="s">
        <v>26</v>
      </c>
      <c r="H7121" t="s">
        <v>51</v>
      </c>
      <c r="I7121" t="s">
        <v>52</v>
      </c>
      <c r="J7121">
        <v>942.65499999999997</v>
      </c>
      <c r="K7121">
        <v>0.1</v>
      </c>
      <c r="L7121">
        <v>0.69</v>
      </c>
      <c r="M7121">
        <v>19.355</v>
      </c>
      <c r="N7121">
        <v>1015.707</v>
      </c>
      <c r="O7121" s="1" t="s">
        <v>40</v>
      </c>
      <c r="P7121" s="1" t="s">
        <v>11659</v>
      </c>
      <c r="Q7121" s="1" t="s">
        <v>11660</v>
      </c>
      <c r="R7121" s="1" t="s">
        <v>43</v>
      </c>
      <c r="S7121" s="1" t="s">
        <v>2055</v>
      </c>
      <c r="T7121" s="1" t="s">
        <v>2056</v>
      </c>
      <c r="U7121" s="2" t="s">
        <v>3244</v>
      </c>
      <c r="V7121" s="2" t="s">
        <v>36</v>
      </c>
      <c r="W7121" s="2" t="s">
        <v>60</v>
      </c>
      <c r="X7121" s="2">
        <v>25.795000000000002</v>
      </c>
    </row>
    <row r="7122" spans="1:24" x14ac:dyDescent="0.3">
      <c r="A7122">
        <v>24936</v>
      </c>
      <c r="B7122" t="s">
        <v>13999</v>
      </c>
      <c r="C7122" s="3">
        <v>41660</v>
      </c>
      <c r="D7122" t="s">
        <v>62</v>
      </c>
      <c r="E7122">
        <v>3</v>
      </c>
      <c r="F7122" s="3">
        <f ca="1">41662+(RANDBETWEEN(1,10))</f>
        <v>41671</v>
      </c>
      <c r="G7122" t="s">
        <v>26</v>
      </c>
      <c r="H7122" t="s">
        <v>27</v>
      </c>
      <c r="I7122" t="s">
        <v>97</v>
      </c>
      <c r="J7122">
        <v>85.54</v>
      </c>
      <c r="K7122">
        <v>0.04</v>
      </c>
      <c r="L7122">
        <v>0.35</v>
      </c>
      <c r="M7122">
        <v>16.484999999999999</v>
      </c>
      <c r="N7122">
        <v>-36.883490000000002</v>
      </c>
      <c r="O7122" s="1" t="s">
        <v>64</v>
      </c>
      <c r="P7122" s="1" t="s">
        <v>12923</v>
      </c>
      <c r="Q7122" s="1" t="s">
        <v>12924</v>
      </c>
      <c r="R7122" s="1" t="s">
        <v>128</v>
      </c>
      <c r="S7122" s="1" t="s">
        <v>2012</v>
      </c>
      <c r="T7122" s="1" t="s">
        <v>2013</v>
      </c>
      <c r="U7122" s="2" t="s">
        <v>2245</v>
      </c>
      <c r="V7122" s="2" t="s">
        <v>47</v>
      </c>
      <c r="W7122" s="2" t="s">
        <v>111</v>
      </c>
      <c r="X7122" s="2">
        <v>27.44</v>
      </c>
    </row>
    <row r="7123" spans="1:24" x14ac:dyDescent="0.3">
      <c r="A7123">
        <v>24937</v>
      </c>
      <c r="B7123" t="s">
        <v>14000</v>
      </c>
      <c r="C7123" s="3">
        <v>40564</v>
      </c>
      <c r="D7123" t="s">
        <v>62</v>
      </c>
      <c r="E7123">
        <v>9</v>
      </c>
      <c r="F7123" s="3">
        <f ca="1">40565+(RANDBETWEEN(1,10))</f>
        <v>40574</v>
      </c>
      <c r="G7123" t="s">
        <v>156</v>
      </c>
      <c r="H7123" t="s">
        <v>51</v>
      </c>
      <c r="I7123" t="s">
        <v>97</v>
      </c>
      <c r="J7123">
        <v>310.90499999999997</v>
      </c>
      <c r="K7123">
        <v>0.04</v>
      </c>
      <c r="L7123">
        <v>0.43</v>
      </c>
      <c r="M7123">
        <v>6.9649999999999999</v>
      </c>
      <c r="N7123">
        <v>214.52445</v>
      </c>
      <c r="O7123" s="1" t="s">
        <v>64</v>
      </c>
      <c r="P7123" s="1" t="s">
        <v>12923</v>
      </c>
      <c r="Q7123" s="1" t="s">
        <v>12924</v>
      </c>
      <c r="R7123" s="1" t="s">
        <v>128</v>
      </c>
      <c r="S7123" s="1" t="s">
        <v>2012</v>
      </c>
      <c r="T7123" s="1" t="s">
        <v>2013</v>
      </c>
      <c r="U7123" s="2" t="s">
        <v>237</v>
      </c>
      <c r="V7123" s="2" t="s">
        <v>36</v>
      </c>
      <c r="W7123" s="2" t="s">
        <v>60</v>
      </c>
      <c r="X7123" s="2">
        <v>34.229999999999997</v>
      </c>
    </row>
    <row r="7124" spans="1:24" x14ac:dyDescent="0.3">
      <c r="A7124">
        <v>24938</v>
      </c>
      <c r="B7124" t="s">
        <v>14001</v>
      </c>
      <c r="C7124" s="3">
        <v>41718</v>
      </c>
      <c r="D7124" t="s">
        <v>62</v>
      </c>
      <c r="E7124">
        <v>4</v>
      </c>
      <c r="F7124" s="3">
        <f ca="1">41719+(RANDBETWEEN(1,10))</f>
        <v>41722</v>
      </c>
      <c r="G7124" t="s">
        <v>26</v>
      </c>
      <c r="H7124" t="s">
        <v>96</v>
      </c>
      <c r="I7124" t="s">
        <v>28</v>
      </c>
      <c r="J7124">
        <v>38.604999999999997</v>
      </c>
      <c r="K7124">
        <v>0.04</v>
      </c>
      <c r="L7124">
        <v>0.59</v>
      </c>
      <c r="M7124">
        <v>4.55</v>
      </c>
      <c r="N7124">
        <v>-21.77</v>
      </c>
      <c r="O7124" s="1" t="s">
        <v>87</v>
      </c>
      <c r="P7124" s="1" t="s">
        <v>11062</v>
      </c>
      <c r="Q7124" s="1" t="s">
        <v>11063</v>
      </c>
      <c r="R7124" s="1" t="s">
        <v>497</v>
      </c>
      <c r="S7124" s="1" t="s">
        <v>11064</v>
      </c>
      <c r="T7124" s="1" t="s">
        <v>11065</v>
      </c>
      <c r="U7124" s="2" t="s">
        <v>3220</v>
      </c>
      <c r="V7124" s="2" t="s">
        <v>47</v>
      </c>
      <c r="W7124" s="2" t="s">
        <v>104</v>
      </c>
      <c r="X7124" s="2">
        <v>9.0299999999999994</v>
      </c>
    </row>
    <row r="7125" spans="1:24" x14ac:dyDescent="0.3">
      <c r="A7125">
        <v>24939</v>
      </c>
      <c r="B7125" t="s">
        <v>14002</v>
      </c>
      <c r="C7125" s="3">
        <v>40653</v>
      </c>
      <c r="D7125" t="s">
        <v>39</v>
      </c>
      <c r="E7125">
        <v>9</v>
      </c>
      <c r="F7125" s="3">
        <f ca="1">40653+(RANDBETWEEN(1,10))</f>
        <v>40658</v>
      </c>
      <c r="G7125" t="s">
        <v>156</v>
      </c>
      <c r="H7125" t="s">
        <v>27</v>
      </c>
      <c r="I7125" t="s">
        <v>97</v>
      </c>
      <c r="J7125">
        <v>135.27500000000001</v>
      </c>
      <c r="K7125">
        <v>0.03</v>
      </c>
      <c r="L7125">
        <v>0.39</v>
      </c>
      <c r="M7125">
        <v>8.75</v>
      </c>
      <c r="N7125">
        <v>-7688.3940000000002</v>
      </c>
      <c r="O7125" s="1" t="s">
        <v>64</v>
      </c>
      <c r="P7125" s="1" t="s">
        <v>7841</v>
      </c>
      <c r="Q7125" s="1" t="s">
        <v>7842</v>
      </c>
      <c r="R7125" s="1" t="s">
        <v>128</v>
      </c>
      <c r="S7125" s="1" t="s">
        <v>4272</v>
      </c>
      <c r="T7125" s="1" t="s">
        <v>4273</v>
      </c>
      <c r="U7125" s="2" t="s">
        <v>7012</v>
      </c>
      <c r="V7125" s="2" t="s">
        <v>47</v>
      </c>
      <c r="W7125" s="2" t="s">
        <v>48</v>
      </c>
      <c r="X7125" s="2">
        <v>12.914999999999999</v>
      </c>
    </row>
    <row r="7126" spans="1:24" x14ac:dyDescent="0.3">
      <c r="A7126">
        <v>24940</v>
      </c>
      <c r="B7126" t="s">
        <v>14003</v>
      </c>
      <c r="C7126" s="3">
        <v>41715</v>
      </c>
      <c r="D7126" t="s">
        <v>25</v>
      </c>
      <c r="E7126">
        <v>7</v>
      </c>
      <c r="F7126" s="3">
        <f ca="1">41719+(RANDBETWEEN(1,10))</f>
        <v>41729</v>
      </c>
      <c r="G7126" t="s">
        <v>26</v>
      </c>
      <c r="H7126" t="s">
        <v>77</v>
      </c>
      <c r="I7126" t="s">
        <v>52</v>
      </c>
      <c r="J7126">
        <v>617.15499999999997</v>
      </c>
      <c r="K7126">
        <v>0.08</v>
      </c>
      <c r="L7126">
        <v>0.62</v>
      </c>
      <c r="M7126">
        <v>19.53</v>
      </c>
      <c r="N7126">
        <v>425.83695</v>
      </c>
      <c r="O7126" s="1" t="s">
        <v>87</v>
      </c>
      <c r="P7126" s="1" t="s">
        <v>12382</v>
      </c>
      <c r="Q7126" s="1" t="s">
        <v>12383</v>
      </c>
      <c r="R7126" s="1" t="s">
        <v>646</v>
      </c>
      <c r="S7126" s="1" t="s">
        <v>12384</v>
      </c>
      <c r="T7126" s="1" t="s">
        <v>3195</v>
      </c>
      <c r="U7126" s="2" t="s">
        <v>7937</v>
      </c>
      <c r="V7126" s="2" t="s">
        <v>83</v>
      </c>
      <c r="W7126" s="2" t="s">
        <v>178</v>
      </c>
      <c r="X7126" s="2">
        <v>92.33</v>
      </c>
    </row>
    <row r="7127" spans="1:24" x14ac:dyDescent="0.3">
      <c r="A7127">
        <v>24941</v>
      </c>
      <c r="B7127" t="s">
        <v>14004</v>
      </c>
      <c r="C7127" s="3">
        <v>40559</v>
      </c>
      <c r="D7127" t="s">
        <v>148</v>
      </c>
      <c r="E7127">
        <v>9</v>
      </c>
      <c r="F7127" s="3">
        <f ca="1">40560+(RANDBETWEEN(1,10))</f>
        <v>40566</v>
      </c>
      <c r="G7127" t="s">
        <v>26</v>
      </c>
      <c r="H7127" t="s">
        <v>27</v>
      </c>
      <c r="I7127" t="s">
        <v>97</v>
      </c>
      <c r="J7127">
        <v>453.39</v>
      </c>
      <c r="K7127">
        <v>0</v>
      </c>
      <c r="L7127">
        <v>0.56999999999999995</v>
      </c>
      <c r="M7127">
        <v>19.25</v>
      </c>
      <c r="N7127">
        <v>-888.22299999999996</v>
      </c>
      <c r="O7127" s="1" t="s">
        <v>87</v>
      </c>
      <c r="P7127" s="1" t="s">
        <v>14005</v>
      </c>
      <c r="Q7127" s="1" t="s">
        <v>14006</v>
      </c>
      <c r="R7127" s="1" t="s">
        <v>646</v>
      </c>
      <c r="S7127" s="1" t="s">
        <v>6307</v>
      </c>
      <c r="T7127" s="1" t="s">
        <v>6308</v>
      </c>
      <c r="U7127" s="2" t="s">
        <v>3384</v>
      </c>
      <c r="V7127" s="2" t="s">
        <v>47</v>
      </c>
      <c r="W7127" s="2" t="s">
        <v>119</v>
      </c>
      <c r="X7127" s="2">
        <v>47.005000000000003</v>
      </c>
    </row>
    <row r="7128" spans="1:24" x14ac:dyDescent="0.3">
      <c r="A7128">
        <v>24942</v>
      </c>
      <c r="B7128" t="s">
        <v>14007</v>
      </c>
      <c r="C7128" s="3">
        <v>41259</v>
      </c>
      <c r="D7128" t="s">
        <v>39</v>
      </c>
      <c r="E7128">
        <v>6</v>
      </c>
      <c r="F7128" s="3">
        <f ca="1">41260+(RANDBETWEEN(1,10))</f>
        <v>41266</v>
      </c>
      <c r="G7128" t="s">
        <v>26</v>
      </c>
      <c r="H7128" t="s">
        <v>27</v>
      </c>
      <c r="I7128" t="s">
        <v>28</v>
      </c>
      <c r="J7128">
        <v>888.02</v>
      </c>
      <c r="K7128">
        <v>0.05</v>
      </c>
      <c r="L7128">
        <v>0.36</v>
      </c>
      <c r="M7128">
        <v>10.465</v>
      </c>
      <c r="N7128">
        <v>612.73379999999997</v>
      </c>
      <c r="O7128" s="1" t="s">
        <v>40</v>
      </c>
      <c r="P7128" s="1" t="s">
        <v>5197</v>
      </c>
      <c r="Q7128" s="1" t="s">
        <v>5198</v>
      </c>
      <c r="R7128" s="1" t="s">
        <v>43</v>
      </c>
      <c r="S7128" s="1" t="s">
        <v>802</v>
      </c>
      <c r="T7128" s="1" t="s">
        <v>803</v>
      </c>
      <c r="U7128" s="2" t="s">
        <v>4432</v>
      </c>
      <c r="V7128" s="2" t="s">
        <v>47</v>
      </c>
      <c r="W7128" s="2" t="s">
        <v>111</v>
      </c>
      <c r="X7128" s="2">
        <v>149.80000000000001</v>
      </c>
    </row>
    <row r="7129" spans="1:24" x14ac:dyDescent="0.3">
      <c r="A7129">
        <v>24943</v>
      </c>
      <c r="B7129" t="s">
        <v>14008</v>
      </c>
      <c r="C7129" s="3">
        <v>41340</v>
      </c>
      <c r="D7129" t="s">
        <v>25</v>
      </c>
      <c r="E7129">
        <v>9</v>
      </c>
      <c r="F7129" s="3">
        <f ca="1">41345+(RANDBETWEEN(1,10))</f>
        <v>41347</v>
      </c>
      <c r="G7129" t="s">
        <v>26</v>
      </c>
      <c r="H7129" t="s">
        <v>27</v>
      </c>
      <c r="I7129" t="s">
        <v>97</v>
      </c>
      <c r="J7129">
        <v>1615.11</v>
      </c>
      <c r="K7129">
        <v>0.1</v>
      </c>
      <c r="L7129">
        <v>0.36</v>
      </c>
      <c r="M7129">
        <v>37.625</v>
      </c>
      <c r="N7129">
        <v>359.73</v>
      </c>
      <c r="O7129" s="1" t="s">
        <v>29</v>
      </c>
      <c r="P7129" s="1" t="s">
        <v>8924</v>
      </c>
      <c r="Q7129" s="1" t="s">
        <v>8925</v>
      </c>
      <c r="R7129" s="1" t="s">
        <v>32</v>
      </c>
      <c r="S7129" s="1" t="s">
        <v>8926</v>
      </c>
      <c r="T7129" s="1" t="s">
        <v>8927</v>
      </c>
      <c r="U7129" s="2" t="s">
        <v>5401</v>
      </c>
      <c r="V7129" s="2" t="s">
        <v>47</v>
      </c>
      <c r="W7129" s="2" t="s">
        <v>74</v>
      </c>
      <c r="X7129" s="2">
        <v>192.36</v>
      </c>
    </row>
    <row r="7130" spans="1:24" x14ac:dyDescent="0.3">
      <c r="A7130">
        <v>24944</v>
      </c>
      <c r="B7130" t="s">
        <v>14009</v>
      </c>
      <c r="C7130" s="3">
        <v>41300</v>
      </c>
      <c r="D7130" t="s">
        <v>25</v>
      </c>
      <c r="E7130">
        <v>4</v>
      </c>
      <c r="F7130" s="3">
        <f ca="1">41307+(RANDBETWEEN(1,10))</f>
        <v>41315</v>
      </c>
      <c r="G7130" t="s">
        <v>76</v>
      </c>
      <c r="H7130" t="s">
        <v>77</v>
      </c>
      <c r="I7130" t="s">
        <v>97</v>
      </c>
      <c r="J7130">
        <v>1639.365</v>
      </c>
      <c r="K7130">
        <v>0.01</v>
      </c>
      <c r="L7130">
        <v>0.69</v>
      </c>
      <c r="M7130">
        <v>105</v>
      </c>
      <c r="N7130">
        <v>-439.16460000000001</v>
      </c>
      <c r="O7130" s="1" t="s">
        <v>53</v>
      </c>
      <c r="P7130" s="1" t="s">
        <v>11940</v>
      </c>
      <c r="Q7130" s="1" t="s">
        <v>11941</v>
      </c>
      <c r="R7130" s="1" t="s">
        <v>100</v>
      </c>
      <c r="S7130" s="1" t="s">
        <v>11026</v>
      </c>
      <c r="T7130" s="1" t="s">
        <v>11027</v>
      </c>
      <c r="U7130" s="2" t="s">
        <v>1513</v>
      </c>
      <c r="V7130" s="2" t="s">
        <v>83</v>
      </c>
      <c r="W7130" s="2" t="s">
        <v>84</v>
      </c>
      <c r="X7130" s="2">
        <v>398.93</v>
      </c>
    </row>
    <row r="7131" spans="1:24" x14ac:dyDescent="0.3">
      <c r="A7131">
        <v>24945</v>
      </c>
      <c r="B7131" t="s">
        <v>14010</v>
      </c>
      <c r="C7131" s="3">
        <v>41706</v>
      </c>
      <c r="D7131" t="s">
        <v>50</v>
      </c>
      <c r="E7131">
        <v>8</v>
      </c>
      <c r="F7131" s="3">
        <f ca="1">41707+(RANDBETWEEN(1,10))</f>
        <v>41710</v>
      </c>
      <c r="G7131" t="s">
        <v>76</v>
      </c>
      <c r="H7131" t="s">
        <v>258</v>
      </c>
      <c r="I7131" t="s">
        <v>97</v>
      </c>
      <c r="J7131">
        <v>4406.5</v>
      </c>
      <c r="K7131">
        <v>0.03</v>
      </c>
      <c r="L7131">
        <v>0.65</v>
      </c>
      <c r="M7131">
        <v>231.94499999999999</v>
      </c>
      <c r="N7131">
        <v>-1819.79</v>
      </c>
      <c r="O7131" s="1" t="s">
        <v>64</v>
      </c>
      <c r="P7131" s="1" t="s">
        <v>11200</v>
      </c>
      <c r="Q7131" s="1" t="s">
        <v>11201</v>
      </c>
      <c r="R7131" s="1" t="s">
        <v>128</v>
      </c>
      <c r="S7131" s="1" t="s">
        <v>11202</v>
      </c>
      <c r="T7131" s="1" t="s">
        <v>11203</v>
      </c>
      <c r="U7131" s="2" t="s">
        <v>3398</v>
      </c>
      <c r="V7131" s="2" t="s">
        <v>83</v>
      </c>
      <c r="W7131" s="2" t="s">
        <v>298</v>
      </c>
      <c r="X7131" s="2">
        <v>528.42999999999995</v>
      </c>
    </row>
    <row r="7132" spans="1:24" x14ac:dyDescent="0.3">
      <c r="A7132">
        <v>24946</v>
      </c>
      <c r="B7132" t="s">
        <v>14011</v>
      </c>
      <c r="C7132" s="3">
        <v>41763</v>
      </c>
      <c r="D7132" t="s">
        <v>148</v>
      </c>
      <c r="E7132">
        <v>2</v>
      </c>
      <c r="F7132" s="3">
        <f ca="1">41764+(RANDBETWEEN(1,10))</f>
        <v>41772</v>
      </c>
      <c r="G7132" t="s">
        <v>26</v>
      </c>
      <c r="H7132" t="s">
        <v>27</v>
      </c>
      <c r="I7132" t="s">
        <v>52</v>
      </c>
      <c r="J7132">
        <v>1232.7349999999999</v>
      </c>
      <c r="K7132">
        <v>0.06</v>
      </c>
      <c r="L7132">
        <v>0.56000000000000005</v>
      </c>
      <c r="M7132">
        <v>31.465</v>
      </c>
      <c r="N7132">
        <v>-3067.7919999999999</v>
      </c>
      <c r="O7132" s="1" t="s">
        <v>225</v>
      </c>
      <c r="P7132" s="1" t="s">
        <v>5757</v>
      </c>
      <c r="Q7132" s="1" t="s">
        <v>5758</v>
      </c>
      <c r="R7132" s="1" t="s">
        <v>228</v>
      </c>
      <c r="S7132" s="1" t="s">
        <v>1658</v>
      </c>
      <c r="T7132" s="1" t="s">
        <v>1659</v>
      </c>
      <c r="U7132" s="2" t="s">
        <v>4735</v>
      </c>
      <c r="V7132" s="2" t="s">
        <v>36</v>
      </c>
      <c r="W7132" s="2" t="s">
        <v>37</v>
      </c>
      <c r="X7132" s="2">
        <v>720.96500000000003</v>
      </c>
    </row>
    <row r="7133" spans="1:24" x14ac:dyDescent="0.3">
      <c r="A7133">
        <v>24947</v>
      </c>
      <c r="B7133" t="s">
        <v>14012</v>
      </c>
      <c r="C7133" s="3">
        <v>41721</v>
      </c>
      <c r="D7133" t="s">
        <v>50</v>
      </c>
      <c r="E7133">
        <v>10</v>
      </c>
      <c r="F7133" s="3">
        <f ca="1">41722+(RANDBETWEEN(1,10))</f>
        <v>41724</v>
      </c>
      <c r="G7133" t="s">
        <v>26</v>
      </c>
      <c r="H7133" t="s">
        <v>27</v>
      </c>
      <c r="I7133" t="s">
        <v>52</v>
      </c>
      <c r="J7133">
        <v>362.32</v>
      </c>
      <c r="K7133">
        <v>0.06</v>
      </c>
      <c r="L7133">
        <v>0.59</v>
      </c>
      <c r="M7133">
        <v>15.75</v>
      </c>
      <c r="N7133">
        <v>-154.45500000000001</v>
      </c>
      <c r="O7133" s="1" t="s">
        <v>87</v>
      </c>
      <c r="P7133" s="1" t="s">
        <v>8814</v>
      </c>
      <c r="Q7133" s="1" t="s">
        <v>8815</v>
      </c>
      <c r="R7133" s="1" t="s">
        <v>90</v>
      </c>
      <c r="S7133" s="1" t="s">
        <v>5875</v>
      </c>
      <c r="T7133" s="1" t="s">
        <v>5876</v>
      </c>
      <c r="U7133" s="2" t="s">
        <v>767</v>
      </c>
      <c r="V7133" s="2" t="s">
        <v>47</v>
      </c>
      <c r="W7133" s="2" t="s">
        <v>71</v>
      </c>
      <c r="X7133" s="2">
        <v>38.115000000000002</v>
      </c>
    </row>
    <row r="7134" spans="1:24" x14ac:dyDescent="0.3">
      <c r="A7134">
        <v>24948</v>
      </c>
      <c r="B7134" t="s">
        <v>14012</v>
      </c>
      <c r="C7134" s="3">
        <v>41721</v>
      </c>
      <c r="D7134" t="s">
        <v>50</v>
      </c>
      <c r="E7134">
        <v>1</v>
      </c>
      <c r="F7134" s="3">
        <f ca="1">41723+(RANDBETWEEN(1,10))</f>
        <v>41729</v>
      </c>
      <c r="G7134" t="s">
        <v>26</v>
      </c>
      <c r="H7134" t="s">
        <v>51</v>
      </c>
      <c r="I7134" t="s">
        <v>52</v>
      </c>
      <c r="J7134">
        <v>101.325</v>
      </c>
      <c r="K7134">
        <v>0.05</v>
      </c>
      <c r="L7134">
        <v>0.4</v>
      </c>
      <c r="M7134">
        <v>6.9649999999999999</v>
      </c>
      <c r="N7134">
        <v>-235.27</v>
      </c>
      <c r="O7134" s="1" t="s">
        <v>87</v>
      </c>
      <c r="P7134" s="1" t="s">
        <v>8814</v>
      </c>
      <c r="Q7134" s="1" t="s">
        <v>8815</v>
      </c>
      <c r="R7134" s="1" t="s">
        <v>90</v>
      </c>
      <c r="S7134" s="1" t="s">
        <v>5875</v>
      </c>
      <c r="T7134" s="1" t="s">
        <v>5876</v>
      </c>
      <c r="U7134" s="2" t="s">
        <v>1109</v>
      </c>
      <c r="V7134" s="2" t="s">
        <v>36</v>
      </c>
      <c r="W7134" s="2" t="s">
        <v>60</v>
      </c>
      <c r="X7134" s="2">
        <v>99.68</v>
      </c>
    </row>
    <row r="7135" spans="1:24" x14ac:dyDescent="0.3">
      <c r="A7135">
        <v>24949</v>
      </c>
      <c r="B7135" t="s">
        <v>14012</v>
      </c>
      <c r="C7135" s="3">
        <v>41721</v>
      </c>
      <c r="D7135" t="s">
        <v>50</v>
      </c>
      <c r="E7135">
        <v>11</v>
      </c>
      <c r="F7135" s="3">
        <f ca="1">41723+(RANDBETWEEN(1,10))</f>
        <v>41731</v>
      </c>
      <c r="G7135" t="s">
        <v>26</v>
      </c>
      <c r="H7135" t="s">
        <v>27</v>
      </c>
      <c r="I7135" t="s">
        <v>52</v>
      </c>
      <c r="J7135">
        <v>113.19</v>
      </c>
      <c r="K7135">
        <v>0.02</v>
      </c>
      <c r="L7135">
        <v>0.36</v>
      </c>
      <c r="M7135">
        <v>5.2149999999999999</v>
      </c>
      <c r="N7135">
        <v>38.198999999999998</v>
      </c>
      <c r="O7135" s="1" t="s">
        <v>53</v>
      </c>
      <c r="P7135" s="1" t="s">
        <v>4705</v>
      </c>
      <c r="Q7135" s="1" t="s">
        <v>4706</v>
      </c>
      <c r="R7135" s="1" t="s">
        <v>100</v>
      </c>
      <c r="S7135" s="1" t="s">
        <v>4707</v>
      </c>
      <c r="T7135" s="1" t="s">
        <v>4708</v>
      </c>
      <c r="U7135" s="2" t="s">
        <v>2339</v>
      </c>
      <c r="V7135" s="2" t="s">
        <v>47</v>
      </c>
      <c r="W7135" s="2" t="s">
        <v>111</v>
      </c>
      <c r="X7135" s="2">
        <v>10.08</v>
      </c>
    </row>
    <row r="7136" spans="1:24" x14ac:dyDescent="0.3">
      <c r="A7136">
        <v>24950</v>
      </c>
      <c r="B7136" t="s">
        <v>14013</v>
      </c>
      <c r="C7136" s="3">
        <v>41128</v>
      </c>
      <c r="D7136" t="s">
        <v>148</v>
      </c>
      <c r="E7136">
        <v>8</v>
      </c>
      <c r="F7136" s="3">
        <f ca="1">41129+(RANDBETWEEN(1,10))</f>
        <v>41136</v>
      </c>
      <c r="G7136" t="s">
        <v>26</v>
      </c>
      <c r="H7136" t="s">
        <v>27</v>
      </c>
      <c r="I7136" t="s">
        <v>97</v>
      </c>
      <c r="J7136">
        <v>322.94499999999999</v>
      </c>
      <c r="K7136">
        <v>0.05</v>
      </c>
      <c r="L7136">
        <v>0.64</v>
      </c>
      <c r="M7136">
        <v>22.75</v>
      </c>
      <c r="N7136">
        <v>-184.16159999999999</v>
      </c>
      <c r="O7136" s="1" t="s">
        <v>29</v>
      </c>
      <c r="P7136" s="1" t="s">
        <v>11759</v>
      </c>
      <c r="Q7136" s="1" t="s">
        <v>11760</v>
      </c>
      <c r="R7136" s="1" t="s">
        <v>32</v>
      </c>
      <c r="S7136" s="1" t="s">
        <v>11761</v>
      </c>
      <c r="T7136" s="1" t="s">
        <v>1929</v>
      </c>
      <c r="U7136" s="2" t="s">
        <v>337</v>
      </c>
      <c r="V7136" s="2" t="s">
        <v>36</v>
      </c>
      <c r="W7136" s="2" t="s">
        <v>60</v>
      </c>
      <c r="X7136" s="2">
        <v>38.395000000000003</v>
      </c>
    </row>
    <row r="7137" spans="1:24" x14ac:dyDescent="0.3">
      <c r="A7137">
        <v>24951</v>
      </c>
      <c r="B7137" t="s">
        <v>14014</v>
      </c>
      <c r="C7137" s="3">
        <v>40761</v>
      </c>
      <c r="D7137" t="s">
        <v>25</v>
      </c>
      <c r="E7137">
        <v>21</v>
      </c>
      <c r="F7137" s="3">
        <f ca="1">40765+(RANDBETWEEN(1,10))</f>
        <v>40771</v>
      </c>
      <c r="G7137" t="s">
        <v>156</v>
      </c>
      <c r="H7137" t="s">
        <v>51</v>
      </c>
      <c r="I7137" t="s">
        <v>97</v>
      </c>
      <c r="J7137">
        <v>414.22500000000002</v>
      </c>
      <c r="K7137">
        <v>0.1</v>
      </c>
      <c r="L7137">
        <v>0.56000000000000005</v>
      </c>
      <c r="M7137">
        <v>12.6</v>
      </c>
      <c r="N7137">
        <v>-116.5346</v>
      </c>
      <c r="O7137" s="1" t="s">
        <v>29</v>
      </c>
      <c r="P7137" s="1" t="s">
        <v>8759</v>
      </c>
      <c r="Q7137" s="1" t="s">
        <v>8760</v>
      </c>
      <c r="R7137" s="1" t="s">
        <v>32</v>
      </c>
      <c r="S7137" s="1" t="s">
        <v>8761</v>
      </c>
      <c r="T7137" s="1" t="s">
        <v>8762</v>
      </c>
      <c r="U7137" s="2" t="s">
        <v>4710</v>
      </c>
      <c r="V7137" s="2" t="s">
        <v>47</v>
      </c>
      <c r="W7137" s="2" t="s">
        <v>94</v>
      </c>
      <c r="X7137" s="2">
        <v>19.88</v>
      </c>
    </row>
    <row r="7138" spans="1:24" x14ac:dyDescent="0.3">
      <c r="A7138">
        <v>24952</v>
      </c>
      <c r="B7138" t="s">
        <v>14015</v>
      </c>
      <c r="C7138" s="3">
        <v>40879</v>
      </c>
      <c r="D7138" t="s">
        <v>25</v>
      </c>
      <c r="E7138">
        <v>12</v>
      </c>
      <c r="F7138" s="3">
        <f ca="1">40886+(RANDBETWEEN(1,10))</f>
        <v>40891</v>
      </c>
      <c r="G7138" t="s">
        <v>26</v>
      </c>
      <c r="H7138" t="s">
        <v>96</v>
      </c>
      <c r="I7138" t="s">
        <v>97</v>
      </c>
      <c r="J7138">
        <v>156.625</v>
      </c>
      <c r="K7138">
        <v>0.06</v>
      </c>
      <c r="L7138">
        <v>0.83</v>
      </c>
      <c r="M7138">
        <v>3.29</v>
      </c>
      <c r="N7138">
        <v>-26.897500000000001</v>
      </c>
      <c r="O7138" s="1" t="s">
        <v>225</v>
      </c>
      <c r="P7138" s="1" t="s">
        <v>12254</v>
      </c>
      <c r="Q7138" s="1" t="s">
        <v>12255</v>
      </c>
      <c r="R7138" s="1" t="s">
        <v>391</v>
      </c>
      <c r="S7138" s="1" t="s">
        <v>12256</v>
      </c>
      <c r="T7138" s="1" t="s">
        <v>12257</v>
      </c>
      <c r="U7138" s="2" t="s">
        <v>12066</v>
      </c>
      <c r="V7138" s="2" t="s">
        <v>47</v>
      </c>
      <c r="W7138" s="2" t="s">
        <v>176</v>
      </c>
      <c r="X7138" s="2">
        <v>13.09</v>
      </c>
    </row>
    <row r="7139" spans="1:24" x14ac:dyDescent="0.3">
      <c r="A7139">
        <v>24953</v>
      </c>
      <c r="B7139" t="s">
        <v>14016</v>
      </c>
      <c r="C7139" s="3">
        <v>40547</v>
      </c>
      <c r="D7139" t="s">
        <v>39</v>
      </c>
      <c r="E7139">
        <v>1</v>
      </c>
      <c r="F7139" s="3">
        <f ca="1">40548+(RANDBETWEEN(1,10))</f>
        <v>40553</v>
      </c>
      <c r="G7139" t="s">
        <v>76</v>
      </c>
      <c r="H7139" t="s">
        <v>77</v>
      </c>
      <c r="I7139" t="s">
        <v>97</v>
      </c>
      <c r="J7139">
        <v>1212.82</v>
      </c>
      <c r="K7139">
        <v>0.06</v>
      </c>
      <c r="L7139">
        <v>0.61</v>
      </c>
      <c r="M7139">
        <v>105</v>
      </c>
      <c r="N7139">
        <v>-1712.9546</v>
      </c>
      <c r="O7139" s="1" t="s">
        <v>87</v>
      </c>
      <c r="P7139" s="1" t="s">
        <v>11870</v>
      </c>
      <c r="Q7139" s="1" t="s">
        <v>11871</v>
      </c>
      <c r="R7139" s="1" t="s">
        <v>398</v>
      </c>
      <c r="S7139" s="1" t="s">
        <v>11872</v>
      </c>
      <c r="T7139" s="1" t="s">
        <v>11873</v>
      </c>
      <c r="U7139" s="2" t="s">
        <v>8147</v>
      </c>
      <c r="V7139" s="2" t="s">
        <v>83</v>
      </c>
      <c r="W7139" s="2" t="s">
        <v>84</v>
      </c>
      <c r="X7139" s="2">
        <v>1228.43</v>
      </c>
    </row>
    <row r="7140" spans="1:24" x14ac:dyDescent="0.3">
      <c r="A7140">
        <v>24954</v>
      </c>
      <c r="B7140" t="s">
        <v>14017</v>
      </c>
      <c r="C7140" s="3">
        <v>40809</v>
      </c>
      <c r="D7140" t="s">
        <v>50</v>
      </c>
      <c r="E7140">
        <v>15</v>
      </c>
      <c r="F7140" s="3">
        <f ca="1">40810+(RANDBETWEEN(1,10))</f>
        <v>40815</v>
      </c>
      <c r="G7140" t="s">
        <v>26</v>
      </c>
      <c r="H7140" t="s">
        <v>27</v>
      </c>
      <c r="I7140" t="s">
        <v>28</v>
      </c>
      <c r="J7140">
        <v>3165.085</v>
      </c>
      <c r="K7140">
        <v>0.04</v>
      </c>
      <c r="L7140">
        <v>0.56000000000000005</v>
      </c>
      <c r="M7140">
        <v>15.75</v>
      </c>
      <c r="N7140">
        <v>277.9812</v>
      </c>
      <c r="O7140" s="1" t="s">
        <v>29</v>
      </c>
      <c r="P7140" s="1" t="s">
        <v>10936</v>
      </c>
      <c r="Q7140" s="1" t="s">
        <v>10937</v>
      </c>
      <c r="R7140" s="1" t="s">
        <v>32</v>
      </c>
      <c r="S7140" s="1" t="s">
        <v>10938</v>
      </c>
      <c r="T7140" s="1" t="s">
        <v>10939</v>
      </c>
      <c r="U7140" s="2" t="s">
        <v>1654</v>
      </c>
      <c r="V7140" s="2" t="s">
        <v>47</v>
      </c>
      <c r="W7140" s="2" t="s">
        <v>71</v>
      </c>
      <c r="X7140" s="2">
        <v>213.39500000000001</v>
      </c>
    </row>
    <row r="7141" spans="1:24" x14ac:dyDescent="0.3">
      <c r="A7141">
        <v>24955</v>
      </c>
      <c r="B7141" t="s">
        <v>14018</v>
      </c>
      <c r="C7141" s="3">
        <v>41548</v>
      </c>
      <c r="D7141" t="s">
        <v>148</v>
      </c>
      <c r="E7141">
        <v>1</v>
      </c>
      <c r="F7141" s="3">
        <f ca="1">41549+(RANDBETWEEN(1,10))</f>
        <v>41550</v>
      </c>
      <c r="G7141" t="s">
        <v>26</v>
      </c>
      <c r="H7141" t="s">
        <v>96</v>
      </c>
      <c r="I7141" t="s">
        <v>97</v>
      </c>
      <c r="J7141">
        <v>52.325000000000003</v>
      </c>
      <c r="K7141">
        <v>0.09</v>
      </c>
      <c r="L7141">
        <v>0.46</v>
      </c>
      <c r="M7141">
        <v>18.55</v>
      </c>
      <c r="N7141">
        <v>64.596000000000004</v>
      </c>
      <c r="O7141" s="1" t="s">
        <v>29</v>
      </c>
      <c r="P7141" s="1" t="s">
        <v>13723</v>
      </c>
      <c r="Q7141" s="1" t="s">
        <v>13724</v>
      </c>
      <c r="R7141" s="1" t="s">
        <v>32</v>
      </c>
      <c r="S7141" s="1" t="s">
        <v>13725</v>
      </c>
      <c r="T7141" s="1" t="s">
        <v>11298</v>
      </c>
      <c r="U7141" s="2" t="s">
        <v>2729</v>
      </c>
      <c r="V7141" s="2" t="s">
        <v>83</v>
      </c>
      <c r="W7141" s="2" t="s">
        <v>178</v>
      </c>
      <c r="X7141" s="2">
        <v>49.7</v>
      </c>
    </row>
    <row r="7142" spans="1:24" x14ac:dyDescent="0.3">
      <c r="A7142">
        <v>24956</v>
      </c>
      <c r="B7142" t="s">
        <v>14018</v>
      </c>
      <c r="C7142" s="3">
        <v>41548</v>
      </c>
      <c r="D7142" t="s">
        <v>148</v>
      </c>
      <c r="E7142">
        <v>6</v>
      </c>
      <c r="F7142" s="3">
        <f ca="1">41550+(RANDBETWEEN(1,10))</f>
        <v>41559</v>
      </c>
      <c r="G7142" t="s">
        <v>26</v>
      </c>
      <c r="H7142" t="s">
        <v>27</v>
      </c>
      <c r="I7142" t="s">
        <v>97</v>
      </c>
      <c r="J7142">
        <v>2069.585</v>
      </c>
      <c r="K7142">
        <v>0.02</v>
      </c>
      <c r="L7142">
        <v>0.57999999999999996</v>
      </c>
      <c r="M7142">
        <v>20.72</v>
      </c>
      <c r="N7142">
        <v>-299.58600000000001</v>
      </c>
      <c r="O7142" s="1" t="s">
        <v>29</v>
      </c>
      <c r="P7142" s="1" t="s">
        <v>13723</v>
      </c>
      <c r="Q7142" s="1" t="s">
        <v>13724</v>
      </c>
      <c r="R7142" s="1" t="s">
        <v>32</v>
      </c>
      <c r="S7142" s="1" t="s">
        <v>13725</v>
      </c>
      <c r="T7142" s="1" t="s">
        <v>11298</v>
      </c>
      <c r="U7142" s="2">
        <v>8890</v>
      </c>
      <c r="V7142" s="2" t="s">
        <v>36</v>
      </c>
      <c r="W7142" s="2" t="s">
        <v>37</v>
      </c>
      <c r="X7142" s="2">
        <v>405.96499999999997</v>
      </c>
    </row>
    <row r="7143" spans="1:24" x14ac:dyDescent="0.3">
      <c r="A7143">
        <v>24957</v>
      </c>
      <c r="B7143" t="s">
        <v>14018</v>
      </c>
      <c r="C7143" s="3">
        <v>41548</v>
      </c>
      <c r="D7143" t="s">
        <v>148</v>
      </c>
      <c r="E7143">
        <v>19</v>
      </c>
      <c r="F7143" s="3">
        <f ca="1">41550+(RANDBETWEEN(1,10))</f>
        <v>41551</v>
      </c>
      <c r="G7143" t="s">
        <v>156</v>
      </c>
      <c r="H7143" t="s">
        <v>27</v>
      </c>
      <c r="I7143" t="s">
        <v>97</v>
      </c>
      <c r="J7143">
        <v>1243.095</v>
      </c>
      <c r="K7143">
        <v>0.09</v>
      </c>
      <c r="L7143">
        <v>0.37</v>
      </c>
      <c r="M7143">
        <v>31.605</v>
      </c>
      <c r="N7143">
        <v>47.523000000000003</v>
      </c>
      <c r="O7143" s="1" t="s">
        <v>64</v>
      </c>
      <c r="P7143" s="1" t="s">
        <v>14019</v>
      </c>
      <c r="Q7143" s="1" t="s">
        <v>14020</v>
      </c>
      <c r="R7143" s="1" t="s">
        <v>67</v>
      </c>
      <c r="S7143" s="1" t="s">
        <v>14021</v>
      </c>
      <c r="T7143" s="1" t="s">
        <v>14022</v>
      </c>
      <c r="U7143" s="2" t="s">
        <v>482</v>
      </c>
      <c r="V7143" s="2" t="s">
        <v>47</v>
      </c>
      <c r="W7143" s="2" t="s">
        <v>74</v>
      </c>
      <c r="X7143" s="2">
        <v>66.394999999999996</v>
      </c>
    </row>
    <row r="7144" spans="1:24" x14ac:dyDescent="0.3">
      <c r="A7144">
        <v>24958</v>
      </c>
      <c r="B7144" t="s">
        <v>14023</v>
      </c>
      <c r="C7144" s="3">
        <v>41298</v>
      </c>
      <c r="D7144" t="s">
        <v>50</v>
      </c>
      <c r="E7144">
        <v>13</v>
      </c>
      <c r="F7144" s="3">
        <f ca="1">41299+(RANDBETWEEN(1,10))</f>
        <v>41304</v>
      </c>
      <c r="G7144" t="s">
        <v>26</v>
      </c>
      <c r="H7144" t="s">
        <v>281</v>
      </c>
      <c r="I7144" t="s">
        <v>28</v>
      </c>
      <c r="J7144">
        <v>1102.71</v>
      </c>
      <c r="K7144">
        <v>7.0000000000000007E-2</v>
      </c>
      <c r="L7144">
        <v>0.38</v>
      </c>
      <c r="M7144">
        <v>22.05</v>
      </c>
      <c r="N7144">
        <v>760.86990000000003</v>
      </c>
      <c r="O7144" s="1" t="s">
        <v>40</v>
      </c>
      <c r="P7144" s="1" t="s">
        <v>10756</v>
      </c>
      <c r="Q7144" s="1" t="s">
        <v>10757</v>
      </c>
      <c r="R7144" s="1" t="s">
        <v>43</v>
      </c>
      <c r="S7144" s="1" t="s">
        <v>10758</v>
      </c>
      <c r="T7144" s="1" t="s">
        <v>10759</v>
      </c>
      <c r="U7144" s="2" t="s">
        <v>3736</v>
      </c>
      <c r="V7144" s="2" t="s">
        <v>36</v>
      </c>
      <c r="W7144" s="2" t="s">
        <v>142</v>
      </c>
      <c r="X7144" s="2">
        <v>83.965000000000003</v>
      </c>
    </row>
    <row r="7145" spans="1:24" x14ac:dyDescent="0.3">
      <c r="A7145">
        <v>24959</v>
      </c>
      <c r="B7145" t="s">
        <v>14024</v>
      </c>
      <c r="C7145" s="3">
        <v>41440</v>
      </c>
      <c r="D7145" t="s">
        <v>39</v>
      </c>
      <c r="E7145">
        <v>14</v>
      </c>
      <c r="F7145" s="3">
        <f ca="1">41442+(RANDBETWEEN(1,10))</f>
        <v>41443</v>
      </c>
      <c r="G7145" t="s">
        <v>26</v>
      </c>
      <c r="H7145" t="s">
        <v>96</v>
      </c>
      <c r="I7145" t="s">
        <v>28</v>
      </c>
      <c r="J7145">
        <v>138.77500000000001</v>
      </c>
      <c r="K7145">
        <v>0.09</v>
      </c>
      <c r="L7145">
        <v>0.4</v>
      </c>
      <c r="M7145">
        <v>2.835</v>
      </c>
      <c r="N7145">
        <v>95.754750000000001</v>
      </c>
      <c r="O7145" s="1" t="s">
        <v>40</v>
      </c>
      <c r="P7145" s="1" t="s">
        <v>3229</v>
      </c>
      <c r="Q7145" s="1" t="s">
        <v>3230</v>
      </c>
      <c r="R7145" s="1" t="s">
        <v>43</v>
      </c>
      <c r="S7145" s="1" t="s">
        <v>454</v>
      </c>
      <c r="T7145" s="1" t="s">
        <v>455</v>
      </c>
      <c r="U7145" s="2" t="s">
        <v>5264</v>
      </c>
      <c r="V7145" s="2" t="s">
        <v>47</v>
      </c>
      <c r="W7145" s="2" t="s">
        <v>104</v>
      </c>
      <c r="X7145" s="2">
        <v>10.29</v>
      </c>
    </row>
    <row r="7146" spans="1:24" x14ac:dyDescent="0.3">
      <c r="A7146">
        <v>24960</v>
      </c>
      <c r="B7146" t="s">
        <v>14025</v>
      </c>
      <c r="C7146" s="3">
        <v>41318</v>
      </c>
      <c r="D7146" t="s">
        <v>62</v>
      </c>
      <c r="E7146">
        <v>2</v>
      </c>
      <c r="F7146" s="3">
        <f ca="1">41319+(RANDBETWEEN(1,10))</f>
        <v>41320</v>
      </c>
      <c r="G7146" t="s">
        <v>26</v>
      </c>
      <c r="H7146" t="s">
        <v>27</v>
      </c>
      <c r="I7146" t="s">
        <v>28</v>
      </c>
      <c r="J7146">
        <v>42.91</v>
      </c>
      <c r="K7146">
        <v>0.02</v>
      </c>
      <c r="L7146">
        <v>0.38</v>
      </c>
      <c r="M7146">
        <v>4.8650000000000002</v>
      </c>
      <c r="N7146">
        <v>29.607900000000001</v>
      </c>
      <c r="O7146" s="1" t="s">
        <v>87</v>
      </c>
      <c r="P7146" s="1" t="s">
        <v>6843</v>
      </c>
      <c r="Q7146" s="1" t="s">
        <v>6844</v>
      </c>
      <c r="R7146" s="1" t="s">
        <v>398</v>
      </c>
      <c r="S7146" s="1" t="s">
        <v>6845</v>
      </c>
      <c r="T7146" s="1" t="s">
        <v>6846</v>
      </c>
      <c r="U7146" s="2" t="s">
        <v>641</v>
      </c>
      <c r="V7146" s="2" t="s">
        <v>47</v>
      </c>
      <c r="W7146" s="2" t="s">
        <v>48</v>
      </c>
      <c r="X7146" s="2">
        <v>19.88</v>
      </c>
    </row>
    <row r="7147" spans="1:24" x14ac:dyDescent="0.3">
      <c r="A7147">
        <v>24961</v>
      </c>
      <c r="B7147" t="s">
        <v>14025</v>
      </c>
      <c r="C7147" s="3">
        <v>41318</v>
      </c>
      <c r="D7147" t="s">
        <v>62</v>
      </c>
      <c r="E7147">
        <v>2</v>
      </c>
      <c r="F7147" s="3">
        <f ca="1">41318+(RANDBETWEEN(1,10))</f>
        <v>41327</v>
      </c>
      <c r="G7147" t="s">
        <v>76</v>
      </c>
      <c r="H7147" t="s">
        <v>258</v>
      </c>
      <c r="I7147" t="s">
        <v>28</v>
      </c>
      <c r="J7147">
        <v>2707.0749999999998</v>
      </c>
      <c r="K7147">
        <v>0</v>
      </c>
      <c r="L7147">
        <v>0.66</v>
      </c>
      <c r="M7147">
        <v>296.94</v>
      </c>
      <c r="N7147">
        <v>-831.66300000000001</v>
      </c>
      <c r="O7147" s="1" t="s">
        <v>87</v>
      </c>
      <c r="P7147" s="1" t="s">
        <v>6843</v>
      </c>
      <c r="Q7147" s="1" t="s">
        <v>6844</v>
      </c>
      <c r="R7147" s="1" t="s">
        <v>398</v>
      </c>
      <c r="S7147" s="1" t="s">
        <v>6845</v>
      </c>
      <c r="T7147" s="1" t="s">
        <v>6846</v>
      </c>
      <c r="U7147" s="2" t="s">
        <v>3482</v>
      </c>
      <c r="V7147" s="2" t="s">
        <v>83</v>
      </c>
      <c r="W7147" s="2" t="s">
        <v>263</v>
      </c>
      <c r="X7147" s="2">
        <v>1218.7349999999999</v>
      </c>
    </row>
    <row r="7148" spans="1:24" x14ac:dyDescent="0.3">
      <c r="A7148">
        <v>24962</v>
      </c>
      <c r="B7148" t="s">
        <v>14026</v>
      </c>
      <c r="C7148" s="3">
        <v>41185</v>
      </c>
      <c r="D7148" t="s">
        <v>25</v>
      </c>
      <c r="E7148">
        <v>17</v>
      </c>
      <c r="F7148" s="3">
        <f ca="1">41189+(RANDBETWEEN(1,10))</f>
        <v>41191</v>
      </c>
      <c r="G7148" t="s">
        <v>156</v>
      </c>
      <c r="H7148" t="s">
        <v>51</v>
      </c>
      <c r="I7148" t="s">
        <v>97</v>
      </c>
      <c r="J7148">
        <v>635.80999999999995</v>
      </c>
      <c r="K7148">
        <v>7.0000000000000007E-2</v>
      </c>
      <c r="L7148">
        <v>0.56999999999999995</v>
      </c>
      <c r="M7148">
        <v>11.795</v>
      </c>
      <c r="N7148">
        <v>55.222999999999999</v>
      </c>
      <c r="O7148" s="1" t="s">
        <v>87</v>
      </c>
      <c r="P7148" s="1" t="s">
        <v>7785</v>
      </c>
      <c r="Q7148" s="1" t="s">
        <v>7786</v>
      </c>
      <c r="R7148" s="1" t="s">
        <v>497</v>
      </c>
      <c r="S7148" s="1" t="s">
        <v>7787</v>
      </c>
      <c r="T7148" s="1" t="s">
        <v>7788</v>
      </c>
      <c r="U7148" s="2" t="s">
        <v>5857</v>
      </c>
      <c r="V7148" s="2" t="s">
        <v>47</v>
      </c>
      <c r="W7148" s="2" t="s">
        <v>94</v>
      </c>
      <c r="X7148" s="2">
        <v>38.43</v>
      </c>
    </row>
    <row r="7149" spans="1:24" x14ac:dyDescent="0.3">
      <c r="A7149">
        <v>24963</v>
      </c>
      <c r="B7149" t="s">
        <v>14027</v>
      </c>
      <c r="C7149" s="3">
        <v>41221</v>
      </c>
      <c r="D7149" t="s">
        <v>62</v>
      </c>
      <c r="E7149">
        <v>37</v>
      </c>
      <c r="F7149" s="3">
        <f ca="1">41221+(RANDBETWEEN(1,10))</f>
        <v>41225</v>
      </c>
      <c r="G7149" t="s">
        <v>26</v>
      </c>
      <c r="H7149" t="s">
        <v>27</v>
      </c>
      <c r="I7149" t="s">
        <v>86</v>
      </c>
      <c r="J7149">
        <v>1910.51</v>
      </c>
      <c r="K7149">
        <v>0.09</v>
      </c>
      <c r="L7149">
        <v>0.4</v>
      </c>
      <c r="M7149">
        <v>4.8650000000000002</v>
      </c>
      <c r="N7149">
        <v>1318.2519</v>
      </c>
      <c r="O7149" s="1" t="s">
        <v>87</v>
      </c>
      <c r="P7149" s="1" t="s">
        <v>14028</v>
      </c>
      <c r="Q7149" s="1" t="s">
        <v>14029</v>
      </c>
      <c r="R7149" s="1" t="s">
        <v>398</v>
      </c>
      <c r="S7149" s="1" t="s">
        <v>3531</v>
      </c>
      <c r="T7149" s="1" t="s">
        <v>3532</v>
      </c>
      <c r="U7149" s="2" t="s">
        <v>1095</v>
      </c>
      <c r="V7149" s="2" t="s">
        <v>47</v>
      </c>
      <c r="W7149" s="2" t="s">
        <v>48</v>
      </c>
      <c r="X7149" s="2">
        <v>55.09</v>
      </c>
    </row>
    <row r="7150" spans="1:24" x14ac:dyDescent="0.3">
      <c r="A7150">
        <v>24964</v>
      </c>
      <c r="B7150" t="s">
        <v>14030</v>
      </c>
      <c r="C7150" s="3">
        <v>41951</v>
      </c>
      <c r="D7150" t="s">
        <v>62</v>
      </c>
      <c r="E7150">
        <v>35</v>
      </c>
      <c r="F7150" s="3">
        <f ca="1">41952+(RANDBETWEEN(1,10))</f>
        <v>41957</v>
      </c>
      <c r="G7150" t="s">
        <v>26</v>
      </c>
      <c r="H7150" t="s">
        <v>281</v>
      </c>
      <c r="I7150" t="s">
        <v>86</v>
      </c>
      <c r="J7150">
        <v>16321.375</v>
      </c>
      <c r="K7150">
        <v>0.1</v>
      </c>
      <c r="L7150">
        <v>0.37</v>
      </c>
      <c r="M7150">
        <v>48.965000000000003</v>
      </c>
      <c r="N7150">
        <v>11261.748750000001</v>
      </c>
      <c r="O7150" s="1" t="s">
        <v>87</v>
      </c>
      <c r="P7150" s="1" t="s">
        <v>14028</v>
      </c>
      <c r="Q7150" s="1" t="s">
        <v>14029</v>
      </c>
      <c r="R7150" s="1" t="s">
        <v>398</v>
      </c>
      <c r="S7150" s="1" t="s">
        <v>3531</v>
      </c>
      <c r="T7150" s="1" t="s">
        <v>3532</v>
      </c>
      <c r="U7150" s="2" t="s">
        <v>7910</v>
      </c>
      <c r="V7150" s="2" t="s">
        <v>36</v>
      </c>
      <c r="W7150" s="2" t="s">
        <v>142</v>
      </c>
      <c r="X7150" s="2">
        <v>493.46499999999997</v>
      </c>
    </row>
    <row r="7151" spans="1:24" x14ac:dyDescent="0.3">
      <c r="A7151">
        <v>24965</v>
      </c>
      <c r="B7151" t="s">
        <v>14027</v>
      </c>
      <c r="C7151" s="3">
        <v>41221</v>
      </c>
      <c r="D7151" t="s">
        <v>62</v>
      </c>
      <c r="E7151">
        <v>6</v>
      </c>
      <c r="F7151" s="3">
        <f ca="1">41223+(RANDBETWEEN(1,10))</f>
        <v>41225</v>
      </c>
      <c r="G7151" t="s">
        <v>26</v>
      </c>
      <c r="H7151" t="s">
        <v>27</v>
      </c>
      <c r="I7151" t="s">
        <v>86</v>
      </c>
      <c r="J7151">
        <v>151.41</v>
      </c>
      <c r="K7151">
        <v>0.08</v>
      </c>
      <c r="L7151">
        <v>0.37</v>
      </c>
      <c r="M7151">
        <v>26.215</v>
      </c>
      <c r="N7151">
        <v>22.19</v>
      </c>
      <c r="O7151" s="1" t="s">
        <v>87</v>
      </c>
      <c r="P7151" s="1" t="s">
        <v>14028</v>
      </c>
      <c r="Q7151" s="1" t="s">
        <v>14029</v>
      </c>
      <c r="R7151" s="1" t="s">
        <v>398</v>
      </c>
      <c r="S7151" s="1" t="s">
        <v>3531</v>
      </c>
      <c r="T7151" s="1" t="s">
        <v>3532</v>
      </c>
      <c r="U7151" s="2" t="s">
        <v>2916</v>
      </c>
      <c r="V7151" s="2" t="s">
        <v>47</v>
      </c>
      <c r="W7151" s="2" t="s">
        <v>74</v>
      </c>
      <c r="X7151" s="2">
        <v>22.68</v>
      </c>
    </row>
    <row r="7152" spans="1:24" x14ac:dyDescent="0.3">
      <c r="A7152">
        <v>24966</v>
      </c>
      <c r="B7152" t="s">
        <v>14031</v>
      </c>
      <c r="C7152" s="3">
        <v>41341</v>
      </c>
      <c r="D7152" t="s">
        <v>50</v>
      </c>
      <c r="E7152">
        <v>8</v>
      </c>
      <c r="F7152" s="3">
        <f ca="1">41342+(RANDBETWEEN(1,10))</f>
        <v>41346</v>
      </c>
      <c r="G7152" t="s">
        <v>26</v>
      </c>
      <c r="H7152" t="s">
        <v>27</v>
      </c>
      <c r="I7152" t="s">
        <v>86</v>
      </c>
      <c r="J7152">
        <v>353.745</v>
      </c>
      <c r="K7152">
        <v>0</v>
      </c>
      <c r="L7152">
        <v>0.57999999999999996</v>
      </c>
      <c r="M7152">
        <v>17.43</v>
      </c>
      <c r="N7152">
        <v>-16.625</v>
      </c>
      <c r="O7152" s="1" t="s">
        <v>29</v>
      </c>
      <c r="P7152" s="1" t="s">
        <v>10490</v>
      </c>
      <c r="Q7152" s="1" t="s">
        <v>10491</v>
      </c>
      <c r="R7152" s="1" t="s">
        <v>32</v>
      </c>
      <c r="S7152" s="1" t="s">
        <v>10492</v>
      </c>
      <c r="T7152" s="1" t="s">
        <v>10493</v>
      </c>
      <c r="U7152" s="2" t="s">
        <v>5213</v>
      </c>
      <c r="V7152" s="2" t="s">
        <v>47</v>
      </c>
      <c r="W7152" s="2" t="s">
        <v>71</v>
      </c>
      <c r="X7152" s="2">
        <v>41.895000000000003</v>
      </c>
    </row>
    <row r="7153" spans="1:24" x14ac:dyDescent="0.3">
      <c r="A7153">
        <v>24967</v>
      </c>
      <c r="B7153" t="s">
        <v>14031</v>
      </c>
      <c r="C7153" s="3">
        <v>41341</v>
      </c>
      <c r="D7153" t="s">
        <v>50</v>
      </c>
      <c r="E7153">
        <v>7</v>
      </c>
      <c r="F7153" s="3">
        <f ca="1">41342+(RANDBETWEEN(1,10))</f>
        <v>41347</v>
      </c>
      <c r="G7153" t="s">
        <v>156</v>
      </c>
      <c r="H7153" t="s">
        <v>27</v>
      </c>
      <c r="I7153" t="s">
        <v>86</v>
      </c>
      <c r="J7153">
        <v>161.77000000000001</v>
      </c>
      <c r="K7153">
        <v>7.0000000000000007E-2</v>
      </c>
      <c r="L7153">
        <v>0.37</v>
      </c>
      <c r="M7153">
        <v>28.664999999999999</v>
      </c>
      <c r="N7153">
        <v>-407.96</v>
      </c>
      <c r="O7153" s="1" t="s">
        <v>29</v>
      </c>
      <c r="P7153" s="1" t="s">
        <v>10490</v>
      </c>
      <c r="Q7153" s="1" t="s">
        <v>10491</v>
      </c>
      <c r="R7153" s="1" t="s">
        <v>32</v>
      </c>
      <c r="S7153" s="1" t="s">
        <v>10492</v>
      </c>
      <c r="T7153" s="1" t="s">
        <v>10493</v>
      </c>
      <c r="U7153" s="2" t="s">
        <v>474</v>
      </c>
      <c r="V7153" s="2" t="s">
        <v>47</v>
      </c>
      <c r="W7153" s="2" t="s">
        <v>74</v>
      </c>
      <c r="X7153" s="2">
        <v>22.68</v>
      </c>
    </row>
    <row r="7154" spans="1:24" x14ac:dyDescent="0.3">
      <c r="A7154">
        <v>24968</v>
      </c>
      <c r="B7154" t="s">
        <v>14032</v>
      </c>
      <c r="C7154" s="3">
        <v>41981</v>
      </c>
      <c r="D7154" t="s">
        <v>62</v>
      </c>
      <c r="E7154">
        <v>3</v>
      </c>
      <c r="F7154" s="3">
        <f ca="1">41982+(RANDBETWEEN(1,10))</f>
        <v>41991</v>
      </c>
      <c r="G7154" t="s">
        <v>76</v>
      </c>
      <c r="H7154" t="s">
        <v>77</v>
      </c>
      <c r="I7154" t="s">
        <v>97</v>
      </c>
      <c r="J7154">
        <v>2992.395</v>
      </c>
      <c r="K7154">
        <v>0.09</v>
      </c>
      <c r="L7154">
        <v>0.78</v>
      </c>
      <c r="M7154">
        <v>199.5</v>
      </c>
      <c r="N7154">
        <v>-608.96807999999999</v>
      </c>
      <c r="O7154" s="1" t="s">
        <v>225</v>
      </c>
      <c r="P7154" s="1" t="s">
        <v>14033</v>
      </c>
      <c r="Q7154" s="1" t="s">
        <v>14034</v>
      </c>
      <c r="R7154" s="1" t="s">
        <v>228</v>
      </c>
      <c r="S7154" s="1" t="s">
        <v>4751</v>
      </c>
      <c r="T7154" s="1" t="s">
        <v>4752</v>
      </c>
      <c r="U7154" s="2" t="s">
        <v>3811</v>
      </c>
      <c r="V7154" s="2" t="s">
        <v>83</v>
      </c>
      <c r="W7154" s="2" t="s">
        <v>84</v>
      </c>
      <c r="X7154" s="2">
        <v>983.43</v>
      </c>
    </row>
    <row r="7155" spans="1:24" x14ac:dyDescent="0.3">
      <c r="A7155">
        <v>24969</v>
      </c>
      <c r="B7155" t="s">
        <v>14032</v>
      </c>
      <c r="C7155" s="3">
        <v>41981</v>
      </c>
      <c r="D7155" t="s">
        <v>62</v>
      </c>
      <c r="E7155">
        <v>15</v>
      </c>
      <c r="F7155" s="3">
        <f ca="1">41981+(RANDBETWEEN(1,10))</f>
        <v>41982</v>
      </c>
      <c r="G7155" t="s">
        <v>26</v>
      </c>
      <c r="H7155" t="s">
        <v>51</v>
      </c>
      <c r="I7155" t="s">
        <v>97</v>
      </c>
      <c r="J7155">
        <v>582.01499999999999</v>
      </c>
      <c r="K7155">
        <v>0.03</v>
      </c>
      <c r="L7155">
        <v>0.56999999999999995</v>
      </c>
      <c r="M7155">
        <v>11.795</v>
      </c>
      <c r="N7155">
        <v>118.28543999999999</v>
      </c>
      <c r="O7155" s="1" t="s">
        <v>225</v>
      </c>
      <c r="P7155" s="1" t="s">
        <v>14033</v>
      </c>
      <c r="Q7155" s="1" t="s">
        <v>14034</v>
      </c>
      <c r="R7155" s="1" t="s">
        <v>228</v>
      </c>
      <c r="S7155" s="1" t="s">
        <v>4751</v>
      </c>
      <c r="T7155" s="1" t="s">
        <v>4752</v>
      </c>
      <c r="U7155" s="2" t="s">
        <v>5857</v>
      </c>
      <c r="V7155" s="2" t="s">
        <v>47</v>
      </c>
      <c r="W7155" s="2" t="s">
        <v>94</v>
      </c>
      <c r="X7155" s="2">
        <v>38.43</v>
      </c>
    </row>
    <row r="7156" spans="1:24" x14ac:dyDescent="0.3">
      <c r="A7156">
        <v>24970</v>
      </c>
      <c r="B7156" t="s">
        <v>14035</v>
      </c>
      <c r="C7156" s="3">
        <v>41875</v>
      </c>
      <c r="D7156" t="s">
        <v>39</v>
      </c>
      <c r="E7156">
        <v>2</v>
      </c>
      <c r="F7156" s="3">
        <f ca="1">41877+(RANDBETWEEN(1,10))</f>
        <v>41881</v>
      </c>
      <c r="G7156" t="s">
        <v>76</v>
      </c>
      <c r="H7156" t="s">
        <v>258</v>
      </c>
      <c r="I7156" t="s">
        <v>97</v>
      </c>
      <c r="J7156">
        <v>2826.2150000000001</v>
      </c>
      <c r="K7156">
        <v>0.05</v>
      </c>
      <c r="L7156">
        <v>0.74</v>
      </c>
      <c r="M7156">
        <v>299.70499999999998</v>
      </c>
      <c r="N7156">
        <v>2289.9050999999999</v>
      </c>
      <c r="O7156" s="1" t="s">
        <v>53</v>
      </c>
      <c r="P7156" s="1" t="s">
        <v>13466</v>
      </c>
      <c r="Q7156" s="1" t="s">
        <v>13467</v>
      </c>
      <c r="R7156" s="1" t="s">
        <v>100</v>
      </c>
      <c r="S7156" s="1" t="s">
        <v>2549</v>
      </c>
      <c r="T7156" s="1" t="s">
        <v>2550</v>
      </c>
      <c r="U7156" s="2" t="s">
        <v>3542</v>
      </c>
      <c r="V7156" s="2" t="s">
        <v>83</v>
      </c>
      <c r="W7156" s="2" t="s">
        <v>263</v>
      </c>
      <c r="X7156" s="2">
        <v>1316.4549999999999</v>
      </c>
    </row>
    <row r="7157" spans="1:24" x14ac:dyDescent="0.3">
      <c r="A7157">
        <v>24971</v>
      </c>
      <c r="B7157" t="s">
        <v>14036</v>
      </c>
      <c r="C7157" s="3">
        <v>40779</v>
      </c>
      <c r="D7157" t="s">
        <v>39</v>
      </c>
      <c r="E7157">
        <v>5</v>
      </c>
      <c r="F7157" s="3">
        <f ca="1">40780+(RANDBETWEEN(1,10))</f>
        <v>40787</v>
      </c>
      <c r="G7157" t="s">
        <v>26</v>
      </c>
      <c r="H7157" t="s">
        <v>27</v>
      </c>
      <c r="I7157" t="s">
        <v>97</v>
      </c>
      <c r="J7157">
        <v>3090.2550000000001</v>
      </c>
      <c r="K7157">
        <v>0</v>
      </c>
      <c r="L7157">
        <v>0.6</v>
      </c>
      <c r="M7157">
        <v>31.465</v>
      </c>
      <c r="N7157">
        <v>402.08699999999999</v>
      </c>
      <c r="O7157" s="1" t="s">
        <v>53</v>
      </c>
      <c r="P7157" s="1" t="s">
        <v>13466</v>
      </c>
      <c r="Q7157" s="1" t="s">
        <v>13467</v>
      </c>
      <c r="R7157" s="1" t="s">
        <v>100</v>
      </c>
      <c r="S7157" s="1" t="s">
        <v>2549</v>
      </c>
      <c r="T7157" s="1" t="s">
        <v>2550</v>
      </c>
      <c r="U7157" s="2" t="s">
        <v>1123</v>
      </c>
      <c r="V7157" s="2" t="s">
        <v>36</v>
      </c>
      <c r="W7157" s="2" t="s">
        <v>37</v>
      </c>
      <c r="X7157" s="2">
        <v>685.96500000000003</v>
      </c>
    </row>
    <row r="7158" spans="1:24" x14ac:dyDescent="0.3">
      <c r="A7158">
        <v>24972</v>
      </c>
      <c r="B7158" t="s">
        <v>14037</v>
      </c>
      <c r="C7158" s="3">
        <v>41355</v>
      </c>
      <c r="D7158" t="s">
        <v>39</v>
      </c>
      <c r="E7158">
        <v>9</v>
      </c>
      <c r="F7158" s="3">
        <f ca="1">41356+(RANDBETWEEN(1,10))</f>
        <v>41357</v>
      </c>
      <c r="G7158" t="s">
        <v>156</v>
      </c>
      <c r="H7158" t="s">
        <v>27</v>
      </c>
      <c r="I7158" t="s">
        <v>86</v>
      </c>
      <c r="J7158">
        <v>1813.84</v>
      </c>
      <c r="K7158">
        <v>0.01</v>
      </c>
      <c r="L7158">
        <v>0.56999999999999995</v>
      </c>
      <c r="M7158">
        <v>18.585000000000001</v>
      </c>
      <c r="N7158">
        <v>1251.5496000000001</v>
      </c>
      <c r="O7158" s="1" t="s">
        <v>40</v>
      </c>
      <c r="P7158" s="1" t="s">
        <v>14038</v>
      </c>
      <c r="Q7158" s="1" t="s">
        <v>14039</v>
      </c>
      <c r="R7158" s="1" t="s">
        <v>43</v>
      </c>
      <c r="S7158" s="1" t="s">
        <v>5746</v>
      </c>
      <c r="T7158" s="1" t="s">
        <v>5747</v>
      </c>
      <c r="U7158" s="2">
        <v>3390</v>
      </c>
      <c r="V7158" s="2" t="s">
        <v>36</v>
      </c>
      <c r="W7158" s="2" t="s">
        <v>37</v>
      </c>
      <c r="X7158" s="2">
        <v>230.965</v>
      </c>
    </row>
    <row r="7159" spans="1:24" x14ac:dyDescent="0.3">
      <c r="A7159">
        <v>24973</v>
      </c>
      <c r="B7159" t="s">
        <v>14040</v>
      </c>
      <c r="C7159" s="3">
        <v>41516</v>
      </c>
      <c r="D7159" t="s">
        <v>148</v>
      </c>
      <c r="E7159">
        <v>19</v>
      </c>
      <c r="F7159" s="3">
        <f ca="1">41517+(RANDBETWEEN(1,10))</f>
        <v>41518</v>
      </c>
      <c r="G7159" t="s">
        <v>156</v>
      </c>
      <c r="H7159" t="s">
        <v>27</v>
      </c>
      <c r="I7159" t="s">
        <v>52</v>
      </c>
      <c r="J7159">
        <v>464.45</v>
      </c>
      <c r="K7159">
        <v>0.03</v>
      </c>
      <c r="L7159">
        <v>0.37</v>
      </c>
      <c r="M7159">
        <v>23.1</v>
      </c>
      <c r="N7159">
        <v>-110.544</v>
      </c>
      <c r="O7159" s="1" t="s">
        <v>29</v>
      </c>
      <c r="P7159" s="1" t="s">
        <v>13541</v>
      </c>
      <c r="Q7159" s="1" t="s">
        <v>13542</v>
      </c>
      <c r="R7159" s="1" t="s">
        <v>32</v>
      </c>
      <c r="S7159" s="1" t="s">
        <v>13543</v>
      </c>
      <c r="T7159" s="1" t="s">
        <v>13544</v>
      </c>
      <c r="U7159" s="2" t="s">
        <v>241</v>
      </c>
      <c r="V7159" s="2" t="s">
        <v>47</v>
      </c>
      <c r="W7159" s="2" t="s">
        <v>74</v>
      </c>
      <c r="X7159" s="2">
        <v>22.68</v>
      </c>
    </row>
    <row r="7160" spans="1:24" x14ac:dyDescent="0.3">
      <c r="A7160">
        <v>24974</v>
      </c>
      <c r="B7160" t="s">
        <v>14041</v>
      </c>
      <c r="C7160" s="3">
        <v>40733</v>
      </c>
      <c r="D7160" t="s">
        <v>62</v>
      </c>
      <c r="E7160">
        <v>5</v>
      </c>
      <c r="F7160" s="3">
        <f ca="1">40735+(RANDBETWEEN(1,10))</f>
        <v>40738</v>
      </c>
      <c r="G7160" t="s">
        <v>156</v>
      </c>
      <c r="H7160" t="s">
        <v>51</v>
      </c>
      <c r="I7160" t="s">
        <v>86</v>
      </c>
      <c r="J7160">
        <v>568.36500000000001</v>
      </c>
      <c r="K7160">
        <v>0.03</v>
      </c>
      <c r="L7160">
        <v>0.57999999999999996</v>
      </c>
      <c r="M7160">
        <v>31.465</v>
      </c>
      <c r="N7160">
        <v>1.7849999999999999</v>
      </c>
      <c r="O7160" s="1" t="s">
        <v>225</v>
      </c>
      <c r="P7160" s="1" t="s">
        <v>8764</v>
      </c>
      <c r="Q7160" s="1" t="s">
        <v>8765</v>
      </c>
      <c r="R7160" s="1" t="s">
        <v>228</v>
      </c>
      <c r="S7160" s="1" t="s">
        <v>8766</v>
      </c>
      <c r="T7160" s="1" t="s">
        <v>8767</v>
      </c>
      <c r="U7160" s="2" t="s">
        <v>1439</v>
      </c>
      <c r="V7160" s="2" t="s">
        <v>47</v>
      </c>
      <c r="W7160" s="2" t="s">
        <v>104</v>
      </c>
      <c r="X7160" s="2">
        <v>108.43</v>
      </c>
    </row>
    <row r="7161" spans="1:24" x14ac:dyDescent="0.3">
      <c r="A7161">
        <v>24975</v>
      </c>
      <c r="B7161" t="s">
        <v>14041</v>
      </c>
      <c r="C7161" s="3">
        <v>40733</v>
      </c>
      <c r="D7161" t="s">
        <v>62</v>
      </c>
      <c r="E7161">
        <v>9</v>
      </c>
      <c r="F7161" s="3">
        <f ca="1">40735+(RANDBETWEEN(1,10))</f>
        <v>40739</v>
      </c>
      <c r="G7161" t="s">
        <v>26</v>
      </c>
      <c r="H7161" t="s">
        <v>27</v>
      </c>
      <c r="I7161" t="s">
        <v>86</v>
      </c>
      <c r="J7161">
        <v>17222.834999999999</v>
      </c>
      <c r="K7161">
        <v>0.01</v>
      </c>
      <c r="L7161">
        <v>0.37</v>
      </c>
      <c r="M7161">
        <v>69.965000000000003</v>
      </c>
      <c r="N7161">
        <v>-566.73400000000004</v>
      </c>
      <c r="O7161" s="1" t="s">
        <v>53</v>
      </c>
      <c r="P7161" s="1" t="s">
        <v>14042</v>
      </c>
      <c r="Q7161" s="1" t="s">
        <v>14043</v>
      </c>
      <c r="R7161" s="1" t="s">
        <v>440</v>
      </c>
      <c r="S7161" s="1" t="s">
        <v>9191</v>
      </c>
      <c r="T7161" s="1" t="s">
        <v>9192</v>
      </c>
      <c r="U7161" s="2" t="s">
        <v>3284</v>
      </c>
      <c r="V7161" s="2" t="s">
        <v>47</v>
      </c>
      <c r="W7161" s="2" t="s">
        <v>111</v>
      </c>
      <c r="X7161" s="2">
        <v>1840.93</v>
      </c>
    </row>
    <row r="7162" spans="1:24" x14ac:dyDescent="0.3">
      <c r="A7162">
        <v>24976</v>
      </c>
      <c r="B7162" t="s">
        <v>14044</v>
      </c>
      <c r="C7162" s="3">
        <v>41144</v>
      </c>
      <c r="D7162" t="s">
        <v>62</v>
      </c>
      <c r="E7162">
        <v>8</v>
      </c>
      <c r="F7162" s="3">
        <f ca="1">41146+(RANDBETWEEN(1,10))</f>
        <v>41148</v>
      </c>
      <c r="G7162" t="s">
        <v>26</v>
      </c>
      <c r="H7162" t="s">
        <v>27</v>
      </c>
      <c r="I7162" t="s">
        <v>86</v>
      </c>
      <c r="J7162">
        <v>426.72</v>
      </c>
      <c r="K7162">
        <v>0.01</v>
      </c>
      <c r="L7162">
        <v>0.81</v>
      </c>
      <c r="M7162">
        <v>15.855</v>
      </c>
      <c r="N7162">
        <v>-105.99679999999999</v>
      </c>
      <c r="O7162" s="1" t="s">
        <v>87</v>
      </c>
      <c r="P7162" s="1" t="s">
        <v>3807</v>
      </c>
      <c r="Q7162" s="1" t="s">
        <v>3808</v>
      </c>
      <c r="R7162" s="1" t="s">
        <v>398</v>
      </c>
      <c r="S7162" s="1" t="s">
        <v>3809</v>
      </c>
      <c r="T7162" s="1" t="s">
        <v>3810</v>
      </c>
      <c r="U7162" s="2" t="s">
        <v>2304</v>
      </c>
      <c r="V7162" s="2" t="s">
        <v>47</v>
      </c>
      <c r="W7162" s="2" t="s">
        <v>119</v>
      </c>
      <c r="X7162" s="2">
        <v>52.99</v>
      </c>
    </row>
    <row r="7163" spans="1:24" x14ac:dyDescent="0.3">
      <c r="A7163">
        <v>24977</v>
      </c>
      <c r="B7163" t="s">
        <v>14045</v>
      </c>
      <c r="C7163" s="3">
        <v>41894</v>
      </c>
      <c r="D7163" t="s">
        <v>50</v>
      </c>
      <c r="E7163">
        <v>13</v>
      </c>
      <c r="F7163" s="3">
        <f ca="1">41896+(RANDBETWEEN(1,10))</f>
        <v>41904</v>
      </c>
      <c r="G7163" t="s">
        <v>26</v>
      </c>
      <c r="H7163" t="s">
        <v>27</v>
      </c>
      <c r="I7163" t="s">
        <v>86</v>
      </c>
      <c r="J7163">
        <v>143.57</v>
      </c>
      <c r="K7163">
        <v>7.0000000000000007E-2</v>
      </c>
      <c r="L7163">
        <v>0.37</v>
      </c>
      <c r="M7163">
        <v>1.75</v>
      </c>
      <c r="N7163">
        <v>3473.3159999999998</v>
      </c>
      <c r="O7163" s="1" t="s">
        <v>29</v>
      </c>
      <c r="P7163" s="1" t="s">
        <v>13515</v>
      </c>
      <c r="Q7163" s="1" t="s">
        <v>13516</v>
      </c>
      <c r="R7163" s="1" t="s">
        <v>32</v>
      </c>
      <c r="S7163" s="1" t="s">
        <v>4995</v>
      </c>
      <c r="T7163" s="1" t="s">
        <v>4996</v>
      </c>
      <c r="U7163" s="2" t="s">
        <v>5970</v>
      </c>
      <c r="V7163" s="2" t="s">
        <v>47</v>
      </c>
      <c r="W7163" s="2" t="s">
        <v>203</v>
      </c>
      <c r="X7163" s="2">
        <v>11.025</v>
      </c>
    </row>
    <row r="7164" spans="1:24" x14ac:dyDescent="0.3">
      <c r="A7164">
        <v>24978</v>
      </c>
      <c r="B7164" t="s">
        <v>14046</v>
      </c>
      <c r="C7164" s="3">
        <v>41985</v>
      </c>
      <c r="D7164" t="s">
        <v>62</v>
      </c>
      <c r="E7164">
        <v>24</v>
      </c>
      <c r="F7164" s="3">
        <f ca="1">41987+(RANDBETWEEN(1,10))</f>
        <v>41990</v>
      </c>
      <c r="G7164" t="s">
        <v>26</v>
      </c>
      <c r="H7164" t="s">
        <v>27</v>
      </c>
      <c r="I7164" t="s">
        <v>97</v>
      </c>
      <c r="J7164">
        <v>953.43499999999995</v>
      </c>
      <c r="K7164">
        <v>0.09</v>
      </c>
      <c r="L7164">
        <v>0.4</v>
      </c>
      <c r="M7164">
        <v>25.164999999999999</v>
      </c>
      <c r="N7164">
        <v>-59.045783999999998</v>
      </c>
      <c r="O7164" s="1" t="s">
        <v>87</v>
      </c>
      <c r="P7164" s="1" t="s">
        <v>11715</v>
      </c>
      <c r="Q7164" s="1" t="s">
        <v>11716</v>
      </c>
      <c r="R7164" s="1" t="s">
        <v>398</v>
      </c>
      <c r="S7164" s="1" t="s">
        <v>11717</v>
      </c>
      <c r="T7164" s="1" t="s">
        <v>11718</v>
      </c>
      <c r="U7164" s="2" t="s">
        <v>1736</v>
      </c>
      <c r="V7164" s="2" t="s">
        <v>47</v>
      </c>
      <c r="W7164" s="2" t="s">
        <v>111</v>
      </c>
      <c r="X7164" s="2">
        <v>40.25</v>
      </c>
    </row>
    <row r="7165" spans="1:24" x14ac:dyDescent="0.3">
      <c r="A7165">
        <v>24979</v>
      </c>
      <c r="B7165" t="s">
        <v>14046</v>
      </c>
      <c r="C7165" s="3">
        <v>41985</v>
      </c>
      <c r="D7165" t="s">
        <v>62</v>
      </c>
      <c r="E7165">
        <v>11</v>
      </c>
      <c r="F7165" s="3">
        <f ca="1">41987+(RANDBETWEEN(1,10))</f>
        <v>41995</v>
      </c>
      <c r="G7165" t="s">
        <v>156</v>
      </c>
      <c r="H7165" t="s">
        <v>96</v>
      </c>
      <c r="I7165" t="s">
        <v>97</v>
      </c>
      <c r="J7165">
        <v>113.54</v>
      </c>
      <c r="K7165">
        <v>0.09</v>
      </c>
      <c r="L7165">
        <v>0.56999999999999995</v>
      </c>
      <c r="M7165">
        <v>7.1050000000000004</v>
      </c>
      <c r="N7165">
        <v>-26.24832</v>
      </c>
      <c r="O7165" s="1" t="s">
        <v>87</v>
      </c>
      <c r="P7165" s="1" t="s">
        <v>11715</v>
      </c>
      <c r="Q7165" s="1" t="s">
        <v>11716</v>
      </c>
      <c r="R7165" s="1" t="s">
        <v>398</v>
      </c>
      <c r="S7165" s="1" t="s">
        <v>11717</v>
      </c>
      <c r="T7165" s="1" t="s">
        <v>11718</v>
      </c>
      <c r="U7165" s="2" t="s">
        <v>7905</v>
      </c>
      <c r="V7165" s="2" t="s">
        <v>47</v>
      </c>
      <c r="W7165" s="2" t="s">
        <v>104</v>
      </c>
      <c r="X7165" s="2">
        <v>10.43</v>
      </c>
    </row>
    <row r="7166" spans="1:24" x14ac:dyDescent="0.3">
      <c r="A7166">
        <v>24980</v>
      </c>
      <c r="B7166" t="s">
        <v>14047</v>
      </c>
      <c r="C7166" s="3">
        <v>41894</v>
      </c>
      <c r="D7166" t="s">
        <v>50</v>
      </c>
      <c r="E7166">
        <v>10</v>
      </c>
      <c r="F7166" s="3">
        <f ca="1">41894+(RANDBETWEEN(1,10))</f>
        <v>41897</v>
      </c>
      <c r="G7166" t="s">
        <v>26</v>
      </c>
      <c r="H7166" t="s">
        <v>27</v>
      </c>
      <c r="I7166" t="s">
        <v>52</v>
      </c>
      <c r="J7166">
        <v>162.85499999999999</v>
      </c>
      <c r="K7166">
        <v>0.08</v>
      </c>
      <c r="L7166">
        <v>0.36</v>
      </c>
      <c r="M7166">
        <v>1.75</v>
      </c>
      <c r="N7166">
        <v>112.36995</v>
      </c>
      <c r="O7166" s="1" t="s">
        <v>29</v>
      </c>
      <c r="P7166" s="1" t="s">
        <v>14048</v>
      </c>
      <c r="Q7166" s="1" t="s">
        <v>14049</v>
      </c>
      <c r="R7166" s="1" t="s">
        <v>32</v>
      </c>
      <c r="S7166" s="1" t="s">
        <v>6074</v>
      </c>
      <c r="T7166" s="1" t="s">
        <v>6075</v>
      </c>
      <c r="U7166" s="2" t="s">
        <v>2281</v>
      </c>
      <c r="V7166" s="2" t="s">
        <v>47</v>
      </c>
      <c r="W7166" s="2" t="s">
        <v>203</v>
      </c>
      <c r="X7166" s="2">
        <v>17.184999999999999</v>
      </c>
    </row>
    <row r="7167" spans="1:24" x14ac:dyDescent="0.3">
      <c r="A7167">
        <v>24981</v>
      </c>
      <c r="B7167" t="s">
        <v>14050</v>
      </c>
      <c r="C7167" s="3">
        <v>40798</v>
      </c>
      <c r="D7167" t="s">
        <v>50</v>
      </c>
      <c r="E7167">
        <v>18</v>
      </c>
      <c r="F7167" s="3">
        <f ca="1">40800+(RANDBETWEEN(1,10))</f>
        <v>40805</v>
      </c>
      <c r="G7167" t="s">
        <v>26</v>
      </c>
      <c r="H7167" t="s">
        <v>27</v>
      </c>
      <c r="I7167" t="s">
        <v>52</v>
      </c>
      <c r="J7167">
        <v>409.22</v>
      </c>
      <c r="K7167">
        <v>0</v>
      </c>
      <c r="L7167">
        <v>0.39</v>
      </c>
      <c r="M7167">
        <v>5.2149999999999999</v>
      </c>
      <c r="N7167">
        <v>282.36180000000002</v>
      </c>
      <c r="O7167" s="1" t="s">
        <v>64</v>
      </c>
      <c r="P7167" s="1" t="s">
        <v>14051</v>
      </c>
      <c r="Q7167" s="1" t="s">
        <v>14052</v>
      </c>
      <c r="R7167" s="1" t="s">
        <v>128</v>
      </c>
      <c r="S7167" s="1" t="s">
        <v>14053</v>
      </c>
      <c r="T7167" s="1" t="s">
        <v>14054</v>
      </c>
      <c r="U7167" s="2" t="s">
        <v>1062</v>
      </c>
      <c r="V7167" s="2" t="s">
        <v>47</v>
      </c>
      <c r="W7167" s="2" t="s">
        <v>111</v>
      </c>
      <c r="X7167" s="2">
        <v>20.93</v>
      </c>
    </row>
    <row r="7168" spans="1:24" x14ac:dyDescent="0.3">
      <c r="A7168">
        <v>24982</v>
      </c>
      <c r="B7168" t="s">
        <v>14055</v>
      </c>
      <c r="C7168" s="3">
        <v>41315</v>
      </c>
      <c r="D7168" t="s">
        <v>25</v>
      </c>
      <c r="E7168">
        <v>7</v>
      </c>
      <c r="F7168" s="3">
        <f ca="1">41315+(RANDBETWEEN(1,10))</f>
        <v>41319</v>
      </c>
      <c r="G7168" t="s">
        <v>26</v>
      </c>
      <c r="H7168" t="s">
        <v>63</v>
      </c>
      <c r="I7168" t="s">
        <v>28</v>
      </c>
      <c r="J7168">
        <v>161.28</v>
      </c>
      <c r="K7168">
        <v>0.02</v>
      </c>
      <c r="L7168">
        <v>0.6</v>
      </c>
      <c r="M7168">
        <v>171.5</v>
      </c>
      <c r="N7168">
        <v>-4104.625</v>
      </c>
      <c r="O7168" s="1" t="s">
        <v>40</v>
      </c>
      <c r="P7168" s="1" t="s">
        <v>14056</v>
      </c>
      <c r="Q7168" s="1" t="s">
        <v>14057</v>
      </c>
      <c r="R7168" s="1" t="s">
        <v>43</v>
      </c>
      <c r="S7168" s="1" t="s">
        <v>14058</v>
      </c>
      <c r="T7168" s="1" t="s">
        <v>14059</v>
      </c>
      <c r="U7168" s="2" t="s">
        <v>919</v>
      </c>
      <c r="V7168" s="2" t="s">
        <v>47</v>
      </c>
      <c r="W7168" s="2" t="s">
        <v>71</v>
      </c>
      <c r="X7168" s="2">
        <v>15.68</v>
      </c>
    </row>
    <row r="7169" spans="1:24" x14ac:dyDescent="0.3">
      <c r="A7169">
        <v>24983</v>
      </c>
      <c r="B7169" t="s">
        <v>14060</v>
      </c>
      <c r="C7169" s="3">
        <v>41322</v>
      </c>
      <c r="D7169" t="s">
        <v>25</v>
      </c>
      <c r="E7169">
        <v>1</v>
      </c>
      <c r="F7169" s="3">
        <f ca="1">41326+(RANDBETWEEN(1,10))</f>
        <v>41329</v>
      </c>
      <c r="G7169" t="s">
        <v>76</v>
      </c>
      <c r="H7169" t="s">
        <v>77</v>
      </c>
      <c r="I7169" t="s">
        <v>86</v>
      </c>
      <c r="J7169">
        <v>529.30499999999995</v>
      </c>
      <c r="K7169">
        <v>0.06</v>
      </c>
      <c r="L7169">
        <v>0.56000000000000005</v>
      </c>
      <c r="M7169">
        <v>62.475000000000001</v>
      </c>
      <c r="N7169">
        <v>-980.97720000000004</v>
      </c>
      <c r="O7169" s="1" t="s">
        <v>29</v>
      </c>
      <c r="P7169" s="1" t="s">
        <v>12951</v>
      </c>
      <c r="Q7169" s="1" t="s">
        <v>12952</v>
      </c>
      <c r="R7169" s="1" t="s">
        <v>675</v>
      </c>
      <c r="S7169" s="1" t="s">
        <v>759</v>
      </c>
      <c r="T7169" s="1" t="s">
        <v>760</v>
      </c>
      <c r="U7169" s="2" t="s">
        <v>881</v>
      </c>
      <c r="V7169" s="2" t="s">
        <v>36</v>
      </c>
      <c r="W7169" s="2" t="s">
        <v>142</v>
      </c>
      <c r="X7169" s="2">
        <v>509.07499999999999</v>
      </c>
    </row>
    <row r="7170" spans="1:24" x14ac:dyDescent="0.3">
      <c r="A7170">
        <v>24984</v>
      </c>
      <c r="B7170" t="s">
        <v>14060</v>
      </c>
      <c r="C7170" s="3">
        <v>41322</v>
      </c>
      <c r="D7170" t="s">
        <v>25</v>
      </c>
      <c r="E7170">
        <v>1</v>
      </c>
      <c r="F7170" s="3">
        <f ca="1">41324+(RANDBETWEEN(1,10))</f>
        <v>41329</v>
      </c>
      <c r="G7170" t="s">
        <v>26</v>
      </c>
      <c r="H7170" t="s">
        <v>27</v>
      </c>
      <c r="I7170" t="s">
        <v>86</v>
      </c>
      <c r="J7170">
        <v>63.524999999999999</v>
      </c>
      <c r="K7170">
        <v>0.04</v>
      </c>
      <c r="L7170">
        <v>0.56999999999999995</v>
      </c>
      <c r="M7170">
        <v>21.454999999999998</v>
      </c>
      <c r="N7170">
        <v>-25.41</v>
      </c>
      <c r="O7170" s="1" t="s">
        <v>29</v>
      </c>
      <c r="P7170" s="1" t="s">
        <v>12951</v>
      </c>
      <c r="Q7170" s="1" t="s">
        <v>12952</v>
      </c>
      <c r="R7170" s="1" t="s">
        <v>675</v>
      </c>
      <c r="S7170" s="1" t="s">
        <v>759</v>
      </c>
      <c r="T7170" s="1" t="s">
        <v>760</v>
      </c>
      <c r="U7170" s="2" t="s">
        <v>5922</v>
      </c>
      <c r="V7170" s="2" t="s">
        <v>47</v>
      </c>
      <c r="W7170" s="2" t="s">
        <v>119</v>
      </c>
      <c r="X7170" s="2">
        <v>42.98</v>
      </c>
    </row>
    <row r="7171" spans="1:24" x14ac:dyDescent="0.3">
      <c r="A7171">
        <v>24985</v>
      </c>
      <c r="B7171" t="s">
        <v>14061</v>
      </c>
      <c r="C7171" s="3">
        <v>41419</v>
      </c>
      <c r="D7171" t="s">
        <v>62</v>
      </c>
      <c r="E7171">
        <v>19</v>
      </c>
      <c r="F7171" s="3">
        <f ca="1">41421+(RANDBETWEEN(1,10))</f>
        <v>41427</v>
      </c>
      <c r="G7171" t="s">
        <v>26</v>
      </c>
      <c r="H7171" t="s">
        <v>27</v>
      </c>
      <c r="I7171" t="s">
        <v>97</v>
      </c>
      <c r="J7171">
        <v>282.83499999999998</v>
      </c>
      <c r="K7171">
        <v>7.0000000000000007E-2</v>
      </c>
      <c r="L7171">
        <v>0.35</v>
      </c>
      <c r="M7171">
        <v>18.934999999999999</v>
      </c>
      <c r="N7171">
        <v>-544.34100000000001</v>
      </c>
      <c r="O7171" s="1" t="s">
        <v>29</v>
      </c>
      <c r="P7171" s="1" t="s">
        <v>12403</v>
      </c>
      <c r="Q7171" s="1" t="s">
        <v>12404</v>
      </c>
      <c r="R7171" s="1" t="s">
        <v>675</v>
      </c>
      <c r="S7171" s="1" t="s">
        <v>12405</v>
      </c>
      <c r="T7171" s="1" t="s">
        <v>12406</v>
      </c>
      <c r="U7171" s="2" t="s">
        <v>231</v>
      </c>
      <c r="V7171" s="2" t="s">
        <v>47</v>
      </c>
      <c r="W7171" s="2" t="s">
        <v>111</v>
      </c>
      <c r="X7171" s="2">
        <v>14.84</v>
      </c>
    </row>
    <row r="7172" spans="1:24" x14ac:dyDescent="0.3">
      <c r="A7172">
        <v>24986</v>
      </c>
      <c r="B7172" t="s">
        <v>14061</v>
      </c>
      <c r="C7172" s="3">
        <v>41419</v>
      </c>
      <c r="D7172" t="s">
        <v>62</v>
      </c>
      <c r="E7172">
        <v>5</v>
      </c>
      <c r="F7172" s="3">
        <f ca="1">41421+(RANDBETWEEN(1,10))</f>
        <v>41425</v>
      </c>
      <c r="G7172" t="s">
        <v>26</v>
      </c>
      <c r="H7172" t="s">
        <v>51</v>
      </c>
      <c r="I7172" t="s">
        <v>97</v>
      </c>
      <c r="J7172">
        <v>44.555</v>
      </c>
      <c r="K7172">
        <v>0.08</v>
      </c>
      <c r="L7172">
        <v>0.41</v>
      </c>
      <c r="M7172">
        <v>15.994999999999999</v>
      </c>
      <c r="N7172">
        <v>-125.86</v>
      </c>
      <c r="O7172" s="1" t="s">
        <v>29</v>
      </c>
      <c r="P7172" s="1" t="s">
        <v>12403</v>
      </c>
      <c r="Q7172" s="1" t="s">
        <v>12404</v>
      </c>
      <c r="R7172" s="1" t="s">
        <v>675</v>
      </c>
      <c r="S7172" s="1" t="s">
        <v>12405</v>
      </c>
      <c r="T7172" s="1" t="s">
        <v>12406</v>
      </c>
      <c r="U7172" s="2" t="s">
        <v>3903</v>
      </c>
      <c r="V7172" s="2" t="s">
        <v>83</v>
      </c>
      <c r="W7172" s="2" t="s">
        <v>178</v>
      </c>
      <c r="X7172" s="2">
        <v>7.8049999999999997</v>
      </c>
    </row>
    <row r="7173" spans="1:24" x14ac:dyDescent="0.3">
      <c r="A7173">
        <v>24987</v>
      </c>
      <c r="B7173" t="s">
        <v>14062</v>
      </c>
      <c r="C7173" s="3">
        <v>40930</v>
      </c>
      <c r="D7173" t="s">
        <v>39</v>
      </c>
      <c r="E7173">
        <v>1</v>
      </c>
      <c r="F7173" s="3">
        <f ca="1">40931+(RANDBETWEEN(1,10))</f>
        <v>40938</v>
      </c>
      <c r="G7173" t="s">
        <v>26</v>
      </c>
      <c r="H7173" t="s">
        <v>96</v>
      </c>
      <c r="I7173" t="s">
        <v>28</v>
      </c>
      <c r="J7173">
        <v>11.935</v>
      </c>
      <c r="K7173">
        <v>0.06</v>
      </c>
      <c r="L7173">
        <v>0.56000000000000005</v>
      </c>
      <c r="M7173">
        <v>2.4500000000000002</v>
      </c>
      <c r="N7173">
        <v>-7.7252000000000001</v>
      </c>
      <c r="O7173" s="1" t="s">
        <v>225</v>
      </c>
      <c r="P7173" s="1" t="s">
        <v>12803</v>
      </c>
      <c r="Q7173" s="1" t="s">
        <v>12804</v>
      </c>
      <c r="R7173" s="1" t="s">
        <v>228</v>
      </c>
      <c r="S7173" s="1" t="s">
        <v>12805</v>
      </c>
      <c r="T7173" s="1" t="s">
        <v>12806</v>
      </c>
      <c r="U7173" s="2" t="s">
        <v>3059</v>
      </c>
      <c r="V7173" s="2" t="s">
        <v>47</v>
      </c>
      <c r="W7173" s="2" t="s">
        <v>104</v>
      </c>
      <c r="X7173" s="2">
        <v>10.08</v>
      </c>
    </row>
    <row r="7174" spans="1:24" x14ac:dyDescent="0.3">
      <c r="A7174">
        <v>24988</v>
      </c>
      <c r="B7174" t="s">
        <v>14063</v>
      </c>
      <c r="C7174" s="3">
        <v>41840</v>
      </c>
      <c r="D7174" t="s">
        <v>50</v>
      </c>
      <c r="E7174">
        <v>9</v>
      </c>
      <c r="F7174" s="3">
        <f ca="1">41840+(RANDBETWEEN(1,10))</f>
        <v>41843</v>
      </c>
      <c r="G7174" t="s">
        <v>26</v>
      </c>
      <c r="H7174" t="s">
        <v>27</v>
      </c>
      <c r="I7174" t="s">
        <v>97</v>
      </c>
      <c r="J7174">
        <v>169.05</v>
      </c>
      <c r="K7174">
        <v>0.01</v>
      </c>
      <c r="L7174">
        <v>0.37</v>
      </c>
      <c r="M7174">
        <v>17.324999999999999</v>
      </c>
      <c r="N7174">
        <v>-172.63772399999999</v>
      </c>
      <c r="O7174" s="1" t="s">
        <v>87</v>
      </c>
      <c r="P7174" s="1" t="s">
        <v>13860</v>
      </c>
      <c r="Q7174" s="1" t="s">
        <v>13861</v>
      </c>
      <c r="R7174" s="1" t="s">
        <v>398</v>
      </c>
      <c r="S7174" s="1" t="s">
        <v>7233</v>
      </c>
      <c r="T7174" s="1" t="s">
        <v>7234</v>
      </c>
      <c r="U7174" s="2" t="s">
        <v>5209</v>
      </c>
      <c r="V7174" s="2" t="s">
        <v>47</v>
      </c>
      <c r="W7174" s="2" t="s">
        <v>111</v>
      </c>
      <c r="X7174" s="2">
        <v>17.43</v>
      </c>
    </row>
    <row r="7175" spans="1:24" x14ac:dyDescent="0.3">
      <c r="A7175">
        <v>24989</v>
      </c>
      <c r="B7175" t="s">
        <v>14063</v>
      </c>
      <c r="C7175" s="3">
        <v>41840</v>
      </c>
      <c r="D7175" t="s">
        <v>50</v>
      </c>
      <c r="E7175">
        <v>10</v>
      </c>
      <c r="F7175" s="3">
        <f ca="1">41842+(RANDBETWEEN(1,10))</f>
        <v>41851</v>
      </c>
      <c r="G7175" t="s">
        <v>26</v>
      </c>
      <c r="H7175" t="s">
        <v>96</v>
      </c>
      <c r="I7175" t="s">
        <v>97</v>
      </c>
      <c r="J7175">
        <v>249.41</v>
      </c>
      <c r="K7175">
        <v>0.08</v>
      </c>
      <c r="L7175">
        <v>0.42</v>
      </c>
      <c r="M7175">
        <v>14</v>
      </c>
      <c r="N7175">
        <v>51.179519999999997</v>
      </c>
      <c r="O7175" s="1" t="s">
        <v>87</v>
      </c>
      <c r="P7175" s="1" t="s">
        <v>13860</v>
      </c>
      <c r="Q7175" s="1" t="s">
        <v>13861</v>
      </c>
      <c r="R7175" s="1" t="s">
        <v>398</v>
      </c>
      <c r="S7175" s="1" t="s">
        <v>7233</v>
      </c>
      <c r="T7175" s="1" t="s">
        <v>7234</v>
      </c>
      <c r="U7175" s="2" t="s">
        <v>2801</v>
      </c>
      <c r="V7175" s="2" t="s">
        <v>83</v>
      </c>
      <c r="W7175" s="2" t="s">
        <v>178</v>
      </c>
      <c r="X7175" s="2">
        <v>26.565000000000001</v>
      </c>
    </row>
    <row r="7176" spans="1:24" x14ac:dyDescent="0.3">
      <c r="A7176">
        <v>24990</v>
      </c>
      <c r="B7176" t="s">
        <v>14063</v>
      </c>
      <c r="C7176" s="3">
        <v>41840</v>
      </c>
      <c r="D7176" t="s">
        <v>50</v>
      </c>
      <c r="E7176">
        <v>14</v>
      </c>
      <c r="F7176" s="3">
        <f ca="1">41841+(RANDBETWEEN(1,10))</f>
        <v>41848</v>
      </c>
      <c r="G7176" t="s">
        <v>26</v>
      </c>
      <c r="H7176" t="s">
        <v>96</v>
      </c>
      <c r="I7176" t="s">
        <v>97</v>
      </c>
      <c r="J7176">
        <v>107.625</v>
      </c>
      <c r="K7176">
        <v>0.04</v>
      </c>
      <c r="L7176">
        <v>0.52</v>
      </c>
      <c r="M7176">
        <v>2.73</v>
      </c>
      <c r="N7176">
        <v>25.399360000000001</v>
      </c>
      <c r="O7176" s="1" t="s">
        <v>87</v>
      </c>
      <c r="P7176" s="1" t="s">
        <v>13860</v>
      </c>
      <c r="Q7176" s="1" t="s">
        <v>13861</v>
      </c>
      <c r="R7176" s="1" t="s">
        <v>398</v>
      </c>
      <c r="S7176" s="1" t="s">
        <v>7233</v>
      </c>
      <c r="T7176" s="1" t="s">
        <v>7234</v>
      </c>
      <c r="U7176" s="2" t="s">
        <v>5921</v>
      </c>
      <c r="V7176" s="2" t="s">
        <v>47</v>
      </c>
      <c r="W7176" s="2" t="s">
        <v>176</v>
      </c>
      <c r="X7176" s="2">
        <v>7.63</v>
      </c>
    </row>
    <row r="7177" spans="1:24" x14ac:dyDescent="0.3">
      <c r="A7177">
        <v>24991</v>
      </c>
      <c r="B7177" t="s">
        <v>14064</v>
      </c>
      <c r="C7177" s="3">
        <v>41597</v>
      </c>
      <c r="D7177" t="s">
        <v>39</v>
      </c>
      <c r="E7177">
        <v>10</v>
      </c>
      <c r="F7177" s="3">
        <f ca="1">41598+(RANDBETWEEN(1,10))</f>
        <v>41599</v>
      </c>
      <c r="G7177" t="s">
        <v>156</v>
      </c>
      <c r="H7177" t="s">
        <v>281</v>
      </c>
      <c r="I7177" t="s">
        <v>28</v>
      </c>
      <c r="J7177">
        <v>3860.71</v>
      </c>
      <c r="K7177">
        <v>0.04</v>
      </c>
      <c r="L7177">
        <v>0.65</v>
      </c>
      <c r="M7177">
        <v>20.335000000000001</v>
      </c>
      <c r="N7177">
        <v>2663.8899000000001</v>
      </c>
      <c r="O7177" s="1" t="s">
        <v>225</v>
      </c>
      <c r="P7177" s="1" t="s">
        <v>10274</v>
      </c>
      <c r="Q7177" s="1" t="s">
        <v>10275</v>
      </c>
      <c r="R7177" s="1" t="s">
        <v>228</v>
      </c>
      <c r="S7177" s="1" t="s">
        <v>10276</v>
      </c>
      <c r="T7177" s="1" t="s">
        <v>10277</v>
      </c>
      <c r="U7177" s="2" t="s">
        <v>351</v>
      </c>
      <c r="V7177" s="2" t="s">
        <v>83</v>
      </c>
      <c r="W7177" s="2" t="s">
        <v>178</v>
      </c>
      <c r="X7177" s="2">
        <v>376.35500000000002</v>
      </c>
    </row>
    <row r="7178" spans="1:24" x14ac:dyDescent="0.3">
      <c r="A7178">
        <v>24992</v>
      </c>
      <c r="B7178" t="s">
        <v>14065</v>
      </c>
      <c r="C7178" s="3">
        <v>41715</v>
      </c>
      <c r="D7178" t="s">
        <v>50</v>
      </c>
      <c r="E7178">
        <v>5</v>
      </c>
      <c r="F7178" s="3">
        <f ca="1">41716+(RANDBETWEEN(1,10))</f>
        <v>41718</v>
      </c>
      <c r="G7178" t="s">
        <v>26</v>
      </c>
      <c r="H7178" t="s">
        <v>27</v>
      </c>
      <c r="I7178" t="s">
        <v>97</v>
      </c>
      <c r="J7178">
        <v>275.625</v>
      </c>
      <c r="K7178">
        <v>0.1</v>
      </c>
      <c r="L7178">
        <v>0.48</v>
      </c>
      <c r="M7178">
        <v>22.75</v>
      </c>
      <c r="N7178">
        <v>-1357.0550000000001</v>
      </c>
      <c r="O7178" s="1" t="s">
        <v>64</v>
      </c>
      <c r="P7178" s="1" t="s">
        <v>14066</v>
      </c>
      <c r="Q7178" s="1" t="s">
        <v>14067</v>
      </c>
      <c r="R7178" s="1" t="s">
        <v>67</v>
      </c>
      <c r="S7178" s="1" t="s">
        <v>14068</v>
      </c>
      <c r="T7178" s="1" t="s">
        <v>14069</v>
      </c>
      <c r="U7178" s="2" t="s">
        <v>1006</v>
      </c>
      <c r="V7178" s="2" t="s">
        <v>36</v>
      </c>
      <c r="W7178" s="2" t="s">
        <v>60</v>
      </c>
      <c r="X7178" s="2">
        <v>55.93</v>
      </c>
    </row>
    <row r="7179" spans="1:24" x14ac:dyDescent="0.3">
      <c r="A7179">
        <v>24993</v>
      </c>
      <c r="B7179" t="s">
        <v>14065</v>
      </c>
      <c r="C7179" s="3">
        <v>41715</v>
      </c>
      <c r="D7179" t="s">
        <v>50</v>
      </c>
      <c r="E7179">
        <v>9</v>
      </c>
      <c r="F7179" s="3">
        <f ca="1">41715+(RANDBETWEEN(1,10))</f>
        <v>41718</v>
      </c>
      <c r="G7179" t="s">
        <v>156</v>
      </c>
      <c r="H7179" t="s">
        <v>27</v>
      </c>
      <c r="I7179" t="s">
        <v>97</v>
      </c>
      <c r="J7179">
        <v>211.85499999999999</v>
      </c>
      <c r="K7179">
        <v>0.09</v>
      </c>
      <c r="L7179">
        <v>0.37</v>
      </c>
      <c r="M7179">
        <v>23.1</v>
      </c>
      <c r="N7179">
        <v>371.00700000000001</v>
      </c>
      <c r="O7179" s="1" t="s">
        <v>64</v>
      </c>
      <c r="P7179" s="1" t="s">
        <v>14066</v>
      </c>
      <c r="Q7179" s="1" t="s">
        <v>14067</v>
      </c>
      <c r="R7179" s="1" t="s">
        <v>67</v>
      </c>
      <c r="S7179" s="1" t="s">
        <v>14068</v>
      </c>
      <c r="T7179" s="1" t="s">
        <v>14069</v>
      </c>
      <c r="U7179" s="2" t="s">
        <v>241</v>
      </c>
      <c r="V7179" s="2" t="s">
        <v>47</v>
      </c>
      <c r="W7179" s="2" t="s">
        <v>74</v>
      </c>
      <c r="X7179" s="2">
        <v>22.68</v>
      </c>
    </row>
    <row r="7180" spans="1:24" x14ac:dyDescent="0.3">
      <c r="A7180">
        <v>24994</v>
      </c>
      <c r="B7180" t="s">
        <v>14070</v>
      </c>
      <c r="C7180" s="3">
        <v>41697</v>
      </c>
      <c r="D7180" t="s">
        <v>62</v>
      </c>
      <c r="E7180">
        <v>9</v>
      </c>
      <c r="F7180" s="3">
        <f ca="1">41699+(RANDBETWEEN(1,10))</f>
        <v>41704</v>
      </c>
      <c r="G7180" t="s">
        <v>26</v>
      </c>
      <c r="H7180" t="s">
        <v>27</v>
      </c>
      <c r="I7180" t="s">
        <v>97</v>
      </c>
      <c r="J7180">
        <v>1680.98</v>
      </c>
      <c r="K7180">
        <v>0.08</v>
      </c>
      <c r="L7180">
        <v>0.56000000000000005</v>
      </c>
      <c r="M7180">
        <v>31.465</v>
      </c>
      <c r="N7180">
        <v>870.03</v>
      </c>
      <c r="O7180" s="1" t="s">
        <v>53</v>
      </c>
      <c r="P7180" s="1" t="s">
        <v>5116</v>
      </c>
      <c r="Q7180" s="1" t="s">
        <v>5117</v>
      </c>
      <c r="R7180" s="1" t="s">
        <v>56</v>
      </c>
      <c r="S7180" s="1" t="s">
        <v>5118</v>
      </c>
      <c r="T7180" s="1" t="s">
        <v>5119</v>
      </c>
      <c r="U7180" s="2" t="s">
        <v>164</v>
      </c>
      <c r="V7180" s="2" t="s">
        <v>36</v>
      </c>
      <c r="W7180" s="2" t="s">
        <v>37</v>
      </c>
      <c r="X7180" s="2">
        <v>230.965</v>
      </c>
    </row>
    <row r="7181" spans="1:24" x14ac:dyDescent="0.3">
      <c r="A7181">
        <v>24995</v>
      </c>
      <c r="B7181" t="s">
        <v>14071</v>
      </c>
      <c r="C7181" s="3">
        <v>40674</v>
      </c>
      <c r="D7181" t="s">
        <v>25</v>
      </c>
      <c r="E7181">
        <v>5</v>
      </c>
      <c r="F7181" s="3">
        <f ca="1">40678+(RANDBETWEEN(1,10))</f>
        <v>40688</v>
      </c>
      <c r="G7181" t="s">
        <v>26</v>
      </c>
      <c r="H7181" t="s">
        <v>27</v>
      </c>
      <c r="I7181" t="s">
        <v>86</v>
      </c>
      <c r="J7181">
        <v>71.61</v>
      </c>
      <c r="K7181">
        <v>0.02</v>
      </c>
      <c r="L7181">
        <v>0.38</v>
      </c>
      <c r="M7181">
        <v>5.2149999999999999</v>
      </c>
      <c r="N7181">
        <v>25.585000000000001</v>
      </c>
      <c r="O7181" s="1" t="s">
        <v>64</v>
      </c>
      <c r="P7181" s="1" t="s">
        <v>14072</v>
      </c>
      <c r="Q7181" s="1" t="s">
        <v>14073</v>
      </c>
      <c r="R7181" s="1" t="s">
        <v>67</v>
      </c>
      <c r="S7181" s="1" t="s">
        <v>68</v>
      </c>
      <c r="T7181" s="1" t="s">
        <v>7691</v>
      </c>
      <c r="U7181" s="2" t="s">
        <v>1763</v>
      </c>
      <c r="V7181" s="2" t="s">
        <v>47</v>
      </c>
      <c r="W7181" s="2" t="s">
        <v>111</v>
      </c>
      <c r="X7181" s="2">
        <v>13.3</v>
      </c>
    </row>
    <row r="7182" spans="1:24" x14ac:dyDescent="0.3">
      <c r="A7182">
        <v>24996</v>
      </c>
      <c r="B7182" t="s">
        <v>14074</v>
      </c>
      <c r="C7182" s="3">
        <v>41770</v>
      </c>
      <c r="D7182" t="s">
        <v>25</v>
      </c>
      <c r="E7182">
        <v>10</v>
      </c>
      <c r="F7182" s="3">
        <f ca="1">41770+(RANDBETWEEN(1,10))</f>
        <v>41779</v>
      </c>
      <c r="G7182" t="s">
        <v>26</v>
      </c>
      <c r="H7182" t="s">
        <v>27</v>
      </c>
      <c r="I7182" t="s">
        <v>86</v>
      </c>
      <c r="J7182">
        <v>249.23500000000001</v>
      </c>
      <c r="K7182">
        <v>0.02</v>
      </c>
      <c r="L7182">
        <v>0.37</v>
      </c>
      <c r="M7182">
        <v>29.4</v>
      </c>
      <c r="N7182">
        <v>-457.13499999999999</v>
      </c>
      <c r="O7182" s="1" t="s">
        <v>87</v>
      </c>
      <c r="P7182" s="1" t="s">
        <v>14075</v>
      </c>
      <c r="Q7182" s="1" t="s">
        <v>14076</v>
      </c>
      <c r="R7182" s="1" t="s">
        <v>646</v>
      </c>
      <c r="S7182" s="1" t="s">
        <v>14077</v>
      </c>
      <c r="T7182" s="1" t="s">
        <v>14078</v>
      </c>
      <c r="U7182" s="2" t="s">
        <v>2097</v>
      </c>
      <c r="V7182" s="2" t="s">
        <v>47</v>
      </c>
      <c r="W7182" s="2" t="s">
        <v>74</v>
      </c>
      <c r="X7182" s="2">
        <v>22.68</v>
      </c>
    </row>
    <row r="7183" spans="1:24" x14ac:dyDescent="0.3">
      <c r="A7183">
        <v>24997</v>
      </c>
      <c r="B7183" t="s">
        <v>14079</v>
      </c>
      <c r="C7183" s="3">
        <v>41196</v>
      </c>
      <c r="D7183" t="s">
        <v>62</v>
      </c>
      <c r="E7183">
        <v>18</v>
      </c>
      <c r="F7183" s="3">
        <f ca="1">41198+(RANDBETWEEN(1,10))</f>
        <v>41206</v>
      </c>
      <c r="G7183" t="s">
        <v>26</v>
      </c>
      <c r="H7183" t="s">
        <v>96</v>
      </c>
      <c r="I7183" t="s">
        <v>52</v>
      </c>
      <c r="J7183">
        <v>178.29</v>
      </c>
      <c r="K7183">
        <v>0.05</v>
      </c>
      <c r="L7183">
        <v>0.54</v>
      </c>
      <c r="M7183">
        <v>3.2549999999999999</v>
      </c>
      <c r="N7183">
        <v>27.692</v>
      </c>
      <c r="O7183" s="1" t="s">
        <v>87</v>
      </c>
      <c r="P7183" s="1" t="s">
        <v>10249</v>
      </c>
      <c r="Q7183" s="1" t="s">
        <v>10250</v>
      </c>
      <c r="R7183" s="1" t="s">
        <v>90</v>
      </c>
      <c r="S7183" s="1" t="s">
        <v>10251</v>
      </c>
      <c r="T7183" s="1" t="s">
        <v>10252</v>
      </c>
      <c r="U7183" s="2" t="s">
        <v>1476</v>
      </c>
      <c r="V7183" s="2" t="s">
        <v>47</v>
      </c>
      <c r="W7183" s="2" t="s">
        <v>104</v>
      </c>
      <c r="X7183" s="2">
        <v>9.94</v>
      </c>
    </row>
    <row r="7184" spans="1:24" x14ac:dyDescent="0.3">
      <c r="A7184">
        <v>24998</v>
      </c>
      <c r="B7184" t="s">
        <v>14080</v>
      </c>
      <c r="C7184" s="3">
        <v>41293</v>
      </c>
      <c r="D7184" t="s">
        <v>39</v>
      </c>
      <c r="E7184">
        <v>4</v>
      </c>
      <c r="F7184" s="3">
        <f ca="1">41295+(RANDBETWEEN(1,10))</f>
        <v>41296</v>
      </c>
      <c r="G7184" t="s">
        <v>26</v>
      </c>
      <c r="H7184" t="s">
        <v>96</v>
      </c>
      <c r="I7184" t="s">
        <v>52</v>
      </c>
      <c r="J7184">
        <v>242.27</v>
      </c>
      <c r="K7184">
        <v>0.03</v>
      </c>
      <c r="L7184">
        <v>0.37</v>
      </c>
      <c r="M7184">
        <v>3.4649999999999999</v>
      </c>
      <c r="N7184">
        <v>5783.7391500000003</v>
      </c>
      <c r="O7184" s="1" t="s">
        <v>87</v>
      </c>
      <c r="P7184" s="1" t="s">
        <v>13403</v>
      </c>
      <c r="Q7184" s="1" t="s">
        <v>13404</v>
      </c>
      <c r="R7184" s="1" t="s">
        <v>646</v>
      </c>
      <c r="S7184" s="1" t="s">
        <v>4444</v>
      </c>
      <c r="T7184" s="1" t="s">
        <v>4445</v>
      </c>
      <c r="U7184" s="2" t="s">
        <v>3359</v>
      </c>
      <c r="V7184" s="2" t="s">
        <v>36</v>
      </c>
      <c r="W7184" s="2" t="s">
        <v>37</v>
      </c>
      <c r="X7184" s="2">
        <v>73.465000000000003</v>
      </c>
    </row>
    <row r="7185" spans="1:24" x14ac:dyDescent="0.3">
      <c r="A7185">
        <v>24999</v>
      </c>
      <c r="B7185" t="s">
        <v>14080</v>
      </c>
      <c r="C7185" s="3">
        <v>41293</v>
      </c>
      <c r="D7185" t="s">
        <v>39</v>
      </c>
      <c r="E7185">
        <v>4</v>
      </c>
      <c r="F7185" s="3">
        <f ca="1">41296+(RANDBETWEEN(1,10))</f>
        <v>41298</v>
      </c>
      <c r="G7185" t="s">
        <v>76</v>
      </c>
      <c r="H7185" t="s">
        <v>258</v>
      </c>
      <c r="I7185" t="s">
        <v>52</v>
      </c>
      <c r="J7185">
        <v>1675.8</v>
      </c>
      <c r="K7185">
        <v>0.05</v>
      </c>
      <c r="L7185">
        <v>0.76</v>
      </c>
      <c r="M7185">
        <v>205.52</v>
      </c>
      <c r="N7185">
        <v>-2717.0136000000002</v>
      </c>
      <c r="O7185" s="1" t="s">
        <v>87</v>
      </c>
      <c r="P7185" s="1" t="s">
        <v>14081</v>
      </c>
      <c r="Q7185" s="1" t="s">
        <v>14082</v>
      </c>
      <c r="R7185" s="1" t="s">
        <v>398</v>
      </c>
      <c r="S7185" s="1" t="s">
        <v>4380</v>
      </c>
      <c r="T7185" s="1" t="s">
        <v>4381</v>
      </c>
      <c r="U7185" s="2" t="s">
        <v>4900</v>
      </c>
      <c r="V7185" s="2" t="s">
        <v>83</v>
      </c>
      <c r="W7185" s="2" t="s">
        <v>298</v>
      </c>
      <c r="X7185" s="2">
        <v>402.43</v>
      </c>
    </row>
    <row r="7186" spans="1:24" x14ac:dyDescent="0.3">
      <c r="A7186">
        <v>25000</v>
      </c>
      <c r="B7186" t="s">
        <v>14080</v>
      </c>
      <c r="C7186" s="3">
        <v>41293</v>
      </c>
      <c r="D7186" t="s">
        <v>39</v>
      </c>
      <c r="E7186">
        <v>1</v>
      </c>
      <c r="F7186" s="3">
        <f ca="1">41296+(RANDBETWEEN(1,10))</f>
        <v>41299</v>
      </c>
      <c r="G7186" t="s">
        <v>76</v>
      </c>
      <c r="H7186" t="s">
        <v>258</v>
      </c>
      <c r="I7186" t="s">
        <v>52</v>
      </c>
      <c r="J7186">
        <v>810.77499999999998</v>
      </c>
      <c r="K7186">
        <v>0.03</v>
      </c>
      <c r="L7186">
        <v>0.64</v>
      </c>
      <c r="M7186">
        <v>182.7</v>
      </c>
      <c r="N7186">
        <v>-983.06208000000004</v>
      </c>
      <c r="O7186" s="1" t="s">
        <v>87</v>
      </c>
      <c r="P7186" s="1" t="s">
        <v>14081</v>
      </c>
      <c r="Q7186" s="1" t="s">
        <v>14082</v>
      </c>
      <c r="R7186" s="1" t="s">
        <v>398</v>
      </c>
      <c r="S7186" s="1" t="s">
        <v>4380</v>
      </c>
      <c r="T7186" s="1" t="s">
        <v>4381</v>
      </c>
      <c r="U7186" s="2" t="s">
        <v>1775</v>
      </c>
      <c r="V7186" s="2" t="s">
        <v>83</v>
      </c>
      <c r="W7186" s="2" t="s">
        <v>263</v>
      </c>
      <c r="X7186" s="2">
        <v>744.1</v>
      </c>
    </row>
    <row r="7187" spans="1:24" x14ac:dyDescent="0.3">
      <c r="A7187">
        <v>25001</v>
      </c>
      <c r="B7187" t="s">
        <v>14083</v>
      </c>
      <c r="C7187" s="3">
        <v>41263</v>
      </c>
      <c r="D7187" t="s">
        <v>39</v>
      </c>
      <c r="E7187">
        <v>20</v>
      </c>
      <c r="F7187" s="3">
        <f ca="1">41266+(RANDBETWEEN(1,10))</f>
        <v>41267</v>
      </c>
      <c r="G7187" t="s">
        <v>26</v>
      </c>
      <c r="H7187" t="s">
        <v>63</v>
      </c>
      <c r="I7187" t="s">
        <v>97</v>
      </c>
      <c r="J7187">
        <v>12585.51</v>
      </c>
      <c r="K7187">
        <v>0</v>
      </c>
      <c r="L7187">
        <v>0.85</v>
      </c>
      <c r="M7187">
        <v>122.5</v>
      </c>
      <c r="N7187">
        <v>-388.79750000000001</v>
      </c>
      <c r="O7187" s="1" t="s">
        <v>40</v>
      </c>
      <c r="P7187" s="1" t="s">
        <v>7650</v>
      </c>
      <c r="Q7187" s="1" t="s">
        <v>7651</v>
      </c>
      <c r="R7187" s="1" t="s">
        <v>220</v>
      </c>
      <c r="S7187" s="1" t="s">
        <v>7652</v>
      </c>
      <c r="T7187" s="1" t="s">
        <v>7653</v>
      </c>
      <c r="U7187" s="2" t="s">
        <v>4771</v>
      </c>
      <c r="V7187" s="2" t="s">
        <v>47</v>
      </c>
      <c r="W7187" s="2" t="s">
        <v>119</v>
      </c>
      <c r="X7187" s="2">
        <v>585.44500000000005</v>
      </c>
    </row>
    <row r="7188" spans="1:24" x14ac:dyDescent="0.3">
      <c r="A7188">
        <v>25002</v>
      </c>
      <c r="B7188" t="s">
        <v>14083</v>
      </c>
      <c r="C7188" s="3">
        <v>41263</v>
      </c>
      <c r="D7188" t="s">
        <v>39</v>
      </c>
      <c r="E7188">
        <v>15</v>
      </c>
      <c r="F7188" s="3">
        <f ca="1">41265+(RANDBETWEEN(1,10))</f>
        <v>41270</v>
      </c>
      <c r="G7188" t="s">
        <v>76</v>
      </c>
      <c r="H7188" t="s">
        <v>258</v>
      </c>
      <c r="I7188" t="s">
        <v>97</v>
      </c>
      <c r="J7188">
        <v>16167.725</v>
      </c>
      <c r="K7188">
        <v>0.08</v>
      </c>
      <c r="L7188">
        <v>0.71</v>
      </c>
      <c r="M7188">
        <v>148.82</v>
      </c>
      <c r="N7188">
        <v>-1695.8346405</v>
      </c>
      <c r="O7188" s="1" t="s">
        <v>40</v>
      </c>
      <c r="P7188" s="1" t="s">
        <v>7650</v>
      </c>
      <c r="Q7188" s="1" t="s">
        <v>7651</v>
      </c>
      <c r="R7188" s="1" t="s">
        <v>220</v>
      </c>
      <c r="S7188" s="1" t="s">
        <v>7652</v>
      </c>
      <c r="T7188" s="1" t="s">
        <v>7653</v>
      </c>
      <c r="U7188" s="2" t="s">
        <v>2984</v>
      </c>
      <c r="V7188" s="2" t="s">
        <v>83</v>
      </c>
      <c r="W7188" s="2" t="s">
        <v>263</v>
      </c>
      <c r="X7188" s="2">
        <v>1403.43</v>
      </c>
    </row>
    <row r="7189" spans="1:24" x14ac:dyDescent="0.3">
      <c r="A7189">
        <v>25003</v>
      </c>
      <c r="B7189" t="s">
        <v>14083</v>
      </c>
      <c r="C7189" s="3">
        <v>41263</v>
      </c>
      <c r="D7189" t="s">
        <v>39</v>
      </c>
      <c r="E7189">
        <v>15</v>
      </c>
      <c r="F7189" s="3">
        <f ca="1">41266+(RANDBETWEEN(1,10))</f>
        <v>41267</v>
      </c>
      <c r="G7189" t="s">
        <v>26</v>
      </c>
      <c r="H7189" t="s">
        <v>27</v>
      </c>
      <c r="I7189" t="s">
        <v>97</v>
      </c>
      <c r="J7189">
        <v>9282.3850000000002</v>
      </c>
      <c r="K7189">
        <v>0.01</v>
      </c>
      <c r="L7189">
        <v>0.57999999999999996</v>
      </c>
      <c r="M7189">
        <v>9.7650000000000006</v>
      </c>
      <c r="N7189">
        <v>6404.8456500000002</v>
      </c>
      <c r="O7189" s="1" t="s">
        <v>40</v>
      </c>
      <c r="P7189" s="1" t="s">
        <v>7650</v>
      </c>
      <c r="Q7189" s="1" t="s">
        <v>7651</v>
      </c>
      <c r="R7189" s="1" t="s">
        <v>220</v>
      </c>
      <c r="S7189" s="1" t="s">
        <v>7652</v>
      </c>
      <c r="T7189" s="1" t="s">
        <v>7653</v>
      </c>
      <c r="U7189" s="2" t="s">
        <v>13444</v>
      </c>
      <c r="V7189" s="2" t="s">
        <v>36</v>
      </c>
      <c r="W7189" s="2" t="s">
        <v>37</v>
      </c>
      <c r="X7189" s="2">
        <v>720.96500000000003</v>
      </c>
    </row>
    <row r="7190" spans="1:24" x14ac:dyDescent="0.3">
      <c r="A7190">
        <v>25004</v>
      </c>
      <c r="B7190" t="s">
        <v>14084</v>
      </c>
      <c r="C7190" s="3">
        <v>41025</v>
      </c>
      <c r="D7190" t="s">
        <v>50</v>
      </c>
      <c r="E7190">
        <v>2</v>
      </c>
      <c r="F7190" s="3">
        <f ca="1">41026+(RANDBETWEEN(1,10))</f>
        <v>41036</v>
      </c>
      <c r="G7190" t="s">
        <v>26</v>
      </c>
      <c r="H7190" t="s">
        <v>27</v>
      </c>
      <c r="I7190" t="s">
        <v>86</v>
      </c>
      <c r="J7190">
        <v>2164.085</v>
      </c>
      <c r="K7190">
        <v>0.04</v>
      </c>
      <c r="L7190">
        <v>0.48</v>
      </c>
      <c r="M7190">
        <v>25.13</v>
      </c>
      <c r="N7190">
        <v>-1959.23</v>
      </c>
      <c r="O7190" s="1" t="s">
        <v>53</v>
      </c>
      <c r="P7190" s="1" t="s">
        <v>14085</v>
      </c>
      <c r="Q7190" s="1" t="s">
        <v>14086</v>
      </c>
      <c r="R7190" s="1" t="s">
        <v>56</v>
      </c>
      <c r="S7190" s="1" t="s">
        <v>14087</v>
      </c>
      <c r="T7190" s="1" t="s">
        <v>14088</v>
      </c>
      <c r="U7190" s="2" t="s">
        <v>2057</v>
      </c>
      <c r="V7190" s="2" t="s">
        <v>36</v>
      </c>
      <c r="W7190" s="2" t="s">
        <v>60</v>
      </c>
      <c r="X7190" s="2">
        <v>1053.395</v>
      </c>
    </row>
    <row r="7191" spans="1:24" x14ac:dyDescent="0.3">
      <c r="A7191">
        <v>25005</v>
      </c>
      <c r="B7191" t="s">
        <v>14089</v>
      </c>
      <c r="C7191" s="3">
        <v>40791</v>
      </c>
      <c r="D7191" t="s">
        <v>50</v>
      </c>
      <c r="E7191">
        <v>5</v>
      </c>
      <c r="F7191" s="3">
        <f ca="1">40791+(RANDBETWEEN(1,10))</f>
        <v>40793</v>
      </c>
      <c r="G7191" t="s">
        <v>76</v>
      </c>
      <c r="H7191" t="s">
        <v>77</v>
      </c>
      <c r="I7191" t="s">
        <v>28</v>
      </c>
      <c r="J7191">
        <v>8201.69</v>
      </c>
      <c r="K7191">
        <v>0</v>
      </c>
      <c r="L7191">
        <v>0.56000000000000005</v>
      </c>
      <c r="M7191">
        <v>51.45</v>
      </c>
      <c r="N7191">
        <v>1755.2850000000001</v>
      </c>
      <c r="O7191" s="1" t="s">
        <v>225</v>
      </c>
      <c r="P7191" s="1" t="s">
        <v>6460</v>
      </c>
      <c r="Q7191" s="1" t="s">
        <v>6461</v>
      </c>
      <c r="R7191" s="1" t="s">
        <v>228</v>
      </c>
      <c r="S7191" s="1" t="s">
        <v>6462</v>
      </c>
      <c r="T7191" s="1" t="s">
        <v>6463</v>
      </c>
      <c r="U7191" s="2" t="s">
        <v>3549</v>
      </c>
      <c r="V7191" s="2" t="s">
        <v>36</v>
      </c>
      <c r="W7191" s="2" t="s">
        <v>142</v>
      </c>
      <c r="X7191" s="2">
        <v>1547.49</v>
      </c>
    </row>
    <row r="7192" spans="1:24" x14ac:dyDescent="0.3">
      <c r="A7192">
        <v>25006</v>
      </c>
      <c r="B7192" t="s">
        <v>14090</v>
      </c>
      <c r="C7192" s="3">
        <v>40638</v>
      </c>
      <c r="D7192" t="s">
        <v>39</v>
      </c>
      <c r="E7192">
        <v>4</v>
      </c>
      <c r="F7192" s="3">
        <f ca="1">40640+(RANDBETWEEN(1,10))</f>
        <v>40648</v>
      </c>
      <c r="G7192" t="s">
        <v>26</v>
      </c>
      <c r="H7192" t="s">
        <v>96</v>
      </c>
      <c r="I7192" t="s">
        <v>52</v>
      </c>
      <c r="J7192">
        <v>1020.74</v>
      </c>
      <c r="K7192">
        <v>0.05</v>
      </c>
      <c r="L7192">
        <v>0.55000000000000004</v>
      </c>
      <c r="M7192">
        <v>3.4649999999999999</v>
      </c>
      <c r="N7192">
        <v>126.756</v>
      </c>
      <c r="O7192" s="1" t="s">
        <v>87</v>
      </c>
      <c r="P7192" s="1" t="s">
        <v>13699</v>
      </c>
      <c r="Q7192" s="1" t="s">
        <v>13700</v>
      </c>
      <c r="R7192" s="1" t="s">
        <v>90</v>
      </c>
      <c r="S7192" s="1" t="s">
        <v>609</v>
      </c>
      <c r="T7192" s="1" t="s">
        <v>610</v>
      </c>
      <c r="U7192" s="2" t="s">
        <v>5311</v>
      </c>
      <c r="V7192" s="2" t="s">
        <v>36</v>
      </c>
      <c r="W7192" s="2" t="s">
        <v>37</v>
      </c>
      <c r="X7192" s="2">
        <v>300.96499999999997</v>
      </c>
    </row>
    <row r="7193" spans="1:24" x14ac:dyDescent="0.3">
      <c r="A7193">
        <v>25007</v>
      </c>
      <c r="B7193" t="s">
        <v>14091</v>
      </c>
      <c r="C7193" s="3">
        <v>41963</v>
      </c>
      <c r="D7193" t="s">
        <v>25</v>
      </c>
      <c r="E7193">
        <v>39</v>
      </c>
      <c r="F7193" s="3">
        <f ca="1">41965+(RANDBETWEEN(1,10))</f>
        <v>41974</v>
      </c>
      <c r="G7193" t="s">
        <v>26</v>
      </c>
      <c r="H7193" t="s">
        <v>51</v>
      </c>
      <c r="I7193" t="s">
        <v>97</v>
      </c>
      <c r="J7193">
        <v>4769.4849999999997</v>
      </c>
      <c r="K7193">
        <v>7.0000000000000007E-2</v>
      </c>
      <c r="L7193">
        <v>0.56000000000000005</v>
      </c>
      <c r="M7193">
        <v>31.465</v>
      </c>
      <c r="N7193">
        <v>1845.9672</v>
      </c>
      <c r="O7193" s="1" t="s">
        <v>40</v>
      </c>
      <c r="P7193" s="1" t="s">
        <v>13425</v>
      </c>
      <c r="Q7193" s="1" t="s">
        <v>13426</v>
      </c>
      <c r="R7193" s="1" t="s">
        <v>43</v>
      </c>
      <c r="S7193" s="1" t="s">
        <v>13427</v>
      </c>
      <c r="T7193" s="1" t="s">
        <v>13428</v>
      </c>
      <c r="U7193" s="2" t="s">
        <v>741</v>
      </c>
      <c r="V7193" s="2" t="s">
        <v>47</v>
      </c>
      <c r="W7193" s="2" t="s">
        <v>104</v>
      </c>
      <c r="X7193" s="2">
        <v>121.03</v>
      </c>
    </row>
    <row r="7194" spans="1:24" x14ac:dyDescent="0.3">
      <c r="A7194">
        <v>25008</v>
      </c>
      <c r="B7194" t="s">
        <v>14091</v>
      </c>
      <c r="C7194" s="3">
        <v>41963</v>
      </c>
      <c r="D7194" t="s">
        <v>25</v>
      </c>
      <c r="E7194">
        <v>22</v>
      </c>
      <c r="F7194" s="3">
        <f ca="1">41963+(RANDBETWEEN(1,10))</f>
        <v>41970</v>
      </c>
      <c r="G7194" t="s">
        <v>26</v>
      </c>
      <c r="H7194" t="s">
        <v>63</v>
      </c>
      <c r="I7194" t="s">
        <v>97</v>
      </c>
      <c r="J7194">
        <v>6462.0150000000003</v>
      </c>
      <c r="K7194">
        <v>0.1</v>
      </c>
      <c r="L7194">
        <v>0.83</v>
      </c>
      <c r="M7194">
        <v>122.5</v>
      </c>
      <c r="N7194">
        <v>1290.9825599999999</v>
      </c>
      <c r="O7194" s="1" t="s">
        <v>40</v>
      </c>
      <c r="P7194" s="1" t="s">
        <v>13425</v>
      </c>
      <c r="Q7194" s="1" t="s">
        <v>13426</v>
      </c>
      <c r="R7194" s="1" t="s">
        <v>43</v>
      </c>
      <c r="S7194" s="1" t="s">
        <v>13427</v>
      </c>
      <c r="T7194" s="1" t="s">
        <v>13428</v>
      </c>
      <c r="U7194" s="2" t="s">
        <v>6227</v>
      </c>
      <c r="V7194" s="2" t="s">
        <v>47</v>
      </c>
      <c r="W7194" s="2" t="s">
        <v>119</v>
      </c>
      <c r="X7194" s="2">
        <v>314.40499999999997</v>
      </c>
    </row>
    <row r="7195" spans="1:24" x14ac:dyDescent="0.3">
      <c r="A7195">
        <v>25009</v>
      </c>
      <c r="B7195" t="s">
        <v>14092</v>
      </c>
      <c r="C7195" s="3">
        <v>41657</v>
      </c>
      <c r="D7195" t="s">
        <v>39</v>
      </c>
      <c r="E7195">
        <v>4</v>
      </c>
      <c r="F7195" s="3">
        <f ca="1">41659+(RANDBETWEEN(1,10))</f>
        <v>41666</v>
      </c>
      <c r="G7195" t="s">
        <v>26</v>
      </c>
      <c r="H7195" t="s">
        <v>96</v>
      </c>
      <c r="I7195" t="s">
        <v>28</v>
      </c>
      <c r="J7195">
        <v>35.49</v>
      </c>
      <c r="K7195">
        <v>0.09</v>
      </c>
      <c r="L7195">
        <v>0.59</v>
      </c>
      <c r="M7195">
        <v>4.55</v>
      </c>
      <c r="N7195">
        <v>-39.884599999999999</v>
      </c>
      <c r="O7195" s="1" t="s">
        <v>53</v>
      </c>
      <c r="P7195" s="1" t="s">
        <v>11898</v>
      </c>
      <c r="Q7195" s="1" t="s">
        <v>11899</v>
      </c>
      <c r="R7195" s="1" t="s">
        <v>440</v>
      </c>
      <c r="S7195" s="1" t="s">
        <v>7964</v>
      </c>
      <c r="T7195" s="1" t="s">
        <v>7965</v>
      </c>
      <c r="U7195" s="2" t="s">
        <v>3220</v>
      </c>
      <c r="V7195" s="2" t="s">
        <v>47</v>
      </c>
      <c r="W7195" s="2" t="s">
        <v>104</v>
      </c>
      <c r="X7195" s="2">
        <v>9.0299999999999994</v>
      </c>
    </row>
    <row r="7196" spans="1:24" x14ac:dyDescent="0.3">
      <c r="A7196">
        <v>25010</v>
      </c>
      <c r="B7196" t="s">
        <v>14093</v>
      </c>
      <c r="C7196" s="3">
        <v>40926</v>
      </c>
      <c r="D7196" t="s">
        <v>39</v>
      </c>
      <c r="E7196">
        <v>1</v>
      </c>
      <c r="F7196" s="3">
        <f ca="1">40928+(RANDBETWEEN(1,10))</f>
        <v>40937</v>
      </c>
      <c r="G7196" t="s">
        <v>26</v>
      </c>
      <c r="H7196" t="s">
        <v>51</v>
      </c>
      <c r="I7196" t="s">
        <v>28</v>
      </c>
      <c r="J7196">
        <v>52.5</v>
      </c>
      <c r="K7196">
        <v>0.05</v>
      </c>
      <c r="L7196">
        <v>0.57999999999999996</v>
      </c>
      <c r="M7196">
        <v>29.295000000000002</v>
      </c>
      <c r="N7196">
        <v>-47.826799999999999</v>
      </c>
      <c r="O7196" s="1" t="s">
        <v>53</v>
      </c>
      <c r="P7196" s="1" t="s">
        <v>11898</v>
      </c>
      <c r="Q7196" s="1" t="s">
        <v>11899</v>
      </c>
      <c r="R7196" s="1" t="s">
        <v>440</v>
      </c>
      <c r="S7196" s="1" t="s">
        <v>7964</v>
      </c>
      <c r="T7196" s="1" t="s">
        <v>7965</v>
      </c>
      <c r="U7196" s="2" t="s">
        <v>3635</v>
      </c>
      <c r="V7196" s="2" t="s">
        <v>47</v>
      </c>
      <c r="W7196" s="2" t="s">
        <v>94</v>
      </c>
      <c r="X7196" s="2">
        <v>23.94</v>
      </c>
    </row>
    <row r="7197" spans="1:24" x14ac:dyDescent="0.3">
      <c r="A7197">
        <v>25011</v>
      </c>
      <c r="B7197" t="s">
        <v>14094</v>
      </c>
      <c r="C7197" s="3">
        <v>40820</v>
      </c>
      <c r="D7197" t="s">
        <v>148</v>
      </c>
      <c r="E7197">
        <v>8</v>
      </c>
      <c r="F7197" s="3">
        <f ca="1">40822+(RANDBETWEEN(1,10))</f>
        <v>40832</v>
      </c>
      <c r="G7197" t="s">
        <v>26</v>
      </c>
      <c r="H7197" t="s">
        <v>27</v>
      </c>
      <c r="I7197" t="s">
        <v>28</v>
      </c>
      <c r="J7197">
        <v>170.83500000000001</v>
      </c>
      <c r="K7197">
        <v>0.02</v>
      </c>
      <c r="L7197">
        <v>0.39</v>
      </c>
      <c r="M7197">
        <v>24.43</v>
      </c>
      <c r="N7197">
        <v>-272.38301999999999</v>
      </c>
      <c r="O7197" s="1" t="s">
        <v>40</v>
      </c>
      <c r="P7197" s="1" t="s">
        <v>14095</v>
      </c>
      <c r="Q7197" s="1" t="s">
        <v>14096</v>
      </c>
      <c r="R7197" s="1" t="s">
        <v>220</v>
      </c>
      <c r="S7197" s="1" t="s">
        <v>707</v>
      </c>
      <c r="T7197" s="1" t="s">
        <v>708</v>
      </c>
      <c r="U7197" s="2" t="s">
        <v>4859</v>
      </c>
      <c r="V7197" s="2" t="s">
        <v>47</v>
      </c>
      <c r="W7197" s="2" t="s">
        <v>111</v>
      </c>
      <c r="X7197" s="2">
        <v>19.355</v>
      </c>
    </row>
    <row r="7198" spans="1:24" x14ac:dyDescent="0.3">
      <c r="A7198">
        <v>25012</v>
      </c>
      <c r="B7198" t="s">
        <v>14097</v>
      </c>
      <c r="C7198" s="3">
        <v>41916</v>
      </c>
      <c r="D7198" t="s">
        <v>148</v>
      </c>
      <c r="E7198">
        <v>2</v>
      </c>
      <c r="F7198" s="3">
        <f ca="1">41918+(RANDBETWEEN(1,10))</f>
        <v>41927</v>
      </c>
      <c r="G7198" t="s">
        <v>26</v>
      </c>
      <c r="H7198" t="s">
        <v>96</v>
      </c>
      <c r="I7198" t="s">
        <v>28</v>
      </c>
      <c r="J7198">
        <v>324.02999999999997</v>
      </c>
      <c r="K7198">
        <v>0.09</v>
      </c>
      <c r="L7198">
        <v>0.73</v>
      </c>
      <c r="M7198">
        <v>119.7</v>
      </c>
      <c r="N7198">
        <v>35.700000000000003</v>
      </c>
      <c r="O7198" s="1" t="s">
        <v>40</v>
      </c>
      <c r="P7198" s="1" t="s">
        <v>14095</v>
      </c>
      <c r="Q7198" s="1" t="s">
        <v>14096</v>
      </c>
      <c r="R7198" s="1" t="s">
        <v>220</v>
      </c>
      <c r="S7198" s="1" t="s">
        <v>707</v>
      </c>
      <c r="T7198" s="1" t="s">
        <v>708</v>
      </c>
      <c r="U7198" s="2" t="s">
        <v>5026</v>
      </c>
      <c r="V7198" s="2" t="s">
        <v>83</v>
      </c>
      <c r="W7198" s="2" t="s">
        <v>178</v>
      </c>
      <c r="X7198" s="2">
        <v>145.14500000000001</v>
      </c>
    </row>
    <row r="7199" spans="1:24" x14ac:dyDescent="0.3">
      <c r="A7199">
        <v>25013</v>
      </c>
      <c r="B7199" t="s">
        <v>14094</v>
      </c>
      <c r="C7199" s="3">
        <v>40820</v>
      </c>
      <c r="D7199" t="s">
        <v>148</v>
      </c>
      <c r="E7199">
        <v>7</v>
      </c>
      <c r="F7199" s="3">
        <f ca="1">40820+(RANDBETWEEN(1,10))</f>
        <v>40821</v>
      </c>
      <c r="G7199" t="s">
        <v>156</v>
      </c>
      <c r="H7199" t="s">
        <v>27</v>
      </c>
      <c r="I7199" t="s">
        <v>28</v>
      </c>
      <c r="J7199">
        <v>504.10500000000002</v>
      </c>
      <c r="K7199">
        <v>0.03</v>
      </c>
      <c r="L7199">
        <v>0.56000000000000005</v>
      </c>
      <c r="M7199">
        <v>22.33</v>
      </c>
      <c r="N7199">
        <v>293.27760000000001</v>
      </c>
      <c r="O7199" s="1" t="s">
        <v>225</v>
      </c>
      <c r="P7199" s="1" t="s">
        <v>9848</v>
      </c>
      <c r="Q7199" s="1" t="s">
        <v>9849</v>
      </c>
      <c r="R7199" s="1" t="s">
        <v>391</v>
      </c>
      <c r="S7199" s="1" t="s">
        <v>9850</v>
      </c>
      <c r="T7199" s="1" t="s">
        <v>1131</v>
      </c>
      <c r="U7199" s="2" t="s">
        <v>9347</v>
      </c>
      <c r="V7199" s="2" t="s">
        <v>83</v>
      </c>
      <c r="W7199" s="2" t="s">
        <v>178</v>
      </c>
      <c r="X7199" s="2">
        <v>66.64</v>
      </c>
    </row>
    <row r="7200" spans="1:24" x14ac:dyDescent="0.3">
      <c r="A7200">
        <v>25014</v>
      </c>
      <c r="B7200" t="s">
        <v>14098</v>
      </c>
      <c r="C7200" s="3">
        <v>41888</v>
      </c>
      <c r="D7200" t="s">
        <v>50</v>
      </c>
      <c r="E7200">
        <v>26</v>
      </c>
      <c r="F7200" s="3">
        <f ca="1">41890+(RANDBETWEEN(1,10))</f>
        <v>41896</v>
      </c>
      <c r="G7200" t="s">
        <v>26</v>
      </c>
      <c r="H7200" t="s">
        <v>27</v>
      </c>
      <c r="I7200" t="s">
        <v>28</v>
      </c>
      <c r="J7200">
        <v>9772.42</v>
      </c>
      <c r="K7200">
        <v>0</v>
      </c>
      <c r="L7200">
        <v>0.52</v>
      </c>
      <c r="M7200">
        <v>69.965000000000003</v>
      </c>
      <c r="N7200">
        <v>-180.66300000000001</v>
      </c>
      <c r="O7200" s="1" t="s">
        <v>225</v>
      </c>
      <c r="P7200" s="1" t="s">
        <v>13032</v>
      </c>
      <c r="Q7200" s="1" t="s">
        <v>13033</v>
      </c>
      <c r="R7200" s="1" t="s">
        <v>391</v>
      </c>
      <c r="S7200" s="1" t="s">
        <v>5007</v>
      </c>
      <c r="T7200" s="1" t="s">
        <v>5008</v>
      </c>
      <c r="U7200" s="2" t="s">
        <v>4088</v>
      </c>
      <c r="V7200" s="2" t="s">
        <v>36</v>
      </c>
      <c r="W7200" s="2" t="s">
        <v>142</v>
      </c>
      <c r="X7200" s="2">
        <v>349.96499999999997</v>
      </c>
    </row>
    <row r="7201" spans="1:24" x14ac:dyDescent="0.3">
      <c r="A7201">
        <v>25015</v>
      </c>
      <c r="B7201" t="s">
        <v>14099</v>
      </c>
      <c r="C7201" s="3">
        <v>41158</v>
      </c>
      <c r="D7201" t="s">
        <v>50</v>
      </c>
      <c r="E7201">
        <v>19</v>
      </c>
      <c r="F7201" s="3">
        <f ca="1">41160+(RANDBETWEEN(1,10))</f>
        <v>41163</v>
      </c>
      <c r="G7201" t="s">
        <v>26</v>
      </c>
      <c r="H7201" t="s">
        <v>27</v>
      </c>
      <c r="I7201" t="s">
        <v>28</v>
      </c>
      <c r="J7201">
        <v>2335.5500000000002</v>
      </c>
      <c r="K7201">
        <v>0.02</v>
      </c>
      <c r="L7201">
        <v>0.61</v>
      </c>
      <c r="M7201">
        <v>30.59</v>
      </c>
      <c r="N7201">
        <v>8770.1312999999991</v>
      </c>
      <c r="O7201" s="1" t="s">
        <v>225</v>
      </c>
      <c r="P7201" s="1" t="s">
        <v>13032</v>
      </c>
      <c r="Q7201" s="1" t="s">
        <v>13033</v>
      </c>
      <c r="R7201" s="1" t="s">
        <v>391</v>
      </c>
      <c r="S7201" s="1" t="s">
        <v>5007</v>
      </c>
      <c r="T7201" s="1" t="s">
        <v>5008</v>
      </c>
      <c r="U7201" s="2" t="s">
        <v>7096</v>
      </c>
      <c r="V7201" s="2" t="s">
        <v>47</v>
      </c>
      <c r="W7201" s="2" t="s">
        <v>119</v>
      </c>
      <c r="X7201" s="2">
        <v>116.515</v>
      </c>
    </row>
    <row r="7202" spans="1:24" x14ac:dyDescent="0.3">
      <c r="A7202">
        <v>25016</v>
      </c>
      <c r="B7202" t="s">
        <v>14100</v>
      </c>
      <c r="C7202" s="3">
        <v>41930</v>
      </c>
      <c r="D7202" t="s">
        <v>148</v>
      </c>
      <c r="E7202">
        <v>1</v>
      </c>
      <c r="F7202" s="3">
        <f ca="1">41932+(RANDBETWEEN(1,10))</f>
        <v>41939</v>
      </c>
      <c r="G7202" t="s">
        <v>26</v>
      </c>
      <c r="H7202" t="s">
        <v>27</v>
      </c>
      <c r="I7202" t="s">
        <v>86</v>
      </c>
      <c r="J7202">
        <v>47.075000000000003</v>
      </c>
      <c r="K7202">
        <v>0</v>
      </c>
      <c r="L7202">
        <v>0.37</v>
      </c>
      <c r="M7202">
        <v>27.23</v>
      </c>
      <c r="N7202">
        <v>-23485.7196</v>
      </c>
      <c r="O7202" s="1" t="s">
        <v>29</v>
      </c>
      <c r="P7202" s="1" t="s">
        <v>11759</v>
      </c>
      <c r="Q7202" s="1" t="s">
        <v>11760</v>
      </c>
      <c r="R7202" s="1" t="s">
        <v>32</v>
      </c>
      <c r="S7202" s="1" t="s">
        <v>11761</v>
      </c>
      <c r="T7202" s="1" t="s">
        <v>1929</v>
      </c>
      <c r="U7202" s="2" t="s">
        <v>599</v>
      </c>
      <c r="V7202" s="2" t="s">
        <v>47</v>
      </c>
      <c r="W7202" s="2" t="s">
        <v>111</v>
      </c>
      <c r="X7202" s="2">
        <v>18.899999999999999</v>
      </c>
    </row>
    <row r="7203" spans="1:24" x14ac:dyDescent="0.3">
      <c r="A7203">
        <v>25017</v>
      </c>
      <c r="B7203" t="s">
        <v>14100</v>
      </c>
      <c r="C7203" s="3">
        <v>41930</v>
      </c>
      <c r="D7203" t="s">
        <v>148</v>
      </c>
      <c r="E7203">
        <v>6</v>
      </c>
      <c r="F7203" s="3">
        <f ca="1">41932+(RANDBETWEEN(1,10))</f>
        <v>41939</v>
      </c>
      <c r="G7203" t="s">
        <v>26</v>
      </c>
      <c r="H7203" t="s">
        <v>27</v>
      </c>
      <c r="I7203" t="s">
        <v>86</v>
      </c>
      <c r="J7203">
        <v>144.69</v>
      </c>
      <c r="K7203">
        <v>0.09</v>
      </c>
      <c r="L7203">
        <v>0.37</v>
      </c>
      <c r="M7203">
        <v>17.184999999999999</v>
      </c>
      <c r="N7203">
        <v>-275.13499999999999</v>
      </c>
      <c r="O7203" s="1" t="s">
        <v>29</v>
      </c>
      <c r="P7203" s="1" t="s">
        <v>11759</v>
      </c>
      <c r="Q7203" s="1" t="s">
        <v>11760</v>
      </c>
      <c r="R7203" s="1" t="s">
        <v>32</v>
      </c>
      <c r="S7203" s="1" t="s">
        <v>11761</v>
      </c>
      <c r="T7203" s="1" t="s">
        <v>1929</v>
      </c>
      <c r="U7203" s="2" t="s">
        <v>9164</v>
      </c>
      <c r="V7203" s="2" t="s">
        <v>47</v>
      </c>
      <c r="W7203" s="2" t="s">
        <v>74</v>
      </c>
      <c r="X7203" s="2">
        <v>23.38</v>
      </c>
    </row>
    <row r="7204" spans="1:24" x14ac:dyDescent="0.3">
      <c r="A7204">
        <v>25018</v>
      </c>
      <c r="B7204" t="s">
        <v>14101</v>
      </c>
      <c r="C7204" s="3">
        <v>41946</v>
      </c>
      <c r="D7204" t="s">
        <v>50</v>
      </c>
      <c r="E7204">
        <v>6</v>
      </c>
      <c r="F7204" s="3">
        <f ca="1">41947+(RANDBETWEEN(1,10))</f>
        <v>41951</v>
      </c>
      <c r="G7204" t="s">
        <v>76</v>
      </c>
      <c r="H7204" t="s">
        <v>258</v>
      </c>
      <c r="I7204" t="s">
        <v>28</v>
      </c>
      <c r="J7204">
        <v>1615.53</v>
      </c>
      <c r="K7204">
        <v>0</v>
      </c>
      <c r="L7204">
        <v>0.6</v>
      </c>
      <c r="M7204">
        <v>93.59</v>
      </c>
      <c r="N7204">
        <v>144.13</v>
      </c>
      <c r="O7204" s="1" t="s">
        <v>64</v>
      </c>
      <c r="P7204" s="1" t="s">
        <v>14102</v>
      </c>
      <c r="Q7204" s="1" t="s">
        <v>14103</v>
      </c>
      <c r="R7204" s="1" t="s">
        <v>128</v>
      </c>
      <c r="S7204" s="1" t="s">
        <v>7105</v>
      </c>
      <c r="T7204" s="1" t="s">
        <v>7106</v>
      </c>
      <c r="U7204" s="2" t="s">
        <v>3851</v>
      </c>
      <c r="V7204" s="2" t="s">
        <v>83</v>
      </c>
      <c r="W7204" s="2" t="s">
        <v>298</v>
      </c>
      <c r="X7204" s="2">
        <v>248.43</v>
      </c>
    </row>
    <row r="7205" spans="1:24" x14ac:dyDescent="0.3">
      <c r="A7205">
        <v>25019</v>
      </c>
      <c r="B7205" t="s">
        <v>14104</v>
      </c>
      <c r="C7205" s="3">
        <v>41372</v>
      </c>
      <c r="D7205" t="s">
        <v>50</v>
      </c>
      <c r="E7205">
        <v>9</v>
      </c>
      <c r="F7205" s="3">
        <f ca="1">41374+(RANDBETWEEN(1,10))</f>
        <v>41384</v>
      </c>
      <c r="G7205" t="s">
        <v>76</v>
      </c>
      <c r="H7205" t="s">
        <v>258</v>
      </c>
      <c r="I7205" t="s">
        <v>86</v>
      </c>
      <c r="J7205">
        <v>13050.485000000001</v>
      </c>
      <c r="K7205">
        <v>0.01</v>
      </c>
      <c r="L7205">
        <v>0.36</v>
      </c>
      <c r="M7205">
        <v>168.91</v>
      </c>
      <c r="N7205">
        <v>9004.8346500000007</v>
      </c>
      <c r="O7205" s="1" t="s">
        <v>40</v>
      </c>
      <c r="P7205" s="1" t="s">
        <v>14105</v>
      </c>
      <c r="Q7205" s="1" t="s">
        <v>14106</v>
      </c>
      <c r="R7205" s="1" t="s">
        <v>220</v>
      </c>
      <c r="S7205" s="1" t="s">
        <v>4170</v>
      </c>
      <c r="T7205" s="1" t="s">
        <v>4171</v>
      </c>
      <c r="U7205" s="2" t="s">
        <v>7536</v>
      </c>
      <c r="V7205" s="2" t="s">
        <v>36</v>
      </c>
      <c r="W7205" s="2" t="s">
        <v>142</v>
      </c>
      <c r="X7205" s="2">
        <v>1403.395</v>
      </c>
    </row>
    <row r="7206" spans="1:24" x14ac:dyDescent="0.3">
      <c r="A7206">
        <v>25020</v>
      </c>
      <c r="B7206" t="s">
        <v>14107</v>
      </c>
      <c r="C7206" s="3">
        <v>41044</v>
      </c>
      <c r="D7206" t="s">
        <v>50</v>
      </c>
      <c r="E7206">
        <v>6</v>
      </c>
      <c r="F7206" s="3">
        <f ca="1">41046+(RANDBETWEEN(1,10))</f>
        <v>41054</v>
      </c>
      <c r="G7206" t="s">
        <v>26</v>
      </c>
      <c r="H7206" t="s">
        <v>96</v>
      </c>
      <c r="I7206" t="s">
        <v>28</v>
      </c>
      <c r="J7206">
        <v>72.694999999999993</v>
      </c>
      <c r="K7206">
        <v>0.03</v>
      </c>
      <c r="L7206">
        <v>0.4</v>
      </c>
      <c r="M7206">
        <v>4.7249999999999996</v>
      </c>
      <c r="N7206">
        <v>-139.30699999999999</v>
      </c>
      <c r="O7206" s="1" t="s">
        <v>225</v>
      </c>
      <c r="P7206" s="1" t="s">
        <v>14108</v>
      </c>
      <c r="Q7206" s="1" t="s">
        <v>14109</v>
      </c>
      <c r="R7206" s="1" t="s">
        <v>228</v>
      </c>
      <c r="S7206" s="1" t="s">
        <v>349</v>
      </c>
      <c r="T7206" s="1" t="s">
        <v>350</v>
      </c>
      <c r="U7206" s="2" t="s">
        <v>2529</v>
      </c>
      <c r="V7206" s="2" t="s">
        <v>47</v>
      </c>
      <c r="W7206" s="2" t="s">
        <v>176</v>
      </c>
      <c r="X7206" s="2">
        <v>11.515000000000001</v>
      </c>
    </row>
    <row r="7207" spans="1:24" x14ac:dyDescent="0.3">
      <c r="A7207">
        <v>25021</v>
      </c>
      <c r="B7207" t="s">
        <v>14110</v>
      </c>
      <c r="C7207" s="3">
        <v>41428</v>
      </c>
      <c r="D7207" t="s">
        <v>62</v>
      </c>
      <c r="E7207">
        <v>7</v>
      </c>
      <c r="F7207" s="3">
        <f ca="1">41430+(RANDBETWEEN(1,10))</f>
        <v>41438</v>
      </c>
      <c r="G7207" t="s">
        <v>26</v>
      </c>
      <c r="H7207" t="s">
        <v>27</v>
      </c>
      <c r="I7207" t="s">
        <v>86</v>
      </c>
      <c r="J7207">
        <v>68.355000000000004</v>
      </c>
      <c r="K7207">
        <v>0.09</v>
      </c>
      <c r="L7207">
        <v>0.38</v>
      </c>
      <c r="M7207">
        <v>1.75</v>
      </c>
      <c r="N7207">
        <v>47.164949999999997</v>
      </c>
      <c r="O7207" s="1" t="s">
        <v>64</v>
      </c>
      <c r="P7207" s="1" t="s">
        <v>13314</v>
      </c>
      <c r="Q7207" s="1" t="s">
        <v>13315</v>
      </c>
      <c r="R7207" s="1" t="s">
        <v>128</v>
      </c>
      <c r="S7207" s="1" t="s">
        <v>3365</v>
      </c>
      <c r="T7207" s="1" t="s">
        <v>3366</v>
      </c>
      <c r="U7207" s="2" t="s">
        <v>468</v>
      </c>
      <c r="V7207" s="2" t="s">
        <v>47</v>
      </c>
      <c r="W7207" s="2" t="s">
        <v>203</v>
      </c>
      <c r="X7207" s="2">
        <v>10.115</v>
      </c>
    </row>
    <row r="7208" spans="1:24" x14ac:dyDescent="0.3">
      <c r="A7208">
        <v>25022</v>
      </c>
      <c r="B7208" t="s">
        <v>14111</v>
      </c>
      <c r="C7208" s="3">
        <v>41716</v>
      </c>
      <c r="D7208" t="s">
        <v>50</v>
      </c>
      <c r="E7208">
        <v>5</v>
      </c>
      <c r="F7208" s="3">
        <f ca="1">41717+(RANDBETWEEN(1,10))</f>
        <v>41719</v>
      </c>
      <c r="G7208" t="s">
        <v>76</v>
      </c>
      <c r="H7208" t="s">
        <v>258</v>
      </c>
      <c r="I7208" t="s">
        <v>28</v>
      </c>
      <c r="J7208">
        <v>310.73</v>
      </c>
      <c r="K7208">
        <v>0</v>
      </c>
      <c r="L7208">
        <v>0.76</v>
      </c>
      <c r="M7208">
        <v>97.125</v>
      </c>
      <c r="N7208">
        <v>-1434.2650000000001</v>
      </c>
      <c r="O7208" s="1" t="s">
        <v>225</v>
      </c>
      <c r="P7208" s="1" t="s">
        <v>14112</v>
      </c>
      <c r="Q7208" s="1" t="s">
        <v>14113</v>
      </c>
      <c r="R7208" s="1" t="s">
        <v>228</v>
      </c>
      <c r="S7208" s="1" t="s">
        <v>1142</v>
      </c>
      <c r="T7208" s="1" t="s">
        <v>1143</v>
      </c>
      <c r="U7208" s="2" t="s">
        <v>365</v>
      </c>
      <c r="V7208" s="2" t="s">
        <v>83</v>
      </c>
      <c r="W7208" s="2" t="s">
        <v>263</v>
      </c>
      <c r="X7208" s="2">
        <v>53.305</v>
      </c>
    </row>
    <row r="7209" spans="1:24" x14ac:dyDescent="0.3">
      <c r="A7209">
        <v>25023</v>
      </c>
      <c r="B7209" t="s">
        <v>14114</v>
      </c>
      <c r="C7209" s="3">
        <v>41797</v>
      </c>
      <c r="D7209" t="s">
        <v>62</v>
      </c>
      <c r="E7209">
        <v>14</v>
      </c>
      <c r="F7209" s="3">
        <f ca="1">41797+(RANDBETWEEN(1,10))</f>
        <v>41807</v>
      </c>
      <c r="G7209" t="s">
        <v>156</v>
      </c>
      <c r="H7209" t="s">
        <v>27</v>
      </c>
      <c r="I7209" t="s">
        <v>97</v>
      </c>
      <c r="J7209">
        <v>5675.74</v>
      </c>
      <c r="K7209">
        <v>0.1</v>
      </c>
      <c r="L7209">
        <v>0.35</v>
      </c>
      <c r="M7209">
        <v>31.745000000000001</v>
      </c>
      <c r="N7209">
        <v>3916.2606000000001</v>
      </c>
      <c r="O7209" s="1" t="s">
        <v>53</v>
      </c>
      <c r="P7209" s="1" t="s">
        <v>11085</v>
      </c>
      <c r="Q7209" s="1" t="s">
        <v>11086</v>
      </c>
      <c r="R7209" s="1" t="s">
        <v>440</v>
      </c>
      <c r="S7209" s="1" t="s">
        <v>11087</v>
      </c>
      <c r="T7209" s="1" t="s">
        <v>11088</v>
      </c>
      <c r="U7209" s="2" t="s">
        <v>4646</v>
      </c>
      <c r="V7209" s="2" t="s">
        <v>47</v>
      </c>
      <c r="W7209" s="2" t="s">
        <v>111</v>
      </c>
      <c r="X7209" s="2">
        <v>423.43</v>
      </c>
    </row>
    <row r="7210" spans="1:24" x14ac:dyDescent="0.3">
      <c r="A7210">
        <v>25024</v>
      </c>
      <c r="B7210" t="s">
        <v>14115</v>
      </c>
      <c r="C7210" s="3">
        <v>41331</v>
      </c>
      <c r="D7210" t="s">
        <v>39</v>
      </c>
      <c r="E7210">
        <v>5</v>
      </c>
      <c r="F7210" s="3">
        <f ca="1">41332+(RANDBETWEEN(1,10))</f>
        <v>41333</v>
      </c>
      <c r="G7210" t="s">
        <v>26</v>
      </c>
      <c r="H7210" t="s">
        <v>96</v>
      </c>
      <c r="I7210" t="s">
        <v>28</v>
      </c>
      <c r="J7210">
        <v>316.54000000000002</v>
      </c>
      <c r="K7210">
        <v>0.06</v>
      </c>
      <c r="L7210">
        <v>0.43</v>
      </c>
      <c r="M7210">
        <v>12.67</v>
      </c>
      <c r="N7210">
        <v>-348.8408</v>
      </c>
      <c r="O7210" s="1" t="s">
        <v>53</v>
      </c>
      <c r="P7210" s="1" t="s">
        <v>13251</v>
      </c>
      <c r="Q7210" s="1" t="s">
        <v>13252</v>
      </c>
      <c r="R7210" s="1" t="s">
        <v>56</v>
      </c>
      <c r="S7210" s="1" t="s">
        <v>13253</v>
      </c>
      <c r="T7210" s="1" t="s">
        <v>13254</v>
      </c>
      <c r="U7210" s="2" t="s">
        <v>5482</v>
      </c>
      <c r="V7210" s="2" t="s">
        <v>83</v>
      </c>
      <c r="W7210" s="2" t="s">
        <v>178</v>
      </c>
      <c r="X7210" s="2">
        <v>65.94</v>
      </c>
    </row>
    <row r="7211" spans="1:24" x14ac:dyDescent="0.3">
      <c r="A7211">
        <v>25025</v>
      </c>
      <c r="B7211" t="s">
        <v>14115</v>
      </c>
      <c r="C7211" s="3">
        <v>41331</v>
      </c>
      <c r="D7211" t="s">
        <v>39</v>
      </c>
      <c r="E7211">
        <v>3</v>
      </c>
      <c r="F7211" s="3">
        <f ca="1">41331+(RANDBETWEEN(1,10))</f>
        <v>41339</v>
      </c>
      <c r="G7211" t="s">
        <v>26</v>
      </c>
      <c r="H7211" t="s">
        <v>27</v>
      </c>
      <c r="I7211" t="s">
        <v>28</v>
      </c>
      <c r="J7211">
        <v>535.255</v>
      </c>
      <c r="K7211">
        <v>0</v>
      </c>
      <c r="L7211">
        <v>0.44</v>
      </c>
      <c r="M7211">
        <v>23.695</v>
      </c>
      <c r="N7211">
        <v>-1211.5250000000001</v>
      </c>
      <c r="O7211" s="1" t="s">
        <v>53</v>
      </c>
      <c r="P7211" s="1" t="s">
        <v>13251</v>
      </c>
      <c r="Q7211" s="1" t="s">
        <v>13252</v>
      </c>
      <c r="R7211" s="1" t="s">
        <v>56</v>
      </c>
      <c r="S7211" s="1" t="s">
        <v>13253</v>
      </c>
      <c r="T7211" s="1" t="s">
        <v>13254</v>
      </c>
      <c r="U7211" s="2" t="s">
        <v>4573</v>
      </c>
      <c r="V7211" s="2" t="s">
        <v>83</v>
      </c>
      <c r="W7211" s="2" t="s">
        <v>178</v>
      </c>
      <c r="X7211" s="2">
        <v>164.29</v>
      </c>
    </row>
    <row r="7212" spans="1:24" x14ac:dyDescent="0.3">
      <c r="A7212">
        <v>25026</v>
      </c>
      <c r="B7212" t="s">
        <v>14116</v>
      </c>
      <c r="C7212" s="3">
        <v>41130</v>
      </c>
      <c r="D7212" t="s">
        <v>50</v>
      </c>
      <c r="E7212">
        <v>14</v>
      </c>
      <c r="F7212" s="3">
        <f ca="1">41130+(RANDBETWEEN(1,10))</f>
        <v>41139</v>
      </c>
      <c r="G7212" t="s">
        <v>26</v>
      </c>
      <c r="H7212" t="s">
        <v>27</v>
      </c>
      <c r="I7212" t="s">
        <v>52</v>
      </c>
      <c r="J7212">
        <v>3504.48</v>
      </c>
      <c r="K7212">
        <v>0.05</v>
      </c>
      <c r="L7212">
        <v>0.57999999999999996</v>
      </c>
      <c r="M7212">
        <v>9.7650000000000006</v>
      </c>
      <c r="N7212">
        <v>2418.0911999999998</v>
      </c>
      <c r="O7212" s="1" t="s">
        <v>225</v>
      </c>
      <c r="P7212" s="1" t="s">
        <v>6896</v>
      </c>
      <c r="Q7212" s="1" t="s">
        <v>6897</v>
      </c>
      <c r="R7212" s="1" t="s">
        <v>228</v>
      </c>
      <c r="S7212" s="1" t="s">
        <v>6898</v>
      </c>
      <c r="T7212" s="1" t="s">
        <v>6899</v>
      </c>
      <c r="U7212" s="2">
        <v>6340</v>
      </c>
      <c r="V7212" s="2" t="s">
        <v>36</v>
      </c>
      <c r="W7212" s="2" t="s">
        <v>37</v>
      </c>
      <c r="X7212" s="2">
        <v>300.96499999999997</v>
      </c>
    </row>
    <row r="7213" spans="1:24" x14ac:dyDescent="0.3">
      <c r="A7213">
        <v>25027</v>
      </c>
      <c r="B7213" t="s">
        <v>14117</v>
      </c>
      <c r="C7213" s="3">
        <v>40824</v>
      </c>
      <c r="D7213" t="s">
        <v>148</v>
      </c>
      <c r="E7213">
        <v>19</v>
      </c>
      <c r="F7213" s="3">
        <f ca="1">40825+(RANDBETWEEN(1,10))</f>
        <v>40830</v>
      </c>
      <c r="G7213" t="s">
        <v>26</v>
      </c>
      <c r="H7213" t="s">
        <v>27</v>
      </c>
      <c r="I7213" t="s">
        <v>97</v>
      </c>
      <c r="J7213">
        <v>2381.3649999999998</v>
      </c>
      <c r="K7213">
        <v>0.05</v>
      </c>
      <c r="L7213">
        <v>0.4</v>
      </c>
      <c r="M7213">
        <v>51.52</v>
      </c>
      <c r="N7213">
        <v>80.031000000000006</v>
      </c>
      <c r="O7213" s="1" t="s">
        <v>64</v>
      </c>
      <c r="P7213" s="1" t="s">
        <v>14019</v>
      </c>
      <c r="Q7213" s="1" t="s">
        <v>14020</v>
      </c>
      <c r="R7213" s="1" t="s">
        <v>67</v>
      </c>
      <c r="S7213" s="1" t="s">
        <v>14021</v>
      </c>
      <c r="T7213" s="1" t="s">
        <v>14022</v>
      </c>
      <c r="U7213" s="2" t="s">
        <v>5698</v>
      </c>
      <c r="V7213" s="2" t="s">
        <v>47</v>
      </c>
      <c r="W7213" s="2" t="s">
        <v>48</v>
      </c>
      <c r="X7213" s="2">
        <v>125.61499999999999</v>
      </c>
    </row>
    <row r="7214" spans="1:24" x14ac:dyDescent="0.3">
      <c r="A7214">
        <v>25028</v>
      </c>
      <c r="B7214" t="s">
        <v>14117</v>
      </c>
      <c r="C7214" s="3">
        <v>40824</v>
      </c>
      <c r="D7214" t="s">
        <v>148</v>
      </c>
      <c r="E7214">
        <v>6</v>
      </c>
      <c r="F7214" s="3">
        <f ca="1">40824+(RANDBETWEEN(1,10))</f>
        <v>40832</v>
      </c>
      <c r="G7214" t="s">
        <v>26</v>
      </c>
      <c r="H7214" t="s">
        <v>27</v>
      </c>
      <c r="I7214" t="s">
        <v>97</v>
      </c>
      <c r="J7214">
        <v>264.32</v>
      </c>
      <c r="K7214">
        <v>0</v>
      </c>
      <c r="L7214">
        <v>0.36</v>
      </c>
      <c r="M7214">
        <v>19.004999999999999</v>
      </c>
      <c r="N7214">
        <v>405.048</v>
      </c>
      <c r="O7214" s="1" t="s">
        <v>64</v>
      </c>
      <c r="P7214" s="1" t="s">
        <v>14019</v>
      </c>
      <c r="Q7214" s="1" t="s">
        <v>14020</v>
      </c>
      <c r="R7214" s="1" t="s">
        <v>67</v>
      </c>
      <c r="S7214" s="1" t="s">
        <v>14021</v>
      </c>
      <c r="T7214" s="1" t="s">
        <v>14022</v>
      </c>
      <c r="U7214" s="2" t="s">
        <v>3430</v>
      </c>
      <c r="V7214" s="2" t="s">
        <v>47</v>
      </c>
      <c r="W7214" s="2" t="s">
        <v>74</v>
      </c>
      <c r="X7214" s="2">
        <v>40.18</v>
      </c>
    </row>
    <row r="7215" spans="1:24" x14ac:dyDescent="0.3">
      <c r="A7215">
        <v>25029</v>
      </c>
      <c r="B7215" t="s">
        <v>14118</v>
      </c>
      <c r="C7215" s="3">
        <v>41671</v>
      </c>
      <c r="D7215" t="s">
        <v>148</v>
      </c>
      <c r="E7215">
        <v>2</v>
      </c>
      <c r="F7215" s="3">
        <f ca="1">41673+(RANDBETWEEN(1,10))</f>
        <v>41682</v>
      </c>
      <c r="G7215" t="s">
        <v>26</v>
      </c>
      <c r="H7215" t="s">
        <v>281</v>
      </c>
      <c r="I7215" t="s">
        <v>52</v>
      </c>
      <c r="J7215">
        <v>13973.12</v>
      </c>
      <c r="K7215">
        <v>0</v>
      </c>
      <c r="L7215">
        <v>0.38</v>
      </c>
      <c r="M7215">
        <v>48.965000000000003</v>
      </c>
      <c r="N7215">
        <v>9641.4527999999991</v>
      </c>
      <c r="O7215" s="1" t="s">
        <v>87</v>
      </c>
      <c r="P7215" s="1" t="s">
        <v>14119</v>
      </c>
      <c r="Q7215" s="1" t="s">
        <v>14120</v>
      </c>
      <c r="R7215" s="1" t="s">
        <v>398</v>
      </c>
      <c r="S7215" s="1" t="s">
        <v>399</v>
      </c>
      <c r="T7215" s="1" t="s">
        <v>400</v>
      </c>
      <c r="U7215" s="2" t="s">
        <v>5558</v>
      </c>
      <c r="V7215" s="2" t="s">
        <v>36</v>
      </c>
      <c r="W7215" s="2" t="s">
        <v>142</v>
      </c>
      <c r="X7215" s="2">
        <v>6783.07</v>
      </c>
    </row>
    <row r="7216" spans="1:24" x14ac:dyDescent="0.3">
      <c r="A7216">
        <v>25030</v>
      </c>
      <c r="B7216" t="s">
        <v>14121</v>
      </c>
      <c r="C7216" s="3">
        <v>41789</v>
      </c>
      <c r="D7216" t="s">
        <v>39</v>
      </c>
      <c r="E7216">
        <v>1</v>
      </c>
      <c r="F7216" s="3">
        <f ca="1">41790+(RANDBETWEEN(1,10))</f>
        <v>41800</v>
      </c>
      <c r="G7216" t="s">
        <v>76</v>
      </c>
      <c r="H7216" t="s">
        <v>77</v>
      </c>
      <c r="I7216" t="s">
        <v>86</v>
      </c>
      <c r="J7216">
        <v>507.04500000000002</v>
      </c>
      <c r="K7216">
        <v>0.04</v>
      </c>
      <c r="L7216">
        <v>0.76</v>
      </c>
      <c r="M7216">
        <v>100.205</v>
      </c>
      <c r="N7216">
        <v>-861.73500000000001</v>
      </c>
      <c r="O7216" s="1" t="s">
        <v>64</v>
      </c>
      <c r="P7216" s="1" t="s">
        <v>12938</v>
      </c>
      <c r="Q7216" s="1" t="s">
        <v>12939</v>
      </c>
      <c r="R7216" s="1" t="s">
        <v>67</v>
      </c>
      <c r="S7216" s="1" t="s">
        <v>6615</v>
      </c>
      <c r="T7216" s="1" t="s">
        <v>6616</v>
      </c>
      <c r="U7216" s="2" t="s">
        <v>4062</v>
      </c>
      <c r="V7216" s="2" t="s">
        <v>83</v>
      </c>
      <c r="W7216" s="2" t="s">
        <v>84</v>
      </c>
      <c r="X7216" s="2">
        <v>475.96499999999997</v>
      </c>
    </row>
    <row r="7217" spans="1:24" x14ac:dyDescent="0.3">
      <c r="A7217">
        <v>25031</v>
      </c>
      <c r="B7217" t="s">
        <v>14122</v>
      </c>
      <c r="C7217" s="3">
        <v>41053</v>
      </c>
      <c r="D7217" t="s">
        <v>39</v>
      </c>
      <c r="E7217">
        <v>7</v>
      </c>
      <c r="F7217" s="3">
        <f ca="1">41054+(RANDBETWEEN(1,10))</f>
        <v>41056</v>
      </c>
      <c r="G7217" t="s">
        <v>156</v>
      </c>
      <c r="H7217" t="s">
        <v>27</v>
      </c>
      <c r="I7217" t="s">
        <v>86</v>
      </c>
      <c r="J7217">
        <v>142.76499999999999</v>
      </c>
      <c r="K7217">
        <v>0.09</v>
      </c>
      <c r="L7217">
        <v>0.35</v>
      </c>
      <c r="M7217">
        <v>18.55</v>
      </c>
      <c r="N7217">
        <v>-138.845</v>
      </c>
      <c r="O7217" s="1" t="s">
        <v>53</v>
      </c>
      <c r="P7217" s="1" t="s">
        <v>13640</v>
      </c>
      <c r="Q7217" s="1" t="s">
        <v>13641</v>
      </c>
      <c r="R7217" s="1" t="s">
        <v>100</v>
      </c>
      <c r="S7217" s="1" t="s">
        <v>4844</v>
      </c>
      <c r="T7217" s="1" t="s">
        <v>4845</v>
      </c>
      <c r="U7217" s="2" t="s">
        <v>2464</v>
      </c>
      <c r="V7217" s="2" t="s">
        <v>47</v>
      </c>
      <c r="W7217" s="2" t="s">
        <v>48</v>
      </c>
      <c r="X7217" s="2">
        <v>19.53</v>
      </c>
    </row>
    <row r="7218" spans="1:24" x14ac:dyDescent="0.3">
      <c r="A7218">
        <v>25032</v>
      </c>
      <c r="B7218" t="s">
        <v>14123</v>
      </c>
      <c r="C7218" s="3">
        <v>41296</v>
      </c>
      <c r="D7218" t="s">
        <v>148</v>
      </c>
      <c r="E7218">
        <v>1</v>
      </c>
      <c r="F7218" s="3">
        <f ca="1">41297+(RANDBETWEEN(1,10))</f>
        <v>41301</v>
      </c>
      <c r="G7218" t="s">
        <v>156</v>
      </c>
      <c r="H7218" t="s">
        <v>27</v>
      </c>
      <c r="I7218" t="s">
        <v>28</v>
      </c>
      <c r="J7218">
        <v>33.914999999999999</v>
      </c>
      <c r="K7218">
        <v>0.1</v>
      </c>
      <c r="L7218">
        <v>0.36</v>
      </c>
      <c r="M7218">
        <v>24.395</v>
      </c>
      <c r="N7218">
        <v>-52.655050000000003</v>
      </c>
      <c r="O7218" s="1" t="s">
        <v>87</v>
      </c>
      <c r="P7218" s="1" t="s">
        <v>12331</v>
      </c>
      <c r="Q7218" s="1" t="s">
        <v>12332</v>
      </c>
      <c r="R7218" s="1" t="s">
        <v>646</v>
      </c>
      <c r="S7218" s="1" t="s">
        <v>3194</v>
      </c>
      <c r="T7218" s="1" t="s">
        <v>3195</v>
      </c>
      <c r="U7218" s="2" t="s">
        <v>9581</v>
      </c>
      <c r="V7218" s="2" t="s">
        <v>47</v>
      </c>
      <c r="W7218" s="2" t="s">
        <v>111</v>
      </c>
      <c r="X7218" s="2">
        <v>21.805</v>
      </c>
    </row>
    <row r="7219" spans="1:24" x14ac:dyDescent="0.3">
      <c r="A7219">
        <v>25033</v>
      </c>
      <c r="B7219" t="s">
        <v>14124</v>
      </c>
      <c r="C7219" s="3">
        <v>41162</v>
      </c>
      <c r="D7219" t="s">
        <v>39</v>
      </c>
      <c r="E7219">
        <v>15</v>
      </c>
      <c r="F7219" s="3">
        <f ca="1">41164+(RANDBETWEEN(1,10))</f>
        <v>41166</v>
      </c>
      <c r="G7219" t="s">
        <v>156</v>
      </c>
      <c r="H7219" t="s">
        <v>27</v>
      </c>
      <c r="I7219" t="s">
        <v>52</v>
      </c>
      <c r="J7219">
        <v>2876.72</v>
      </c>
      <c r="K7219">
        <v>0.03</v>
      </c>
      <c r="L7219">
        <v>0.37</v>
      </c>
      <c r="M7219">
        <v>23.765000000000001</v>
      </c>
      <c r="N7219">
        <v>-167.43299999999999</v>
      </c>
      <c r="O7219" s="1" t="s">
        <v>40</v>
      </c>
      <c r="P7219" s="1" t="s">
        <v>12798</v>
      </c>
      <c r="Q7219" s="1" t="s">
        <v>12799</v>
      </c>
      <c r="R7219" s="1" t="s">
        <v>43</v>
      </c>
      <c r="S7219" s="1" t="s">
        <v>1505</v>
      </c>
      <c r="T7219" s="1" t="s">
        <v>2374</v>
      </c>
      <c r="U7219" s="2" t="s">
        <v>4840</v>
      </c>
      <c r="V7219" s="2" t="s">
        <v>47</v>
      </c>
      <c r="W7219" s="2" t="s">
        <v>74</v>
      </c>
      <c r="X7219" s="2">
        <v>194.18</v>
      </c>
    </row>
    <row r="7220" spans="1:24" x14ac:dyDescent="0.3">
      <c r="A7220">
        <v>25034</v>
      </c>
      <c r="B7220" t="s">
        <v>14125</v>
      </c>
      <c r="C7220" s="3">
        <v>41892</v>
      </c>
      <c r="D7220" t="s">
        <v>39</v>
      </c>
      <c r="E7220">
        <v>1</v>
      </c>
      <c r="F7220" s="3">
        <f ca="1">41893+(RANDBETWEEN(1,10))</f>
        <v>41900</v>
      </c>
      <c r="G7220" t="s">
        <v>26</v>
      </c>
      <c r="H7220" t="s">
        <v>27</v>
      </c>
      <c r="I7220" t="s">
        <v>52</v>
      </c>
      <c r="J7220">
        <v>93.275000000000006</v>
      </c>
      <c r="K7220">
        <v>0</v>
      </c>
      <c r="L7220">
        <v>0.83</v>
      </c>
      <c r="M7220">
        <v>40.32</v>
      </c>
      <c r="N7220">
        <v>288.68700000000001</v>
      </c>
      <c r="O7220" s="1" t="s">
        <v>40</v>
      </c>
      <c r="P7220" s="1" t="s">
        <v>12798</v>
      </c>
      <c r="Q7220" s="1" t="s">
        <v>12799</v>
      </c>
      <c r="R7220" s="1" t="s">
        <v>43</v>
      </c>
      <c r="S7220" s="1" t="s">
        <v>1505</v>
      </c>
      <c r="T7220" s="1" t="s">
        <v>2374</v>
      </c>
      <c r="U7220" s="2" t="s">
        <v>2328</v>
      </c>
      <c r="V7220" s="2" t="s">
        <v>47</v>
      </c>
      <c r="W7220" s="2" t="s">
        <v>119</v>
      </c>
      <c r="X7220" s="2">
        <v>73.114999999999995</v>
      </c>
    </row>
    <row r="7221" spans="1:24" x14ac:dyDescent="0.3">
      <c r="A7221">
        <v>25035</v>
      </c>
      <c r="B7221" t="s">
        <v>14126</v>
      </c>
      <c r="C7221" s="3">
        <v>41839</v>
      </c>
      <c r="D7221" t="s">
        <v>25</v>
      </c>
      <c r="E7221">
        <v>16</v>
      </c>
      <c r="F7221" s="3">
        <f ca="1">41844+(RANDBETWEEN(1,10))</f>
        <v>41853</v>
      </c>
      <c r="G7221" t="s">
        <v>26</v>
      </c>
      <c r="H7221" t="s">
        <v>27</v>
      </c>
      <c r="I7221" t="s">
        <v>97</v>
      </c>
      <c r="J7221">
        <v>212.69499999999999</v>
      </c>
      <c r="K7221">
        <v>0</v>
      </c>
      <c r="L7221">
        <v>0.37</v>
      </c>
      <c r="M7221">
        <v>1.75</v>
      </c>
      <c r="N7221">
        <v>146.75954999999999</v>
      </c>
      <c r="O7221" s="1" t="s">
        <v>29</v>
      </c>
      <c r="P7221" s="1" t="s">
        <v>14127</v>
      </c>
      <c r="Q7221" s="1" t="s">
        <v>14128</v>
      </c>
      <c r="R7221" s="1" t="s">
        <v>460</v>
      </c>
      <c r="S7221" s="1" t="s">
        <v>14129</v>
      </c>
      <c r="T7221" s="1" t="s">
        <v>14130</v>
      </c>
      <c r="U7221" s="2" t="s">
        <v>2907</v>
      </c>
      <c r="V7221" s="2" t="s">
        <v>47</v>
      </c>
      <c r="W7221" s="2" t="s">
        <v>203</v>
      </c>
      <c r="X7221" s="2">
        <v>13.125</v>
      </c>
    </row>
    <row r="7222" spans="1:24" x14ac:dyDescent="0.3">
      <c r="A7222">
        <v>25036</v>
      </c>
      <c r="B7222" t="s">
        <v>14131</v>
      </c>
      <c r="C7222" s="3">
        <v>41109</v>
      </c>
      <c r="D7222" t="s">
        <v>25</v>
      </c>
      <c r="E7222">
        <v>5</v>
      </c>
      <c r="F7222" s="3">
        <f ca="1">41118+(RANDBETWEEN(1,10))</f>
        <v>41122</v>
      </c>
      <c r="G7222" t="s">
        <v>26</v>
      </c>
      <c r="H7222" t="s">
        <v>96</v>
      </c>
      <c r="I7222" t="s">
        <v>97</v>
      </c>
      <c r="J7222">
        <v>36.54</v>
      </c>
      <c r="K7222">
        <v>0</v>
      </c>
      <c r="L7222">
        <v>0.82</v>
      </c>
      <c r="M7222">
        <v>9.0299999999999994</v>
      </c>
      <c r="N7222">
        <v>-105.91</v>
      </c>
      <c r="O7222" s="1" t="s">
        <v>29</v>
      </c>
      <c r="P7222" s="1" t="s">
        <v>14127</v>
      </c>
      <c r="Q7222" s="1" t="s">
        <v>14128</v>
      </c>
      <c r="R7222" s="1" t="s">
        <v>460</v>
      </c>
      <c r="S7222" s="1" t="s">
        <v>14129</v>
      </c>
      <c r="T7222" s="1" t="s">
        <v>14130</v>
      </c>
      <c r="U7222" s="2" t="s">
        <v>456</v>
      </c>
      <c r="V7222" s="2" t="s">
        <v>47</v>
      </c>
      <c r="W7222" s="2" t="s">
        <v>176</v>
      </c>
      <c r="X7222" s="2">
        <v>6.51</v>
      </c>
    </row>
    <row r="7223" spans="1:24" x14ac:dyDescent="0.3">
      <c r="A7223">
        <v>25037</v>
      </c>
      <c r="B7223" t="s">
        <v>14132</v>
      </c>
      <c r="C7223" s="3">
        <v>41109</v>
      </c>
      <c r="D7223" t="s">
        <v>50</v>
      </c>
      <c r="E7223">
        <v>2</v>
      </c>
      <c r="F7223" s="3">
        <f ca="1">41111+(RANDBETWEEN(1,10))</f>
        <v>41113</v>
      </c>
      <c r="G7223" t="s">
        <v>26</v>
      </c>
      <c r="H7223" t="s">
        <v>27</v>
      </c>
      <c r="I7223" t="s">
        <v>28</v>
      </c>
      <c r="J7223">
        <v>1217.79</v>
      </c>
      <c r="K7223">
        <v>0.08</v>
      </c>
      <c r="L7223">
        <v>0.56000000000000005</v>
      </c>
      <c r="M7223">
        <v>31.465</v>
      </c>
      <c r="N7223">
        <v>1009.197</v>
      </c>
      <c r="O7223" s="1" t="s">
        <v>53</v>
      </c>
      <c r="P7223" s="1" t="s">
        <v>6547</v>
      </c>
      <c r="Q7223" s="1" t="s">
        <v>6548</v>
      </c>
      <c r="R7223" s="1" t="s">
        <v>56</v>
      </c>
      <c r="S7223" s="1" t="s">
        <v>2815</v>
      </c>
      <c r="T7223" s="1" t="s">
        <v>2816</v>
      </c>
      <c r="U7223" s="2" t="s">
        <v>4735</v>
      </c>
      <c r="V7223" s="2" t="s">
        <v>36</v>
      </c>
      <c r="W7223" s="2" t="s">
        <v>37</v>
      </c>
      <c r="X7223" s="2">
        <v>720.96500000000003</v>
      </c>
    </row>
    <row r="7224" spans="1:24" x14ac:dyDescent="0.3">
      <c r="A7224">
        <v>25038</v>
      </c>
      <c r="B7224" t="s">
        <v>14133</v>
      </c>
      <c r="C7224" s="3">
        <v>41869</v>
      </c>
      <c r="D7224" t="s">
        <v>148</v>
      </c>
      <c r="E7224">
        <v>7</v>
      </c>
      <c r="F7224" s="3">
        <f ca="1">41870+(RANDBETWEEN(1,10))</f>
        <v>41873</v>
      </c>
      <c r="G7224" t="s">
        <v>156</v>
      </c>
      <c r="H7224" t="s">
        <v>27</v>
      </c>
      <c r="I7224" t="s">
        <v>28</v>
      </c>
      <c r="J7224">
        <v>178.57</v>
      </c>
      <c r="K7224">
        <v>0.05</v>
      </c>
      <c r="L7224">
        <v>0.37</v>
      </c>
      <c r="M7224">
        <v>25.795000000000002</v>
      </c>
      <c r="N7224">
        <v>-70.742279999999994</v>
      </c>
      <c r="O7224" s="1" t="s">
        <v>53</v>
      </c>
      <c r="P7224" s="1" t="s">
        <v>10495</v>
      </c>
      <c r="Q7224" s="1" t="s">
        <v>10496</v>
      </c>
      <c r="R7224" s="1" t="s">
        <v>440</v>
      </c>
      <c r="S7224" s="1" t="s">
        <v>2771</v>
      </c>
      <c r="T7224" s="1" t="s">
        <v>2772</v>
      </c>
      <c r="U7224" s="2" t="s">
        <v>2975</v>
      </c>
      <c r="V7224" s="2" t="s">
        <v>47</v>
      </c>
      <c r="W7224" s="2" t="s">
        <v>74</v>
      </c>
      <c r="X7224" s="2">
        <v>22.68</v>
      </c>
    </row>
    <row r="7225" spans="1:24" x14ac:dyDescent="0.3">
      <c r="A7225">
        <v>25039</v>
      </c>
      <c r="B7225" t="s">
        <v>14134</v>
      </c>
      <c r="C7225" s="3">
        <v>41978</v>
      </c>
      <c r="D7225" t="s">
        <v>148</v>
      </c>
      <c r="E7225">
        <v>3</v>
      </c>
      <c r="F7225" s="3">
        <f ca="1">41979+(RANDBETWEEN(1,10))</f>
        <v>41981</v>
      </c>
      <c r="G7225" t="s">
        <v>156</v>
      </c>
      <c r="H7225" t="s">
        <v>281</v>
      </c>
      <c r="I7225" t="s">
        <v>97</v>
      </c>
      <c r="J7225">
        <v>20379.169999999998</v>
      </c>
      <c r="K7225">
        <v>0.03</v>
      </c>
      <c r="L7225">
        <v>0.38</v>
      </c>
      <c r="M7225">
        <v>48.965000000000003</v>
      </c>
      <c r="N7225">
        <v>3149.8739999999998</v>
      </c>
      <c r="O7225" s="1" t="s">
        <v>29</v>
      </c>
      <c r="P7225" s="1" t="s">
        <v>11205</v>
      </c>
      <c r="Q7225" s="1" t="s">
        <v>11206</v>
      </c>
      <c r="R7225" s="1" t="s">
        <v>32</v>
      </c>
      <c r="S7225" s="1" t="s">
        <v>2354</v>
      </c>
      <c r="T7225" s="1" t="s">
        <v>2355</v>
      </c>
      <c r="U7225" s="2" t="s">
        <v>5558</v>
      </c>
      <c r="V7225" s="2" t="s">
        <v>36</v>
      </c>
      <c r="W7225" s="2" t="s">
        <v>142</v>
      </c>
      <c r="X7225" s="2">
        <v>6783.07</v>
      </c>
    </row>
    <row r="7226" spans="1:24" x14ac:dyDescent="0.3">
      <c r="A7226">
        <v>25040</v>
      </c>
      <c r="B7226" t="s">
        <v>14134</v>
      </c>
      <c r="C7226" s="3">
        <v>41978</v>
      </c>
      <c r="D7226" t="s">
        <v>148</v>
      </c>
      <c r="E7226">
        <v>16</v>
      </c>
      <c r="F7226" s="3">
        <f ca="1">41979+(RANDBETWEEN(1,10))</f>
        <v>41987</v>
      </c>
      <c r="G7226" t="s">
        <v>26</v>
      </c>
      <c r="H7226" t="s">
        <v>27</v>
      </c>
      <c r="I7226" t="s">
        <v>97</v>
      </c>
      <c r="J7226">
        <v>382.86500000000001</v>
      </c>
      <c r="K7226">
        <v>0.05</v>
      </c>
      <c r="L7226">
        <v>0.37</v>
      </c>
      <c r="M7226">
        <v>20.440000000000001</v>
      </c>
      <c r="N7226">
        <v>-107.29040000000001</v>
      </c>
      <c r="O7226" s="1" t="s">
        <v>29</v>
      </c>
      <c r="P7226" s="1" t="s">
        <v>11205</v>
      </c>
      <c r="Q7226" s="1" t="s">
        <v>11206</v>
      </c>
      <c r="R7226" s="1" t="s">
        <v>32</v>
      </c>
      <c r="S7226" s="1" t="s">
        <v>2354</v>
      </c>
      <c r="T7226" s="1" t="s">
        <v>2355</v>
      </c>
      <c r="U7226" s="2" t="s">
        <v>8568</v>
      </c>
      <c r="V7226" s="2" t="s">
        <v>47</v>
      </c>
      <c r="W7226" s="2" t="s">
        <v>74</v>
      </c>
      <c r="X7226" s="2">
        <v>22.68</v>
      </c>
    </row>
    <row r="7227" spans="1:24" x14ac:dyDescent="0.3">
      <c r="A7227">
        <v>25041</v>
      </c>
      <c r="B7227" t="s">
        <v>14135</v>
      </c>
      <c r="C7227" s="3">
        <v>41319</v>
      </c>
      <c r="D7227" t="s">
        <v>50</v>
      </c>
      <c r="E7227">
        <v>10</v>
      </c>
      <c r="F7227" s="3">
        <f ca="1">41320+(RANDBETWEEN(1,10))</f>
        <v>41330</v>
      </c>
      <c r="G7227" t="s">
        <v>26</v>
      </c>
      <c r="H7227" t="s">
        <v>96</v>
      </c>
      <c r="I7227" t="s">
        <v>86</v>
      </c>
      <c r="J7227">
        <v>401.83499999999998</v>
      </c>
      <c r="K7227">
        <v>0.05</v>
      </c>
      <c r="L7227">
        <v>0.55000000000000004</v>
      </c>
      <c r="M7227">
        <v>8.26</v>
      </c>
      <c r="N7227">
        <v>248.60499999999999</v>
      </c>
      <c r="O7227" s="1" t="s">
        <v>87</v>
      </c>
      <c r="P7227" s="1" t="s">
        <v>14136</v>
      </c>
      <c r="Q7227" s="1" t="s">
        <v>14137</v>
      </c>
      <c r="R7227" s="1" t="s">
        <v>90</v>
      </c>
      <c r="S7227" s="1" t="s">
        <v>653</v>
      </c>
      <c r="T7227" s="1" t="s">
        <v>654</v>
      </c>
      <c r="U7227" s="2" t="s">
        <v>2967</v>
      </c>
      <c r="V7227" s="2" t="s">
        <v>47</v>
      </c>
      <c r="W7227" s="2" t="s">
        <v>104</v>
      </c>
      <c r="X7227" s="2">
        <v>40.424999999999997</v>
      </c>
    </row>
    <row r="7228" spans="1:24" x14ac:dyDescent="0.3">
      <c r="A7228">
        <v>25042</v>
      </c>
      <c r="B7228" t="s">
        <v>14138</v>
      </c>
      <c r="C7228" s="3">
        <v>41054</v>
      </c>
      <c r="D7228" t="s">
        <v>39</v>
      </c>
      <c r="E7228">
        <v>1</v>
      </c>
      <c r="F7228" s="3">
        <f ca="1">41054+(RANDBETWEEN(1,10))</f>
        <v>41058</v>
      </c>
      <c r="G7228" t="s">
        <v>26</v>
      </c>
      <c r="H7228" t="s">
        <v>27</v>
      </c>
      <c r="I7228" t="s">
        <v>28</v>
      </c>
      <c r="J7228">
        <v>89.635000000000005</v>
      </c>
      <c r="K7228">
        <v>0</v>
      </c>
      <c r="L7228">
        <v>0.37</v>
      </c>
      <c r="M7228">
        <v>30.905000000000001</v>
      </c>
      <c r="N7228">
        <v>-96.358500000000006</v>
      </c>
      <c r="O7228" s="1" t="s">
        <v>64</v>
      </c>
      <c r="P7228" s="1" t="s">
        <v>14139</v>
      </c>
      <c r="Q7228" s="1" t="s">
        <v>14140</v>
      </c>
      <c r="R7228" s="1" t="s">
        <v>128</v>
      </c>
      <c r="S7228" s="1" t="s">
        <v>9276</v>
      </c>
      <c r="T7228" s="1" t="s">
        <v>14141</v>
      </c>
      <c r="U7228" s="2" t="s">
        <v>7151</v>
      </c>
      <c r="V7228" s="2" t="s">
        <v>47</v>
      </c>
      <c r="W7228" s="2" t="s">
        <v>111</v>
      </c>
      <c r="X7228" s="2">
        <v>73.430000000000007</v>
      </c>
    </row>
    <row r="7229" spans="1:24" x14ac:dyDescent="0.3">
      <c r="A7229">
        <v>25043</v>
      </c>
      <c r="B7229" t="s">
        <v>14138</v>
      </c>
      <c r="C7229" s="3">
        <v>41054</v>
      </c>
      <c r="D7229" t="s">
        <v>39</v>
      </c>
      <c r="E7229">
        <v>7</v>
      </c>
      <c r="F7229" s="3">
        <f ca="1">41056+(RANDBETWEEN(1,10))</f>
        <v>41061</v>
      </c>
      <c r="G7229" t="s">
        <v>76</v>
      </c>
      <c r="H7229" t="s">
        <v>77</v>
      </c>
      <c r="I7229" t="s">
        <v>28</v>
      </c>
      <c r="J7229">
        <v>2689.54</v>
      </c>
      <c r="K7229">
        <v>0.01</v>
      </c>
      <c r="L7229">
        <v>0.59</v>
      </c>
      <c r="M7229">
        <v>210</v>
      </c>
      <c r="N7229">
        <v>-1245.7935</v>
      </c>
      <c r="O7229" s="1" t="s">
        <v>64</v>
      </c>
      <c r="P7229" s="1" t="s">
        <v>14139</v>
      </c>
      <c r="Q7229" s="1" t="s">
        <v>14140</v>
      </c>
      <c r="R7229" s="1" t="s">
        <v>128</v>
      </c>
      <c r="S7229" s="1" t="s">
        <v>9276</v>
      </c>
      <c r="T7229" s="1" t="s">
        <v>14141</v>
      </c>
      <c r="U7229" s="2" t="s">
        <v>1185</v>
      </c>
      <c r="V7229" s="2" t="s">
        <v>83</v>
      </c>
      <c r="W7229" s="2" t="s">
        <v>263</v>
      </c>
      <c r="X7229" s="2">
        <v>352.8</v>
      </c>
    </row>
    <row r="7230" spans="1:24" x14ac:dyDescent="0.3">
      <c r="A7230">
        <v>25044</v>
      </c>
      <c r="B7230" t="s">
        <v>14142</v>
      </c>
      <c r="C7230" s="3">
        <v>40939</v>
      </c>
      <c r="D7230" t="s">
        <v>62</v>
      </c>
      <c r="E7230">
        <v>6</v>
      </c>
      <c r="F7230" s="3">
        <f ca="1">40941+(RANDBETWEEN(1,10))</f>
        <v>40944</v>
      </c>
      <c r="G7230" t="s">
        <v>26</v>
      </c>
      <c r="H7230" t="s">
        <v>27</v>
      </c>
      <c r="I7230" t="s">
        <v>28</v>
      </c>
      <c r="J7230">
        <v>847.63</v>
      </c>
      <c r="K7230">
        <v>0.04</v>
      </c>
      <c r="L7230">
        <v>0.4</v>
      </c>
      <c r="M7230">
        <v>34.405000000000001</v>
      </c>
      <c r="N7230">
        <v>-644.98699999999997</v>
      </c>
      <c r="O7230" s="1" t="s">
        <v>87</v>
      </c>
      <c r="P7230" s="1" t="s">
        <v>10783</v>
      </c>
      <c r="Q7230" s="1" t="s">
        <v>10784</v>
      </c>
      <c r="R7230" s="1" t="s">
        <v>90</v>
      </c>
      <c r="S7230" s="1" t="s">
        <v>10785</v>
      </c>
      <c r="T7230" s="1" t="s">
        <v>10786</v>
      </c>
      <c r="U7230" s="2" t="s">
        <v>345</v>
      </c>
      <c r="V7230" s="2" t="s">
        <v>47</v>
      </c>
      <c r="W7230" s="2" t="s">
        <v>48</v>
      </c>
      <c r="X7230" s="2">
        <v>139.93</v>
      </c>
    </row>
    <row r="7231" spans="1:24" x14ac:dyDescent="0.3">
      <c r="A7231">
        <v>25045</v>
      </c>
      <c r="B7231" t="s">
        <v>14143</v>
      </c>
      <c r="C7231" s="3">
        <v>41670</v>
      </c>
      <c r="D7231" t="s">
        <v>62</v>
      </c>
      <c r="E7231">
        <v>1</v>
      </c>
      <c r="F7231" s="3">
        <f ca="1">41672+(RANDBETWEEN(1,10))</f>
        <v>41677</v>
      </c>
      <c r="G7231" t="s">
        <v>76</v>
      </c>
      <c r="H7231" t="s">
        <v>258</v>
      </c>
      <c r="I7231" t="s">
        <v>28</v>
      </c>
      <c r="J7231">
        <v>84.525000000000006</v>
      </c>
      <c r="K7231">
        <v>0.05</v>
      </c>
      <c r="L7231">
        <v>0.76</v>
      </c>
      <c r="M7231">
        <v>97.125</v>
      </c>
      <c r="N7231">
        <v>1318.4849999999999</v>
      </c>
      <c r="O7231" s="1" t="s">
        <v>29</v>
      </c>
      <c r="P7231" s="1" t="s">
        <v>14144</v>
      </c>
      <c r="Q7231" s="1" t="s">
        <v>14145</v>
      </c>
      <c r="R7231" s="1" t="s">
        <v>460</v>
      </c>
      <c r="S7231" s="1" t="s">
        <v>3701</v>
      </c>
      <c r="T7231" s="1" t="s">
        <v>3702</v>
      </c>
      <c r="U7231" s="2" t="s">
        <v>365</v>
      </c>
      <c r="V7231" s="2" t="s">
        <v>83</v>
      </c>
      <c r="W7231" s="2" t="s">
        <v>263</v>
      </c>
      <c r="X7231" s="2">
        <v>53.305</v>
      </c>
    </row>
    <row r="7232" spans="1:24" x14ac:dyDescent="0.3">
      <c r="A7232">
        <v>25046</v>
      </c>
      <c r="B7232" t="s">
        <v>14146</v>
      </c>
      <c r="C7232" s="3">
        <v>41414</v>
      </c>
      <c r="D7232" t="s">
        <v>148</v>
      </c>
      <c r="E7232">
        <v>13</v>
      </c>
      <c r="F7232" s="3">
        <f ca="1">41416+(RANDBETWEEN(1,10))</f>
        <v>41417</v>
      </c>
      <c r="G7232" t="s">
        <v>26</v>
      </c>
      <c r="H7232" t="s">
        <v>27</v>
      </c>
      <c r="I7232" t="s">
        <v>86</v>
      </c>
      <c r="J7232">
        <v>2691.0450000000001</v>
      </c>
      <c r="K7232">
        <v>0.09</v>
      </c>
      <c r="L7232">
        <v>0.38</v>
      </c>
      <c r="M7232">
        <v>40.424999999999997</v>
      </c>
      <c r="N7232">
        <v>1856.82105</v>
      </c>
      <c r="O7232" s="1" t="s">
        <v>64</v>
      </c>
      <c r="P7232" s="1" t="s">
        <v>12877</v>
      </c>
      <c r="Q7232" s="1" t="s">
        <v>12878</v>
      </c>
      <c r="R7232" s="1" t="s">
        <v>67</v>
      </c>
      <c r="S7232" s="1" t="s">
        <v>12879</v>
      </c>
      <c r="T7232" s="1" t="s">
        <v>12880</v>
      </c>
      <c r="U7232" s="2" t="s">
        <v>13386</v>
      </c>
      <c r="V7232" s="2" t="s">
        <v>47</v>
      </c>
      <c r="W7232" s="2" t="s">
        <v>111</v>
      </c>
      <c r="X7232" s="2">
        <v>223.93</v>
      </c>
    </row>
    <row r="7233" spans="1:24" x14ac:dyDescent="0.3">
      <c r="A7233">
        <v>25047</v>
      </c>
      <c r="B7233" t="s">
        <v>14147</v>
      </c>
      <c r="C7233" s="3">
        <v>41927</v>
      </c>
      <c r="D7233" t="s">
        <v>25</v>
      </c>
      <c r="E7233">
        <v>16</v>
      </c>
      <c r="F7233" s="3">
        <f ca="1">41927+(RANDBETWEEN(1,10))</f>
        <v>41931</v>
      </c>
      <c r="G7233" t="s">
        <v>26</v>
      </c>
      <c r="H7233" t="s">
        <v>51</v>
      </c>
      <c r="I7233" t="s">
        <v>28</v>
      </c>
      <c r="J7233">
        <v>969.745</v>
      </c>
      <c r="K7233">
        <v>0.06</v>
      </c>
      <c r="L7233">
        <v>0.45</v>
      </c>
      <c r="M7233">
        <v>6.9649999999999999</v>
      </c>
      <c r="N7233">
        <v>564.79499999999996</v>
      </c>
      <c r="O7233" s="1" t="s">
        <v>29</v>
      </c>
      <c r="P7233" s="1" t="s">
        <v>7729</v>
      </c>
      <c r="Q7233" s="1" t="s">
        <v>7730</v>
      </c>
      <c r="R7233" s="1" t="s">
        <v>32</v>
      </c>
      <c r="S7233" s="1" t="s">
        <v>7731</v>
      </c>
      <c r="T7233" s="1" t="s">
        <v>7732</v>
      </c>
      <c r="U7233" s="2" t="s">
        <v>59</v>
      </c>
      <c r="V7233" s="2" t="s">
        <v>36</v>
      </c>
      <c r="W7233" s="2" t="s">
        <v>60</v>
      </c>
      <c r="X7233" s="2">
        <v>61.18</v>
      </c>
    </row>
    <row r="7234" spans="1:24" x14ac:dyDescent="0.3">
      <c r="A7234">
        <v>25048</v>
      </c>
      <c r="B7234" t="s">
        <v>14147</v>
      </c>
      <c r="C7234" s="3">
        <v>41927</v>
      </c>
      <c r="D7234" t="s">
        <v>25</v>
      </c>
      <c r="E7234">
        <v>17</v>
      </c>
      <c r="F7234" s="3">
        <f ca="1">41929+(RANDBETWEEN(1,10))</f>
        <v>41933</v>
      </c>
      <c r="G7234" t="s">
        <v>156</v>
      </c>
      <c r="H7234" t="s">
        <v>27</v>
      </c>
      <c r="I7234" t="s">
        <v>28</v>
      </c>
      <c r="J7234">
        <v>3224.7249999999999</v>
      </c>
      <c r="K7234">
        <v>0.06</v>
      </c>
      <c r="L7234">
        <v>0.36</v>
      </c>
      <c r="M7234">
        <v>37.625</v>
      </c>
      <c r="N7234">
        <v>2225.06025</v>
      </c>
      <c r="O7234" s="1" t="s">
        <v>53</v>
      </c>
      <c r="P7234" s="1" t="s">
        <v>14148</v>
      </c>
      <c r="Q7234" s="1" t="s">
        <v>14149</v>
      </c>
      <c r="R7234" s="1" t="s">
        <v>100</v>
      </c>
      <c r="S7234" s="1" t="s">
        <v>6142</v>
      </c>
      <c r="T7234" s="1" t="s">
        <v>6143</v>
      </c>
      <c r="U7234" s="2" t="s">
        <v>5401</v>
      </c>
      <c r="V7234" s="2" t="s">
        <v>47</v>
      </c>
      <c r="W7234" s="2" t="s">
        <v>74</v>
      </c>
      <c r="X7234" s="2">
        <v>192.36</v>
      </c>
    </row>
    <row r="7235" spans="1:24" x14ac:dyDescent="0.3">
      <c r="A7235">
        <v>25049</v>
      </c>
      <c r="B7235" t="s">
        <v>14150</v>
      </c>
      <c r="C7235" s="3">
        <v>41930</v>
      </c>
      <c r="D7235" t="s">
        <v>25</v>
      </c>
      <c r="E7235">
        <v>10</v>
      </c>
      <c r="F7235" s="3">
        <f ca="1">41937+(RANDBETWEEN(1,10))</f>
        <v>41947</v>
      </c>
      <c r="G7235" t="s">
        <v>26</v>
      </c>
      <c r="H7235" t="s">
        <v>27</v>
      </c>
      <c r="I7235" t="s">
        <v>97</v>
      </c>
      <c r="J7235">
        <v>159.32</v>
      </c>
      <c r="K7235">
        <v>0.1</v>
      </c>
      <c r="L7235">
        <v>0.36</v>
      </c>
      <c r="M7235">
        <v>1.75</v>
      </c>
      <c r="N7235">
        <v>109.9308</v>
      </c>
      <c r="O7235" s="1" t="s">
        <v>87</v>
      </c>
      <c r="P7235" s="1" t="s">
        <v>12827</v>
      </c>
      <c r="Q7235" s="1" t="s">
        <v>12828</v>
      </c>
      <c r="R7235" s="1" t="s">
        <v>646</v>
      </c>
      <c r="S7235" s="1" t="s">
        <v>3486</v>
      </c>
      <c r="T7235" s="1" t="s">
        <v>3487</v>
      </c>
      <c r="U7235" s="2" t="s">
        <v>2281</v>
      </c>
      <c r="V7235" s="2" t="s">
        <v>47</v>
      </c>
      <c r="W7235" s="2" t="s">
        <v>203</v>
      </c>
      <c r="X7235" s="2">
        <v>17.184999999999999</v>
      </c>
    </row>
    <row r="7236" spans="1:24" x14ac:dyDescent="0.3">
      <c r="A7236">
        <v>25050</v>
      </c>
      <c r="B7236" t="s">
        <v>14151</v>
      </c>
      <c r="C7236" s="3">
        <v>41348</v>
      </c>
      <c r="D7236" t="s">
        <v>25</v>
      </c>
      <c r="E7236">
        <v>10</v>
      </c>
      <c r="F7236" s="3">
        <f ca="1">41355+(RANDBETWEEN(1,10))</f>
        <v>41358</v>
      </c>
      <c r="G7236" t="s">
        <v>26</v>
      </c>
      <c r="H7236" t="s">
        <v>27</v>
      </c>
      <c r="I7236" t="s">
        <v>86</v>
      </c>
      <c r="J7236">
        <v>236.42500000000001</v>
      </c>
      <c r="K7236">
        <v>0.08</v>
      </c>
      <c r="L7236">
        <v>0.83</v>
      </c>
      <c r="M7236">
        <v>33.914999999999999</v>
      </c>
      <c r="N7236">
        <v>-1099.77</v>
      </c>
      <c r="O7236" s="1" t="s">
        <v>40</v>
      </c>
      <c r="P7236" s="1" t="s">
        <v>14152</v>
      </c>
      <c r="Q7236" s="1" t="s">
        <v>14153</v>
      </c>
      <c r="R7236" s="1" t="s">
        <v>220</v>
      </c>
      <c r="S7236" s="1" t="s">
        <v>3762</v>
      </c>
      <c r="T7236" s="1" t="s">
        <v>3763</v>
      </c>
      <c r="U7236" s="2" t="s">
        <v>6865</v>
      </c>
      <c r="V7236" s="2" t="s">
        <v>47</v>
      </c>
      <c r="W7236" s="2" t="s">
        <v>119</v>
      </c>
      <c r="X7236" s="2">
        <v>24.43</v>
      </c>
    </row>
    <row r="7237" spans="1:24" x14ac:dyDescent="0.3">
      <c r="A7237">
        <v>25051</v>
      </c>
      <c r="B7237" t="s">
        <v>14154</v>
      </c>
      <c r="C7237" s="3">
        <v>40770</v>
      </c>
      <c r="D7237" t="s">
        <v>148</v>
      </c>
      <c r="E7237">
        <v>19</v>
      </c>
      <c r="F7237" s="3">
        <f ca="1">40772+(RANDBETWEEN(1,10))</f>
        <v>40775</v>
      </c>
      <c r="G7237" t="s">
        <v>156</v>
      </c>
      <c r="H7237" t="s">
        <v>27</v>
      </c>
      <c r="I7237" t="s">
        <v>28</v>
      </c>
      <c r="J7237">
        <v>2867.9</v>
      </c>
      <c r="K7237">
        <v>7.0000000000000007E-2</v>
      </c>
      <c r="L7237">
        <v>0.56000000000000005</v>
      </c>
      <c r="M7237">
        <v>16.170000000000002</v>
      </c>
      <c r="N7237">
        <v>1978.8510000000001</v>
      </c>
      <c r="O7237" s="1" t="s">
        <v>40</v>
      </c>
      <c r="P7237" s="1" t="s">
        <v>9509</v>
      </c>
      <c r="Q7237" s="1" t="s">
        <v>9510</v>
      </c>
      <c r="R7237" s="1" t="s">
        <v>43</v>
      </c>
      <c r="S7237" s="1" t="s">
        <v>9511</v>
      </c>
      <c r="T7237" s="1" t="s">
        <v>9512</v>
      </c>
      <c r="U7237" s="2" t="s">
        <v>5674</v>
      </c>
      <c r="V7237" s="2" t="s">
        <v>47</v>
      </c>
      <c r="W7237" s="2" t="s">
        <v>71</v>
      </c>
      <c r="X7237" s="2">
        <v>150.43</v>
      </c>
    </row>
    <row r="7238" spans="1:24" x14ac:dyDescent="0.3">
      <c r="A7238">
        <v>25052</v>
      </c>
      <c r="B7238" t="s">
        <v>14154</v>
      </c>
      <c r="C7238" s="3">
        <v>40770</v>
      </c>
      <c r="D7238" t="s">
        <v>148</v>
      </c>
      <c r="E7238">
        <v>19</v>
      </c>
      <c r="F7238" s="3">
        <f ca="1">40773+(RANDBETWEEN(1,10))</f>
        <v>40774</v>
      </c>
      <c r="G7238" t="s">
        <v>76</v>
      </c>
      <c r="H7238" t="s">
        <v>77</v>
      </c>
      <c r="I7238" t="s">
        <v>28</v>
      </c>
      <c r="J7238">
        <v>6334.125</v>
      </c>
      <c r="K7238">
        <v>0.03</v>
      </c>
      <c r="L7238">
        <v>0.66</v>
      </c>
      <c r="M7238">
        <v>147</v>
      </c>
      <c r="N7238">
        <v>-808.33479999999997</v>
      </c>
      <c r="O7238" s="1" t="s">
        <v>40</v>
      </c>
      <c r="P7238" s="1" t="s">
        <v>9509</v>
      </c>
      <c r="Q7238" s="1" t="s">
        <v>9510</v>
      </c>
      <c r="R7238" s="1" t="s">
        <v>43</v>
      </c>
      <c r="S7238" s="1" t="s">
        <v>9511</v>
      </c>
      <c r="T7238" s="1" t="s">
        <v>9512</v>
      </c>
      <c r="U7238" s="2" t="s">
        <v>2462</v>
      </c>
      <c r="V7238" s="2" t="s">
        <v>83</v>
      </c>
      <c r="W7238" s="2" t="s">
        <v>84</v>
      </c>
      <c r="X7238" s="2">
        <v>314.96499999999997</v>
      </c>
    </row>
    <row r="7239" spans="1:24" x14ac:dyDescent="0.3">
      <c r="A7239">
        <v>25053</v>
      </c>
      <c r="B7239" t="s">
        <v>14155</v>
      </c>
      <c r="C7239" s="3">
        <v>41866</v>
      </c>
      <c r="D7239" t="s">
        <v>148</v>
      </c>
      <c r="E7239">
        <v>11</v>
      </c>
      <c r="F7239" s="3">
        <f ca="1">41868+(RANDBETWEEN(1,10))</f>
        <v>41873</v>
      </c>
      <c r="G7239" t="s">
        <v>26</v>
      </c>
      <c r="H7239" t="s">
        <v>27</v>
      </c>
      <c r="I7239" t="s">
        <v>28</v>
      </c>
      <c r="J7239">
        <v>844.16499999999996</v>
      </c>
      <c r="K7239">
        <v>0.03</v>
      </c>
      <c r="L7239">
        <v>0.6</v>
      </c>
      <c r="M7239">
        <v>14</v>
      </c>
      <c r="N7239">
        <v>187.70948000000001</v>
      </c>
      <c r="O7239" s="1" t="s">
        <v>40</v>
      </c>
      <c r="P7239" s="1" t="s">
        <v>9509</v>
      </c>
      <c r="Q7239" s="1" t="s">
        <v>9510</v>
      </c>
      <c r="R7239" s="1" t="s">
        <v>43</v>
      </c>
      <c r="S7239" s="1" t="s">
        <v>9511</v>
      </c>
      <c r="T7239" s="1" t="s">
        <v>9512</v>
      </c>
      <c r="U7239" s="2" t="s">
        <v>3946</v>
      </c>
      <c r="V7239" s="2" t="s">
        <v>36</v>
      </c>
      <c r="W7239" s="2" t="s">
        <v>60</v>
      </c>
      <c r="X7239" s="2">
        <v>73.325000000000003</v>
      </c>
    </row>
    <row r="7240" spans="1:24" x14ac:dyDescent="0.3">
      <c r="A7240">
        <v>25054</v>
      </c>
      <c r="B7240" t="s">
        <v>14156</v>
      </c>
      <c r="C7240" s="3">
        <v>40851</v>
      </c>
      <c r="D7240" t="s">
        <v>50</v>
      </c>
      <c r="E7240">
        <v>8</v>
      </c>
      <c r="F7240" s="3">
        <f ca="1">40852+(RANDBETWEEN(1,10))</f>
        <v>40855</v>
      </c>
      <c r="G7240" t="s">
        <v>26</v>
      </c>
      <c r="H7240" t="s">
        <v>27</v>
      </c>
      <c r="I7240" t="s">
        <v>52</v>
      </c>
      <c r="J7240">
        <v>183.505</v>
      </c>
      <c r="K7240">
        <v>0</v>
      </c>
      <c r="L7240">
        <v>0.35</v>
      </c>
      <c r="M7240">
        <v>17.395</v>
      </c>
      <c r="N7240">
        <v>12.45335</v>
      </c>
      <c r="O7240" s="1" t="s">
        <v>87</v>
      </c>
      <c r="P7240" s="1" t="s">
        <v>10249</v>
      </c>
      <c r="Q7240" s="1" t="s">
        <v>10250</v>
      </c>
      <c r="R7240" s="1" t="s">
        <v>90</v>
      </c>
      <c r="S7240" s="1" t="s">
        <v>10251</v>
      </c>
      <c r="T7240" s="1" t="s">
        <v>10252</v>
      </c>
      <c r="U7240" s="2" t="s">
        <v>10979</v>
      </c>
      <c r="V7240" s="2" t="s">
        <v>47</v>
      </c>
      <c r="W7240" s="2" t="s">
        <v>111</v>
      </c>
      <c r="X7240" s="2">
        <v>20.195</v>
      </c>
    </row>
    <row r="7241" spans="1:24" x14ac:dyDescent="0.3">
      <c r="A7241">
        <v>25055</v>
      </c>
      <c r="B7241" t="s">
        <v>14157</v>
      </c>
      <c r="C7241" s="3">
        <v>40649</v>
      </c>
      <c r="D7241" t="s">
        <v>50</v>
      </c>
      <c r="E7241">
        <v>9</v>
      </c>
      <c r="F7241" s="3">
        <f ca="1">40650+(RANDBETWEEN(1,10))</f>
        <v>40657</v>
      </c>
      <c r="G7241" t="s">
        <v>156</v>
      </c>
      <c r="H7241" t="s">
        <v>27</v>
      </c>
      <c r="I7241" t="s">
        <v>52</v>
      </c>
      <c r="J7241">
        <v>104.72</v>
      </c>
      <c r="K7241">
        <v>0</v>
      </c>
      <c r="L7241">
        <v>0.36</v>
      </c>
      <c r="M7241">
        <v>5.2149999999999999</v>
      </c>
      <c r="N7241">
        <v>72.256799999999998</v>
      </c>
      <c r="O7241" s="1" t="s">
        <v>40</v>
      </c>
      <c r="P7241" s="1" t="s">
        <v>14158</v>
      </c>
      <c r="Q7241" s="1" t="s">
        <v>14159</v>
      </c>
      <c r="R7241" s="1" t="s">
        <v>43</v>
      </c>
      <c r="S7241" s="1" t="s">
        <v>1414</v>
      </c>
      <c r="T7241" s="1" t="s">
        <v>1415</v>
      </c>
      <c r="U7241" s="2" t="s">
        <v>1534</v>
      </c>
      <c r="V7241" s="2" t="s">
        <v>47</v>
      </c>
      <c r="W7241" s="2" t="s">
        <v>111</v>
      </c>
      <c r="X7241" s="2">
        <v>9.73</v>
      </c>
    </row>
    <row r="7242" spans="1:24" x14ac:dyDescent="0.3">
      <c r="A7242">
        <v>25056</v>
      </c>
      <c r="B7242" t="s">
        <v>14160</v>
      </c>
      <c r="C7242" s="3">
        <v>41745</v>
      </c>
      <c r="D7242" t="s">
        <v>50</v>
      </c>
      <c r="E7242">
        <v>2</v>
      </c>
      <c r="F7242" s="3">
        <f ca="1">41747+(RANDBETWEEN(1,10))</f>
        <v>41752</v>
      </c>
      <c r="G7242" t="s">
        <v>76</v>
      </c>
      <c r="H7242" t="s">
        <v>77</v>
      </c>
      <c r="I7242" t="s">
        <v>52</v>
      </c>
      <c r="J7242">
        <v>17190.494999999999</v>
      </c>
      <c r="K7242">
        <v>0.1</v>
      </c>
      <c r="L7242">
        <v>0.56999999999999995</v>
      </c>
      <c r="M7242">
        <v>103.95</v>
      </c>
      <c r="N7242">
        <v>-13293.038850000001</v>
      </c>
      <c r="O7242" s="1" t="s">
        <v>40</v>
      </c>
      <c r="P7242" s="1" t="s">
        <v>14158</v>
      </c>
      <c r="Q7242" s="1" t="s">
        <v>14159</v>
      </c>
      <c r="R7242" s="1" t="s">
        <v>43</v>
      </c>
      <c r="S7242" s="1" t="s">
        <v>1414</v>
      </c>
      <c r="T7242" s="1" t="s">
        <v>1415</v>
      </c>
      <c r="U7242" s="2" t="s">
        <v>2100</v>
      </c>
      <c r="V7242" s="2" t="s">
        <v>36</v>
      </c>
      <c r="W7242" s="2" t="s">
        <v>142</v>
      </c>
      <c r="X7242" s="2">
        <v>8925.49</v>
      </c>
    </row>
    <row r="7243" spans="1:24" x14ac:dyDescent="0.3">
      <c r="A7243">
        <v>25057</v>
      </c>
      <c r="B7243" t="s">
        <v>14161</v>
      </c>
      <c r="C7243" s="3">
        <v>41721</v>
      </c>
      <c r="D7243" t="s">
        <v>50</v>
      </c>
      <c r="E7243">
        <v>9</v>
      </c>
      <c r="F7243" s="3">
        <f ca="1">41723+(RANDBETWEEN(1,10))</f>
        <v>41729</v>
      </c>
      <c r="G7243" t="s">
        <v>26</v>
      </c>
      <c r="H7243" t="s">
        <v>281</v>
      </c>
      <c r="I7243" t="s">
        <v>28</v>
      </c>
      <c r="J7243">
        <v>482.51</v>
      </c>
      <c r="K7243">
        <v>0</v>
      </c>
      <c r="L7243">
        <v>0.39</v>
      </c>
      <c r="M7243">
        <v>26.285</v>
      </c>
      <c r="N7243">
        <v>100.45</v>
      </c>
      <c r="O7243" s="1" t="s">
        <v>29</v>
      </c>
      <c r="P7243" s="1" t="s">
        <v>13618</v>
      </c>
      <c r="Q7243" s="1" t="s">
        <v>13619</v>
      </c>
      <c r="R7243" s="1" t="s">
        <v>32</v>
      </c>
      <c r="S7243" s="1" t="s">
        <v>1051</v>
      </c>
      <c r="T7243" s="1" t="s">
        <v>1052</v>
      </c>
      <c r="U7243" s="2" t="s">
        <v>1079</v>
      </c>
      <c r="V7243" s="2" t="s">
        <v>36</v>
      </c>
      <c r="W7243" s="2" t="s">
        <v>142</v>
      </c>
      <c r="X7243" s="2">
        <v>48.965000000000003</v>
      </c>
    </row>
    <row r="7244" spans="1:24" x14ac:dyDescent="0.3">
      <c r="A7244">
        <v>25058</v>
      </c>
      <c r="B7244" t="s">
        <v>14162</v>
      </c>
      <c r="C7244" s="3">
        <v>41949</v>
      </c>
      <c r="D7244" t="s">
        <v>62</v>
      </c>
      <c r="E7244">
        <v>23</v>
      </c>
      <c r="F7244" s="3">
        <f ca="1">41950+(RANDBETWEEN(1,10))</f>
        <v>41952</v>
      </c>
      <c r="G7244" t="s">
        <v>156</v>
      </c>
      <c r="H7244" t="s">
        <v>27</v>
      </c>
      <c r="I7244" t="s">
        <v>28</v>
      </c>
      <c r="J7244">
        <v>393.01499999999999</v>
      </c>
      <c r="K7244">
        <v>0</v>
      </c>
      <c r="L7244">
        <v>0.35</v>
      </c>
      <c r="M7244">
        <v>18.934999999999999</v>
      </c>
      <c r="N7244">
        <v>2630.1995999999999</v>
      </c>
      <c r="O7244" s="1" t="s">
        <v>87</v>
      </c>
      <c r="P7244" s="1" t="s">
        <v>12472</v>
      </c>
      <c r="Q7244" s="1" t="s">
        <v>12473</v>
      </c>
      <c r="R7244" s="1" t="s">
        <v>90</v>
      </c>
      <c r="S7244" s="1" t="s">
        <v>12474</v>
      </c>
      <c r="T7244" s="1" t="s">
        <v>12475</v>
      </c>
      <c r="U7244" s="2" t="s">
        <v>231</v>
      </c>
      <c r="V7244" s="2" t="s">
        <v>47</v>
      </c>
      <c r="W7244" s="2" t="s">
        <v>111</v>
      </c>
      <c r="X7244" s="2">
        <v>14.84</v>
      </c>
    </row>
    <row r="7245" spans="1:24" x14ac:dyDescent="0.3">
      <c r="A7245">
        <v>25059</v>
      </c>
      <c r="B7245" t="s">
        <v>14163</v>
      </c>
      <c r="C7245" s="3">
        <v>40726</v>
      </c>
      <c r="D7245" t="s">
        <v>62</v>
      </c>
      <c r="E7245">
        <v>3</v>
      </c>
      <c r="F7245" s="3">
        <f ca="1">40727+(RANDBETWEEN(1,10))</f>
        <v>40729</v>
      </c>
      <c r="G7245" t="s">
        <v>26</v>
      </c>
      <c r="H7245" t="s">
        <v>27</v>
      </c>
      <c r="I7245" t="s">
        <v>86</v>
      </c>
      <c r="J7245">
        <v>1697.5350000000001</v>
      </c>
      <c r="K7245">
        <v>0.06</v>
      </c>
      <c r="L7245">
        <v>0.66</v>
      </c>
      <c r="M7245">
        <v>69.965000000000003</v>
      </c>
      <c r="N7245">
        <v>-26.53</v>
      </c>
      <c r="O7245" s="1" t="s">
        <v>53</v>
      </c>
      <c r="P7245" s="1" t="s">
        <v>10423</v>
      </c>
      <c r="Q7245" s="1" t="s">
        <v>10424</v>
      </c>
      <c r="R7245" s="1" t="s">
        <v>56</v>
      </c>
      <c r="S7245" s="1" t="s">
        <v>10425</v>
      </c>
      <c r="T7245" s="1" t="s">
        <v>10426</v>
      </c>
      <c r="U7245" s="2" t="s">
        <v>6421</v>
      </c>
      <c r="V7245" s="2" t="s">
        <v>47</v>
      </c>
      <c r="W7245" s="2" t="s">
        <v>119</v>
      </c>
      <c r="X7245" s="2">
        <v>565.42499999999995</v>
      </c>
    </row>
    <row r="7246" spans="1:24" x14ac:dyDescent="0.3">
      <c r="A7246">
        <v>25060</v>
      </c>
      <c r="B7246" t="s">
        <v>14164</v>
      </c>
      <c r="C7246" s="3">
        <v>40693</v>
      </c>
      <c r="D7246" t="s">
        <v>50</v>
      </c>
      <c r="E7246">
        <v>11</v>
      </c>
      <c r="F7246" s="3">
        <f ca="1">40694+(RANDBETWEEN(1,10))</f>
        <v>40699</v>
      </c>
      <c r="G7246" t="s">
        <v>26</v>
      </c>
      <c r="H7246" t="s">
        <v>27</v>
      </c>
      <c r="I7246" t="s">
        <v>97</v>
      </c>
      <c r="J7246">
        <v>4469.08</v>
      </c>
      <c r="K7246">
        <v>0.05</v>
      </c>
      <c r="L7246">
        <v>0.35</v>
      </c>
      <c r="M7246">
        <v>31.745000000000001</v>
      </c>
      <c r="N7246">
        <v>3083.6651999999999</v>
      </c>
      <c r="O7246" s="1" t="s">
        <v>225</v>
      </c>
      <c r="P7246" s="1" t="s">
        <v>12872</v>
      </c>
      <c r="Q7246" s="1" t="s">
        <v>12873</v>
      </c>
      <c r="R7246" s="1" t="s">
        <v>228</v>
      </c>
      <c r="S7246" s="1" t="s">
        <v>12874</v>
      </c>
      <c r="T7246" s="1" t="s">
        <v>12875</v>
      </c>
      <c r="U7246" s="2" t="s">
        <v>4646</v>
      </c>
      <c r="V7246" s="2" t="s">
        <v>47</v>
      </c>
      <c r="W7246" s="2" t="s">
        <v>111</v>
      </c>
      <c r="X7246" s="2">
        <v>423.43</v>
      </c>
    </row>
    <row r="7247" spans="1:24" x14ac:dyDescent="0.3">
      <c r="A7247">
        <v>25061</v>
      </c>
      <c r="B7247" t="s">
        <v>14165</v>
      </c>
      <c r="C7247" s="3">
        <v>41771</v>
      </c>
      <c r="D7247" t="s">
        <v>50</v>
      </c>
      <c r="E7247">
        <v>7</v>
      </c>
      <c r="F7247" s="3">
        <f ca="1">41772+(RANDBETWEEN(1,10))</f>
        <v>41773</v>
      </c>
      <c r="G7247" t="s">
        <v>26</v>
      </c>
      <c r="H7247" t="s">
        <v>96</v>
      </c>
      <c r="I7247" t="s">
        <v>28</v>
      </c>
      <c r="J7247">
        <v>159.11000000000001</v>
      </c>
      <c r="K7247">
        <v>0.08</v>
      </c>
      <c r="L7247">
        <v>0.38</v>
      </c>
      <c r="M7247">
        <v>5.6</v>
      </c>
      <c r="N7247">
        <v>362.50200000000001</v>
      </c>
      <c r="O7247" s="1" t="s">
        <v>29</v>
      </c>
      <c r="P7247" s="1" t="s">
        <v>4866</v>
      </c>
      <c r="Q7247" s="1" t="s">
        <v>4867</v>
      </c>
      <c r="R7247" s="1" t="s">
        <v>32</v>
      </c>
      <c r="S7247" s="1" t="s">
        <v>4868</v>
      </c>
      <c r="T7247" s="1" t="s">
        <v>4869</v>
      </c>
      <c r="U7247" s="2" t="s">
        <v>4250</v>
      </c>
      <c r="V7247" s="2" t="s">
        <v>47</v>
      </c>
      <c r="W7247" s="2" t="s">
        <v>74</v>
      </c>
      <c r="X7247" s="2">
        <v>24.43</v>
      </c>
    </row>
    <row r="7248" spans="1:24" x14ac:dyDescent="0.3">
      <c r="A7248">
        <v>25062</v>
      </c>
      <c r="B7248" t="s">
        <v>14165</v>
      </c>
      <c r="C7248" s="3">
        <v>41771</v>
      </c>
      <c r="D7248" t="s">
        <v>50</v>
      </c>
      <c r="E7248">
        <v>12</v>
      </c>
      <c r="F7248" s="3">
        <f ca="1">41773+(RANDBETWEEN(1,10))</f>
        <v>41780</v>
      </c>
      <c r="G7248" t="s">
        <v>26</v>
      </c>
      <c r="H7248" t="s">
        <v>27</v>
      </c>
      <c r="I7248" t="s">
        <v>28</v>
      </c>
      <c r="J7248">
        <v>292.81</v>
      </c>
      <c r="K7248">
        <v>0.05</v>
      </c>
      <c r="L7248">
        <v>0.39</v>
      </c>
      <c r="M7248">
        <v>21.175000000000001</v>
      </c>
      <c r="N7248">
        <v>-339.71</v>
      </c>
      <c r="O7248" s="1" t="s">
        <v>225</v>
      </c>
      <c r="P7248" s="1" t="s">
        <v>14166</v>
      </c>
      <c r="Q7248" s="1" t="s">
        <v>14167</v>
      </c>
      <c r="R7248" s="1" t="s">
        <v>228</v>
      </c>
      <c r="S7248" s="1" t="s">
        <v>1564</v>
      </c>
      <c r="T7248" s="1" t="s">
        <v>1565</v>
      </c>
      <c r="U7248" s="2" t="s">
        <v>2669</v>
      </c>
      <c r="V7248" s="2" t="s">
        <v>47</v>
      </c>
      <c r="W7248" s="2" t="s">
        <v>111</v>
      </c>
      <c r="X7248" s="2">
        <v>24.85</v>
      </c>
    </row>
    <row r="7249" spans="1:24" x14ac:dyDescent="0.3">
      <c r="A7249">
        <v>25063</v>
      </c>
      <c r="B7249" t="s">
        <v>14168</v>
      </c>
      <c r="C7249" s="3">
        <v>41359</v>
      </c>
      <c r="D7249" t="s">
        <v>39</v>
      </c>
      <c r="E7249">
        <v>5</v>
      </c>
      <c r="F7249" s="3">
        <f ca="1">41360+(RANDBETWEEN(1,10))</f>
        <v>41361</v>
      </c>
      <c r="G7249" t="s">
        <v>26</v>
      </c>
      <c r="H7249" t="s">
        <v>27</v>
      </c>
      <c r="I7249" t="s">
        <v>28</v>
      </c>
      <c r="J7249">
        <v>3675.42</v>
      </c>
      <c r="K7249">
        <v>0.05</v>
      </c>
      <c r="L7249">
        <v>0.6</v>
      </c>
      <c r="M7249">
        <v>34.965000000000003</v>
      </c>
      <c r="N7249">
        <v>2536.0398</v>
      </c>
      <c r="O7249" s="1" t="s">
        <v>64</v>
      </c>
      <c r="P7249" s="1" t="s">
        <v>14102</v>
      </c>
      <c r="Q7249" s="1" t="s">
        <v>14103</v>
      </c>
      <c r="R7249" s="1" t="s">
        <v>128</v>
      </c>
      <c r="S7249" s="1" t="s">
        <v>7105</v>
      </c>
      <c r="T7249" s="1" t="s">
        <v>7106</v>
      </c>
      <c r="U7249" s="2" t="s">
        <v>11486</v>
      </c>
      <c r="V7249" s="2" t="s">
        <v>47</v>
      </c>
      <c r="W7249" s="2" t="s">
        <v>119</v>
      </c>
      <c r="X7249" s="2">
        <v>736.92499999999995</v>
      </c>
    </row>
    <row r="7250" spans="1:24" x14ac:dyDescent="0.3">
      <c r="A7250">
        <v>25064</v>
      </c>
      <c r="B7250" t="s">
        <v>14168</v>
      </c>
      <c r="C7250" s="3">
        <v>41359</v>
      </c>
      <c r="D7250" t="s">
        <v>39</v>
      </c>
      <c r="E7250">
        <v>3</v>
      </c>
      <c r="F7250" s="3">
        <f ca="1">41361+(RANDBETWEEN(1,10))</f>
        <v>41366</v>
      </c>
      <c r="G7250" t="s">
        <v>26</v>
      </c>
      <c r="H7250" t="s">
        <v>63</v>
      </c>
      <c r="I7250" t="s">
        <v>28</v>
      </c>
      <c r="J7250">
        <v>2059.75</v>
      </c>
      <c r="K7250">
        <v>0.04</v>
      </c>
      <c r="L7250">
        <v>0.72</v>
      </c>
      <c r="M7250">
        <v>241.5</v>
      </c>
      <c r="N7250">
        <v>-1284.5070000000001</v>
      </c>
      <c r="O7250" s="1" t="s">
        <v>64</v>
      </c>
      <c r="P7250" s="1" t="s">
        <v>14102</v>
      </c>
      <c r="Q7250" s="1" t="s">
        <v>14103</v>
      </c>
      <c r="R7250" s="1" t="s">
        <v>128</v>
      </c>
      <c r="S7250" s="1" t="s">
        <v>7105</v>
      </c>
      <c r="T7250" s="1" t="s">
        <v>7106</v>
      </c>
      <c r="U7250" s="2" t="s">
        <v>10726</v>
      </c>
      <c r="V7250" s="2" t="s">
        <v>83</v>
      </c>
      <c r="W7250" s="2" t="s">
        <v>263</v>
      </c>
      <c r="X7250" s="2">
        <v>638.92499999999995</v>
      </c>
    </row>
    <row r="7251" spans="1:24" x14ac:dyDescent="0.3">
      <c r="A7251">
        <v>25065</v>
      </c>
      <c r="B7251" t="s">
        <v>14169</v>
      </c>
      <c r="C7251" s="3">
        <v>41457</v>
      </c>
      <c r="D7251" t="s">
        <v>148</v>
      </c>
      <c r="E7251">
        <v>3</v>
      </c>
      <c r="F7251" s="3">
        <f ca="1">41457+(RANDBETWEEN(1,10))</f>
        <v>41466</v>
      </c>
      <c r="G7251" t="s">
        <v>26</v>
      </c>
      <c r="H7251" t="s">
        <v>27</v>
      </c>
      <c r="I7251" t="s">
        <v>86</v>
      </c>
      <c r="J7251">
        <v>1149.75</v>
      </c>
      <c r="K7251">
        <v>7.0000000000000007E-2</v>
      </c>
      <c r="L7251">
        <v>0.78</v>
      </c>
      <c r="M7251">
        <v>30.24</v>
      </c>
      <c r="N7251">
        <v>-8.9179999999999993</v>
      </c>
      <c r="O7251" s="1" t="s">
        <v>64</v>
      </c>
      <c r="P7251" s="1" t="s">
        <v>13009</v>
      </c>
      <c r="Q7251" s="1" t="s">
        <v>13010</v>
      </c>
      <c r="R7251" s="1" t="s">
        <v>128</v>
      </c>
      <c r="S7251" s="1" t="s">
        <v>13011</v>
      </c>
      <c r="T7251" s="1" t="s">
        <v>13012</v>
      </c>
      <c r="U7251" s="2" t="s">
        <v>5174</v>
      </c>
      <c r="V7251" s="2" t="s">
        <v>47</v>
      </c>
      <c r="W7251" s="2" t="s">
        <v>119</v>
      </c>
      <c r="X7251" s="2">
        <v>388.60500000000002</v>
      </c>
    </row>
    <row r="7252" spans="1:24" x14ac:dyDescent="0.3">
      <c r="A7252">
        <v>25066</v>
      </c>
      <c r="B7252" t="s">
        <v>14170</v>
      </c>
      <c r="C7252" s="3">
        <v>40701</v>
      </c>
      <c r="D7252" t="s">
        <v>25</v>
      </c>
      <c r="E7252">
        <v>3</v>
      </c>
      <c r="F7252" s="3">
        <f ca="1">40706+(RANDBETWEEN(1,10))</f>
        <v>40716</v>
      </c>
      <c r="G7252" t="s">
        <v>76</v>
      </c>
      <c r="H7252" t="s">
        <v>77</v>
      </c>
      <c r="I7252" t="s">
        <v>86</v>
      </c>
      <c r="J7252">
        <v>3242.05</v>
      </c>
      <c r="K7252">
        <v>0.02</v>
      </c>
      <c r="L7252">
        <v>0.6</v>
      </c>
      <c r="M7252">
        <v>243.42500000000001</v>
      </c>
      <c r="N7252">
        <v>54.347999999999999</v>
      </c>
      <c r="O7252" s="1" t="s">
        <v>29</v>
      </c>
      <c r="P7252" s="1" t="s">
        <v>13673</v>
      </c>
      <c r="Q7252" s="1" t="s">
        <v>13674</v>
      </c>
      <c r="R7252" s="1" t="s">
        <v>460</v>
      </c>
      <c r="S7252" s="1" t="s">
        <v>13675</v>
      </c>
      <c r="T7252" s="1" t="s">
        <v>13676</v>
      </c>
      <c r="U7252" s="2" t="s">
        <v>5566</v>
      </c>
      <c r="V7252" s="2" t="s">
        <v>83</v>
      </c>
      <c r="W7252" s="2" t="s">
        <v>84</v>
      </c>
      <c r="X7252" s="2">
        <v>997.43</v>
      </c>
    </row>
    <row r="7253" spans="1:24" x14ac:dyDescent="0.3">
      <c r="A7253">
        <v>25067</v>
      </c>
      <c r="B7253" t="s">
        <v>14170</v>
      </c>
      <c r="C7253" s="3">
        <v>40701</v>
      </c>
      <c r="D7253" t="s">
        <v>25</v>
      </c>
      <c r="E7253">
        <v>17</v>
      </c>
      <c r="F7253" s="3">
        <f ca="1">40703+(RANDBETWEEN(1,10))</f>
        <v>40707</v>
      </c>
      <c r="G7253" t="s">
        <v>26</v>
      </c>
      <c r="H7253" t="s">
        <v>27</v>
      </c>
      <c r="I7253" t="s">
        <v>86</v>
      </c>
      <c r="J7253">
        <v>3298.855</v>
      </c>
      <c r="K7253">
        <v>0.08</v>
      </c>
      <c r="L7253">
        <v>0.37</v>
      </c>
      <c r="M7253">
        <v>50.05</v>
      </c>
      <c r="N7253">
        <v>-789.47329999999999</v>
      </c>
      <c r="O7253" s="1" t="s">
        <v>29</v>
      </c>
      <c r="P7253" s="1" t="s">
        <v>13673</v>
      </c>
      <c r="Q7253" s="1" t="s">
        <v>13674</v>
      </c>
      <c r="R7253" s="1" t="s">
        <v>460</v>
      </c>
      <c r="S7253" s="1" t="s">
        <v>13675</v>
      </c>
      <c r="T7253" s="1" t="s">
        <v>13676</v>
      </c>
      <c r="U7253" s="2" t="s">
        <v>1168</v>
      </c>
      <c r="V7253" s="2" t="s">
        <v>47</v>
      </c>
      <c r="W7253" s="2" t="s">
        <v>74</v>
      </c>
      <c r="X7253" s="2">
        <v>194.18</v>
      </c>
    </row>
    <row r="7254" spans="1:24" x14ac:dyDescent="0.3">
      <c r="A7254">
        <v>25068</v>
      </c>
      <c r="B7254" t="s">
        <v>14171</v>
      </c>
      <c r="C7254" s="3">
        <v>41658</v>
      </c>
      <c r="D7254" t="s">
        <v>62</v>
      </c>
      <c r="E7254">
        <v>14</v>
      </c>
      <c r="F7254" s="3">
        <f ca="1">41660+(RANDBETWEEN(1,10))</f>
        <v>41666</v>
      </c>
      <c r="G7254" t="s">
        <v>76</v>
      </c>
      <c r="H7254" t="s">
        <v>77</v>
      </c>
      <c r="I7254" t="s">
        <v>97</v>
      </c>
      <c r="J7254">
        <v>6495.9650000000001</v>
      </c>
      <c r="K7254">
        <v>0.1</v>
      </c>
      <c r="L7254">
        <v>0.56000000000000005</v>
      </c>
      <c r="M7254">
        <v>62.475000000000001</v>
      </c>
      <c r="N7254">
        <v>2877.1889999999999</v>
      </c>
      <c r="O7254" s="1" t="s">
        <v>40</v>
      </c>
      <c r="P7254" s="1" t="s">
        <v>705</v>
      </c>
      <c r="Q7254" s="1" t="s">
        <v>706</v>
      </c>
      <c r="R7254" s="1" t="s">
        <v>220</v>
      </c>
      <c r="S7254" s="1" t="s">
        <v>707</v>
      </c>
      <c r="T7254" s="1" t="s">
        <v>708</v>
      </c>
      <c r="U7254" s="2" t="s">
        <v>881</v>
      </c>
      <c r="V7254" s="2" t="s">
        <v>36</v>
      </c>
      <c r="W7254" s="2" t="s">
        <v>142</v>
      </c>
      <c r="X7254" s="2">
        <v>509.07499999999999</v>
      </c>
    </row>
    <row r="7255" spans="1:24" x14ac:dyDescent="0.3">
      <c r="A7255">
        <v>25069</v>
      </c>
      <c r="B7255" t="s">
        <v>14172</v>
      </c>
      <c r="C7255" s="3">
        <v>41544</v>
      </c>
      <c r="D7255" t="s">
        <v>62</v>
      </c>
      <c r="E7255">
        <v>3</v>
      </c>
      <c r="F7255" s="3">
        <f ca="1">41547+(RANDBETWEEN(1,10))</f>
        <v>41550</v>
      </c>
      <c r="G7255" t="s">
        <v>26</v>
      </c>
      <c r="H7255" t="s">
        <v>27</v>
      </c>
      <c r="I7255" t="s">
        <v>28</v>
      </c>
      <c r="J7255">
        <v>158.9</v>
      </c>
      <c r="K7255">
        <v>7.0000000000000007E-2</v>
      </c>
      <c r="L7255">
        <v>0.38</v>
      </c>
      <c r="M7255">
        <v>25.094999999999999</v>
      </c>
      <c r="N7255">
        <v>-106.477</v>
      </c>
      <c r="O7255" s="1" t="s">
        <v>64</v>
      </c>
      <c r="P7255" s="1" t="s">
        <v>8187</v>
      </c>
      <c r="Q7255" s="1" t="s">
        <v>8188</v>
      </c>
      <c r="R7255" s="1" t="s">
        <v>67</v>
      </c>
      <c r="S7255" s="1" t="s">
        <v>254</v>
      </c>
      <c r="T7255" s="1" t="s">
        <v>8189</v>
      </c>
      <c r="U7255" s="2" t="s">
        <v>3914</v>
      </c>
      <c r="V7255" s="2" t="s">
        <v>47</v>
      </c>
      <c r="W7255" s="2" t="s">
        <v>111</v>
      </c>
      <c r="X7255" s="2">
        <v>50.575000000000003</v>
      </c>
    </row>
    <row r="7256" spans="1:24" x14ac:dyDescent="0.3">
      <c r="A7256">
        <v>25070</v>
      </c>
      <c r="B7256" t="s">
        <v>5704</v>
      </c>
      <c r="C7256" s="3">
        <v>41344</v>
      </c>
      <c r="D7256" t="s">
        <v>148</v>
      </c>
      <c r="E7256">
        <v>8</v>
      </c>
      <c r="F7256" s="3">
        <f ca="1">41346+(RANDBETWEEN(1,10))</f>
        <v>41353</v>
      </c>
      <c r="G7256" t="s">
        <v>26</v>
      </c>
      <c r="H7256" t="s">
        <v>63</v>
      </c>
      <c r="I7256" t="s">
        <v>86</v>
      </c>
      <c r="J7256">
        <v>1290.9749999999999</v>
      </c>
      <c r="K7256">
        <v>0.1</v>
      </c>
      <c r="L7256">
        <v>0.83</v>
      </c>
      <c r="M7256">
        <v>122.5</v>
      </c>
      <c r="N7256">
        <v>-490.73500000000001</v>
      </c>
      <c r="O7256" s="1" t="s">
        <v>29</v>
      </c>
      <c r="P7256" s="1" t="s">
        <v>14173</v>
      </c>
      <c r="Q7256" s="1" t="s">
        <v>14174</v>
      </c>
      <c r="R7256" s="1" t="s">
        <v>32</v>
      </c>
      <c r="S7256" s="1" t="s">
        <v>14175</v>
      </c>
      <c r="T7256" s="1" t="s">
        <v>14176</v>
      </c>
      <c r="U7256" s="2" t="s">
        <v>279</v>
      </c>
      <c r="V7256" s="2" t="s">
        <v>47</v>
      </c>
      <c r="W7256" s="2" t="s">
        <v>119</v>
      </c>
      <c r="X7256" s="2">
        <v>171.185</v>
      </c>
    </row>
    <row r="7257" spans="1:24" x14ac:dyDescent="0.3">
      <c r="A7257">
        <v>25071</v>
      </c>
      <c r="B7257" t="s">
        <v>14177</v>
      </c>
      <c r="C7257" s="3">
        <v>41818</v>
      </c>
      <c r="D7257" t="s">
        <v>62</v>
      </c>
      <c r="E7257">
        <v>12</v>
      </c>
      <c r="F7257" s="3">
        <f ca="1">41820+(RANDBETWEEN(1,10))</f>
        <v>41826</v>
      </c>
      <c r="G7257" t="s">
        <v>156</v>
      </c>
      <c r="H7257" t="s">
        <v>27</v>
      </c>
      <c r="I7257" t="s">
        <v>97</v>
      </c>
      <c r="J7257">
        <v>9045.8549999999996</v>
      </c>
      <c r="K7257">
        <v>0.05</v>
      </c>
      <c r="L7257">
        <v>0.38</v>
      </c>
      <c r="M7257">
        <v>52.534999999999997</v>
      </c>
      <c r="N7257">
        <v>-63.112000000000002</v>
      </c>
      <c r="O7257" s="1" t="s">
        <v>40</v>
      </c>
      <c r="P7257" s="1" t="s">
        <v>3435</v>
      </c>
      <c r="Q7257" s="1" t="s">
        <v>3436</v>
      </c>
      <c r="R7257" s="1" t="s">
        <v>43</v>
      </c>
      <c r="S7257" s="1" t="s">
        <v>3113</v>
      </c>
      <c r="T7257" s="1" t="s">
        <v>3114</v>
      </c>
      <c r="U7257" s="2" t="s">
        <v>9474</v>
      </c>
      <c r="V7257" s="2" t="s">
        <v>47</v>
      </c>
      <c r="W7257" s="2" t="s">
        <v>111</v>
      </c>
      <c r="X7257" s="2">
        <v>783.93</v>
      </c>
    </row>
    <row r="7258" spans="1:24" x14ac:dyDescent="0.3">
      <c r="A7258">
        <v>25072</v>
      </c>
      <c r="B7258" t="s">
        <v>14178</v>
      </c>
      <c r="C7258" s="3">
        <v>41079</v>
      </c>
      <c r="D7258" t="s">
        <v>50</v>
      </c>
      <c r="E7258">
        <v>17</v>
      </c>
      <c r="F7258" s="3">
        <f ca="1">41080+(RANDBETWEEN(1,10))</f>
        <v>41083</v>
      </c>
      <c r="G7258" t="s">
        <v>26</v>
      </c>
      <c r="H7258" t="s">
        <v>281</v>
      </c>
      <c r="I7258" t="s">
        <v>52</v>
      </c>
      <c r="J7258">
        <v>1134.8050000000001</v>
      </c>
      <c r="K7258">
        <v>0</v>
      </c>
      <c r="L7258">
        <v>0.4</v>
      </c>
      <c r="M7258">
        <v>29.785</v>
      </c>
      <c r="N7258">
        <v>-68.747</v>
      </c>
      <c r="O7258" s="1" t="s">
        <v>53</v>
      </c>
      <c r="P7258" s="1" t="s">
        <v>14179</v>
      </c>
      <c r="Q7258" s="1" t="s">
        <v>14180</v>
      </c>
      <c r="R7258" s="1" t="s">
        <v>100</v>
      </c>
      <c r="S7258" s="1" t="s">
        <v>6179</v>
      </c>
      <c r="T7258" s="1" t="s">
        <v>6180</v>
      </c>
      <c r="U7258" s="2" t="s">
        <v>282</v>
      </c>
      <c r="V7258" s="2" t="s">
        <v>36</v>
      </c>
      <c r="W7258" s="2" t="s">
        <v>142</v>
      </c>
      <c r="X7258" s="2">
        <v>62.93</v>
      </c>
    </row>
    <row r="7259" spans="1:24" x14ac:dyDescent="0.3">
      <c r="A7259">
        <v>25073</v>
      </c>
      <c r="B7259" t="s">
        <v>14181</v>
      </c>
      <c r="C7259" s="3">
        <v>41144</v>
      </c>
      <c r="D7259" t="s">
        <v>25</v>
      </c>
      <c r="E7259">
        <v>17</v>
      </c>
      <c r="F7259" s="3">
        <f ca="1">41149+(RANDBETWEEN(1,10))</f>
        <v>41153</v>
      </c>
      <c r="G7259" t="s">
        <v>26</v>
      </c>
      <c r="H7259" t="s">
        <v>51</v>
      </c>
      <c r="I7259" t="s">
        <v>86</v>
      </c>
      <c r="J7259">
        <v>1296.2249999999999</v>
      </c>
      <c r="K7259">
        <v>0.09</v>
      </c>
      <c r="L7259">
        <v>0.56999999999999995</v>
      </c>
      <c r="M7259">
        <v>31.465</v>
      </c>
      <c r="N7259">
        <v>-105.0686</v>
      </c>
      <c r="O7259" s="1" t="s">
        <v>53</v>
      </c>
      <c r="P7259" s="1" t="s">
        <v>9928</v>
      </c>
      <c r="Q7259" s="1" t="s">
        <v>9929</v>
      </c>
      <c r="R7259" s="1" t="s">
        <v>100</v>
      </c>
      <c r="S7259" s="1" t="s">
        <v>9930</v>
      </c>
      <c r="T7259" s="1" t="s">
        <v>9931</v>
      </c>
      <c r="U7259" s="2" t="s">
        <v>246</v>
      </c>
      <c r="V7259" s="2" t="s">
        <v>47</v>
      </c>
      <c r="W7259" s="2" t="s">
        <v>104</v>
      </c>
      <c r="X7259" s="2">
        <v>80.465000000000003</v>
      </c>
    </row>
    <row r="7260" spans="1:24" x14ac:dyDescent="0.3">
      <c r="A7260">
        <v>25074</v>
      </c>
      <c r="B7260" t="s">
        <v>14182</v>
      </c>
      <c r="C7260" s="3">
        <v>41642</v>
      </c>
      <c r="D7260" t="s">
        <v>25</v>
      </c>
      <c r="E7260">
        <v>7</v>
      </c>
      <c r="F7260" s="3">
        <f ca="1">41644+(RANDBETWEEN(1,10))</f>
        <v>41648</v>
      </c>
      <c r="G7260" t="s">
        <v>76</v>
      </c>
      <c r="H7260" t="s">
        <v>77</v>
      </c>
      <c r="I7260" t="s">
        <v>28</v>
      </c>
      <c r="J7260">
        <v>5742.0649999999996</v>
      </c>
      <c r="K7260">
        <v>0.02</v>
      </c>
      <c r="L7260">
        <v>0.59</v>
      </c>
      <c r="M7260">
        <v>98.56</v>
      </c>
      <c r="N7260">
        <v>3613.6898000000001</v>
      </c>
      <c r="O7260" s="1" t="s">
        <v>225</v>
      </c>
      <c r="P7260" s="1" t="s">
        <v>14183</v>
      </c>
      <c r="Q7260" s="1" t="s">
        <v>14184</v>
      </c>
      <c r="R7260" s="1" t="s">
        <v>228</v>
      </c>
      <c r="S7260" s="1" t="s">
        <v>14185</v>
      </c>
      <c r="T7260" s="1" t="s">
        <v>14186</v>
      </c>
      <c r="U7260" s="2" t="s">
        <v>5590</v>
      </c>
      <c r="V7260" s="2" t="s">
        <v>83</v>
      </c>
      <c r="W7260" s="2" t="s">
        <v>84</v>
      </c>
      <c r="X7260" s="2">
        <v>793.34500000000003</v>
      </c>
    </row>
    <row r="7261" spans="1:24" x14ac:dyDescent="0.3">
      <c r="A7261">
        <v>25075</v>
      </c>
      <c r="B7261" t="s">
        <v>14187</v>
      </c>
      <c r="C7261" s="3">
        <v>41559</v>
      </c>
      <c r="D7261" t="s">
        <v>50</v>
      </c>
      <c r="E7261">
        <v>9</v>
      </c>
      <c r="F7261" s="3">
        <f ca="1">41560+(RANDBETWEEN(1,10))</f>
        <v>41566</v>
      </c>
      <c r="G7261" t="s">
        <v>76</v>
      </c>
      <c r="H7261" t="s">
        <v>77</v>
      </c>
      <c r="I7261" t="s">
        <v>86</v>
      </c>
      <c r="J7261">
        <v>3077.2350000000001</v>
      </c>
      <c r="K7261">
        <v>0.06</v>
      </c>
      <c r="L7261">
        <v>0.56999999999999995</v>
      </c>
      <c r="M7261">
        <v>54.81</v>
      </c>
      <c r="N7261">
        <v>768.03440000000001</v>
      </c>
      <c r="O7261" s="1" t="s">
        <v>225</v>
      </c>
      <c r="P7261" s="1" t="s">
        <v>7159</v>
      </c>
      <c r="Q7261" s="1" t="s">
        <v>7160</v>
      </c>
      <c r="R7261" s="1" t="s">
        <v>228</v>
      </c>
      <c r="S7261" s="1" t="s">
        <v>7161</v>
      </c>
      <c r="T7261" s="1" t="s">
        <v>1880</v>
      </c>
      <c r="U7261" s="2" t="s">
        <v>2461</v>
      </c>
      <c r="V7261" s="2" t="s">
        <v>47</v>
      </c>
      <c r="W7261" s="2" t="s">
        <v>71</v>
      </c>
      <c r="X7261" s="2">
        <v>353.43</v>
      </c>
    </row>
    <row r="7262" spans="1:24" x14ac:dyDescent="0.3">
      <c r="A7262">
        <v>25076</v>
      </c>
      <c r="B7262" t="s">
        <v>14188</v>
      </c>
      <c r="C7262" s="3">
        <v>41523</v>
      </c>
      <c r="D7262" t="s">
        <v>25</v>
      </c>
      <c r="E7262">
        <v>5</v>
      </c>
      <c r="F7262" s="3">
        <f ca="1">41527+(RANDBETWEEN(1,10))</f>
        <v>41537</v>
      </c>
      <c r="G7262" t="s">
        <v>26</v>
      </c>
      <c r="H7262" t="s">
        <v>96</v>
      </c>
      <c r="I7262" t="s">
        <v>52</v>
      </c>
      <c r="J7262">
        <v>103.18</v>
      </c>
      <c r="K7262">
        <v>0</v>
      </c>
      <c r="L7262">
        <v>0.36</v>
      </c>
      <c r="M7262">
        <v>3.3250000000000002</v>
      </c>
      <c r="N7262">
        <v>-327.95699999999999</v>
      </c>
      <c r="O7262" s="1" t="s">
        <v>53</v>
      </c>
      <c r="P7262" s="1" t="s">
        <v>14189</v>
      </c>
      <c r="Q7262" s="1" t="s">
        <v>14190</v>
      </c>
      <c r="R7262" s="1" t="s">
        <v>100</v>
      </c>
      <c r="S7262" s="1" t="s">
        <v>14191</v>
      </c>
      <c r="T7262" s="1" t="s">
        <v>14192</v>
      </c>
      <c r="U7262" s="2" t="s">
        <v>3882</v>
      </c>
      <c r="V7262" s="2" t="s">
        <v>47</v>
      </c>
      <c r="W7262" s="2" t="s">
        <v>74</v>
      </c>
      <c r="X7262" s="2">
        <v>19.004999999999999</v>
      </c>
    </row>
    <row r="7263" spans="1:24" x14ac:dyDescent="0.3">
      <c r="A7263">
        <v>25077</v>
      </c>
      <c r="B7263" t="s">
        <v>14188</v>
      </c>
      <c r="C7263" s="3">
        <v>41523</v>
      </c>
      <c r="D7263" t="s">
        <v>25</v>
      </c>
      <c r="E7263">
        <v>22</v>
      </c>
      <c r="F7263" s="3">
        <f ca="1">41523+(RANDBETWEEN(1,10))</f>
        <v>41529</v>
      </c>
      <c r="G7263" t="s">
        <v>156</v>
      </c>
      <c r="H7263" t="s">
        <v>96</v>
      </c>
      <c r="I7263" t="s">
        <v>52</v>
      </c>
      <c r="J7263">
        <v>187.18</v>
      </c>
      <c r="K7263">
        <v>7.0000000000000007E-2</v>
      </c>
      <c r="L7263">
        <v>0.38</v>
      </c>
      <c r="M7263">
        <v>3.57</v>
      </c>
      <c r="N7263">
        <v>1009.11405</v>
      </c>
      <c r="O7263" s="1" t="s">
        <v>53</v>
      </c>
      <c r="P7263" s="1" t="s">
        <v>14189</v>
      </c>
      <c r="Q7263" s="1" t="s">
        <v>14190</v>
      </c>
      <c r="R7263" s="1" t="s">
        <v>100</v>
      </c>
      <c r="S7263" s="1" t="s">
        <v>14191</v>
      </c>
      <c r="T7263" s="1" t="s">
        <v>14192</v>
      </c>
      <c r="U7263" s="2" t="s">
        <v>9094</v>
      </c>
      <c r="V7263" s="2" t="s">
        <v>47</v>
      </c>
      <c r="W7263" s="2" t="s">
        <v>176</v>
      </c>
      <c r="X7263" s="2">
        <v>8.6449999999999996</v>
      </c>
    </row>
    <row r="7264" spans="1:24" x14ac:dyDescent="0.3">
      <c r="A7264">
        <v>25078</v>
      </c>
      <c r="B7264" t="s">
        <v>14193</v>
      </c>
      <c r="C7264" s="3">
        <v>40692</v>
      </c>
      <c r="D7264" t="s">
        <v>39</v>
      </c>
      <c r="E7264">
        <v>11</v>
      </c>
      <c r="F7264" s="3">
        <f ca="1">40694+(RANDBETWEEN(1,10))</f>
        <v>40700</v>
      </c>
      <c r="G7264" t="s">
        <v>26</v>
      </c>
      <c r="H7264" t="s">
        <v>281</v>
      </c>
      <c r="I7264" t="s">
        <v>28</v>
      </c>
      <c r="J7264">
        <v>995.36500000000001</v>
      </c>
      <c r="K7264">
        <v>0.01</v>
      </c>
      <c r="L7264">
        <v>0.38</v>
      </c>
      <c r="M7264">
        <v>22.05</v>
      </c>
      <c r="N7264">
        <v>-21.707000000000001</v>
      </c>
      <c r="O7264" s="1" t="s">
        <v>29</v>
      </c>
      <c r="P7264" s="1" t="s">
        <v>13634</v>
      </c>
      <c r="Q7264" s="1" t="s">
        <v>13635</v>
      </c>
      <c r="R7264" s="1" t="s">
        <v>675</v>
      </c>
      <c r="S7264" s="1" t="s">
        <v>3538</v>
      </c>
      <c r="T7264" s="1" t="s">
        <v>3539</v>
      </c>
      <c r="U7264" s="2" t="s">
        <v>3736</v>
      </c>
      <c r="V7264" s="2" t="s">
        <v>36</v>
      </c>
      <c r="W7264" s="2" t="s">
        <v>142</v>
      </c>
      <c r="X7264" s="2">
        <v>83.965000000000003</v>
      </c>
    </row>
    <row r="7265" spans="1:24" x14ac:dyDescent="0.3">
      <c r="A7265">
        <v>25079</v>
      </c>
      <c r="B7265" t="s">
        <v>14194</v>
      </c>
      <c r="C7265" s="3">
        <v>41964</v>
      </c>
      <c r="D7265" t="s">
        <v>148</v>
      </c>
      <c r="E7265">
        <v>25</v>
      </c>
      <c r="F7265" s="3">
        <f ca="1">41966+(RANDBETWEEN(1,10))</f>
        <v>41975</v>
      </c>
      <c r="G7265" t="s">
        <v>26</v>
      </c>
      <c r="H7265" t="s">
        <v>27</v>
      </c>
      <c r="I7265" t="s">
        <v>97</v>
      </c>
      <c r="J7265">
        <v>4808.9650000000001</v>
      </c>
      <c r="K7265">
        <v>0.05</v>
      </c>
      <c r="L7265">
        <v>0.59</v>
      </c>
      <c r="M7265">
        <v>69.965000000000003</v>
      </c>
      <c r="N7265">
        <v>302.598296</v>
      </c>
      <c r="O7265" s="1" t="s">
        <v>87</v>
      </c>
      <c r="P7265" s="1" t="s">
        <v>9685</v>
      </c>
      <c r="Q7265" s="1" t="s">
        <v>9686</v>
      </c>
      <c r="R7265" s="1" t="s">
        <v>646</v>
      </c>
      <c r="S7265" s="1" t="s">
        <v>9687</v>
      </c>
      <c r="T7265" s="1" t="s">
        <v>9688</v>
      </c>
      <c r="U7265" s="2" t="s">
        <v>5463</v>
      </c>
      <c r="V7265" s="2" t="s">
        <v>36</v>
      </c>
      <c r="W7265" s="2" t="s">
        <v>37</v>
      </c>
      <c r="X7265" s="2">
        <v>230.965</v>
      </c>
    </row>
    <row r="7266" spans="1:24" x14ac:dyDescent="0.3">
      <c r="A7266">
        <v>25080</v>
      </c>
      <c r="B7266" t="s">
        <v>14195</v>
      </c>
      <c r="C7266" s="3">
        <v>41865</v>
      </c>
      <c r="D7266" t="s">
        <v>148</v>
      </c>
      <c r="E7266">
        <v>5</v>
      </c>
      <c r="F7266" s="3">
        <f ca="1">41867+(RANDBETWEEN(1,10))</f>
        <v>41872</v>
      </c>
      <c r="G7266" t="s">
        <v>26</v>
      </c>
      <c r="H7266" t="s">
        <v>27</v>
      </c>
      <c r="I7266" t="s">
        <v>86</v>
      </c>
      <c r="J7266">
        <v>467.35500000000002</v>
      </c>
      <c r="K7266">
        <v>0.02</v>
      </c>
      <c r="L7266">
        <v>0.39</v>
      </c>
      <c r="M7266">
        <v>10.465</v>
      </c>
      <c r="N7266">
        <v>-372.93900000000002</v>
      </c>
      <c r="O7266" s="1" t="s">
        <v>53</v>
      </c>
      <c r="P7266" s="1" t="s">
        <v>14196</v>
      </c>
      <c r="Q7266" s="1" t="s">
        <v>14197</v>
      </c>
      <c r="R7266" s="1" t="s">
        <v>100</v>
      </c>
      <c r="S7266" s="1" t="s">
        <v>5047</v>
      </c>
      <c r="T7266" s="1" t="s">
        <v>5048</v>
      </c>
      <c r="U7266" s="2" t="s">
        <v>1757</v>
      </c>
      <c r="V7266" s="2" t="s">
        <v>47</v>
      </c>
      <c r="W7266" s="2" t="s">
        <v>111</v>
      </c>
      <c r="X7266" s="2">
        <v>87.325000000000003</v>
      </c>
    </row>
    <row r="7267" spans="1:24" x14ac:dyDescent="0.3">
      <c r="A7267">
        <v>25081</v>
      </c>
      <c r="B7267" t="s">
        <v>14195</v>
      </c>
      <c r="C7267" s="3">
        <v>41865</v>
      </c>
      <c r="D7267" t="s">
        <v>148</v>
      </c>
      <c r="E7267">
        <v>11</v>
      </c>
      <c r="F7267" s="3">
        <f ca="1">41866+(RANDBETWEEN(1,10))</f>
        <v>41871</v>
      </c>
      <c r="G7267" t="s">
        <v>26</v>
      </c>
      <c r="H7267" t="s">
        <v>96</v>
      </c>
      <c r="I7267" t="s">
        <v>86</v>
      </c>
      <c r="J7267">
        <v>145.215</v>
      </c>
      <c r="K7267">
        <v>0.09</v>
      </c>
      <c r="L7267">
        <v>0.37</v>
      </c>
      <c r="M7267">
        <v>4.55</v>
      </c>
      <c r="N7267">
        <v>-2381.9879999999998</v>
      </c>
      <c r="O7267" s="1" t="s">
        <v>53</v>
      </c>
      <c r="P7267" s="1" t="s">
        <v>14196</v>
      </c>
      <c r="Q7267" s="1" t="s">
        <v>14197</v>
      </c>
      <c r="R7267" s="1" t="s">
        <v>100</v>
      </c>
      <c r="S7267" s="1" t="s">
        <v>5047</v>
      </c>
      <c r="T7267" s="1" t="s">
        <v>5048</v>
      </c>
      <c r="U7267" s="2" t="s">
        <v>2823</v>
      </c>
      <c r="V7267" s="2" t="s">
        <v>47</v>
      </c>
      <c r="W7267" s="2" t="s">
        <v>74</v>
      </c>
      <c r="X7267" s="2">
        <v>14</v>
      </c>
    </row>
    <row r="7268" spans="1:24" x14ac:dyDescent="0.3">
      <c r="A7268">
        <v>25082</v>
      </c>
      <c r="B7268" t="s">
        <v>14198</v>
      </c>
      <c r="C7268" s="3">
        <v>41425</v>
      </c>
      <c r="D7268" t="s">
        <v>50</v>
      </c>
      <c r="E7268">
        <v>13</v>
      </c>
      <c r="F7268" s="3">
        <f ca="1">41427+(RANDBETWEEN(1,10))</f>
        <v>41430</v>
      </c>
      <c r="G7268" t="s">
        <v>156</v>
      </c>
      <c r="H7268" t="s">
        <v>63</v>
      </c>
      <c r="I7268" t="s">
        <v>86</v>
      </c>
      <c r="J7268">
        <v>2807.7350000000001</v>
      </c>
      <c r="K7268">
        <v>0.06</v>
      </c>
      <c r="L7268">
        <v>0.8</v>
      </c>
      <c r="M7268">
        <v>122.5</v>
      </c>
      <c r="N7268">
        <v>-3253.88</v>
      </c>
      <c r="O7268" s="1" t="s">
        <v>87</v>
      </c>
      <c r="P7268" s="1" t="s">
        <v>14199</v>
      </c>
      <c r="Q7268" s="1" t="s">
        <v>14200</v>
      </c>
      <c r="R7268" s="1" t="s">
        <v>646</v>
      </c>
      <c r="S7268" s="1" t="s">
        <v>5282</v>
      </c>
      <c r="T7268" s="1" t="s">
        <v>5283</v>
      </c>
      <c r="U7268" s="2" t="s">
        <v>3893</v>
      </c>
      <c r="V7268" s="2" t="s">
        <v>47</v>
      </c>
      <c r="W7268" s="2" t="s">
        <v>119</v>
      </c>
      <c r="X7268" s="2">
        <v>226.27500000000001</v>
      </c>
    </row>
    <row r="7269" spans="1:24" x14ac:dyDescent="0.3">
      <c r="A7269">
        <v>25083</v>
      </c>
      <c r="B7269" t="s">
        <v>14198</v>
      </c>
      <c r="C7269" s="3">
        <v>41425</v>
      </c>
      <c r="D7269" t="s">
        <v>50</v>
      </c>
      <c r="E7269">
        <v>1</v>
      </c>
      <c r="F7269" s="3">
        <f ca="1">41426+(RANDBETWEEN(1,10))</f>
        <v>41432</v>
      </c>
      <c r="G7269" t="s">
        <v>76</v>
      </c>
      <c r="H7269" t="s">
        <v>258</v>
      </c>
      <c r="I7269" t="s">
        <v>86</v>
      </c>
      <c r="J7269">
        <v>85.68</v>
      </c>
      <c r="K7269">
        <v>0</v>
      </c>
      <c r="L7269">
        <v>0.76</v>
      </c>
      <c r="M7269">
        <v>97.125</v>
      </c>
      <c r="N7269">
        <v>-188.244</v>
      </c>
      <c r="O7269" s="1" t="s">
        <v>87</v>
      </c>
      <c r="P7269" s="1" t="s">
        <v>14199</v>
      </c>
      <c r="Q7269" s="1" t="s">
        <v>14200</v>
      </c>
      <c r="R7269" s="1" t="s">
        <v>646</v>
      </c>
      <c r="S7269" s="1" t="s">
        <v>5282</v>
      </c>
      <c r="T7269" s="1" t="s">
        <v>5283</v>
      </c>
      <c r="U7269" s="2" t="s">
        <v>365</v>
      </c>
      <c r="V7269" s="2" t="s">
        <v>83</v>
      </c>
      <c r="W7269" s="2" t="s">
        <v>263</v>
      </c>
      <c r="X7269" s="2">
        <v>53.305</v>
      </c>
    </row>
    <row r="7270" spans="1:24" x14ac:dyDescent="0.3">
      <c r="A7270">
        <v>25084</v>
      </c>
      <c r="B7270" t="s">
        <v>14201</v>
      </c>
      <c r="C7270" s="3">
        <v>41471</v>
      </c>
      <c r="D7270" t="s">
        <v>39</v>
      </c>
      <c r="E7270">
        <v>1</v>
      </c>
      <c r="F7270" s="3">
        <f ca="1">41472+(RANDBETWEEN(1,10))</f>
        <v>41475</v>
      </c>
      <c r="G7270" t="s">
        <v>156</v>
      </c>
      <c r="H7270" t="s">
        <v>27</v>
      </c>
      <c r="I7270" t="s">
        <v>86</v>
      </c>
      <c r="J7270">
        <v>740.32</v>
      </c>
      <c r="K7270">
        <v>0.05</v>
      </c>
      <c r="L7270">
        <v>0.6</v>
      </c>
      <c r="M7270">
        <v>34.965000000000003</v>
      </c>
      <c r="N7270">
        <v>-947.45</v>
      </c>
      <c r="O7270" s="1" t="s">
        <v>29</v>
      </c>
      <c r="P7270" s="1" t="s">
        <v>4563</v>
      </c>
      <c r="Q7270" s="1" t="s">
        <v>4564</v>
      </c>
      <c r="R7270" s="1" t="s">
        <v>460</v>
      </c>
      <c r="S7270" s="1" t="s">
        <v>4565</v>
      </c>
      <c r="T7270" s="1" t="s">
        <v>4566</v>
      </c>
      <c r="U7270" s="2" t="s">
        <v>11486</v>
      </c>
      <c r="V7270" s="2" t="s">
        <v>47</v>
      </c>
      <c r="W7270" s="2" t="s">
        <v>119</v>
      </c>
      <c r="X7270" s="2">
        <v>736.92499999999995</v>
      </c>
    </row>
    <row r="7271" spans="1:24" x14ac:dyDescent="0.3">
      <c r="A7271">
        <v>25085</v>
      </c>
      <c r="B7271" t="s">
        <v>14201</v>
      </c>
      <c r="C7271" s="3">
        <v>41471</v>
      </c>
      <c r="D7271" t="s">
        <v>39</v>
      </c>
      <c r="E7271">
        <v>7</v>
      </c>
      <c r="F7271" s="3">
        <f ca="1">41472+(RANDBETWEEN(1,10))</f>
        <v>41473</v>
      </c>
      <c r="G7271" t="s">
        <v>156</v>
      </c>
      <c r="H7271" t="s">
        <v>27</v>
      </c>
      <c r="I7271" t="s">
        <v>86</v>
      </c>
      <c r="J7271">
        <v>2691.8150000000001</v>
      </c>
      <c r="K7271">
        <v>0</v>
      </c>
      <c r="L7271">
        <v>0.57999999999999996</v>
      </c>
      <c r="M7271">
        <v>26.914999999999999</v>
      </c>
      <c r="N7271">
        <v>1070.874</v>
      </c>
      <c r="O7271" s="1" t="s">
        <v>53</v>
      </c>
      <c r="P7271" s="1" t="s">
        <v>14202</v>
      </c>
      <c r="Q7271" s="1" t="s">
        <v>14203</v>
      </c>
      <c r="R7271" s="1" t="s">
        <v>100</v>
      </c>
      <c r="S7271" s="1" t="s">
        <v>4040</v>
      </c>
      <c r="T7271" s="1" t="s">
        <v>4041</v>
      </c>
      <c r="U7271" s="2" t="s">
        <v>2511</v>
      </c>
      <c r="V7271" s="2" t="s">
        <v>36</v>
      </c>
      <c r="W7271" s="2" t="s">
        <v>37</v>
      </c>
      <c r="X7271" s="2">
        <v>440.96499999999997</v>
      </c>
    </row>
    <row r="7272" spans="1:24" x14ac:dyDescent="0.3">
      <c r="A7272">
        <v>25086</v>
      </c>
      <c r="B7272" t="s">
        <v>14204</v>
      </c>
      <c r="C7272" s="3">
        <v>41700</v>
      </c>
      <c r="D7272" t="s">
        <v>39</v>
      </c>
      <c r="E7272">
        <v>8</v>
      </c>
      <c r="F7272" s="3">
        <f ca="1">41702+(RANDBETWEEN(1,10))</f>
        <v>41705</v>
      </c>
      <c r="G7272" t="s">
        <v>26</v>
      </c>
      <c r="H7272" t="s">
        <v>27</v>
      </c>
      <c r="I7272" t="s">
        <v>97</v>
      </c>
      <c r="J7272">
        <v>10305.33</v>
      </c>
      <c r="K7272">
        <v>7.0000000000000007E-2</v>
      </c>
      <c r="L7272">
        <v>0.38</v>
      </c>
      <c r="M7272">
        <v>69.965000000000003</v>
      </c>
      <c r="N7272">
        <v>7110.6777000000002</v>
      </c>
      <c r="O7272" s="1" t="s">
        <v>29</v>
      </c>
      <c r="P7272" s="1" t="s">
        <v>13339</v>
      </c>
      <c r="Q7272" s="1" t="s">
        <v>13340</v>
      </c>
      <c r="R7272" s="1" t="s">
        <v>675</v>
      </c>
      <c r="S7272" s="1" t="s">
        <v>8134</v>
      </c>
      <c r="T7272" s="1" t="s">
        <v>13341</v>
      </c>
      <c r="U7272" s="2" t="s">
        <v>5575</v>
      </c>
      <c r="V7272" s="2" t="s">
        <v>47</v>
      </c>
      <c r="W7272" s="2" t="s">
        <v>111</v>
      </c>
      <c r="X7272" s="2">
        <v>1357.9649999999999</v>
      </c>
    </row>
    <row r="7273" spans="1:24" x14ac:dyDescent="0.3">
      <c r="A7273">
        <v>25087</v>
      </c>
      <c r="B7273" t="s">
        <v>14205</v>
      </c>
      <c r="C7273" s="3">
        <v>41881</v>
      </c>
      <c r="D7273" t="s">
        <v>39</v>
      </c>
      <c r="E7273">
        <v>22</v>
      </c>
      <c r="F7273" s="3">
        <f ca="1">41881+(RANDBETWEEN(1,10))</f>
        <v>41888</v>
      </c>
      <c r="G7273" t="s">
        <v>26</v>
      </c>
      <c r="H7273" t="s">
        <v>27</v>
      </c>
      <c r="I7273" t="s">
        <v>28</v>
      </c>
      <c r="J7273">
        <v>1223.8800000000001</v>
      </c>
      <c r="K7273">
        <v>0.09</v>
      </c>
      <c r="L7273">
        <v>0.35</v>
      </c>
      <c r="M7273">
        <v>43.365000000000002</v>
      </c>
      <c r="N7273">
        <v>-206.00888</v>
      </c>
      <c r="O7273" s="1" t="s">
        <v>53</v>
      </c>
      <c r="P7273" s="1" t="s">
        <v>14206</v>
      </c>
      <c r="Q7273" s="1" t="s">
        <v>14207</v>
      </c>
      <c r="R7273" s="1" t="s">
        <v>56</v>
      </c>
      <c r="S7273" s="1" t="s">
        <v>14208</v>
      </c>
      <c r="T7273" s="1" t="s">
        <v>14209</v>
      </c>
      <c r="U7273" s="2" t="s">
        <v>46</v>
      </c>
      <c r="V7273" s="2" t="s">
        <v>47</v>
      </c>
      <c r="W7273" s="2" t="s">
        <v>48</v>
      </c>
      <c r="X7273" s="2">
        <v>59.43</v>
      </c>
    </row>
    <row r="7274" spans="1:24" x14ac:dyDescent="0.3">
      <c r="A7274">
        <v>25088</v>
      </c>
      <c r="B7274" t="s">
        <v>14210</v>
      </c>
      <c r="C7274" s="3">
        <v>41524</v>
      </c>
      <c r="D7274" t="s">
        <v>50</v>
      </c>
      <c r="E7274">
        <v>23</v>
      </c>
      <c r="F7274" s="3">
        <f ca="1">41526+(RANDBETWEEN(1,10))</f>
        <v>41533</v>
      </c>
      <c r="G7274" t="s">
        <v>26</v>
      </c>
      <c r="H7274" t="s">
        <v>27</v>
      </c>
      <c r="I7274" t="s">
        <v>28</v>
      </c>
      <c r="J7274">
        <v>652.85500000000002</v>
      </c>
      <c r="K7274">
        <v>0.1</v>
      </c>
      <c r="L7274">
        <v>0.57999999999999996</v>
      </c>
      <c r="M7274">
        <v>12.25</v>
      </c>
      <c r="N7274">
        <v>-131.005</v>
      </c>
      <c r="O7274" s="1" t="s">
        <v>225</v>
      </c>
      <c r="P7274" s="1" t="s">
        <v>10873</v>
      </c>
      <c r="Q7274" s="1" t="s">
        <v>10874</v>
      </c>
      <c r="R7274" s="1" t="s">
        <v>228</v>
      </c>
      <c r="S7274" s="1" t="s">
        <v>10875</v>
      </c>
      <c r="T7274" s="1" t="s">
        <v>10876</v>
      </c>
      <c r="U7274" s="2" t="s">
        <v>2447</v>
      </c>
      <c r="V7274" s="2" t="s">
        <v>47</v>
      </c>
      <c r="W7274" s="2" t="s">
        <v>71</v>
      </c>
      <c r="X7274" s="2">
        <v>30.344999999999999</v>
      </c>
    </row>
    <row r="7275" spans="1:24" x14ac:dyDescent="0.3">
      <c r="A7275">
        <v>25089</v>
      </c>
      <c r="B7275" t="s">
        <v>14211</v>
      </c>
      <c r="C7275" s="3">
        <v>41675</v>
      </c>
      <c r="D7275" t="s">
        <v>148</v>
      </c>
      <c r="E7275">
        <v>6</v>
      </c>
      <c r="F7275" s="3">
        <f ca="1">41676+(RANDBETWEEN(1,10))</f>
        <v>41679</v>
      </c>
      <c r="G7275" t="s">
        <v>76</v>
      </c>
      <c r="H7275" t="s">
        <v>77</v>
      </c>
      <c r="I7275" t="s">
        <v>97</v>
      </c>
      <c r="J7275">
        <v>1437.24</v>
      </c>
      <c r="K7275">
        <v>0.1</v>
      </c>
      <c r="L7275">
        <v>0.73</v>
      </c>
      <c r="M7275">
        <v>105</v>
      </c>
      <c r="N7275">
        <v>-1526.8050000000001</v>
      </c>
      <c r="O7275" s="1" t="s">
        <v>40</v>
      </c>
      <c r="P7275" s="1" t="s">
        <v>13100</v>
      </c>
      <c r="Q7275" s="1" t="s">
        <v>13101</v>
      </c>
      <c r="R7275" s="1" t="s">
        <v>43</v>
      </c>
      <c r="S7275" s="1" t="s">
        <v>2209</v>
      </c>
      <c r="T7275" s="1" t="s">
        <v>2210</v>
      </c>
      <c r="U7275" s="2" t="s">
        <v>2847</v>
      </c>
      <c r="V7275" s="2" t="s">
        <v>83</v>
      </c>
      <c r="W7275" s="2" t="s">
        <v>84</v>
      </c>
      <c r="X7275" s="2">
        <v>248.43</v>
      </c>
    </row>
    <row r="7276" spans="1:24" x14ac:dyDescent="0.3">
      <c r="A7276">
        <v>25090</v>
      </c>
      <c r="B7276" t="s">
        <v>14212</v>
      </c>
      <c r="C7276" s="3">
        <v>41046</v>
      </c>
      <c r="D7276" t="s">
        <v>25</v>
      </c>
      <c r="E7276">
        <v>14</v>
      </c>
      <c r="F7276" s="3">
        <f ca="1">41048+(RANDBETWEEN(1,10))</f>
        <v>41052</v>
      </c>
      <c r="G7276" t="s">
        <v>26</v>
      </c>
      <c r="H7276" t="s">
        <v>96</v>
      </c>
      <c r="I7276" t="s">
        <v>52</v>
      </c>
      <c r="J7276">
        <v>217.94499999999999</v>
      </c>
      <c r="K7276">
        <v>0.05</v>
      </c>
      <c r="L7276">
        <v>0.52</v>
      </c>
      <c r="M7276">
        <v>6.7549999999999999</v>
      </c>
      <c r="N7276">
        <v>-17.36</v>
      </c>
      <c r="O7276" s="1" t="s">
        <v>225</v>
      </c>
      <c r="P7276" s="1" t="s">
        <v>6896</v>
      </c>
      <c r="Q7276" s="1" t="s">
        <v>6897</v>
      </c>
      <c r="R7276" s="1" t="s">
        <v>228</v>
      </c>
      <c r="S7276" s="1" t="s">
        <v>6898</v>
      </c>
      <c r="T7276" s="1" t="s">
        <v>6899</v>
      </c>
      <c r="U7276" s="2" t="s">
        <v>3186</v>
      </c>
      <c r="V7276" s="2" t="s">
        <v>47</v>
      </c>
      <c r="W7276" s="2" t="s">
        <v>104</v>
      </c>
      <c r="X7276" s="2">
        <v>16.204999999999998</v>
      </c>
    </row>
    <row r="7277" spans="1:24" x14ac:dyDescent="0.3">
      <c r="A7277">
        <v>25091</v>
      </c>
      <c r="B7277" t="s">
        <v>14212</v>
      </c>
      <c r="C7277" s="3">
        <v>41046</v>
      </c>
      <c r="D7277" t="s">
        <v>25</v>
      </c>
      <c r="E7277">
        <v>17</v>
      </c>
      <c r="F7277" s="3">
        <f ca="1">41055+(RANDBETWEEN(1,10))</f>
        <v>41061</v>
      </c>
      <c r="G7277" t="s">
        <v>26</v>
      </c>
      <c r="H7277" t="s">
        <v>27</v>
      </c>
      <c r="I7277" t="s">
        <v>52</v>
      </c>
      <c r="J7277">
        <v>3511.585</v>
      </c>
      <c r="K7277">
        <v>0.01</v>
      </c>
      <c r="L7277">
        <v>0.57999999999999996</v>
      </c>
      <c r="M7277">
        <v>30.8</v>
      </c>
      <c r="N7277">
        <v>2341.3634999999999</v>
      </c>
      <c r="O7277" s="1" t="s">
        <v>225</v>
      </c>
      <c r="P7277" s="1" t="s">
        <v>6896</v>
      </c>
      <c r="Q7277" s="1" t="s">
        <v>6897</v>
      </c>
      <c r="R7277" s="1" t="s">
        <v>228</v>
      </c>
      <c r="S7277" s="1" t="s">
        <v>6898</v>
      </c>
      <c r="T7277" s="1" t="s">
        <v>6899</v>
      </c>
      <c r="U7277" s="2">
        <v>6120</v>
      </c>
      <c r="V7277" s="2" t="s">
        <v>36</v>
      </c>
      <c r="W7277" s="2" t="s">
        <v>37</v>
      </c>
      <c r="X7277" s="2">
        <v>230.965</v>
      </c>
    </row>
    <row r="7278" spans="1:24" x14ac:dyDescent="0.3">
      <c r="A7278">
        <v>25092</v>
      </c>
      <c r="B7278" t="s">
        <v>14213</v>
      </c>
      <c r="C7278" s="3">
        <v>40656</v>
      </c>
      <c r="D7278" t="s">
        <v>148</v>
      </c>
      <c r="E7278">
        <v>3</v>
      </c>
      <c r="F7278" s="3">
        <f ca="1">40657+(RANDBETWEEN(1,10))</f>
        <v>40662</v>
      </c>
      <c r="G7278" t="s">
        <v>26</v>
      </c>
      <c r="H7278" t="s">
        <v>27</v>
      </c>
      <c r="I7278" t="s">
        <v>52</v>
      </c>
      <c r="J7278">
        <v>30.59</v>
      </c>
      <c r="K7278">
        <v>0.08</v>
      </c>
      <c r="L7278">
        <v>0.39</v>
      </c>
      <c r="M7278">
        <v>1.75</v>
      </c>
      <c r="N7278">
        <v>21.107099999999999</v>
      </c>
      <c r="O7278" s="1" t="s">
        <v>40</v>
      </c>
      <c r="P7278" s="1" t="s">
        <v>11527</v>
      </c>
      <c r="Q7278" s="1" t="s">
        <v>11528</v>
      </c>
      <c r="R7278" s="1" t="s">
        <v>43</v>
      </c>
      <c r="S7278" s="1" t="s">
        <v>11529</v>
      </c>
      <c r="T7278" s="1" t="s">
        <v>11530</v>
      </c>
      <c r="U7278" s="2" t="s">
        <v>9204</v>
      </c>
      <c r="V7278" s="2" t="s">
        <v>47</v>
      </c>
      <c r="W7278" s="2" t="s">
        <v>203</v>
      </c>
      <c r="X7278" s="2">
        <v>10.08</v>
      </c>
    </row>
    <row r="7279" spans="1:24" x14ac:dyDescent="0.3">
      <c r="A7279">
        <v>25093</v>
      </c>
      <c r="B7279" t="s">
        <v>14214</v>
      </c>
      <c r="C7279" s="3">
        <v>40836</v>
      </c>
      <c r="D7279" t="s">
        <v>148</v>
      </c>
      <c r="E7279">
        <v>8</v>
      </c>
      <c r="F7279" s="3">
        <f ca="1">40837+(RANDBETWEEN(1,10))</f>
        <v>40844</v>
      </c>
      <c r="G7279" t="s">
        <v>76</v>
      </c>
      <c r="H7279" t="s">
        <v>258</v>
      </c>
      <c r="I7279" t="s">
        <v>52</v>
      </c>
      <c r="J7279">
        <v>5082.63</v>
      </c>
      <c r="K7279">
        <v>0</v>
      </c>
      <c r="L7279">
        <v>0.66</v>
      </c>
      <c r="M7279">
        <v>125.61499999999999</v>
      </c>
      <c r="N7279">
        <v>-359.31700000000001</v>
      </c>
      <c r="O7279" s="1" t="s">
        <v>40</v>
      </c>
      <c r="P7279" s="1" t="s">
        <v>13693</v>
      </c>
      <c r="Q7279" s="1" t="s">
        <v>13694</v>
      </c>
      <c r="R7279" s="1" t="s">
        <v>43</v>
      </c>
      <c r="S7279" s="1" t="s">
        <v>1505</v>
      </c>
      <c r="T7279" s="1" t="s">
        <v>1506</v>
      </c>
      <c r="U7279" s="2" t="s">
        <v>6081</v>
      </c>
      <c r="V7279" s="2" t="s">
        <v>83</v>
      </c>
      <c r="W7279" s="2" t="s">
        <v>298</v>
      </c>
      <c r="X7279" s="2">
        <v>598.42999999999995</v>
      </c>
    </row>
    <row r="7280" spans="1:24" x14ac:dyDescent="0.3">
      <c r="A7280">
        <v>25094</v>
      </c>
      <c r="B7280" t="s">
        <v>14215</v>
      </c>
      <c r="C7280" s="3">
        <v>41932</v>
      </c>
      <c r="D7280" t="s">
        <v>148</v>
      </c>
      <c r="E7280">
        <v>22</v>
      </c>
      <c r="F7280" s="3">
        <f ca="1">41934+(RANDBETWEEN(1,10))</f>
        <v>41939</v>
      </c>
      <c r="G7280" t="s">
        <v>26</v>
      </c>
      <c r="H7280" t="s">
        <v>63</v>
      </c>
      <c r="I7280" t="s">
        <v>52</v>
      </c>
      <c r="J7280">
        <v>47899.355000000003</v>
      </c>
      <c r="K7280">
        <v>0.04</v>
      </c>
      <c r="L7280">
        <v>0.5</v>
      </c>
      <c r="M7280">
        <v>85.715000000000003</v>
      </c>
      <c r="N7280">
        <v>57.183</v>
      </c>
      <c r="O7280" s="1" t="s">
        <v>40</v>
      </c>
      <c r="P7280" s="1" t="s">
        <v>13693</v>
      </c>
      <c r="Q7280" s="1" t="s">
        <v>13694</v>
      </c>
      <c r="R7280" s="1" t="s">
        <v>43</v>
      </c>
      <c r="S7280" s="1" t="s">
        <v>1505</v>
      </c>
      <c r="T7280" s="1" t="s">
        <v>1506</v>
      </c>
      <c r="U7280" s="2" t="s">
        <v>5807</v>
      </c>
      <c r="V7280" s="2" t="s">
        <v>36</v>
      </c>
      <c r="W7280" s="2" t="s">
        <v>1327</v>
      </c>
      <c r="X7280" s="2">
        <v>2099.9650000000001</v>
      </c>
    </row>
    <row r="7281" spans="1:24" x14ac:dyDescent="0.3">
      <c r="A7281">
        <v>25095</v>
      </c>
      <c r="B7281" t="s">
        <v>14216</v>
      </c>
      <c r="C7281" s="3">
        <v>40841</v>
      </c>
      <c r="D7281" t="s">
        <v>62</v>
      </c>
      <c r="E7281">
        <v>19</v>
      </c>
      <c r="F7281" s="3">
        <f ca="1">40843+(RANDBETWEEN(1,10))</f>
        <v>40847</v>
      </c>
      <c r="G7281" t="s">
        <v>26</v>
      </c>
      <c r="H7281" t="s">
        <v>27</v>
      </c>
      <c r="I7281" t="s">
        <v>52</v>
      </c>
      <c r="J7281">
        <v>307.47500000000002</v>
      </c>
      <c r="K7281">
        <v>0</v>
      </c>
      <c r="L7281">
        <v>0.59</v>
      </c>
      <c r="M7281">
        <v>18.024999999999999</v>
      </c>
      <c r="N7281">
        <v>-525.91139999999996</v>
      </c>
      <c r="O7281" s="1" t="s">
        <v>225</v>
      </c>
      <c r="P7281" s="1" t="s">
        <v>12587</v>
      </c>
      <c r="Q7281" s="1" t="s">
        <v>12588</v>
      </c>
      <c r="R7281" s="1" t="s">
        <v>228</v>
      </c>
      <c r="S7281" s="1" t="s">
        <v>597</v>
      </c>
      <c r="T7281" s="1" t="s">
        <v>598</v>
      </c>
      <c r="U7281" s="2" t="s">
        <v>3610</v>
      </c>
      <c r="V7281" s="2" t="s">
        <v>47</v>
      </c>
      <c r="W7281" s="2" t="s">
        <v>71</v>
      </c>
      <c r="X7281" s="2">
        <v>15.295</v>
      </c>
    </row>
    <row r="7282" spans="1:24" x14ac:dyDescent="0.3">
      <c r="A7282">
        <v>25096</v>
      </c>
      <c r="B7282" t="s">
        <v>14216</v>
      </c>
      <c r="C7282" s="3">
        <v>40841</v>
      </c>
      <c r="D7282" t="s">
        <v>62</v>
      </c>
      <c r="E7282">
        <v>14</v>
      </c>
      <c r="F7282" s="3">
        <f ca="1">40842+(RANDBETWEEN(1,10))</f>
        <v>40847</v>
      </c>
      <c r="G7282" t="s">
        <v>76</v>
      </c>
      <c r="H7282" t="s">
        <v>77</v>
      </c>
      <c r="I7282" t="s">
        <v>52</v>
      </c>
      <c r="J7282">
        <v>26003.705000000002</v>
      </c>
      <c r="K7282">
        <v>0.01</v>
      </c>
      <c r="L7282">
        <v>0.6</v>
      </c>
      <c r="M7282">
        <v>196</v>
      </c>
      <c r="N7282">
        <v>17146.950799999999</v>
      </c>
      <c r="O7282" s="1" t="s">
        <v>225</v>
      </c>
      <c r="P7282" s="1" t="s">
        <v>12587</v>
      </c>
      <c r="Q7282" s="1" t="s">
        <v>12588</v>
      </c>
      <c r="R7282" s="1" t="s">
        <v>228</v>
      </c>
      <c r="S7282" s="1" t="s">
        <v>597</v>
      </c>
      <c r="T7282" s="1" t="s">
        <v>598</v>
      </c>
      <c r="U7282" s="2" t="s">
        <v>1670</v>
      </c>
      <c r="V7282" s="2" t="s">
        <v>83</v>
      </c>
      <c r="W7282" s="2" t="s">
        <v>84</v>
      </c>
      <c r="X7282" s="2">
        <v>1753.43</v>
      </c>
    </row>
    <row r="7283" spans="1:24" x14ac:dyDescent="0.3">
      <c r="A7283">
        <v>25097</v>
      </c>
      <c r="B7283" t="s">
        <v>14216</v>
      </c>
      <c r="C7283" s="3">
        <v>40841</v>
      </c>
      <c r="D7283" t="s">
        <v>62</v>
      </c>
      <c r="E7283">
        <v>18</v>
      </c>
      <c r="F7283" s="3">
        <f ca="1">40841+(RANDBETWEEN(1,10))</f>
        <v>40850</v>
      </c>
      <c r="G7283" t="s">
        <v>26</v>
      </c>
      <c r="H7283" t="s">
        <v>27</v>
      </c>
      <c r="I7283" t="s">
        <v>52</v>
      </c>
      <c r="J7283">
        <v>785.01499999999999</v>
      </c>
      <c r="K7283">
        <v>0.02</v>
      </c>
      <c r="L7283">
        <v>0.43</v>
      </c>
      <c r="M7283">
        <v>18.059999999999999</v>
      </c>
      <c r="N7283">
        <v>156.49199999999999</v>
      </c>
      <c r="O7283" s="1" t="s">
        <v>225</v>
      </c>
      <c r="P7283" s="1" t="s">
        <v>12587</v>
      </c>
      <c r="Q7283" s="1" t="s">
        <v>12588</v>
      </c>
      <c r="R7283" s="1" t="s">
        <v>228</v>
      </c>
      <c r="S7283" s="1" t="s">
        <v>597</v>
      </c>
      <c r="T7283" s="1" t="s">
        <v>598</v>
      </c>
      <c r="U7283" s="2" t="s">
        <v>2445</v>
      </c>
      <c r="V7283" s="2" t="s">
        <v>83</v>
      </c>
      <c r="W7283" s="2" t="s">
        <v>178</v>
      </c>
      <c r="X7283" s="2">
        <v>44.03</v>
      </c>
    </row>
    <row r="7284" spans="1:24" x14ac:dyDescent="0.3">
      <c r="A7284">
        <v>25098</v>
      </c>
      <c r="B7284" t="s">
        <v>14216</v>
      </c>
      <c r="C7284" s="3">
        <v>40841</v>
      </c>
      <c r="D7284" t="s">
        <v>62</v>
      </c>
      <c r="E7284">
        <v>7</v>
      </c>
      <c r="F7284" s="3">
        <f ca="1">40842+(RANDBETWEEN(1,10))</f>
        <v>40844</v>
      </c>
      <c r="G7284" t="s">
        <v>26</v>
      </c>
      <c r="H7284" t="s">
        <v>96</v>
      </c>
      <c r="I7284" t="s">
        <v>52</v>
      </c>
      <c r="J7284">
        <v>179.2</v>
      </c>
      <c r="K7284">
        <v>0.1</v>
      </c>
      <c r="L7284">
        <v>0.52</v>
      </c>
      <c r="M7284">
        <v>12.88</v>
      </c>
      <c r="N7284">
        <v>-79.191000000000003</v>
      </c>
      <c r="O7284" s="1" t="s">
        <v>225</v>
      </c>
      <c r="P7284" s="1" t="s">
        <v>12587</v>
      </c>
      <c r="Q7284" s="1" t="s">
        <v>12588</v>
      </c>
      <c r="R7284" s="1" t="s">
        <v>228</v>
      </c>
      <c r="S7284" s="1" t="s">
        <v>597</v>
      </c>
      <c r="T7284" s="1" t="s">
        <v>598</v>
      </c>
      <c r="U7284" s="2" t="s">
        <v>2888</v>
      </c>
      <c r="V7284" s="2" t="s">
        <v>83</v>
      </c>
      <c r="W7284" s="2" t="s">
        <v>178</v>
      </c>
      <c r="X7284" s="2">
        <v>26.95</v>
      </c>
    </row>
    <row r="7285" spans="1:24" x14ac:dyDescent="0.3">
      <c r="A7285">
        <v>25099</v>
      </c>
      <c r="B7285" t="s">
        <v>14217</v>
      </c>
      <c r="C7285" s="3">
        <v>41626</v>
      </c>
      <c r="D7285" t="s">
        <v>39</v>
      </c>
      <c r="E7285">
        <v>20</v>
      </c>
      <c r="F7285" s="3">
        <f ca="1">41627+(RANDBETWEEN(1,10))</f>
        <v>41631</v>
      </c>
      <c r="G7285" t="s">
        <v>26</v>
      </c>
      <c r="H7285" t="s">
        <v>27</v>
      </c>
      <c r="I7285" t="s">
        <v>28</v>
      </c>
      <c r="J7285">
        <v>552.05499999999995</v>
      </c>
      <c r="K7285">
        <v>0.01</v>
      </c>
      <c r="L7285">
        <v>0.36</v>
      </c>
      <c r="M7285">
        <v>40.284999999999997</v>
      </c>
      <c r="N7285">
        <v>68.186999999999998</v>
      </c>
      <c r="O7285" s="1" t="s">
        <v>87</v>
      </c>
      <c r="P7285" s="1" t="s">
        <v>12400</v>
      </c>
      <c r="Q7285" s="1" t="s">
        <v>12401</v>
      </c>
      <c r="R7285" s="1" t="s">
        <v>90</v>
      </c>
      <c r="S7285" s="1" t="s">
        <v>6011</v>
      </c>
      <c r="T7285" s="1" t="s">
        <v>6012</v>
      </c>
      <c r="U7285" s="2" t="s">
        <v>5565</v>
      </c>
      <c r="V7285" s="2" t="s">
        <v>47</v>
      </c>
      <c r="W7285" s="2" t="s">
        <v>111</v>
      </c>
      <c r="X7285" s="2">
        <v>25.83</v>
      </c>
    </row>
    <row r="7286" spans="1:24" x14ac:dyDescent="0.3">
      <c r="A7286">
        <v>25100</v>
      </c>
      <c r="B7286" t="s">
        <v>14217</v>
      </c>
      <c r="C7286" s="3">
        <v>41626</v>
      </c>
      <c r="D7286" t="s">
        <v>39</v>
      </c>
      <c r="E7286">
        <v>8</v>
      </c>
      <c r="F7286" s="3">
        <f ca="1">41628+(RANDBETWEEN(1,10))</f>
        <v>41638</v>
      </c>
      <c r="G7286" t="s">
        <v>156</v>
      </c>
      <c r="H7286" t="s">
        <v>96</v>
      </c>
      <c r="I7286" t="s">
        <v>28</v>
      </c>
      <c r="J7286">
        <v>105.035</v>
      </c>
      <c r="K7286">
        <v>0.1</v>
      </c>
      <c r="L7286">
        <v>0.35</v>
      </c>
      <c r="M7286">
        <v>6.7549999999999999</v>
      </c>
      <c r="N7286">
        <v>2415.6930000000002</v>
      </c>
      <c r="O7286" s="1" t="s">
        <v>87</v>
      </c>
      <c r="P7286" s="1" t="s">
        <v>12400</v>
      </c>
      <c r="Q7286" s="1" t="s">
        <v>12401</v>
      </c>
      <c r="R7286" s="1" t="s">
        <v>90</v>
      </c>
      <c r="S7286" s="1" t="s">
        <v>6011</v>
      </c>
      <c r="T7286" s="1" t="s">
        <v>6012</v>
      </c>
      <c r="U7286" s="2" t="s">
        <v>4373</v>
      </c>
      <c r="V7286" s="2" t="s">
        <v>47</v>
      </c>
      <c r="W7286" s="2" t="s">
        <v>74</v>
      </c>
      <c r="X7286" s="2">
        <v>12.984999999999999</v>
      </c>
    </row>
    <row r="7287" spans="1:24" x14ac:dyDescent="0.3">
      <c r="A7287">
        <v>25101</v>
      </c>
      <c r="B7287" t="s">
        <v>14217</v>
      </c>
      <c r="C7287" s="3">
        <v>41626</v>
      </c>
      <c r="D7287" t="s">
        <v>39</v>
      </c>
      <c r="E7287">
        <v>25</v>
      </c>
      <c r="F7287" s="3">
        <f ca="1">41628+(RANDBETWEEN(1,10))</f>
        <v>41633</v>
      </c>
      <c r="G7287" t="s">
        <v>76</v>
      </c>
      <c r="H7287" t="s">
        <v>258</v>
      </c>
      <c r="I7287" t="s">
        <v>28</v>
      </c>
      <c r="J7287">
        <v>13238.014999999999</v>
      </c>
      <c r="K7287">
        <v>0.01</v>
      </c>
      <c r="L7287">
        <v>0.7</v>
      </c>
      <c r="M7287">
        <v>56.034999999999997</v>
      </c>
      <c r="N7287">
        <v>-1665.7550000000001</v>
      </c>
      <c r="O7287" s="1" t="s">
        <v>87</v>
      </c>
      <c r="P7287" s="1" t="s">
        <v>12400</v>
      </c>
      <c r="Q7287" s="1" t="s">
        <v>12401</v>
      </c>
      <c r="R7287" s="1" t="s">
        <v>90</v>
      </c>
      <c r="S7287" s="1" t="s">
        <v>6011</v>
      </c>
      <c r="T7287" s="1" t="s">
        <v>6012</v>
      </c>
      <c r="U7287" s="2" t="s">
        <v>342</v>
      </c>
      <c r="V7287" s="2" t="s">
        <v>83</v>
      </c>
      <c r="W7287" s="2" t="s">
        <v>263</v>
      </c>
      <c r="X7287" s="2">
        <v>528.42999999999995</v>
      </c>
    </row>
    <row r="7288" spans="1:24" x14ac:dyDescent="0.3">
      <c r="A7288">
        <v>25102</v>
      </c>
      <c r="B7288" t="s">
        <v>14218</v>
      </c>
      <c r="C7288" s="3">
        <v>41952</v>
      </c>
      <c r="D7288" t="s">
        <v>62</v>
      </c>
      <c r="E7288">
        <v>23</v>
      </c>
      <c r="F7288" s="3">
        <f ca="1">41953+(RANDBETWEEN(1,10))</f>
        <v>41960</v>
      </c>
      <c r="G7288" t="s">
        <v>156</v>
      </c>
      <c r="H7288" t="s">
        <v>63</v>
      </c>
      <c r="I7288" t="s">
        <v>52</v>
      </c>
      <c r="J7288">
        <v>4999.7849999999999</v>
      </c>
      <c r="K7288">
        <v>0.02</v>
      </c>
      <c r="L7288">
        <v>0.59</v>
      </c>
      <c r="M7288">
        <v>171.5</v>
      </c>
      <c r="N7288">
        <v>1163.6772000000001</v>
      </c>
      <c r="O7288" s="1" t="s">
        <v>53</v>
      </c>
      <c r="P7288" s="1" t="s">
        <v>8963</v>
      </c>
      <c r="Q7288" s="1" t="s">
        <v>8964</v>
      </c>
      <c r="R7288" s="1" t="s">
        <v>56</v>
      </c>
      <c r="S7288" s="1" t="s">
        <v>8965</v>
      </c>
      <c r="T7288" s="1" t="s">
        <v>8966</v>
      </c>
      <c r="U7288" s="2" t="s">
        <v>1546</v>
      </c>
      <c r="V7288" s="2" t="s">
        <v>47</v>
      </c>
      <c r="W7288" s="2" t="s">
        <v>71</v>
      </c>
      <c r="X7288" s="2">
        <v>213.43</v>
      </c>
    </row>
    <row r="7289" spans="1:24" x14ac:dyDescent="0.3">
      <c r="A7289">
        <v>25103</v>
      </c>
      <c r="B7289" t="s">
        <v>14219</v>
      </c>
      <c r="C7289" s="3">
        <v>41624</v>
      </c>
      <c r="D7289" t="s">
        <v>62</v>
      </c>
      <c r="E7289">
        <v>25</v>
      </c>
      <c r="F7289" s="3">
        <f ca="1">41625+(RANDBETWEEN(1,10))</f>
        <v>41627</v>
      </c>
      <c r="G7289" t="s">
        <v>26</v>
      </c>
      <c r="H7289" t="s">
        <v>51</v>
      </c>
      <c r="I7289" t="s">
        <v>97</v>
      </c>
      <c r="J7289">
        <v>1050.385</v>
      </c>
      <c r="K7289">
        <v>0.08</v>
      </c>
      <c r="L7289">
        <v>0.6</v>
      </c>
      <c r="M7289">
        <v>10.99</v>
      </c>
      <c r="N7289">
        <v>146.26499999999999</v>
      </c>
      <c r="O7289" s="1" t="s">
        <v>64</v>
      </c>
      <c r="P7289" s="1" t="s">
        <v>13512</v>
      </c>
      <c r="Q7289" s="1" t="s">
        <v>13513</v>
      </c>
      <c r="R7289" s="1" t="s">
        <v>67</v>
      </c>
      <c r="S7289" s="1" t="s">
        <v>2025</v>
      </c>
      <c r="T7289" s="1" t="s">
        <v>2026</v>
      </c>
      <c r="U7289" s="2" t="s">
        <v>536</v>
      </c>
      <c r="V7289" s="2" t="s">
        <v>47</v>
      </c>
      <c r="W7289" s="2" t="s">
        <v>94</v>
      </c>
      <c r="X7289" s="2">
        <v>45.43</v>
      </c>
    </row>
    <row r="7290" spans="1:24" x14ac:dyDescent="0.3">
      <c r="A7290">
        <v>25104</v>
      </c>
      <c r="B7290" t="s">
        <v>14220</v>
      </c>
      <c r="C7290" s="3">
        <v>41169</v>
      </c>
      <c r="D7290" t="s">
        <v>39</v>
      </c>
      <c r="E7290">
        <v>13</v>
      </c>
      <c r="F7290" s="3">
        <f ca="1">41171+(RANDBETWEEN(1,10))</f>
        <v>41173</v>
      </c>
      <c r="G7290" t="s">
        <v>26</v>
      </c>
      <c r="H7290" t="s">
        <v>27</v>
      </c>
      <c r="I7290" t="s">
        <v>28</v>
      </c>
      <c r="J7290">
        <v>532.91</v>
      </c>
      <c r="K7290">
        <v>0</v>
      </c>
      <c r="L7290">
        <v>0.36</v>
      </c>
      <c r="M7290">
        <v>17.989999999999998</v>
      </c>
      <c r="N7290">
        <v>152.88525000000001</v>
      </c>
      <c r="O7290" s="1" t="s">
        <v>40</v>
      </c>
      <c r="P7290" s="1" t="s">
        <v>7577</v>
      </c>
      <c r="Q7290" s="1" t="s">
        <v>7578</v>
      </c>
      <c r="R7290" s="1" t="s">
        <v>43</v>
      </c>
      <c r="S7290" s="1" t="s">
        <v>7579</v>
      </c>
      <c r="T7290" s="1" t="s">
        <v>7580</v>
      </c>
      <c r="U7290" s="2" t="s">
        <v>5285</v>
      </c>
      <c r="V7290" s="2" t="s">
        <v>47</v>
      </c>
      <c r="W7290" s="2" t="s">
        <v>111</v>
      </c>
      <c r="X7290" s="2">
        <v>38.43</v>
      </c>
    </row>
    <row r="7291" spans="1:24" x14ac:dyDescent="0.3">
      <c r="A7291">
        <v>25105</v>
      </c>
      <c r="B7291" t="s">
        <v>14220</v>
      </c>
      <c r="C7291" s="3">
        <v>41169</v>
      </c>
      <c r="D7291" t="s">
        <v>39</v>
      </c>
      <c r="E7291">
        <v>21</v>
      </c>
      <c r="F7291" s="3">
        <f ca="1">41171+(RANDBETWEEN(1,10))</f>
        <v>41180</v>
      </c>
      <c r="G7291" t="s">
        <v>76</v>
      </c>
      <c r="H7291" t="s">
        <v>258</v>
      </c>
      <c r="I7291" t="s">
        <v>28</v>
      </c>
      <c r="J7291">
        <v>8768.27</v>
      </c>
      <c r="K7291">
        <v>0.06</v>
      </c>
      <c r="L7291">
        <v>0.63</v>
      </c>
      <c r="M7291">
        <v>181.79</v>
      </c>
      <c r="N7291">
        <v>-1052.9924404999999</v>
      </c>
      <c r="O7291" s="1" t="s">
        <v>40</v>
      </c>
      <c r="P7291" s="1" t="s">
        <v>7577</v>
      </c>
      <c r="Q7291" s="1" t="s">
        <v>7578</v>
      </c>
      <c r="R7291" s="1" t="s">
        <v>43</v>
      </c>
      <c r="S7291" s="1" t="s">
        <v>7579</v>
      </c>
      <c r="T7291" s="1" t="s">
        <v>7580</v>
      </c>
      <c r="U7291" s="2" t="s">
        <v>360</v>
      </c>
      <c r="V7291" s="2" t="s">
        <v>83</v>
      </c>
      <c r="W7291" s="2" t="s">
        <v>263</v>
      </c>
      <c r="X7291" s="2">
        <v>435.71499999999997</v>
      </c>
    </row>
    <row r="7292" spans="1:24" x14ac:dyDescent="0.3">
      <c r="A7292">
        <v>25106</v>
      </c>
      <c r="B7292" t="s">
        <v>14221</v>
      </c>
      <c r="C7292" s="3">
        <v>41697</v>
      </c>
      <c r="D7292" t="s">
        <v>39</v>
      </c>
      <c r="E7292">
        <v>8</v>
      </c>
      <c r="F7292" s="3">
        <f ca="1">41699+(RANDBETWEEN(1,10))</f>
        <v>41701</v>
      </c>
      <c r="G7292" t="s">
        <v>26</v>
      </c>
      <c r="H7292" t="s">
        <v>27</v>
      </c>
      <c r="I7292" t="s">
        <v>97</v>
      </c>
      <c r="J7292">
        <v>8280.125</v>
      </c>
      <c r="K7292">
        <v>0.04</v>
      </c>
      <c r="L7292">
        <v>0.4</v>
      </c>
      <c r="M7292">
        <v>69.965000000000003</v>
      </c>
      <c r="N7292">
        <v>5713.2862500000001</v>
      </c>
      <c r="O7292" s="1" t="s">
        <v>29</v>
      </c>
      <c r="P7292" s="1" t="s">
        <v>14222</v>
      </c>
      <c r="Q7292" s="1" t="s">
        <v>14223</v>
      </c>
      <c r="R7292" s="1" t="s">
        <v>32</v>
      </c>
      <c r="S7292" s="1" t="s">
        <v>1499</v>
      </c>
      <c r="T7292" s="1" t="s">
        <v>1500</v>
      </c>
      <c r="U7292" s="2" t="s">
        <v>2149</v>
      </c>
      <c r="V7292" s="2" t="s">
        <v>47</v>
      </c>
      <c r="W7292" s="2" t="s">
        <v>111</v>
      </c>
      <c r="X7292" s="2">
        <v>1067.4649999999999</v>
      </c>
    </row>
    <row r="7293" spans="1:24" x14ac:dyDescent="0.3">
      <c r="A7293">
        <v>25107</v>
      </c>
      <c r="B7293" t="s">
        <v>14224</v>
      </c>
      <c r="C7293" s="3">
        <v>41966</v>
      </c>
      <c r="D7293" t="s">
        <v>148</v>
      </c>
      <c r="E7293">
        <v>1</v>
      </c>
      <c r="F7293" s="3">
        <f ca="1">41967+(RANDBETWEEN(1,10))</f>
        <v>41971</v>
      </c>
      <c r="G7293" t="s">
        <v>76</v>
      </c>
      <c r="H7293" t="s">
        <v>77</v>
      </c>
      <c r="I7293" t="s">
        <v>52</v>
      </c>
      <c r="J7293">
        <v>454.58</v>
      </c>
      <c r="K7293">
        <v>0.1</v>
      </c>
      <c r="L7293">
        <v>0.71</v>
      </c>
      <c r="M7293">
        <v>105</v>
      </c>
      <c r="N7293">
        <v>145.99760000000001</v>
      </c>
      <c r="O7293" s="1" t="s">
        <v>40</v>
      </c>
      <c r="P7293" s="1" t="s">
        <v>14225</v>
      </c>
      <c r="Q7293" s="1" t="s">
        <v>14226</v>
      </c>
      <c r="R7293" s="1" t="s">
        <v>43</v>
      </c>
      <c r="S7293" s="1" t="s">
        <v>14227</v>
      </c>
      <c r="T7293" s="1" t="s">
        <v>14228</v>
      </c>
      <c r="U7293" s="2" t="s">
        <v>7057</v>
      </c>
      <c r="V7293" s="2" t="s">
        <v>83</v>
      </c>
      <c r="W7293" s="2" t="s">
        <v>84</v>
      </c>
      <c r="X7293" s="2">
        <v>388.43</v>
      </c>
    </row>
    <row r="7294" spans="1:24" x14ac:dyDescent="0.3">
      <c r="A7294">
        <v>25108</v>
      </c>
      <c r="B7294" t="s">
        <v>14229</v>
      </c>
      <c r="C7294" s="3">
        <v>41236</v>
      </c>
      <c r="D7294" t="s">
        <v>148</v>
      </c>
      <c r="E7294">
        <v>16</v>
      </c>
      <c r="F7294" s="3">
        <f ca="1">41238+(RANDBETWEEN(1,10))</f>
        <v>41241</v>
      </c>
      <c r="G7294" t="s">
        <v>26</v>
      </c>
      <c r="H7294" t="s">
        <v>27</v>
      </c>
      <c r="I7294" t="s">
        <v>52</v>
      </c>
      <c r="J7294">
        <v>7194.95</v>
      </c>
      <c r="K7294">
        <v>0.05</v>
      </c>
      <c r="L7294">
        <v>0.55000000000000004</v>
      </c>
      <c r="M7294">
        <v>31.465</v>
      </c>
      <c r="N7294">
        <v>2280.453</v>
      </c>
      <c r="O7294" s="1" t="s">
        <v>87</v>
      </c>
      <c r="P7294" s="1" t="s">
        <v>14230</v>
      </c>
      <c r="Q7294" s="1" t="s">
        <v>14231</v>
      </c>
      <c r="R7294" s="1" t="s">
        <v>90</v>
      </c>
      <c r="S7294" s="1" t="s">
        <v>2095</v>
      </c>
      <c r="T7294" s="1" t="s">
        <v>2096</v>
      </c>
      <c r="U7294" s="2" t="s">
        <v>9184</v>
      </c>
      <c r="V7294" s="2" t="s">
        <v>36</v>
      </c>
      <c r="W7294" s="2" t="s">
        <v>37</v>
      </c>
      <c r="X7294" s="2">
        <v>545.96500000000003</v>
      </c>
    </row>
    <row r="7295" spans="1:24" x14ac:dyDescent="0.3">
      <c r="A7295">
        <v>25109</v>
      </c>
      <c r="B7295" t="s">
        <v>14232</v>
      </c>
      <c r="C7295" s="3">
        <v>41578</v>
      </c>
      <c r="D7295" t="s">
        <v>25</v>
      </c>
      <c r="E7295">
        <v>22</v>
      </c>
      <c r="F7295" s="3">
        <f ca="1">41582+(RANDBETWEEN(1,10))</f>
        <v>41589</v>
      </c>
      <c r="G7295" t="s">
        <v>76</v>
      </c>
      <c r="H7295" t="s">
        <v>77</v>
      </c>
      <c r="I7295" t="s">
        <v>28</v>
      </c>
      <c r="J7295">
        <v>15825.635</v>
      </c>
      <c r="K7295">
        <v>0</v>
      </c>
      <c r="L7295">
        <v>0.57999999999999996</v>
      </c>
      <c r="M7295">
        <v>83.16</v>
      </c>
      <c r="N7295">
        <v>8153.04</v>
      </c>
      <c r="O7295" s="1" t="s">
        <v>53</v>
      </c>
      <c r="P7295" s="1" t="s">
        <v>14233</v>
      </c>
      <c r="Q7295" s="1" t="s">
        <v>14234</v>
      </c>
      <c r="R7295" s="1" t="s">
        <v>100</v>
      </c>
      <c r="S7295" s="1" t="s">
        <v>14235</v>
      </c>
      <c r="T7295" s="1" t="s">
        <v>14236</v>
      </c>
      <c r="U7295" s="2" t="s">
        <v>3990</v>
      </c>
      <c r="V7295" s="2" t="s">
        <v>83</v>
      </c>
      <c r="W7295" s="2" t="s">
        <v>84</v>
      </c>
      <c r="X7295" s="2">
        <v>703.43</v>
      </c>
    </row>
    <row r="7296" spans="1:24" x14ac:dyDescent="0.3">
      <c r="A7296">
        <v>25110</v>
      </c>
      <c r="B7296" t="s">
        <v>14232</v>
      </c>
      <c r="C7296" s="3">
        <v>41578</v>
      </c>
      <c r="D7296" t="s">
        <v>25</v>
      </c>
      <c r="E7296">
        <v>10</v>
      </c>
      <c r="F7296" s="3">
        <f ca="1">41578+(RANDBETWEEN(1,10))</f>
        <v>41581</v>
      </c>
      <c r="G7296" t="s">
        <v>156</v>
      </c>
      <c r="H7296" t="s">
        <v>27</v>
      </c>
      <c r="I7296" t="s">
        <v>28</v>
      </c>
      <c r="J7296">
        <v>164.815</v>
      </c>
      <c r="K7296">
        <v>7.0000000000000007E-2</v>
      </c>
      <c r="L7296">
        <v>0.39</v>
      </c>
      <c r="M7296">
        <v>3.4649999999999999</v>
      </c>
      <c r="N7296">
        <v>113.72235000000001</v>
      </c>
      <c r="O7296" s="1" t="s">
        <v>53</v>
      </c>
      <c r="P7296" s="1" t="s">
        <v>14233</v>
      </c>
      <c r="Q7296" s="1" t="s">
        <v>14234</v>
      </c>
      <c r="R7296" s="1" t="s">
        <v>100</v>
      </c>
      <c r="S7296" s="1" t="s">
        <v>14235</v>
      </c>
      <c r="T7296" s="1" t="s">
        <v>14236</v>
      </c>
      <c r="U7296" s="2" t="s">
        <v>2720</v>
      </c>
      <c r="V7296" s="2" t="s">
        <v>47</v>
      </c>
      <c r="W7296" s="2" t="s">
        <v>203</v>
      </c>
      <c r="X7296" s="2">
        <v>14.455</v>
      </c>
    </row>
    <row r="7297" spans="1:24" x14ac:dyDescent="0.3">
      <c r="A7297">
        <v>25111</v>
      </c>
      <c r="B7297" t="s">
        <v>14237</v>
      </c>
      <c r="C7297" s="3">
        <v>40886</v>
      </c>
      <c r="D7297" t="s">
        <v>50</v>
      </c>
      <c r="E7297">
        <v>4</v>
      </c>
      <c r="F7297" s="3">
        <f ca="1">40887+(RANDBETWEEN(1,10))</f>
        <v>40896</v>
      </c>
      <c r="G7297" t="s">
        <v>26</v>
      </c>
      <c r="H7297" t="s">
        <v>281</v>
      </c>
      <c r="I7297" t="s">
        <v>52</v>
      </c>
      <c r="J7297">
        <v>99.61</v>
      </c>
      <c r="K7297">
        <v>0.06</v>
      </c>
      <c r="L7297">
        <v>0.6</v>
      </c>
      <c r="M7297">
        <v>17.605</v>
      </c>
      <c r="N7297">
        <v>-102.102</v>
      </c>
      <c r="O7297" s="1" t="s">
        <v>53</v>
      </c>
      <c r="P7297" s="1" t="s">
        <v>7077</v>
      </c>
      <c r="Q7297" s="1" t="s">
        <v>7078</v>
      </c>
      <c r="R7297" s="1" t="s">
        <v>100</v>
      </c>
      <c r="S7297" s="1" t="s">
        <v>4035</v>
      </c>
      <c r="T7297" s="1" t="s">
        <v>4036</v>
      </c>
      <c r="U7297" s="2" t="s">
        <v>408</v>
      </c>
      <c r="V7297" s="2" t="s">
        <v>36</v>
      </c>
      <c r="W7297" s="2" t="s">
        <v>37</v>
      </c>
      <c r="X7297" s="2">
        <v>27.965</v>
      </c>
    </row>
    <row r="7298" spans="1:24" x14ac:dyDescent="0.3">
      <c r="A7298">
        <v>25112</v>
      </c>
      <c r="B7298" t="s">
        <v>14238</v>
      </c>
      <c r="C7298" s="3">
        <v>41161</v>
      </c>
      <c r="D7298" t="s">
        <v>50</v>
      </c>
      <c r="E7298">
        <v>9</v>
      </c>
      <c r="F7298" s="3">
        <f ca="1">41162+(RANDBETWEEN(1,10))</f>
        <v>41170</v>
      </c>
      <c r="G7298" t="s">
        <v>26</v>
      </c>
      <c r="H7298" t="s">
        <v>27</v>
      </c>
      <c r="I7298" t="s">
        <v>97</v>
      </c>
      <c r="J7298">
        <v>779.87</v>
      </c>
      <c r="K7298">
        <v>0.08</v>
      </c>
      <c r="L7298">
        <v>0.75</v>
      </c>
      <c r="M7298">
        <v>20.614999999999998</v>
      </c>
      <c r="N7298">
        <v>684.34799999999996</v>
      </c>
      <c r="O7298" s="1" t="s">
        <v>53</v>
      </c>
      <c r="P7298" s="1" t="s">
        <v>14042</v>
      </c>
      <c r="Q7298" s="1" t="s">
        <v>14043</v>
      </c>
      <c r="R7298" s="1" t="s">
        <v>440</v>
      </c>
      <c r="S7298" s="1" t="s">
        <v>9191</v>
      </c>
      <c r="T7298" s="1" t="s">
        <v>9192</v>
      </c>
      <c r="U7298" s="2" t="s">
        <v>4016</v>
      </c>
      <c r="V7298" s="2" t="s">
        <v>36</v>
      </c>
      <c r="W7298" s="2" t="s">
        <v>60</v>
      </c>
      <c r="X7298" s="2">
        <v>92.084999999999994</v>
      </c>
    </row>
    <row r="7299" spans="1:24" x14ac:dyDescent="0.3">
      <c r="A7299">
        <v>25113</v>
      </c>
      <c r="B7299" t="s">
        <v>14239</v>
      </c>
      <c r="C7299" s="3">
        <v>41891</v>
      </c>
      <c r="D7299" t="s">
        <v>50</v>
      </c>
      <c r="E7299">
        <v>1</v>
      </c>
      <c r="F7299" s="3">
        <f ca="1">41891+(RANDBETWEEN(1,10))</f>
        <v>41896</v>
      </c>
      <c r="G7299" t="s">
        <v>26</v>
      </c>
      <c r="H7299" t="s">
        <v>27</v>
      </c>
      <c r="I7299" t="s">
        <v>97</v>
      </c>
      <c r="J7299">
        <v>26.32</v>
      </c>
      <c r="K7299">
        <v>0.02</v>
      </c>
      <c r="L7299">
        <v>0.38</v>
      </c>
      <c r="M7299">
        <v>1.7150000000000001</v>
      </c>
      <c r="N7299">
        <v>139.18799999999999</v>
      </c>
      <c r="O7299" s="1" t="s">
        <v>53</v>
      </c>
      <c r="P7299" s="1" t="s">
        <v>14042</v>
      </c>
      <c r="Q7299" s="1" t="s">
        <v>14043</v>
      </c>
      <c r="R7299" s="1" t="s">
        <v>440</v>
      </c>
      <c r="S7299" s="1" t="s">
        <v>9191</v>
      </c>
      <c r="T7299" s="1" t="s">
        <v>9192</v>
      </c>
      <c r="U7299" s="2" t="s">
        <v>1897</v>
      </c>
      <c r="V7299" s="2" t="s">
        <v>47</v>
      </c>
      <c r="W7299" s="2" t="s">
        <v>203</v>
      </c>
      <c r="X7299" s="2">
        <v>25.585000000000001</v>
      </c>
    </row>
    <row r="7300" spans="1:24" x14ac:dyDescent="0.3">
      <c r="A7300">
        <v>25114</v>
      </c>
      <c r="B7300" t="s">
        <v>14240</v>
      </c>
      <c r="C7300" s="3">
        <v>41832</v>
      </c>
      <c r="D7300" t="s">
        <v>148</v>
      </c>
      <c r="E7300">
        <v>6</v>
      </c>
      <c r="F7300" s="3">
        <f ca="1">41834+(RANDBETWEEN(1,10))</f>
        <v>41842</v>
      </c>
      <c r="G7300" t="s">
        <v>156</v>
      </c>
      <c r="H7300" t="s">
        <v>27</v>
      </c>
      <c r="I7300" t="s">
        <v>28</v>
      </c>
      <c r="J7300">
        <v>158.72499999999999</v>
      </c>
      <c r="K7300">
        <v>0.02</v>
      </c>
      <c r="L7300">
        <v>0.37</v>
      </c>
      <c r="M7300">
        <v>24.254999999999999</v>
      </c>
      <c r="N7300">
        <v>-142.65047999999999</v>
      </c>
      <c r="O7300" s="1" t="s">
        <v>29</v>
      </c>
      <c r="P7300" s="1" t="s">
        <v>13141</v>
      </c>
      <c r="Q7300" s="1" t="s">
        <v>13142</v>
      </c>
      <c r="R7300" s="1" t="s">
        <v>460</v>
      </c>
      <c r="S7300" s="1" t="s">
        <v>13143</v>
      </c>
      <c r="T7300" s="1" t="s">
        <v>13144</v>
      </c>
      <c r="U7300" s="2" t="s">
        <v>2817</v>
      </c>
      <c r="V7300" s="2" t="s">
        <v>47</v>
      </c>
      <c r="W7300" s="2" t="s">
        <v>74</v>
      </c>
      <c r="X7300" s="2">
        <v>23.38</v>
      </c>
    </row>
    <row r="7301" spans="1:24" x14ac:dyDescent="0.3">
      <c r="A7301">
        <v>25115</v>
      </c>
      <c r="B7301" t="s">
        <v>14241</v>
      </c>
      <c r="C7301" s="3">
        <v>40987</v>
      </c>
      <c r="D7301" t="s">
        <v>25</v>
      </c>
      <c r="E7301">
        <v>12</v>
      </c>
      <c r="F7301" s="3">
        <f ca="1">40992+(RANDBETWEEN(1,10))</f>
        <v>40998</v>
      </c>
      <c r="G7301" t="s">
        <v>26</v>
      </c>
      <c r="H7301" t="s">
        <v>27</v>
      </c>
      <c r="I7301" t="s">
        <v>28</v>
      </c>
      <c r="J7301">
        <v>2212.0349999999999</v>
      </c>
      <c r="K7301">
        <v>0.1</v>
      </c>
      <c r="L7301">
        <v>0.56000000000000005</v>
      </c>
      <c r="M7301">
        <v>31.465</v>
      </c>
      <c r="N7301">
        <v>1281.6405</v>
      </c>
      <c r="O7301" s="1" t="s">
        <v>64</v>
      </c>
      <c r="P7301" s="1" t="s">
        <v>14242</v>
      </c>
      <c r="Q7301" s="1" t="s">
        <v>14243</v>
      </c>
      <c r="R7301" s="1" t="s">
        <v>67</v>
      </c>
      <c r="S7301" s="1" t="s">
        <v>5781</v>
      </c>
      <c r="T7301" s="1" t="s">
        <v>5782</v>
      </c>
      <c r="U7301" s="2" t="s">
        <v>164</v>
      </c>
      <c r="V7301" s="2" t="s">
        <v>36</v>
      </c>
      <c r="W7301" s="2" t="s">
        <v>37</v>
      </c>
      <c r="X7301" s="2">
        <v>230.965</v>
      </c>
    </row>
    <row r="7302" spans="1:24" x14ac:dyDescent="0.3">
      <c r="A7302">
        <v>25116</v>
      </c>
      <c r="B7302" t="s">
        <v>14244</v>
      </c>
      <c r="C7302" s="3">
        <v>41680</v>
      </c>
      <c r="D7302" t="s">
        <v>39</v>
      </c>
      <c r="E7302">
        <v>5</v>
      </c>
      <c r="F7302" s="3">
        <f ca="1">41681+(RANDBETWEEN(1,10))</f>
        <v>41690</v>
      </c>
      <c r="G7302" t="s">
        <v>26</v>
      </c>
      <c r="H7302" t="s">
        <v>27</v>
      </c>
      <c r="I7302" t="s">
        <v>28</v>
      </c>
      <c r="J7302">
        <v>558.88</v>
      </c>
      <c r="K7302">
        <v>0.04</v>
      </c>
      <c r="L7302">
        <v>0.75</v>
      </c>
      <c r="M7302">
        <v>19.25</v>
      </c>
      <c r="N7302">
        <v>-458.08</v>
      </c>
      <c r="O7302" s="1" t="s">
        <v>29</v>
      </c>
      <c r="P7302" s="1" t="s">
        <v>7306</v>
      </c>
      <c r="Q7302" s="1" t="s">
        <v>7307</v>
      </c>
      <c r="R7302" s="1" t="s">
        <v>32</v>
      </c>
      <c r="S7302" s="1" t="s">
        <v>7308</v>
      </c>
      <c r="T7302" s="1" t="s">
        <v>7309</v>
      </c>
      <c r="U7302" s="2" t="s">
        <v>2960</v>
      </c>
      <c r="V7302" s="2" t="s">
        <v>36</v>
      </c>
      <c r="W7302" s="2" t="s">
        <v>60</v>
      </c>
      <c r="X7302" s="2">
        <v>115.43</v>
      </c>
    </row>
    <row r="7303" spans="1:24" x14ac:dyDescent="0.3">
      <c r="A7303">
        <v>25117</v>
      </c>
      <c r="B7303" t="s">
        <v>14245</v>
      </c>
      <c r="C7303" s="3">
        <v>40828</v>
      </c>
      <c r="D7303" t="s">
        <v>25</v>
      </c>
      <c r="E7303">
        <v>2</v>
      </c>
      <c r="F7303" s="3">
        <f ca="1">40835+(RANDBETWEEN(1,10))</f>
        <v>40842</v>
      </c>
      <c r="G7303" t="s">
        <v>76</v>
      </c>
      <c r="H7303" t="s">
        <v>77</v>
      </c>
      <c r="I7303" t="s">
        <v>52</v>
      </c>
      <c r="J7303">
        <v>853.51</v>
      </c>
      <c r="K7303">
        <v>0.06</v>
      </c>
      <c r="L7303">
        <v>0.36</v>
      </c>
      <c r="M7303">
        <v>49</v>
      </c>
      <c r="N7303">
        <v>-726.87925800000005</v>
      </c>
      <c r="O7303" s="1" t="s">
        <v>225</v>
      </c>
      <c r="P7303" s="1" t="s">
        <v>12028</v>
      </c>
      <c r="Q7303" s="1" t="s">
        <v>12029</v>
      </c>
      <c r="R7303" s="1" t="s">
        <v>228</v>
      </c>
      <c r="S7303" s="1" t="s">
        <v>466</v>
      </c>
      <c r="T7303" s="1" t="s">
        <v>467</v>
      </c>
      <c r="U7303" s="2" t="s">
        <v>2196</v>
      </c>
      <c r="V7303" s="2" t="s">
        <v>36</v>
      </c>
      <c r="W7303" s="2" t="s">
        <v>142</v>
      </c>
      <c r="X7303" s="2">
        <v>419.96499999999997</v>
      </c>
    </row>
    <row r="7304" spans="1:24" x14ac:dyDescent="0.3">
      <c r="A7304">
        <v>25118</v>
      </c>
      <c r="B7304" t="s">
        <v>14246</v>
      </c>
      <c r="C7304" s="3">
        <v>41345</v>
      </c>
      <c r="D7304" t="s">
        <v>50</v>
      </c>
      <c r="E7304">
        <v>6</v>
      </c>
      <c r="F7304" s="3">
        <f ca="1">41347+(RANDBETWEEN(1,10))</f>
        <v>41352</v>
      </c>
      <c r="G7304" t="s">
        <v>26</v>
      </c>
      <c r="H7304" t="s">
        <v>27</v>
      </c>
      <c r="I7304" t="s">
        <v>52</v>
      </c>
      <c r="J7304">
        <v>7919.66</v>
      </c>
      <c r="K7304">
        <v>0.1</v>
      </c>
      <c r="L7304">
        <v>0.38</v>
      </c>
      <c r="M7304">
        <v>69.965000000000003</v>
      </c>
      <c r="N7304">
        <v>628.59299999999996</v>
      </c>
      <c r="O7304" s="1" t="s">
        <v>87</v>
      </c>
      <c r="P7304" s="1" t="s">
        <v>12772</v>
      </c>
      <c r="Q7304" s="1" t="s">
        <v>12773</v>
      </c>
      <c r="R7304" s="1" t="s">
        <v>398</v>
      </c>
      <c r="S7304" s="1" t="s">
        <v>1968</v>
      </c>
      <c r="T7304" s="1" t="s">
        <v>1969</v>
      </c>
      <c r="U7304" s="2" t="s">
        <v>5575</v>
      </c>
      <c r="V7304" s="2" t="s">
        <v>47</v>
      </c>
      <c r="W7304" s="2" t="s">
        <v>111</v>
      </c>
      <c r="X7304" s="2">
        <v>1357.9649999999999</v>
      </c>
    </row>
    <row r="7305" spans="1:24" x14ac:dyDescent="0.3">
      <c r="A7305">
        <v>25119</v>
      </c>
      <c r="B7305" t="s">
        <v>14247</v>
      </c>
      <c r="C7305" s="3">
        <v>41471</v>
      </c>
      <c r="D7305" t="s">
        <v>62</v>
      </c>
      <c r="E7305">
        <v>16</v>
      </c>
      <c r="F7305" s="3">
        <f ca="1">41473+(RANDBETWEEN(1,10))</f>
        <v>41478</v>
      </c>
      <c r="G7305" t="s">
        <v>26</v>
      </c>
      <c r="H7305" t="s">
        <v>281</v>
      </c>
      <c r="I7305" t="s">
        <v>97</v>
      </c>
      <c r="J7305">
        <v>304.60500000000002</v>
      </c>
      <c r="K7305">
        <v>0</v>
      </c>
      <c r="L7305">
        <v>0.54</v>
      </c>
      <c r="M7305">
        <v>19.984999999999999</v>
      </c>
      <c r="N7305">
        <v>-520.79999999999995</v>
      </c>
      <c r="O7305" s="1" t="s">
        <v>53</v>
      </c>
      <c r="P7305" s="1" t="s">
        <v>4550</v>
      </c>
      <c r="Q7305" s="1" t="s">
        <v>4551</v>
      </c>
      <c r="R7305" s="1" t="s">
        <v>440</v>
      </c>
      <c r="S7305" s="1" t="s">
        <v>4552</v>
      </c>
      <c r="T7305" s="1" t="s">
        <v>4553</v>
      </c>
      <c r="U7305" s="2" t="s">
        <v>948</v>
      </c>
      <c r="V7305" s="2" t="s">
        <v>83</v>
      </c>
      <c r="W7305" s="2" t="s">
        <v>178</v>
      </c>
      <c r="X7305" s="2">
        <v>17.395</v>
      </c>
    </row>
    <row r="7306" spans="1:24" x14ac:dyDescent="0.3">
      <c r="A7306">
        <v>25120</v>
      </c>
      <c r="B7306" t="s">
        <v>14248</v>
      </c>
      <c r="C7306" s="3">
        <v>41725</v>
      </c>
      <c r="D7306" t="s">
        <v>39</v>
      </c>
      <c r="E7306">
        <v>6</v>
      </c>
      <c r="F7306" s="3">
        <f ca="1">41727+(RANDBETWEEN(1,10))</f>
        <v>41729</v>
      </c>
      <c r="G7306" t="s">
        <v>26</v>
      </c>
      <c r="H7306" t="s">
        <v>27</v>
      </c>
      <c r="I7306" t="s">
        <v>86</v>
      </c>
      <c r="J7306">
        <v>240.31</v>
      </c>
      <c r="K7306">
        <v>7.0000000000000007E-2</v>
      </c>
      <c r="L7306">
        <v>0.57999999999999996</v>
      </c>
      <c r="M7306">
        <v>17.43</v>
      </c>
      <c r="N7306">
        <v>-125.79</v>
      </c>
      <c r="O7306" s="1" t="s">
        <v>225</v>
      </c>
      <c r="P7306" s="1" t="s">
        <v>9703</v>
      </c>
      <c r="Q7306" s="1" t="s">
        <v>9704</v>
      </c>
      <c r="R7306" s="1" t="s">
        <v>228</v>
      </c>
      <c r="S7306" s="1" t="s">
        <v>4175</v>
      </c>
      <c r="T7306" s="1" t="s">
        <v>2326</v>
      </c>
      <c r="U7306" s="2" t="s">
        <v>5213</v>
      </c>
      <c r="V7306" s="2" t="s">
        <v>47</v>
      </c>
      <c r="W7306" s="2" t="s">
        <v>71</v>
      </c>
      <c r="X7306" s="2">
        <v>41.895000000000003</v>
      </c>
    </row>
    <row r="7307" spans="1:24" x14ac:dyDescent="0.3">
      <c r="A7307">
        <v>25121</v>
      </c>
      <c r="B7307" t="s">
        <v>14249</v>
      </c>
      <c r="C7307" s="3">
        <v>40629</v>
      </c>
      <c r="D7307" t="s">
        <v>39</v>
      </c>
      <c r="E7307">
        <v>7</v>
      </c>
      <c r="F7307" s="3">
        <f ca="1">40631+(RANDBETWEEN(1,10))</f>
        <v>40637</v>
      </c>
      <c r="G7307" t="s">
        <v>26</v>
      </c>
      <c r="H7307" t="s">
        <v>27</v>
      </c>
      <c r="I7307" t="s">
        <v>86</v>
      </c>
      <c r="J7307">
        <v>691.56500000000005</v>
      </c>
      <c r="K7307">
        <v>0.03</v>
      </c>
      <c r="L7307">
        <v>0.38</v>
      </c>
      <c r="M7307">
        <v>5.2149999999999999</v>
      </c>
      <c r="N7307">
        <v>477.17984999999999</v>
      </c>
      <c r="O7307" s="1" t="s">
        <v>225</v>
      </c>
      <c r="P7307" s="1" t="s">
        <v>9703</v>
      </c>
      <c r="Q7307" s="1" t="s">
        <v>9704</v>
      </c>
      <c r="R7307" s="1" t="s">
        <v>228</v>
      </c>
      <c r="S7307" s="1" t="s">
        <v>4175</v>
      </c>
      <c r="T7307" s="1" t="s">
        <v>2326</v>
      </c>
      <c r="U7307" s="2" t="s">
        <v>301</v>
      </c>
      <c r="V7307" s="2" t="s">
        <v>47</v>
      </c>
      <c r="W7307" s="2" t="s">
        <v>111</v>
      </c>
      <c r="X7307" s="2">
        <v>99.855000000000004</v>
      </c>
    </row>
    <row r="7308" spans="1:24" x14ac:dyDescent="0.3">
      <c r="A7308">
        <v>25122</v>
      </c>
      <c r="B7308" t="s">
        <v>14249</v>
      </c>
      <c r="C7308" s="3">
        <v>40629</v>
      </c>
      <c r="D7308" t="s">
        <v>39</v>
      </c>
      <c r="E7308">
        <v>2</v>
      </c>
      <c r="F7308" s="3">
        <f ca="1">40631+(RANDBETWEEN(1,10))</f>
        <v>40634</v>
      </c>
      <c r="G7308" t="s">
        <v>26</v>
      </c>
      <c r="H7308" t="s">
        <v>51</v>
      </c>
      <c r="I7308" t="s">
        <v>86</v>
      </c>
      <c r="J7308">
        <v>115.64</v>
      </c>
      <c r="K7308">
        <v>0.01</v>
      </c>
      <c r="L7308">
        <v>0.42</v>
      </c>
      <c r="M7308">
        <v>6.9649999999999999</v>
      </c>
      <c r="N7308">
        <v>-43.61</v>
      </c>
      <c r="O7308" s="1" t="s">
        <v>225</v>
      </c>
      <c r="P7308" s="1" t="s">
        <v>9703</v>
      </c>
      <c r="Q7308" s="1" t="s">
        <v>9704</v>
      </c>
      <c r="R7308" s="1" t="s">
        <v>228</v>
      </c>
      <c r="S7308" s="1" t="s">
        <v>4175</v>
      </c>
      <c r="T7308" s="1" t="s">
        <v>2326</v>
      </c>
      <c r="U7308" s="2" t="s">
        <v>2350</v>
      </c>
      <c r="V7308" s="2" t="s">
        <v>36</v>
      </c>
      <c r="W7308" s="2" t="s">
        <v>60</v>
      </c>
      <c r="X7308" s="2">
        <v>53.48</v>
      </c>
    </row>
    <row r="7309" spans="1:24" x14ac:dyDescent="0.3">
      <c r="A7309">
        <v>25123</v>
      </c>
      <c r="B7309" t="s">
        <v>14250</v>
      </c>
      <c r="C7309" s="3">
        <v>41918</v>
      </c>
      <c r="D7309" t="s">
        <v>148</v>
      </c>
      <c r="E7309">
        <v>18</v>
      </c>
      <c r="F7309" s="3">
        <f ca="1">41920+(RANDBETWEEN(1,10))</f>
        <v>41926</v>
      </c>
      <c r="G7309" t="s">
        <v>26</v>
      </c>
      <c r="H7309" t="s">
        <v>27</v>
      </c>
      <c r="I7309" t="s">
        <v>86</v>
      </c>
      <c r="J7309">
        <v>10225.530000000001</v>
      </c>
      <c r="K7309">
        <v>0.1</v>
      </c>
      <c r="L7309">
        <v>0.56000000000000005</v>
      </c>
      <c r="M7309">
        <v>31.465</v>
      </c>
      <c r="N7309">
        <v>-655.13</v>
      </c>
      <c r="O7309" s="1" t="s">
        <v>87</v>
      </c>
      <c r="P7309" s="1" t="s">
        <v>13123</v>
      </c>
      <c r="Q7309" s="1" t="s">
        <v>13124</v>
      </c>
      <c r="R7309" s="1" t="s">
        <v>398</v>
      </c>
      <c r="S7309" s="1" t="s">
        <v>9680</v>
      </c>
      <c r="T7309" s="1" t="s">
        <v>9681</v>
      </c>
      <c r="U7309" s="2" t="s">
        <v>4735</v>
      </c>
      <c r="V7309" s="2" t="s">
        <v>36</v>
      </c>
      <c r="W7309" s="2" t="s">
        <v>37</v>
      </c>
      <c r="X7309" s="2">
        <v>720.96500000000003</v>
      </c>
    </row>
    <row r="7310" spans="1:24" x14ac:dyDescent="0.3">
      <c r="A7310">
        <v>25124</v>
      </c>
      <c r="B7310" t="s">
        <v>14251</v>
      </c>
      <c r="C7310" s="3">
        <v>41677</v>
      </c>
      <c r="D7310" t="s">
        <v>148</v>
      </c>
      <c r="E7310">
        <v>2</v>
      </c>
      <c r="F7310" s="3">
        <f ca="1">41678+(RANDBETWEEN(1,10))</f>
        <v>41688</v>
      </c>
      <c r="G7310" t="s">
        <v>26</v>
      </c>
      <c r="H7310" t="s">
        <v>63</v>
      </c>
      <c r="I7310" t="s">
        <v>86</v>
      </c>
      <c r="J7310">
        <v>1907.85</v>
      </c>
      <c r="K7310">
        <v>0.1</v>
      </c>
      <c r="L7310" t="s">
        <v>182</v>
      </c>
      <c r="M7310">
        <v>85.715000000000003</v>
      </c>
      <c r="N7310">
        <v>27.72</v>
      </c>
      <c r="O7310" s="1" t="s">
        <v>225</v>
      </c>
      <c r="P7310" s="1" t="s">
        <v>7447</v>
      </c>
      <c r="Q7310" s="1" t="s">
        <v>7448</v>
      </c>
      <c r="R7310" s="1" t="s">
        <v>228</v>
      </c>
      <c r="S7310" s="1" t="s">
        <v>2325</v>
      </c>
      <c r="T7310" s="1" t="s">
        <v>2326</v>
      </c>
      <c r="U7310" s="2" t="s">
        <v>1520</v>
      </c>
      <c r="V7310" s="2" t="s">
        <v>83</v>
      </c>
      <c r="W7310" s="2" t="s">
        <v>84</v>
      </c>
      <c r="X7310" s="2">
        <v>966.7</v>
      </c>
    </row>
    <row r="7311" spans="1:24" x14ac:dyDescent="0.3">
      <c r="A7311">
        <v>25125</v>
      </c>
      <c r="B7311" t="s">
        <v>14251</v>
      </c>
      <c r="C7311" s="3">
        <v>41677</v>
      </c>
      <c r="D7311" t="s">
        <v>148</v>
      </c>
      <c r="E7311">
        <v>9</v>
      </c>
      <c r="F7311" s="3">
        <f ca="1">41678+(RANDBETWEEN(1,10))</f>
        <v>41681</v>
      </c>
      <c r="G7311" t="s">
        <v>156</v>
      </c>
      <c r="H7311" t="s">
        <v>51</v>
      </c>
      <c r="I7311" t="s">
        <v>86</v>
      </c>
      <c r="J7311">
        <v>269.32499999999999</v>
      </c>
      <c r="K7311">
        <v>0.01</v>
      </c>
      <c r="L7311">
        <v>0.77</v>
      </c>
      <c r="M7311">
        <v>9.9049999999999994</v>
      </c>
      <c r="N7311">
        <v>-182.63</v>
      </c>
      <c r="O7311" s="1" t="s">
        <v>225</v>
      </c>
      <c r="P7311" s="1" t="s">
        <v>7447</v>
      </c>
      <c r="Q7311" s="1" t="s">
        <v>7448</v>
      </c>
      <c r="R7311" s="1" t="s">
        <v>228</v>
      </c>
      <c r="S7311" s="1" t="s">
        <v>2325</v>
      </c>
      <c r="T7311" s="1" t="s">
        <v>2326</v>
      </c>
      <c r="U7311" s="2" t="s">
        <v>2563</v>
      </c>
      <c r="V7311" s="2" t="s">
        <v>36</v>
      </c>
      <c r="W7311" s="2" t="s">
        <v>60</v>
      </c>
      <c r="X7311" s="2">
        <v>28.42</v>
      </c>
    </row>
    <row r="7312" spans="1:24" x14ac:dyDescent="0.3">
      <c r="A7312">
        <v>25126</v>
      </c>
      <c r="B7312" t="s">
        <v>14252</v>
      </c>
      <c r="C7312" s="3">
        <v>40745</v>
      </c>
      <c r="D7312" t="s">
        <v>25</v>
      </c>
      <c r="E7312">
        <v>4</v>
      </c>
      <c r="F7312" s="3">
        <f ca="1">40750+(RANDBETWEEN(1,10))</f>
        <v>40757</v>
      </c>
      <c r="G7312" t="s">
        <v>26</v>
      </c>
      <c r="H7312" t="s">
        <v>27</v>
      </c>
      <c r="I7312" t="s">
        <v>97</v>
      </c>
      <c r="J7312">
        <v>1452.1849999999999</v>
      </c>
      <c r="K7312">
        <v>0.04</v>
      </c>
      <c r="L7312">
        <v>0.4</v>
      </c>
      <c r="M7312">
        <v>25.13</v>
      </c>
      <c r="N7312">
        <v>944.79</v>
      </c>
      <c r="O7312" s="1" t="s">
        <v>29</v>
      </c>
      <c r="P7312" s="1" t="s">
        <v>6767</v>
      </c>
      <c r="Q7312" s="1" t="s">
        <v>6768</v>
      </c>
      <c r="R7312" s="1" t="s">
        <v>32</v>
      </c>
      <c r="S7312" s="1" t="s">
        <v>6569</v>
      </c>
      <c r="T7312" s="1" t="s">
        <v>6570</v>
      </c>
      <c r="U7312" s="2" t="s">
        <v>5772</v>
      </c>
      <c r="V7312" s="2" t="s">
        <v>36</v>
      </c>
      <c r="W7312" s="2" t="s">
        <v>60</v>
      </c>
      <c r="X7312" s="2">
        <v>353.43</v>
      </c>
    </row>
    <row r="7313" spans="1:24" x14ac:dyDescent="0.3">
      <c r="A7313">
        <v>25127</v>
      </c>
      <c r="B7313" t="s">
        <v>14253</v>
      </c>
      <c r="C7313" s="3">
        <v>41916</v>
      </c>
      <c r="D7313" t="s">
        <v>25</v>
      </c>
      <c r="E7313">
        <v>25</v>
      </c>
      <c r="F7313" s="3">
        <f ca="1">41921+(RANDBETWEEN(1,10))</f>
        <v>41925</v>
      </c>
      <c r="G7313" t="s">
        <v>156</v>
      </c>
      <c r="H7313" t="s">
        <v>27</v>
      </c>
      <c r="I7313" t="s">
        <v>97</v>
      </c>
      <c r="J7313">
        <v>572.21500000000003</v>
      </c>
      <c r="K7313">
        <v>0.04</v>
      </c>
      <c r="L7313">
        <v>0.37</v>
      </c>
      <c r="M7313">
        <v>32.094999999999999</v>
      </c>
      <c r="N7313">
        <v>-872.44500000000005</v>
      </c>
      <c r="O7313" s="1" t="s">
        <v>40</v>
      </c>
      <c r="P7313" s="1" t="s">
        <v>14254</v>
      </c>
      <c r="Q7313" s="1" t="s">
        <v>14255</v>
      </c>
      <c r="R7313" s="1" t="s">
        <v>220</v>
      </c>
      <c r="S7313" s="1" t="s">
        <v>959</v>
      </c>
      <c r="T7313" s="1" t="s">
        <v>960</v>
      </c>
      <c r="U7313" s="2" t="s">
        <v>4991</v>
      </c>
      <c r="V7313" s="2" t="s">
        <v>47</v>
      </c>
      <c r="W7313" s="2" t="s">
        <v>74</v>
      </c>
      <c r="X7313" s="2">
        <v>22.68</v>
      </c>
    </row>
    <row r="7314" spans="1:24" x14ac:dyDescent="0.3">
      <c r="A7314">
        <v>25128</v>
      </c>
      <c r="B7314" t="s">
        <v>14256</v>
      </c>
      <c r="C7314" s="3">
        <v>41765</v>
      </c>
      <c r="D7314" t="s">
        <v>62</v>
      </c>
      <c r="E7314">
        <v>12</v>
      </c>
      <c r="F7314" s="3">
        <f ca="1">41767+(RANDBETWEEN(1,10))</f>
        <v>41773</v>
      </c>
      <c r="G7314" t="s">
        <v>26</v>
      </c>
      <c r="H7314" t="s">
        <v>27</v>
      </c>
      <c r="I7314" t="s">
        <v>86</v>
      </c>
      <c r="J7314">
        <v>1815.6949999999999</v>
      </c>
      <c r="K7314">
        <v>0</v>
      </c>
      <c r="L7314">
        <v>0.37</v>
      </c>
      <c r="M7314">
        <v>26.145</v>
      </c>
      <c r="N7314">
        <v>1252.8295499999999</v>
      </c>
      <c r="O7314" s="1" t="s">
        <v>53</v>
      </c>
      <c r="P7314" s="1" t="s">
        <v>5681</v>
      </c>
      <c r="Q7314" s="1" t="s">
        <v>5682</v>
      </c>
      <c r="R7314" s="1" t="s">
        <v>440</v>
      </c>
      <c r="S7314" s="1" t="s">
        <v>1172</v>
      </c>
      <c r="T7314" s="1" t="s">
        <v>5683</v>
      </c>
      <c r="U7314" s="2" t="s">
        <v>1126</v>
      </c>
      <c r="V7314" s="2" t="s">
        <v>47</v>
      </c>
      <c r="W7314" s="2" t="s">
        <v>111</v>
      </c>
      <c r="X7314" s="2">
        <v>143.43</v>
      </c>
    </row>
    <row r="7315" spans="1:24" x14ac:dyDescent="0.3">
      <c r="A7315">
        <v>25129</v>
      </c>
      <c r="B7315" t="s">
        <v>14257</v>
      </c>
      <c r="C7315" s="3">
        <v>40669</v>
      </c>
      <c r="D7315" t="s">
        <v>62</v>
      </c>
      <c r="E7315">
        <v>1</v>
      </c>
      <c r="F7315" s="3">
        <f ca="1">40670+(RANDBETWEEN(1,10))</f>
        <v>40679</v>
      </c>
      <c r="G7315" t="s">
        <v>76</v>
      </c>
      <c r="H7315" t="s">
        <v>258</v>
      </c>
      <c r="I7315" t="s">
        <v>86</v>
      </c>
      <c r="J7315">
        <v>1649.2349999999999</v>
      </c>
      <c r="K7315">
        <v>0.02</v>
      </c>
      <c r="L7315">
        <v>0.79</v>
      </c>
      <c r="M7315">
        <v>263.30500000000001</v>
      </c>
      <c r="N7315">
        <v>-2222.0288999999998</v>
      </c>
      <c r="O7315" s="1" t="s">
        <v>53</v>
      </c>
      <c r="P7315" s="1" t="s">
        <v>5681</v>
      </c>
      <c r="Q7315" s="1" t="s">
        <v>5682</v>
      </c>
      <c r="R7315" s="1" t="s">
        <v>440</v>
      </c>
      <c r="S7315" s="1" t="s">
        <v>1172</v>
      </c>
      <c r="T7315" s="1" t="s">
        <v>5683</v>
      </c>
      <c r="U7315" s="2" t="s">
        <v>7995</v>
      </c>
      <c r="V7315" s="2" t="s">
        <v>83</v>
      </c>
      <c r="W7315" s="2" t="s">
        <v>263</v>
      </c>
      <c r="X7315" s="2">
        <v>1460.9</v>
      </c>
    </row>
    <row r="7316" spans="1:24" x14ac:dyDescent="0.3">
      <c r="A7316">
        <v>25130</v>
      </c>
      <c r="B7316" t="s">
        <v>14258</v>
      </c>
      <c r="C7316" s="3">
        <v>41437</v>
      </c>
      <c r="D7316" t="s">
        <v>148</v>
      </c>
      <c r="E7316">
        <v>10</v>
      </c>
      <c r="F7316" s="3">
        <f ca="1">41438+(RANDBETWEEN(1,10))</f>
        <v>41441</v>
      </c>
      <c r="G7316" t="s">
        <v>26</v>
      </c>
      <c r="H7316" t="s">
        <v>27</v>
      </c>
      <c r="I7316" t="s">
        <v>86</v>
      </c>
      <c r="J7316">
        <v>274.85500000000002</v>
      </c>
      <c r="K7316">
        <v>0.03</v>
      </c>
      <c r="L7316">
        <v>0.36</v>
      </c>
      <c r="M7316">
        <v>40.284999999999997</v>
      </c>
      <c r="N7316">
        <v>1.5960000000000001</v>
      </c>
      <c r="O7316" s="1" t="s">
        <v>53</v>
      </c>
      <c r="P7316" s="1" t="s">
        <v>12654</v>
      </c>
      <c r="Q7316" s="1" t="s">
        <v>12655</v>
      </c>
      <c r="R7316" s="1" t="s">
        <v>56</v>
      </c>
      <c r="S7316" s="1" t="s">
        <v>12656</v>
      </c>
      <c r="T7316" s="1" t="s">
        <v>12657</v>
      </c>
      <c r="U7316" s="2" t="s">
        <v>5565</v>
      </c>
      <c r="V7316" s="2" t="s">
        <v>47</v>
      </c>
      <c r="W7316" s="2" t="s">
        <v>111</v>
      </c>
      <c r="X7316" s="2">
        <v>25.83</v>
      </c>
    </row>
    <row r="7317" spans="1:24" x14ac:dyDescent="0.3">
      <c r="A7317">
        <v>25131</v>
      </c>
      <c r="B7317" t="s">
        <v>14259</v>
      </c>
      <c r="C7317" s="3">
        <v>41625</v>
      </c>
      <c r="D7317" t="s">
        <v>62</v>
      </c>
      <c r="E7317">
        <v>14</v>
      </c>
      <c r="F7317" s="3">
        <f ca="1">41625+(RANDBETWEEN(1,10))</f>
        <v>41629</v>
      </c>
      <c r="G7317" t="s">
        <v>26</v>
      </c>
      <c r="H7317" t="s">
        <v>27</v>
      </c>
      <c r="I7317" t="s">
        <v>28</v>
      </c>
      <c r="J7317">
        <v>249.55</v>
      </c>
      <c r="K7317">
        <v>7.0000000000000007E-2</v>
      </c>
      <c r="L7317">
        <v>0.37</v>
      </c>
      <c r="M7317">
        <v>17.324999999999999</v>
      </c>
      <c r="N7317">
        <v>-112.41825</v>
      </c>
      <c r="O7317" s="1" t="s">
        <v>225</v>
      </c>
      <c r="P7317" s="1" t="s">
        <v>10873</v>
      </c>
      <c r="Q7317" s="1" t="s">
        <v>10874</v>
      </c>
      <c r="R7317" s="1" t="s">
        <v>228</v>
      </c>
      <c r="S7317" s="1" t="s">
        <v>10875</v>
      </c>
      <c r="T7317" s="1" t="s">
        <v>10876</v>
      </c>
      <c r="U7317" s="2" t="s">
        <v>5209</v>
      </c>
      <c r="V7317" s="2" t="s">
        <v>47</v>
      </c>
      <c r="W7317" s="2" t="s">
        <v>111</v>
      </c>
      <c r="X7317" s="2">
        <v>17.43</v>
      </c>
    </row>
    <row r="7318" spans="1:24" x14ac:dyDescent="0.3">
      <c r="A7318">
        <v>25132</v>
      </c>
      <c r="B7318" t="s">
        <v>14259</v>
      </c>
      <c r="C7318" s="3">
        <v>41625</v>
      </c>
      <c r="D7318" t="s">
        <v>62</v>
      </c>
      <c r="E7318">
        <v>6</v>
      </c>
      <c r="F7318" s="3">
        <f ca="1">41627+(RANDBETWEEN(1,10))</f>
        <v>41628</v>
      </c>
      <c r="G7318" t="s">
        <v>76</v>
      </c>
      <c r="H7318" t="s">
        <v>77</v>
      </c>
      <c r="I7318" t="s">
        <v>28</v>
      </c>
      <c r="J7318">
        <v>10052.42</v>
      </c>
      <c r="K7318">
        <v>0.09</v>
      </c>
      <c r="L7318">
        <v>0.38</v>
      </c>
      <c r="M7318">
        <v>98.49</v>
      </c>
      <c r="N7318">
        <v>5870.3924999999999</v>
      </c>
      <c r="O7318" s="1" t="s">
        <v>225</v>
      </c>
      <c r="P7318" s="1" t="s">
        <v>10873</v>
      </c>
      <c r="Q7318" s="1" t="s">
        <v>10874</v>
      </c>
      <c r="R7318" s="1" t="s">
        <v>228</v>
      </c>
      <c r="S7318" s="1" t="s">
        <v>10875</v>
      </c>
      <c r="T7318" s="1" t="s">
        <v>10876</v>
      </c>
      <c r="U7318" s="2" t="s">
        <v>720</v>
      </c>
      <c r="V7318" s="2" t="s">
        <v>36</v>
      </c>
      <c r="W7318" s="2" t="s">
        <v>142</v>
      </c>
      <c r="X7318" s="2">
        <v>1753.43</v>
      </c>
    </row>
    <row r="7319" spans="1:24" x14ac:dyDescent="0.3">
      <c r="A7319">
        <v>25133</v>
      </c>
      <c r="B7319" t="s">
        <v>14259</v>
      </c>
      <c r="C7319" s="3">
        <v>41625</v>
      </c>
      <c r="D7319" t="s">
        <v>62</v>
      </c>
      <c r="E7319">
        <v>21</v>
      </c>
      <c r="F7319" s="3">
        <f ca="1">41625+(RANDBETWEEN(1,10))</f>
        <v>41629</v>
      </c>
      <c r="G7319" t="s">
        <v>156</v>
      </c>
      <c r="H7319" t="s">
        <v>51</v>
      </c>
      <c r="I7319" t="s">
        <v>28</v>
      </c>
      <c r="J7319">
        <v>791.28</v>
      </c>
      <c r="K7319">
        <v>0.06</v>
      </c>
      <c r="L7319">
        <v>0.56999999999999995</v>
      </c>
      <c r="M7319">
        <v>11.795</v>
      </c>
      <c r="N7319">
        <v>135.39750000000001</v>
      </c>
      <c r="O7319" s="1" t="s">
        <v>225</v>
      </c>
      <c r="P7319" s="1" t="s">
        <v>10873</v>
      </c>
      <c r="Q7319" s="1" t="s">
        <v>10874</v>
      </c>
      <c r="R7319" s="1" t="s">
        <v>228</v>
      </c>
      <c r="S7319" s="1" t="s">
        <v>10875</v>
      </c>
      <c r="T7319" s="1" t="s">
        <v>10876</v>
      </c>
      <c r="U7319" s="2" t="s">
        <v>5857</v>
      </c>
      <c r="V7319" s="2" t="s">
        <v>47</v>
      </c>
      <c r="W7319" s="2" t="s">
        <v>94</v>
      </c>
      <c r="X7319" s="2">
        <v>38.43</v>
      </c>
    </row>
    <row r="7320" spans="1:24" x14ac:dyDescent="0.3">
      <c r="A7320">
        <v>25134</v>
      </c>
      <c r="B7320" t="s">
        <v>14260</v>
      </c>
      <c r="C7320" s="3">
        <v>41152</v>
      </c>
      <c r="D7320" t="s">
        <v>39</v>
      </c>
      <c r="E7320">
        <v>17</v>
      </c>
      <c r="F7320" s="3">
        <f ca="1">41152+(RANDBETWEEN(1,10))</f>
        <v>41160</v>
      </c>
      <c r="G7320" t="s">
        <v>26</v>
      </c>
      <c r="H7320" t="s">
        <v>51</v>
      </c>
      <c r="I7320" t="s">
        <v>52</v>
      </c>
      <c r="J7320">
        <v>589.92499999999995</v>
      </c>
      <c r="K7320">
        <v>0.08</v>
      </c>
      <c r="L7320">
        <v>0.59</v>
      </c>
      <c r="M7320">
        <v>16.38</v>
      </c>
      <c r="N7320">
        <v>-91.182000000000002</v>
      </c>
      <c r="O7320" s="1" t="s">
        <v>87</v>
      </c>
      <c r="P7320" s="1" t="s">
        <v>7080</v>
      </c>
      <c r="Q7320" s="1" t="s">
        <v>7081</v>
      </c>
      <c r="R7320" s="1" t="s">
        <v>497</v>
      </c>
      <c r="S7320" s="1" t="s">
        <v>1105</v>
      </c>
      <c r="T7320" s="1" t="s">
        <v>1106</v>
      </c>
      <c r="U7320" s="2" t="s">
        <v>3567</v>
      </c>
      <c r="V7320" s="2" t="s">
        <v>47</v>
      </c>
      <c r="W7320" s="2" t="s">
        <v>94</v>
      </c>
      <c r="X7320" s="2">
        <v>35.805</v>
      </c>
    </row>
    <row r="7321" spans="1:24" x14ac:dyDescent="0.3">
      <c r="A7321">
        <v>25135</v>
      </c>
      <c r="B7321" t="s">
        <v>14261</v>
      </c>
      <c r="C7321" s="3">
        <v>41791</v>
      </c>
      <c r="D7321" t="s">
        <v>25</v>
      </c>
      <c r="E7321">
        <v>13</v>
      </c>
      <c r="F7321" s="3">
        <f ca="1">41791+(RANDBETWEEN(1,10))</f>
        <v>41798</v>
      </c>
      <c r="G7321" t="s">
        <v>76</v>
      </c>
      <c r="H7321" t="s">
        <v>77</v>
      </c>
      <c r="I7321" t="s">
        <v>28</v>
      </c>
      <c r="J7321">
        <v>8761.9</v>
      </c>
      <c r="K7321">
        <v>0.01</v>
      </c>
      <c r="L7321">
        <v>0.69</v>
      </c>
      <c r="M7321">
        <v>105</v>
      </c>
      <c r="N7321">
        <v>4020.6179999999999</v>
      </c>
      <c r="O7321" s="1" t="s">
        <v>64</v>
      </c>
      <c r="P7321" s="1" t="s">
        <v>11848</v>
      </c>
      <c r="Q7321" s="1" t="s">
        <v>11849</v>
      </c>
      <c r="R7321" s="1" t="s">
        <v>67</v>
      </c>
      <c r="S7321" s="1" t="s">
        <v>11850</v>
      </c>
      <c r="T7321" s="1" t="s">
        <v>11851</v>
      </c>
      <c r="U7321" s="2" t="s">
        <v>5090</v>
      </c>
      <c r="V7321" s="2" t="s">
        <v>83</v>
      </c>
      <c r="W7321" s="2" t="s">
        <v>84</v>
      </c>
      <c r="X7321" s="2">
        <v>633.42999999999995</v>
      </c>
    </row>
    <row r="7322" spans="1:24" x14ac:dyDescent="0.3">
      <c r="A7322">
        <v>25136</v>
      </c>
      <c r="B7322" t="s">
        <v>14262</v>
      </c>
      <c r="C7322" s="3">
        <v>41823</v>
      </c>
      <c r="D7322" t="s">
        <v>62</v>
      </c>
      <c r="E7322">
        <v>17</v>
      </c>
      <c r="F7322" s="3">
        <f ca="1">41823+(RANDBETWEEN(1,10))</f>
        <v>41829</v>
      </c>
      <c r="G7322" t="s">
        <v>26</v>
      </c>
      <c r="H7322" t="s">
        <v>27</v>
      </c>
      <c r="I7322" t="s">
        <v>28</v>
      </c>
      <c r="J7322">
        <v>10384.01</v>
      </c>
      <c r="K7322">
        <v>0.03</v>
      </c>
      <c r="L7322">
        <v>0.57999999999999996</v>
      </c>
      <c r="M7322">
        <v>31.465</v>
      </c>
      <c r="N7322">
        <v>7164.9669000000004</v>
      </c>
      <c r="O7322" s="1" t="s">
        <v>40</v>
      </c>
      <c r="P7322" s="1" t="s">
        <v>14263</v>
      </c>
      <c r="Q7322" s="1" t="s">
        <v>14264</v>
      </c>
      <c r="R7322" s="1" t="s">
        <v>220</v>
      </c>
      <c r="S7322" s="1" t="s">
        <v>7647</v>
      </c>
      <c r="T7322" s="1" t="s">
        <v>7648</v>
      </c>
      <c r="U7322" s="2" t="s">
        <v>5032</v>
      </c>
      <c r="V7322" s="2" t="s">
        <v>36</v>
      </c>
      <c r="W7322" s="2" t="s">
        <v>37</v>
      </c>
      <c r="X7322" s="2">
        <v>685.96500000000003</v>
      </c>
    </row>
    <row r="7323" spans="1:24" x14ac:dyDescent="0.3">
      <c r="A7323">
        <v>25137</v>
      </c>
      <c r="B7323" t="s">
        <v>14265</v>
      </c>
      <c r="C7323" s="3">
        <v>41841</v>
      </c>
      <c r="D7323" t="s">
        <v>25</v>
      </c>
      <c r="E7323">
        <v>12</v>
      </c>
      <c r="F7323" s="3">
        <f ca="1">41845+(RANDBETWEEN(1,10))</f>
        <v>41847</v>
      </c>
      <c r="G7323" t="s">
        <v>26</v>
      </c>
      <c r="H7323" t="s">
        <v>51</v>
      </c>
      <c r="I7323" t="s">
        <v>52</v>
      </c>
      <c r="J7323">
        <v>1810.2</v>
      </c>
      <c r="K7323">
        <v>0.02</v>
      </c>
      <c r="L7323">
        <v>0.44</v>
      </c>
      <c r="M7323">
        <v>6.9649999999999999</v>
      </c>
      <c r="N7323">
        <v>1249.038</v>
      </c>
      <c r="O7323" s="1" t="s">
        <v>40</v>
      </c>
      <c r="P7323" s="1" t="s">
        <v>9801</v>
      </c>
      <c r="Q7323" s="1" t="s">
        <v>9802</v>
      </c>
      <c r="R7323" s="1" t="s">
        <v>43</v>
      </c>
      <c r="S7323" s="1" t="s">
        <v>9803</v>
      </c>
      <c r="T7323" s="1" t="s">
        <v>9804</v>
      </c>
      <c r="U7323" s="2" t="s">
        <v>2902</v>
      </c>
      <c r="V7323" s="2" t="s">
        <v>36</v>
      </c>
      <c r="W7323" s="2" t="s">
        <v>60</v>
      </c>
      <c r="X7323" s="2">
        <v>153.93</v>
      </c>
    </row>
    <row r="7324" spans="1:24" x14ac:dyDescent="0.3">
      <c r="A7324">
        <v>25138</v>
      </c>
      <c r="B7324" t="s">
        <v>14266</v>
      </c>
      <c r="C7324" s="3">
        <v>41281</v>
      </c>
      <c r="D7324" t="s">
        <v>62</v>
      </c>
      <c r="E7324">
        <v>8</v>
      </c>
      <c r="F7324" s="3">
        <f ca="1">41283+(RANDBETWEEN(1,10))</f>
        <v>41286</v>
      </c>
      <c r="G7324" t="s">
        <v>26</v>
      </c>
      <c r="H7324" t="s">
        <v>51</v>
      </c>
      <c r="I7324" t="s">
        <v>97</v>
      </c>
      <c r="J7324">
        <v>864.95500000000004</v>
      </c>
      <c r="K7324">
        <v>0.01</v>
      </c>
      <c r="L7324">
        <v>0.56999999999999995</v>
      </c>
      <c r="M7324">
        <v>4.375</v>
      </c>
      <c r="N7324">
        <v>511.50204000000002</v>
      </c>
      <c r="O7324" s="1" t="s">
        <v>29</v>
      </c>
      <c r="P7324" s="1" t="s">
        <v>9321</v>
      </c>
      <c r="Q7324" s="1" t="s">
        <v>9322</v>
      </c>
      <c r="R7324" s="1" t="s">
        <v>32</v>
      </c>
      <c r="S7324" s="1" t="s">
        <v>3129</v>
      </c>
      <c r="T7324" s="1" t="s">
        <v>3130</v>
      </c>
      <c r="U7324" s="2" t="s">
        <v>1964</v>
      </c>
      <c r="V7324" s="2" t="s">
        <v>36</v>
      </c>
      <c r="W7324" s="2" t="s">
        <v>37</v>
      </c>
      <c r="X7324" s="2">
        <v>125.965</v>
      </c>
    </row>
    <row r="7325" spans="1:24" x14ac:dyDescent="0.3">
      <c r="A7325">
        <v>25139</v>
      </c>
      <c r="B7325" t="s">
        <v>14267</v>
      </c>
      <c r="C7325" s="3">
        <v>41309</v>
      </c>
      <c r="D7325" t="s">
        <v>148</v>
      </c>
      <c r="E7325">
        <v>9</v>
      </c>
      <c r="F7325" s="3">
        <f ca="1">41310+(RANDBETWEEN(1,10))</f>
        <v>41319</v>
      </c>
      <c r="G7325" t="s">
        <v>156</v>
      </c>
      <c r="H7325" t="s">
        <v>96</v>
      </c>
      <c r="I7325" t="s">
        <v>28</v>
      </c>
      <c r="J7325">
        <v>72.415000000000006</v>
      </c>
      <c r="K7325">
        <v>0.09</v>
      </c>
      <c r="L7325">
        <v>0.52</v>
      </c>
      <c r="M7325">
        <v>2.73</v>
      </c>
      <c r="N7325">
        <v>27.824999999999999</v>
      </c>
      <c r="O7325" s="1" t="s">
        <v>64</v>
      </c>
      <c r="P7325" s="1" t="s">
        <v>9559</v>
      </c>
      <c r="Q7325" s="1" t="s">
        <v>9560</v>
      </c>
      <c r="R7325" s="1" t="s">
        <v>67</v>
      </c>
      <c r="S7325" s="1" t="s">
        <v>9561</v>
      </c>
      <c r="T7325" s="1" t="s">
        <v>9562</v>
      </c>
      <c r="U7325" s="2" t="s">
        <v>5921</v>
      </c>
      <c r="V7325" s="2" t="s">
        <v>47</v>
      </c>
      <c r="W7325" s="2" t="s">
        <v>176</v>
      </c>
      <c r="X7325" s="2">
        <v>7.63</v>
      </c>
    </row>
    <row r="7326" spans="1:24" x14ac:dyDescent="0.3">
      <c r="A7326">
        <v>25140</v>
      </c>
      <c r="B7326" t="s">
        <v>14267</v>
      </c>
      <c r="C7326" s="3">
        <v>41309</v>
      </c>
      <c r="D7326" t="s">
        <v>148</v>
      </c>
      <c r="E7326">
        <v>13</v>
      </c>
      <c r="F7326" s="3">
        <f ca="1">41311+(RANDBETWEEN(1,10))</f>
        <v>41315</v>
      </c>
      <c r="G7326" t="s">
        <v>26</v>
      </c>
      <c r="H7326" t="s">
        <v>27</v>
      </c>
      <c r="I7326" t="s">
        <v>28</v>
      </c>
      <c r="J7326">
        <v>4751.8100000000004</v>
      </c>
      <c r="K7326">
        <v>0.08</v>
      </c>
      <c r="L7326">
        <v>0.59</v>
      </c>
      <c r="M7326">
        <v>30.8</v>
      </c>
      <c r="N7326">
        <v>3278.7489</v>
      </c>
      <c r="O7326" s="1" t="s">
        <v>87</v>
      </c>
      <c r="P7326" s="1" t="s">
        <v>14268</v>
      </c>
      <c r="Q7326" s="1" t="s">
        <v>14269</v>
      </c>
      <c r="R7326" s="1" t="s">
        <v>398</v>
      </c>
      <c r="S7326" s="1" t="s">
        <v>4411</v>
      </c>
      <c r="T7326" s="1" t="s">
        <v>4412</v>
      </c>
      <c r="U7326" s="2" t="s">
        <v>1548</v>
      </c>
      <c r="V7326" s="2" t="s">
        <v>36</v>
      </c>
      <c r="W7326" s="2" t="s">
        <v>37</v>
      </c>
      <c r="X7326" s="2">
        <v>440.96499999999997</v>
      </c>
    </row>
    <row r="7327" spans="1:24" x14ac:dyDescent="0.3">
      <c r="A7327">
        <v>25141</v>
      </c>
      <c r="B7327" t="s">
        <v>14270</v>
      </c>
      <c r="C7327" s="3">
        <v>42003</v>
      </c>
      <c r="D7327" t="s">
        <v>50</v>
      </c>
      <c r="E7327">
        <v>3</v>
      </c>
      <c r="F7327" s="3">
        <f ca="1">42003+(RANDBETWEEN(1,10))</f>
        <v>42007</v>
      </c>
      <c r="G7327" t="s">
        <v>76</v>
      </c>
      <c r="H7327" t="s">
        <v>77</v>
      </c>
      <c r="I7327" t="s">
        <v>28</v>
      </c>
      <c r="J7327">
        <v>684.46</v>
      </c>
      <c r="K7327">
        <v>0.06</v>
      </c>
      <c r="L7327">
        <v>0.7</v>
      </c>
      <c r="M7327">
        <v>105</v>
      </c>
      <c r="N7327">
        <v>-196.34495999999999</v>
      </c>
      <c r="O7327" s="1" t="s">
        <v>40</v>
      </c>
      <c r="P7327" s="1" t="s">
        <v>8888</v>
      </c>
      <c r="Q7327" s="1" t="s">
        <v>8889</v>
      </c>
      <c r="R7327" s="1" t="s">
        <v>220</v>
      </c>
      <c r="S7327" s="1" t="s">
        <v>4969</v>
      </c>
      <c r="T7327" s="1" t="s">
        <v>4970</v>
      </c>
      <c r="U7327" s="2" t="s">
        <v>5111</v>
      </c>
      <c r="V7327" s="2" t="s">
        <v>83</v>
      </c>
      <c r="W7327" s="2" t="s">
        <v>84</v>
      </c>
      <c r="X7327" s="2">
        <v>213.43</v>
      </c>
    </row>
    <row r="7328" spans="1:24" x14ac:dyDescent="0.3">
      <c r="A7328">
        <v>25142</v>
      </c>
      <c r="B7328" t="s">
        <v>14270</v>
      </c>
      <c r="C7328" s="3">
        <v>42003</v>
      </c>
      <c r="D7328" t="s">
        <v>50</v>
      </c>
      <c r="E7328">
        <v>18</v>
      </c>
      <c r="F7328" s="3">
        <f ca="1">42003+(RANDBETWEEN(1,10))</f>
        <v>42013</v>
      </c>
      <c r="G7328" t="s">
        <v>156</v>
      </c>
      <c r="H7328" t="s">
        <v>27</v>
      </c>
      <c r="I7328" t="s">
        <v>28</v>
      </c>
      <c r="J7328">
        <v>806.57500000000005</v>
      </c>
      <c r="K7328">
        <v>0.1</v>
      </c>
      <c r="L7328">
        <v>0.59</v>
      </c>
      <c r="M7328">
        <v>15.785</v>
      </c>
      <c r="N7328">
        <v>-17.72232</v>
      </c>
      <c r="O7328" s="1" t="s">
        <v>40</v>
      </c>
      <c r="P7328" s="1" t="s">
        <v>8888</v>
      </c>
      <c r="Q7328" s="1" t="s">
        <v>8889</v>
      </c>
      <c r="R7328" s="1" t="s">
        <v>220</v>
      </c>
      <c r="S7328" s="1" t="s">
        <v>4969</v>
      </c>
      <c r="T7328" s="1" t="s">
        <v>4970</v>
      </c>
      <c r="U7328" s="2" t="s">
        <v>1495</v>
      </c>
      <c r="V7328" s="2" t="s">
        <v>47</v>
      </c>
      <c r="W7328" s="2" t="s">
        <v>119</v>
      </c>
      <c r="X7328" s="2">
        <v>47.18</v>
      </c>
    </row>
    <row r="7329" spans="1:24" x14ac:dyDescent="0.3">
      <c r="A7329">
        <v>25143</v>
      </c>
      <c r="B7329" t="s">
        <v>14271</v>
      </c>
      <c r="C7329" s="3">
        <v>41801</v>
      </c>
      <c r="D7329" t="s">
        <v>25</v>
      </c>
      <c r="E7329">
        <v>1</v>
      </c>
      <c r="F7329" s="3">
        <f ca="1">41801+(RANDBETWEEN(1,10))</f>
        <v>41809</v>
      </c>
      <c r="G7329" t="s">
        <v>156</v>
      </c>
      <c r="H7329" t="s">
        <v>27</v>
      </c>
      <c r="I7329" t="s">
        <v>52</v>
      </c>
      <c r="J7329">
        <v>119.315</v>
      </c>
      <c r="K7329">
        <v>0.05</v>
      </c>
      <c r="L7329">
        <v>0.37</v>
      </c>
      <c r="M7329">
        <v>31.605</v>
      </c>
      <c r="N7329">
        <v>-55.72</v>
      </c>
      <c r="O7329" s="1" t="s">
        <v>53</v>
      </c>
      <c r="P7329" s="1" t="s">
        <v>6959</v>
      </c>
      <c r="Q7329" s="1" t="s">
        <v>6960</v>
      </c>
      <c r="R7329" s="1" t="s">
        <v>100</v>
      </c>
      <c r="S7329" s="1" t="s">
        <v>4428</v>
      </c>
      <c r="T7329" s="1" t="s">
        <v>4429</v>
      </c>
      <c r="U7329" s="2" t="s">
        <v>482</v>
      </c>
      <c r="V7329" s="2" t="s">
        <v>47</v>
      </c>
      <c r="W7329" s="2" t="s">
        <v>74</v>
      </c>
      <c r="X7329" s="2">
        <v>66.394999999999996</v>
      </c>
    </row>
    <row r="7330" spans="1:24" x14ac:dyDescent="0.3">
      <c r="A7330">
        <v>25144</v>
      </c>
      <c r="B7330" t="s">
        <v>14272</v>
      </c>
      <c r="C7330" s="3">
        <v>41729</v>
      </c>
      <c r="D7330" t="s">
        <v>39</v>
      </c>
      <c r="E7330">
        <v>1</v>
      </c>
      <c r="F7330" s="3">
        <f ca="1">41731+(RANDBETWEEN(1,10))</f>
        <v>41735</v>
      </c>
      <c r="G7330" t="s">
        <v>26</v>
      </c>
      <c r="H7330" t="s">
        <v>27</v>
      </c>
      <c r="I7330" t="s">
        <v>28</v>
      </c>
      <c r="J7330">
        <v>714.07</v>
      </c>
      <c r="K7330">
        <v>0.05</v>
      </c>
      <c r="L7330">
        <v>0.6</v>
      </c>
      <c r="M7330">
        <v>34.965000000000003</v>
      </c>
      <c r="N7330">
        <v>-526.01499999999999</v>
      </c>
      <c r="O7330" s="1" t="s">
        <v>225</v>
      </c>
      <c r="P7330" s="1" t="s">
        <v>12028</v>
      </c>
      <c r="Q7330" s="1" t="s">
        <v>12029</v>
      </c>
      <c r="R7330" s="1" t="s">
        <v>228</v>
      </c>
      <c r="S7330" s="1" t="s">
        <v>466</v>
      </c>
      <c r="T7330" s="1" t="s">
        <v>467</v>
      </c>
      <c r="U7330" s="2" t="s">
        <v>11486</v>
      </c>
      <c r="V7330" s="2" t="s">
        <v>47</v>
      </c>
      <c r="W7330" s="2" t="s">
        <v>119</v>
      </c>
      <c r="X7330" s="2">
        <v>736.92499999999995</v>
      </c>
    </row>
    <row r="7331" spans="1:24" x14ac:dyDescent="0.3">
      <c r="A7331">
        <v>25145</v>
      </c>
      <c r="B7331" t="s">
        <v>14273</v>
      </c>
      <c r="C7331" s="3">
        <v>41855</v>
      </c>
      <c r="D7331" t="s">
        <v>62</v>
      </c>
      <c r="E7331">
        <v>21</v>
      </c>
      <c r="F7331" s="3">
        <f ca="1">41855+(RANDBETWEEN(1,10))</f>
        <v>41862</v>
      </c>
      <c r="G7331" t="s">
        <v>26</v>
      </c>
      <c r="H7331" t="s">
        <v>27</v>
      </c>
      <c r="I7331" t="s">
        <v>28</v>
      </c>
      <c r="J7331">
        <v>9937.48</v>
      </c>
      <c r="K7331">
        <v>0.01</v>
      </c>
      <c r="L7331">
        <v>0.57999999999999996</v>
      </c>
      <c r="M7331">
        <v>31.465</v>
      </c>
      <c r="N7331">
        <v>6856.8612000000003</v>
      </c>
      <c r="O7331" s="1" t="s">
        <v>40</v>
      </c>
      <c r="P7331" s="1" t="s">
        <v>11818</v>
      </c>
      <c r="Q7331" s="1" t="s">
        <v>11819</v>
      </c>
      <c r="R7331" s="1" t="s">
        <v>43</v>
      </c>
      <c r="S7331" s="1" t="s">
        <v>11820</v>
      </c>
      <c r="T7331" s="1" t="s">
        <v>11821</v>
      </c>
      <c r="U7331" s="2" t="s">
        <v>307</v>
      </c>
      <c r="V7331" s="2" t="s">
        <v>36</v>
      </c>
      <c r="W7331" s="2" t="s">
        <v>37</v>
      </c>
      <c r="X7331" s="2">
        <v>545.96500000000003</v>
      </c>
    </row>
    <row r="7332" spans="1:24" x14ac:dyDescent="0.3">
      <c r="A7332">
        <v>25146</v>
      </c>
      <c r="B7332" t="s">
        <v>14274</v>
      </c>
      <c r="C7332" s="3">
        <v>41745</v>
      </c>
      <c r="D7332" t="s">
        <v>39</v>
      </c>
      <c r="E7332">
        <v>6</v>
      </c>
      <c r="F7332" s="3">
        <f ca="1">41746+(RANDBETWEEN(1,10))</f>
        <v>41753</v>
      </c>
      <c r="G7332" t="s">
        <v>26</v>
      </c>
      <c r="H7332" t="s">
        <v>27</v>
      </c>
      <c r="I7332" t="s">
        <v>52</v>
      </c>
      <c r="J7332">
        <v>78.995000000000005</v>
      </c>
      <c r="K7332">
        <v>0.05</v>
      </c>
      <c r="L7332">
        <v>0.37</v>
      </c>
      <c r="M7332">
        <v>1.75</v>
      </c>
      <c r="N7332">
        <v>54.506549999999997</v>
      </c>
      <c r="O7332" s="1" t="s">
        <v>87</v>
      </c>
      <c r="P7332" s="1" t="s">
        <v>6878</v>
      </c>
      <c r="Q7332" s="1" t="s">
        <v>6879</v>
      </c>
      <c r="R7332" s="1" t="s">
        <v>90</v>
      </c>
      <c r="S7332" s="1" t="s">
        <v>6880</v>
      </c>
      <c r="T7332" s="1" t="s">
        <v>6231</v>
      </c>
      <c r="U7332" s="2" t="s">
        <v>2907</v>
      </c>
      <c r="V7332" s="2" t="s">
        <v>47</v>
      </c>
      <c r="W7332" s="2" t="s">
        <v>203</v>
      </c>
      <c r="X7332" s="2">
        <v>13.125</v>
      </c>
    </row>
    <row r="7333" spans="1:24" x14ac:dyDescent="0.3">
      <c r="A7333">
        <v>25147</v>
      </c>
      <c r="B7333" t="s">
        <v>14275</v>
      </c>
      <c r="C7333" s="3">
        <v>41453</v>
      </c>
      <c r="D7333" t="s">
        <v>62</v>
      </c>
      <c r="E7333">
        <v>16</v>
      </c>
      <c r="F7333" s="3">
        <f ca="1">41454+(RANDBETWEEN(1,10))</f>
        <v>41461</v>
      </c>
      <c r="G7333" t="s">
        <v>26</v>
      </c>
      <c r="H7333" t="s">
        <v>63</v>
      </c>
      <c r="I7333" t="s">
        <v>97</v>
      </c>
      <c r="J7333">
        <v>4398.3100000000004</v>
      </c>
      <c r="K7333">
        <v>0.06</v>
      </c>
      <c r="L7333">
        <v>0.81</v>
      </c>
      <c r="M7333">
        <v>122.5</v>
      </c>
      <c r="N7333">
        <v>-2861.6559999999999</v>
      </c>
      <c r="O7333" s="1" t="s">
        <v>29</v>
      </c>
      <c r="P7333" s="1" t="s">
        <v>4723</v>
      </c>
      <c r="Q7333" s="1" t="s">
        <v>4724</v>
      </c>
      <c r="R7333" s="1" t="s">
        <v>460</v>
      </c>
      <c r="S7333" s="1" t="s">
        <v>4725</v>
      </c>
      <c r="T7333" s="1" t="s">
        <v>4726</v>
      </c>
      <c r="U7333" s="2" t="s">
        <v>166</v>
      </c>
      <c r="V7333" s="2" t="s">
        <v>47</v>
      </c>
      <c r="W7333" s="2" t="s">
        <v>119</v>
      </c>
      <c r="X7333" s="2">
        <v>283.43</v>
      </c>
    </row>
    <row r="7334" spans="1:24" x14ac:dyDescent="0.3">
      <c r="A7334">
        <v>25148</v>
      </c>
      <c r="B7334" t="s">
        <v>14275</v>
      </c>
      <c r="C7334" s="3">
        <v>41453</v>
      </c>
      <c r="D7334" t="s">
        <v>62</v>
      </c>
      <c r="E7334">
        <v>6</v>
      </c>
      <c r="F7334" s="3">
        <f ca="1">41455+(RANDBETWEEN(1,10))</f>
        <v>41461</v>
      </c>
      <c r="G7334" t="s">
        <v>26</v>
      </c>
      <c r="H7334" t="s">
        <v>27</v>
      </c>
      <c r="I7334" t="s">
        <v>97</v>
      </c>
      <c r="J7334">
        <v>320.63499999999999</v>
      </c>
      <c r="K7334">
        <v>0.05</v>
      </c>
      <c r="L7334">
        <v>0.6</v>
      </c>
      <c r="M7334">
        <v>20.3</v>
      </c>
      <c r="N7334">
        <v>-80.024000000000001</v>
      </c>
      <c r="O7334" s="1" t="s">
        <v>29</v>
      </c>
      <c r="P7334" s="1" t="s">
        <v>4723</v>
      </c>
      <c r="Q7334" s="1" t="s">
        <v>4724</v>
      </c>
      <c r="R7334" s="1" t="s">
        <v>460</v>
      </c>
      <c r="S7334" s="1" t="s">
        <v>4725</v>
      </c>
      <c r="T7334" s="1" t="s">
        <v>4726</v>
      </c>
      <c r="U7334" s="2" t="s">
        <v>10742</v>
      </c>
      <c r="V7334" s="2" t="s">
        <v>47</v>
      </c>
      <c r="W7334" s="2" t="s">
        <v>119</v>
      </c>
      <c r="X7334" s="2">
        <v>54.284999999999997</v>
      </c>
    </row>
    <row r="7335" spans="1:24" x14ac:dyDescent="0.3">
      <c r="A7335">
        <v>25149</v>
      </c>
      <c r="B7335" t="s">
        <v>14276</v>
      </c>
      <c r="C7335" s="3">
        <v>41506</v>
      </c>
      <c r="D7335" t="s">
        <v>39</v>
      </c>
      <c r="E7335">
        <v>10</v>
      </c>
      <c r="F7335" s="3">
        <f ca="1">41508+(RANDBETWEEN(1,10))</f>
        <v>41513</v>
      </c>
      <c r="G7335" t="s">
        <v>26</v>
      </c>
      <c r="H7335" t="s">
        <v>96</v>
      </c>
      <c r="I7335" t="s">
        <v>52</v>
      </c>
      <c r="J7335">
        <v>471.90499999999997</v>
      </c>
      <c r="K7335">
        <v>0.02</v>
      </c>
      <c r="L7335">
        <v>0.82</v>
      </c>
      <c r="M7335">
        <v>16.065000000000001</v>
      </c>
      <c r="N7335">
        <v>-107.61660000000001</v>
      </c>
      <c r="O7335" s="1" t="s">
        <v>40</v>
      </c>
      <c r="P7335" s="1" t="s">
        <v>13461</v>
      </c>
      <c r="Q7335" s="1" t="s">
        <v>13462</v>
      </c>
      <c r="R7335" s="1" t="s">
        <v>220</v>
      </c>
      <c r="S7335" s="1" t="s">
        <v>7522</v>
      </c>
      <c r="T7335" s="1" t="s">
        <v>13463</v>
      </c>
      <c r="U7335" s="2" t="s">
        <v>5077</v>
      </c>
      <c r="V7335" s="2" t="s">
        <v>47</v>
      </c>
      <c r="W7335" s="2" t="s">
        <v>94</v>
      </c>
      <c r="X7335" s="2">
        <v>45.08</v>
      </c>
    </row>
    <row r="7336" spans="1:24" x14ac:dyDescent="0.3">
      <c r="A7336">
        <v>25150</v>
      </c>
      <c r="B7336" t="s">
        <v>14277</v>
      </c>
      <c r="C7336" s="3">
        <v>41583</v>
      </c>
      <c r="D7336" t="s">
        <v>50</v>
      </c>
      <c r="E7336">
        <v>9</v>
      </c>
      <c r="F7336" s="3">
        <f ca="1">41585+(RANDBETWEEN(1,10))</f>
        <v>41586</v>
      </c>
      <c r="G7336" t="s">
        <v>26</v>
      </c>
      <c r="H7336" t="s">
        <v>27</v>
      </c>
      <c r="I7336" t="s">
        <v>28</v>
      </c>
      <c r="J7336">
        <v>151.19999999999999</v>
      </c>
      <c r="K7336">
        <v>0.09</v>
      </c>
      <c r="L7336">
        <v>0.49</v>
      </c>
      <c r="M7336">
        <v>24.22</v>
      </c>
      <c r="N7336">
        <v>-1692.2639999999999</v>
      </c>
      <c r="O7336" s="1" t="s">
        <v>40</v>
      </c>
      <c r="P7336" s="1" t="s">
        <v>5973</v>
      </c>
      <c r="Q7336" s="1" t="s">
        <v>5974</v>
      </c>
      <c r="R7336" s="1" t="s">
        <v>43</v>
      </c>
      <c r="S7336" s="1" t="s">
        <v>815</v>
      </c>
      <c r="T7336" s="1" t="s">
        <v>816</v>
      </c>
      <c r="U7336" s="2" t="s">
        <v>6098</v>
      </c>
      <c r="V7336" s="2" t="s">
        <v>83</v>
      </c>
      <c r="W7336" s="2" t="s">
        <v>178</v>
      </c>
      <c r="X7336" s="2">
        <v>14.63</v>
      </c>
    </row>
    <row r="7337" spans="1:24" x14ac:dyDescent="0.3">
      <c r="A7337">
        <v>25151</v>
      </c>
      <c r="B7337" t="s">
        <v>14278</v>
      </c>
      <c r="C7337" s="3">
        <v>41066</v>
      </c>
      <c r="D7337" t="s">
        <v>25</v>
      </c>
      <c r="E7337">
        <v>15</v>
      </c>
      <c r="F7337" s="3">
        <f ca="1">41068+(RANDBETWEEN(1,10))</f>
        <v>41069</v>
      </c>
      <c r="G7337" t="s">
        <v>26</v>
      </c>
      <c r="H7337" t="s">
        <v>27</v>
      </c>
      <c r="I7337" t="s">
        <v>52</v>
      </c>
      <c r="J7337">
        <v>6587.9449999999997</v>
      </c>
      <c r="K7337">
        <v>0.09</v>
      </c>
      <c r="L7337">
        <v>0.55000000000000004</v>
      </c>
      <c r="M7337">
        <v>13.65</v>
      </c>
      <c r="N7337">
        <v>4545.6820500000003</v>
      </c>
      <c r="O7337" s="1" t="s">
        <v>53</v>
      </c>
      <c r="P7337" s="1" t="s">
        <v>6959</v>
      </c>
      <c r="Q7337" s="1" t="s">
        <v>6960</v>
      </c>
      <c r="R7337" s="1" t="s">
        <v>100</v>
      </c>
      <c r="S7337" s="1" t="s">
        <v>4428</v>
      </c>
      <c r="T7337" s="1" t="s">
        <v>4429</v>
      </c>
      <c r="U7337" s="2" t="s">
        <v>1983</v>
      </c>
      <c r="V7337" s="2" t="s">
        <v>36</v>
      </c>
      <c r="W7337" s="2" t="s">
        <v>37</v>
      </c>
      <c r="X7337" s="2">
        <v>545.96500000000003</v>
      </c>
    </row>
    <row r="7338" spans="1:24" x14ac:dyDescent="0.3">
      <c r="A7338">
        <v>25152</v>
      </c>
      <c r="B7338" t="s">
        <v>14279</v>
      </c>
      <c r="C7338" s="3">
        <v>41119</v>
      </c>
      <c r="D7338" t="s">
        <v>39</v>
      </c>
      <c r="E7338">
        <v>14</v>
      </c>
      <c r="F7338" s="3">
        <f ca="1">41120+(RANDBETWEEN(1,10))</f>
        <v>41126</v>
      </c>
      <c r="G7338" t="s">
        <v>26</v>
      </c>
      <c r="H7338" t="s">
        <v>27</v>
      </c>
      <c r="I7338" t="s">
        <v>97</v>
      </c>
      <c r="J7338">
        <v>2884.56</v>
      </c>
      <c r="K7338">
        <v>0.03</v>
      </c>
      <c r="L7338">
        <v>0.55000000000000004</v>
      </c>
      <c r="M7338">
        <v>20.72</v>
      </c>
      <c r="N7338">
        <v>1990.3463999999999</v>
      </c>
      <c r="O7338" s="1" t="s">
        <v>225</v>
      </c>
      <c r="P7338" s="1" t="s">
        <v>10164</v>
      </c>
      <c r="Q7338" s="1" t="s">
        <v>10165</v>
      </c>
      <c r="R7338" s="1" t="s">
        <v>391</v>
      </c>
      <c r="S7338" s="1" t="s">
        <v>10166</v>
      </c>
      <c r="T7338" s="1" t="s">
        <v>10167</v>
      </c>
      <c r="U7338" s="2">
        <v>252</v>
      </c>
      <c r="V7338" s="2" t="s">
        <v>36</v>
      </c>
      <c r="W7338" s="2" t="s">
        <v>37</v>
      </c>
      <c r="X7338" s="2">
        <v>230.965</v>
      </c>
    </row>
    <row r="7339" spans="1:24" x14ac:dyDescent="0.3">
      <c r="A7339">
        <v>25153</v>
      </c>
      <c r="B7339" t="s">
        <v>14280</v>
      </c>
      <c r="C7339" s="3">
        <v>41657</v>
      </c>
      <c r="D7339" t="s">
        <v>25</v>
      </c>
      <c r="E7339">
        <v>5</v>
      </c>
      <c r="F7339" s="3">
        <f ca="1">41657+(RANDBETWEEN(1,10))</f>
        <v>41661</v>
      </c>
      <c r="G7339" t="s">
        <v>26</v>
      </c>
      <c r="H7339" t="s">
        <v>27</v>
      </c>
      <c r="I7339" t="s">
        <v>52</v>
      </c>
      <c r="J7339">
        <v>160.47499999999999</v>
      </c>
      <c r="K7339">
        <v>0.1</v>
      </c>
      <c r="L7339">
        <v>0.37</v>
      </c>
      <c r="M7339">
        <v>4.8650000000000002</v>
      </c>
      <c r="N7339">
        <v>433.16699999999997</v>
      </c>
      <c r="O7339" s="1" t="s">
        <v>64</v>
      </c>
      <c r="P7339" s="1" t="s">
        <v>10187</v>
      </c>
      <c r="Q7339" s="1" t="s">
        <v>10188</v>
      </c>
      <c r="R7339" s="1" t="s">
        <v>128</v>
      </c>
      <c r="S7339" s="1" t="s">
        <v>10189</v>
      </c>
      <c r="T7339" s="1" t="s">
        <v>10190</v>
      </c>
      <c r="U7339" s="2" t="s">
        <v>611</v>
      </c>
      <c r="V7339" s="2" t="s">
        <v>47</v>
      </c>
      <c r="W7339" s="2" t="s">
        <v>48</v>
      </c>
      <c r="X7339" s="2">
        <v>34.65</v>
      </c>
    </row>
    <row r="7340" spans="1:24" x14ac:dyDescent="0.3">
      <c r="A7340">
        <v>25154</v>
      </c>
      <c r="B7340" t="s">
        <v>14280</v>
      </c>
      <c r="C7340" s="3">
        <v>41657</v>
      </c>
      <c r="D7340" t="s">
        <v>25</v>
      </c>
      <c r="E7340">
        <v>7</v>
      </c>
      <c r="F7340" s="3">
        <f ca="1">41661+(RANDBETWEEN(1,10))</f>
        <v>41670</v>
      </c>
      <c r="G7340" t="s">
        <v>76</v>
      </c>
      <c r="H7340" t="s">
        <v>77</v>
      </c>
      <c r="I7340" t="s">
        <v>52</v>
      </c>
      <c r="J7340">
        <v>1256.2550000000001</v>
      </c>
      <c r="K7340">
        <v>7.0000000000000007E-2</v>
      </c>
      <c r="L7340">
        <v>0.56000000000000005</v>
      </c>
      <c r="M7340">
        <v>49.664999999999999</v>
      </c>
      <c r="N7340">
        <v>-8.7710000000000008</v>
      </c>
      <c r="O7340" s="1" t="s">
        <v>29</v>
      </c>
      <c r="P7340" s="1" t="s">
        <v>14281</v>
      </c>
      <c r="Q7340" s="1" t="s">
        <v>14282</v>
      </c>
      <c r="R7340" s="1" t="s">
        <v>32</v>
      </c>
      <c r="S7340" s="1" t="s">
        <v>4868</v>
      </c>
      <c r="T7340" s="1" t="s">
        <v>4869</v>
      </c>
      <c r="U7340" s="2" t="s">
        <v>3412</v>
      </c>
      <c r="V7340" s="2" t="s">
        <v>83</v>
      </c>
      <c r="W7340" s="2" t="s">
        <v>84</v>
      </c>
      <c r="X7340" s="2">
        <v>178.43</v>
      </c>
    </row>
    <row r="7341" spans="1:24" x14ac:dyDescent="0.3">
      <c r="A7341">
        <v>25155</v>
      </c>
      <c r="B7341" t="s">
        <v>14280</v>
      </c>
      <c r="C7341" s="3">
        <v>41657</v>
      </c>
      <c r="D7341" t="s">
        <v>25</v>
      </c>
      <c r="E7341">
        <v>5</v>
      </c>
      <c r="F7341" s="3">
        <f ca="1">41664+(RANDBETWEEN(1,10))</f>
        <v>41666</v>
      </c>
      <c r="G7341" t="s">
        <v>26</v>
      </c>
      <c r="H7341" t="s">
        <v>96</v>
      </c>
      <c r="I7341" t="s">
        <v>52</v>
      </c>
      <c r="J7341">
        <v>108.01</v>
      </c>
      <c r="K7341">
        <v>0.01</v>
      </c>
      <c r="L7341">
        <v>0.49</v>
      </c>
      <c r="M7341">
        <v>2.9049999999999998</v>
      </c>
      <c r="N7341">
        <v>41.643000000000001</v>
      </c>
      <c r="O7341" s="1" t="s">
        <v>29</v>
      </c>
      <c r="P7341" s="1" t="s">
        <v>14281</v>
      </c>
      <c r="Q7341" s="1" t="s">
        <v>14282</v>
      </c>
      <c r="R7341" s="1" t="s">
        <v>32</v>
      </c>
      <c r="S7341" s="1" t="s">
        <v>4868</v>
      </c>
      <c r="T7341" s="1" t="s">
        <v>4869</v>
      </c>
      <c r="U7341" s="2" t="s">
        <v>982</v>
      </c>
      <c r="V7341" s="2" t="s">
        <v>47</v>
      </c>
      <c r="W7341" s="2" t="s">
        <v>104</v>
      </c>
      <c r="X7341" s="2">
        <v>20.440000000000001</v>
      </c>
    </row>
    <row r="7342" spans="1:24" x14ac:dyDescent="0.3">
      <c r="A7342">
        <v>25156</v>
      </c>
      <c r="B7342" t="s">
        <v>14283</v>
      </c>
      <c r="C7342" s="3">
        <v>41739</v>
      </c>
      <c r="D7342" t="s">
        <v>148</v>
      </c>
      <c r="E7342">
        <v>7</v>
      </c>
      <c r="F7342" s="3">
        <f ca="1">41740+(RANDBETWEEN(1,10))</f>
        <v>41742</v>
      </c>
      <c r="G7342" t="s">
        <v>156</v>
      </c>
      <c r="H7342" t="s">
        <v>27</v>
      </c>
      <c r="I7342" t="s">
        <v>28</v>
      </c>
      <c r="J7342">
        <v>57.505000000000003</v>
      </c>
      <c r="K7342">
        <v>0.02</v>
      </c>
      <c r="L7342">
        <v>0.41</v>
      </c>
      <c r="M7342">
        <v>17.010000000000002</v>
      </c>
      <c r="N7342">
        <v>-292.39</v>
      </c>
      <c r="O7342" s="1" t="s">
        <v>87</v>
      </c>
      <c r="P7342" s="1" t="s">
        <v>14284</v>
      </c>
      <c r="Q7342" s="1" t="s">
        <v>14285</v>
      </c>
      <c r="R7342" s="1" t="s">
        <v>497</v>
      </c>
      <c r="S7342" s="1" t="s">
        <v>9834</v>
      </c>
      <c r="T7342" s="1" t="s">
        <v>9835</v>
      </c>
      <c r="U7342" s="2" t="s">
        <v>4017</v>
      </c>
      <c r="V7342" s="2" t="s">
        <v>83</v>
      </c>
      <c r="W7342" s="2" t="s">
        <v>178</v>
      </c>
      <c r="X7342" s="2">
        <v>6.16</v>
      </c>
    </row>
    <row r="7343" spans="1:24" x14ac:dyDescent="0.3">
      <c r="A7343">
        <v>25157</v>
      </c>
      <c r="B7343" t="s">
        <v>14283</v>
      </c>
      <c r="C7343" s="3">
        <v>41739</v>
      </c>
      <c r="D7343" t="s">
        <v>148</v>
      </c>
      <c r="E7343">
        <v>10</v>
      </c>
      <c r="F7343" s="3">
        <f ca="1">41740+(RANDBETWEEN(1,10))</f>
        <v>41742</v>
      </c>
      <c r="G7343" t="s">
        <v>26</v>
      </c>
      <c r="H7343" t="s">
        <v>96</v>
      </c>
      <c r="I7343" t="s">
        <v>28</v>
      </c>
      <c r="J7343">
        <v>1552.04</v>
      </c>
      <c r="K7343">
        <v>0.03</v>
      </c>
      <c r="L7343">
        <v>0.73</v>
      </c>
      <c r="M7343">
        <v>119.7</v>
      </c>
      <c r="N7343">
        <v>-2386.895</v>
      </c>
      <c r="O7343" s="1" t="s">
        <v>87</v>
      </c>
      <c r="P7343" s="1" t="s">
        <v>14286</v>
      </c>
      <c r="Q7343" s="1" t="s">
        <v>14287</v>
      </c>
      <c r="R7343" s="1" t="s">
        <v>497</v>
      </c>
      <c r="S7343" s="1" t="s">
        <v>14288</v>
      </c>
      <c r="T7343" s="1" t="s">
        <v>14289</v>
      </c>
      <c r="U7343" s="2" t="s">
        <v>5026</v>
      </c>
      <c r="V7343" s="2" t="s">
        <v>83</v>
      </c>
      <c r="W7343" s="2" t="s">
        <v>178</v>
      </c>
      <c r="X7343" s="2">
        <v>145.14500000000001</v>
      </c>
    </row>
    <row r="7344" spans="1:24" x14ac:dyDescent="0.3">
      <c r="A7344">
        <v>25158</v>
      </c>
      <c r="B7344" t="s">
        <v>14290</v>
      </c>
      <c r="C7344" s="3">
        <v>40818</v>
      </c>
      <c r="D7344" t="s">
        <v>62</v>
      </c>
      <c r="E7344">
        <v>19</v>
      </c>
      <c r="F7344" s="3">
        <f ca="1">40820+(RANDBETWEEN(1,10))</f>
        <v>40828</v>
      </c>
      <c r="G7344" t="s">
        <v>26</v>
      </c>
      <c r="H7344" t="s">
        <v>27</v>
      </c>
      <c r="I7344" t="s">
        <v>86</v>
      </c>
      <c r="J7344">
        <v>10881.43</v>
      </c>
      <c r="K7344">
        <v>0</v>
      </c>
      <c r="L7344">
        <v>0.66</v>
      </c>
      <c r="M7344">
        <v>69.965000000000003</v>
      </c>
      <c r="N7344">
        <v>4085.0529999999999</v>
      </c>
      <c r="O7344" s="1" t="s">
        <v>64</v>
      </c>
      <c r="P7344" s="1" t="s">
        <v>9177</v>
      </c>
      <c r="Q7344" s="1" t="s">
        <v>9178</v>
      </c>
      <c r="R7344" s="1" t="s">
        <v>67</v>
      </c>
      <c r="S7344" s="1" t="s">
        <v>1022</v>
      </c>
      <c r="T7344" s="1" t="s">
        <v>9179</v>
      </c>
      <c r="U7344" s="2" t="s">
        <v>6421</v>
      </c>
      <c r="V7344" s="2" t="s">
        <v>47</v>
      </c>
      <c r="W7344" s="2" t="s">
        <v>119</v>
      </c>
      <c r="X7344" s="2">
        <v>565.42499999999995</v>
      </c>
    </row>
    <row r="7345" spans="1:24" x14ac:dyDescent="0.3">
      <c r="A7345">
        <v>25159</v>
      </c>
      <c r="B7345" t="s">
        <v>14291</v>
      </c>
      <c r="C7345" s="3">
        <v>41043</v>
      </c>
      <c r="D7345" t="s">
        <v>50</v>
      </c>
      <c r="E7345">
        <v>6</v>
      </c>
      <c r="F7345" s="3">
        <f ca="1">41045+(RANDBETWEEN(1,10))</f>
        <v>41046</v>
      </c>
      <c r="G7345" t="s">
        <v>156</v>
      </c>
      <c r="H7345" t="s">
        <v>63</v>
      </c>
      <c r="I7345" t="s">
        <v>28</v>
      </c>
      <c r="J7345">
        <v>3057.46</v>
      </c>
      <c r="K7345">
        <v>0</v>
      </c>
      <c r="L7345">
        <v>0.59</v>
      </c>
      <c r="M7345">
        <v>85.715000000000003</v>
      </c>
      <c r="N7345">
        <v>2109.6473999999998</v>
      </c>
      <c r="O7345" s="1" t="s">
        <v>40</v>
      </c>
      <c r="P7345" s="1" t="s">
        <v>14292</v>
      </c>
      <c r="Q7345" s="1" t="s">
        <v>14293</v>
      </c>
      <c r="R7345" s="1" t="s">
        <v>43</v>
      </c>
      <c r="S7345" s="1" t="s">
        <v>5385</v>
      </c>
      <c r="T7345" s="1" t="s">
        <v>5386</v>
      </c>
      <c r="U7345" s="2" t="s">
        <v>1632</v>
      </c>
      <c r="V7345" s="2" t="s">
        <v>83</v>
      </c>
      <c r="W7345" s="2" t="s">
        <v>178</v>
      </c>
      <c r="X7345" s="2">
        <v>479.43</v>
      </c>
    </row>
    <row r="7346" spans="1:24" x14ac:dyDescent="0.3">
      <c r="A7346">
        <v>25160</v>
      </c>
      <c r="B7346" t="s">
        <v>14291</v>
      </c>
      <c r="C7346" s="3">
        <v>41043</v>
      </c>
      <c r="D7346" t="s">
        <v>50</v>
      </c>
      <c r="E7346">
        <v>18</v>
      </c>
      <c r="F7346" s="3">
        <f ca="1">41044+(RANDBETWEEN(1,10))</f>
        <v>41047</v>
      </c>
      <c r="G7346" t="s">
        <v>26</v>
      </c>
      <c r="H7346" t="s">
        <v>51</v>
      </c>
      <c r="I7346" t="s">
        <v>28</v>
      </c>
      <c r="J7346">
        <v>2070.5300000000002</v>
      </c>
      <c r="K7346">
        <v>0</v>
      </c>
      <c r="L7346">
        <v>0.44</v>
      </c>
      <c r="M7346">
        <v>13.72</v>
      </c>
      <c r="N7346">
        <v>1428.6657</v>
      </c>
      <c r="O7346" s="1" t="s">
        <v>40</v>
      </c>
      <c r="P7346" s="1" t="s">
        <v>14292</v>
      </c>
      <c r="Q7346" s="1" t="s">
        <v>14293</v>
      </c>
      <c r="R7346" s="1" t="s">
        <v>43</v>
      </c>
      <c r="S7346" s="1" t="s">
        <v>5385</v>
      </c>
      <c r="T7346" s="1" t="s">
        <v>5386</v>
      </c>
      <c r="U7346" s="2" t="s">
        <v>449</v>
      </c>
      <c r="V7346" s="2" t="s">
        <v>83</v>
      </c>
      <c r="W7346" s="2" t="s">
        <v>178</v>
      </c>
      <c r="X7346" s="2">
        <v>108.255</v>
      </c>
    </row>
    <row r="7347" spans="1:24" x14ac:dyDescent="0.3">
      <c r="A7347">
        <v>25161</v>
      </c>
      <c r="B7347" t="s">
        <v>14294</v>
      </c>
      <c r="C7347" s="3">
        <v>41966</v>
      </c>
      <c r="D7347" t="s">
        <v>50</v>
      </c>
      <c r="E7347">
        <v>39</v>
      </c>
      <c r="F7347" s="3">
        <f ca="1">41968+(RANDBETWEEN(1,10))</f>
        <v>41977</v>
      </c>
      <c r="G7347" t="s">
        <v>156</v>
      </c>
      <c r="H7347" t="s">
        <v>96</v>
      </c>
      <c r="I7347" t="s">
        <v>86</v>
      </c>
      <c r="J7347">
        <v>4095.665</v>
      </c>
      <c r="K7347">
        <v>0.06</v>
      </c>
      <c r="L7347">
        <v>0.82</v>
      </c>
      <c r="M7347">
        <v>17.5</v>
      </c>
      <c r="N7347">
        <v>260.93944800000003</v>
      </c>
      <c r="O7347" s="1" t="s">
        <v>29</v>
      </c>
      <c r="P7347" s="1" t="s">
        <v>14295</v>
      </c>
      <c r="Q7347" s="1" t="s">
        <v>14296</v>
      </c>
      <c r="R7347" s="1" t="s">
        <v>32</v>
      </c>
      <c r="S7347" s="1" t="s">
        <v>14297</v>
      </c>
      <c r="T7347" s="1" t="s">
        <v>14298</v>
      </c>
      <c r="U7347" s="2" t="s">
        <v>361</v>
      </c>
      <c r="V7347" s="2" t="s">
        <v>36</v>
      </c>
      <c r="W7347" s="2" t="s">
        <v>37</v>
      </c>
      <c r="X7347" s="2">
        <v>125.965</v>
      </c>
    </row>
    <row r="7348" spans="1:24" x14ac:dyDescent="0.3">
      <c r="A7348">
        <v>25162</v>
      </c>
      <c r="B7348" t="s">
        <v>14299</v>
      </c>
      <c r="C7348" s="3">
        <v>41907</v>
      </c>
      <c r="D7348" t="s">
        <v>50</v>
      </c>
      <c r="E7348">
        <v>19</v>
      </c>
      <c r="F7348" s="3">
        <f ca="1">41908+(RANDBETWEEN(1,10))</f>
        <v>41918</v>
      </c>
      <c r="G7348" t="s">
        <v>26</v>
      </c>
      <c r="H7348" t="s">
        <v>27</v>
      </c>
      <c r="I7348" t="s">
        <v>28</v>
      </c>
      <c r="J7348">
        <v>1427.3</v>
      </c>
      <c r="K7348">
        <v>0</v>
      </c>
      <c r="L7348">
        <v>0.37</v>
      </c>
      <c r="M7348">
        <v>10.465</v>
      </c>
      <c r="N7348">
        <v>984.83699999999999</v>
      </c>
      <c r="O7348" s="1" t="s">
        <v>29</v>
      </c>
      <c r="P7348" s="1" t="s">
        <v>14300</v>
      </c>
      <c r="Q7348" s="1" t="s">
        <v>14301</v>
      </c>
      <c r="R7348" s="1" t="s">
        <v>675</v>
      </c>
      <c r="S7348" s="1" t="s">
        <v>1324</v>
      </c>
      <c r="T7348" s="1" t="s">
        <v>1325</v>
      </c>
      <c r="U7348" s="2" t="s">
        <v>8868</v>
      </c>
      <c r="V7348" s="2" t="s">
        <v>47</v>
      </c>
      <c r="W7348" s="2" t="s">
        <v>111</v>
      </c>
      <c r="X7348" s="2">
        <v>74.83</v>
      </c>
    </row>
    <row r="7349" spans="1:24" x14ac:dyDescent="0.3">
      <c r="A7349">
        <v>25163</v>
      </c>
      <c r="B7349" t="s">
        <v>14302</v>
      </c>
      <c r="C7349" s="3">
        <v>41951</v>
      </c>
      <c r="D7349" t="s">
        <v>39</v>
      </c>
      <c r="E7349">
        <v>25</v>
      </c>
      <c r="F7349" s="3">
        <f ca="1">41953+(RANDBETWEEN(1,10))</f>
        <v>41963</v>
      </c>
      <c r="G7349" t="s">
        <v>26</v>
      </c>
      <c r="H7349" t="s">
        <v>96</v>
      </c>
      <c r="I7349" t="s">
        <v>97</v>
      </c>
      <c r="J7349">
        <v>350.14</v>
      </c>
      <c r="K7349">
        <v>0.04</v>
      </c>
      <c r="L7349">
        <v>0.37</v>
      </c>
      <c r="M7349">
        <v>4.55</v>
      </c>
      <c r="N7349">
        <v>226.03504000000001</v>
      </c>
      <c r="O7349" s="1" t="s">
        <v>87</v>
      </c>
      <c r="P7349" s="1" t="s">
        <v>9969</v>
      </c>
      <c r="Q7349" s="1" t="s">
        <v>9970</v>
      </c>
      <c r="R7349" s="1" t="s">
        <v>497</v>
      </c>
      <c r="S7349" s="1" t="s">
        <v>1643</v>
      </c>
      <c r="T7349" s="1" t="s">
        <v>1644</v>
      </c>
      <c r="U7349" s="2" t="s">
        <v>2823</v>
      </c>
      <c r="V7349" s="2" t="s">
        <v>47</v>
      </c>
      <c r="W7349" s="2" t="s">
        <v>74</v>
      </c>
      <c r="X7349" s="2">
        <v>14</v>
      </c>
    </row>
    <row r="7350" spans="1:24" x14ac:dyDescent="0.3">
      <c r="A7350">
        <v>25164</v>
      </c>
      <c r="B7350" t="s">
        <v>14303</v>
      </c>
      <c r="C7350" s="3">
        <v>41679</v>
      </c>
      <c r="D7350" t="s">
        <v>50</v>
      </c>
      <c r="E7350">
        <v>1</v>
      </c>
      <c r="F7350" s="3">
        <f ca="1">41681+(RANDBETWEEN(1,10))</f>
        <v>41690</v>
      </c>
      <c r="G7350" t="s">
        <v>26</v>
      </c>
      <c r="H7350" t="s">
        <v>27</v>
      </c>
      <c r="I7350" t="s">
        <v>97</v>
      </c>
      <c r="J7350">
        <v>213.85</v>
      </c>
      <c r="K7350">
        <v>0.02</v>
      </c>
      <c r="L7350">
        <v>0.55000000000000004</v>
      </c>
      <c r="M7350">
        <v>20.72</v>
      </c>
      <c r="N7350">
        <v>-902.01649999999995</v>
      </c>
      <c r="O7350" s="1" t="s">
        <v>64</v>
      </c>
      <c r="P7350" s="1" t="s">
        <v>14304</v>
      </c>
      <c r="Q7350" s="1" t="s">
        <v>14305</v>
      </c>
      <c r="R7350" s="1" t="s">
        <v>67</v>
      </c>
      <c r="S7350" s="1" t="s">
        <v>10655</v>
      </c>
      <c r="T7350" s="1" t="s">
        <v>10656</v>
      </c>
      <c r="U7350" s="2">
        <v>252</v>
      </c>
      <c r="V7350" s="2" t="s">
        <v>36</v>
      </c>
      <c r="W7350" s="2" t="s">
        <v>37</v>
      </c>
      <c r="X7350" s="2">
        <v>230.965</v>
      </c>
    </row>
    <row r="7351" spans="1:24" x14ac:dyDescent="0.3">
      <c r="A7351">
        <v>25165</v>
      </c>
      <c r="B7351" t="s">
        <v>14306</v>
      </c>
      <c r="C7351" s="3">
        <v>41896</v>
      </c>
      <c r="D7351" t="s">
        <v>25</v>
      </c>
      <c r="E7351">
        <v>15</v>
      </c>
      <c r="F7351" s="3">
        <f ca="1">41896+(RANDBETWEEN(1,10))</f>
        <v>41906</v>
      </c>
      <c r="G7351" t="s">
        <v>26</v>
      </c>
      <c r="H7351" t="s">
        <v>27</v>
      </c>
      <c r="I7351" t="s">
        <v>28</v>
      </c>
      <c r="J7351">
        <v>247.52</v>
      </c>
      <c r="K7351">
        <v>0.04</v>
      </c>
      <c r="L7351">
        <v>0.59</v>
      </c>
      <c r="M7351">
        <v>18.024999999999999</v>
      </c>
      <c r="N7351">
        <v>-299.84640000000002</v>
      </c>
      <c r="O7351" s="1" t="s">
        <v>40</v>
      </c>
      <c r="P7351" s="1" t="s">
        <v>11818</v>
      </c>
      <c r="Q7351" s="1" t="s">
        <v>11819</v>
      </c>
      <c r="R7351" s="1" t="s">
        <v>43</v>
      </c>
      <c r="S7351" s="1" t="s">
        <v>11820</v>
      </c>
      <c r="T7351" s="1" t="s">
        <v>11821</v>
      </c>
      <c r="U7351" s="2" t="s">
        <v>3610</v>
      </c>
      <c r="V7351" s="2" t="s">
        <v>47</v>
      </c>
      <c r="W7351" s="2" t="s">
        <v>71</v>
      </c>
      <c r="X7351" s="2">
        <v>15.295</v>
      </c>
    </row>
    <row r="7352" spans="1:24" x14ac:dyDescent="0.3">
      <c r="A7352">
        <v>25166</v>
      </c>
      <c r="B7352" t="s">
        <v>14306</v>
      </c>
      <c r="C7352" s="3">
        <v>41896</v>
      </c>
      <c r="D7352" t="s">
        <v>25</v>
      </c>
      <c r="E7352">
        <v>7</v>
      </c>
      <c r="F7352" s="3">
        <f ca="1">41900+(RANDBETWEEN(1,10))</f>
        <v>41905</v>
      </c>
      <c r="G7352" t="s">
        <v>26</v>
      </c>
      <c r="H7352" t="s">
        <v>51</v>
      </c>
      <c r="I7352" t="s">
        <v>28</v>
      </c>
      <c r="J7352">
        <v>1096.095</v>
      </c>
      <c r="K7352">
        <v>0.01</v>
      </c>
      <c r="L7352">
        <v>0.55000000000000004</v>
      </c>
      <c r="M7352">
        <v>6.9649999999999999</v>
      </c>
      <c r="N7352">
        <v>92.836799999999997</v>
      </c>
      <c r="O7352" s="1" t="s">
        <v>40</v>
      </c>
      <c r="P7352" s="1" t="s">
        <v>11818</v>
      </c>
      <c r="Q7352" s="1" t="s">
        <v>11819</v>
      </c>
      <c r="R7352" s="1" t="s">
        <v>43</v>
      </c>
      <c r="S7352" s="1" t="s">
        <v>11820</v>
      </c>
      <c r="T7352" s="1" t="s">
        <v>11821</v>
      </c>
      <c r="U7352" s="2" t="s">
        <v>2560</v>
      </c>
      <c r="V7352" s="2" t="s">
        <v>36</v>
      </c>
      <c r="W7352" s="2" t="s">
        <v>60</v>
      </c>
      <c r="X7352" s="2">
        <v>158.16499999999999</v>
      </c>
    </row>
    <row r="7353" spans="1:24" x14ac:dyDescent="0.3">
      <c r="A7353">
        <v>25167</v>
      </c>
      <c r="B7353" t="s">
        <v>14306</v>
      </c>
      <c r="C7353" s="3">
        <v>41896</v>
      </c>
      <c r="D7353" t="s">
        <v>25</v>
      </c>
      <c r="E7353">
        <v>2</v>
      </c>
      <c r="F7353" s="3">
        <f ca="1">41903+(RANDBETWEEN(1,10))</f>
        <v>41910</v>
      </c>
      <c r="G7353" t="s">
        <v>26</v>
      </c>
      <c r="H7353" t="s">
        <v>63</v>
      </c>
      <c r="I7353" t="s">
        <v>28</v>
      </c>
      <c r="J7353">
        <v>920.11500000000001</v>
      </c>
      <c r="K7353">
        <v>0.1</v>
      </c>
      <c r="L7353">
        <v>0.59</v>
      </c>
      <c r="M7353">
        <v>85.715000000000003</v>
      </c>
      <c r="N7353">
        <v>634.87935000000004</v>
      </c>
      <c r="O7353" s="1" t="s">
        <v>40</v>
      </c>
      <c r="P7353" s="1" t="s">
        <v>11818</v>
      </c>
      <c r="Q7353" s="1" t="s">
        <v>11819</v>
      </c>
      <c r="R7353" s="1" t="s">
        <v>43</v>
      </c>
      <c r="S7353" s="1" t="s">
        <v>11820</v>
      </c>
      <c r="T7353" s="1" t="s">
        <v>11821</v>
      </c>
      <c r="U7353" s="2" t="s">
        <v>1632</v>
      </c>
      <c r="V7353" s="2" t="s">
        <v>83</v>
      </c>
      <c r="W7353" s="2" t="s">
        <v>178</v>
      </c>
      <c r="X7353" s="2">
        <v>479.43</v>
      </c>
    </row>
    <row r="7354" spans="1:24" x14ac:dyDescent="0.3">
      <c r="A7354">
        <v>25168</v>
      </c>
      <c r="B7354" t="s">
        <v>14307</v>
      </c>
      <c r="C7354" s="3">
        <v>41267</v>
      </c>
      <c r="D7354" t="s">
        <v>39</v>
      </c>
      <c r="E7354">
        <v>1</v>
      </c>
      <c r="F7354" s="3">
        <f ca="1">41269+(RANDBETWEEN(1,10))</f>
        <v>41278</v>
      </c>
      <c r="G7354" t="s">
        <v>26</v>
      </c>
      <c r="H7354" t="s">
        <v>63</v>
      </c>
      <c r="I7354" t="s">
        <v>97</v>
      </c>
      <c r="J7354">
        <v>510.40499999999997</v>
      </c>
      <c r="K7354">
        <v>0.08</v>
      </c>
      <c r="L7354">
        <v>0.59</v>
      </c>
      <c r="M7354">
        <v>85.715000000000003</v>
      </c>
      <c r="N7354">
        <v>-337.61</v>
      </c>
      <c r="O7354" s="1" t="s">
        <v>53</v>
      </c>
      <c r="P7354" s="1" t="s">
        <v>10318</v>
      </c>
      <c r="Q7354" s="1" t="s">
        <v>10319</v>
      </c>
      <c r="R7354" s="1" t="s">
        <v>100</v>
      </c>
      <c r="S7354" s="1" t="s">
        <v>10320</v>
      </c>
      <c r="T7354" s="1" t="s">
        <v>10321</v>
      </c>
      <c r="U7354" s="2" t="s">
        <v>1632</v>
      </c>
      <c r="V7354" s="2" t="s">
        <v>83</v>
      </c>
      <c r="W7354" s="2" t="s">
        <v>178</v>
      </c>
      <c r="X7354" s="2">
        <v>479.43</v>
      </c>
    </row>
    <row r="7355" spans="1:24" x14ac:dyDescent="0.3">
      <c r="A7355">
        <v>25169</v>
      </c>
      <c r="B7355" t="s">
        <v>14308</v>
      </c>
      <c r="C7355" s="3">
        <v>41081</v>
      </c>
      <c r="D7355" t="s">
        <v>39</v>
      </c>
      <c r="E7355">
        <v>13</v>
      </c>
      <c r="F7355" s="3">
        <f ca="1">41083+(RANDBETWEEN(1,10))</f>
        <v>41092</v>
      </c>
      <c r="G7355" t="s">
        <v>26</v>
      </c>
      <c r="H7355" t="s">
        <v>27</v>
      </c>
      <c r="I7355" t="s">
        <v>86</v>
      </c>
      <c r="J7355">
        <v>1048.4949999999999</v>
      </c>
      <c r="K7355">
        <v>0.01</v>
      </c>
      <c r="L7355">
        <v>0.38</v>
      </c>
      <c r="M7355">
        <v>52.85</v>
      </c>
      <c r="N7355">
        <v>-205.5326</v>
      </c>
      <c r="O7355" s="1" t="s">
        <v>64</v>
      </c>
      <c r="P7355" s="1" t="s">
        <v>13022</v>
      </c>
      <c r="Q7355" s="1" t="s">
        <v>13023</v>
      </c>
      <c r="R7355" s="1" t="s">
        <v>67</v>
      </c>
      <c r="S7355" s="1" t="s">
        <v>1077</v>
      </c>
      <c r="T7355" s="1" t="s">
        <v>13024</v>
      </c>
      <c r="U7355" s="2" t="s">
        <v>2602</v>
      </c>
      <c r="V7355" s="2" t="s">
        <v>47</v>
      </c>
      <c r="W7355" s="2" t="s">
        <v>111</v>
      </c>
      <c r="X7355" s="2">
        <v>78.33</v>
      </c>
    </row>
    <row r="7356" spans="1:24" x14ac:dyDescent="0.3">
      <c r="A7356">
        <v>25170</v>
      </c>
      <c r="B7356" t="s">
        <v>14309</v>
      </c>
      <c r="C7356" s="3">
        <v>41865</v>
      </c>
      <c r="D7356" t="s">
        <v>39</v>
      </c>
      <c r="E7356">
        <v>14</v>
      </c>
      <c r="F7356" s="3">
        <f ca="1">41865+(RANDBETWEEN(1,10))</f>
        <v>41875</v>
      </c>
      <c r="G7356" t="s">
        <v>26</v>
      </c>
      <c r="H7356" t="s">
        <v>27</v>
      </c>
      <c r="I7356" t="s">
        <v>52</v>
      </c>
      <c r="J7356">
        <v>1986.67</v>
      </c>
      <c r="K7356">
        <v>0.06</v>
      </c>
      <c r="L7356">
        <v>0.56000000000000005</v>
      </c>
      <c r="M7356">
        <v>15.75</v>
      </c>
      <c r="N7356">
        <v>700.41615000000002</v>
      </c>
      <c r="O7356" s="1" t="s">
        <v>40</v>
      </c>
      <c r="P7356" s="1" t="s">
        <v>6669</v>
      </c>
      <c r="Q7356" s="1" t="s">
        <v>6670</v>
      </c>
      <c r="R7356" s="1" t="s">
        <v>43</v>
      </c>
      <c r="S7356" s="1" t="s">
        <v>6671</v>
      </c>
      <c r="T7356" s="1" t="s">
        <v>6672</v>
      </c>
      <c r="U7356" s="2" t="s">
        <v>10154</v>
      </c>
      <c r="V7356" s="2" t="s">
        <v>47</v>
      </c>
      <c r="W7356" s="2" t="s">
        <v>71</v>
      </c>
      <c r="X7356" s="2">
        <v>145.98500000000001</v>
      </c>
    </row>
    <row r="7357" spans="1:24" x14ac:dyDescent="0.3">
      <c r="A7357">
        <v>25171</v>
      </c>
      <c r="B7357" t="s">
        <v>14309</v>
      </c>
      <c r="C7357" s="3">
        <v>41865</v>
      </c>
      <c r="D7357" t="s">
        <v>39</v>
      </c>
      <c r="E7357">
        <v>2</v>
      </c>
      <c r="F7357" s="3">
        <f ca="1">41866+(RANDBETWEEN(1,10))</f>
        <v>41869</v>
      </c>
      <c r="G7357" t="s">
        <v>26</v>
      </c>
      <c r="H7357" t="s">
        <v>63</v>
      </c>
      <c r="I7357" t="s">
        <v>52</v>
      </c>
      <c r="J7357">
        <v>4986.17</v>
      </c>
      <c r="K7357">
        <v>0.04</v>
      </c>
      <c r="L7357">
        <v>0.41</v>
      </c>
      <c r="M7357">
        <v>85.715000000000003</v>
      </c>
      <c r="N7357">
        <v>1576.827</v>
      </c>
      <c r="O7357" s="1" t="s">
        <v>40</v>
      </c>
      <c r="P7357" s="1" t="s">
        <v>14310</v>
      </c>
      <c r="Q7357" s="1" t="s">
        <v>14311</v>
      </c>
      <c r="R7357" s="1" t="s">
        <v>220</v>
      </c>
      <c r="S7357" s="1" t="s">
        <v>14312</v>
      </c>
      <c r="T7357" s="1" t="s">
        <v>14313</v>
      </c>
      <c r="U7357" s="2" t="s">
        <v>1326</v>
      </c>
      <c r="V7357" s="2" t="s">
        <v>36</v>
      </c>
      <c r="W7357" s="2" t="s">
        <v>1327</v>
      </c>
      <c r="X7357" s="2">
        <v>2449.9650000000001</v>
      </c>
    </row>
    <row r="7358" spans="1:24" x14ac:dyDescent="0.3">
      <c r="A7358">
        <v>25172</v>
      </c>
      <c r="B7358" t="s">
        <v>14314</v>
      </c>
      <c r="C7358" s="3">
        <v>41596</v>
      </c>
      <c r="D7358" t="s">
        <v>148</v>
      </c>
      <c r="E7358">
        <v>25</v>
      </c>
      <c r="F7358" s="3">
        <f ca="1">41599+(RANDBETWEEN(1,10))</f>
        <v>41604</v>
      </c>
      <c r="G7358" t="s">
        <v>26</v>
      </c>
      <c r="H7358" t="s">
        <v>27</v>
      </c>
      <c r="I7358" t="s">
        <v>86</v>
      </c>
      <c r="J7358">
        <v>4881.5200000000004</v>
      </c>
      <c r="K7358">
        <v>0</v>
      </c>
      <c r="L7358">
        <v>0.62</v>
      </c>
      <c r="M7358">
        <v>19.25</v>
      </c>
      <c r="N7358">
        <v>2093.63</v>
      </c>
      <c r="O7358" s="1" t="s">
        <v>53</v>
      </c>
      <c r="P7358" s="1" t="s">
        <v>13089</v>
      </c>
      <c r="Q7358" s="1" t="s">
        <v>13090</v>
      </c>
      <c r="R7358" s="1" t="s">
        <v>440</v>
      </c>
      <c r="S7358" s="1" t="s">
        <v>2771</v>
      </c>
      <c r="T7358" s="1" t="s">
        <v>2772</v>
      </c>
      <c r="U7358" s="2" t="s">
        <v>2236</v>
      </c>
      <c r="V7358" s="2" t="s">
        <v>36</v>
      </c>
      <c r="W7358" s="2" t="s">
        <v>60</v>
      </c>
      <c r="X7358" s="2">
        <v>188.93</v>
      </c>
    </row>
    <row r="7359" spans="1:24" x14ac:dyDescent="0.3">
      <c r="A7359">
        <v>25173</v>
      </c>
      <c r="B7359" t="s">
        <v>14315</v>
      </c>
      <c r="C7359" s="3">
        <v>41624</v>
      </c>
      <c r="D7359" t="s">
        <v>39</v>
      </c>
      <c r="E7359">
        <v>21</v>
      </c>
      <c r="F7359" s="3">
        <f ca="1">41624+(RANDBETWEEN(1,10))</f>
        <v>41629</v>
      </c>
      <c r="G7359" t="s">
        <v>26</v>
      </c>
      <c r="H7359" t="s">
        <v>27</v>
      </c>
      <c r="I7359" t="s">
        <v>28</v>
      </c>
      <c r="J7359">
        <v>546.10500000000002</v>
      </c>
      <c r="K7359">
        <v>0.04</v>
      </c>
      <c r="L7359">
        <v>0.36</v>
      </c>
      <c r="M7359">
        <v>40.284999999999997</v>
      </c>
      <c r="N7359">
        <v>173.9178</v>
      </c>
      <c r="O7359" s="1" t="s">
        <v>29</v>
      </c>
      <c r="P7359" s="1" t="s">
        <v>14144</v>
      </c>
      <c r="Q7359" s="1" t="s">
        <v>14145</v>
      </c>
      <c r="R7359" s="1" t="s">
        <v>460</v>
      </c>
      <c r="S7359" s="1" t="s">
        <v>3701</v>
      </c>
      <c r="T7359" s="1" t="s">
        <v>3702</v>
      </c>
      <c r="U7359" s="2" t="s">
        <v>5565</v>
      </c>
      <c r="V7359" s="2" t="s">
        <v>47</v>
      </c>
      <c r="W7359" s="2" t="s">
        <v>111</v>
      </c>
      <c r="X7359" s="2">
        <v>25.83</v>
      </c>
    </row>
    <row r="7360" spans="1:24" x14ac:dyDescent="0.3">
      <c r="A7360">
        <v>25174</v>
      </c>
      <c r="B7360" t="s">
        <v>14316</v>
      </c>
      <c r="C7360" s="3">
        <v>41742</v>
      </c>
      <c r="D7360" t="s">
        <v>39</v>
      </c>
      <c r="E7360">
        <v>1</v>
      </c>
      <c r="F7360" s="3">
        <f ca="1">41744+(RANDBETWEEN(1,10))</f>
        <v>41746</v>
      </c>
      <c r="G7360" t="s">
        <v>26</v>
      </c>
      <c r="H7360" t="s">
        <v>27</v>
      </c>
      <c r="I7360" t="s">
        <v>86</v>
      </c>
      <c r="J7360">
        <v>27.02</v>
      </c>
      <c r="K7360">
        <v>0.06</v>
      </c>
      <c r="L7360">
        <v>0.36</v>
      </c>
      <c r="M7360">
        <v>26.74</v>
      </c>
      <c r="N7360">
        <v>1612.9259999999999</v>
      </c>
      <c r="O7360" s="1" t="s">
        <v>29</v>
      </c>
      <c r="P7360" s="1" t="s">
        <v>13673</v>
      </c>
      <c r="Q7360" s="1" t="s">
        <v>13674</v>
      </c>
      <c r="R7360" s="1" t="s">
        <v>460</v>
      </c>
      <c r="S7360" s="1" t="s">
        <v>13675</v>
      </c>
      <c r="T7360" s="1" t="s">
        <v>13676</v>
      </c>
      <c r="U7360" s="2" t="s">
        <v>3201</v>
      </c>
      <c r="V7360" s="2" t="s">
        <v>47</v>
      </c>
      <c r="W7360" s="2" t="s">
        <v>74</v>
      </c>
      <c r="X7360" s="2">
        <v>20.23</v>
      </c>
    </row>
    <row r="7361" spans="1:24" x14ac:dyDescent="0.3">
      <c r="A7361">
        <v>25175</v>
      </c>
      <c r="B7361" t="s">
        <v>14316</v>
      </c>
      <c r="C7361" s="3">
        <v>41742</v>
      </c>
      <c r="D7361" t="s">
        <v>39</v>
      </c>
      <c r="E7361">
        <v>9</v>
      </c>
      <c r="F7361" s="3">
        <f ca="1">41743+(RANDBETWEEN(1,10))</f>
        <v>41750</v>
      </c>
      <c r="G7361" t="s">
        <v>26</v>
      </c>
      <c r="H7361" t="s">
        <v>27</v>
      </c>
      <c r="I7361" t="s">
        <v>86</v>
      </c>
      <c r="J7361">
        <v>157.91999999999999</v>
      </c>
      <c r="K7361">
        <v>0.1</v>
      </c>
      <c r="L7361">
        <v>0.4</v>
      </c>
      <c r="M7361">
        <v>19.809999999999999</v>
      </c>
      <c r="N7361">
        <v>-2228.52</v>
      </c>
      <c r="O7361" s="1" t="s">
        <v>29</v>
      </c>
      <c r="P7361" s="1" t="s">
        <v>13673</v>
      </c>
      <c r="Q7361" s="1" t="s">
        <v>13674</v>
      </c>
      <c r="R7361" s="1" t="s">
        <v>460</v>
      </c>
      <c r="S7361" s="1" t="s">
        <v>13675</v>
      </c>
      <c r="T7361" s="1" t="s">
        <v>13676</v>
      </c>
      <c r="U7361" s="2" t="s">
        <v>9988</v>
      </c>
      <c r="V7361" s="2" t="s">
        <v>47</v>
      </c>
      <c r="W7361" s="2" t="s">
        <v>74</v>
      </c>
      <c r="X7361" s="2">
        <v>18.48</v>
      </c>
    </row>
    <row r="7362" spans="1:24" x14ac:dyDescent="0.3">
      <c r="A7362">
        <v>25176</v>
      </c>
      <c r="B7362" t="s">
        <v>14317</v>
      </c>
      <c r="C7362" s="3">
        <v>41629</v>
      </c>
      <c r="D7362" t="s">
        <v>39</v>
      </c>
      <c r="E7362">
        <v>25</v>
      </c>
      <c r="F7362" s="3">
        <f ca="1">41630+(RANDBETWEEN(1,10))</f>
        <v>41638</v>
      </c>
      <c r="G7362" t="s">
        <v>76</v>
      </c>
      <c r="H7362" t="s">
        <v>258</v>
      </c>
      <c r="I7362" t="s">
        <v>97</v>
      </c>
      <c r="J7362">
        <v>47540.254999999997</v>
      </c>
      <c r="K7362">
        <v>0.08</v>
      </c>
      <c r="L7362">
        <v>0.71</v>
      </c>
      <c r="M7362">
        <v>159.94999999999999</v>
      </c>
      <c r="N7362">
        <v>16517.631375000001</v>
      </c>
      <c r="O7362" s="1" t="s">
        <v>29</v>
      </c>
      <c r="P7362" s="1" t="s">
        <v>14318</v>
      </c>
      <c r="Q7362" s="1" t="s">
        <v>14319</v>
      </c>
      <c r="R7362" s="1" t="s">
        <v>460</v>
      </c>
      <c r="S7362" s="1" t="s">
        <v>14320</v>
      </c>
      <c r="T7362" s="1" t="s">
        <v>14321</v>
      </c>
      <c r="U7362" s="2" t="s">
        <v>3553</v>
      </c>
      <c r="V7362" s="2" t="s">
        <v>83</v>
      </c>
      <c r="W7362" s="2" t="s">
        <v>263</v>
      </c>
      <c r="X7362" s="2">
        <v>1928.43</v>
      </c>
    </row>
    <row r="7363" spans="1:24" x14ac:dyDescent="0.3">
      <c r="A7363">
        <v>25177</v>
      </c>
      <c r="B7363" t="s">
        <v>14322</v>
      </c>
      <c r="C7363" s="3">
        <v>41983</v>
      </c>
      <c r="D7363" t="s">
        <v>39</v>
      </c>
      <c r="E7363">
        <v>9</v>
      </c>
      <c r="F7363" s="3">
        <f ca="1">41984+(RANDBETWEEN(1,10))</f>
        <v>41990</v>
      </c>
      <c r="G7363" t="s">
        <v>156</v>
      </c>
      <c r="H7363" t="s">
        <v>27</v>
      </c>
      <c r="I7363" t="s">
        <v>97</v>
      </c>
      <c r="J7363">
        <v>431.76</v>
      </c>
      <c r="K7363">
        <v>0.04</v>
      </c>
      <c r="L7363">
        <v>0.35</v>
      </c>
      <c r="M7363">
        <v>5.2149999999999999</v>
      </c>
      <c r="N7363">
        <v>297.9144</v>
      </c>
      <c r="O7363" s="1" t="s">
        <v>53</v>
      </c>
      <c r="P7363" s="1" t="s">
        <v>14323</v>
      </c>
      <c r="Q7363" s="1" t="s">
        <v>14324</v>
      </c>
      <c r="R7363" s="1" t="s">
        <v>440</v>
      </c>
      <c r="S7363" s="1" t="s">
        <v>2005</v>
      </c>
      <c r="T7363" s="1" t="s">
        <v>2006</v>
      </c>
      <c r="U7363" s="2" t="s">
        <v>2551</v>
      </c>
      <c r="V7363" s="2" t="s">
        <v>47</v>
      </c>
      <c r="W7363" s="2" t="s">
        <v>111</v>
      </c>
      <c r="X7363" s="2">
        <v>45.395000000000003</v>
      </c>
    </row>
    <row r="7364" spans="1:24" x14ac:dyDescent="0.3">
      <c r="A7364">
        <v>25178</v>
      </c>
      <c r="B7364" t="s">
        <v>14322</v>
      </c>
      <c r="C7364" s="3">
        <v>41983</v>
      </c>
      <c r="D7364" t="s">
        <v>39</v>
      </c>
      <c r="E7364">
        <v>3</v>
      </c>
      <c r="F7364" s="3">
        <f ca="1">41984+(RANDBETWEEN(1,10))</f>
        <v>41994</v>
      </c>
      <c r="G7364" t="s">
        <v>26</v>
      </c>
      <c r="H7364" t="s">
        <v>27</v>
      </c>
      <c r="I7364" t="s">
        <v>97</v>
      </c>
      <c r="J7364">
        <v>474.005</v>
      </c>
      <c r="K7364">
        <v>0</v>
      </c>
      <c r="L7364">
        <v>0.4</v>
      </c>
      <c r="M7364">
        <v>34.405000000000001</v>
      </c>
      <c r="N7364">
        <v>96.9696</v>
      </c>
      <c r="O7364" s="1" t="s">
        <v>53</v>
      </c>
      <c r="P7364" s="1" t="s">
        <v>14323</v>
      </c>
      <c r="Q7364" s="1" t="s">
        <v>14324</v>
      </c>
      <c r="R7364" s="1" t="s">
        <v>440</v>
      </c>
      <c r="S7364" s="1" t="s">
        <v>2005</v>
      </c>
      <c r="T7364" s="1" t="s">
        <v>2006</v>
      </c>
      <c r="U7364" s="2" t="s">
        <v>345</v>
      </c>
      <c r="V7364" s="2" t="s">
        <v>47</v>
      </c>
      <c r="W7364" s="2" t="s">
        <v>48</v>
      </c>
      <c r="X7364" s="2">
        <v>139.93</v>
      </c>
    </row>
    <row r="7365" spans="1:24" x14ac:dyDescent="0.3">
      <c r="A7365">
        <v>25179</v>
      </c>
      <c r="B7365" t="s">
        <v>14325</v>
      </c>
      <c r="C7365" s="3">
        <v>40886</v>
      </c>
      <c r="D7365" t="s">
        <v>25</v>
      </c>
      <c r="E7365">
        <v>1</v>
      </c>
      <c r="F7365" s="3">
        <f ca="1">40886+(RANDBETWEEN(1,10))</f>
        <v>40892</v>
      </c>
      <c r="G7365" t="s">
        <v>26</v>
      </c>
      <c r="H7365" t="s">
        <v>96</v>
      </c>
      <c r="I7365" t="s">
        <v>28</v>
      </c>
      <c r="J7365">
        <v>30.905000000000001</v>
      </c>
      <c r="K7365">
        <v>0.05</v>
      </c>
      <c r="L7365">
        <v>0.42</v>
      </c>
      <c r="M7365">
        <v>14</v>
      </c>
      <c r="N7365">
        <v>21.324449999999999</v>
      </c>
      <c r="O7365" s="1" t="s">
        <v>29</v>
      </c>
      <c r="P7365" s="1" t="s">
        <v>14318</v>
      </c>
      <c r="Q7365" s="1" t="s">
        <v>14319</v>
      </c>
      <c r="R7365" s="1" t="s">
        <v>460</v>
      </c>
      <c r="S7365" s="1" t="s">
        <v>14320</v>
      </c>
      <c r="T7365" s="1" t="s">
        <v>14321</v>
      </c>
      <c r="U7365" s="2" t="s">
        <v>2801</v>
      </c>
      <c r="V7365" s="2" t="s">
        <v>83</v>
      </c>
      <c r="W7365" s="2" t="s">
        <v>178</v>
      </c>
      <c r="X7365" s="2">
        <v>26.565000000000001</v>
      </c>
    </row>
    <row r="7366" spans="1:24" x14ac:dyDescent="0.3">
      <c r="A7366">
        <v>25180</v>
      </c>
      <c r="B7366" t="s">
        <v>14326</v>
      </c>
      <c r="C7366" s="3">
        <v>41708</v>
      </c>
      <c r="D7366" t="s">
        <v>148</v>
      </c>
      <c r="E7366">
        <v>7</v>
      </c>
      <c r="F7366" s="3">
        <f ca="1">41710+(RANDBETWEEN(1,10))</f>
        <v>41713</v>
      </c>
      <c r="G7366" t="s">
        <v>26</v>
      </c>
      <c r="H7366" t="s">
        <v>27</v>
      </c>
      <c r="I7366" t="s">
        <v>86</v>
      </c>
      <c r="J7366">
        <v>4493.93</v>
      </c>
      <c r="K7366">
        <v>0.03</v>
      </c>
      <c r="L7366">
        <v>0.59</v>
      </c>
      <c r="M7366">
        <v>20.965</v>
      </c>
      <c r="N7366">
        <v>3100.8117000000002</v>
      </c>
      <c r="O7366" s="1" t="s">
        <v>87</v>
      </c>
      <c r="P7366" s="1" t="s">
        <v>13409</v>
      </c>
      <c r="Q7366" s="1" t="s">
        <v>13410</v>
      </c>
      <c r="R7366" s="1" t="s">
        <v>398</v>
      </c>
      <c r="S7366" s="1" t="s">
        <v>13411</v>
      </c>
      <c r="T7366" s="1" t="s">
        <v>13412</v>
      </c>
      <c r="U7366" s="2">
        <v>3285</v>
      </c>
      <c r="V7366" s="2" t="s">
        <v>36</v>
      </c>
      <c r="W7366" s="2" t="s">
        <v>37</v>
      </c>
      <c r="X7366" s="2">
        <v>720.96500000000003</v>
      </c>
    </row>
    <row r="7367" spans="1:24" x14ac:dyDescent="0.3">
      <c r="A7367">
        <v>25181</v>
      </c>
      <c r="B7367" t="s">
        <v>12564</v>
      </c>
      <c r="C7367" s="3">
        <v>41693</v>
      </c>
      <c r="D7367" t="s">
        <v>25</v>
      </c>
      <c r="E7367">
        <v>12</v>
      </c>
      <c r="F7367" s="3">
        <f ca="1">41695+(RANDBETWEEN(1,10))</f>
        <v>41702</v>
      </c>
      <c r="G7367" t="s">
        <v>76</v>
      </c>
      <c r="H7367" t="s">
        <v>77</v>
      </c>
      <c r="I7367" t="s">
        <v>52</v>
      </c>
      <c r="J7367">
        <v>3540.46</v>
      </c>
      <c r="K7367">
        <v>0.09</v>
      </c>
      <c r="L7367">
        <v>0.56000000000000005</v>
      </c>
      <c r="M7367">
        <v>210</v>
      </c>
      <c r="N7367">
        <v>-4539.2550000000001</v>
      </c>
      <c r="O7367" s="1" t="s">
        <v>225</v>
      </c>
      <c r="P7367" s="1" t="s">
        <v>14327</v>
      </c>
      <c r="Q7367" s="1" t="s">
        <v>14328</v>
      </c>
      <c r="R7367" s="1" t="s">
        <v>391</v>
      </c>
      <c r="S7367" s="1" t="s">
        <v>1484</v>
      </c>
      <c r="T7367" s="1" t="s">
        <v>14329</v>
      </c>
      <c r="U7367" s="2" t="s">
        <v>14330</v>
      </c>
      <c r="V7367" s="2" t="s">
        <v>83</v>
      </c>
      <c r="W7367" s="2" t="s">
        <v>263</v>
      </c>
      <c r="X7367" s="2">
        <v>298.51499999999999</v>
      </c>
    </row>
    <row r="7368" spans="1:24" x14ac:dyDescent="0.3">
      <c r="A7368">
        <v>25182</v>
      </c>
      <c r="B7368" t="s">
        <v>14331</v>
      </c>
      <c r="C7368" s="3">
        <v>41723</v>
      </c>
      <c r="D7368" t="s">
        <v>50</v>
      </c>
      <c r="E7368">
        <v>3</v>
      </c>
      <c r="F7368" s="3">
        <f ca="1">41725+(RANDBETWEEN(1,10))</f>
        <v>41728</v>
      </c>
      <c r="G7368" t="s">
        <v>26</v>
      </c>
      <c r="H7368" t="s">
        <v>281</v>
      </c>
      <c r="I7368" t="s">
        <v>28</v>
      </c>
      <c r="J7368">
        <v>1537.095</v>
      </c>
      <c r="K7368">
        <v>0.04</v>
      </c>
      <c r="L7368">
        <v>0.38</v>
      </c>
      <c r="M7368">
        <v>48.965000000000003</v>
      </c>
      <c r="N7368">
        <v>790.69200000000001</v>
      </c>
      <c r="O7368" s="1" t="s">
        <v>53</v>
      </c>
      <c r="P7368" s="1" t="s">
        <v>13251</v>
      </c>
      <c r="Q7368" s="1" t="s">
        <v>13252</v>
      </c>
      <c r="R7368" s="1" t="s">
        <v>56</v>
      </c>
      <c r="S7368" s="1" t="s">
        <v>13253</v>
      </c>
      <c r="T7368" s="1" t="s">
        <v>13254</v>
      </c>
      <c r="U7368" s="2" t="s">
        <v>480</v>
      </c>
      <c r="V7368" s="2" t="s">
        <v>36</v>
      </c>
      <c r="W7368" s="2" t="s">
        <v>142</v>
      </c>
      <c r="X7368" s="2">
        <v>528.42999999999995</v>
      </c>
    </row>
    <row r="7369" spans="1:24" x14ac:dyDescent="0.3">
      <c r="A7369">
        <v>25183</v>
      </c>
      <c r="B7369" t="s">
        <v>14332</v>
      </c>
      <c r="C7369" s="3">
        <v>40627</v>
      </c>
      <c r="D7369" t="s">
        <v>50</v>
      </c>
      <c r="E7369">
        <v>8</v>
      </c>
      <c r="F7369" s="3">
        <f ca="1">40627+(RANDBETWEEN(1,10))</f>
        <v>40632</v>
      </c>
      <c r="G7369" t="s">
        <v>26</v>
      </c>
      <c r="H7369" t="s">
        <v>27</v>
      </c>
      <c r="I7369" t="s">
        <v>28</v>
      </c>
      <c r="J7369">
        <v>576.34500000000003</v>
      </c>
      <c r="K7369">
        <v>0.01</v>
      </c>
      <c r="L7369">
        <v>0.37</v>
      </c>
      <c r="M7369">
        <v>31.605</v>
      </c>
      <c r="N7369">
        <v>-42.093449999999997</v>
      </c>
      <c r="O7369" s="1" t="s">
        <v>53</v>
      </c>
      <c r="P7369" s="1" t="s">
        <v>13251</v>
      </c>
      <c r="Q7369" s="1" t="s">
        <v>13252</v>
      </c>
      <c r="R7369" s="1" t="s">
        <v>56</v>
      </c>
      <c r="S7369" s="1" t="s">
        <v>13253</v>
      </c>
      <c r="T7369" s="1" t="s">
        <v>13254</v>
      </c>
      <c r="U7369" s="2" t="s">
        <v>482</v>
      </c>
      <c r="V7369" s="2" t="s">
        <v>47</v>
      </c>
      <c r="W7369" s="2" t="s">
        <v>74</v>
      </c>
      <c r="X7369" s="2">
        <v>66.394999999999996</v>
      </c>
    </row>
    <row r="7370" spans="1:24" x14ac:dyDescent="0.3">
      <c r="A7370">
        <v>25184</v>
      </c>
      <c r="B7370" t="s">
        <v>14332</v>
      </c>
      <c r="C7370" s="3">
        <v>40627</v>
      </c>
      <c r="D7370" t="s">
        <v>50</v>
      </c>
      <c r="E7370">
        <v>6</v>
      </c>
      <c r="F7370" s="3">
        <f ca="1">40628+(RANDBETWEEN(1,10))</f>
        <v>40636</v>
      </c>
      <c r="G7370" t="s">
        <v>26</v>
      </c>
      <c r="H7370" t="s">
        <v>27</v>
      </c>
      <c r="I7370" t="s">
        <v>28</v>
      </c>
      <c r="J7370">
        <v>254.59</v>
      </c>
      <c r="K7370">
        <v>0.03</v>
      </c>
      <c r="L7370">
        <v>0.38</v>
      </c>
      <c r="M7370">
        <v>17.010000000000002</v>
      </c>
      <c r="N7370">
        <v>428.77800000000002</v>
      </c>
      <c r="O7370" s="1" t="s">
        <v>53</v>
      </c>
      <c r="P7370" s="1" t="s">
        <v>13251</v>
      </c>
      <c r="Q7370" s="1" t="s">
        <v>13252</v>
      </c>
      <c r="R7370" s="1" t="s">
        <v>56</v>
      </c>
      <c r="S7370" s="1" t="s">
        <v>13253</v>
      </c>
      <c r="T7370" s="1" t="s">
        <v>13254</v>
      </c>
      <c r="U7370" s="2" t="s">
        <v>9430</v>
      </c>
      <c r="V7370" s="2" t="s">
        <v>47</v>
      </c>
      <c r="W7370" s="2" t="s">
        <v>74</v>
      </c>
      <c r="X7370" s="2">
        <v>42.98</v>
      </c>
    </row>
    <row r="7371" spans="1:24" x14ac:dyDescent="0.3">
      <c r="A7371">
        <v>25185</v>
      </c>
      <c r="B7371" t="s">
        <v>14332</v>
      </c>
      <c r="C7371" s="3">
        <v>40627</v>
      </c>
      <c r="D7371" t="s">
        <v>50</v>
      </c>
      <c r="E7371">
        <v>12</v>
      </c>
      <c r="F7371" s="3">
        <f ca="1">40629+(RANDBETWEEN(1,10))</f>
        <v>40636</v>
      </c>
      <c r="G7371" t="s">
        <v>156</v>
      </c>
      <c r="H7371" t="s">
        <v>27</v>
      </c>
      <c r="I7371" t="s">
        <v>28</v>
      </c>
      <c r="J7371">
        <v>1465.625</v>
      </c>
      <c r="K7371">
        <v>0.05</v>
      </c>
      <c r="L7371">
        <v>0.59</v>
      </c>
      <c r="M7371">
        <v>27.055</v>
      </c>
      <c r="N7371">
        <v>-42.093449999999997</v>
      </c>
      <c r="O7371" s="1" t="s">
        <v>53</v>
      </c>
      <c r="P7371" s="1" t="s">
        <v>13251</v>
      </c>
      <c r="Q7371" s="1" t="s">
        <v>13252</v>
      </c>
      <c r="R7371" s="1" t="s">
        <v>56</v>
      </c>
      <c r="S7371" s="1" t="s">
        <v>13253</v>
      </c>
      <c r="T7371" s="1" t="s">
        <v>13254</v>
      </c>
      <c r="U7371" s="2" t="s">
        <v>9353</v>
      </c>
      <c r="V7371" s="2" t="s">
        <v>47</v>
      </c>
      <c r="W7371" s="2" t="s">
        <v>104</v>
      </c>
      <c r="X7371" s="2">
        <v>122.465</v>
      </c>
    </row>
    <row r="7372" spans="1:24" x14ac:dyDescent="0.3">
      <c r="A7372">
        <v>25186</v>
      </c>
      <c r="B7372" t="s">
        <v>14333</v>
      </c>
      <c r="C7372" s="3">
        <v>41762</v>
      </c>
      <c r="D7372" t="s">
        <v>25</v>
      </c>
      <c r="E7372">
        <v>15</v>
      </c>
      <c r="F7372" s="3">
        <f ca="1">41767+(RANDBETWEEN(1,10))</f>
        <v>41775</v>
      </c>
      <c r="G7372" t="s">
        <v>76</v>
      </c>
      <c r="H7372" t="s">
        <v>258</v>
      </c>
      <c r="I7372" t="s">
        <v>97</v>
      </c>
      <c r="J7372">
        <v>5015.78</v>
      </c>
      <c r="K7372">
        <v>0.08</v>
      </c>
      <c r="L7372">
        <v>0.62</v>
      </c>
      <c r="M7372">
        <v>125.44</v>
      </c>
      <c r="N7372">
        <v>-1175.1949999999999</v>
      </c>
      <c r="O7372" s="1" t="s">
        <v>40</v>
      </c>
      <c r="P7372" s="1" t="s">
        <v>14334</v>
      </c>
      <c r="Q7372" s="1" t="s">
        <v>14335</v>
      </c>
      <c r="R7372" s="1" t="s">
        <v>220</v>
      </c>
      <c r="S7372" s="1" t="s">
        <v>6387</v>
      </c>
      <c r="T7372" s="1" t="s">
        <v>6388</v>
      </c>
      <c r="U7372" s="2" t="s">
        <v>1271</v>
      </c>
      <c r="V7372" s="2" t="s">
        <v>83</v>
      </c>
      <c r="W7372" s="2" t="s">
        <v>298</v>
      </c>
      <c r="X7372" s="2">
        <v>353.43</v>
      </c>
    </row>
    <row r="7373" spans="1:24" x14ac:dyDescent="0.3">
      <c r="A7373">
        <v>25187</v>
      </c>
      <c r="B7373" t="s">
        <v>14336</v>
      </c>
      <c r="C7373" s="3">
        <v>41651</v>
      </c>
      <c r="D7373" t="s">
        <v>39</v>
      </c>
      <c r="E7373">
        <v>1</v>
      </c>
      <c r="F7373" s="3">
        <f ca="1">41652+(RANDBETWEEN(1,10))</f>
        <v>41661</v>
      </c>
      <c r="G7373" t="s">
        <v>26</v>
      </c>
      <c r="H7373" t="s">
        <v>27</v>
      </c>
      <c r="I7373" t="s">
        <v>86</v>
      </c>
      <c r="J7373">
        <v>36.89</v>
      </c>
      <c r="K7373">
        <v>0</v>
      </c>
      <c r="L7373">
        <v>0.39</v>
      </c>
      <c r="M7373">
        <v>10.465</v>
      </c>
      <c r="N7373">
        <v>-45.268369999999997</v>
      </c>
      <c r="O7373" s="1" t="s">
        <v>87</v>
      </c>
      <c r="P7373" s="1" t="s">
        <v>11982</v>
      </c>
      <c r="Q7373" s="1" t="s">
        <v>11983</v>
      </c>
      <c r="R7373" s="1" t="s">
        <v>497</v>
      </c>
      <c r="S7373" s="1" t="s">
        <v>5554</v>
      </c>
      <c r="T7373" s="1" t="s">
        <v>5555</v>
      </c>
      <c r="U7373" s="2" t="s">
        <v>618</v>
      </c>
      <c r="V7373" s="2" t="s">
        <v>47</v>
      </c>
      <c r="W7373" s="2" t="s">
        <v>111</v>
      </c>
      <c r="X7373" s="2">
        <v>30.414999999999999</v>
      </c>
    </row>
    <row r="7374" spans="1:24" x14ac:dyDescent="0.3">
      <c r="A7374">
        <v>25188</v>
      </c>
      <c r="B7374" t="s">
        <v>14336</v>
      </c>
      <c r="C7374" s="3">
        <v>41651</v>
      </c>
      <c r="D7374" t="s">
        <v>62</v>
      </c>
      <c r="E7374">
        <v>6</v>
      </c>
      <c r="F7374" s="3">
        <f ca="1">41652+(RANDBETWEEN(1,10))</f>
        <v>41662</v>
      </c>
      <c r="G7374" t="s">
        <v>26</v>
      </c>
      <c r="H7374" t="s">
        <v>27</v>
      </c>
      <c r="I7374" t="s">
        <v>86</v>
      </c>
      <c r="J7374">
        <v>451.92</v>
      </c>
      <c r="K7374">
        <v>0.08</v>
      </c>
      <c r="L7374">
        <v>0.51</v>
      </c>
      <c r="M7374">
        <v>26.53</v>
      </c>
      <c r="N7374">
        <v>-6.7270000000000003</v>
      </c>
      <c r="O7374" s="1" t="s">
        <v>53</v>
      </c>
      <c r="P7374" s="1" t="s">
        <v>14337</v>
      </c>
      <c r="Q7374" s="1" t="s">
        <v>14338</v>
      </c>
      <c r="R7374" s="1" t="s">
        <v>440</v>
      </c>
      <c r="S7374" s="1" t="s">
        <v>441</v>
      </c>
      <c r="T7374" s="1" t="s">
        <v>442</v>
      </c>
      <c r="U7374" s="2" t="s">
        <v>1676</v>
      </c>
      <c r="V7374" s="2" t="s">
        <v>83</v>
      </c>
      <c r="W7374" s="2" t="s">
        <v>178</v>
      </c>
      <c r="X7374" s="2">
        <v>80.430000000000007</v>
      </c>
    </row>
    <row r="7375" spans="1:24" x14ac:dyDescent="0.3">
      <c r="A7375">
        <v>25189</v>
      </c>
      <c r="B7375" t="s">
        <v>14339</v>
      </c>
      <c r="C7375" s="3">
        <v>41937</v>
      </c>
      <c r="D7375" t="s">
        <v>39</v>
      </c>
      <c r="E7375">
        <v>16</v>
      </c>
      <c r="F7375" s="3">
        <f ca="1">41939+(RANDBETWEEN(1,10))</f>
        <v>41941</v>
      </c>
      <c r="G7375" t="s">
        <v>76</v>
      </c>
      <c r="H7375" t="s">
        <v>258</v>
      </c>
      <c r="I7375" t="s">
        <v>52</v>
      </c>
      <c r="J7375">
        <v>7170.59</v>
      </c>
      <c r="K7375">
        <v>0.1</v>
      </c>
      <c r="L7375">
        <v>0.77</v>
      </c>
      <c r="M7375">
        <v>126.315</v>
      </c>
      <c r="N7375">
        <v>-2787.7849999999999</v>
      </c>
      <c r="O7375" s="1" t="s">
        <v>40</v>
      </c>
      <c r="P7375" s="1" t="s">
        <v>2107</v>
      </c>
      <c r="Q7375" s="1" t="s">
        <v>2108</v>
      </c>
      <c r="R7375" s="1" t="s">
        <v>43</v>
      </c>
      <c r="S7375" s="1" t="s">
        <v>2109</v>
      </c>
      <c r="T7375" s="1" t="s">
        <v>2110</v>
      </c>
      <c r="U7375" s="2" t="s">
        <v>3136</v>
      </c>
      <c r="V7375" s="2" t="s">
        <v>83</v>
      </c>
      <c r="W7375" s="2" t="s">
        <v>298</v>
      </c>
      <c r="X7375" s="2">
        <v>493.43</v>
      </c>
    </row>
    <row r="7376" spans="1:24" x14ac:dyDescent="0.3">
      <c r="A7376">
        <v>25190</v>
      </c>
      <c r="B7376" t="s">
        <v>14339</v>
      </c>
      <c r="C7376" s="3">
        <v>41937</v>
      </c>
      <c r="D7376" t="s">
        <v>39</v>
      </c>
      <c r="E7376">
        <v>8</v>
      </c>
      <c r="F7376" s="3">
        <f ca="1">41939+(RANDBETWEEN(1,10))</f>
        <v>41940</v>
      </c>
      <c r="G7376" t="s">
        <v>26</v>
      </c>
      <c r="H7376" t="s">
        <v>27</v>
      </c>
      <c r="I7376" t="s">
        <v>52</v>
      </c>
      <c r="J7376">
        <v>5044.7250000000004</v>
      </c>
      <c r="K7376">
        <v>0.02</v>
      </c>
      <c r="L7376">
        <v>0.59</v>
      </c>
      <c r="M7376">
        <v>17.5</v>
      </c>
      <c r="N7376">
        <v>1061.298</v>
      </c>
      <c r="O7376" s="1" t="s">
        <v>40</v>
      </c>
      <c r="P7376" s="1" t="s">
        <v>2107</v>
      </c>
      <c r="Q7376" s="1" t="s">
        <v>2108</v>
      </c>
      <c r="R7376" s="1" t="s">
        <v>43</v>
      </c>
      <c r="S7376" s="1" t="s">
        <v>2109</v>
      </c>
      <c r="T7376" s="1" t="s">
        <v>2110</v>
      </c>
      <c r="U7376" s="2" t="s">
        <v>6973</v>
      </c>
      <c r="V7376" s="2" t="s">
        <v>36</v>
      </c>
      <c r="W7376" s="2" t="s">
        <v>37</v>
      </c>
      <c r="X7376" s="2">
        <v>720.96500000000003</v>
      </c>
    </row>
    <row r="7377" spans="1:24" x14ac:dyDescent="0.3">
      <c r="A7377">
        <v>25191</v>
      </c>
      <c r="B7377" t="s">
        <v>14340</v>
      </c>
      <c r="C7377" s="3">
        <v>41954</v>
      </c>
      <c r="D7377" t="s">
        <v>25</v>
      </c>
      <c r="E7377">
        <v>37</v>
      </c>
      <c r="F7377" s="3">
        <f ca="1">41963+(RANDBETWEEN(1,10))</f>
        <v>41966</v>
      </c>
      <c r="G7377" t="s">
        <v>156</v>
      </c>
      <c r="H7377" t="s">
        <v>27</v>
      </c>
      <c r="I7377" t="s">
        <v>86</v>
      </c>
      <c r="J7377">
        <v>1125.32</v>
      </c>
      <c r="K7377">
        <v>7.0000000000000007E-2</v>
      </c>
      <c r="L7377">
        <v>0.39</v>
      </c>
      <c r="M7377">
        <v>10.465</v>
      </c>
      <c r="N7377">
        <v>567.07974400000001</v>
      </c>
      <c r="O7377" s="1" t="s">
        <v>53</v>
      </c>
      <c r="P7377" s="1" t="s">
        <v>13089</v>
      </c>
      <c r="Q7377" s="1" t="s">
        <v>13090</v>
      </c>
      <c r="R7377" s="1" t="s">
        <v>440</v>
      </c>
      <c r="S7377" s="1" t="s">
        <v>2771</v>
      </c>
      <c r="T7377" s="1" t="s">
        <v>2772</v>
      </c>
      <c r="U7377" s="2" t="s">
        <v>618</v>
      </c>
      <c r="V7377" s="2" t="s">
        <v>47</v>
      </c>
      <c r="W7377" s="2" t="s">
        <v>111</v>
      </c>
      <c r="X7377" s="2">
        <v>30.414999999999999</v>
      </c>
    </row>
    <row r="7378" spans="1:24" x14ac:dyDescent="0.3">
      <c r="A7378">
        <v>25192</v>
      </c>
      <c r="B7378" t="s">
        <v>14341</v>
      </c>
      <c r="C7378" s="3">
        <v>41562</v>
      </c>
      <c r="D7378" t="s">
        <v>148</v>
      </c>
      <c r="E7378">
        <v>21</v>
      </c>
      <c r="F7378" s="3">
        <f ca="1">41564+(RANDBETWEEN(1,10))</f>
        <v>41568</v>
      </c>
      <c r="G7378" t="s">
        <v>26</v>
      </c>
      <c r="H7378" t="s">
        <v>51</v>
      </c>
      <c r="I7378" t="s">
        <v>97</v>
      </c>
      <c r="J7378">
        <v>588.41999999999996</v>
      </c>
      <c r="K7378">
        <v>0.09</v>
      </c>
      <c r="L7378">
        <v>0.52</v>
      </c>
      <c r="M7378">
        <v>6.9649999999999999</v>
      </c>
      <c r="N7378">
        <v>5.1239999999999997</v>
      </c>
      <c r="O7378" s="1" t="s">
        <v>64</v>
      </c>
      <c r="P7378" s="1" t="s">
        <v>14066</v>
      </c>
      <c r="Q7378" s="1" t="s">
        <v>14067</v>
      </c>
      <c r="R7378" s="1" t="s">
        <v>67</v>
      </c>
      <c r="S7378" s="1" t="s">
        <v>14068</v>
      </c>
      <c r="T7378" s="1" t="s">
        <v>14069</v>
      </c>
      <c r="U7378" s="2" t="s">
        <v>2853</v>
      </c>
      <c r="V7378" s="2" t="s">
        <v>36</v>
      </c>
      <c r="W7378" s="2" t="s">
        <v>60</v>
      </c>
      <c r="X7378" s="2">
        <v>29.155000000000001</v>
      </c>
    </row>
    <row r="7379" spans="1:24" x14ac:dyDescent="0.3">
      <c r="A7379">
        <v>25193</v>
      </c>
      <c r="B7379" t="s">
        <v>14342</v>
      </c>
      <c r="C7379" s="3">
        <v>41510</v>
      </c>
      <c r="D7379" t="s">
        <v>50</v>
      </c>
      <c r="E7379">
        <v>22</v>
      </c>
      <c r="F7379" s="3">
        <f ca="1">41512+(RANDBETWEEN(1,10))</f>
        <v>41516</v>
      </c>
      <c r="G7379" t="s">
        <v>26</v>
      </c>
      <c r="H7379" t="s">
        <v>27</v>
      </c>
      <c r="I7379" t="s">
        <v>52</v>
      </c>
      <c r="J7379">
        <v>293.23</v>
      </c>
      <c r="K7379">
        <v>0.03</v>
      </c>
      <c r="L7379">
        <v>0.37</v>
      </c>
      <c r="M7379">
        <v>26.25</v>
      </c>
      <c r="N7379">
        <v>543.11040000000003</v>
      </c>
      <c r="O7379" s="1" t="s">
        <v>87</v>
      </c>
      <c r="P7379" s="1" t="s">
        <v>12772</v>
      </c>
      <c r="Q7379" s="1" t="s">
        <v>12773</v>
      </c>
      <c r="R7379" s="1" t="s">
        <v>398</v>
      </c>
      <c r="S7379" s="1" t="s">
        <v>1968</v>
      </c>
      <c r="T7379" s="1" t="s">
        <v>1969</v>
      </c>
      <c r="U7379" s="2" t="s">
        <v>2269</v>
      </c>
      <c r="V7379" s="2" t="s">
        <v>47</v>
      </c>
      <c r="W7379" s="2" t="s">
        <v>203</v>
      </c>
      <c r="X7379" s="2">
        <v>13.125</v>
      </c>
    </row>
    <row r="7380" spans="1:24" x14ac:dyDescent="0.3">
      <c r="A7380">
        <v>25194</v>
      </c>
      <c r="B7380" t="s">
        <v>14343</v>
      </c>
      <c r="C7380" s="3">
        <v>41938</v>
      </c>
      <c r="D7380" t="s">
        <v>25</v>
      </c>
      <c r="E7380">
        <v>20</v>
      </c>
      <c r="F7380" s="3">
        <f ca="1">41943+(RANDBETWEEN(1,10))</f>
        <v>41949</v>
      </c>
      <c r="G7380" t="s">
        <v>26</v>
      </c>
      <c r="H7380" t="s">
        <v>51</v>
      </c>
      <c r="I7380" t="s">
        <v>52</v>
      </c>
      <c r="J7380">
        <v>1270.43</v>
      </c>
      <c r="K7380">
        <v>7.0000000000000007E-2</v>
      </c>
      <c r="L7380">
        <v>0.47</v>
      </c>
      <c r="M7380">
        <v>31.465</v>
      </c>
      <c r="N7380">
        <v>180.14500000000001</v>
      </c>
      <c r="O7380" s="1" t="s">
        <v>225</v>
      </c>
      <c r="P7380" s="1" t="s">
        <v>10832</v>
      </c>
      <c r="Q7380" s="1" t="s">
        <v>10833</v>
      </c>
      <c r="R7380" s="1" t="s">
        <v>228</v>
      </c>
      <c r="S7380" s="1" t="s">
        <v>2805</v>
      </c>
      <c r="T7380" s="1" t="s">
        <v>2806</v>
      </c>
      <c r="U7380" s="2" t="s">
        <v>8051</v>
      </c>
      <c r="V7380" s="2" t="s">
        <v>83</v>
      </c>
      <c r="W7380" s="2" t="s">
        <v>178</v>
      </c>
      <c r="X7380" s="2">
        <v>65.45</v>
      </c>
    </row>
    <row r="7381" spans="1:24" x14ac:dyDescent="0.3">
      <c r="A7381">
        <v>25195</v>
      </c>
      <c r="B7381" t="s">
        <v>14344</v>
      </c>
      <c r="C7381" s="3">
        <v>41916</v>
      </c>
      <c r="D7381" t="s">
        <v>50</v>
      </c>
      <c r="E7381">
        <v>16</v>
      </c>
      <c r="F7381" s="3">
        <f ca="1">41918+(RANDBETWEEN(1,10))</f>
        <v>41920</v>
      </c>
      <c r="G7381" t="s">
        <v>76</v>
      </c>
      <c r="H7381" t="s">
        <v>77</v>
      </c>
      <c r="I7381" t="s">
        <v>28</v>
      </c>
      <c r="J7381">
        <v>4143.6149999999998</v>
      </c>
      <c r="K7381">
        <v>0.1</v>
      </c>
      <c r="L7381">
        <v>0.37</v>
      </c>
      <c r="M7381">
        <v>117.6</v>
      </c>
      <c r="N7381">
        <v>-33.0687</v>
      </c>
      <c r="O7381" s="1" t="s">
        <v>53</v>
      </c>
      <c r="P7381" s="1" t="s">
        <v>14345</v>
      </c>
      <c r="Q7381" s="1" t="s">
        <v>14346</v>
      </c>
      <c r="R7381" s="1" t="s">
        <v>100</v>
      </c>
      <c r="S7381" s="1" t="s">
        <v>14347</v>
      </c>
      <c r="T7381" s="1" t="s">
        <v>14348</v>
      </c>
      <c r="U7381" s="2" t="s">
        <v>3448</v>
      </c>
      <c r="V7381" s="2" t="s">
        <v>36</v>
      </c>
      <c r="W7381" s="2" t="s">
        <v>142</v>
      </c>
      <c r="X7381" s="2">
        <v>283.39499999999998</v>
      </c>
    </row>
    <row r="7382" spans="1:24" x14ac:dyDescent="0.3">
      <c r="A7382">
        <v>25196</v>
      </c>
      <c r="B7382" t="s">
        <v>14344</v>
      </c>
      <c r="C7382" s="3">
        <v>41916</v>
      </c>
      <c r="D7382" t="s">
        <v>50</v>
      </c>
      <c r="E7382">
        <v>13</v>
      </c>
      <c r="F7382" s="3">
        <f ca="1">41918+(RANDBETWEEN(1,10))</f>
        <v>41928</v>
      </c>
      <c r="G7382" t="s">
        <v>26</v>
      </c>
      <c r="H7382" t="s">
        <v>27</v>
      </c>
      <c r="I7382" t="s">
        <v>28</v>
      </c>
      <c r="J7382">
        <v>432.005</v>
      </c>
      <c r="K7382">
        <v>7.0000000000000007E-2</v>
      </c>
      <c r="L7382">
        <v>0.4</v>
      </c>
      <c r="M7382">
        <v>34.51</v>
      </c>
      <c r="N7382">
        <v>-412.51</v>
      </c>
      <c r="O7382" s="1" t="s">
        <v>53</v>
      </c>
      <c r="P7382" s="1" t="s">
        <v>14345</v>
      </c>
      <c r="Q7382" s="1" t="s">
        <v>14346</v>
      </c>
      <c r="R7382" s="1" t="s">
        <v>100</v>
      </c>
      <c r="S7382" s="1" t="s">
        <v>14347</v>
      </c>
      <c r="T7382" s="1" t="s">
        <v>14348</v>
      </c>
      <c r="U7382" s="2" t="s">
        <v>7950</v>
      </c>
      <c r="V7382" s="2" t="s">
        <v>47</v>
      </c>
      <c r="W7382" s="2" t="s">
        <v>74</v>
      </c>
      <c r="X7382" s="2">
        <v>31.71</v>
      </c>
    </row>
    <row r="7383" spans="1:24" x14ac:dyDescent="0.3">
      <c r="A7383">
        <v>25197</v>
      </c>
      <c r="B7383" t="s">
        <v>14349</v>
      </c>
      <c r="C7383" s="3">
        <v>41445</v>
      </c>
      <c r="D7383" t="s">
        <v>148</v>
      </c>
      <c r="E7383">
        <v>5</v>
      </c>
      <c r="F7383" s="3">
        <f ca="1">41447+(RANDBETWEEN(1,10))</f>
        <v>41452</v>
      </c>
      <c r="G7383" t="s">
        <v>26</v>
      </c>
      <c r="H7383" t="s">
        <v>27</v>
      </c>
      <c r="I7383" t="s">
        <v>52</v>
      </c>
      <c r="J7383">
        <v>67.900000000000006</v>
      </c>
      <c r="K7383">
        <v>0</v>
      </c>
      <c r="L7383">
        <v>0.38</v>
      </c>
      <c r="M7383">
        <v>1.75</v>
      </c>
      <c r="N7383">
        <v>636.00599999999997</v>
      </c>
      <c r="O7383" s="1" t="s">
        <v>40</v>
      </c>
      <c r="P7383" s="1" t="s">
        <v>14350</v>
      </c>
      <c r="Q7383" s="1" t="s">
        <v>14351</v>
      </c>
      <c r="R7383" s="1" t="s">
        <v>43</v>
      </c>
      <c r="S7383" s="1" t="s">
        <v>14352</v>
      </c>
      <c r="T7383" s="1" t="s">
        <v>14353</v>
      </c>
      <c r="U7383" s="2" t="s">
        <v>702</v>
      </c>
      <c r="V7383" s="2" t="s">
        <v>47</v>
      </c>
      <c r="W7383" s="2" t="s">
        <v>203</v>
      </c>
      <c r="X7383" s="2">
        <v>12.914999999999999</v>
      </c>
    </row>
    <row r="7384" spans="1:24" x14ac:dyDescent="0.3">
      <c r="A7384">
        <v>25198</v>
      </c>
      <c r="B7384" t="s">
        <v>14354</v>
      </c>
      <c r="C7384" s="3">
        <v>41351</v>
      </c>
      <c r="D7384" t="s">
        <v>25</v>
      </c>
      <c r="E7384">
        <v>4</v>
      </c>
      <c r="F7384" s="3">
        <f ca="1">41353+(RANDBETWEEN(1,10))</f>
        <v>41356</v>
      </c>
      <c r="G7384" t="s">
        <v>156</v>
      </c>
      <c r="H7384" t="s">
        <v>27</v>
      </c>
      <c r="I7384" t="s">
        <v>28</v>
      </c>
      <c r="J7384">
        <v>76.055000000000007</v>
      </c>
      <c r="K7384">
        <v>0.02</v>
      </c>
      <c r="L7384">
        <v>0.4</v>
      </c>
      <c r="M7384">
        <v>19.88</v>
      </c>
      <c r="N7384">
        <v>-125.965</v>
      </c>
      <c r="O7384" s="1" t="s">
        <v>87</v>
      </c>
      <c r="P7384" s="1" t="s">
        <v>13487</v>
      </c>
      <c r="Q7384" s="1" t="s">
        <v>13488</v>
      </c>
      <c r="R7384" s="1" t="s">
        <v>90</v>
      </c>
      <c r="S7384" s="1" t="s">
        <v>13489</v>
      </c>
      <c r="T7384" s="1" t="s">
        <v>13490</v>
      </c>
      <c r="U7384" s="2" t="s">
        <v>5040</v>
      </c>
      <c r="V7384" s="2" t="s">
        <v>47</v>
      </c>
      <c r="W7384" s="2" t="s">
        <v>74</v>
      </c>
      <c r="X7384" s="2">
        <v>14.98</v>
      </c>
    </row>
    <row r="7385" spans="1:24" x14ac:dyDescent="0.3">
      <c r="A7385">
        <v>25199</v>
      </c>
      <c r="B7385" t="s">
        <v>14354</v>
      </c>
      <c r="C7385" s="3">
        <v>41351</v>
      </c>
      <c r="D7385" t="s">
        <v>62</v>
      </c>
      <c r="E7385">
        <v>14</v>
      </c>
      <c r="F7385" s="3">
        <f ca="1">41355+(RANDBETWEEN(1,10))</f>
        <v>41363</v>
      </c>
      <c r="G7385" t="s">
        <v>76</v>
      </c>
      <c r="H7385" t="s">
        <v>77</v>
      </c>
      <c r="I7385" t="s">
        <v>28</v>
      </c>
      <c r="J7385">
        <v>17695.544999999998</v>
      </c>
      <c r="K7385">
        <v>0</v>
      </c>
      <c r="L7385" t="s">
        <v>182</v>
      </c>
      <c r="M7385">
        <v>210</v>
      </c>
      <c r="N7385">
        <v>-22661.289000000001</v>
      </c>
      <c r="O7385" s="1" t="s">
        <v>87</v>
      </c>
      <c r="P7385" s="1" t="s">
        <v>13487</v>
      </c>
      <c r="Q7385" s="1" t="s">
        <v>13488</v>
      </c>
      <c r="R7385" s="1" t="s">
        <v>90</v>
      </c>
      <c r="S7385" s="1" t="s">
        <v>13489</v>
      </c>
      <c r="T7385" s="1" t="s">
        <v>13490</v>
      </c>
      <c r="U7385" s="2" t="s">
        <v>3108</v>
      </c>
      <c r="V7385" s="2" t="s">
        <v>83</v>
      </c>
      <c r="W7385" s="2" t="s">
        <v>263</v>
      </c>
      <c r="X7385" s="2">
        <v>1223.075</v>
      </c>
    </row>
    <row r="7386" spans="1:24" x14ac:dyDescent="0.3">
      <c r="A7386">
        <v>25200</v>
      </c>
      <c r="B7386" t="s">
        <v>14355</v>
      </c>
      <c r="C7386" s="3">
        <v>40961</v>
      </c>
      <c r="D7386" t="s">
        <v>148</v>
      </c>
      <c r="E7386">
        <v>12</v>
      </c>
      <c r="F7386" s="3">
        <f ca="1">40963+(RANDBETWEEN(1,10))</f>
        <v>40970</v>
      </c>
      <c r="G7386" t="s">
        <v>26</v>
      </c>
      <c r="H7386" t="s">
        <v>27</v>
      </c>
      <c r="I7386" t="s">
        <v>28</v>
      </c>
      <c r="J7386">
        <v>1342.04</v>
      </c>
      <c r="K7386">
        <v>0.02</v>
      </c>
      <c r="L7386">
        <v>0.74</v>
      </c>
      <c r="M7386">
        <v>14</v>
      </c>
      <c r="N7386">
        <v>394.73</v>
      </c>
      <c r="O7386" s="1" t="s">
        <v>53</v>
      </c>
      <c r="P7386" s="1" t="s">
        <v>12934</v>
      </c>
      <c r="Q7386" s="1" t="s">
        <v>12935</v>
      </c>
      <c r="R7386" s="1" t="s">
        <v>56</v>
      </c>
      <c r="S7386" s="1" t="s">
        <v>8071</v>
      </c>
      <c r="T7386" s="1" t="s">
        <v>8072</v>
      </c>
      <c r="U7386" s="2" t="s">
        <v>2704</v>
      </c>
      <c r="V7386" s="2" t="s">
        <v>36</v>
      </c>
      <c r="W7386" s="2" t="s">
        <v>60</v>
      </c>
      <c r="X7386" s="2">
        <v>108.395</v>
      </c>
    </row>
    <row r="7387" spans="1:24" x14ac:dyDescent="0.3">
      <c r="A7387">
        <v>25201</v>
      </c>
      <c r="B7387" t="s">
        <v>14356</v>
      </c>
      <c r="C7387" s="3">
        <v>41858</v>
      </c>
      <c r="D7387" t="s">
        <v>39</v>
      </c>
      <c r="E7387">
        <v>18</v>
      </c>
      <c r="F7387" s="3">
        <f ca="1">41860+(RANDBETWEEN(1,10))</f>
        <v>41869</v>
      </c>
      <c r="G7387" t="s">
        <v>26</v>
      </c>
      <c r="H7387" t="s">
        <v>27</v>
      </c>
      <c r="I7387" t="s">
        <v>28</v>
      </c>
      <c r="J7387">
        <v>351.4</v>
      </c>
      <c r="K7387">
        <v>0.08</v>
      </c>
      <c r="L7387">
        <v>0.41</v>
      </c>
      <c r="M7387">
        <v>19.495000000000001</v>
      </c>
      <c r="N7387">
        <v>-107.53064000000001</v>
      </c>
      <c r="O7387" s="1" t="s">
        <v>53</v>
      </c>
      <c r="P7387" s="1" t="s">
        <v>14345</v>
      </c>
      <c r="Q7387" s="1" t="s">
        <v>14346</v>
      </c>
      <c r="R7387" s="1" t="s">
        <v>100</v>
      </c>
      <c r="S7387" s="1" t="s">
        <v>14347</v>
      </c>
      <c r="T7387" s="1" t="s">
        <v>14348</v>
      </c>
      <c r="U7387" s="2" t="s">
        <v>10299</v>
      </c>
      <c r="V7387" s="2" t="s">
        <v>83</v>
      </c>
      <c r="W7387" s="2" t="s">
        <v>178</v>
      </c>
      <c r="X7387" s="2">
        <v>20.614999999999998</v>
      </c>
    </row>
    <row r="7388" spans="1:24" x14ac:dyDescent="0.3">
      <c r="A7388">
        <v>25202</v>
      </c>
      <c r="B7388" t="s">
        <v>14356</v>
      </c>
      <c r="C7388" s="3">
        <v>41858</v>
      </c>
      <c r="D7388" t="s">
        <v>39</v>
      </c>
      <c r="E7388">
        <v>18</v>
      </c>
      <c r="F7388" s="3">
        <f ca="1">41859+(RANDBETWEEN(1,10))</f>
        <v>41865</v>
      </c>
      <c r="G7388" t="s">
        <v>76</v>
      </c>
      <c r="H7388" t="s">
        <v>258</v>
      </c>
      <c r="I7388" t="s">
        <v>28</v>
      </c>
      <c r="J7388">
        <v>7293.23</v>
      </c>
      <c r="K7388">
        <v>0.1</v>
      </c>
      <c r="L7388">
        <v>0.63</v>
      </c>
      <c r="M7388">
        <v>181.79</v>
      </c>
      <c r="N7388">
        <v>-1015.1628480000001</v>
      </c>
      <c r="O7388" s="1" t="s">
        <v>53</v>
      </c>
      <c r="P7388" s="1" t="s">
        <v>14345</v>
      </c>
      <c r="Q7388" s="1" t="s">
        <v>14346</v>
      </c>
      <c r="R7388" s="1" t="s">
        <v>100</v>
      </c>
      <c r="S7388" s="1" t="s">
        <v>14347</v>
      </c>
      <c r="T7388" s="1" t="s">
        <v>14348</v>
      </c>
      <c r="U7388" s="2" t="s">
        <v>360</v>
      </c>
      <c r="V7388" s="2" t="s">
        <v>83</v>
      </c>
      <c r="W7388" s="2" t="s">
        <v>263</v>
      </c>
      <c r="X7388" s="2">
        <v>435.71499999999997</v>
      </c>
    </row>
    <row r="7389" spans="1:24" x14ac:dyDescent="0.3">
      <c r="A7389">
        <v>25203</v>
      </c>
      <c r="B7389" t="s">
        <v>14357</v>
      </c>
      <c r="C7389" s="3">
        <v>41955</v>
      </c>
      <c r="D7389" t="s">
        <v>148</v>
      </c>
      <c r="E7389">
        <v>9</v>
      </c>
      <c r="F7389" s="3">
        <f ca="1">41956+(RANDBETWEEN(1,10))</f>
        <v>41962</v>
      </c>
      <c r="G7389" t="s">
        <v>26</v>
      </c>
      <c r="H7389" t="s">
        <v>27</v>
      </c>
      <c r="I7389" t="s">
        <v>86</v>
      </c>
      <c r="J7389">
        <v>802.9</v>
      </c>
      <c r="K7389">
        <v>0.09</v>
      </c>
      <c r="L7389">
        <v>0.75</v>
      </c>
      <c r="M7389">
        <v>20.614999999999998</v>
      </c>
      <c r="N7389">
        <v>147.81899999999999</v>
      </c>
      <c r="O7389" s="1" t="s">
        <v>225</v>
      </c>
      <c r="P7389" s="1" t="s">
        <v>14358</v>
      </c>
      <c r="Q7389" s="1" t="s">
        <v>14359</v>
      </c>
      <c r="R7389" s="1" t="s">
        <v>391</v>
      </c>
      <c r="S7389" s="1" t="s">
        <v>3958</v>
      </c>
      <c r="T7389" s="1" t="s">
        <v>3959</v>
      </c>
      <c r="U7389" s="2" t="s">
        <v>4016</v>
      </c>
      <c r="V7389" s="2" t="s">
        <v>36</v>
      </c>
      <c r="W7389" s="2" t="s">
        <v>60</v>
      </c>
      <c r="X7389" s="2">
        <v>92.084999999999994</v>
      </c>
    </row>
    <row r="7390" spans="1:24" x14ac:dyDescent="0.3">
      <c r="A7390">
        <v>25204</v>
      </c>
      <c r="B7390" t="s">
        <v>14360</v>
      </c>
      <c r="C7390" s="3">
        <v>41069</v>
      </c>
      <c r="D7390" t="s">
        <v>25</v>
      </c>
      <c r="E7390">
        <v>10</v>
      </c>
      <c r="F7390" s="3">
        <f ca="1">41074+(RANDBETWEEN(1,10))</f>
        <v>41075</v>
      </c>
      <c r="G7390" t="s">
        <v>26</v>
      </c>
      <c r="H7390" t="s">
        <v>27</v>
      </c>
      <c r="I7390" t="s">
        <v>28</v>
      </c>
      <c r="J7390">
        <v>105.28</v>
      </c>
      <c r="K7390">
        <v>0.03</v>
      </c>
      <c r="L7390">
        <v>0.36</v>
      </c>
      <c r="M7390">
        <v>1.75</v>
      </c>
      <c r="N7390">
        <v>72.643199999999993</v>
      </c>
      <c r="O7390" s="1" t="s">
        <v>40</v>
      </c>
      <c r="P7390" s="1" t="s">
        <v>13166</v>
      </c>
      <c r="Q7390" s="1" t="s">
        <v>13167</v>
      </c>
      <c r="R7390" s="1" t="s">
        <v>43</v>
      </c>
      <c r="S7390" s="1" t="s">
        <v>13168</v>
      </c>
      <c r="T7390" s="1" t="s">
        <v>13169</v>
      </c>
      <c r="U7390" s="2" t="s">
        <v>10639</v>
      </c>
      <c r="V7390" s="2" t="s">
        <v>47</v>
      </c>
      <c r="W7390" s="2" t="s">
        <v>203</v>
      </c>
      <c r="X7390" s="2">
        <v>10.08</v>
      </c>
    </row>
    <row r="7391" spans="1:24" x14ac:dyDescent="0.3">
      <c r="A7391">
        <v>25205</v>
      </c>
      <c r="B7391" t="s">
        <v>14361</v>
      </c>
      <c r="C7391" s="3">
        <v>41799</v>
      </c>
      <c r="D7391" t="s">
        <v>25</v>
      </c>
      <c r="E7391">
        <v>4</v>
      </c>
      <c r="F7391" s="3">
        <f ca="1">41803+(RANDBETWEEN(1,10))</f>
        <v>41807</v>
      </c>
      <c r="G7391" t="s">
        <v>26</v>
      </c>
      <c r="H7391" t="s">
        <v>27</v>
      </c>
      <c r="I7391" t="s">
        <v>28</v>
      </c>
      <c r="J7391">
        <v>72.31</v>
      </c>
      <c r="K7391">
        <v>0.1</v>
      </c>
      <c r="L7391">
        <v>0.38</v>
      </c>
      <c r="M7391">
        <v>19.215</v>
      </c>
      <c r="N7391">
        <v>-89.963999999999999</v>
      </c>
      <c r="O7391" s="1" t="s">
        <v>40</v>
      </c>
      <c r="P7391" s="1" t="s">
        <v>13166</v>
      </c>
      <c r="Q7391" s="1" t="s">
        <v>13167</v>
      </c>
      <c r="R7391" s="1" t="s">
        <v>43</v>
      </c>
      <c r="S7391" s="1" t="s">
        <v>13168</v>
      </c>
      <c r="T7391" s="1" t="s">
        <v>13169</v>
      </c>
      <c r="U7391" s="2" t="s">
        <v>236</v>
      </c>
      <c r="V7391" s="2" t="s">
        <v>47</v>
      </c>
      <c r="W7391" s="2" t="s">
        <v>74</v>
      </c>
      <c r="X7391" s="2">
        <v>17.43</v>
      </c>
    </row>
    <row r="7392" spans="1:24" x14ac:dyDescent="0.3">
      <c r="A7392">
        <v>25206</v>
      </c>
      <c r="B7392" t="s">
        <v>14362</v>
      </c>
      <c r="C7392" s="3">
        <v>41648</v>
      </c>
      <c r="D7392" t="s">
        <v>50</v>
      </c>
      <c r="E7392">
        <v>13</v>
      </c>
      <c r="F7392" s="3">
        <f ca="1">41649+(RANDBETWEEN(1,10))</f>
        <v>41657</v>
      </c>
      <c r="G7392" t="s">
        <v>26</v>
      </c>
      <c r="H7392" t="s">
        <v>96</v>
      </c>
      <c r="I7392" t="s">
        <v>97</v>
      </c>
      <c r="J7392">
        <v>108.045</v>
      </c>
      <c r="K7392">
        <v>0.1</v>
      </c>
      <c r="L7392">
        <v>0.39</v>
      </c>
      <c r="M7392">
        <v>2.8</v>
      </c>
      <c r="N7392">
        <v>56.631399999999999</v>
      </c>
      <c r="O7392" s="1" t="s">
        <v>29</v>
      </c>
      <c r="P7392" s="1" t="s">
        <v>10796</v>
      </c>
      <c r="Q7392" s="1" t="s">
        <v>10797</v>
      </c>
      <c r="R7392" s="1" t="s">
        <v>460</v>
      </c>
      <c r="S7392" s="1" t="s">
        <v>10798</v>
      </c>
      <c r="T7392" s="1" t="s">
        <v>10799</v>
      </c>
      <c r="U7392" s="2" t="s">
        <v>2672</v>
      </c>
      <c r="V7392" s="2" t="s">
        <v>47</v>
      </c>
      <c r="W7392" s="2" t="s">
        <v>176</v>
      </c>
      <c r="X7392" s="2">
        <v>9.17</v>
      </c>
    </row>
    <row r="7393" spans="1:24" x14ac:dyDescent="0.3">
      <c r="A7393">
        <v>25207</v>
      </c>
      <c r="B7393" t="s">
        <v>14362</v>
      </c>
      <c r="C7393" s="3">
        <v>41648</v>
      </c>
      <c r="D7393" t="s">
        <v>50</v>
      </c>
      <c r="E7393">
        <v>1</v>
      </c>
      <c r="F7393" s="3">
        <f ca="1">41650+(RANDBETWEEN(1,10))</f>
        <v>41660</v>
      </c>
      <c r="G7393" t="s">
        <v>26</v>
      </c>
      <c r="H7393" t="s">
        <v>27</v>
      </c>
      <c r="I7393" t="s">
        <v>97</v>
      </c>
      <c r="J7393">
        <v>62.265000000000001</v>
      </c>
      <c r="K7393">
        <v>0.05</v>
      </c>
      <c r="L7393">
        <v>0.81</v>
      </c>
      <c r="M7393">
        <v>24.64</v>
      </c>
      <c r="N7393">
        <v>-206.3236</v>
      </c>
      <c r="O7393" s="1" t="s">
        <v>29</v>
      </c>
      <c r="P7393" s="1" t="s">
        <v>10796</v>
      </c>
      <c r="Q7393" s="1" t="s">
        <v>10797</v>
      </c>
      <c r="R7393" s="1" t="s">
        <v>460</v>
      </c>
      <c r="S7393" s="1" t="s">
        <v>10798</v>
      </c>
      <c r="T7393" s="1" t="s">
        <v>10799</v>
      </c>
      <c r="U7393" s="2" t="s">
        <v>5325</v>
      </c>
      <c r="V7393" s="2" t="s">
        <v>47</v>
      </c>
      <c r="W7393" s="2" t="s">
        <v>119</v>
      </c>
      <c r="X7393" s="2">
        <v>58.59</v>
      </c>
    </row>
    <row r="7394" spans="1:24" x14ac:dyDescent="0.3">
      <c r="A7394">
        <v>25208</v>
      </c>
      <c r="B7394" t="s">
        <v>14363</v>
      </c>
      <c r="C7394" s="3">
        <v>41244</v>
      </c>
      <c r="D7394" t="s">
        <v>148</v>
      </c>
      <c r="E7394">
        <v>19</v>
      </c>
      <c r="F7394" s="3">
        <f ca="1">41245+(RANDBETWEEN(1,10))</f>
        <v>41253</v>
      </c>
      <c r="G7394" t="s">
        <v>26</v>
      </c>
      <c r="H7394" t="s">
        <v>51</v>
      </c>
      <c r="I7394" t="s">
        <v>52</v>
      </c>
      <c r="J7394">
        <v>579.04</v>
      </c>
      <c r="K7394">
        <v>0.01</v>
      </c>
      <c r="L7394">
        <v>0.52</v>
      </c>
      <c r="M7394">
        <v>6.9649999999999999</v>
      </c>
      <c r="N7394">
        <v>4678.5690000000004</v>
      </c>
      <c r="O7394" s="1" t="s">
        <v>29</v>
      </c>
      <c r="P7394" s="1" t="s">
        <v>14364</v>
      </c>
      <c r="Q7394" s="1" t="s">
        <v>14365</v>
      </c>
      <c r="R7394" s="1" t="s">
        <v>460</v>
      </c>
      <c r="S7394" s="1" t="s">
        <v>14366</v>
      </c>
      <c r="T7394" s="1" t="s">
        <v>5696</v>
      </c>
      <c r="U7394" s="2" t="s">
        <v>2853</v>
      </c>
      <c r="V7394" s="2" t="s">
        <v>36</v>
      </c>
      <c r="W7394" s="2" t="s">
        <v>60</v>
      </c>
      <c r="X7394" s="2">
        <v>29.155000000000001</v>
      </c>
    </row>
    <row r="7395" spans="1:24" x14ac:dyDescent="0.3">
      <c r="A7395">
        <v>25209</v>
      </c>
      <c r="B7395" t="s">
        <v>14367</v>
      </c>
      <c r="C7395" s="3">
        <v>41315</v>
      </c>
      <c r="D7395" t="s">
        <v>50</v>
      </c>
      <c r="E7395">
        <v>12</v>
      </c>
      <c r="F7395" s="3">
        <f ca="1">41317+(RANDBETWEEN(1,10))</f>
        <v>41321</v>
      </c>
      <c r="G7395" t="s">
        <v>26</v>
      </c>
      <c r="H7395" t="s">
        <v>63</v>
      </c>
      <c r="I7395" t="s">
        <v>28</v>
      </c>
      <c r="J7395">
        <v>838.56500000000005</v>
      </c>
      <c r="K7395">
        <v>7.0000000000000007E-2</v>
      </c>
      <c r="L7395">
        <v>0.6</v>
      </c>
      <c r="M7395">
        <v>39.094999999999999</v>
      </c>
      <c r="N7395">
        <v>-341.39</v>
      </c>
      <c r="O7395" s="1" t="s">
        <v>53</v>
      </c>
      <c r="P7395" s="1" t="s">
        <v>5681</v>
      </c>
      <c r="Q7395" s="1" t="s">
        <v>5682</v>
      </c>
      <c r="R7395" s="1" t="s">
        <v>440</v>
      </c>
      <c r="S7395" s="1" t="s">
        <v>1172</v>
      </c>
      <c r="T7395" s="1" t="s">
        <v>5683</v>
      </c>
      <c r="U7395" s="2" t="s">
        <v>7243</v>
      </c>
      <c r="V7395" s="2" t="s">
        <v>83</v>
      </c>
      <c r="W7395" s="2" t="s">
        <v>178</v>
      </c>
      <c r="X7395" s="2">
        <v>69.965000000000003</v>
      </c>
    </row>
    <row r="7396" spans="1:24" x14ac:dyDescent="0.3">
      <c r="A7396">
        <v>25210</v>
      </c>
      <c r="B7396" t="s">
        <v>14368</v>
      </c>
      <c r="C7396" s="3">
        <v>41447</v>
      </c>
      <c r="D7396" t="s">
        <v>148</v>
      </c>
      <c r="E7396">
        <v>6</v>
      </c>
      <c r="F7396" s="3">
        <f ca="1">41449+(RANDBETWEEN(1,10))</f>
        <v>41455</v>
      </c>
      <c r="G7396" t="s">
        <v>156</v>
      </c>
      <c r="H7396" t="s">
        <v>51</v>
      </c>
      <c r="I7396" t="s">
        <v>86</v>
      </c>
      <c r="J7396">
        <v>585.02499999999998</v>
      </c>
      <c r="K7396">
        <v>0.08</v>
      </c>
      <c r="L7396">
        <v>0.56999999999999995</v>
      </c>
      <c r="M7396">
        <v>31.465</v>
      </c>
      <c r="N7396">
        <v>-39.06</v>
      </c>
      <c r="O7396" s="1" t="s">
        <v>87</v>
      </c>
      <c r="P7396" s="1" t="s">
        <v>9365</v>
      </c>
      <c r="Q7396" s="1" t="s">
        <v>9366</v>
      </c>
      <c r="R7396" s="1" t="s">
        <v>646</v>
      </c>
      <c r="S7396" s="1" t="s">
        <v>2982</v>
      </c>
      <c r="T7396" s="1" t="s">
        <v>2686</v>
      </c>
      <c r="U7396" s="2" t="s">
        <v>3614</v>
      </c>
      <c r="V7396" s="2" t="s">
        <v>47</v>
      </c>
      <c r="W7396" s="2" t="s">
        <v>104</v>
      </c>
      <c r="X7396" s="2">
        <v>98.525000000000006</v>
      </c>
    </row>
    <row r="7397" spans="1:24" x14ac:dyDescent="0.3">
      <c r="A7397">
        <v>25211</v>
      </c>
      <c r="B7397" t="s">
        <v>14369</v>
      </c>
      <c r="C7397" s="3">
        <v>41625</v>
      </c>
      <c r="D7397" t="s">
        <v>25</v>
      </c>
      <c r="E7397">
        <v>2</v>
      </c>
      <c r="F7397" s="3">
        <f ca="1">41634+(RANDBETWEEN(1,10))</f>
        <v>41638</v>
      </c>
      <c r="G7397" t="s">
        <v>26</v>
      </c>
      <c r="H7397" t="s">
        <v>27</v>
      </c>
      <c r="I7397" t="s">
        <v>28</v>
      </c>
      <c r="J7397">
        <v>49.594999999999999</v>
      </c>
      <c r="K7397">
        <v>0.01</v>
      </c>
      <c r="L7397">
        <v>0.36</v>
      </c>
      <c r="M7397">
        <v>26.04</v>
      </c>
      <c r="N7397">
        <v>-32.462499999999999</v>
      </c>
      <c r="O7397" s="1" t="s">
        <v>87</v>
      </c>
      <c r="P7397" s="1" t="s">
        <v>12827</v>
      </c>
      <c r="Q7397" s="1" t="s">
        <v>12828</v>
      </c>
      <c r="R7397" s="1" t="s">
        <v>646</v>
      </c>
      <c r="S7397" s="1" t="s">
        <v>3486</v>
      </c>
      <c r="T7397" s="1" t="s">
        <v>3487</v>
      </c>
      <c r="U7397" s="2" t="s">
        <v>131</v>
      </c>
      <c r="V7397" s="2" t="s">
        <v>47</v>
      </c>
      <c r="W7397" s="2" t="s">
        <v>74</v>
      </c>
      <c r="X7397" s="2">
        <v>17.43</v>
      </c>
    </row>
    <row r="7398" spans="1:24" x14ac:dyDescent="0.3">
      <c r="A7398">
        <v>25212</v>
      </c>
      <c r="B7398" t="s">
        <v>14369</v>
      </c>
      <c r="C7398" s="3">
        <v>41625</v>
      </c>
      <c r="D7398" t="s">
        <v>25</v>
      </c>
      <c r="E7398">
        <v>4</v>
      </c>
      <c r="F7398" s="3">
        <f ca="1">41625+(RANDBETWEEN(1,10))</f>
        <v>41629</v>
      </c>
      <c r="G7398" t="s">
        <v>156</v>
      </c>
      <c r="H7398" t="s">
        <v>27</v>
      </c>
      <c r="I7398" t="s">
        <v>28</v>
      </c>
      <c r="J7398">
        <v>810.67</v>
      </c>
      <c r="K7398">
        <v>0.01</v>
      </c>
      <c r="L7398">
        <v>0.55000000000000004</v>
      </c>
      <c r="M7398">
        <v>13.65</v>
      </c>
      <c r="N7398">
        <v>-258.79700000000003</v>
      </c>
      <c r="O7398" s="1" t="s">
        <v>87</v>
      </c>
      <c r="P7398" s="1" t="s">
        <v>12827</v>
      </c>
      <c r="Q7398" s="1" t="s">
        <v>12828</v>
      </c>
      <c r="R7398" s="1" t="s">
        <v>646</v>
      </c>
      <c r="S7398" s="1" t="s">
        <v>3486</v>
      </c>
      <c r="T7398" s="1" t="s">
        <v>3487</v>
      </c>
      <c r="U7398" s="2" t="s">
        <v>3221</v>
      </c>
      <c r="V7398" s="2" t="s">
        <v>36</v>
      </c>
      <c r="W7398" s="2" t="s">
        <v>37</v>
      </c>
      <c r="X7398" s="2">
        <v>230.965</v>
      </c>
    </row>
    <row r="7399" spans="1:24" x14ac:dyDescent="0.3">
      <c r="A7399">
        <v>25213</v>
      </c>
      <c r="B7399" t="s">
        <v>14370</v>
      </c>
      <c r="C7399" s="3">
        <v>41031</v>
      </c>
      <c r="D7399" t="s">
        <v>39</v>
      </c>
      <c r="E7399">
        <v>11</v>
      </c>
      <c r="F7399" s="3">
        <f ca="1">41032+(RANDBETWEEN(1,10))</f>
        <v>41033</v>
      </c>
      <c r="G7399" t="s">
        <v>26</v>
      </c>
      <c r="H7399" t="s">
        <v>27</v>
      </c>
      <c r="I7399" t="s">
        <v>28</v>
      </c>
      <c r="J7399">
        <v>1939.84</v>
      </c>
      <c r="K7399">
        <v>0.03</v>
      </c>
      <c r="L7399">
        <v>0.57999999999999996</v>
      </c>
      <c r="M7399">
        <v>47.81</v>
      </c>
      <c r="N7399">
        <v>1613.4740999999999</v>
      </c>
      <c r="O7399" s="1" t="s">
        <v>87</v>
      </c>
      <c r="P7399" s="1" t="s">
        <v>12321</v>
      </c>
      <c r="Q7399" s="1" t="s">
        <v>12322</v>
      </c>
      <c r="R7399" s="1" t="s">
        <v>398</v>
      </c>
      <c r="S7399" s="1" t="s">
        <v>12323</v>
      </c>
      <c r="T7399" s="1" t="s">
        <v>12324</v>
      </c>
      <c r="U7399" s="2" t="s">
        <v>3345</v>
      </c>
      <c r="V7399" s="2" t="s">
        <v>47</v>
      </c>
      <c r="W7399" s="2" t="s">
        <v>71</v>
      </c>
      <c r="X7399" s="2">
        <v>178.43</v>
      </c>
    </row>
    <row r="7400" spans="1:24" x14ac:dyDescent="0.3">
      <c r="A7400">
        <v>25214</v>
      </c>
      <c r="B7400" t="s">
        <v>14371</v>
      </c>
      <c r="C7400" s="3">
        <v>41701</v>
      </c>
      <c r="D7400" t="s">
        <v>62</v>
      </c>
      <c r="E7400">
        <v>11</v>
      </c>
      <c r="F7400" s="3">
        <f ca="1">41703+(RANDBETWEEN(1,10))</f>
        <v>41710</v>
      </c>
      <c r="G7400" t="s">
        <v>26</v>
      </c>
      <c r="H7400" t="s">
        <v>281</v>
      </c>
      <c r="I7400" t="s">
        <v>28</v>
      </c>
      <c r="J7400">
        <v>4442.7950000000001</v>
      </c>
      <c r="K7400">
        <v>0.04</v>
      </c>
      <c r="L7400">
        <v>0.69</v>
      </c>
      <c r="M7400">
        <v>48.965000000000003</v>
      </c>
      <c r="N7400">
        <v>2873.29</v>
      </c>
      <c r="O7400" s="1" t="s">
        <v>64</v>
      </c>
      <c r="P7400" s="1" t="s">
        <v>12637</v>
      </c>
      <c r="Q7400" s="1" t="s">
        <v>12638</v>
      </c>
      <c r="R7400" s="1" t="s">
        <v>128</v>
      </c>
      <c r="S7400" s="1" t="s">
        <v>2082</v>
      </c>
      <c r="T7400" s="1" t="s">
        <v>2083</v>
      </c>
      <c r="U7400" s="2" t="s">
        <v>1145</v>
      </c>
      <c r="V7400" s="2" t="s">
        <v>83</v>
      </c>
      <c r="W7400" s="2" t="s">
        <v>178</v>
      </c>
      <c r="X7400" s="2">
        <v>388.43</v>
      </c>
    </row>
    <row r="7401" spans="1:24" x14ac:dyDescent="0.3">
      <c r="A7401">
        <v>25215</v>
      </c>
      <c r="B7401" t="s">
        <v>14371</v>
      </c>
      <c r="C7401" s="3">
        <v>41701</v>
      </c>
      <c r="D7401" t="s">
        <v>62</v>
      </c>
      <c r="E7401">
        <v>1</v>
      </c>
      <c r="F7401" s="3">
        <f ca="1">41703+(RANDBETWEEN(1,10))</f>
        <v>41711</v>
      </c>
      <c r="G7401" t="s">
        <v>26</v>
      </c>
      <c r="H7401" t="s">
        <v>27</v>
      </c>
      <c r="I7401" t="s">
        <v>28</v>
      </c>
      <c r="J7401">
        <v>22.89</v>
      </c>
      <c r="K7401">
        <v>0</v>
      </c>
      <c r="L7401">
        <v>0.38</v>
      </c>
      <c r="M7401">
        <v>26.39</v>
      </c>
      <c r="N7401">
        <v>-85.504999999999995</v>
      </c>
      <c r="O7401" s="1" t="s">
        <v>64</v>
      </c>
      <c r="P7401" s="1" t="s">
        <v>12637</v>
      </c>
      <c r="Q7401" s="1" t="s">
        <v>12638</v>
      </c>
      <c r="R7401" s="1" t="s">
        <v>128</v>
      </c>
      <c r="S7401" s="1" t="s">
        <v>2082</v>
      </c>
      <c r="T7401" s="1" t="s">
        <v>2083</v>
      </c>
      <c r="U7401" s="2" t="s">
        <v>9298</v>
      </c>
      <c r="V7401" s="2" t="s">
        <v>47</v>
      </c>
      <c r="W7401" s="2" t="s">
        <v>74</v>
      </c>
      <c r="X7401" s="2">
        <v>17.43</v>
      </c>
    </row>
    <row r="7402" spans="1:24" x14ac:dyDescent="0.3">
      <c r="A7402">
        <v>25216</v>
      </c>
      <c r="B7402" t="s">
        <v>14371</v>
      </c>
      <c r="C7402" s="3">
        <v>41701</v>
      </c>
      <c r="D7402" t="s">
        <v>62</v>
      </c>
      <c r="E7402">
        <v>6</v>
      </c>
      <c r="F7402" s="3">
        <f ca="1">41701+(RANDBETWEEN(1,10))</f>
        <v>41705</v>
      </c>
      <c r="G7402" t="s">
        <v>26</v>
      </c>
      <c r="H7402" t="s">
        <v>96</v>
      </c>
      <c r="I7402" t="s">
        <v>28</v>
      </c>
      <c r="J7402">
        <v>37.1</v>
      </c>
      <c r="K7402">
        <v>0.09</v>
      </c>
      <c r="L7402">
        <v>0.49</v>
      </c>
      <c r="M7402">
        <v>5.46</v>
      </c>
      <c r="N7402">
        <v>-64.995000000000005</v>
      </c>
      <c r="O7402" s="1" t="s">
        <v>64</v>
      </c>
      <c r="P7402" s="1" t="s">
        <v>12637</v>
      </c>
      <c r="Q7402" s="1" t="s">
        <v>12638</v>
      </c>
      <c r="R7402" s="1" t="s">
        <v>128</v>
      </c>
      <c r="S7402" s="1" t="s">
        <v>2082</v>
      </c>
      <c r="T7402" s="1" t="s">
        <v>2083</v>
      </c>
      <c r="U7402" s="2" t="s">
        <v>12838</v>
      </c>
      <c r="V7402" s="2" t="s">
        <v>47</v>
      </c>
      <c r="W7402" s="2" t="s">
        <v>176</v>
      </c>
      <c r="X7402" s="2">
        <v>6.335</v>
      </c>
    </row>
    <row r="7403" spans="1:24" x14ac:dyDescent="0.3">
      <c r="A7403">
        <v>25217</v>
      </c>
      <c r="B7403" t="s">
        <v>14372</v>
      </c>
      <c r="C7403" s="3">
        <v>41461</v>
      </c>
      <c r="D7403" t="s">
        <v>25</v>
      </c>
      <c r="E7403">
        <v>10</v>
      </c>
      <c r="F7403" s="3">
        <f ca="1">41463+(RANDBETWEEN(1,10))</f>
        <v>41471</v>
      </c>
      <c r="G7403" t="s">
        <v>26</v>
      </c>
      <c r="H7403" t="s">
        <v>96</v>
      </c>
      <c r="I7403" t="s">
        <v>28</v>
      </c>
      <c r="J7403">
        <v>323.19</v>
      </c>
      <c r="K7403">
        <v>0.01</v>
      </c>
      <c r="L7403">
        <v>0.38</v>
      </c>
      <c r="M7403">
        <v>18.059999999999999</v>
      </c>
      <c r="N7403">
        <v>29.19</v>
      </c>
      <c r="O7403" s="1" t="s">
        <v>29</v>
      </c>
      <c r="P7403" s="1" t="s">
        <v>7115</v>
      </c>
      <c r="Q7403" s="1" t="s">
        <v>7116</v>
      </c>
      <c r="R7403" s="1" t="s">
        <v>460</v>
      </c>
      <c r="S7403" s="1" t="s">
        <v>7117</v>
      </c>
      <c r="T7403" s="1" t="s">
        <v>7118</v>
      </c>
      <c r="U7403" s="2" t="s">
        <v>7396</v>
      </c>
      <c r="V7403" s="2" t="s">
        <v>47</v>
      </c>
      <c r="W7403" s="2" t="s">
        <v>74</v>
      </c>
      <c r="X7403" s="2">
        <v>29.96</v>
      </c>
    </row>
    <row r="7404" spans="1:24" x14ac:dyDescent="0.3">
      <c r="A7404">
        <v>25218</v>
      </c>
      <c r="B7404" t="s">
        <v>14373</v>
      </c>
      <c r="C7404" s="3">
        <v>41489</v>
      </c>
      <c r="D7404" t="s">
        <v>62</v>
      </c>
      <c r="E7404">
        <v>21</v>
      </c>
      <c r="F7404" s="3">
        <f ca="1">41491+(RANDBETWEEN(1,10))</f>
        <v>41500</v>
      </c>
      <c r="G7404" t="s">
        <v>26</v>
      </c>
      <c r="H7404" t="s">
        <v>281</v>
      </c>
      <c r="I7404" t="s">
        <v>52</v>
      </c>
      <c r="J7404">
        <v>863.73</v>
      </c>
      <c r="K7404">
        <v>0.06</v>
      </c>
      <c r="L7404">
        <v>0.36</v>
      </c>
      <c r="M7404">
        <v>20.965</v>
      </c>
      <c r="N7404">
        <v>65.941400000000002</v>
      </c>
      <c r="O7404" s="1" t="s">
        <v>40</v>
      </c>
      <c r="P7404" s="1" t="s">
        <v>13554</v>
      </c>
      <c r="Q7404" s="1" t="s">
        <v>13555</v>
      </c>
      <c r="R7404" s="1" t="s">
        <v>43</v>
      </c>
      <c r="S7404" s="1" t="s">
        <v>13556</v>
      </c>
      <c r="T7404" s="1" t="s">
        <v>13557</v>
      </c>
      <c r="U7404" s="2" t="s">
        <v>3772</v>
      </c>
      <c r="V7404" s="2" t="s">
        <v>36</v>
      </c>
      <c r="W7404" s="2" t="s">
        <v>142</v>
      </c>
      <c r="X7404" s="2">
        <v>41.965000000000003</v>
      </c>
    </row>
    <row r="7405" spans="1:24" x14ac:dyDescent="0.3">
      <c r="A7405">
        <v>25219</v>
      </c>
      <c r="B7405" t="s">
        <v>14374</v>
      </c>
      <c r="C7405" s="3">
        <v>40982</v>
      </c>
      <c r="D7405" t="s">
        <v>148</v>
      </c>
      <c r="E7405">
        <v>4</v>
      </c>
      <c r="F7405" s="3">
        <f ca="1">40983+(RANDBETWEEN(1,10))</f>
        <v>40986</v>
      </c>
      <c r="G7405" t="s">
        <v>26</v>
      </c>
      <c r="H7405" t="s">
        <v>63</v>
      </c>
      <c r="I7405" t="s">
        <v>86</v>
      </c>
      <c r="J7405">
        <v>2382.73</v>
      </c>
      <c r="K7405">
        <v>7.0000000000000007E-2</v>
      </c>
      <c r="L7405">
        <v>0.85</v>
      </c>
      <c r="M7405">
        <v>122.5</v>
      </c>
      <c r="N7405">
        <v>-1562.085</v>
      </c>
      <c r="O7405" s="1" t="s">
        <v>64</v>
      </c>
      <c r="P7405" s="1" t="s">
        <v>11848</v>
      </c>
      <c r="Q7405" s="1" t="s">
        <v>11849</v>
      </c>
      <c r="R7405" s="1" t="s">
        <v>67</v>
      </c>
      <c r="S7405" s="1" t="s">
        <v>11850</v>
      </c>
      <c r="T7405" s="1" t="s">
        <v>11851</v>
      </c>
      <c r="U7405" s="2" t="s">
        <v>4771</v>
      </c>
      <c r="V7405" s="2" t="s">
        <v>47</v>
      </c>
      <c r="W7405" s="2" t="s">
        <v>119</v>
      </c>
      <c r="X7405" s="2">
        <v>585.44500000000005</v>
      </c>
    </row>
    <row r="7406" spans="1:24" x14ac:dyDescent="0.3">
      <c r="A7406">
        <v>25220</v>
      </c>
      <c r="B7406" t="s">
        <v>14374</v>
      </c>
      <c r="C7406" s="3">
        <v>40982</v>
      </c>
      <c r="D7406" t="s">
        <v>148</v>
      </c>
      <c r="E7406">
        <v>5</v>
      </c>
      <c r="F7406" s="3">
        <f ca="1">40984+(RANDBETWEEN(1,10))</f>
        <v>40989</v>
      </c>
      <c r="G7406" t="s">
        <v>156</v>
      </c>
      <c r="H7406" t="s">
        <v>51</v>
      </c>
      <c r="I7406" t="s">
        <v>86</v>
      </c>
      <c r="J7406">
        <v>303.87</v>
      </c>
      <c r="K7406">
        <v>0.06</v>
      </c>
      <c r="L7406">
        <v>0.83</v>
      </c>
      <c r="M7406">
        <v>3.4649999999999999</v>
      </c>
      <c r="N7406">
        <v>-248.82550000000001</v>
      </c>
      <c r="O7406" s="1" t="s">
        <v>64</v>
      </c>
      <c r="P7406" s="1" t="s">
        <v>11848</v>
      </c>
      <c r="Q7406" s="1" t="s">
        <v>11849</v>
      </c>
      <c r="R7406" s="1" t="s">
        <v>67</v>
      </c>
      <c r="S7406" s="1" t="s">
        <v>11850</v>
      </c>
      <c r="T7406" s="1" t="s">
        <v>11851</v>
      </c>
      <c r="U7406" s="2" t="s">
        <v>6515</v>
      </c>
      <c r="V7406" s="2" t="s">
        <v>36</v>
      </c>
      <c r="W7406" s="2" t="s">
        <v>37</v>
      </c>
      <c r="X7406" s="2">
        <v>73.465000000000003</v>
      </c>
    </row>
    <row r="7407" spans="1:24" x14ac:dyDescent="0.3">
      <c r="A7407">
        <v>25221</v>
      </c>
      <c r="B7407" t="s">
        <v>14375</v>
      </c>
      <c r="C7407" s="3">
        <v>41585</v>
      </c>
      <c r="D7407" t="s">
        <v>62</v>
      </c>
      <c r="E7407">
        <v>15</v>
      </c>
      <c r="F7407" s="3">
        <f ca="1">41587+(RANDBETWEEN(1,10))</f>
        <v>41593</v>
      </c>
      <c r="G7407" t="s">
        <v>156</v>
      </c>
      <c r="H7407" t="s">
        <v>27</v>
      </c>
      <c r="I7407" t="s">
        <v>97</v>
      </c>
      <c r="J7407">
        <v>1050.7</v>
      </c>
      <c r="K7407">
        <v>0.04</v>
      </c>
      <c r="L7407">
        <v>0.68</v>
      </c>
      <c r="M7407">
        <v>14</v>
      </c>
      <c r="N7407">
        <v>25.367999999999999</v>
      </c>
      <c r="O7407" s="1" t="s">
        <v>87</v>
      </c>
      <c r="P7407" s="1" t="s">
        <v>4196</v>
      </c>
      <c r="Q7407" s="1" t="s">
        <v>4197</v>
      </c>
      <c r="R7407" s="1" t="s">
        <v>497</v>
      </c>
      <c r="S7407" s="1" t="s">
        <v>4198</v>
      </c>
      <c r="T7407" s="1" t="s">
        <v>4199</v>
      </c>
      <c r="U7407" s="2" t="s">
        <v>2334</v>
      </c>
      <c r="V7407" s="2" t="s">
        <v>36</v>
      </c>
      <c r="W7407" s="2" t="s">
        <v>60</v>
      </c>
      <c r="X7407" s="2">
        <v>69.930000000000007</v>
      </c>
    </row>
    <row r="7408" spans="1:24" x14ac:dyDescent="0.3">
      <c r="A7408">
        <v>25222</v>
      </c>
      <c r="B7408" t="s">
        <v>14375</v>
      </c>
      <c r="C7408" s="3">
        <v>41585</v>
      </c>
      <c r="D7408" t="s">
        <v>62</v>
      </c>
      <c r="E7408">
        <v>39</v>
      </c>
      <c r="F7408" s="3">
        <f ca="1">41587+(RANDBETWEEN(1,10))</f>
        <v>41597</v>
      </c>
      <c r="G7408" t="s">
        <v>26</v>
      </c>
      <c r="H7408" t="s">
        <v>27</v>
      </c>
      <c r="I7408" t="s">
        <v>97</v>
      </c>
      <c r="J7408">
        <v>4342.1000000000004</v>
      </c>
      <c r="K7408">
        <v>0.09</v>
      </c>
      <c r="L7408">
        <v>0.56999999999999995</v>
      </c>
      <c r="M7408">
        <v>28.77</v>
      </c>
      <c r="N7408">
        <v>802.49400000000003</v>
      </c>
      <c r="O7408" s="1" t="s">
        <v>87</v>
      </c>
      <c r="P7408" s="1" t="s">
        <v>4196</v>
      </c>
      <c r="Q7408" s="1" t="s">
        <v>4197</v>
      </c>
      <c r="R7408" s="1" t="s">
        <v>497</v>
      </c>
      <c r="S7408" s="1" t="s">
        <v>4198</v>
      </c>
      <c r="T7408" s="1" t="s">
        <v>4199</v>
      </c>
      <c r="U7408" s="2" t="s">
        <v>2001</v>
      </c>
      <c r="V7408" s="2" t="s">
        <v>47</v>
      </c>
      <c r="W7408" s="2" t="s">
        <v>119</v>
      </c>
      <c r="X7408" s="2">
        <v>121.66</v>
      </c>
    </row>
    <row r="7409" spans="1:24" x14ac:dyDescent="0.3">
      <c r="A7409">
        <v>25223</v>
      </c>
      <c r="B7409" t="s">
        <v>14376</v>
      </c>
      <c r="C7409" s="3">
        <v>41605</v>
      </c>
      <c r="D7409" t="s">
        <v>50</v>
      </c>
      <c r="E7409">
        <v>3</v>
      </c>
      <c r="F7409" s="3">
        <f ca="1">41606+(RANDBETWEEN(1,10))</f>
        <v>41611</v>
      </c>
      <c r="G7409" t="s">
        <v>26</v>
      </c>
      <c r="H7409" t="s">
        <v>63</v>
      </c>
      <c r="I7409" t="s">
        <v>86</v>
      </c>
      <c r="J7409">
        <v>74782.785000000003</v>
      </c>
      <c r="K7409">
        <v>0</v>
      </c>
      <c r="L7409">
        <v>0.39</v>
      </c>
      <c r="M7409">
        <v>85.715000000000003</v>
      </c>
      <c r="N7409">
        <v>8389.0785300000007</v>
      </c>
      <c r="O7409" s="1" t="s">
        <v>64</v>
      </c>
      <c r="P7409" s="1" t="s">
        <v>8090</v>
      </c>
      <c r="Q7409" s="1" t="s">
        <v>8091</v>
      </c>
      <c r="R7409" s="1" t="s">
        <v>128</v>
      </c>
      <c r="S7409" s="1" t="s">
        <v>8092</v>
      </c>
      <c r="T7409" s="1" t="s">
        <v>8093</v>
      </c>
      <c r="U7409" s="2" t="s">
        <v>2167</v>
      </c>
      <c r="V7409" s="2" t="s">
        <v>36</v>
      </c>
      <c r="W7409" s="2" t="s">
        <v>142</v>
      </c>
      <c r="X7409" s="2">
        <v>23740.57</v>
      </c>
    </row>
    <row r="7410" spans="1:24" x14ac:dyDescent="0.3">
      <c r="A7410">
        <v>25224</v>
      </c>
      <c r="B7410" t="s">
        <v>14376</v>
      </c>
      <c r="C7410" s="3">
        <v>41605</v>
      </c>
      <c r="D7410" t="s">
        <v>50</v>
      </c>
      <c r="E7410">
        <v>29</v>
      </c>
      <c r="F7410" s="3">
        <f ca="1">41607+(RANDBETWEEN(1,10))</f>
        <v>41615</v>
      </c>
      <c r="G7410" t="s">
        <v>156</v>
      </c>
      <c r="H7410" t="s">
        <v>96</v>
      </c>
      <c r="I7410" t="s">
        <v>86</v>
      </c>
      <c r="J7410">
        <v>955.43</v>
      </c>
      <c r="K7410">
        <v>0.02</v>
      </c>
      <c r="L7410">
        <v>0.38</v>
      </c>
      <c r="M7410">
        <v>15.365</v>
      </c>
      <c r="N7410">
        <v>250.01900000000001</v>
      </c>
      <c r="O7410" s="1" t="s">
        <v>40</v>
      </c>
      <c r="P7410" s="1" t="s">
        <v>14377</v>
      </c>
      <c r="Q7410" s="1" t="s">
        <v>14378</v>
      </c>
      <c r="R7410" s="1" t="s">
        <v>43</v>
      </c>
      <c r="S7410" s="1" t="s">
        <v>14379</v>
      </c>
      <c r="T7410" s="1" t="s">
        <v>14380</v>
      </c>
      <c r="U7410" s="2" t="s">
        <v>1254</v>
      </c>
      <c r="V7410" s="2" t="s">
        <v>47</v>
      </c>
      <c r="W7410" s="2" t="s">
        <v>74</v>
      </c>
      <c r="X7410" s="2">
        <v>32.445</v>
      </c>
    </row>
    <row r="7411" spans="1:24" x14ac:dyDescent="0.3">
      <c r="A7411">
        <v>25225</v>
      </c>
      <c r="B7411" t="s">
        <v>14376</v>
      </c>
      <c r="C7411" s="3">
        <v>41605</v>
      </c>
      <c r="D7411" t="s">
        <v>50</v>
      </c>
      <c r="E7411">
        <v>10</v>
      </c>
      <c r="F7411" s="3">
        <f ca="1">41607+(RANDBETWEEN(1,10))</f>
        <v>41613</v>
      </c>
      <c r="G7411" t="s">
        <v>26</v>
      </c>
      <c r="H7411" t="s">
        <v>27</v>
      </c>
      <c r="I7411" t="s">
        <v>86</v>
      </c>
      <c r="J7411">
        <v>258.33499999999998</v>
      </c>
      <c r="K7411">
        <v>0.03</v>
      </c>
      <c r="L7411">
        <v>0.37</v>
      </c>
      <c r="M7411">
        <v>21.524999999999999</v>
      </c>
      <c r="N7411">
        <v>19.774999999999999</v>
      </c>
      <c r="O7411" s="1" t="s">
        <v>40</v>
      </c>
      <c r="P7411" s="1" t="s">
        <v>14377</v>
      </c>
      <c r="Q7411" s="1" t="s">
        <v>14378</v>
      </c>
      <c r="R7411" s="1" t="s">
        <v>43</v>
      </c>
      <c r="S7411" s="1" t="s">
        <v>14379</v>
      </c>
      <c r="T7411" s="1" t="s">
        <v>14380</v>
      </c>
      <c r="U7411" s="2" t="s">
        <v>11330</v>
      </c>
      <c r="V7411" s="2" t="s">
        <v>47</v>
      </c>
      <c r="W7411" s="2" t="s">
        <v>74</v>
      </c>
      <c r="X7411" s="2">
        <v>23.38</v>
      </c>
    </row>
    <row r="7412" spans="1:24" x14ac:dyDescent="0.3">
      <c r="A7412">
        <v>25226</v>
      </c>
      <c r="B7412" t="s">
        <v>14376</v>
      </c>
      <c r="C7412" s="3">
        <v>41605</v>
      </c>
      <c r="D7412" t="s">
        <v>50</v>
      </c>
      <c r="E7412">
        <v>11</v>
      </c>
      <c r="F7412" s="3">
        <f ca="1">41608+(RANDBETWEEN(1,10))</f>
        <v>41609</v>
      </c>
      <c r="G7412" t="s">
        <v>26</v>
      </c>
      <c r="H7412" t="s">
        <v>27</v>
      </c>
      <c r="I7412" t="s">
        <v>86</v>
      </c>
      <c r="J7412">
        <v>219.065</v>
      </c>
      <c r="K7412">
        <v>0.1</v>
      </c>
      <c r="L7412">
        <v>0.36</v>
      </c>
      <c r="M7412">
        <v>19.844999999999999</v>
      </c>
      <c r="N7412">
        <v>26.844999999999999</v>
      </c>
      <c r="O7412" s="1" t="s">
        <v>29</v>
      </c>
      <c r="P7412" s="1" t="s">
        <v>14381</v>
      </c>
      <c r="Q7412" s="1" t="s">
        <v>14382</v>
      </c>
      <c r="R7412" s="1" t="s">
        <v>460</v>
      </c>
      <c r="S7412" s="1" t="s">
        <v>4565</v>
      </c>
      <c r="T7412" s="1" t="s">
        <v>4566</v>
      </c>
      <c r="U7412" s="2" t="s">
        <v>1621</v>
      </c>
      <c r="V7412" s="2" t="s">
        <v>47</v>
      </c>
      <c r="W7412" s="2" t="s">
        <v>74</v>
      </c>
      <c r="X7412" s="2">
        <v>20.23</v>
      </c>
    </row>
    <row r="7413" spans="1:24" x14ac:dyDescent="0.3">
      <c r="A7413">
        <v>25227</v>
      </c>
      <c r="B7413" t="s">
        <v>14383</v>
      </c>
      <c r="C7413" s="3">
        <v>41724</v>
      </c>
      <c r="D7413" t="s">
        <v>148</v>
      </c>
      <c r="E7413">
        <v>2</v>
      </c>
      <c r="F7413" s="3">
        <f ca="1">41726+(RANDBETWEEN(1,10))</f>
        <v>41729</v>
      </c>
      <c r="G7413" t="s">
        <v>76</v>
      </c>
      <c r="H7413" t="s">
        <v>77</v>
      </c>
      <c r="I7413" t="s">
        <v>97</v>
      </c>
      <c r="J7413">
        <v>545.05499999999995</v>
      </c>
      <c r="K7413">
        <v>0.05</v>
      </c>
      <c r="L7413">
        <v>0.41</v>
      </c>
      <c r="M7413">
        <v>210</v>
      </c>
      <c r="N7413">
        <v>-339.423</v>
      </c>
      <c r="O7413" s="1" t="s">
        <v>40</v>
      </c>
      <c r="P7413" s="1" t="s">
        <v>9658</v>
      </c>
      <c r="Q7413" s="1" t="s">
        <v>9659</v>
      </c>
      <c r="R7413" s="1" t="s">
        <v>43</v>
      </c>
      <c r="S7413" s="1" t="s">
        <v>2030</v>
      </c>
      <c r="T7413" s="1" t="s">
        <v>2031</v>
      </c>
      <c r="U7413" s="2" t="s">
        <v>287</v>
      </c>
      <c r="V7413" s="2" t="s">
        <v>47</v>
      </c>
      <c r="W7413" s="2" t="s">
        <v>71</v>
      </c>
      <c r="X7413" s="2">
        <v>240.83500000000001</v>
      </c>
    </row>
    <row r="7414" spans="1:24" x14ac:dyDescent="0.3">
      <c r="A7414">
        <v>25228</v>
      </c>
      <c r="B7414" t="s">
        <v>14384</v>
      </c>
      <c r="C7414" s="3">
        <v>40628</v>
      </c>
      <c r="D7414" t="s">
        <v>148</v>
      </c>
      <c r="E7414">
        <v>7</v>
      </c>
      <c r="F7414" s="3">
        <f ca="1">40629+(RANDBETWEEN(1,10))</f>
        <v>40632</v>
      </c>
      <c r="G7414" t="s">
        <v>26</v>
      </c>
      <c r="H7414" t="s">
        <v>27</v>
      </c>
      <c r="I7414" t="s">
        <v>97</v>
      </c>
      <c r="J7414">
        <v>512.75</v>
      </c>
      <c r="K7414">
        <v>0.09</v>
      </c>
      <c r="L7414">
        <v>0.83</v>
      </c>
      <c r="M7414">
        <v>40.32</v>
      </c>
      <c r="N7414">
        <v>-467.411</v>
      </c>
      <c r="O7414" s="1" t="s">
        <v>40</v>
      </c>
      <c r="P7414" s="1" t="s">
        <v>9658</v>
      </c>
      <c r="Q7414" s="1" t="s">
        <v>9659</v>
      </c>
      <c r="R7414" s="1" t="s">
        <v>43</v>
      </c>
      <c r="S7414" s="1" t="s">
        <v>2030</v>
      </c>
      <c r="T7414" s="1" t="s">
        <v>2031</v>
      </c>
      <c r="U7414" s="2" t="s">
        <v>2328</v>
      </c>
      <c r="V7414" s="2" t="s">
        <v>47</v>
      </c>
      <c r="W7414" s="2" t="s">
        <v>119</v>
      </c>
      <c r="X7414" s="2">
        <v>73.114999999999995</v>
      </c>
    </row>
    <row r="7415" spans="1:24" x14ac:dyDescent="0.3">
      <c r="A7415">
        <v>25229</v>
      </c>
      <c r="B7415" t="s">
        <v>14385</v>
      </c>
      <c r="C7415" s="3">
        <v>41939</v>
      </c>
      <c r="D7415" t="s">
        <v>39</v>
      </c>
      <c r="E7415">
        <v>5</v>
      </c>
      <c r="F7415" s="3">
        <f ca="1">41941+(RANDBETWEEN(1,10))</f>
        <v>41951</v>
      </c>
      <c r="G7415" t="s">
        <v>156</v>
      </c>
      <c r="H7415" t="s">
        <v>51</v>
      </c>
      <c r="I7415" t="s">
        <v>28</v>
      </c>
      <c r="J7415">
        <v>79.974999999999994</v>
      </c>
      <c r="K7415">
        <v>0.01</v>
      </c>
      <c r="L7415">
        <v>0.59</v>
      </c>
      <c r="M7415">
        <v>14.595000000000001</v>
      </c>
      <c r="N7415">
        <v>-84.734999999999999</v>
      </c>
      <c r="O7415" s="1" t="s">
        <v>29</v>
      </c>
      <c r="P7415" s="1" t="s">
        <v>14386</v>
      </c>
      <c r="Q7415" s="1" t="s">
        <v>14387</v>
      </c>
      <c r="R7415" s="1" t="s">
        <v>32</v>
      </c>
      <c r="S7415" s="1" t="s">
        <v>1060</v>
      </c>
      <c r="T7415" s="1" t="s">
        <v>1061</v>
      </c>
      <c r="U7415" s="2" t="s">
        <v>1747</v>
      </c>
      <c r="V7415" s="2" t="s">
        <v>47</v>
      </c>
      <c r="W7415" s="2" t="s">
        <v>104</v>
      </c>
      <c r="X7415" s="2">
        <v>12.494999999999999</v>
      </c>
    </row>
    <row r="7416" spans="1:24" x14ac:dyDescent="0.3">
      <c r="A7416">
        <v>25230</v>
      </c>
      <c r="B7416" t="s">
        <v>14388</v>
      </c>
      <c r="C7416" s="3">
        <v>41578</v>
      </c>
      <c r="D7416" t="s">
        <v>39</v>
      </c>
      <c r="E7416">
        <v>18</v>
      </c>
      <c r="F7416" s="3">
        <f ca="1">41580+(RANDBETWEEN(1,10))</f>
        <v>41584</v>
      </c>
      <c r="G7416" t="s">
        <v>26</v>
      </c>
      <c r="H7416" t="s">
        <v>27</v>
      </c>
      <c r="I7416" t="s">
        <v>28</v>
      </c>
      <c r="J7416">
        <v>3060.89</v>
      </c>
      <c r="K7416">
        <v>0.04</v>
      </c>
      <c r="L7416">
        <v>0.37</v>
      </c>
      <c r="M7416">
        <v>20.265000000000001</v>
      </c>
      <c r="N7416">
        <v>2112.0140999999999</v>
      </c>
      <c r="O7416" s="1" t="s">
        <v>29</v>
      </c>
      <c r="P7416" s="1" t="s">
        <v>3889</v>
      </c>
      <c r="Q7416" s="1" t="s">
        <v>3890</v>
      </c>
      <c r="R7416" s="1" t="s">
        <v>32</v>
      </c>
      <c r="S7416" s="1" t="s">
        <v>3891</v>
      </c>
      <c r="T7416" s="1" t="s">
        <v>3892</v>
      </c>
      <c r="U7416" s="2" t="s">
        <v>8002</v>
      </c>
      <c r="V7416" s="2" t="s">
        <v>47</v>
      </c>
      <c r="W7416" s="2" t="s">
        <v>74</v>
      </c>
      <c r="X7416" s="2">
        <v>168.14</v>
      </c>
    </row>
    <row r="7417" spans="1:24" x14ac:dyDescent="0.3">
      <c r="A7417">
        <v>25231</v>
      </c>
      <c r="B7417" t="s">
        <v>14388</v>
      </c>
      <c r="C7417" s="3">
        <v>41578</v>
      </c>
      <c r="D7417" t="s">
        <v>39</v>
      </c>
      <c r="E7417">
        <v>7</v>
      </c>
      <c r="F7417" s="3">
        <f ca="1">41578+(RANDBETWEEN(1,10))</f>
        <v>41588</v>
      </c>
      <c r="G7417" t="s">
        <v>26</v>
      </c>
      <c r="H7417" t="s">
        <v>96</v>
      </c>
      <c r="I7417" t="s">
        <v>28</v>
      </c>
      <c r="J7417">
        <v>66.325000000000003</v>
      </c>
      <c r="K7417">
        <v>0.08</v>
      </c>
      <c r="L7417">
        <v>0.57999999999999996</v>
      </c>
      <c r="M7417">
        <v>8.4</v>
      </c>
      <c r="N7417">
        <v>-83.197800000000001</v>
      </c>
      <c r="O7417" s="1" t="s">
        <v>29</v>
      </c>
      <c r="P7417" s="1" t="s">
        <v>3889</v>
      </c>
      <c r="Q7417" s="1" t="s">
        <v>3890</v>
      </c>
      <c r="R7417" s="1" t="s">
        <v>32</v>
      </c>
      <c r="S7417" s="1" t="s">
        <v>3891</v>
      </c>
      <c r="T7417" s="1" t="s">
        <v>3892</v>
      </c>
      <c r="U7417" s="2" t="s">
        <v>6328</v>
      </c>
      <c r="V7417" s="2" t="s">
        <v>47</v>
      </c>
      <c r="W7417" s="2" t="s">
        <v>104</v>
      </c>
      <c r="X7417" s="2">
        <v>9.1</v>
      </c>
    </row>
    <row r="7418" spans="1:24" x14ac:dyDescent="0.3">
      <c r="A7418">
        <v>25232</v>
      </c>
      <c r="B7418" t="s">
        <v>14389</v>
      </c>
      <c r="C7418" s="3">
        <v>41727</v>
      </c>
      <c r="D7418" t="s">
        <v>50</v>
      </c>
      <c r="E7418">
        <v>9</v>
      </c>
      <c r="F7418" s="3">
        <f ca="1">41727+(RANDBETWEEN(1,10))</f>
        <v>41734</v>
      </c>
      <c r="G7418" t="s">
        <v>26</v>
      </c>
      <c r="H7418" t="s">
        <v>27</v>
      </c>
      <c r="I7418" t="s">
        <v>28</v>
      </c>
      <c r="J7418">
        <v>227.36</v>
      </c>
      <c r="K7418">
        <v>0</v>
      </c>
      <c r="L7418">
        <v>0.37</v>
      </c>
      <c r="M7418">
        <v>24.22</v>
      </c>
      <c r="N7418">
        <v>-305.44499999999999</v>
      </c>
      <c r="O7418" s="1" t="s">
        <v>53</v>
      </c>
      <c r="P7418" s="1" t="s">
        <v>5681</v>
      </c>
      <c r="Q7418" s="1" t="s">
        <v>5682</v>
      </c>
      <c r="R7418" s="1" t="s">
        <v>440</v>
      </c>
      <c r="S7418" s="1" t="s">
        <v>1172</v>
      </c>
      <c r="T7418" s="1" t="s">
        <v>5683</v>
      </c>
      <c r="U7418" s="2" t="s">
        <v>2561</v>
      </c>
      <c r="V7418" s="2" t="s">
        <v>47</v>
      </c>
      <c r="W7418" s="2" t="s">
        <v>74</v>
      </c>
      <c r="X7418" s="2">
        <v>23.38</v>
      </c>
    </row>
    <row r="7419" spans="1:24" x14ac:dyDescent="0.3">
      <c r="A7419">
        <v>25233</v>
      </c>
      <c r="B7419" t="s">
        <v>14390</v>
      </c>
      <c r="C7419" s="3">
        <v>40997</v>
      </c>
      <c r="D7419" t="s">
        <v>50</v>
      </c>
      <c r="E7419">
        <v>12</v>
      </c>
      <c r="F7419" s="3">
        <f ca="1">40997+(RANDBETWEEN(1,10))</f>
        <v>41000</v>
      </c>
      <c r="G7419" t="s">
        <v>76</v>
      </c>
      <c r="H7419" t="s">
        <v>77</v>
      </c>
      <c r="I7419" t="s">
        <v>28</v>
      </c>
      <c r="J7419">
        <v>3733.24</v>
      </c>
      <c r="K7419">
        <v>0.04</v>
      </c>
      <c r="L7419">
        <v>0.56000000000000005</v>
      </c>
      <c r="M7419">
        <v>210</v>
      </c>
      <c r="N7419">
        <v>298.51499999999999</v>
      </c>
      <c r="O7419" s="1" t="s">
        <v>53</v>
      </c>
      <c r="P7419" s="1" t="s">
        <v>5681</v>
      </c>
      <c r="Q7419" s="1" t="s">
        <v>5682</v>
      </c>
      <c r="R7419" s="1" t="s">
        <v>440</v>
      </c>
      <c r="S7419" s="1" t="s">
        <v>1172</v>
      </c>
      <c r="T7419" s="1" t="s">
        <v>5683</v>
      </c>
      <c r="U7419" s="2" t="s">
        <v>14330</v>
      </c>
      <c r="V7419" s="2" t="s">
        <v>83</v>
      </c>
      <c r="W7419" s="2" t="s">
        <v>263</v>
      </c>
      <c r="X7419" s="2">
        <v>298.51499999999999</v>
      </c>
    </row>
    <row r="7420" spans="1:24" x14ac:dyDescent="0.3">
      <c r="A7420">
        <v>25234</v>
      </c>
      <c r="B7420" t="s">
        <v>14391</v>
      </c>
      <c r="C7420" s="3">
        <v>41702</v>
      </c>
      <c r="D7420" t="s">
        <v>25</v>
      </c>
      <c r="E7420">
        <v>9</v>
      </c>
      <c r="F7420" s="3">
        <f ca="1">41711+(RANDBETWEEN(1,10))</f>
        <v>41718</v>
      </c>
      <c r="G7420" t="s">
        <v>26</v>
      </c>
      <c r="H7420" t="s">
        <v>51</v>
      </c>
      <c r="I7420" t="s">
        <v>52</v>
      </c>
      <c r="J7420">
        <v>763.38499999999999</v>
      </c>
      <c r="K7420">
        <v>0.09</v>
      </c>
      <c r="L7420">
        <v>0.56999999999999995</v>
      </c>
      <c r="M7420">
        <v>14.28</v>
      </c>
      <c r="N7420">
        <v>454.33499999999998</v>
      </c>
      <c r="O7420" s="1" t="s">
        <v>40</v>
      </c>
      <c r="P7420" s="1" t="s">
        <v>10470</v>
      </c>
      <c r="Q7420" s="1" t="s">
        <v>10471</v>
      </c>
      <c r="R7420" s="1" t="s">
        <v>220</v>
      </c>
      <c r="S7420" s="1" t="s">
        <v>6003</v>
      </c>
      <c r="T7420" s="1" t="s">
        <v>6004</v>
      </c>
      <c r="U7420" s="2" t="s">
        <v>12507</v>
      </c>
      <c r="V7420" s="2" t="s">
        <v>47</v>
      </c>
      <c r="W7420" s="2" t="s">
        <v>104</v>
      </c>
      <c r="X7420" s="2">
        <v>90.93</v>
      </c>
    </row>
    <row r="7421" spans="1:24" x14ac:dyDescent="0.3">
      <c r="A7421">
        <v>25235</v>
      </c>
      <c r="B7421" t="s">
        <v>14392</v>
      </c>
      <c r="C7421" s="3">
        <v>41199</v>
      </c>
      <c r="D7421" t="s">
        <v>62</v>
      </c>
      <c r="E7421">
        <v>22</v>
      </c>
      <c r="F7421" s="3">
        <f ca="1">41200+(RANDBETWEEN(1,10))</f>
        <v>41201</v>
      </c>
      <c r="G7421" t="s">
        <v>76</v>
      </c>
      <c r="H7421" t="s">
        <v>77</v>
      </c>
      <c r="I7421" t="s">
        <v>28</v>
      </c>
      <c r="J7421">
        <v>9015.7549999999992</v>
      </c>
      <c r="K7421">
        <v>0.01</v>
      </c>
      <c r="L7421">
        <v>0.71</v>
      </c>
      <c r="M7421">
        <v>105</v>
      </c>
      <c r="N7421">
        <v>566.84879999999998</v>
      </c>
      <c r="O7421" s="1" t="s">
        <v>53</v>
      </c>
      <c r="P7421" s="1" t="s">
        <v>11734</v>
      </c>
      <c r="Q7421" s="1" t="s">
        <v>11735</v>
      </c>
      <c r="R7421" s="1" t="s">
        <v>100</v>
      </c>
      <c r="S7421" s="1" t="s">
        <v>4707</v>
      </c>
      <c r="T7421" s="1" t="s">
        <v>4708</v>
      </c>
      <c r="U7421" s="2" t="s">
        <v>7057</v>
      </c>
      <c r="V7421" s="2" t="s">
        <v>83</v>
      </c>
      <c r="W7421" s="2" t="s">
        <v>84</v>
      </c>
      <c r="X7421" s="2">
        <v>388.43</v>
      </c>
    </row>
    <row r="7422" spans="1:24" x14ac:dyDescent="0.3">
      <c r="A7422">
        <v>25236</v>
      </c>
      <c r="B7422" t="s">
        <v>14393</v>
      </c>
      <c r="C7422" s="3">
        <v>41884</v>
      </c>
      <c r="D7422" t="s">
        <v>50</v>
      </c>
      <c r="E7422">
        <v>24</v>
      </c>
      <c r="F7422" s="3">
        <f ca="1">41885+(RANDBETWEEN(1,10))</f>
        <v>41893</v>
      </c>
      <c r="G7422" t="s">
        <v>26</v>
      </c>
      <c r="H7422" t="s">
        <v>96</v>
      </c>
      <c r="I7422" t="s">
        <v>52</v>
      </c>
      <c r="J7422">
        <v>183.715</v>
      </c>
      <c r="K7422">
        <v>0.03</v>
      </c>
      <c r="L7422">
        <v>0.38</v>
      </c>
      <c r="M7422">
        <v>3.5</v>
      </c>
      <c r="N7422">
        <v>43.658999999999999</v>
      </c>
      <c r="O7422" s="1" t="s">
        <v>40</v>
      </c>
      <c r="P7422" s="1" t="s">
        <v>9369</v>
      </c>
      <c r="Q7422" s="1" t="s">
        <v>9370</v>
      </c>
      <c r="R7422" s="1" t="s">
        <v>220</v>
      </c>
      <c r="S7422" s="1" t="s">
        <v>9371</v>
      </c>
      <c r="T7422" s="1" t="s">
        <v>9372</v>
      </c>
      <c r="U7422" s="2" t="s">
        <v>671</v>
      </c>
      <c r="V7422" s="2" t="s">
        <v>47</v>
      </c>
      <c r="W7422" s="2" t="s">
        <v>104</v>
      </c>
      <c r="X7422" s="2">
        <v>7.7350000000000003</v>
      </c>
    </row>
    <row r="7423" spans="1:24" x14ac:dyDescent="0.3">
      <c r="A7423">
        <v>25237</v>
      </c>
      <c r="B7423" t="s">
        <v>14393</v>
      </c>
      <c r="C7423" s="3">
        <v>41884</v>
      </c>
      <c r="D7423" t="s">
        <v>50</v>
      </c>
      <c r="E7423">
        <v>3</v>
      </c>
      <c r="F7423" s="3">
        <f ca="1">41885+(RANDBETWEEN(1,10))</f>
        <v>41886</v>
      </c>
      <c r="G7423" t="s">
        <v>26</v>
      </c>
      <c r="H7423" t="s">
        <v>27</v>
      </c>
      <c r="I7423" t="s">
        <v>52</v>
      </c>
      <c r="J7423">
        <v>1676.605</v>
      </c>
      <c r="K7423">
        <v>0.09</v>
      </c>
      <c r="L7423">
        <v>0.59</v>
      </c>
      <c r="M7423">
        <v>69.965000000000003</v>
      </c>
      <c r="N7423">
        <v>-248.22980000000001</v>
      </c>
      <c r="O7423" s="1" t="s">
        <v>40</v>
      </c>
      <c r="P7423" s="1" t="s">
        <v>9369</v>
      </c>
      <c r="Q7423" s="1" t="s">
        <v>9370</v>
      </c>
      <c r="R7423" s="1" t="s">
        <v>220</v>
      </c>
      <c r="S7423" s="1" t="s">
        <v>9371</v>
      </c>
      <c r="T7423" s="1" t="s">
        <v>9372</v>
      </c>
      <c r="U7423" s="2" t="s">
        <v>2230</v>
      </c>
      <c r="V7423" s="2" t="s">
        <v>47</v>
      </c>
      <c r="W7423" s="2" t="s">
        <v>119</v>
      </c>
      <c r="X7423" s="2">
        <v>578.20000000000005</v>
      </c>
    </row>
    <row r="7424" spans="1:24" x14ac:dyDescent="0.3">
      <c r="A7424">
        <v>25238</v>
      </c>
      <c r="B7424" t="s">
        <v>14393</v>
      </c>
      <c r="C7424" s="3">
        <v>41884</v>
      </c>
      <c r="D7424" t="s">
        <v>50</v>
      </c>
      <c r="E7424">
        <v>1</v>
      </c>
      <c r="F7424" s="3">
        <f ca="1">41886+(RANDBETWEEN(1,10))</f>
        <v>41893</v>
      </c>
      <c r="G7424" t="s">
        <v>26</v>
      </c>
      <c r="H7424" t="s">
        <v>27</v>
      </c>
      <c r="I7424" t="s">
        <v>52</v>
      </c>
      <c r="J7424">
        <v>25.83</v>
      </c>
      <c r="K7424">
        <v>7.0000000000000007E-2</v>
      </c>
      <c r="L7424">
        <v>0.37</v>
      </c>
      <c r="M7424">
        <v>24.535</v>
      </c>
      <c r="N7424">
        <v>-36.770789999999998</v>
      </c>
      <c r="O7424" s="1" t="s">
        <v>40</v>
      </c>
      <c r="P7424" s="1" t="s">
        <v>14394</v>
      </c>
      <c r="Q7424" s="1" t="s">
        <v>14395</v>
      </c>
      <c r="R7424" s="1" t="s">
        <v>220</v>
      </c>
      <c r="S7424" s="1" t="s">
        <v>11789</v>
      </c>
      <c r="T7424" s="1" t="s">
        <v>11790</v>
      </c>
      <c r="U7424" s="2" t="s">
        <v>2043</v>
      </c>
      <c r="V7424" s="2" t="s">
        <v>47</v>
      </c>
      <c r="W7424" s="2" t="s">
        <v>111</v>
      </c>
      <c r="X7424" s="2">
        <v>13.615</v>
      </c>
    </row>
    <row r="7425" spans="1:24" x14ac:dyDescent="0.3">
      <c r="A7425">
        <v>25239</v>
      </c>
      <c r="B7425" t="s">
        <v>14396</v>
      </c>
      <c r="C7425" s="3">
        <v>40788</v>
      </c>
      <c r="D7425" t="s">
        <v>50</v>
      </c>
      <c r="E7425">
        <v>14</v>
      </c>
      <c r="F7425" s="3">
        <f ca="1">40789+(RANDBETWEEN(1,10))</f>
        <v>40791</v>
      </c>
      <c r="G7425" t="s">
        <v>76</v>
      </c>
      <c r="H7425" t="s">
        <v>77</v>
      </c>
      <c r="I7425" t="s">
        <v>52</v>
      </c>
      <c r="J7425">
        <v>17801.28</v>
      </c>
      <c r="K7425">
        <v>0.06</v>
      </c>
      <c r="L7425">
        <v>0.64</v>
      </c>
      <c r="M7425">
        <v>206.22</v>
      </c>
      <c r="N7425">
        <v>5813.22</v>
      </c>
      <c r="O7425" s="1" t="s">
        <v>40</v>
      </c>
      <c r="P7425" s="1" t="s">
        <v>14394</v>
      </c>
      <c r="Q7425" s="1" t="s">
        <v>14395</v>
      </c>
      <c r="R7425" s="1" t="s">
        <v>220</v>
      </c>
      <c r="S7425" s="1" t="s">
        <v>11789</v>
      </c>
      <c r="T7425" s="1" t="s">
        <v>11790</v>
      </c>
      <c r="U7425" s="2" t="s">
        <v>207</v>
      </c>
      <c r="V7425" s="2" t="s">
        <v>83</v>
      </c>
      <c r="W7425" s="2" t="s">
        <v>84</v>
      </c>
      <c r="X7425" s="2">
        <v>1245.93</v>
      </c>
    </row>
    <row r="7426" spans="1:24" x14ac:dyDescent="0.3">
      <c r="A7426">
        <v>25240</v>
      </c>
      <c r="B7426" t="s">
        <v>14397</v>
      </c>
      <c r="C7426" s="3">
        <v>41706</v>
      </c>
      <c r="D7426" t="s">
        <v>148</v>
      </c>
      <c r="E7426">
        <v>3</v>
      </c>
      <c r="F7426" s="3">
        <f ca="1">41707+(RANDBETWEEN(1,10))</f>
        <v>41709</v>
      </c>
      <c r="G7426" t="s">
        <v>26</v>
      </c>
      <c r="H7426" t="s">
        <v>27</v>
      </c>
      <c r="I7426" t="s">
        <v>28</v>
      </c>
      <c r="J7426">
        <v>152.215</v>
      </c>
      <c r="K7426">
        <v>0.03</v>
      </c>
      <c r="L7426">
        <v>0.59</v>
      </c>
      <c r="M7426">
        <v>15.785</v>
      </c>
      <c r="N7426">
        <v>-8.9250000000000007</v>
      </c>
      <c r="O7426" s="1" t="s">
        <v>53</v>
      </c>
      <c r="P7426" s="1" t="s">
        <v>14398</v>
      </c>
      <c r="Q7426" s="1" t="s">
        <v>14399</v>
      </c>
      <c r="R7426" s="1" t="s">
        <v>56</v>
      </c>
      <c r="S7426" s="1" t="s">
        <v>13908</v>
      </c>
      <c r="T7426" s="1" t="s">
        <v>13909</v>
      </c>
      <c r="U7426" s="2" t="s">
        <v>1495</v>
      </c>
      <c r="V7426" s="2" t="s">
        <v>47</v>
      </c>
      <c r="W7426" s="2" t="s">
        <v>119</v>
      </c>
      <c r="X7426" s="2">
        <v>47.18</v>
      </c>
    </row>
    <row r="7427" spans="1:24" x14ac:dyDescent="0.3">
      <c r="A7427">
        <v>25241</v>
      </c>
      <c r="B7427" t="s">
        <v>14400</v>
      </c>
      <c r="C7427" s="3">
        <v>40556</v>
      </c>
      <c r="D7427" t="s">
        <v>62</v>
      </c>
      <c r="E7427">
        <v>4</v>
      </c>
      <c r="F7427" s="3">
        <f ca="1">40556+(RANDBETWEEN(1,10))</f>
        <v>40557</v>
      </c>
      <c r="G7427" t="s">
        <v>26</v>
      </c>
      <c r="H7427" t="s">
        <v>27</v>
      </c>
      <c r="I7427" t="s">
        <v>97</v>
      </c>
      <c r="J7427">
        <v>32.305</v>
      </c>
      <c r="K7427">
        <v>0.06</v>
      </c>
      <c r="L7427">
        <v>0.43</v>
      </c>
      <c r="M7427">
        <v>18.655000000000001</v>
      </c>
      <c r="N7427">
        <v>-288.9572</v>
      </c>
      <c r="O7427" s="1" t="s">
        <v>53</v>
      </c>
      <c r="P7427" s="1" t="s">
        <v>12901</v>
      </c>
      <c r="Q7427" s="1" t="s">
        <v>12902</v>
      </c>
      <c r="R7427" s="1" t="s">
        <v>56</v>
      </c>
      <c r="S7427" s="1" t="s">
        <v>12903</v>
      </c>
      <c r="T7427" s="1" t="s">
        <v>12904</v>
      </c>
      <c r="U7427" s="2" t="s">
        <v>2500</v>
      </c>
      <c r="V7427" s="2" t="s">
        <v>83</v>
      </c>
      <c r="W7427" s="2" t="s">
        <v>178</v>
      </c>
      <c r="X7427" s="2">
        <v>7.28</v>
      </c>
    </row>
    <row r="7428" spans="1:24" x14ac:dyDescent="0.3">
      <c r="A7428">
        <v>25242</v>
      </c>
      <c r="B7428" t="s">
        <v>14401</v>
      </c>
      <c r="C7428" s="3">
        <v>41640</v>
      </c>
      <c r="D7428" t="s">
        <v>25</v>
      </c>
      <c r="E7428">
        <v>12</v>
      </c>
      <c r="F7428" s="3">
        <f ca="1">41647+(RANDBETWEEN(1,10))</f>
        <v>41648</v>
      </c>
      <c r="G7428" t="s">
        <v>26</v>
      </c>
      <c r="H7428" t="s">
        <v>27</v>
      </c>
      <c r="I7428" t="s">
        <v>28</v>
      </c>
      <c r="J7428">
        <v>2197.8249999999998</v>
      </c>
      <c r="K7428">
        <v>0.03</v>
      </c>
      <c r="L7428">
        <v>0.41</v>
      </c>
      <c r="M7428">
        <v>69.965000000000003</v>
      </c>
      <c r="N7428">
        <v>885.7002</v>
      </c>
      <c r="O7428" s="1" t="s">
        <v>40</v>
      </c>
      <c r="P7428" s="1" t="s">
        <v>11551</v>
      </c>
      <c r="Q7428" s="1" t="s">
        <v>11552</v>
      </c>
      <c r="R7428" s="1" t="s">
        <v>43</v>
      </c>
      <c r="S7428" s="1" t="s">
        <v>9511</v>
      </c>
      <c r="T7428" s="1" t="s">
        <v>9512</v>
      </c>
      <c r="U7428" s="2" t="s">
        <v>300</v>
      </c>
      <c r="V7428" s="2" t="s">
        <v>36</v>
      </c>
      <c r="W7428" s="2" t="s">
        <v>60</v>
      </c>
      <c r="X7428" s="2">
        <v>174.965</v>
      </c>
    </row>
    <row r="7429" spans="1:24" x14ac:dyDescent="0.3">
      <c r="A7429">
        <v>25243</v>
      </c>
      <c r="B7429" t="s">
        <v>14401</v>
      </c>
      <c r="C7429" s="3">
        <v>41640</v>
      </c>
      <c r="D7429" t="s">
        <v>25</v>
      </c>
      <c r="E7429">
        <v>14</v>
      </c>
      <c r="F7429" s="3">
        <f ca="1">41645+(RANDBETWEEN(1,10))</f>
        <v>41651</v>
      </c>
      <c r="G7429" t="s">
        <v>26</v>
      </c>
      <c r="H7429" t="s">
        <v>96</v>
      </c>
      <c r="I7429" t="s">
        <v>28</v>
      </c>
      <c r="J7429">
        <v>184.13499999999999</v>
      </c>
      <c r="K7429">
        <v>0.08</v>
      </c>
      <c r="L7429">
        <v>0.35</v>
      </c>
      <c r="M7429">
        <v>10.395</v>
      </c>
      <c r="N7429">
        <v>-165.91820000000001</v>
      </c>
      <c r="O7429" s="1" t="s">
        <v>40</v>
      </c>
      <c r="P7429" s="1" t="s">
        <v>11551</v>
      </c>
      <c r="Q7429" s="1" t="s">
        <v>11552</v>
      </c>
      <c r="R7429" s="1" t="s">
        <v>43</v>
      </c>
      <c r="S7429" s="1" t="s">
        <v>9511</v>
      </c>
      <c r="T7429" s="1" t="s">
        <v>9512</v>
      </c>
      <c r="U7429" s="2" t="s">
        <v>3164</v>
      </c>
      <c r="V7429" s="2" t="s">
        <v>47</v>
      </c>
      <c r="W7429" s="2" t="s">
        <v>74</v>
      </c>
      <c r="X7429" s="2">
        <v>13.93</v>
      </c>
    </row>
    <row r="7430" spans="1:24" x14ac:dyDescent="0.3">
      <c r="A7430">
        <v>25244</v>
      </c>
      <c r="B7430" t="s">
        <v>14402</v>
      </c>
      <c r="C7430" s="3">
        <v>41426</v>
      </c>
      <c r="D7430" t="s">
        <v>39</v>
      </c>
      <c r="E7430">
        <v>10</v>
      </c>
      <c r="F7430" s="3">
        <f ca="1">41428+(RANDBETWEEN(1,10))</f>
        <v>41432</v>
      </c>
      <c r="G7430" t="s">
        <v>26</v>
      </c>
      <c r="H7430" t="s">
        <v>27</v>
      </c>
      <c r="I7430" t="s">
        <v>52</v>
      </c>
      <c r="J7430">
        <v>658.14</v>
      </c>
      <c r="K7430">
        <v>0.08</v>
      </c>
      <c r="L7430">
        <v>0.38</v>
      </c>
      <c r="M7430">
        <v>20.895</v>
      </c>
      <c r="N7430">
        <v>24.466995000000001</v>
      </c>
      <c r="O7430" s="1" t="s">
        <v>64</v>
      </c>
      <c r="P7430" s="1" t="s">
        <v>9613</v>
      </c>
      <c r="Q7430" s="1" t="s">
        <v>9614</v>
      </c>
      <c r="R7430" s="1" t="s">
        <v>67</v>
      </c>
      <c r="S7430" s="1" t="s">
        <v>9615</v>
      </c>
      <c r="T7430" s="1" t="s">
        <v>9616</v>
      </c>
      <c r="U7430" s="2" t="s">
        <v>161</v>
      </c>
      <c r="V7430" s="2" t="s">
        <v>47</v>
      </c>
      <c r="W7430" s="2" t="s">
        <v>74</v>
      </c>
      <c r="X7430" s="2">
        <v>69.930000000000007</v>
      </c>
    </row>
    <row r="7431" spans="1:24" x14ac:dyDescent="0.3">
      <c r="A7431">
        <v>25245</v>
      </c>
      <c r="B7431" t="s">
        <v>14402</v>
      </c>
      <c r="C7431" s="3">
        <v>41426</v>
      </c>
      <c r="D7431" t="s">
        <v>39</v>
      </c>
      <c r="E7431">
        <v>18</v>
      </c>
      <c r="F7431" s="3">
        <f ca="1">41428+(RANDBETWEEN(1,10))</f>
        <v>41430</v>
      </c>
      <c r="G7431" t="s">
        <v>76</v>
      </c>
      <c r="H7431" t="s">
        <v>77</v>
      </c>
      <c r="I7431" t="s">
        <v>52</v>
      </c>
      <c r="J7431">
        <v>15903.58</v>
      </c>
      <c r="K7431">
        <v>0.08</v>
      </c>
      <c r="L7431">
        <v>0.56000000000000005</v>
      </c>
      <c r="M7431">
        <v>98.21</v>
      </c>
      <c r="N7431">
        <v>464.07900000000001</v>
      </c>
      <c r="O7431" s="1" t="s">
        <v>40</v>
      </c>
      <c r="P7431" s="1" t="s">
        <v>14403</v>
      </c>
      <c r="Q7431" s="1" t="s">
        <v>14404</v>
      </c>
      <c r="R7431" s="1" t="s">
        <v>43</v>
      </c>
      <c r="S7431" s="1" t="s">
        <v>14405</v>
      </c>
      <c r="T7431" s="1" t="s">
        <v>14406</v>
      </c>
      <c r="U7431" s="2" t="s">
        <v>6948</v>
      </c>
      <c r="V7431" s="2" t="s">
        <v>36</v>
      </c>
      <c r="W7431" s="2" t="s">
        <v>142</v>
      </c>
      <c r="X7431" s="2">
        <v>948.39499999999998</v>
      </c>
    </row>
    <row r="7432" spans="1:24" x14ac:dyDescent="0.3">
      <c r="A7432">
        <v>25246</v>
      </c>
      <c r="B7432" t="s">
        <v>14402</v>
      </c>
      <c r="C7432" s="3">
        <v>41426</v>
      </c>
      <c r="D7432" t="s">
        <v>39</v>
      </c>
      <c r="E7432">
        <v>8</v>
      </c>
      <c r="F7432" s="3">
        <f ca="1">41428+(RANDBETWEEN(1,10))</f>
        <v>41436</v>
      </c>
      <c r="G7432" t="s">
        <v>26</v>
      </c>
      <c r="H7432" t="s">
        <v>96</v>
      </c>
      <c r="I7432" t="s">
        <v>52</v>
      </c>
      <c r="J7432">
        <v>75.495000000000005</v>
      </c>
      <c r="K7432">
        <v>0.1</v>
      </c>
      <c r="L7432">
        <v>0.57999999999999996</v>
      </c>
      <c r="M7432">
        <v>3.36</v>
      </c>
      <c r="N7432">
        <v>-10643.486000000001</v>
      </c>
      <c r="O7432" s="1" t="s">
        <v>40</v>
      </c>
      <c r="P7432" s="1" t="s">
        <v>14403</v>
      </c>
      <c r="Q7432" s="1" t="s">
        <v>14404</v>
      </c>
      <c r="R7432" s="1" t="s">
        <v>43</v>
      </c>
      <c r="S7432" s="1" t="s">
        <v>14405</v>
      </c>
      <c r="T7432" s="1" t="s">
        <v>14406</v>
      </c>
      <c r="U7432" s="2" t="s">
        <v>154</v>
      </c>
      <c r="V7432" s="2" t="s">
        <v>47</v>
      </c>
      <c r="W7432" s="2" t="s">
        <v>104</v>
      </c>
      <c r="X7432" s="2">
        <v>10.29</v>
      </c>
    </row>
    <row r="7433" spans="1:24" x14ac:dyDescent="0.3">
      <c r="A7433">
        <v>25247</v>
      </c>
      <c r="B7433" t="s">
        <v>14407</v>
      </c>
      <c r="C7433" s="3">
        <v>41373</v>
      </c>
      <c r="D7433" t="s">
        <v>50</v>
      </c>
      <c r="E7433">
        <v>10</v>
      </c>
      <c r="F7433" s="3">
        <f ca="1">41375+(RANDBETWEEN(1,10))</f>
        <v>41385</v>
      </c>
      <c r="G7433" t="s">
        <v>156</v>
      </c>
      <c r="H7433" t="s">
        <v>27</v>
      </c>
      <c r="I7433" t="s">
        <v>97</v>
      </c>
      <c r="J7433">
        <v>184.94</v>
      </c>
      <c r="K7433">
        <v>0.03</v>
      </c>
      <c r="L7433">
        <v>0.39</v>
      </c>
      <c r="M7433">
        <v>1.7150000000000001</v>
      </c>
      <c r="N7433">
        <v>-2590.4003124999999</v>
      </c>
      <c r="O7433" s="1" t="s">
        <v>40</v>
      </c>
      <c r="P7433" s="1" t="s">
        <v>14403</v>
      </c>
      <c r="Q7433" s="1" t="s">
        <v>14404</v>
      </c>
      <c r="R7433" s="1" t="s">
        <v>43</v>
      </c>
      <c r="S7433" s="1" t="s">
        <v>14405</v>
      </c>
      <c r="T7433" s="1" t="s">
        <v>14406</v>
      </c>
      <c r="U7433" s="2" t="s">
        <v>892</v>
      </c>
      <c r="V7433" s="2" t="s">
        <v>47</v>
      </c>
      <c r="W7433" s="2" t="s">
        <v>203</v>
      </c>
      <c r="X7433" s="2">
        <v>17.43</v>
      </c>
    </row>
    <row r="7434" spans="1:24" x14ac:dyDescent="0.3">
      <c r="A7434">
        <v>25248</v>
      </c>
      <c r="B7434" t="s">
        <v>14407</v>
      </c>
      <c r="C7434" s="3">
        <v>41373</v>
      </c>
      <c r="D7434" t="s">
        <v>50</v>
      </c>
      <c r="E7434">
        <v>11</v>
      </c>
      <c r="F7434" s="3">
        <f ca="1">41374+(RANDBETWEEN(1,10))</f>
        <v>41375</v>
      </c>
      <c r="G7434" t="s">
        <v>156</v>
      </c>
      <c r="H7434" t="s">
        <v>27</v>
      </c>
      <c r="I7434" t="s">
        <v>97</v>
      </c>
      <c r="J7434">
        <v>5058.34</v>
      </c>
      <c r="K7434">
        <v>7.0000000000000007E-2</v>
      </c>
      <c r="L7434">
        <v>0.73</v>
      </c>
      <c r="M7434">
        <v>69.965000000000003</v>
      </c>
      <c r="N7434">
        <v>-20903.83365</v>
      </c>
      <c r="O7434" s="1" t="s">
        <v>40</v>
      </c>
      <c r="P7434" s="1" t="s">
        <v>14403</v>
      </c>
      <c r="Q7434" s="1" t="s">
        <v>14404</v>
      </c>
      <c r="R7434" s="1" t="s">
        <v>43</v>
      </c>
      <c r="S7434" s="1" t="s">
        <v>14405</v>
      </c>
      <c r="T7434" s="1" t="s">
        <v>14406</v>
      </c>
      <c r="U7434" s="2" t="s">
        <v>1828</v>
      </c>
      <c r="V7434" s="2" t="s">
        <v>47</v>
      </c>
      <c r="W7434" s="2" t="s">
        <v>119</v>
      </c>
      <c r="X7434" s="2">
        <v>492.97500000000002</v>
      </c>
    </row>
    <row r="7435" spans="1:24" x14ac:dyDescent="0.3">
      <c r="A7435">
        <v>25249</v>
      </c>
      <c r="B7435" t="s">
        <v>14408</v>
      </c>
      <c r="C7435" s="3">
        <v>41528</v>
      </c>
      <c r="D7435" t="s">
        <v>25</v>
      </c>
      <c r="E7435">
        <v>20</v>
      </c>
      <c r="F7435" s="3">
        <f ca="1">41530+(RANDBETWEEN(1,10))</f>
        <v>41533</v>
      </c>
      <c r="G7435" t="s">
        <v>26</v>
      </c>
      <c r="H7435" t="s">
        <v>27</v>
      </c>
      <c r="I7435" t="s">
        <v>86</v>
      </c>
      <c r="J7435">
        <v>414.85500000000002</v>
      </c>
      <c r="K7435">
        <v>0.01</v>
      </c>
      <c r="L7435">
        <v>0.35</v>
      </c>
      <c r="M7435">
        <v>18.55</v>
      </c>
      <c r="N7435">
        <v>-32.878999999999998</v>
      </c>
      <c r="O7435" s="1" t="s">
        <v>87</v>
      </c>
      <c r="P7435" s="1" t="s">
        <v>12775</v>
      </c>
      <c r="Q7435" s="1" t="s">
        <v>12776</v>
      </c>
      <c r="R7435" s="1" t="s">
        <v>90</v>
      </c>
      <c r="S7435" s="1" t="s">
        <v>3603</v>
      </c>
      <c r="T7435" s="1" t="s">
        <v>3604</v>
      </c>
      <c r="U7435" s="2" t="s">
        <v>2464</v>
      </c>
      <c r="V7435" s="2" t="s">
        <v>47</v>
      </c>
      <c r="W7435" s="2" t="s">
        <v>48</v>
      </c>
      <c r="X7435" s="2">
        <v>19.53</v>
      </c>
    </row>
    <row r="7436" spans="1:24" x14ac:dyDescent="0.3">
      <c r="A7436">
        <v>25250</v>
      </c>
      <c r="B7436" t="s">
        <v>14409</v>
      </c>
      <c r="C7436" s="3">
        <v>41352</v>
      </c>
      <c r="D7436" t="s">
        <v>50</v>
      </c>
      <c r="E7436">
        <v>10</v>
      </c>
      <c r="F7436" s="3">
        <f ca="1">41353+(RANDBETWEEN(1,10))</f>
        <v>41360</v>
      </c>
      <c r="G7436" t="s">
        <v>26</v>
      </c>
      <c r="H7436" t="s">
        <v>96</v>
      </c>
      <c r="I7436" t="s">
        <v>28</v>
      </c>
      <c r="J7436">
        <v>133.07</v>
      </c>
      <c r="K7436">
        <v>0.02</v>
      </c>
      <c r="L7436">
        <v>0.83</v>
      </c>
      <c r="M7436">
        <v>3.29</v>
      </c>
      <c r="N7436">
        <v>-55.86</v>
      </c>
      <c r="O7436" s="1" t="s">
        <v>53</v>
      </c>
      <c r="P7436" s="1" t="s">
        <v>14148</v>
      </c>
      <c r="Q7436" s="1" t="s">
        <v>14149</v>
      </c>
      <c r="R7436" s="1" t="s">
        <v>100</v>
      </c>
      <c r="S7436" s="1" t="s">
        <v>6142</v>
      </c>
      <c r="T7436" s="1" t="s">
        <v>6143</v>
      </c>
      <c r="U7436" s="2" t="s">
        <v>12066</v>
      </c>
      <c r="V7436" s="2" t="s">
        <v>47</v>
      </c>
      <c r="W7436" s="2" t="s">
        <v>176</v>
      </c>
      <c r="X7436" s="2">
        <v>13.09</v>
      </c>
    </row>
    <row r="7437" spans="1:24" x14ac:dyDescent="0.3">
      <c r="A7437">
        <v>25251</v>
      </c>
      <c r="B7437" t="s">
        <v>14410</v>
      </c>
      <c r="C7437" s="3">
        <v>40791</v>
      </c>
      <c r="D7437" t="s">
        <v>50</v>
      </c>
      <c r="E7437">
        <v>15</v>
      </c>
      <c r="F7437" s="3">
        <f ca="1">40792+(RANDBETWEEN(1,10))</f>
        <v>40797</v>
      </c>
      <c r="G7437" t="s">
        <v>26</v>
      </c>
      <c r="H7437" t="s">
        <v>27</v>
      </c>
      <c r="I7437" t="s">
        <v>97</v>
      </c>
      <c r="J7437">
        <v>308.77</v>
      </c>
      <c r="K7437">
        <v>0.03</v>
      </c>
      <c r="L7437">
        <v>0.36</v>
      </c>
      <c r="M7437">
        <v>18.795000000000002</v>
      </c>
      <c r="N7437">
        <v>-221.72499999999999</v>
      </c>
      <c r="O7437" s="1" t="s">
        <v>225</v>
      </c>
      <c r="P7437" s="1" t="s">
        <v>3072</v>
      </c>
      <c r="Q7437" s="1" t="s">
        <v>3073</v>
      </c>
      <c r="R7437" s="1" t="s">
        <v>228</v>
      </c>
      <c r="S7437" s="1" t="s">
        <v>1794</v>
      </c>
      <c r="T7437" s="1" t="s">
        <v>548</v>
      </c>
      <c r="U7437" s="2" t="s">
        <v>728</v>
      </c>
      <c r="V7437" s="2" t="s">
        <v>47</v>
      </c>
      <c r="W7437" s="2" t="s">
        <v>74</v>
      </c>
      <c r="X7437" s="2">
        <v>20.23</v>
      </c>
    </row>
    <row r="7438" spans="1:24" x14ac:dyDescent="0.3">
      <c r="A7438">
        <v>25252</v>
      </c>
      <c r="B7438" t="s">
        <v>14411</v>
      </c>
      <c r="C7438" s="3">
        <v>41825</v>
      </c>
      <c r="D7438" t="s">
        <v>148</v>
      </c>
      <c r="E7438">
        <v>1</v>
      </c>
      <c r="F7438" s="3">
        <f ca="1">41826+(RANDBETWEEN(1,10))</f>
        <v>41835</v>
      </c>
      <c r="G7438" t="s">
        <v>26</v>
      </c>
      <c r="H7438" t="s">
        <v>27</v>
      </c>
      <c r="I7438" t="s">
        <v>86</v>
      </c>
      <c r="J7438">
        <v>14.14</v>
      </c>
      <c r="K7438">
        <v>0.02</v>
      </c>
      <c r="L7438">
        <v>0.38</v>
      </c>
      <c r="M7438">
        <v>1.75</v>
      </c>
      <c r="N7438">
        <v>-3.1281599999999998</v>
      </c>
      <c r="O7438" s="1" t="s">
        <v>40</v>
      </c>
      <c r="P7438" s="1" t="s">
        <v>12313</v>
      </c>
      <c r="Q7438" s="1" t="s">
        <v>12314</v>
      </c>
      <c r="R7438" s="1" t="s">
        <v>43</v>
      </c>
      <c r="S7438" s="1" t="s">
        <v>12315</v>
      </c>
      <c r="T7438" s="1" t="s">
        <v>12316</v>
      </c>
      <c r="U7438" s="2" t="s">
        <v>1307</v>
      </c>
      <c r="V7438" s="2" t="s">
        <v>47</v>
      </c>
      <c r="W7438" s="2" t="s">
        <v>203</v>
      </c>
      <c r="X7438" s="2">
        <v>12.914999999999999</v>
      </c>
    </row>
    <row r="7439" spans="1:24" x14ac:dyDescent="0.3">
      <c r="A7439">
        <v>25253</v>
      </c>
      <c r="B7439" t="s">
        <v>14412</v>
      </c>
      <c r="C7439" s="3">
        <v>41324</v>
      </c>
      <c r="D7439" t="s">
        <v>148</v>
      </c>
      <c r="E7439">
        <v>1</v>
      </c>
      <c r="F7439" s="3">
        <f ca="1">41325+(RANDBETWEEN(1,10))</f>
        <v>41328</v>
      </c>
      <c r="G7439" t="s">
        <v>26</v>
      </c>
      <c r="H7439" t="s">
        <v>27</v>
      </c>
      <c r="I7439" t="s">
        <v>86</v>
      </c>
      <c r="J7439">
        <v>3032.7150000000001</v>
      </c>
      <c r="K7439">
        <v>0.08</v>
      </c>
      <c r="L7439">
        <v>0.38</v>
      </c>
      <c r="M7439">
        <v>69.965000000000003</v>
      </c>
      <c r="N7439">
        <v>680.11474999999996</v>
      </c>
      <c r="O7439" s="1" t="s">
        <v>29</v>
      </c>
      <c r="P7439" s="1" t="s">
        <v>13509</v>
      </c>
      <c r="Q7439" s="1" t="s">
        <v>13510</v>
      </c>
      <c r="R7439" s="1" t="s">
        <v>32</v>
      </c>
      <c r="S7439" s="1" t="s">
        <v>1961</v>
      </c>
      <c r="T7439" s="1" t="s">
        <v>1962</v>
      </c>
      <c r="U7439" s="2" t="s">
        <v>1207</v>
      </c>
      <c r="V7439" s="2" t="s">
        <v>47</v>
      </c>
      <c r="W7439" s="2" t="s">
        <v>111</v>
      </c>
      <c r="X7439" s="2">
        <v>3139.4650000000001</v>
      </c>
    </row>
    <row r="7440" spans="1:24" x14ac:dyDescent="0.3">
      <c r="A7440">
        <v>25254</v>
      </c>
      <c r="B7440" t="s">
        <v>14412</v>
      </c>
      <c r="C7440" s="3">
        <v>41324</v>
      </c>
      <c r="D7440" t="s">
        <v>148</v>
      </c>
      <c r="E7440">
        <v>4</v>
      </c>
      <c r="F7440" s="3">
        <f ca="1">41326+(RANDBETWEEN(1,10))</f>
        <v>41335</v>
      </c>
      <c r="G7440" t="s">
        <v>26</v>
      </c>
      <c r="H7440" t="s">
        <v>27</v>
      </c>
      <c r="I7440" t="s">
        <v>86</v>
      </c>
      <c r="J7440">
        <v>1408.47</v>
      </c>
      <c r="K7440">
        <v>0.06</v>
      </c>
      <c r="L7440">
        <v>0.46</v>
      </c>
      <c r="M7440">
        <v>25.13</v>
      </c>
      <c r="N7440">
        <v>724.01</v>
      </c>
      <c r="O7440" s="1" t="s">
        <v>29</v>
      </c>
      <c r="P7440" s="1" t="s">
        <v>13509</v>
      </c>
      <c r="Q7440" s="1" t="s">
        <v>13510</v>
      </c>
      <c r="R7440" s="1" t="s">
        <v>32</v>
      </c>
      <c r="S7440" s="1" t="s">
        <v>1961</v>
      </c>
      <c r="T7440" s="1" t="s">
        <v>1962</v>
      </c>
      <c r="U7440" s="2" t="s">
        <v>8699</v>
      </c>
      <c r="V7440" s="2" t="s">
        <v>36</v>
      </c>
      <c r="W7440" s="2" t="s">
        <v>60</v>
      </c>
      <c r="X7440" s="2">
        <v>353.39499999999998</v>
      </c>
    </row>
    <row r="7441" spans="1:24" x14ac:dyDescent="0.3">
      <c r="A7441">
        <v>25255</v>
      </c>
      <c r="B7441" t="s">
        <v>14413</v>
      </c>
      <c r="C7441" s="3">
        <v>41114</v>
      </c>
      <c r="D7441" t="s">
        <v>25</v>
      </c>
      <c r="E7441">
        <v>8</v>
      </c>
      <c r="F7441" s="3">
        <f ca="1">41116+(RANDBETWEEN(1,10))</f>
        <v>41124</v>
      </c>
      <c r="G7441" t="s">
        <v>76</v>
      </c>
      <c r="H7441" t="s">
        <v>77</v>
      </c>
      <c r="I7441" t="s">
        <v>52</v>
      </c>
      <c r="J7441">
        <v>1988.21</v>
      </c>
      <c r="K7441">
        <v>0.04</v>
      </c>
      <c r="L7441">
        <v>0.41</v>
      </c>
      <c r="M7441">
        <v>210</v>
      </c>
      <c r="N7441">
        <v>11.905950000000001</v>
      </c>
      <c r="O7441" s="1" t="s">
        <v>53</v>
      </c>
      <c r="P7441" s="1" t="s">
        <v>8987</v>
      </c>
      <c r="Q7441" s="1" t="s">
        <v>8988</v>
      </c>
      <c r="R7441" s="1" t="s">
        <v>440</v>
      </c>
      <c r="S7441" s="1" t="s">
        <v>8989</v>
      </c>
      <c r="T7441" s="1" t="s">
        <v>8990</v>
      </c>
      <c r="U7441" s="2" t="s">
        <v>287</v>
      </c>
      <c r="V7441" s="2" t="s">
        <v>47</v>
      </c>
      <c r="W7441" s="2" t="s">
        <v>71</v>
      </c>
      <c r="X7441" s="2">
        <v>240.83500000000001</v>
      </c>
    </row>
    <row r="7442" spans="1:24" x14ac:dyDescent="0.3">
      <c r="A7442">
        <v>25256</v>
      </c>
      <c r="B7442" t="s">
        <v>14413</v>
      </c>
      <c r="C7442" s="3">
        <v>41114</v>
      </c>
      <c r="D7442" t="s">
        <v>25</v>
      </c>
      <c r="E7442">
        <v>3</v>
      </c>
      <c r="F7442" s="3">
        <f ca="1">41121+(RANDBETWEEN(1,10))</f>
        <v>41125</v>
      </c>
      <c r="G7442" t="s">
        <v>26</v>
      </c>
      <c r="H7442" t="s">
        <v>27</v>
      </c>
      <c r="I7442" t="s">
        <v>52</v>
      </c>
      <c r="J7442">
        <v>30.59</v>
      </c>
      <c r="K7442">
        <v>0.09</v>
      </c>
      <c r="L7442">
        <v>0.37</v>
      </c>
      <c r="M7442">
        <v>1.75</v>
      </c>
      <c r="N7442">
        <v>-965.59400000000005</v>
      </c>
      <c r="O7442" s="1" t="s">
        <v>53</v>
      </c>
      <c r="P7442" s="1" t="s">
        <v>8987</v>
      </c>
      <c r="Q7442" s="1" t="s">
        <v>8988</v>
      </c>
      <c r="R7442" s="1" t="s">
        <v>440</v>
      </c>
      <c r="S7442" s="1" t="s">
        <v>8989</v>
      </c>
      <c r="T7442" s="1" t="s">
        <v>8990</v>
      </c>
      <c r="U7442" s="2" t="s">
        <v>5970</v>
      </c>
      <c r="V7442" s="2" t="s">
        <v>47</v>
      </c>
      <c r="W7442" s="2" t="s">
        <v>203</v>
      </c>
      <c r="X7442" s="2">
        <v>11.025</v>
      </c>
    </row>
    <row r="7443" spans="1:24" x14ac:dyDescent="0.3">
      <c r="A7443">
        <v>25257</v>
      </c>
      <c r="B7443" t="s">
        <v>14413</v>
      </c>
      <c r="C7443" s="3">
        <v>41114</v>
      </c>
      <c r="D7443" t="s">
        <v>25</v>
      </c>
      <c r="E7443">
        <v>13</v>
      </c>
      <c r="F7443" s="3">
        <f ca="1">41114+(RANDBETWEEN(1,10))</f>
        <v>41123</v>
      </c>
      <c r="G7443" t="s">
        <v>156</v>
      </c>
      <c r="H7443" t="s">
        <v>96</v>
      </c>
      <c r="I7443" t="s">
        <v>52</v>
      </c>
      <c r="J7443">
        <v>192.15</v>
      </c>
      <c r="K7443">
        <v>0.05</v>
      </c>
      <c r="L7443">
        <v>0.36</v>
      </c>
      <c r="M7443">
        <v>7.91</v>
      </c>
      <c r="N7443">
        <v>216.53100000000001</v>
      </c>
      <c r="O7443" s="1" t="s">
        <v>53</v>
      </c>
      <c r="P7443" s="1" t="s">
        <v>8987</v>
      </c>
      <c r="Q7443" s="1" t="s">
        <v>8988</v>
      </c>
      <c r="R7443" s="1" t="s">
        <v>440</v>
      </c>
      <c r="S7443" s="1" t="s">
        <v>8989</v>
      </c>
      <c r="T7443" s="1" t="s">
        <v>8990</v>
      </c>
      <c r="U7443" s="2" t="s">
        <v>11875</v>
      </c>
      <c r="V7443" s="2" t="s">
        <v>47</v>
      </c>
      <c r="W7443" s="2" t="s">
        <v>74</v>
      </c>
      <c r="X7443" s="2">
        <v>14.7</v>
      </c>
    </row>
    <row r="7444" spans="1:24" x14ac:dyDescent="0.3">
      <c r="A7444">
        <v>25258</v>
      </c>
      <c r="B7444" t="s">
        <v>14413</v>
      </c>
      <c r="C7444" s="3">
        <v>41114</v>
      </c>
      <c r="D7444" t="s">
        <v>25</v>
      </c>
      <c r="E7444">
        <v>13</v>
      </c>
      <c r="F7444" s="3">
        <f ca="1">41121+(RANDBETWEEN(1,10))</f>
        <v>41127</v>
      </c>
      <c r="G7444" t="s">
        <v>156</v>
      </c>
      <c r="H7444" t="s">
        <v>27</v>
      </c>
      <c r="I7444" t="s">
        <v>52</v>
      </c>
      <c r="J7444">
        <v>403.76</v>
      </c>
      <c r="K7444">
        <v>0.01</v>
      </c>
      <c r="L7444">
        <v>0.4</v>
      </c>
      <c r="M7444">
        <v>31.29</v>
      </c>
      <c r="N7444">
        <v>-619.60850000000005</v>
      </c>
      <c r="O7444" s="1" t="s">
        <v>53</v>
      </c>
      <c r="P7444" s="1" t="s">
        <v>14414</v>
      </c>
      <c r="Q7444" s="1" t="s">
        <v>14415</v>
      </c>
      <c r="R7444" s="1" t="s">
        <v>56</v>
      </c>
      <c r="S7444" s="1" t="s">
        <v>2069</v>
      </c>
      <c r="T7444" s="1" t="s">
        <v>2070</v>
      </c>
      <c r="U7444" s="2" t="s">
        <v>2966</v>
      </c>
      <c r="V7444" s="2" t="s">
        <v>47</v>
      </c>
      <c r="W7444" s="2" t="s">
        <v>111</v>
      </c>
      <c r="X7444" s="2">
        <v>28.14</v>
      </c>
    </row>
    <row r="7445" spans="1:24" x14ac:dyDescent="0.3">
      <c r="A7445">
        <v>25259</v>
      </c>
      <c r="B7445" t="s">
        <v>14416</v>
      </c>
      <c r="C7445" s="3">
        <v>41589</v>
      </c>
      <c r="D7445" t="s">
        <v>148</v>
      </c>
      <c r="E7445">
        <v>11</v>
      </c>
      <c r="F7445" s="3">
        <f ca="1">41591+(RANDBETWEEN(1,10))</f>
        <v>41600</v>
      </c>
      <c r="G7445" t="s">
        <v>26</v>
      </c>
      <c r="H7445" t="s">
        <v>27</v>
      </c>
      <c r="I7445" t="s">
        <v>52</v>
      </c>
      <c r="J7445">
        <v>1914.78</v>
      </c>
      <c r="K7445">
        <v>0.05</v>
      </c>
      <c r="L7445">
        <v>0.37</v>
      </c>
      <c r="M7445">
        <v>20.265000000000001</v>
      </c>
      <c r="N7445">
        <v>1321.1982</v>
      </c>
      <c r="O7445" s="1" t="s">
        <v>40</v>
      </c>
      <c r="P7445" s="1" t="s">
        <v>14417</v>
      </c>
      <c r="Q7445" s="1" t="s">
        <v>14418</v>
      </c>
      <c r="R7445" s="1" t="s">
        <v>43</v>
      </c>
      <c r="S7445" s="1" t="s">
        <v>4289</v>
      </c>
      <c r="T7445" s="1" t="s">
        <v>4290</v>
      </c>
      <c r="U7445" s="2" t="s">
        <v>8002</v>
      </c>
      <c r="V7445" s="2" t="s">
        <v>47</v>
      </c>
      <c r="W7445" s="2" t="s">
        <v>74</v>
      </c>
      <c r="X7445" s="2">
        <v>168.14</v>
      </c>
    </row>
    <row r="7446" spans="1:24" x14ac:dyDescent="0.3">
      <c r="A7446">
        <v>2526</v>
      </c>
      <c r="B7446" t="s">
        <v>14419</v>
      </c>
      <c r="C7446" s="3">
        <v>41838</v>
      </c>
      <c r="D7446" t="s">
        <v>62</v>
      </c>
      <c r="E7446">
        <v>55</v>
      </c>
      <c r="F7446" s="3">
        <f ca="1">41838+(RANDBETWEEN(1,10))</f>
        <v>41840</v>
      </c>
      <c r="G7446" t="s">
        <v>26</v>
      </c>
      <c r="H7446" t="s">
        <v>27</v>
      </c>
      <c r="I7446" t="s">
        <v>52</v>
      </c>
      <c r="J7446">
        <v>1174.2149999999999</v>
      </c>
      <c r="K7446">
        <v>0</v>
      </c>
      <c r="L7446">
        <v>0.36</v>
      </c>
      <c r="M7446">
        <v>27.86</v>
      </c>
      <c r="N7446">
        <v>-769.28530000000001</v>
      </c>
      <c r="O7446" s="1" t="s">
        <v>225</v>
      </c>
      <c r="P7446" s="1" t="s">
        <v>3977</v>
      </c>
      <c r="Q7446" s="1" t="s">
        <v>3978</v>
      </c>
      <c r="R7446" s="1" t="s">
        <v>228</v>
      </c>
      <c r="S7446" s="1" t="s">
        <v>349</v>
      </c>
      <c r="T7446" s="1" t="s">
        <v>350</v>
      </c>
      <c r="U7446" s="2" t="s">
        <v>3042</v>
      </c>
      <c r="V7446" s="2" t="s">
        <v>47</v>
      </c>
      <c r="W7446" s="2" t="s">
        <v>74</v>
      </c>
      <c r="X7446" s="2">
        <v>20.23</v>
      </c>
    </row>
    <row r="7447" spans="1:24" x14ac:dyDescent="0.3">
      <c r="A7447">
        <v>25260</v>
      </c>
      <c r="B7447" t="s">
        <v>14416</v>
      </c>
      <c r="C7447" s="3">
        <v>41589</v>
      </c>
      <c r="D7447" t="s">
        <v>148</v>
      </c>
      <c r="E7447">
        <v>9</v>
      </c>
      <c r="F7447" s="3">
        <f ca="1">41591+(RANDBETWEEN(1,10))</f>
        <v>41596</v>
      </c>
      <c r="G7447" t="s">
        <v>76</v>
      </c>
      <c r="H7447" t="s">
        <v>258</v>
      </c>
      <c r="I7447" t="s">
        <v>52</v>
      </c>
      <c r="J7447">
        <v>5906.81</v>
      </c>
      <c r="K7447">
        <v>0.01</v>
      </c>
      <c r="L7447">
        <v>0.74</v>
      </c>
      <c r="M7447">
        <v>102.235</v>
      </c>
      <c r="N7447">
        <v>303.30310009999999</v>
      </c>
      <c r="O7447" s="1" t="s">
        <v>40</v>
      </c>
      <c r="P7447" s="1" t="s">
        <v>14420</v>
      </c>
      <c r="Q7447" s="1" t="s">
        <v>14421</v>
      </c>
      <c r="R7447" s="1" t="s">
        <v>43</v>
      </c>
      <c r="S7447" s="1" t="s">
        <v>2453</v>
      </c>
      <c r="T7447" s="1" t="s">
        <v>2454</v>
      </c>
      <c r="U7447" s="2" t="s">
        <v>1724</v>
      </c>
      <c r="V7447" s="2" t="s">
        <v>83</v>
      </c>
      <c r="W7447" s="2" t="s">
        <v>263</v>
      </c>
      <c r="X7447" s="2">
        <v>627.51499999999999</v>
      </c>
    </row>
    <row r="7448" spans="1:24" x14ac:dyDescent="0.3">
      <c r="A7448">
        <v>25261</v>
      </c>
      <c r="B7448" t="s">
        <v>14416</v>
      </c>
      <c r="C7448" s="3">
        <v>41589</v>
      </c>
      <c r="D7448" t="s">
        <v>148</v>
      </c>
      <c r="E7448">
        <v>40</v>
      </c>
      <c r="F7448" s="3">
        <f ca="1">41591+(RANDBETWEEN(1,10))</f>
        <v>41592</v>
      </c>
      <c r="G7448" t="s">
        <v>76</v>
      </c>
      <c r="H7448" t="s">
        <v>258</v>
      </c>
      <c r="I7448" t="s">
        <v>52</v>
      </c>
      <c r="J7448">
        <v>10686.83</v>
      </c>
      <c r="K7448">
        <v>0</v>
      </c>
      <c r="L7448">
        <v>0.69</v>
      </c>
      <c r="M7448">
        <v>312.55</v>
      </c>
      <c r="N7448">
        <v>417.57754499999999</v>
      </c>
      <c r="O7448" s="1" t="s">
        <v>225</v>
      </c>
      <c r="P7448" s="1" t="s">
        <v>14422</v>
      </c>
      <c r="Q7448" s="1" t="s">
        <v>14423</v>
      </c>
      <c r="R7448" s="1" t="s">
        <v>391</v>
      </c>
      <c r="S7448" s="1" t="s">
        <v>14424</v>
      </c>
      <c r="T7448" s="1" t="s">
        <v>14425</v>
      </c>
      <c r="U7448" s="2" t="s">
        <v>407</v>
      </c>
      <c r="V7448" s="2" t="s">
        <v>83</v>
      </c>
      <c r="W7448" s="2" t="s">
        <v>263</v>
      </c>
      <c r="X7448" s="2">
        <v>248.11500000000001</v>
      </c>
    </row>
    <row r="7449" spans="1:24" x14ac:dyDescent="0.3">
      <c r="A7449">
        <v>25262</v>
      </c>
      <c r="B7449" t="s">
        <v>14426</v>
      </c>
      <c r="C7449" s="3">
        <v>41994</v>
      </c>
      <c r="D7449" t="s">
        <v>50</v>
      </c>
      <c r="E7449">
        <v>7</v>
      </c>
      <c r="F7449" s="3">
        <f ca="1">41996+(RANDBETWEEN(1,10))</f>
        <v>42001</v>
      </c>
      <c r="G7449" t="s">
        <v>26</v>
      </c>
      <c r="H7449" t="s">
        <v>63</v>
      </c>
      <c r="I7449" t="s">
        <v>28</v>
      </c>
      <c r="J7449">
        <v>2619.9250000000002</v>
      </c>
      <c r="K7449">
        <v>7.0000000000000007E-2</v>
      </c>
      <c r="L7449">
        <v>0.82</v>
      </c>
      <c r="M7449">
        <v>122.5</v>
      </c>
      <c r="N7449">
        <v>-552.53183999999999</v>
      </c>
      <c r="O7449" s="1" t="s">
        <v>40</v>
      </c>
      <c r="P7449" s="1" t="s">
        <v>13166</v>
      </c>
      <c r="Q7449" s="1" t="s">
        <v>13167</v>
      </c>
      <c r="R7449" s="1" t="s">
        <v>43</v>
      </c>
      <c r="S7449" s="1" t="s">
        <v>13168</v>
      </c>
      <c r="T7449" s="1" t="s">
        <v>13169</v>
      </c>
      <c r="U7449" s="2" t="s">
        <v>5442</v>
      </c>
      <c r="V7449" s="2" t="s">
        <v>47</v>
      </c>
      <c r="W7449" s="2" t="s">
        <v>119</v>
      </c>
      <c r="X7449" s="2">
        <v>388.43</v>
      </c>
    </row>
    <row r="7450" spans="1:24" x14ac:dyDescent="0.3">
      <c r="A7450">
        <v>25263</v>
      </c>
      <c r="B7450" t="s">
        <v>14427</v>
      </c>
      <c r="C7450" s="3">
        <v>41176</v>
      </c>
      <c r="D7450" t="s">
        <v>62</v>
      </c>
      <c r="E7450">
        <v>6</v>
      </c>
      <c r="F7450" s="3">
        <f ca="1">41178+(RANDBETWEEN(1,10))</f>
        <v>41183</v>
      </c>
      <c r="G7450" t="s">
        <v>26</v>
      </c>
      <c r="H7450" t="s">
        <v>27</v>
      </c>
      <c r="I7450" t="s">
        <v>97</v>
      </c>
      <c r="J7450">
        <v>168.84</v>
      </c>
      <c r="K7450">
        <v>0.04</v>
      </c>
      <c r="L7450">
        <v>0.35</v>
      </c>
      <c r="M7450">
        <v>16.484999999999999</v>
      </c>
      <c r="N7450">
        <v>-32.481749999999998</v>
      </c>
      <c r="O7450" s="1" t="s">
        <v>87</v>
      </c>
      <c r="P7450" s="1" t="s">
        <v>9039</v>
      </c>
      <c r="Q7450" s="1" t="s">
        <v>9040</v>
      </c>
      <c r="R7450" s="1" t="s">
        <v>398</v>
      </c>
      <c r="S7450" s="1" t="s">
        <v>6156</v>
      </c>
      <c r="T7450" s="1" t="s">
        <v>6157</v>
      </c>
      <c r="U7450" s="2" t="s">
        <v>2245</v>
      </c>
      <c r="V7450" s="2" t="s">
        <v>47</v>
      </c>
      <c r="W7450" s="2" t="s">
        <v>111</v>
      </c>
      <c r="X7450" s="2">
        <v>27.44</v>
      </c>
    </row>
    <row r="7451" spans="1:24" x14ac:dyDescent="0.3">
      <c r="A7451">
        <v>25264</v>
      </c>
      <c r="B7451" t="s">
        <v>14428</v>
      </c>
      <c r="C7451" s="3">
        <v>40689</v>
      </c>
      <c r="D7451" t="s">
        <v>25</v>
      </c>
      <c r="E7451">
        <v>13</v>
      </c>
      <c r="F7451" s="3">
        <f ca="1">40696+(RANDBETWEEN(1,10))</f>
        <v>40701</v>
      </c>
      <c r="G7451" t="s">
        <v>26</v>
      </c>
      <c r="H7451" t="s">
        <v>27</v>
      </c>
      <c r="I7451" t="s">
        <v>86</v>
      </c>
      <c r="J7451">
        <v>279.755</v>
      </c>
      <c r="K7451">
        <v>0.01</v>
      </c>
      <c r="L7451">
        <v>0.38</v>
      </c>
      <c r="M7451">
        <v>34.72</v>
      </c>
      <c r="N7451">
        <v>-897.81650000000002</v>
      </c>
      <c r="O7451" s="1" t="s">
        <v>87</v>
      </c>
      <c r="P7451" s="1" t="s">
        <v>13159</v>
      </c>
      <c r="Q7451" s="1" t="s">
        <v>13160</v>
      </c>
      <c r="R7451" s="1" t="s">
        <v>497</v>
      </c>
      <c r="S7451" s="1" t="s">
        <v>13161</v>
      </c>
      <c r="T7451" s="1" t="s">
        <v>13162</v>
      </c>
      <c r="U7451" s="2" t="s">
        <v>7238</v>
      </c>
      <c r="V7451" s="2" t="s">
        <v>47</v>
      </c>
      <c r="W7451" s="2" t="s">
        <v>111</v>
      </c>
      <c r="X7451" s="2">
        <v>20.79</v>
      </c>
    </row>
    <row r="7452" spans="1:24" x14ac:dyDescent="0.3">
      <c r="A7452">
        <v>25265</v>
      </c>
      <c r="B7452" t="s">
        <v>14428</v>
      </c>
      <c r="C7452" s="3">
        <v>40689</v>
      </c>
      <c r="D7452" t="s">
        <v>25</v>
      </c>
      <c r="E7452">
        <v>8</v>
      </c>
      <c r="F7452" s="3">
        <f ca="1">40689+(RANDBETWEEN(1,10))</f>
        <v>40699</v>
      </c>
      <c r="G7452" t="s">
        <v>26</v>
      </c>
      <c r="H7452" t="s">
        <v>27</v>
      </c>
      <c r="I7452" t="s">
        <v>86</v>
      </c>
      <c r="J7452">
        <v>3056.13</v>
      </c>
      <c r="K7452">
        <v>0.02</v>
      </c>
      <c r="L7452">
        <v>0.59</v>
      </c>
      <c r="M7452">
        <v>10.5</v>
      </c>
      <c r="N7452">
        <v>1394.2529999999999</v>
      </c>
      <c r="O7452" s="1" t="s">
        <v>87</v>
      </c>
      <c r="P7452" s="1" t="s">
        <v>13159</v>
      </c>
      <c r="Q7452" s="1" t="s">
        <v>13160</v>
      </c>
      <c r="R7452" s="1" t="s">
        <v>497</v>
      </c>
      <c r="S7452" s="1" t="s">
        <v>13161</v>
      </c>
      <c r="T7452" s="1" t="s">
        <v>13162</v>
      </c>
      <c r="U7452" s="2" t="s">
        <v>1744</v>
      </c>
      <c r="V7452" s="2" t="s">
        <v>36</v>
      </c>
      <c r="W7452" s="2" t="s">
        <v>37</v>
      </c>
      <c r="X7452" s="2">
        <v>440.96499999999997</v>
      </c>
    </row>
    <row r="7453" spans="1:24" x14ac:dyDescent="0.3">
      <c r="A7453">
        <v>25266</v>
      </c>
      <c r="B7453" t="s">
        <v>14429</v>
      </c>
      <c r="C7453" s="3">
        <v>41606</v>
      </c>
      <c r="D7453" t="s">
        <v>25</v>
      </c>
      <c r="E7453">
        <v>1</v>
      </c>
      <c r="F7453" s="3">
        <f ca="1">41611+(RANDBETWEEN(1,10))</f>
        <v>41619</v>
      </c>
      <c r="G7453" t="s">
        <v>26</v>
      </c>
      <c r="H7453" t="s">
        <v>27</v>
      </c>
      <c r="I7453" t="s">
        <v>28</v>
      </c>
      <c r="J7453">
        <v>189.77</v>
      </c>
      <c r="K7453">
        <v>0.02</v>
      </c>
      <c r="L7453">
        <v>0.38</v>
      </c>
      <c r="M7453">
        <v>20.335000000000001</v>
      </c>
      <c r="N7453">
        <v>13.363</v>
      </c>
      <c r="O7453" s="1" t="s">
        <v>40</v>
      </c>
      <c r="P7453" s="1" t="s">
        <v>12977</v>
      </c>
      <c r="Q7453" s="1" t="s">
        <v>12978</v>
      </c>
      <c r="R7453" s="1" t="s">
        <v>43</v>
      </c>
      <c r="S7453" s="1" t="s">
        <v>2105</v>
      </c>
      <c r="T7453" s="1" t="s">
        <v>2106</v>
      </c>
      <c r="U7453" s="2" t="s">
        <v>1912</v>
      </c>
      <c r="V7453" s="2" t="s">
        <v>47</v>
      </c>
      <c r="W7453" s="2" t="s">
        <v>74</v>
      </c>
      <c r="X7453" s="2">
        <v>171.185</v>
      </c>
    </row>
    <row r="7454" spans="1:24" x14ac:dyDescent="0.3">
      <c r="A7454">
        <v>25267</v>
      </c>
      <c r="B7454" t="s">
        <v>14429</v>
      </c>
      <c r="C7454" s="3">
        <v>41606</v>
      </c>
      <c r="D7454" t="s">
        <v>25</v>
      </c>
      <c r="E7454">
        <v>3</v>
      </c>
      <c r="F7454" s="3">
        <f ca="1">41610+(RANDBETWEEN(1,10))</f>
        <v>41618</v>
      </c>
      <c r="G7454" t="s">
        <v>26</v>
      </c>
      <c r="H7454" t="s">
        <v>63</v>
      </c>
      <c r="I7454" t="s">
        <v>28</v>
      </c>
      <c r="J7454">
        <v>1131.655</v>
      </c>
      <c r="K7454">
        <v>7.0000000000000007E-2</v>
      </c>
      <c r="L7454">
        <v>0.82</v>
      </c>
      <c r="M7454">
        <v>122.5</v>
      </c>
      <c r="N7454">
        <v>171.03100000000001</v>
      </c>
      <c r="O7454" s="1" t="s">
        <v>40</v>
      </c>
      <c r="P7454" s="1" t="s">
        <v>12977</v>
      </c>
      <c r="Q7454" s="1" t="s">
        <v>12978</v>
      </c>
      <c r="R7454" s="1" t="s">
        <v>43</v>
      </c>
      <c r="S7454" s="1" t="s">
        <v>2105</v>
      </c>
      <c r="T7454" s="1" t="s">
        <v>2106</v>
      </c>
      <c r="U7454" s="2" t="s">
        <v>4513</v>
      </c>
      <c r="V7454" s="2" t="s">
        <v>47</v>
      </c>
      <c r="W7454" s="2" t="s">
        <v>119</v>
      </c>
      <c r="X7454" s="2">
        <v>354.935</v>
      </c>
    </row>
    <row r="7455" spans="1:24" x14ac:dyDescent="0.3">
      <c r="A7455">
        <v>25268</v>
      </c>
      <c r="B7455" t="s">
        <v>14430</v>
      </c>
      <c r="C7455" s="3">
        <v>41752</v>
      </c>
      <c r="D7455" t="s">
        <v>148</v>
      </c>
      <c r="E7455">
        <v>3</v>
      </c>
      <c r="F7455" s="3">
        <f ca="1">41753+(RANDBETWEEN(1,10))</f>
        <v>41761</v>
      </c>
      <c r="G7455" t="s">
        <v>26</v>
      </c>
      <c r="H7455" t="s">
        <v>63</v>
      </c>
      <c r="I7455" t="s">
        <v>52</v>
      </c>
      <c r="J7455">
        <v>2303.63</v>
      </c>
      <c r="K7455">
        <v>0.09</v>
      </c>
      <c r="L7455" t="s">
        <v>182</v>
      </c>
      <c r="M7455">
        <v>85.715000000000003</v>
      </c>
      <c r="N7455">
        <v>146.405</v>
      </c>
      <c r="O7455" s="1" t="s">
        <v>225</v>
      </c>
      <c r="P7455" s="1" t="s">
        <v>6896</v>
      </c>
      <c r="Q7455" s="1" t="s">
        <v>6897</v>
      </c>
      <c r="R7455" s="1" t="s">
        <v>228</v>
      </c>
      <c r="S7455" s="1" t="s">
        <v>6898</v>
      </c>
      <c r="T7455" s="1" t="s">
        <v>6899</v>
      </c>
      <c r="U7455" s="2" t="s">
        <v>9819</v>
      </c>
      <c r="V7455" s="2" t="s">
        <v>83</v>
      </c>
      <c r="W7455" s="2" t="s">
        <v>84</v>
      </c>
      <c r="X7455" s="2">
        <v>834.4</v>
      </c>
    </row>
    <row r="7456" spans="1:24" x14ac:dyDescent="0.3">
      <c r="A7456">
        <v>25269</v>
      </c>
      <c r="B7456" t="s">
        <v>14430</v>
      </c>
      <c r="C7456" s="3">
        <v>41752</v>
      </c>
      <c r="D7456" t="s">
        <v>148</v>
      </c>
      <c r="E7456">
        <v>3</v>
      </c>
      <c r="F7456" s="3">
        <f ca="1">41754+(RANDBETWEEN(1,10))</f>
        <v>41758</v>
      </c>
      <c r="G7456" t="s">
        <v>156</v>
      </c>
      <c r="H7456" t="s">
        <v>51</v>
      </c>
      <c r="I7456" t="s">
        <v>52</v>
      </c>
      <c r="J7456">
        <v>775.56500000000005</v>
      </c>
      <c r="K7456">
        <v>0</v>
      </c>
      <c r="L7456">
        <v>0.39</v>
      </c>
      <c r="M7456">
        <v>4.375</v>
      </c>
      <c r="N7456">
        <v>451.33199999999999</v>
      </c>
      <c r="O7456" s="1" t="s">
        <v>225</v>
      </c>
      <c r="P7456" s="1" t="s">
        <v>6896</v>
      </c>
      <c r="Q7456" s="1" t="s">
        <v>6897</v>
      </c>
      <c r="R7456" s="1" t="s">
        <v>228</v>
      </c>
      <c r="S7456" s="1" t="s">
        <v>6898</v>
      </c>
      <c r="T7456" s="1" t="s">
        <v>6899</v>
      </c>
      <c r="U7456" s="2" t="s">
        <v>1978</v>
      </c>
      <c r="V7456" s="2" t="s">
        <v>36</v>
      </c>
      <c r="W7456" s="2" t="s">
        <v>37</v>
      </c>
      <c r="X7456" s="2">
        <v>300.96499999999997</v>
      </c>
    </row>
    <row r="7457" spans="1:24" x14ac:dyDescent="0.3">
      <c r="A7457">
        <v>25270</v>
      </c>
      <c r="B7457" t="s">
        <v>14430</v>
      </c>
      <c r="C7457" s="3">
        <v>41752</v>
      </c>
      <c r="D7457" t="s">
        <v>148</v>
      </c>
      <c r="E7457">
        <v>9</v>
      </c>
      <c r="F7457" s="3">
        <f ca="1">41755+(RANDBETWEEN(1,10))</f>
        <v>41757</v>
      </c>
      <c r="G7457" t="s">
        <v>26</v>
      </c>
      <c r="H7457" t="s">
        <v>27</v>
      </c>
      <c r="I7457" t="s">
        <v>52</v>
      </c>
      <c r="J7457">
        <v>3965.29</v>
      </c>
      <c r="K7457">
        <v>0.06</v>
      </c>
      <c r="L7457">
        <v>0.55000000000000004</v>
      </c>
      <c r="M7457">
        <v>13.65</v>
      </c>
      <c r="N7457">
        <v>2736.0500999999999</v>
      </c>
      <c r="O7457" s="1" t="s">
        <v>29</v>
      </c>
      <c r="P7457" s="1" t="s">
        <v>14431</v>
      </c>
      <c r="Q7457" s="1" t="s">
        <v>14432</v>
      </c>
      <c r="R7457" s="1" t="s">
        <v>32</v>
      </c>
      <c r="S7457" s="1" t="s">
        <v>2584</v>
      </c>
      <c r="T7457" s="1" t="s">
        <v>2585</v>
      </c>
      <c r="U7457" s="2" t="s">
        <v>1983</v>
      </c>
      <c r="V7457" s="2" t="s">
        <v>36</v>
      </c>
      <c r="W7457" s="2" t="s">
        <v>37</v>
      </c>
      <c r="X7457" s="2">
        <v>545.96500000000003</v>
      </c>
    </row>
    <row r="7458" spans="1:24" x14ac:dyDescent="0.3">
      <c r="A7458">
        <v>25271</v>
      </c>
      <c r="B7458" t="s">
        <v>14433</v>
      </c>
      <c r="C7458" s="3">
        <v>40669</v>
      </c>
      <c r="D7458" t="s">
        <v>39</v>
      </c>
      <c r="E7458">
        <v>11</v>
      </c>
      <c r="F7458" s="3">
        <f ca="1">40669+(RANDBETWEEN(1,10))</f>
        <v>40670</v>
      </c>
      <c r="G7458" t="s">
        <v>26</v>
      </c>
      <c r="H7458" t="s">
        <v>96</v>
      </c>
      <c r="I7458" t="s">
        <v>52</v>
      </c>
      <c r="J7458">
        <v>353.04500000000002</v>
      </c>
      <c r="K7458">
        <v>0.04</v>
      </c>
      <c r="L7458">
        <v>0.4</v>
      </c>
      <c r="M7458">
        <v>7.5250000000000004</v>
      </c>
      <c r="N7458">
        <v>-80.751999999999995</v>
      </c>
      <c r="O7458" s="1" t="s">
        <v>87</v>
      </c>
      <c r="P7458" s="1" t="s">
        <v>14230</v>
      </c>
      <c r="Q7458" s="1" t="s">
        <v>14231</v>
      </c>
      <c r="R7458" s="1" t="s">
        <v>90</v>
      </c>
      <c r="S7458" s="1" t="s">
        <v>2095</v>
      </c>
      <c r="T7458" s="1" t="s">
        <v>2096</v>
      </c>
      <c r="U7458" s="2" t="s">
        <v>4359</v>
      </c>
      <c r="V7458" s="2" t="s">
        <v>47</v>
      </c>
      <c r="W7458" s="2" t="s">
        <v>74</v>
      </c>
      <c r="X7458" s="2">
        <v>31.885000000000002</v>
      </c>
    </row>
    <row r="7459" spans="1:24" x14ac:dyDescent="0.3">
      <c r="A7459">
        <v>25272</v>
      </c>
      <c r="B7459" t="s">
        <v>14434</v>
      </c>
      <c r="C7459" s="3">
        <v>41704</v>
      </c>
      <c r="D7459" t="s">
        <v>62</v>
      </c>
      <c r="E7459">
        <v>1</v>
      </c>
      <c r="F7459" s="3">
        <f ca="1">41705+(RANDBETWEEN(1,10))</f>
        <v>41707</v>
      </c>
      <c r="G7459" t="s">
        <v>26</v>
      </c>
      <c r="H7459" t="s">
        <v>51</v>
      </c>
      <c r="I7459" t="s">
        <v>52</v>
      </c>
      <c r="J7459">
        <v>166.35499999999999</v>
      </c>
      <c r="K7459">
        <v>0.1</v>
      </c>
      <c r="L7459">
        <v>0.83</v>
      </c>
      <c r="M7459">
        <v>17.5</v>
      </c>
      <c r="N7459">
        <v>907.99379999999996</v>
      </c>
      <c r="O7459" s="1" t="s">
        <v>64</v>
      </c>
      <c r="P7459" s="1" t="s">
        <v>14435</v>
      </c>
      <c r="Q7459" s="1" t="s">
        <v>14436</v>
      </c>
      <c r="R7459" s="1" t="s">
        <v>67</v>
      </c>
      <c r="S7459" s="1" t="s">
        <v>1217</v>
      </c>
      <c r="T7459" s="1" t="s">
        <v>1218</v>
      </c>
      <c r="U7459" s="2" t="s">
        <v>4376</v>
      </c>
      <c r="V7459" s="2" t="s">
        <v>36</v>
      </c>
      <c r="W7459" s="2" t="s">
        <v>37</v>
      </c>
      <c r="X7459" s="2">
        <v>195.965</v>
      </c>
    </row>
    <row r="7460" spans="1:24" x14ac:dyDescent="0.3">
      <c r="A7460">
        <v>25273</v>
      </c>
      <c r="B7460" t="s">
        <v>14437</v>
      </c>
      <c r="C7460" s="3">
        <v>41875</v>
      </c>
      <c r="D7460" t="s">
        <v>50</v>
      </c>
      <c r="E7460">
        <v>13</v>
      </c>
      <c r="F7460" s="3">
        <f ca="1">41877+(RANDBETWEEN(1,10))</f>
        <v>41880</v>
      </c>
      <c r="G7460" t="s">
        <v>26</v>
      </c>
      <c r="H7460" t="s">
        <v>27</v>
      </c>
      <c r="I7460" t="s">
        <v>28</v>
      </c>
      <c r="J7460">
        <v>2419.06</v>
      </c>
      <c r="K7460">
        <v>0.03</v>
      </c>
      <c r="L7460">
        <v>0.44</v>
      </c>
      <c r="M7460">
        <v>69.965000000000003</v>
      </c>
      <c r="N7460">
        <v>1669.1514</v>
      </c>
      <c r="O7460" s="1" t="s">
        <v>53</v>
      </c>
      <c r="P7460" s="1" t="s">
        <v>14438</v>
      </c>
      <c r="Q7460" s="1" t="s">
        <v>14439</v>
      </c>
      <c r="R7460" s="1" t="s">
        <v>56</v>
      </c>
      <c r="S7460" s="1" t="s">
        <v>14440</v>
      </c>
      <c r="T7460" s="1" t="s">
        <v>14441</v>
      </c>
      <c r="U7460" s="2" t="s">
        <v>14442</v>
      </c>
      <c r="V7460" s="2" t="s">
        <v>83</v>
      </c>
      <c r="W7460" s="2" t="s">
        <v>178</v>
      </c>
      <c r="X7460" s="2">
        <v>181.79</v>
      </c>
    </row>
    <row r="7461" spans="1:24" x14ac:dyDescent="0.3">
      <c r="A7461">
        <v>25274</v>
      </c>
      <c r="B7461" t="s">
        <v>14443</v>
      </c>
      <c r="C7461" s="3">
        <v>41145</v>
      </c>
      <c r="D7461" t="s">
        <v>50</v>
      </c>
      <c r="E7461">
        <v>21</v>
      </c>
      <c r="F7461" s="3">
        <f ca="1">41146+(RANDBETWEEN(1,10))</f>
        <v>41149</v>
      </c>
      <c r="G7461" t="s">
        <v>26</v>
      </c>
      <c r="H7461" t="s">
        <v>27</v>
      </c>
      <c r="I7461" t="s">
        <v>28</v>
      </c>
      <c r="J7461">
        <v>1584.03</v>
      </c>
      <c r="K7461">
        <v>0.01</v>
      </c>
      <c r="L7461">
        <v>0.37</v>
      </c>
      <c r="M7461">
        <v>30.38</v>
      </c>
      <c r="N7461">
        <v>1092.9807000000001</v>
      </c>
      <c r="O7461" s="1" t="s">
        <v>53</v>
      </c>
      <c r="P7461" s="1" t="s">
        <v>14438</v>
      </c>
      <c r="Q7461" s="1" t="s">
        <v>14439</v>
      </c>
      <c r="R7461" s="1" t="s">
        <v>56</v>
      </c>
      <c r="S7461" s="1" t="s">
        <v>14440</v>
      </c>
      <c r="T7461" s="1" t="s">
        <v>14441</v>
      </c>
      <c r="U7461" s="2" t="s">
        <v>3983</v>
      </c>
      <c r="V7461" s="2" t="s">
        <v>47</v>
      </c>
      <c r="W7461" s="2" t="s">
        <v>74</v>
      </c>
      <c r="X7461" s="2">
        <v>69.930000000000007</v>
      </c>
    </row>
    <row r="7462" spans="1:24" x14ac:dyDescent="0.3">
      <c r="A7462">
        <v>25275</v>
      </c>
      <c r="B7462" t="s">
        <v>14444</v>
      </c>
      <c r="C7462" s="3">
        <v>41518</v>
      </c>
      <c r="D7462" t="s">
        <v>39</v>
      </c>
      <c r="E7462">
        <v>12</v>
      </c>
      <c r="F7462" s="3">
        <f ca="1">41519+(RANDBETWEEN(1,10))</f>
        <v>41524</v>
      </c>
      <c r="G7462" t="s">
        <v>26</v>
      </c>
      <c r="H7462" t="s">
        <v>51</v>
      </c>
      <c r="I7462" t="s">
        <v>97</v>
      </c>
      <c r="J7462">
        <v>361.09500000000003</v>
      </c>
      <c r="K7462">
        <v>0.04</v>
      </c>
      <c r="L7462">
        <v>0.61</v>
      </c>
      <c r="M7462">
        <v>12.67</v>
      </c>
      <c r="N7462">
        <v>-133.80500000000001</v>
      </c>
      <c r="O7462" s="1" t="s">
        <v>29</v>
      </c>
      <c r="P7462" s="1" t="s">
        <v>9529</v>
      </c>
      <c r="Q7462" s="1" t="s">
        <v>9530</v>
      </c>
      <c r="R7462" s="1" t="s">
        <v>32</v>
      </c>
      <c r="S7462" s="1" t="s">
        <v>1928</v>
      </c>
      <c r="T7462" s="1" t="s">
        <v>1929</v>
      </c>
      <c r="U7462" s="2" t="s">
        <v>1117</v>
      </c>
      <c r="V7462" s="2" t="s">
        <v>36</v>
      </c>
      <c r="W7462" s="2" t="s">
        <v>60</v>
      </c>
      <c r="X7462" s="2">
        <v>29.61</v>
      </c>
    </row>
    <row r="7463" spans="1:24" x14ac:dyDescent="0.3">
      <c r="A7463">
        <v>25276</v>
      </c>
      <c r="B7463" t="s">
        <v>14445</v>
      </c>
      <c r="C7463" s="3">
        <v>41697</v>
      </c>
      <c r="D7463" t="s">
        <v>39</v>
      </c>
      <c r="E7463">
        <v>10</v>
      </c>
      <c r="F7463" s="3">
        <f ca="1">41697+(RANDBETWEEN(1,10))</f>
        <v>41699</v>
      </c>
      <c r="G7463" t="s">
        <v>76</v>
      </c>
      <c r="H7463" t="s">
        <v>77</v>
      </c>
      <c r="I7463" t="s">
        <v>28</v>
      </c>
      <c r="J7463">
        <v>10422.055</v>
      </c>
      <c r="K7463">
        <v>0.05</v>
      </c>
      <c r="L7463">
        <v>0.56999999999999995</v>
      </c>
      <c r="M7463">
        <v>148.82</v>
      </c>
      <c r="N7463">
        <v>7191.2179500000002</v>
      </c>
      <c r="O7463" s="1" t="s">
        <v>40</v>
      </c>
      <c r="P7463" s="1" t="s">
        <v>12844</v>
      </c>
      <c r="Q7463" s="1" t="s">
        <v>12845</v>
      </c>
      <c r="R7463" s="1" t="s">
        <v>220</v>
      </c>
      <c r="S7463" s="1" t="s">
        <v>4952</v>
      </c>
      <c r="T7463" s="1" t="s">
        <v>12846</v>
      </c>
      <c r="U7463" s="2" t="s">
        <v>1653</v>
      </c>
      <c r="V7463" s="2" t="s">
        <v>47</v>
      </c>
      <c r="W7463" s="2" t="s">
        <v>71</v>
      </c>
      <c r="X7463" s="2">
        <v>1031.17</v>
      </c>
    </row>
    <row r="7464" spans="1:24" x14ac:dyDescent="0.3">
      <c r="A7464">
        <v>25277</v>
      </c>
      <c r="B7464" t="s">
        <v>14446</v>
      </c>
      <c r="C7464" s="3">
        <v>41411</v>
      </c>
      <c r="D7464" t="s">
        <v>25</v>
      </c>
      <c r="E7464">
        <v>2</v>
      </c>
      <c r="F7464" s="3">
        <f ca="1">41415+(RANDBETWEEN(1,10))</f>
        <v>41423</v>
      </c>
      <c r="G7464" t="s">
        <v>26</v>
      </c>
      <c r="H7464" t="s">
        <v>27</v>
      </c>
      <c r="I7464" t="s">
        <v>28</v>
      </c>
      <c r="J7464">
        <v>704.65499999999997</v>
      </c>
      <c r="K7464">
        <v>0.06</v>
      </c>
      <c r="L7464">
        <v>0.6</v>
      </c>
      <c r="M7464">
        <v>19.704999999999998</v>
      </c>
      <c r="N7464">
        <v>-1709.0920000000001</v>
      </c>
      <c r="O7464" s="1" t="s">
        <v>87</v>
      </c>
      <c r="P7464" s="1" t="s">
        <v>5737</v>
      </c>
      <c r="Q7464" s="1" t="s">
        <v>5738</v>
      </c>
      <c r="R7464" s="1" t="s">
        <v>90</v>
      </c>
      <c r="S7464" s="1" t="s">
        <v>5739</v>
      </c>
      <c r="T7464" s="1" t="s">
        <v>5740</v>
      </c>
      <c r="U7464" s="2">
        <v>8290</v>
      </c>
      <c r="V7464" s="2" t="s">
        <v>36</v>
      </c>
      <c r="W7464" s="2" t="s">
        <v>37</v>
      </c>
      <c r="X7464" s="2">
        <v>440.96499999999997</v>
      </c>
    </row>
    <row r="7465" spans="1:24" x14ac:dyDescent="0.3">
      <c r="A7465">
        <v>25278</v>
      </c>
      <c r="B7465" t="s">
        <v>14447</v>
      </c>
      <c r="C7465" s="3">
        <v>41929</v>
      </c>
      <c r="D7465" t="s">
        <v>39</v>
      </c>
      <c r="E7465">
        <v>6</v>
      </c>
      <c r="F7465" s="3">
        <f ca="1">41930+(RANDBETWEEN(1,10))</f>
        <v>41935</v>
      </c>
      <c r="G7465" t="s">
        <v>26</v>
      </c>
      <c r="H7465" t="s">
        <v>51</v>
      </c>
      <c r="I7465" t="s">
        <v>28</v>
      </c>
      <c r="J7465">
        <v>125.05500000000001</v>
      </c>
      <c r="K7465">
        <v>0.08</v>
      </c>
      <c r="L7465">
        <v>0.75</v>
      </c>
      <c r="M7465">
        <v>15.33</v>
      </c>
      <c r="N7465">
        <v>-195.79</v>
      </c>
      <c r="O7465" s="1" t="s">
        <v>87</v>
      </c>
      <c r="P7465" s="1" t="s">
        <v>9005</v>
      </c>
      <c r="Q7465" s="1" t="s">
        <v>9006</v>
      </c>
      <c r="R7465" s="1" t="s">
        <v>398</v>
      </c>
      <c r="S7465" s="1" t="s">
        <v>4411</v>
      </c>
      <c r="T7465" s="1" t="s">
        <v>4412</v>
      </c>
      <c r="U7465" s="2" t="s">
        <v>1783</v>
      </c>
      <c r="V7465" s="2" t="s">
        <v>36</v>
      </c>
      <c r="W7465" s="2" t="s">
        <v>60</v>
      </c>
      <c r="X7465" s="2">
        <v>20.93</v>
      </c>
    </row>
    <row r="7466" spans="1:24" x14ac:dyDescent="0.3">
      <c r="A7466">
        <v>25279</v>
      </c>
      <c r="B7466" t="s">
        <v>14448</v>
      </c>
      <c r="C7466" s="3">
        <v>40657</v>
      </c>
      <c r="D7466" t="s">
        <v>39</v>
      </c>
      <c r="E7466">
        <v>3</v>
      </c>
      <c r="F7466" s="3">
        <f ca="1">40658+(RANDBETWEEN(1,10))</f>
        <v>40660</v>
      </c>
      <c r="G7466" t="s">
        <v>26</v>
      </c>
      <c r="H7466" t="s">
        <v>27</v>
      </c>
      <c r="I7466" t="s">
        <v>97</v>
      </c>
      <c r="J7466">
        <v>108.045</v>
      </c>
      <c r="K7466">
        <v>0.04</v>
      </c>
      <c r="L7466">
        <v>0.4</v>
      </c>
      <c r="M7466">
        <v>34.51</v>
      </c>
      <c r="N7466">
        <v>-186.375</v>
      </c>
      <c r="O7466" s="1" t="s">
        <v>87</v>
      </c>
      <c r="P7466" s="1" t="s">
        <v>601</v>
      </c>
      <c r="Q7466" s="1" t="s">
        <v>602</v>
      </c>
      <c r="R7466" s="1" t="s">
        <v>497</v>
      </c>
      <c r="S7466" s="1" t="s">
        <v>603</v>
      </c>
      <c r="T7466" s="1" t="s">
        <v>604</v>
      </c>
      <c r="U7466" s="2" t="s">
        <v>7950</v>
      </c>
      <c r="V7466" s="2" t="s">
        <v>47</v>
      </c>
      <c r="W7466" s="2" t="s">
        <v>74</v>
      </c>
      <c r="X7466" s="2">
        <v>31.71</v>
      </c>
    </row>
    <row r="7467" spans="1:24" x14ac:dyDescent="0.3">
      <c r="A7467">
        <v>25280</v>
      </c>
      <c r="B7467" t="s">
        <v>14448</v>
      </c>
      <c r="C7467" s="3">
        <v>40657</v>
      </c>
      <c r="D7467" t="s">
        <v>39</v>
      </c>
      <c r="E7467">
        <v>3</v>
      </c>
      <c r="F7467" s="3">
        <f ca="1">40658+(RANDBETWEEN(1,10))</f>
        <v>40661</v>
      </c>
      <c r="G7467" t="s">
        <v>26</v>
      </c>
      <c r="H7467" t="s">
        <v>27</v>
      </c>
      <c r="I7467" t="s">
        <v>97</v>
      </c>
      <c r="J7467">
        <v>158.34</v>
      </c>
      <c r="K7467">
        <v>0.04</v>
      </c>
      <c r="L7467">
        <v>0.38</v>
      </c>
      <c r="M7467">
        <v>25.445</v>
      </c>
      <c r="N7467">
        <v>7.4375</v>
      </c>
      <c r="O7467" s="1" t="s">
        <v>87</v>
      </c>
      <c r="P7467" s="1" t="s">
        <v>14449</v>
      </c>
      <c r="Q7467" s="1" t="s">
        <v>14450</v>
      </c>
      <c r="R7467" s="1" t="s">
        <v>90</v>
      </c>
      <c r="S7467" s="1" t="s">
        <v>3227</v>
      </c>
      <c r="T7467" s="1" t="s">
        <v>3228</v>
      </c>
      <c r="U7467" s="2" t="s">
        <v>3821</v>
      </c>
      <c r="V7467" s="2" t="s">
        <v>47</v>
      </c>
      <c r="W7467" s="2" t="s">
        <v>111</v>
      </c>
      <c r="X7467" s="2">
        <v>49.945</v>
      </c>
    </row>
    <row r="7468" spans="1:24" x14ac:dyDescent="0.3">
      <c r="A7468">
        <v>25281</v>
      </c>
      <c r="B7468" t="s">
        <v>14451</v>
      </c>
      <c r="C7468" s="3">
        <v>41753</v>
      </c>
      <c r="D7468" t="s">
        <v>39</v>
      </c>
      <c r="E7468">
        <v>7</v>
      </c>
      <c r="F7468" s="3">
        <f ca="1">41756+(RANDBETWEEN(1,10))</f>
        <v>41764</v>
      </c>
      <c r="G7468" t="s">
        <v>26</v>
      </c>
      <c r="H7468" t="s">
        <v>27</v>
      </c>
      <c r="I7468" t="s">
        <v>97</v>
      </c>
      <c r="J7468">
        <v>122.535</v>
      </c>
      <c r="K7468">
        <v>0.03</v>
      </c>
      <c r="L7468">
        <v>0.36</v>
      </c>
      <c r="M7468">
        <v>1.75</v>
      </c>
      <c r="N7468">
        <v>84.549149999999997</v>
      </c>
      <c r="O7468" s="1" t="s">
        <v>87</v>
      </c>
      <c r="P7468" s="1" t="s">
        <v>14449</v>
      </c>
      <c r="Q7468" s="1" t="s">
        <v>14450</v>
      </c>
      <c r="R7468" s="1" t="s">
        <v>90</v>
      </c>
      <c r="S7468" s="1" t="s">
        <v>3227</v>
      </c>
      <c r="T7468" s="1" t="s">
        <v>3228</v>
      </c>
      <c r="U7468" s="2" t="s">
        <v>2281</v>
      </c>
      <c r="V7468" s="2" t="s">
        <v>47</v>
      </c>
      <c r="W7468" s="2" t="s">
        <v>203</v>
      </c>
      <c r="X7468" s="2">
        <v>17.184999999999999</v>
      </c>
    </row>
    <row r="7469" spans="1:24" x14ac:dyDescent="0.3">
      <c r="A7469">
        <v>25282</v>
      </c>
      <c r="B7469" t="s">
        <v>14452</v>
      </c>
      <c r="C7469" s="3">
        <v>40791</v>
      </c>
      <c r="D7469" t="s">
        <v>148</v>
      </c>
      <c r="E7469">
        <v>20</v>
      </c>
      <c r="F7469" s="3">
        <f ca="1">40792+(RANDBETWEEN(1,10))</f>
        <v>40800</v>
      </c>
      <c r="G7469" t="s">
        <v>26</v>
      </c>
      <c r="H7469" t="s">
        <v>96</v>
      </c>
      <c r="I7469" t="s">
        <v>97</v>
      </c>
      <c r="J7469">
        <v>5260.6750000000002</v>
      </c>
      <c r="K7469">
        <v>0.03</v>
      </c>
      <c r="L7469">
        <v>0.55000000000000004</v>
      </c>
      <c r="M7469">
        <v>3.4649999999999999</v>
      </c>
      <c r="N7469">
        <v>3629.8657499999999</v>
      </c>
      <c r="O7469" s="1" t="s">
        <v>40</v>
      </c>
      <c r="P7469" s="1" t="s">
        <v>13900</v>
      </c>
      <c r="Q7469" s="1" t="s">
        <v>13901</v>
      </c>
      <c r="R7469" s="1" t="s">
        <v>220</v>
      </c>
      <c r="S7469" s="1" t="s">
        <v>9501</v>
      </c>
      <c r="T7469" s="1" t="s">
        <v>9502</v>
      </c>
      <c r="U7469" s="2" t="s">
        <v>5311</v>
      </c>
      <c r="V7469" s="2" t="s">
        <v>36</v>
      </c>
      <c r="W7469" s="2" t="s">
        <v>37</v>
      </c>
      <c r="X7469" s="2">
        <v>300.96499999999997</v>
      </c>
    </row>
    <row r="7470" spans="1:24" x14ac:dyDescent="0.3">
      <c r="A7470">
        <v>25283</v>
      </c>
      <c r="B7470" t="s">
        <v>14453</v>
      </c>
      <c r="C7470" s="3">
        <v>41521</v>
      </c>
      <c r="D7470" t="s">
        <v>39</v>
      </c>
      <c r="E7470">
        <v>8</v>
      </c>
      <c r="F7470" s="3">
        <f ca="1">41521+(RANDBETWEEN(1,10))</f>
        <v>41528</v>
      </c>
      <c r="G7470" t="s">
        <v>26</v>
      </c>
      <c r="H7470" t="s">
        <v>27</v>
      </c>
      <c r="I7470" t="s">
        <v>52</v>
      </c>
      <c r="J7470">
        <v>344.71499999999997</v>
      </c>
      <c r="K7470">
        <v>0.04</v>
      </c>
      <c r="L7470">
        <v>0.38</v>
      </c>
      <c r="M7470">
        <v>22.645</v>
      </c>
      <c r="N7470">
        <v>-20.16</v>
      </c>
      <c r="O7470" s="1" t="s">
        <v>40</v>
      </c>
      <c r="P7470" s="1" t="s">
        <v>9517</v>
      </c>
      <c r="Q7470" s="1" t="s">
        <v>9518</v>
      </c>
      <c r="R7470" s="1" t="s">
        <v>43</v>
      </c>
      <c r="S7470" s="1" t="s">
        <v>3608</v>
      </c>
      <c r="T7470" s="1" t="s">
        <v>3609</v>
      </c>
      <c r="U7470" s="2" t="s">
        <v>2420</v>
      </c>
      <c r="V7470" s="2" t="s">
        <v>47</v>
      </c>
      <c r="W7470" s="2" t="s">
        <v>74</v>
      </c>
      <c r="X7470" s="2">
        <v>42.98</v>
      </c>
    </row>
    <row r="7471" spans="1:24" x14ac:dyDescent="0.3">
      <c r="A7471">
        <v>25284</v>
      </c>
      <c r="B7471" t="s">
        <v>14453</v>
      </c>
      <c r="C7471" s="3">
        <v>41521</v>
      </c>
      <c r="D7471" t="s">
        <v>39</v>
      </c>
      <c r="E7471">
        <v>16</v>
      </c>
      <c r="F7471" s="3">
        <f ca="1">41524+(RANDBETWEEN(1,10))</f>
        <v>41526</v>
      </c>
      <c r="G7471" t="s">
        <v>26</v>
      </c>
      <c r="H7471" t="s">
        <v>27</v>
      </c>
      <c r="I7471" t="s">
        <v>52</v>
      </c>
      <c r="J7471">
        <v>2981.0549999999998</v>
      </c>
      <c r="K7471">
        <v>0.1</v>
      </c>
      <c r="L7471">
        <v>0.57999999999999996</v>
      </c>
      <c r="M7471">
        <v>30.8</v>
      </c>
      <c r="N7471">
        <v>577.39499999999998</v>
      </c>
      <c r="O7471" s="1" t="s">
        <v>40</v>
      </c>
      <c r="P7471" s="1" t="s">
        <v>9517</v>
      </c>
      <c r="Q7471" s="1" t="s">
        <v>9518</v>
      </c>
      <c r="R7471" s="1" t="s">
        <v>43</v>
      </c>
      <c r="S7471" s="1" t="s">
        <v>3608</v>
      </c>
      <c r="T7471" s="1" t="s">
        <v>3609</v>
      </c>
      <c r="U7471" s="2">
        <v>6120</v>
      </c>
      <c r="V7471" s="2" t="s">
        <v>36</v>
      </c>
      <c r="W7471" s="2" t="s">
        <v>37</v>
      </c>
      <c r="X7471" s="2">
        <v>230.965</v>
      </c>
    </row>
    <row r="7472" spans="1:24" x14ac:dyDescent="0.3">
      <c r="A7472">
        <v>25285</v>
      </c>
      <c r="B7472" t="s">
        <v>14454</v>
      </c>
      <c r="C7472" s="3">
        <v>41650</v>
      </c>
      <c r="D7472" t="s">
        <v>50</v>
      </c>
      <c r="E7472">
        <v>1</v>
      </c>
      <c r="F7472" s="3">
        <f ca="1">41652+(RANDBETWEEN(1,10))</f>
        <v>41657</v>
      </c>
      <c r="G7472" t="s">
        <v>76</v>
      </c>
      <c r="H7472" t="s">
        <v>77</v>
      </c>
      <c r="I7472" t="s">
        <v>86</v>
      </c>
      <c r="J7472">
        <v>600.98500000000001</v>
      </c>
      <c r="K7472">
        <v>0.06</v>
      </c>
      <c r="L7472">
        <v>0.4</v>
      </c>
      <c r="M7472">
        <v>196.49</v>
      </c>
      <c r="N7472">
        <v>-1490.6480819999999</v>
      </c>
      <c r="O7472" s="1" t="s">
        <v>64</v>
      </c>
      <c r="P7472" s="1" t="s">
        <v>13314</v>
      </c>
      <c r="Q7472" s="1" t="s">
        <v>13315</v>
      </c>
      <c r="R7472" s="1" t="s">
        <v>128</v>
      </c>
      <c r="S7472" s="1" t="s">
        <v>3365</v>
      </c>
      <c r="T7472" s="1" t="s">
        <v>3366</v>
      </c>
      <c r="U7472" s="2" t="s">
        <v>898</v>
      </c>
      <c r="V7472" s="2" t="s">
        <v>36</v>
      </c>
      <c r="W7472" s="2" t="s">
        <v>142</v>
      </c>
      <c r="X7472" s="2">
        <v>405.96499999999997</v>
      </c>
    </row>
    <row r="7473" spans="1:24" x14ac:dyDescent="0.3">
      <c r="A7473">
        <v>25286</v>
      </c>
      <c r="B7473" t="s">
        <v>14455</v>
      </c>
      <c r="C7473" s="3">
        <v>41550</v>
      </c>
      <c r="D7473" t="s">
        <v>50</v>
      </c>
      <c r="E7473">
        <v>19</v>
      </c>
      <c r="F7473" s="3">
        <f ca="1">41552+(RANDBETWEEN(1,10))</f>
        <v>41554</v>
      </c>
      <c r="G7473" t="s">
        <v>26</v>
      </c>
      <c r="H7473" t="s">
        <v>63</v>
      </c>
      <c r="I7473" t="s">
        <v>97</v>
      </c>
      <c r="J7473">
        <v>2261.0700000000002</v>
      </c>
      <c r="K7473">
        <v>0.02</v>
      </c>
      <c r="L7473">
        <v>0.81</v>
      </c>
      <c r="M7473">
        <v>122.5</v>
      </c>
      <c r="N7473">
        <v>-4271.2488000000003</v>
      </c>
      <c r="O7473" s="1" t="s">
        <v>225</v>
      </c>
      <c r="P7473" s="1" t="s">
        <v>863</v>
      </c>
      <c r="Q7473" s="1" t="s">
        <v>864</v>
      </c>
      <c r="R7473" s="1" t="s">
        <v>228</v>
      </c>
      <c r="S7473" s="1" t="s">
        <v>865</v>
      </c>
      <c r="T7473" s="1" t="s">
        <v>866</v>
      </c>
      <c r="U7473" s="2" t="s">
        <v>6867</v>
      </c>
      <c r="V7473" s="2" t="s">
        <v>47</v>
      </c>
      <c r="W7473" s="2" t="s">
        <v>119</v>
      </c>
      <c r="X7473" s="2">
        <v>113.68</v>
      </c>
    </row>
    <row r="7474" spans="1:24" x14ac:dyDescent="0.3">
      <c r="A7474">
        <v>25287</v>
      </c>
      <c r="B7474" t="s">
        <v>14455</v>
      </c>
      <c r="C7474" s="3">
        <v>41550</v>
      </c>
      <c r="D7474" t="s">
        <v>50</v>
      </c>
      <c r="E7474">
        <v>11</v>
      </c>
      <c r="F7474" s="3">
        <f ca="1">41552+(RANDBETWEEN(1,10))</f>
        <v>41561</v>
      </c>
      <c r="G7474" t="s">
        <v>26</v>
      </c>
      <c r="H7474" t="s">
        <v>63</v>
      </c>
      <c r="I7474" t="s">
        <v>97</v>
      </c>
      <c r="J7474">
        <v>6793.3249999999998</v>
      </c>
      <c r="K7474">
        <v>0.06</v>
      </c>
      <c r="L7474">
        <v>0.72</v>
      </c>
      <c r="M7474">
        <v>241.5</v>
      </c>
      <c r="N7474">
        <v>-3037.3056000000001</v>
      </c>
      <c r="O7474" s="1" t="s">
        <v>40</v>
      </c>
      <c r="P7474" s="1" t="s">
        <v>14456</v>
      </c>
      <c r="Q7474" s="1" t="s">
        <v>14457</v>
      </c>
      <c r="R7474" s="1" t="s">
        <v>220</v>
      </c>
      <c r="S7474" s="1" t="s">
        <v>2607</v>
      </c>
      <c r="T7474" s="1" t="s">
        <v>2608</v>
      </c>
      <c r="U7474" s="2" t="s">
        <v>10726</v>
      </c>
      <c r="V7474" s="2" t="s">
        <v>83</v>
      </c>
      <c r="W7474" s="2" t="s">
        <v>263</v>
      </c>
      <c r="X7474" s="2">
        <v>638.92499999999995</v>
      </c>
    </row>
    <row r="7475" spans="1:24" x14ac:dyDescent="0.3">
      <c r="A7475">
        <v>25288</v>
      </c>
      <c r="B7475" t="s">
        <v>14458</v>
      </c>
      <c r="C7475" s="3">
        <v>41300</v>
      </c>
      <c r="D7475" t="s">
        <v>39</v>
      </c>
      <c r="E7475">
        <v>3</v>
      </c>
      <c r="F7475" s="3">
        <f ca="1">41301+(RANDBETWEEN(1,10))</f>
        <v>41306</v>
      </c>
      <c r="G7475" t="s">
        <v>26</v>
      </c>
      <c r="H7475" t="s">
        <v>63</v>
      </c>
      <c r="I7475" t="s">
        <v>86</v>
      </c>
      <c r="J7475">
        <v>1354.885</v>
      </c>
      <c r="K7475">
        <v>0.05</v>
      </c>
      <c r="L7475">
        <v>0.46</v>
      </c>
      <c r="M7475">
        <v>85.715000000000003</v>
      </c>
      <c r="N7475">
        <v>-31.85</v>
      </c>
      <c r="O7475" s="1" t="s">
        <v>87</v>
      </c>
      <c r="P7475" s="1" t="s">
        <v>14459</v>
      </c>
      <c r="Q7475" s="1" t="s">
        <v>14460</v>
      </c>
      <c r="R7475" s="1" t="s">
        <v>398</v>
      </c>
      <c r="S7475" s="1" t="s">
        <v>4003</v>
      </c>
      <c r="T7475" s="1" t="s">
        <v>4004</v>
      </c>
      <c r="U7475" s="2" t="s">
        <v>4387</v>
      </c>
      <c r="V7475" s="2" t="s">
        <v>47</v>
      </c>
      <c r="W7475" s="2" t="s">
        <v>71</v>
      </c>
      <c r="X7475" s="2">
        <v>431.83</v>
      </c>
    </row>
    <row r="7476" spans="1:24" x14ac:dyDescent="0.3">
      <c r="A7476">
        <v>25289</v>
      </c>
      <c r="B7476" t="s">
        <v>14458</v>
      </c>
      <c r="C7476" s="3">
        <v>41300</v>
      </c>
      <c r="D7476" t="s">
        <v>39</v>
      </c>
      <c r="E7476">
        <v>1</v>
      </c>
      <c r="F7476" s="3">
        <f ca="1">41301+(RANDBETWEEN(1,10))</f>
        <v>41308</v>
      </c>
      <c r="G7476" t="s">
        <v>26</v>
      </c>
      <c r="H7476" t="s">
        <v>27</v>
      </c>
      <c r="I7476" t="s">
        <v>86</v>
      </c>
      <c r="J7476">
        <v>40.564999999999998</v>
      </c>
      <c r="K7476">
        <v>0.05</v>
      </c>
      <c r="L7476">
        <v>0.38</v>
      </c>
      <c r="M7476">
        <v>21.664999999999999</v>
      </c>
      <c r="N7476">
        <v>-116.7474</v>
      </c>
      <c r="O7476" s="1" t="s">
        <v>87</v>
      </c>
      <c r="P7476" s="1" t="s">
        <v>14459</v>
      </c>
      <c r="Q7476" s="1" t="s">
        <v>14460</v>
      </c>
      <c r="R7476" s="1" t="s">
        <v>398</v>
      </c>
      <c r="S7476" s="1" t="s">
        <v>4003</v>
      </c>
      <c r="T7476" s="1" t="s">
        <v>4004</v>
      </c>
      <c r="U7476" s="2" t="s">
        <v>1202</v>
      </c>
      <c r="V7476" s="2" t="s">
        <v>47</v>
      </c>
      <c r="W7476" s="2" t="s">
        <v>111</v>
      </c>
      <c r="X7476" s="2">
        <v>30.1</v>
      </c>
    </row>
    <row r="7477" spans="1:24" x14ac:dyDescent="0.3">
      <c r="A7477">
        <v>25290</v>
      </c>
      <c r="B7477" t="s">
        <v>14461</v>
      </c>
      <c r="C7477" s="3">
        <v>41991</v>
      </c>
      <c r="D7477" t="s">
        <v>25</v>
      </c>
      <c r="E7477">
        <v>6</v>
      </c>
      <c r="F7477" s="3">
        <f ca="1">41995+(RANDBETWEEN(1,10))</f>
        <v>41999</v>
      </c>
      <c r="G7477" t="s">
        <v>26</v>
      </c>
      <c r="H7477" t="s">
        <v>27</v>
      </c>
      <c r="I7477" t="s">
        <v>97</v>
      </c>
      <c r="J7477">
        <v>1863.365</v>
      </c>
      <c r="K7477">
        <v>0.1</v>
      </c>
      <c r="L7477">
        <v>0.57999999999999996</v>
      </c>
      <c r="M7477">
        <v>8.75</v>
      </c>
      <c r="N7477">
        <v>-212.86188000000001</v>
      </c>
      <c r="O7477" s="1" t="s">
        <v>87</v>
      </c>
      <c r="P7477" s="1" t="s">
        <v>9039</v>
      </c>
      <c r="Q7477" s="1" t="s">
        <v>9040</v>
      </c>
      <c r="R7477" s="1" t="s">
        <v>398</v>
      </c>
      <c r="S7477" s="1" t="s">
        <v>6156</v>
      </c>
      <c r="T7477" s="1" t="s">
        <v>6157</v>
      </c>
      <c r="U7477" s="2" t="s">
        <v>8074</v>
      </c>
      <c r="V7477" s="2" t="s">
        <v>36</v>
      </c>
      <c r="W7477" s="2" t="s">
        <v>37</v>
      </c>
      <c r="X7477" s="2">
        <v>405.96499999999997</v>
      </c>
    </row>
    <row r="7478" spans="1:24" x14ac:dyDescent="0.3">
      <c r="A7478">
        <v>25291</v>
      </c>
      <c r="B7478" t="s">
        <v>14462</v>
      </c>
      <c r="C7478" s="3">
        <v>40698</v>
      </c>
      <c r="D7478" t="s">
        <v>39</v>
      </c>
      <c r="E7478">
        <v>4</v>
      </c>
      <c r="F7478" s="3">
        <f ca="1">40699+(RANDBETWEEN(1,10))</f>
        <v>40700</v>
      </c>
      <c r="G7478" t="s">
        <v>76</v>
      </c>
      <c r="H7478" t="s">
        <v>258</v>
      </c>
      <c r="I7478" t="s">
        <v>28</v>
      </c>
      <c r="J7478">
        <v>3168.9</v>
      </c>
      <c r="K7478">
        <v>0.06</v>
      </c>
      <c r="L7478">
        <v>0.77</v>
      </c>
      <c r="M7478">
        <v>243.74</v>
      </c>
      <c r="N7478">
        <v>-1586.2</v>
      </c>
      <c r="O7478" s="1" t="s">
        <v>225</v>
      </c>
      <c r="P7478" s="1" t="s">
        <v>12028</v>
      </c>
      <c r="Q7478" s="1" t="s">
        <v>12029</v>
      </c>
      <c r="R7478" s="1" t="s">
        <v>228</v>
      </c>
      <c r="S7478" s="1" t="s">
        <v>466</v>
      </c>
      <c r="T7478" s="1" t="s">
        <v>467</v>
      </c>
      <c r="U7478" s="2" t="s">
        <v>1233</v>
      </c>
      <c r="V7478" s="2" t="s">
        <v>83</v>
      </c>
      <c r="W7478" s="2" t="s">
        <v>263</v>
      </c>
      <c r="X7478" s="2">
        <v>765.625</v>
      </c>
    </row>
    <row r="7479" spans="1:24" x14ac:dyDescent="0.3">
      <c r="A7479">
        <v>25292</v>
      </c>
      <c r="B7479" t="s">
        <v>14463</v>
      </c>
      <c r="C7479" s="3">
        <v>41688</v>
      </c>
      <c r="D7479" t="s">
        <v>25</v>
      </c>
      <c r="E7479">
        <v>3</v>
      </c>
      <c r="F7479" s="3">
        <f ca="1">41695+(RANDBETWEEN(1,10))</f>
        <v>41699</v>
      </c>
      <c r="G7479" t="s">
        <v>76</v>
      </c>
      <c r="H7479" t="s">
        <v>258</v>
      </c>
      <c r="I7479" t="s">
        <v>52</v>
      </c>
      <c r="J7479">
        <v>1798.5450000000001</v>
      </c>
      <c r="K7479">
        <v>0.04</v>
      </c>
      <c r="L7479">
        <v>0.73</v>
      </c>
      <c r="M7479">
        <v>385.7</v>
      </c>
      <c r="N7479">
        <v>-2718.52</v>
      </c>
      <c r="O7479" s="1" t="s">
        <v>64</v>
      </c>
      <c r="P7479" s="1" t="s">
        <v>14464</v>
      </c>
      <c r="Q7479" s="1" t="s">
        <v>14465</v>
      </c>
      <c r="R7479" s="1" t="s">
        <v>67</v>
      </c>
      <c r="S7479" s="1" t="s">
        <v>2158</v>
      </c>
      <c r="T7479" s="1" t="s">
        <v>2159</v>
      </c>
      <c r="U7479" s="2" t="s">
        <v>1775</v>
      </c>
      <c r="V7479" s="2" t="s">
        <v>83</v>
      </c>
      <c r="W7479" s="2" t="s">
        <v>263</v>
      </c>
      <c r="X7479" s="2">
        <v>744.1</v>
      </c>
    </row>
    <row r="7480" spans="1:24" x14ac:dyDescent="0.3">
      <c r="A7480">
        <v>25293</v>
      </c>
      <c r="B7480" t="s">
        <v>14463</v>
      </c>
      <c r="C7480" s="3">
        <v>41688</v>
      </c>
      <c r="D7480" t="s">
        <v>25</v>
      </c>
      <c r="E7480">
        <v>1</v>
      </c>
      <c r="F7480" s="3">
        <f ca="1">41688+(RANDBETWEEN(1,10))</f>
        <v>41697</v>
      </c>
      <c r="G7480" t="s">
        <v>26</v>
      </c>
      <c r="H7480" t="s">
        <v>51</v>
      </c>
      <c r="I7480" t="s">
        <v>52</v>
      </c>
      <c r="J7480">
        <v>163.345</v>
      </c>
      <c r="K7480">
        <v>0.1</v>
      </c>
      <c r="L7480">
        <v>0.83</v>
      </c>
      <c r="M7480">
        <v>17.5</v>
      </c>
      <c r="N7480">
        <v>-1051.3579999999999</v>
      </c>
      <c r="O7480" s="1" t="s">
        <v>64</v>
      </c>
      <c r="P7480" s="1" t="s">
        <v>14464</v>
      </c>
      <c r="Q7480" s="1" t="s">
        <v>14465</v>
      </c>
      <c r="R7480" s="1" t="s">
        <v>67</v>
      </c>
      <c r="S7480" s="1" t="s">
        <v>2158</v>
      </c>
      <c r="T7480" s="1" t="s">
        <v>2159</v>
      </c>
      <c r="U7480" s="2" t="s">
        <v>4376</v>
      </c>
      <c r="V7480" s="2" t="s">
        <v>36</v>
      </c>
      <c r="W7480" s="2" t="s">
        <v>37</v>
      </c>
      <c r="X7480" s="2">
        <v>195.965</v>
      </c>
    </row>
    <row r="7481" spans="1:24" x14ac:dyDescent="0.3">
      <c r="A7481">
        <v>25294</v>
      </c>
      <c r="B7481" t="s">
        <v>14466</v>
      </c>
      <c r="C7481" s="3">
        <v>41814</v>
      </c>
      <c r="D7481" t="s">
        <v>148</v>
      </c>
      <c r="E7481">
        <v>15</v>
      </c>
      <c r="F7481" s="3">
        <f ca="1">41815+(RANDBETWEEN(1,10))</f>
        <v>41819</v>
      </c>
      <c r="G7481" t="s">
        <v>26</v>
      </c>
      <c r="H7481" t="s">
        <v>51</v>
      </c>
      <c r="I7481" t="s">
        <v>28</v>
      </c>
      <c r="J7481">
        <v>528.78</v>
      </c>
      <c r="K7481">
        <v>0.1</v>
      </c>
      <c r="L7481">
        <v>0.6</v>
      </c>
      <c r="M7481">
        <v>10.115</v>
      </c>
      <c r="N7481">
        <v>58.421999999999997</v>
      </c>
      <c r="O7481" s="1" t="s">
        <v>87</v>
      </c>
      <c r="P7481" s="1" t="s">
        <v>14467</v>
      </c>
      <c r="Q7481" s="1" t="s">
        <v>14468</v>
      </c>
      <c r="R7481" s="1" t="s">
        <v>90</v>
      </c>
      <c r="S7481" s="1" t="s">
        <v>1330</v>
      </c>
      <c r="T7481" s="1" t="s">
        <v>1331</v>
      </c>
      <c r="U7481" s="2" t="s">
        <v>6149</v>
      </c>
      <c r="V7481" s="2" t="s">
        <v>47</v>
      </c>
      <c r="W7481" s="2" t="s">
        <v>104</v>
      </c>
      <c r="X7481" s="2">
        <v>36.68</v>
      </c>
    </row>
    <row r="7482" spans="1:24" x14ac:dyDescent="0.3">
      <c r="A7482">
        <v>25295</v>
      </c>
      <c r="B7482" t="s">
        <v>14466</v>
      </c>
      <c r="C7482" s="3">
        <v>41814</v>
      </c>
      <c r="D7482" t="s">
        <v>148</v>
      </c>
      <c r="E7482">
        <v>16</v>
      </c>
      <c r="F7482" s="3">
        <f ca="1">41816+(RANDBETWEEN(1,10))</f>
        <v>41825</v>
      </c>
      <c r="G7482" t="s">
        <v>26</v>
      </c>
      <c r="H7482" t="s">
        <v>63</v>
      </c>
      <c r="I7482" t="s">
        <v>28</v>
      </c>
      <c r="J7482">
        <v>501.02499999999998</v>
      </c>
      <c r="K7482">
        <v>0</v>
      </c>
      <c r="L7482">
        <v>0.59</v>
      </c>
      <c r="M7482">
        <v>35.56</v>
      </c>
      <c r="N7482">
        <v>-676.56399999999996</v>
      </c>
      <c r="O7482" s="1" t="s">
        <v>53</v>
      </c>
      <c r="P7482" s="1" t="s">
        <v>14469</v>
      </c>
      <c r="Q7482" s="1" t="s">
        <v>14470</v>
      </c>
      <c r="R7482" s="1" t="s">
        <v>100</v>
      </c>
      <c r="S7482" s="1" t="s">
        <v>491</v>
      </c>
      <c r="T7482" s="1" t="s">
        <v>492</v>
      </c>
      <c r="U7482" s="2" t="s">
        <v>4990</v>
      </c>
      <c r="V7482" s="2" t="s">
        <v>83</v>
      </c>
      <c r="W7482" s="2" t="s">
        <v>178</v>
      </c>
      <c r="X7482" s="2">
        <v>29.295000000000002</v>
      </c>
    </row>
    <row r="7483" spans="1:24" x14ac:dyDescent="0.3">
      <c r="A7483">
        <v>25296</v>
      </c>
      <c r="B7483" t="s">
        <v>14471</v>
      </c>
      <c r="C7483" s="3">
        <v>41743</v>
      </c>
      <c r="D7483" t="s">
        <v>148</v>
      </c>
      <c r="E7483">
        <v>6</v>
      </c>
      <c r="F7483" s="3">
        <f ca="1">41743+(RANDBETWEEN(1,10))</f>
        <v>41749</v>
      </c>
      <c r="G7483" t="s">
        <v>26</v>
      </c>
      <c r="H7483" t="s">
        <v>27</v>
      </c>
      <c r="I7483" t="s">
        <v>52</v>
      </c>
      <c r="J7483">
        <v>57.575000000000003</v>
      </c>
      <c r="K7483">
        <v>0.1</v>
      </c>
      <c r="L7483">
        <v>0.39</v>
      </c>
      <c r="M7483">
        <v>1.75</v>
      </c>
      <c r="N7483">
        <v>39.726750000000003</v>
      </c>
      <c r="O7483" s="1" t="s">
        <v>40</v>
      </c>
      <c r="P7483" s="1" t="s">
        <v>11634</v>
      </c>
      <c r="Q7483" s="1" t="s">
        <v>11635</v>
      </c>
      <c r="R7483" s="1" t="s">
        <v>220</v>
      </c>
      <c r="S7483" s="1" t="s">
        <v>11636</v>
      </c>
      <c r="T7483" s="1" t="s">
        <v>11637</v>
      </c>
      <c r="U7483" s="2" t="s">
        <v>9204</v>
      </c>
      <c r="V7483" s="2" t="s">
        <v>47</v>
      </c>
      <c r="W7483" s="2" t="s">
        <v>203</v>
      </c>
      <c r="X7483" s="2">
        <v>10.08</v>
      </c>
    </row>
    <row r="7484" spans="1:24" x14ac:dyDescent="0.3">
      <c r="A7484">
        <v>25297</v>
      </c>
      <c r="B7484" t="s">
        <v>14471</v>
      </c>
      <c r="C7484" s="3">
        <v>41743</v>
      </c>
      <c r="D7484" t="s">
        <v>148</v>
      </c>
      <c r="E7484">
        <v>5</v>
      </c>
      <c r="F7484" s="3">
        <f ca="1">41744+(RANDBETWEEN(1,10))</f>
        <v>41745</v>
      </c>
      <c r="G7484" t="s">
        <v>76</v>
      </c>
      <c r="H7484" t="s">
        <v>258</v>
      </c>
      <c r="I7484" t="s">
        <v>52</v>
      </c>
      <c r="J7484">
        <v>9533.8250000000007</v>
      </c>
      <c r="K7484">
        <v>0.08</v>
      </c>
      <c r="L7484">
        <v>0.71</v>
      </c>
      <c r="M7484">
        <v>159.94999999999999</v>
      </c>
      <c r="N7484">
        <v>-4660.4367810000003</v>
      </c>
      <c r="O7484" s="1" t="s">
        <v>40</v>
      </c>
      <c r="P7484" s="1" t="s">
        <v>14472</v>
      </c>
      <c r="Q7484" s="1" t="s">
        <v>14473</v>
      </c>
      <c r="R7484" s="1" t="s">
        <v>220</v>
      </c>
      <c r="S7484" s="1" t="s">
        <v>777</v>
      </c>
      <c r="T7484" s="1" t="s">
        <v>778</v>
      </c>
      <c r="U7484" s="2" t="s">
        <v>3553</v>
      </c>
      <c r="V7484" s="2" t="s">
        <v>83</v>
      </c>
      <c r="W7484" s="2" t="s">
        <v>263</v>
      </c>
      <c r="X7484" s="2">
        <v>1928.43</v>
      </c>
    </row>
    <row r="7485" spans="1:24" x14ac:dyDescent="0.3">
      <c r="A7485">
        <v>25298</v>
      </c>
      <c r="B7485" t="s">
        <v>14474</v>
      </c>
      <c r="C7485" s="3">
        <v>41970</v>
      </c>
      <c r="D7485" t="s">
        <v>39</v>
      </c>
      <c r="E7485">
        <v>26</v>
      </c>
      <c r="F7485" s="3">
        <f ca="1">41973+(RANDBETWEEN(1,10))</f>
        <v>41975</v>
      </c>
      <c r="G7485" t="s">
        <v>26</v>
      </c>
      <c r="H7485" t="s">
        <v>63</v>
      </c>
      <c r="I7485" t="s">
        <v>28</v>
      </c>
      <c r="J7485">
        <v>65495.394999999997</v>
      </c>
      <c r="K7485">
        <v>0.03</v>
      </c>
      <c r="L7485">
        <v>0.41</v>
      </c>
      <c r="M7485">
        <v>85.715000000000003</v>
      </c>
      <c r="N7485">
        <v>7207.1658399999997</v>
      </c>
      <c r="O7485" s="1" t="s">
        <v>40</v>
      </c>
      <c r="P7485" s="1" t="s">
        <v>11551</v>
      </c>
      <c r="Q7485" s="1" t="s">
        <v>11552</v>
      </c>
      <c r="R7485" s="1" t="s">
        <v>43</v>
      </c>
      <c r="S7485" s="1" t="s">
        <v>9511</v>
      </c>
      <c r="T7485" s="1" t="s">
        <v>9512</v>
      </c>
      <c r="U7485" s="2" t="s">
        <v>1326</v>
      </c>
      <c r="V7485" s="2" t="s">
        <v>36</v>
      </c>
      <c r="W7485" s="2" t="s">
        <v>1327</v>
      </c>
      <c r="X7485" s="2">
        <v>2449.9650000000001</v>
      </c>
    </row>
    <row r="7486" spans="1:24" x14ac:dyDescent="0.3">
      <c r="A7486">
        <v>25299</v>
      </c>
      <c r="B7486" t="s">
        <v>14475</v>
      </c>
      <c r="C7486" s="3">
        <v>41853</v>
      </c>
      <c r="D7486" t="s">
        <v>62</v>
      </c>
      <c r="E7486">
        <v>24</v>
      </c>
      <c r="F7486" s="3">
        <f ca="1">41855+(RANDBETWEEN(1,10))</f>
        <v>41857</v>
      </c>
      <c r="G7486" t="s">
        <v>26</v>
      </c>
      <c r="H7486" t="s">
        <v>51</v>
      </c>
      <c r="I7486" t="s">
        <v>28</v>
      </c>
      <c r="J7486">
        <v>3511.165</v>
      </c>
      <c r="K7486">
        <v>0</v>
      </c>
      <c r="L7486">
        <v>0.44</v>
      </c>
      <c r="M7486">
        <v>6.9649999999999999</v>
      </c>
      <c r="N7486">
        <v>2422.7038499999999</v>
      </c>
      <c r="O7486" s="1" t="s">
        <v>29</v>
      </c>
      <c r="P7486" s="1" t="s">
        <v>8570</v>
      </c>
      <c r="Q7486" s="1" t="s">
        <v>8571</v>
      </c>
      <c r="R7486" s="1" t="s">
        <v>32</v>
      </c>
      <c r="S7486" s="1" t="s">
        <v>8572</v>
      </c>
      <c r="T7486" s="1" t="s">
        <v>8573</v>
      </c>
      <c r="U7486" s="2" t="s">
        <v>1469</v>
      </c>
      <c r="V7486" s="2" t="s">
        <v>36</v>
      </c>
      <c r="W7486" s="2" t="s">
        <v>60</v>
      </c>
      <c r="X7486" s="2">
        <v>143.43</v>
      </c>
    </row>
    <row r="7487" spans="1:24" x14ac:dyDescent="0.3">
      <c r="A7487">
        <v>25300</v>
      </c>
      <c r="B7487" t="s">
        <v>14476</v>
      </c>
      <c r="C7487" s="3">
        <v>41652</v>
      </c>
      <c r="D7487" t="s">
        <v>50</v>
      </c>
      <c r="E7487">
        <v>9</v>
      </c>
      <c r="F7487" s="3">
        <f ca="1">41652+(RANDBETWEEN(1,10))</f>
        <v>41661</v>
      </c>
      <c r="G7487" t="s">
        <v>26</v>
      </c>
      <c r="H7487" t="s">
        <v>27</v>
      </c>
      <c r="I7487" t="s">
        <v>28</v>
      </c>
      <c r="J7487">
        <v>165.9</v>
      </c>
      <c r="K7487">
        <v>0.04</v>
      </c>
      <c r="L7487">
        <v>0.37</v>
      </c>
      <c r="M7487">
        <v>10.465</v>
      </c>
      <c r="N7487">
        <v>-411.6</v>
      </c>
      <c r="O7487" s="1" t="s">
        <v>29</v>
      </c>
      <c r="P7487" s="1" t="s">
        <v>13191</v>
      </c>
      <c r="Q7487" s="1" t="s">
        <v>13192</v>
      </c>
      <c r="R7487" s="1" t="s">
        <v>460</v>
      </c>
      <c r="S7487" s="1" t="s">
        <v>13193</v>
      </c>
      <c r="T7487" s="1" t="s">
        <v>13194</v>
      </c>
      <c r="U7487" s="2" t="s">
        <v>1041</v>
      </c>
      <c r="V7487" s="2" t="s">
        <v>47</v>
      </c>
      <c r="W7487" s="2" t="s">
        <v>111</v>
      </c>
      <c r="X7487" s="2">
        <v>18.48</v>
      </c>
    </row>
    <row r="7488" spans="1:24" x14ac:dyDescent="0.3">
      <c r="A7488">
        <v>25301</v>
      </c>
      <c r="B7488" t="s">
        <v>14476</v>
      </c>
      <c r="C7488" s="3">
        <v>41652</v>
      </c>
      <c r="D7488" t="s">
        <v>50</v>
      </c>
      <c r="E7488">
        <v>13</v>
      </c>
      <c r="F7488" s="3">
        <f ca="1">41652+(RANDBETWEEN(1,10))</f>
        <v>41658</v>
      </c>
      <c r="G7488" t="s">
        <v>76</v>
      </c>
      <c r="H7488" t="s">
        <v>258</v>
      </c>
      <c r="I7488" t="s">
        <v>28</v>
      </c>
      <c r="J7488">
        <v>23776.095000000001</v>
      </c>
      <c r="K7488">
        <v>0.01</v>
      </c>
      <c r="L7488">
        <v>0.59</v>
      </c>
      <c r="M7488">
        <v>58.204999999999998</v>
      </c>
      <c r="N7488">
        <v>2243.808</v>
      </c>
      <c r="O7488" s="1" t="s">
        <v>29</v>
      </c>
      <c r="P7488" s="1" t="s">
        <v>13191</v>
      </c>
      <c r="Q7488" s="1" t="s">
        <v>13192</v>
      </c>
      <c r="R7488" s="1" t="s">
        <v>460</v>
      </c>
      <c r="S7488" s="1" t="s">
        <v>13193</v>
      </c>
      <c r="T7488" s="1" t="s">
        <v>13194</v>
      </c>
      <c r="U7488" s="2" t="s">
        <v>10060</v>
      </c>
      <c r="V7488" s="2" t="s">
        <v>36</v>
      </c>
      <c r="W7488" s="2" t="s">
        <v>142</v>
      </c>
      <c r="X7488" s="2">
        <v>1811.18</v>
      </c>
    </row>
    <row r="7489" spans="1:24" x14ac:dyDescent="0.3">
      <c r="A7489">
        <v>25302</v>
      </c>
      <c r="B7489" t="s">
        <v>14476</v>
      </c>
      <c r="C7489" s="3">
        <v>41652</v>
      </c>
      <c r="D7489" t="s">
        <v>50</v>
      </c>
      <c r="E7489">
        <v>6</v>
      </c>
      <c r="F7489" s="3">
        <f ca="1">41653+(RANDBETWEEN(1,10))</f>
        <v>41660</v>
      </c>
      <c r="G7489" t="s">
        <v>76</v>
      </c>
      <c r="H7489" t="s">
        <v>258</v>
      </c>
      <c r="I7489" t="s">
        <v>28</v>
      </c>
      <c r="J7489">
        <v>1217.51</v>
      </c>
      <c r="K7489">
        <v>7.0000000000000007E-2</v>
      </c>
      <c r="L7489">
        <v>0.61</v>
      </c>
      <c r="M7489">
        <v>128.13499999999999</v>
      </c>
      <c r="N7489">
        <v>2272.6410000000001</v>
      </c>
      <c r="O7489" s="1" t="s">
        <v>29</v>
      </c>
      <c r="P7489" s="1" t="s">
        <v>14477</v>
      </c>
      <c r="Q7489" s="1" t="s">
        <v>14478</v>
      </c>
      <c r="R7489" s="1" t="s">
        <v>460</v>
      </c>
      <c r="S7489" s="1" t="s">
        <v>3053</v>
      </c>
      <c r="T7489" s="1" t="s">
        <v>3054</v>
      </c>
      <c r="U7489" s="2" t="s">
        <v>4050</v>
      </c>
      <c r="V7489" s="2" t="s">
        <v>83</v>
      </c>
      <c r="W7489" s="2" t="s">
        <v>298</v>
      </c>
      <c r="X7489" s="2">
        <v>203.49</v>
      </c>
    </row>
    <row r="7490" spans="1:24" x14ac:dyDescent="0.3">
      <c r="A7490">
        <v>25303</v>
      </c>
      <c r="B7490" t="s">
        <v>14476</v>
      </c>
      <c r="C7490" s="3">
        <v>41652</v>
      </c>
      <c r="D7490" t="s">
        <v>50</v>
      </c>
      <c r="E7490">
        <v>5</v>
      </c>
      <c r="F7490" s="3">
        <f ca="1">41654+(RANDBETWEEN(1,10))</f>
        <v>41663</v>
      </c>
      <c r="G7490" t="s">
        <v>76</v>
      </c>
      <c r="H7490" t="s">
        <v>77</v>
      </c>
      <c r="I7490" t="s">
        <v>28</v>
      </c>
      <c r="J7490">
        <v>454.51</v>
      </c>
      <c r="K7490">
        <v>7.0000000000000007E-2</v>
      </c>
      <c r="L7490">
        <v>0.6</v>
      </c>
      <c r="M7490">
        <v>50.26</v>
      </c>
      <c r="N7490">
        <v>14870.079</v>
      </c>
      <c r="O7490" s="1" t="s">
        <v>29</v>
      </c>
      <c r="P7490" s="1" t="s">
        <v>14477</v>
      </c>
      <c r="Q7490" s="1" t="s">
        <v>14478</v>
      </c>
      <c r="R7490" s="1" t="s">
        <v>460</v>
      </c>
      <c r="S7490" s="1" t="s">
        <v>3053</v>
      </c>
      <c r="T7490" s="1" t="s">
        <v>3054</v>
      </c>
      <c r="U7490" s="2" t="s">
        <v>4583</v>
      </c>
      <c r="V7490" s="2" t="s">
        <v>83</v>
      </c>
      <c r="W7490" s="2" t="s">
        <v>84</v>
      </c>
      <c r="X7490" s="2">
        <v>90.93</v>
      </c>
    </row>
    <row r="7491" spans="1:24" x14ac:dyDescent="0.3">
      <c r="A7491">
        <v>25304</v>
      </c>
      <c r="B7491" t="s">
        <v>14479</v>
      </c>
      <c r="C7491" s="3">
        <v>40878</v>
      </c>
      <c r="D7491" t="s">
        <v>50</v>
      </c>
      <c r="E7491">
        <v>13</v>
      </c>
      <c r="F7491" s="3">
        <f ca="1">40880+(RANDBETWEEN(1,10))</f>
        <v>40888</v>
      </c>
      <c r="G7491" t="s">
        <v>26</v>
      </c>
      <c r="H7491" t="s">
        <v>96</v>
      </c>
      <c r="I7491" t="s">
        <v>28</v>
      </c>
      <c r="J7491">
        <v>106.645</v>
      </c>
      <c r="K7491">
        <v>0.06</v>
      </c>
      <c r="L7491">
        <v>0.41</v>
      </c>
      <c r="M7491">
        <v>18.2</v>
      </c>
      <c r="N7491">
        <v>-7009.2098999999998</v>
      </c>
      <c r="O7491" s="1" t="s">
        <v>64</v>
      </c>
      <c r="P7491" s="1" t="s">
        <v>8187</v>
      </c>
      <c r="Q7491" s="1" t="s">
        <v>8188</v>
      </c>
      <c r="R7491" s="1" t="s">
        <v>67</v>
      </c>
      <c r="S7491" s="1" t="s">
        <v>254</v>
      </c>
      <c r="T7491" s="1" t="s">
        <v>8189</v>
      </c>
      <c r="U7491" s="2" t="s">
        <v>4780</v>
      </c>
      <c r="V7491" s="2" t="s">
        <v>47</v>
      </c>
      <c r="W7491" s="2" t="s">
        <v>104</v>
      </c>
      <c r="X7491" s="2">
        <v>7.98</v>
      </c>
    </row>
    <row r="7492" spans="1:24" x14ac:dyDescent="0.3">
      <c r="A7492">
        <v>25305</v>
      </c>
      <c r="B7492" t="s">
        <v>14480</v>
      </c>
      <c r="C7492" s="3">
        <v>41605</v>
      </c>
      <c r="D7492" t="s">
        <v>50</v>
      </c>
      <c r="E7492">
        <v>12</v>
      </c>
      <c r="F7492" s="3">
        <f ca="1">41607+(RANDBETWEEN(1,10))</f>
        <v>41612</v>
      </c>
      <c r="G7492" t="s">
        <v>26</v>
      </c>
      <c r="H7492" t="s">
        <v>27</v>
      </c>
      <c r="I7492" t="s">
        <v>52</v>
      </c>
      <c r="J7492">
        <v>410.55</v>
      </c>
      <c r="K7492">
        <v>0.01</v>
      </c>
      <c r="L7492">
        <v>0.36</v>
      </c>
      <c r="M7492">
        <v>19.600000000000001</v>
      </c>
      <c r="N7492">
        <v>3.0992500000000001</v>
      </c>
      <c r="O7492" s="1" t="s">
        <v>87</v>
      </c>
      <c r="P7492" s="1" t="s">
        <v>13382</v>
      </c>
      <c r="Q7492" s="1" t="s">
        <v>13383</v>
      </c>
      <c r="R7492" s="1" t="s">
        <v>398</v>
      </c>
      <c r="S7492" s="1" t="s">
        <v>13384</v>
      </c>
      <c r="T7492" s="1" t="s">
        <v>13385</v>
      </c>
      <c r="U7492" s="2" t="s">
        <v>3792</v>
      </c>
      <c r="V7492" s="2" t="s">
        <v>47</v>
      </c>
      <c r="W7492" s="2" t="s">
        <v>111</v>
      </c>
      <c r="X7492" s="2">
        <v>30.975000000000001</v>
      </c>
    </row>
    <row r="7493" spans="1:24" x14ac:dyDescent="0.3">
      <c r="A7493">
        <v>25306</v>
      </c>
      <c r="B7493" t="s">
        <v>14480</v>
      </c>
      <c r="C7493" s="3">
        <v>41605</v>
      </c>
      <c r="D7493" t="s">
        <v>50</v>
      </c>
      <c r="E7493">
        <v>1</v>
      </c>
      <c r="F7493" s="3">
        <f ca="1">41607+(RANDBETWEEN(1,10))</f>
        <v>41613</v>
      </c>
      <c r="G7493" t="s">
        <v>26</v>
      </c>
      <c r="H7493" t="s">
        <v>27</v>
      </c>
      <c r="I7493" t="s">
        <v>52</v>
      </c>
      <c r="J7493">
        <v>44.59</v>
      </c>
      <c r="K7493">
        <v>0.05</v>
      </c>
      <c r="L7493">
        <v>0.41</v>
      </c>
      <c r="M7493">
        <v>17.324999999999999</v>
      </c>
      <c r="N7493">
        <v>7.9729999999999999</v>
      </c>
      <c r="O7493" s="1" t="s">
        <v>87</v>
      </c>
      <c r="P7493" s="1" t="s">
        <v>13382</v>
      </c>
      <c r="Q7493" s="1" t="s">
        <v>13383</v>
      </c>
      <c r="R7493" s="1" t="s">
        <v>398</v>
      </c>
      <c r="S7493" s="1" t="s">
        <v>13384</v>
      </c>
      <c r="T7493" s="1" t="s">
        <v>13385</v>
      </c>
      <c r="U7493" s="2" t="s">
        <v>3405</v>
      </c>
      <c r="V7493" s="2" t="s">
        <v>83</v>
      </c>
      <c r="W7493" s="2" t="s">
        <v>178</v>
      </c>
      <c r="X7493" s="2">
        <v>27.86</v>
      </c>
    </row>
    <row r="7494" spans="1:24" x14ac:dyDescent="0.3">
      <c r="A7494">
        <v>25307</v>
      </c>
      <c r="B7494" t="s">
        <v>14481</v>
      </c>
      <c r="C7494" s="3">
        <v>40978</v>
      </c>
      <c r="D7494" t="s">
        <v>148</v>
      </c>
      <c r="E7494">
        <v>5</v>
      </c>
      <c r="F7494" s="3">
        <f ca="1">40978+(RANDBETWEEN(1,10))</f>
        <v>40982</v>
      </c>
      <c r="G7494" t="s">
        <v>26</v>
      </c>
      <c r="H7494" t="s">
        <v>77</v>
      </c>
      <c r="I7494" t="s">
        <v>28</v>
      </c>
      <c r="J7494">
        <v>747.95</v>
      </c>
      <c r="K7494">
        <v>0</v>
      </c>
      <c r="L7494">
        <v>0.61</v>
      </c>
      <c r="M7494">
        <v>36.924999999999997</v>
      </c>
      <c r="N7494">
        <v>516.08550000000002</v>
      </c>
      <c r="O7494" s="1" t="s">
        <v>87</v>
      </c>
      <c r="P7494" s="1" t="s">
        <v>12382</v>
      </c>
      <c r="Q7494" s="1" t="s">
        <v>12383</v>
      </c>
      <c r="R7494" s="1" t="s">
        <v>646</v>
      </c>
      <c r="S7494" s="1" t="s">
        <v>12384</v>
      </c>
      <c r="T7494" s="1" t="s">
        <v>3195</v>
      </c>
      <c r="U7494" s="2" t="s">
        <v>8147</v>
      </c>
      <c r="V7494" s="2" t="s">
        <v>83</v>
      </c>
      <c r="W7494" s="2" t="s">
        <v>84</v>
      </c>
      <c r="X7494" s="2">
        <v>136.71</v>
      </c>
    </row>
    <row r="7495" spans="1:24" x14ac:dyDescent="0.3">
      <c r="A7495">
        <v>25308</v>
      </c>
      <c r="B7495" t="s">
        <v>14482</v>
      </c>
      <c r="C7495" s="3">
        <v>41164</v>
      </c>
      <c r="D7495" t="s">
        <v>148</v>
      </c>
      <c r="E7495">
        <v>4</v>
      </c>
      <c r="F7495" s="3">
        <f ca="1">41164+(RANDBETWEEN(1,10))</f>
        <v>41167</v>
      </c>
      <c r="G7495" t="s">
        <v>26</v>
      </c>
      <c r="H7495" t="s">
        <v>51</v>
      </c>
      <c r="I7495" t="s">
        <v>28</v>
      </c>
      <c r="J7495">
        <v>182.49</v>
      </c>
      <c r="K7495">
        <v>0.03</v>
      </c>
      <c r="L7495">
        <v>0.6</v>
      </c>
      <c r="M7495">
        <v>20.335000000000001</v>
      </c>
      <c r="N7495">
        <v>-82.635000000000005</v>
      </c>
      <c r="O7495" s="1" t="s">
        <v>29</v>
      </c>
      <c r="P7495" s="1" t="s">
        <v>13658</v>
      </c>
      <c r="Q7495" s="1" t="s">
        <v>13659</v>
      </c>
      <c r="R7495" s="1" t="s">
        <v>675</v>
      </c>
      <c r="S7495" s="1" t="s">
        <v>860</v>
      </c>
      <c r="T7495" s="1" t="s">
        <v>861</v>
      </c>
      <c r="U7495" s="2" t="s">
        <v>1353</v>
      </c>
      <c r="V7495" s="2" t="s">
        <v>47</v>
      </c>
      <c r="W7495" s="2" t="s">
        <v>104</v>
      </c>
      <c r="X7495" s="2">
        <v>41.895000000000003</v>
      </c>
    </row>
    <row r="7496" spans="1:24" x14ac:dyDescent="0.3">
      <c r="A7496">
        <v>25309</v>
      </c>
      <c r="B7496" t="s">
        <v>14483</v>
      </c>
      <c r="C7496" s="3">
        <v>41235</v>
      </c>
      <c r="D7496" t="s">
        <v>50</v>
      </c>
      <c r="E7496">
        <v>9</v>
      </c>
      <c r="F7496" s="3">
        <f ca="1">41236+(RANDBETWEEN(1,10))</f>
        <v>41245</v>
      </c>
      <c r="G7496" t="s">
        <v>26</v>
      </c>
      <c r="H7496" t="s">
        <v>51</v>
      </c>
      <c r="I7496" t="s">
        <v>52</v>
      </c>
      <c r="J7496">
        <v>38.71</v>
      </c>
      <c r="K7496">
        <v>0.03</v>
      </c>
      <c r="L7496">
        <v>0.61</v>
      </c>
      <c r="M7496">
        <v>10.36</v>
      </c>
      <c r="N7496">
        <v>19.361999999999998</v>
      </c>
      <c r="O7496" s="1" t="s">
        <v>53</v>
      </c>
      <c r="P7496" s="1" t="s">
        <v>11517</v>
      </c>
      <c r="Q7496" s="1" t="s">
        <v>11518</v>
      </c>
      <c r="R7496" s="1" t="s">
        <v>56</v>
      </c>
      <c r="S7496" s="1" t="s">
        <v>2786</v>
      </c>
      <c r="T7496" s="1" t="s">
        <v>2787</v>
      </c>
      <c r="U7496" s="2" t="s">
        <v>14484</v>
      </c>
      <c r="V7496" s="2" t="s">
        <v>36</v>
      </c>
      <c r="W7496" s="2" t="s">
        <v>60</v>
      </c>
      <c r="X7496" s="2">
        <v>3.4649999999999999</v>
      </c>
    </row>
    <row r="7497" spans="1:24" x14ac:dyDescent="0.3">
      <c r="A7497">
        <v>25310</v>
      </c>
      <c r="B7497" t="s">
        <v>14485</v>
      </c>
      <c r="C7497" s="3">
        <v>41887</v>
      </c>
      <c r="D7497" t="s">
        <v>25</v>
      </c>
      <c r="E7497">
        <v>7</v>
      </c>
      <c r="F7497" s="3">
        <f ca="1">41889+(RANDBETWEEN(1,10))</f>
        <v>41892</v>
      </c>
      <c r="G7497" t="s">
        <v>26</v>
      </c>
      <c r="H7497" t="s">
        <v>27</v>
      </c>
      <c r="I7497" t="s">
        <v>52</v>
      </c>
      <c r="J7497">
        <v>119.35</v>
      </c>
      <c r="K7497">
        <v>0</v>
      </c>
      <c r="L7497">
        <v>0.38</v>
      </c>
      <c r="M7497">
        <v>18.690000000000001</v>
      </c>
      <c r="N7497">
        <v>-128.67925</v>
      </c>
      <c r="O7497" s="1" t="s">
        <v>29</v>
      </c>
      <c r="P7497" s="1" t="s">
        <v>14295</v>
      </c>
      <c r="Q7497" s="1" t="s">
        <v>14296</v>
      </c>
      <c r="R7497" s="1" t="s">
        <v>32</v>
      </c>
      <c r="S7497" s="1" t="s">
        <v>14297</v>
      </c>
      <c r="T7497" s="1" t="s">
        <v>14298</v>
      </c>
      <c r="U7497" s="2" t="s">
        <v>1664</v>
      </c>
      <c r="V7497" s="2" t="s">
        <v>47</v>
      </c>
      <c r="W7497" s="2" t="s">
        <v>111</v>
      </c>
      <c r="X7497" s="2">
        <v>14.455</v>
      </c>
    </row>
    <row r="7498" spans="1:24" x14ac:dyDescent="0.3">
      <c r="A7498">
        <v>25311</v>
      </c>
      <c r="B7498" t="s">
        <v>14485</v>
      </c>
      <c r="C7498" s="3">
        <v>41887</v>
      </c>
      <c r="D7498" t="s">
        <v>25</v>
      </c>
      <c r="E7498">
        <v>19</v>
      </c>
      <c r="F7498" s="3">
        <f ca="1">41889+(RANDBETWEEN(1,10))</f>
        <v>41895</v>
      </c>
      <c r="G7498" t="s">
        <v>26</v>
      </c>
      <c r="H7498" t="s">
        <v>27</v>
      </c>
      <c r="I7498" t="s">
        <v>52</v>
      </c>
      <c r="J7498">
        <v>2653.63</v>
      </c>
      <c r="K7498">
        <v>0.1</v>
      </c>
      <c r="L7498">
        <v>0.56999999999999995</v>
      </c>
      <c r="M7498">
        <v>66.430000000000007</v>
      </c>
      <c r="N7498">
        <v>-12.9122</v>
      </c>
      <c r="O7498" s="1" t="s">
        <v>29</v>
      </c>
      <c r="P7498" s="1" t="s">
        <v>14295</v>
      </c>
      <c r="Q7498" s="1" t="s">
        <v>14296</v>
      </c>
      <c r="R7498" s="1" t="s">
        <v>32</v>
      </c>
      <c r="S7498" s="1" t="s">
        <v>14297</v>
      </c>
      <c r="T7498" s="1" t="s">
        <v>14298</v>
      </c>
      <c r="U7498" s="2" t="s">
        <v>1823</v>
      </c>
      <c r="V7498" s="2" t="s">
        <v>83</v>
      </c>
      <c r="W7498" s="2" t="s">
        <v>178</v>
      </c>
      <c r="X7498" s="2">
        <v>143.11500000000001</v>
      </c>
    </row>
    <row r="7499" spans="1:24" x14ac:dyDescent="0.3">
      <c r="A7499">
        <v>25312</v>
      </c>
      <c r="B7499" t="s">
        <v>14486</v>
      </c>
      <c r="C7499" s="3">
        <v>40992</v>
      </c>
      <c r="D7499" t="s">
        <v>25</v>
      </c>
      <c r="E7499">
        <v>10</v>
      </c>
      <c r="F7499" s="3">
        <f ca="1">40994+(RANDBETWEEN(1,10))</f>
        <v>41003</v>
      </c>
      <c r="G7499" t="s">
        <v>26</v>
      </c>
      <c r="H7499" t="s">
        <v>27</v>
      </c>
      <c r="I7499" t="s">
        <v>86</v>
      </c>
      <c r="J7499">
        <v>3613.26</v>
      </c>
      <c r="K7499">
        <v>0.04</v>
      </c>
      <c r="L7499">
        <v>0.5</v>
      </c>
      <c r="M7499">
        <v>69.965000000000003</v>
      </c>
      <c r="N7499">
        <v>2493.1493999999998</v>
      </c>
      <c r="O7499" s="1" t="s">
        <v>53</v>
      </c>
      <c r="P7499" s="1" t="s">
        <v>1573</v>
      </c>
      <c r="Q7499" s="1" t="s">
        <v>1574</v>
      </c>
      <c r="R7499" s="1" t="s">
        <v>100</v>
      </c>
      <c r="S7499" s="1" t="s">
        <v>1575</v>
      </c>
      <c r="T7499" s="1" t="s">
        <v>1576</v>
      </c>
      <c r="U7499" s="2" t="s">
        <v>6456</v>
      </c>
      <c r="V7499" s="2" t="s">
        <v>36</v>
      </c>
      <c r="W7499" s="2" t="s">
        <v>60</v>
      </c>
      <c r="X7499" s="2">
        <v>349.96499999999997</v>
      </c>
    </row>
    <row r="7500" spans="1:24" x14ac:dyDescent="0.3">
      <c r="A7500">
        <v>25313</v>
      </c>
      <c r="B7500" t="s">
        <v>14487</v>
      </c>
      <c r="C7500" s="3">
        <v>41458</v>
      </c>
      <c r="D7500" t="s">
        <v>62</v>
      </c>
      <c r="E7500">
        <v>2</v>
      </c>
      <c r="F7500" s="3">
        <f ca="1">41461+(RANDBETWEEN(1,10))</f>
        <v>41464</v>
      </c>
      <c r="G7500" t="s">
        <v>156</v>
      </c>
      <c r="H7500" t="s">
        <v>96</v>
      </c>
      <c r="I7500" t="s">
        <v>28</v>
      </c>
      <c r="J7500">
        <v>21.84</v>
      </c>
      <c r="K7500">
        <v>0.09</v>
      </c>
      <c r="L7500">
        <v>0.52</v>
      </c>
      <c r="M7500">
        <v>2.73</v>
      </c>
      <c r="N7500">
        <v>24.254999999999999</v>
      </c>
      <c r="O7500" s="1" t="s">
        <v>64</v>
      </c>
      <c r="P7500" s="1" t="s">
        <v>2182</v>
      </c>
      <c r="Q7500" s="1" t="s">
        <v>2183</v>
      </c>
      <c r="R7500" s="1" t="s">
        <v>128</v>
      </c>
      <c r="S7500" s="1" t="s">
        <v>2184</v>
      </c>
      <c r="T7500" s="1" t="s">
        <v>2185</v>
      </c>
      <c r="U7500" s="2" t="s">
        <v>5921</v>
      </c>
      <c r="V7500" s="2" t="s">
        <v>47</v>
      </c>
      <c r="W7500" s="2" t="s">
        <v>176</v>
      </c>
      <c r="X7500" s="2">
        <v>7.63</v>
      </c>
    </row>
    <row r="7501" spans="1:24" x14ac:dyDescent="0.3">
      <c r="A7501">
        <v>25314</v>
      </c>
      <c r="B7501" t="s">
        <v>14487</v>
      </c>
      <c r="C7501" s="3">
        <v>41458</v>
      </c>
      <c r="D7501" t="s">
        <v>62</v>
      </c>
      <c r="E7501">
        <v>2</v>
      </c>
      <c r="F7501" s="3">
        <f ca="1">41460+(RANDBETWEEN(1,10))</f>
        <v>41464</v>
      </c>
      <c r="G7501" t="s">
        <v>26</v>
      </c>
      <c r="H7501" t="s">
        <v>27</v>
      </c>
      <c r="I7501" t="s">
        <v>28</v>
      </c>
      <c r="J7501">
        <v>736.75</v>
      </c>
      <c r="K7501">
        <v>0.09</v>
      </c>
      <c r="L7501">
        <v>0.56999999999999995</v>
      </c>
      <c r="M7501">
        <v>28.28</v>
      </c>
      <c r="N7501">
        <v>-827.85500000000002</v>
      </c>
      <c r="O7501" s="1" t="s">
        <v>64</v>
      </c>
      <c r="P7501" s="1" t="s">
        <v>2182</v>
      </c>
      <c r="Q7501" s="1" t="s">
        <v>2183</v>
      </c>
      <c r="R7501" s="1" t="s">
        <v>128</v>
      </c>
      <c r="S7501" s="1" t="s">
        <v>2184</v>
      </c>
      <c r="T7501" s="1" t="s">
        <v>2185</v>
      </c>
      <c r="U7501" s="2" t="s">
        <v>1547</v>
      </c>
      <c r="V7501" s="2" t="s">
        <v>36</v>
      </c>
      <c r="W7501" s="2" t="s">
        <v>37</v>
      </c>
      <c r="X7501" s="2">
        <v>440.96499999999997</v>
      </c>
    </row>
    <row r="7502" spans="1:24" x14ac:dyDescent="0.3">
      <c r="A7502">
        <v>25315</v>
      </c>
      <c r="B7502" t="s">
        <v>14488</v>
      </c>
      <c r="C7502" s="3">
        <v>41579</v>
      </c>
      <c r="D7502" t="s">
        <v>50</v>
      </c>
      <c r="E7502">
        <v>33</v>
      </c>
      <c r="F7502" s="3">
        <f ca="1">41579+(RANDBETWEEN(1,10))</f>
        <v>41587</v>
      </c>
      <c r="G7502" t="s">
        <v>26</v>
      </c>
      <c r="H7502" t="s">
        <v>258</v>
      </c>
      <c r="I7502" t="s">
        <v>97</v>
      </c>
      <c r="J7502">
        <v>773.43</v>
      </c>
      <c r="K7502">
        <v>7.0000000000000007E-2</v>
      </c>
      <c r="L7502">
        <v>0.56000000000000005</v>
      </c>
      <c r="M7502">
        <v>33.880000000000003</v>
      </c>
      <c r="N7502">
        <v>154.21</v>
      </c>
      <c r="O7502" s="1" t="s">
        <v>87</v>
      </c>
      <c r="P7502" s="1" t="s">
        <v>12382</v>
      </c>
      <c r="Q7502" s="1" t="s">
        <v>12383</v>
      </c>
      <c r="R7502" s="1" t="s">
        <v>646</v>
      </c>
      <c r="S7502" s="1" t="s">
        <v>12384</v>
      </c>
      <c r="T7502" s="1" t="s">
        <v>3195</v>
      </c>
      <c r="U7502" s="2" t="s">
        <v>1107</v>
      </c>
      <c r="V7502" s="2" t="s">
        <v>83</v>
      </c>
      <c r="W7502" s="2" t="s">
        <v>298</v>
      </c>
      <c r="X7502" s="2">
        <v>22.68</v>
      </c>
    </row>
    <row r="7503" spans="1:24" x14ac:dyDescent="0.3">
      <c r="A7503">
        <v>25316</v>
      </c>
      <c r="B7503" t="s">
        <v>14488</v>
      </c>
      <c r="C7503" s="3">
        <v>41579</v>
      </c>
      <c r="D7503" t="s">
        <v>50</v>
      </c>
      <c r="E7503">
        <v>40</v>
      </c>
      <c r="F7503" s="3">
        <f ca="1">41580+(RANDBETWEEN(1,10))</f>
        <v>41589</v>
      </c>
      <c r="G7503" t="s">
        <v>26</v>
      </c>
      <c r="H7503" t="s">
        <v>77</v>
      </c>
      <c r="I7503" t="s">
        <v>97</v>
      </c>
      <c r="J7503">
        <v>462.35</v>
      </c>
      <c r="K7503">
        <v>7.0000000000000007E-2</v>
      </c>
      <c r="L7503">
        <v>0.55000000000000004</v>
      </c>
      <c r="M7503">
        <v>4.7249999999999996</v>
      </c>
      <c r="N7503">
        <v>179.71799999999999</v>
      </c>
      <c r="O7503" s="1" t="s">
        <v>53</v>
      </c>
      <c r="P7503" s="1" t="s">
        <v>14489</v>
      </c>
      <c r="Q7503" s="1" t="s">
        <v>14490</v>
      </c>
      <c r="R7503" s="1" t="s">
        <v>440</v>
      </c>
      <c r="S7503" s="1" t="s">
        <v>14491</v>
      </c>
      <c r="T7503" s="1" t="s">
        <v>14492</v>
      </c>
      <c r="U7503" s="2" t="s">
        <v>5999</v>
      </c>
      <c r="V7503" s="2" t="s">
        <v>83</v>
      </c>
      <c r="W7503" s="2" t="s">
        <v>84</v>
      </c>
      <c r="X7503" s="2">
        <v>11.515000000000001</v>
      </c>
    </row>
    <row r="7504" spans="1:24" x14ac:dyDescent="0.3">
      <c r="A7504">
        <v>25317</v>
      </c>
      <c r="B7504" t="s">
        <v>14493</v>
      </c>
      <c r="C7504" s="3">
        <v>41742</v>
      </c>
      <c r="D7504" t="s">
        <v>50</v>
      </c>
      <c r="E7504">
        <v>8</v>
      </c>
      <c r="F7504" s="3">
        <f ca="1">41744+(RANDBETWEEN(1,10))</f>
        <v>41746</v>
      </c>
      <c r="G7504" t="s">
        <v>26</v>
      </c>
      <c r="H7504" t="s">
        <v>27</v>
      </c>
      <c r="I7504" t="s">
        <v>86</v>
      </c>
      <c r="J7504">
        <v>1703.2049999999999</v>
      </c>
      <c r="K7504">
        <v>0</v>
      </c>
      <c r="L7504">
        <v>0.57999999999999996</v>
      </c>
      <c r="M7504">
        <v>30.8</v>
      </c>
      <c r="N7504">
        <v>1175.21145</v>
      </c>
      <c r="O7504" s="1" t="s">
        <v>87</v>
      </c>
      <c r="P7504" s="1" t="s">
        <v>13409</v>
      </c>
      <c r="Q7504" s="1" t="s">
        <v>13410</v>
      </c>
      <c r="R7504" s="1" t="s">
        <v>398</v>
      </c>
      <c r="S7504" s="1" t="s">
        <v>13411</v>
      </c>
      <c r="T7504" s="1" t="s">
        <v>13412</v>
      </c>
      <c r="U7504" s="2">
        <v>6120</v>
      </c>
      <c r="V7504" s="2" t="s">
        <v>36</v>
      </c>
      <c r="W7504" s="2" t="s">
        <v>37</v>
      </c>
      <c r="X7504" s="2">
        <v>230.965</v>
      </c>
    </row>
    <row r="7505" spans="1:24" x14ac:dyDescent="0.3">
      <c r="A7505">
        <v>25318</v>
      </c>
      <c r="B7505" t="s">
        <v>14494</v>
      </c>
      <c r="C7505" s="3">
        <v>41703</v>
      </c>
      <c r="D7505" t="s">
        <v>50</v>
      </c>
      <c r="E7505">
        <v>1</v>
      </c>
      <c r="F7505" s="3">
        <f ca="1">41705+(RANDBETWEEN(1,10))</f>
        <v>41715</v>
      </c>
      <c r="G7505" t="s">
        <v>156</v>
      </c>
      <c r="H7505" t="s">
        <v>27</v>
      </c>
      <c r="I7505" t="s">
        <v>28</v>
      </c>
      <c r="J7505">
        <v>62.615000000000002</v>
      </c>
      <c r="K7505">
        <v>0.04</v>
      </c>
      <c r="L7505">
        <v>0.39</v>
      </c>
      <c r="M7505">
        <v>1.75</v>
      </c>
      <c r="N7505">
        <v>36.784999999999997</v>
      </c>
      <c r="O7505" s="1" t="s">
        <v>29</v>
      </c>
      <c r="P7505" s="1" t="s">
        <v>11691</v>
      </c>
      <c r="Q7505" s="1" t="s">
        <v>11692</v>
      </c>
      <c r="R7505" s="1" t="s">
        <v>32</v>
      </c>
      <c r="S7505" s="1" t="s">
        <v>842</v>
      </c>
      <c r="T7505" s="1" t="s">
        <v>11693</v>
      </c>
      <c r="U7505" s="2" t="s">
        <v>3481</v>
      </c>
      <c r="V7505" s="2" t="s">
        <v>47</v>
      </c>
      <c r="W7505" s="2" t="s">
        <v>203</v>
      </c>
      <c r="X7505" s="2">
        <v>10.08</v>
      </c>
    </row>
    <row r="7506" spans="1:24" x14ac:dyDescent="0.3">
      <c r="A7506">
        <v>25319</v>
      </c>
      <c r="B7506" t="s">
        <v>14495</v>
      </c>
      <c r="C7506" s="3">
        <v>40973</v>
      </c>
      <c r="D7506" t="s">
        <v>50</v>
      </c>
      <c r="E7506">
        <v>12</v>
      </c>
      <c r="F7506" s="3">
        <f ca="1">40975+(RANDBETWEEN(1,10))</f>
        <v>40976</v>
      </c>
      <c r="G7506" t="s">
        <v>26</v>
      </c>
      <c r="H7506" t="s">
        <v>96</v>
      </c>
      <c r="I7506" t="s">
        <v>28</v>
      </c>
      <c r="J7506">
        <v>122.57</v>
      </c>
      <c r="K7506">
        <v>7.0000000000000007E-2</v>
      </c>
      <c r="L7506">
        <v>0.57999999999999996</v>
      </c>
      <c r="M7506">
        <v>3.36</v>
      </c>
      <c r="N7506">
        <v>21.14</v>
      </c>
      <c r="O7506" s="1" t="s">
        <v>29</v>
      </c>
      <c r="P7506" s="1" t="s">
        <v>11691</v>
      </c>
      <c r="Q7506" s="1" t="s">
        <v>11692</v>
      </c>
      <c r="R7506" s="1" t="s">
        <v>32</v>
      </c>
      <c r="S7506" s="1" t="s">
        <v>842</v>
      </c>
      <c r="T7506" s="1" t="s">
        <v>11693</v>
      </c>
      <c r="U7506" s="2" t="s">
        <v>154</v>
      </c>
      <c r="V7506" s="2" t="s">
        <v>47</v>
      </c>
      <c r="W7506" s="2" t="s">
        <v>104</v>
      </c>
      <c r="X7506" s="2">
        <v>10.29</v>
      </c>
    </row>
    <row r="7507" spans="1:24" x14ac:dyDescent="0.3">
      <c r="A7507">
        <v>2532</v>
      </c>
      <c r="B7507" t="s">
        <v>14496</v>
      </c>
      <c r="C7507" s="3">
        <v>41741</v>
      </c>
      <c r="D7507" t="s">
        <v>62</v>
      </c>
      <c r="E7507">
        <v>35</v>
      </c>
      <c r="F7507" s="3">
        <f ca="1">41741+(RANDBETWEEN(1,10))</f>
        <v>41748</v>
      </c>
      <c r="G7507" t="s">
        <v>26</v>
      </c>
      <c r="H7507" t="s">
        <v>27</v>
      </c>
      <c r="I7507" t="s">
        <v>28</v>
      </c>
      <c r="J7507">
        <v>23128.84</v>
      </c>
      <c r="K7507">
        <v>0.09</v>
      </c>
      <c r="L7507">
        <v>0.55000000000000004</v>
      </c>
      <c r="M7507">
        <v>3.4649999999999999</v>
      </c>
      <c r="N7507">
        <v>7576.24</v>
      </c>
      <c r="O7507" s="1" t="s">
        <v>64</v>
      </c>
      <c r="P7507" s="1" t="s">
        <v>339</v>
      </c>
      <c r="Q7507" s="1" t="s">
        <v>340</v>
      </c>
      <c r="R7507" s="1" t="s">
        <v>128</v>
      </c>
      <c r="S7507" s="1" t="s">
        <v>129</v>
      </c>
      <c r="T7507" s="1" t="s">
        <v>341</v>
      </c>
      <c r="U7507" s="2" t="s">
        <v>1018</v>
      </c>
      <c r="V7507" s="2" t="s">
        <v>47</v>
      </c>
      <c r="W7507" s="2" t="s">
        <v>71</v>
      </c>
      <c r="X7507" s="2">
        <v>726.18</v>
      </c>
    </row>
    <row r="7508" spans="1:24" x14ac:dyDescent="0.3">
      <c r="A7508">
        <v>25320</v>
      </c>
      <c r="B7508" t="s">
        <v>14497</v>
      </c>
      <c r="C7508" s="3">
        <v>41254</v>
      </c>
      <c r="D7508" t="s">
        <v>62</v>
      </c>
      <c r="E7508">
        <v>12</v>
      </c>
      <c r="F7508" s="3">
        <f ca="1">41255+(RANDBETWEEN(1,10))</f>
        <v>41265</v>
      </c>
      <c r="G7508" t="s">
        <v>26</v>
      </c>
      <c r="H7508" t="s">
        <v>27</v>
      </c>
      <c r="I7508" t="s">
        <v>97</v>
      </c>
      <c r="J7508">
        <v>1029.7349999999999</v>
      </c>
      <c r="K7508">
        <v>0.1</v>
      </c>
      <c r="L7508">
        <v>0.39</v>
      </c>
      <c r="M7508">
        <v>45.43</v>
      </c>
      <c r="N7508">
        <v>-8.8147500000000001</v>
      </c>
      <c r="O7508" s="1" t="s">
        <v>87</v>
      </c>
      <c r="P7508" s="1" t="s">
        <v>10544</v>
      </c>
      <c r="Q7508" s="1" t="s">
        <v>10545</v>
      </c>
      <c r="R7508" s="1" t="s">
        <v>90</v>
      </c>
      <c r="S7508" s="1" t="s">
        <v>10546</v>
      </c>
      <c r="T7508" s="1" t="s">
        <v>10547</v>
      </c>
      <c r="U7508" s="2" t="s">
        <v>559</v>
      </c>
      <c r="V7508" s="2" t="s">
        <v>47</v>
      </c>
      <c r="W7508" s="2" t="s">
        <v>111</v>
      </c>
      <c r="X7508" s="2">
        <v>87.22</v>
      </c>
    </row>
    <row r="7509" spans="1:24" x14ac:dyDescent="0.3">
      <c r="A7509">
        <v>25321</v>
      </c>
      <c r="B7509" t="s">
        <v>14497</v>
      </c>
      <c r="C7509" s="3">
        <v>41254</v>
      </c>
      <c r="D7509" t="s">
        <v>62</v>
      </c>
      <c r="E7509">
        <v>6</v>
      </c>
      <c r="F7509" s="3">
        <f ca="1">41255+(RANDBETWEEN(1,10))</f>
        <v>41257</v>
      </c>
      <c r="G7509" t="s">
        <v>76</v>
      </c>
      <c r="H7509" t="s">
        <v>258</v>
      </c>
      <c r="I7509" t="s">
        <v>97</v>
      </c>
      <c r="J7509">
        <v>2714.8449999999998</v>
      </c>
      <c r="K7509">
        <v>0.03</v>
      </c>
      <c r="L7509">
        <v>0.75</v>
      </c>
      <c r="M7509">
        <v>275.24</v>
      </c>
      <c r="N7509">
        <v>-845.46</v>
      </c>
      <c r="O7509" s="1" t="s">
        <v>87</v>
      </c>
      <c r="P7509" s="1" t="s">
        <v>10544</v>
      </c>
      <c r="Q7509" s="1" t="s">
        <v>10545</v>
      </c>
      <c r="R7509" s="1" t="s">
        <v>90</v>
      </c>
      <c r="S7509" s="1" t="s">
        <v>10546</v>
      </c>
      <c r="T7509" s="1" t="s">
        <v>10547</v>
      </c>
      <c r="U7509" s="2" t="s">
        <v>837</v>
      </c>
      <c r="V7509" s="2" t="s">
        <v>83</v>
      </c>
      <c r="W7509" s="2" t="s">
        <v>298</v>
      </c>
      <c r="X7509" s="2">
        <v>423.43</v>
      </c>
    </row>
    <row r="7510" spans="1:24" x14ac:dyDescent="0.3">
      <c r="A7510">
        <v>25322</v>
      </c>
      <c r="B7510" t="s">
        <v>14498</v>
      </c>
      <c r="C7510" s="3">
        <v>41573</v>
      </c>
      <c r="D7510" t="s">
        <v>50</v>
      </c>
      <c r="E7510">
        <v>9</v>
      </c>
      <c r="F7510" s="3">
        <f ca="1">41574+(RANDBETWEEN(1,10))</f>
        <v>41578</v>
      </c>
      <c r="G7510" t="s">
        <v>26</v>
      </c>
      <c r="H7510" t="s">
        <v>27</v>
      </c>
      <c r="I7510" t="s">
        <v>86</v>
      </c>
      <c r="J7510">
        <v>442.64499999999998</v>
      </c>
      <c r="K7510">
        <v>0.09</v>
      </c>
      <c r="L7510">
        <v>0.38</v>
      </c>
      <c r="M7510">
        <v>25.094999999999999</v>
      </c>
      <c r="N7510">
        <v>-10.693619999999999</v>
      </c>
      <c r="O7510" s="1" t="s">
        <v>40</v>
      </c>
      <c r="P7510" s="1" t="s">
        <v>14499</v>
      </c>
      <c r="Q7510" s="1" t="s">
        <v>14500</v>
      </c>
      <c r="R7510" s="1" t="s">
        <v>43</v>
      </c>
      <c r="S7510" s="1" t="s">
        <v>14501</v>
      </c>
      <c r="T7510" s="1" t="s">
        <v>14380</v>
      </c>
      <c r="U7510" s="2" t="s">
        <v>3914</v>
      </c>
      <c r="V7510" s="2" t="s">
        <v>47</v>
      </c>
      <c r="W7510" s="2" t="s">
        <v>111</v>
      </c>
      <c r="X7510" s="2">
        <v>50.575000000000003</v>
      </c>
    </row>
    <row r="7511" spans="1:24" x14ac:dyDescent="0.3">
      <c r="A7511">
        <v>25323</v>
      </c>
      <c r="B7511" t="s">
        <v>14502</v>
      </c>
      <c r="C7511" s="3">
        <v>41669</v>
      </c>
      <c r="D7511" t="s">
        <v>50</v>
      </c>
      <c r="E7511">
        <v>1</v>
      </c>
      <c r="F7511" s="3">
        <f ca="1">41670+(RANDBETWEEN(1,10))</f>
        <v>41674</v>
      </c>
      <c r="G7511" t="s">
        <v>26</v>
      </c>
      <c r="H7511" t="s">
        <v>27</v>
      </c>
      <c r="I7511" t="s">
        <v>28</v>
      </c>
      <c r="J7511">
        <v>13.475</v>
      </c>
      <c r="K7511">
        <v>0.08</v>
      </c>
      <c r="L7511">
        <v>0.37</v>
      </c>
      <c r="M7511">
        <v>3.4649999999999999</v>
      </c>
      <c r="N7511">
        <v>-5.9024000000000001</v>
      </c>
      <c r="O7511" s="1" t="s">
        <v>29</v>
      </c>
      <c r="P7511" s="1" t="s">
        <v>14503</v>
      </c>
      <c r="Q7511" s="1" t="s">
        <v>14504</v>
      </c>
      <c r="R7511" s="1" t="s">
        <v>32</v>
      </c>
      <c r="S7511" s="1" t="s">
        <v>4421</v>
      </c>
      <c r="T7511" s="1" t="s">
        <v>4422</v>
      </c>
      <c r="U7511" s="2" t="s">
        <v>796</v>
      </c>
      <c r="V7511" s="2" t="s">
        <v>47</v>
      </c>
      <c r="W7511" s="2" t="s">
        <v>203</v>
      </c>
      <c r="X7511" s="2">
        <v>10.78</v>
      </c>
    </row>
    <row r="7512" spans="1:24" x14ac:dyDescent="0.3">
      <c r="A7512">
        <v>25324</v>
      </c>
      <c r="B7512" t="s">
        <v>14505</v>
      </c>
      <c r="C7512" s="3">
        <v>40938</v>
      </c>
      <c r="D7512" t="s">
        <v>50</v>
      </c>
      <c r="E7512">
        <v>3</v>
      </c>
      <c r="F7512" s="3">
        <f ca="1">40940+(RANDBETWEEN(1,10))</f>
        <v>40945</v>
      </c>
      <c r="G7512" t="s">
        <v>26</v>
      </c>
      <c r="H7512" t="s">
        <v>27</v>
      </c>
      <c r="I7512" t="s">
        <v>28</v>
      </c>
      <c r="J7512">
        <v>574.35</v>
      </c>
      <c r="K7512">
        <v>0.08</v>
      </c>
      <c r="L7512">
        <v>0.55000000000000004</v>
      </c>
      <c r="M7512">
        <v>13.65</v>
      </c>
      <c r="N7512">
        <v>-421.83064000000002</v>
      </c>
      <c r="O7512" s="1" t="s">
        <v>29</v>
      </c>
      <c r="P7512" s="1" t="s">
        <v>14503</v>
      </c>
      <c r="Q7512" s="1" t="s">
        <v>14504</v>
      </c>
      <c r="R7512" s="1" t="s">
        <v>32</v>
      </c>
      <c r="S7512" s="1" t="s">
        <v>4421</v>
      </c>
      <c r="T7512" s="1" t="s">
        <v>4422</v>
      </c>
      <c r="U7512" s="2" t="s">
        <v>3221</v>
      </c>
      <c r="V7512" s="2" t="s">
        <v>36</v>
      </c>
      <c r="W7512" s="2" t="s">
        <v>37</v>
      </c>
      <c r="X7512" s="2">
        <v>230.965</v>
      </c>
    </row>
    <row r="7513" spans="1:24" x14ac:dyDescent="0.3">
      <c r="A7513">
        <v>25325</v>
      </c>
      <c r="B7513" t="s">
        <v>14506</v>
      </c>
      <c r="C7513" s="3">
        <v>41855</v>
      </c>
      <c r="D7513" t="s">
        <v>62</v>
      </c>
      <c r="E7513">
        <v>12</v>
      </c>
      <c r="F7513" s="3">
        <f ca="1">41856+(RANDBETWEEN(1,10))</f>
        <v>41858</v>
      </c>
      <c r="G7513" t="s">
        <v>26</v>
      </c>
      <c r="H7513" t="s">
        <v>96</v>
      </c>
      <c r="I7513" t="s">
        <v>28</v>
      </c>
      <c r="J7513">
        <v>167.89500000000001</v>
      </c>
      <c r="K7513">
        <v>0.01</v>
      </c>
      <c r="L7513">
        <v>0.53</v>
      </c>
      <c r="M7513">
        <v>7</v>
      </c>
      <c r="N7513">
        <v>-70.888300000000001</v>
      </c>
      <c r="O7513" s="1" t="s">
        <v>29</v>
      </c>
      <c r="P7513" s="1" t="s">
        <v>12819</v>
      </c>
      <c r="Q7513" s="1" t="s">
        <v>12820</v>
      </c>
      <c r="R7513" s="1" t="s">
        <v>32</v>
      </c>
      <c r="S7513" s="1" t="s">
        <v>2279</v>
      </c>
      <c r="T7513" s="1" t="s">
        <v>2280</v>
      </c>
      <c r="U7513" s="2" t="s">
        <v>955</v>
      </c>
      <c r="V7513" s="2" t="s">
        <v>47</v>
      </c>
      <c r="W7513" s="2" t="s">
        <v>176</v>
      </c>
      <c r="X7513" s="2">
        <v>13.824999999999999</v>
      </c>
    </row>
    <row r="7514" spans="1:24" x14ac:dyDescent="0.3">
      <c r="A7514">
        <v>25326</v>
      </c>
      <c r="B7514" t="s">
        <v>14506</v>
      </c>
      <c r="C7514" s="3">
        <v>41855</v>
      </c>
      <c r="D7514" t="s">
        <v>62</v>
      </c>
      <c r="E7514">
        <v>3</v>
      </c>
      <c r="F7514" s="3">
        <f ca="1">41857+(RANDBETWEEN(1,10))</f>
        <v>41858</v>
      </c>
      <c r="G7514" t="s">
        <v>26</v>
      </c>
      <c r="H7514" t="s">
        <v>27</v>
      </c>
      <c r="I7514" t="s">
        <v>28</v>
      </c>
      <c r="J7514">
        <v>659.82</v>
      </c>
      <c r="K7514">
        <v>0.06</v>
      </c>
      <c r="L7514">
        <v>0.73</v>
      </c>
      <c r="M7514">
        <v>24.08</v>
      </c>
      <c r="N7514">
        <v>73.185000000000002</v>
      </c>
      <c r="O7514" s="1" t="s">
        <v>29</v>
      </c>
      <c r="P7514" s="1" t="s">
        <v>12819</v>
      </c>
      <c r="Q7514" s="1" t="s">
        <v>12820</v>
      </c>
      <c r="R7514" s="1" t="s">
        <v>32</v>
      </c>
      <c r="S7514" s="1" t="s">
        <v>2279</v>
      </c>
      <c r="T7514" s="1" t="s">
        <v>2280</v>
      </c>
      <c r="U7514" s="2" t="s">
        <v>2091</v>
      </c>
      <c r="V7514" s="2" t="s">
        <v>47</v>
      </c>
      <c r="W7514" s="2" t="s">
        <v>119</v>
      </c>
      <c r="X7514" s="2">
        <v>227.43</v>
      </c>
    </row>
    <row r="7515" spans="1:24" x14ac:dyDescent="0.3">
      <c r="A7515">
        <v>25327</v>
      </c>
      <c r="B7515" t="s">
        <v>14507</v>
      </c>
      <c r="C7515" s="3">
        <v>41300</v>
      </c>
      <c r="D7515" t="s">
        <v>148</v>
      </c>
      <c r="E7515">
        <v>5</v>
      </c>
      <c r="F7515" s="3">
        <f ca="1">41301+(RANDBETWEEN(1,10))</f>
        <v>41305</v>
      </c>
      <c r="G7515" t="s">
        <v>26</v>
      </c>
      <c r="H7515" t="s">
        <v>27</v>
      </c>
      <c r="I7515" t="s">
        <v>28</v>
      </c>
      <c r="J7515">
        <v>84.944999999999993</v>
      </c>
      <c r="K7515">
        <v>0.05</v>
      </c>
      <c r="L7515">
        <v>0.39</v>
      </c>
      <c r="M7515">
        <v>18.34</v>
      </c>
      <c r="N7515">
        <v>-262.92588000000001</v>
      </c>
      <c r="O7515" s="1" t="s">
        <v>64</v>
      </c>
      <c r="P7515" s="1" t="s">
        <v>12210</v>
      </c>
      <c r="Q7515" s="1" t="s">
        <v>12211</v>
      </c>
      <c r="R7515" s="1" t="s">
        <v>128</v>
      </c>
      <c r="S7515" s="1" t="s">
        <v>8092</v>
      </c>
      <c r="T7515" s="1" t="s">
        <v>8093</v>
      </c>
      <c r="U7515" s="2" t="s">
        <v>112</v>
      </c>
      <c r="V7515" s="2" t="s">
        <v>47</v>
      </c>
      <c r="W7515" s="2" t="s">
        <v>111</v>
      </c>
      <c r="X7515" s="2">
        <v>16.87</v>
      </c>
    </row>
    <row r="7516" spans="1:24" x14ac:dyDescent="0.3">
      <c r="A7516">
        <v>25328</v>
      </c>
      <c r="B7516" t="s">
        <v>14508</v>
      </c>
      <c r="C7516" s="3">
        <v>41741</v>
      </c>
      <c r="D7516" t="s">
        <v>62</v>
      </c>
      <c r="E7516">
        <v>3</v>
      </c>
      <c r="F7516" s="3">
        <f ca="1">41742+(RANDBETWEEN(1,10))</f>
        <v>41747</v>
      </c>
      <c r="G7516" t="s">
        <v>26</v>
      </c>
      <c r="H7516" t="s">
        <v>51</v>
      </c>
      <c r="I7516" t="s">
        <v>28</v>
      </c>
      <c r="J7516">
        <v>137.655</v>
      </c>
      <c r="K7516">
        <v>0.01</v>
      </c>
      <c r="L7516">
        <v>0.55000000000000004</v>
      </c>
      <c r="M7516">
        <v>9.9749999999999996</v>
      </c>
      <c r="N7516">
        <v>38.29</v>
      </c>
      <c r="O7516" s="1" t="s">
        <v>53</v>
      </c>
      <c r="P7516" s="1" t="s">
        <v>7739</v>
      </c>
      <c r="Q7516" s="1" t="s">
        <v>7740</v>
      </c>
      <c r="R7516" s="1" t="s">
        <v>440</v>
      </c>
      <c r="S7516" s="1" t="s">
        <v>2835</v>
      </c>
      <c r="T7516" s="1" t="s">
        <v>2836</v>
      </c>
      <c r="U7516" s="2" t="s">
        <v>3256</v>
      </c>
      <c r="V7516" s="2" t="s">
        <v>83</v>
      </c>
      <c r="W7516" s="2" t="s">
        <v>178</v>
      </c>
      <c r="X7516" s="2">
        <v>42.77</v>
      </c>
    </row>
    <row r="7517" spans="1:24" x14ac:dyDescent="0.3">
      <c r="A7517">
        <v>25329</v>
      </c>
      <c r="B7517" t="s">
        <v>14508</v>
      </c>
      <c r="C7517" s="3">
        <v>41741</v>
      </c>
      <c r="D7517" t="s">
        <v>62</v>
      </c>
      <c r="E7517">
        <v>8</v>
      </c>
      <c r="F7517" s="3">
        <f ca="1">41742+(RANDBETWEEN(1,10))</f>
        <v>41746</v>
      </c>
      <c r="G7517" t="s">
        <v>26</v>
      </c>
      <c r="H7517" t="s">
        <v>27</v>
      </c>
      <c r="I7517" t="s">
        <v>28</v>
      </c>
      <c r="J7517">
        <v>1542.45</v>
      </c>
      <c r="K7517">
        <v>0.06</v>
      </c>
      <c r="L7517">
        <v>0.36</v>
      </c>
      <c r="M7517">
        <v>37.625</v>
      </c>
      <c r="N7517">
        <v>1064.2905000000001</v>
      </c>
      <c r="O7517" s="1" t="s">
        <v>53</v>
      </c>
      <c r="P7517" s="1" t="s">
        <v>7739</v>
      </c>
      <c r="Q7517" s="1" t="s">
        <v>7740</v>
      </c>
      <c r="R7517" s="1" t="s">
        <v>440</v>
      </c>
      <c r="S7517" s="1" t="s">
        <v>2835</v>
      </c>
      <c r="T7517" s="1" t="s">
        <v>2836</v>
      </c>
      <c r="U7517" s="2" t="s">
        <v>5401</v>
      </c>
      <c r="V7517" s="2" t="s">
        <v>47</v>
      </c>
      <c r="W7517" s="2" t="s">
        <v>74</v>
      </c>
      <c r="X7517" s="2">
        <v>192.36</v>
      </c>
    </row>
    <row r="7518" spans="1:24" x14ac:dyDescent="0.3">
      <c r="A7518">
        <v>25330</v>
      </c>
      <c r="B7518" t="s">
        <v>14509</v>
      </c>
      <c r="C7518" s="3">
        <v>40586</v>
      </c>
      <c r="D7518" t="s">
        <v>148</v>
      </c>
      <c r="E7518">
        <v>9</v>
      </c>
      <c r="F7518" s="3">
        <f ca="1">40589+(RANDBETWEEN(1,10))</f>
        <v>40594</v>
      </c>
      <c r="G7518" t="s">
        <v>26</v>
      </c>
      <c r="H7518" t="s">
        <v>27</v>
      </c>
      <c r="I7518" t="s">
        <v>52</v>
      </c>
      <c r="J7518">
        <v>204.75</v>
      </c>
      <c r="K7518">
        <v>0.05</v>
      </c>
      <c r="L7518">
        <v>0.37</v>
      </c>
      <c r="M7518">
        <v>28.664999999999999</v>
      </c>
      <c r="N7518">
        <v>-574.63</v>
      </c>
      <c r="O7518" s="1" t="s">
        <v>29</v>
      </c>
      <c r="P7518" s="1" t="s">
        <v>14510</v>
      </c>
      <c r="Q7518" s="1" t="s">
        <v>14511</v>
      </c>
      <c r="R7518" s="1" t="s">
        <v>460</v>
      </c>
      <c r="S7518" s="1" t="s">
        <v>7600</v>
      </c>
      <c r="T7518" s="1" t="s">
        <v>7601</v>
      </c>
      <c r="U7518" s="2" t="s">
        <v>474</v>
      </c>
      <c r="V7518" s="2" t="s">
        <v>47</v>
      </c>
      <c r="W7518" s="2" t="s">
        <v>74</v>
      </c>
      <c r="X7518" s="2">
        <v>22.68</v>
      </c>
    </row>
    <row r="7519" spans="1:24" x14ac:dyDescent="0.3">
      <c r="A7519">
        <v>25331</v>
      </c>
      <c r="B7519" t="s">
        <v>14512</v>
      </c>
      <c r="C7519" s="3">
        <v>41881</v>
      </c>
      <c r="D7519" t="s">
        <v>62</v>
      </c>
      <c r="E7519">
        <v>15</v>
      </c>
      <c r="F7519" s="3">
        <f ca="1">41883+(RANDBETWEEN(1,10))</f>
        <v>41890</v>
      </c>
      <c r="G7519" t="s">
        <v>76</v>
      </c>
      <c r="H7519" t="s">
        <v>77</v>
      </c>
      <c r="I7519" t="s">
        <v>52</v>
      </c>
      <c r="J7519">
        <v>4889.3599999999997</v>
      </c>
      <c r="K7519">
        <v>0.06</v>
      </c>
      <c r="L7519">
        <v>0.57999999999999996</v>
      </c>
      <c r="M7519">
        <v>203.7</v>
      </c>
      <c r="N7519">
        <v>-1177.3462400000001</v>
      </c>
      <c r="O7519" s="1" t="s">
        <v>40</v>
      </c>
      <c r="P7519" s="1" t="s">
        <v>14513</v>
      </c>
      <c r="Q7519" s="1" t="s">
        <v>14514</v>
      </c>
      <c r="R7519" s="1" t="s">
        <v>43</v>
      </c>
      <c r="S7519" s="1" t="s">
        <v>2543</v>
      </c>
      <c r="T7519" s="1" t="s">
        <v>2544</v>
      </c>
      <c r="U7519" s="2" t="s">
        <v>82</v>
      </c>
      <c r="V7519" s="2" t="s">
        <v>83</v>
      </c>
      <c r="W7519" s="2" t="s">
        <v>84</v>
      </c>
      <c r="X7519" s="2">
        <v>335.93</v>
      </c>
    </row>
    <row r="7520" spans="1:24" x14ac:dyDescent="0.3">
      <c r="A7520">
        <v>25332</v>
      </c>
      <c r="B7520" t="s">
        <v>14515</v>
      </c>
      <c r="C7520" s="3">
        <v>41947</v>
      </c>
      <c r="D7520" t="s">
        <v>50</v>
      </c>
      <c r="E7520">
        <v>21</v>
      </c>
      <c r="F7520" s="3">
        <f ca="1">41949+(RANDBETWEEN(1,10))</f>
        <v>41953</v>
      </c>
      <c r="G7520" t="s">
        <v>26</v>
      </c>
      <c r="H7520" t="s">
        <v>27</v>
      </c>
      <c r="I7520" t="s">
        <v>28</v>
      </c>
      <c r="J7520">
        <v>3952.8649999999998</v>
      </c>
      <c r="K7520">
        <v>0.06</v>
      </c>
      <c r="L7520">
        <v>0.59</v>
      </c>
      <c r="M7520">
        <v>14.7</v>
      </c>
      <c r="N7520">
        <v>1033.922736</v>
      </c>
      <c r="O7520" s="1" t="s">
        <v>29</v>
      </c>
      <c r="P7520" s="1" t="s">
        <v>12889</v>
      </c>
      <c r="Q7520" s="1" t="s">
        <v>12890</v>
      </c>
      <c r="R7520" s="1" t="s">
        <v>32</v>
      </c>
      <c r="S7520" s="1" t="s">
        <v>12891</v>
      </c>
      <c r="T7520" s="1" t="s">
        <v>12892</v>
      </c>
      <c r="U7520" s="2">
        <v>5170</v>
      </c>
      <c r="V7520" s="2" t="s">
        <v>36</v>
      </c>
      <c r="W7520" s="2" t="s">
        <v>37</v>
      </c>
      <c r="X7520" s="2">
        <v>230.965</v>
      </c>
    </row>
    <row r="7521" spans="1:24" x14ac:dyDescent="0.3">
      <c r="A7521">
        <v>25333</v>
      </c>
      <c r="B7521" t="s">
        <v>14516</v>
      </c>
      <c r="C7521" s="3">
        <v>41680</v>
      </c>
      <c r="D7521" t="s">
        <v>25</v>
      </c>
      <c r="E7521">
        <v>1</v>
      </c>
      <c r="F7521" s="3">
        <f ca="1">41687+(RANDBETWEEN(1,10))</f>
        <v>41696</v>
      </c>
      <c r="G7521" t="s">
        <v>26</v>
      </c>
      <c r="H7521" t="s">
        <v>51</v>
      </c>
      <c r="I7521" t="s">
        <v>86</v>
      </c>
      <c r="J7521">
        <v>44.695</v>
      </c>
      <c r="K7521">
        <v>0.04</v>
      </c>
      <c r="L7521">
        <v>0.55000000000000004</v>
      </c>
      <c r="M7521">
        <v>9.9749999999999996</v>
      </c>
      <c r="N7521">
        <v>-169.197</v>
      </c>
      <c r="O7521" s="1" t="s">
        <v>29</v>
      </c>
      <c r="P7521" s="1" t="s">
        <v>14173</v>
      </c>
      <c r="Q7521" s="1" t="s">
        <v>14174</v>
      </c>
      <c r="R7521" s="1" t="s">
        <v>32</v>
      </c>
      <c r="S7521" s="1" t="s">
        <v>14175</v>
      </c>
      <c r="T7521" s="1" t="s">
        <v>14176</v>
      </c>
      <c r="U7521" s="2" t="s">
        <v>3256</v>
      </c>
      <c r="V7521" s="2" t="s">
        <v>83</v>
      </c>
      <c r="W7521" s="2" t="s">
        <v>178</v>
      </c>
      <c r="X7521" s="2">
        <v>42.77</v>
      </c>
    </row>
    <row r="7522" spans="1:24" x14ac:dyDescent="0.3">
      <c r="A7522">
        <v>25334</v>
      </c>
      <c r="B7522" t="s">
        <v>14517</v>
      </c>
      <c r="C7522" s="3">
        <v>41385</v>
      </c>
      <c r="D7522" t="s">
        <v>50</v>
      </c>
      <c r="E7522">
        <v>14</v>
      </c>
      <c r="F7522" s="3">
        <f ca="1">41386+(RANDBETWEEN(1,10))</f>
        <v>41393</v>
      </c>
      <c r="G7522" t="s">
        <v>76</v>
      </c>
      <c r="H7522" t="s">
        <v>258</v>
      </c>
      <c r="I7522" t="s">
        <v>97</v>
      </c>
      <c r="J7522">
        <v>10261.264999999999</v>
      </c>
      <c r="K7522">
        <v>0.02</v>
      </c>
      <c r="L7522">
        <v>0.64</v>
      </c>
      <c r="M7522">
        <v>182.7</v>
      </c>
      <c r="N7522">
        <v>2138.8850000000002</v>
      </c>
      <c r="O7522" s="1" t="s">
        <v>40</v>
      </c>
      <c r="P7522" s="1" t="s">
        <v>14518</v>
      </c>
      <c r="Q7522" s="1" t="s">
        <v>14519</v>
      </c>
      <c r="R7522" s="1" t="s">
        <v>220</v>
      </c>
      <c r="S7522" s="1" t="s">
        <v>1908</v>
      </c>
      <c r="T7522" s="1" t="s">
        <v>1909</v>
      </c>
      <c r="U7522" s="2" t="s">
        <v>1775</v>
      </c>
      <c r="V7522" s="2" t="s">
        <v>83</v>
      </c>
      <c r="W7522" s="2" t="s">
        <v>263</v>
      </c>
      <c r="X7522" s="2">
        <v>744.1</v>
      </c>
    </row>
    <row r="7523" spans="1:24" x14ac:dyDescent="0.3">
      <c r="A7523">
        <v>25335</v>
      </c>
      <c r="B7523" t="s">
        <v>14520</v>
      </c>
      <c r="C7523" s="3">
        <v>41496</v>
      </c>
      <c r="D7523" t="s">
        <v>39</v>
      </c>
      <c r="E7523">
        <v>9</v>
      </c>
      <c r="F7523" s="3">
        <f ca="1">41497+(RANDBETWEEN(1,10))</f>
        <v>41504</v>
      </c>
      <c r="G7523" t="s">
        <v>26</v>
      </c>
      <c r="H7523" t="s">
        <v>27</v>
      </c>
      <c r="I7523" t="s">
        <v>97</v>
      </c>
      <c r="J7523">
        <v>2338.35</v>
      </c>
      <c r="K7523">
        <v>7.0000000000000007E-2</v>
      </c>
      <c r="L7523">
        <v>0.43</v>
      </c>
      <c r="M7523">
        <v>69.965000000000003</v>
      </c>
      <c r="N7523">
        <v>1613.4614999999999</v>
      </c>
      <c r="O7523" s="1" t="s">
        <v>53</v>
      </c>
      <c r="P7523" s="1" t="s">
        <v>4903</v>
      </c>
      <c r="Q7523" s="1" t="s">
        <v>4904</v>
      </c>
      <c r="R7523" s="1" t="s">
        <v>56</v>
      </c>
      <c r="S7523" s="1" t="s">
        <v>4905</v>
      </c>
      <c r="T7523" s="1" t="s">
        <v>4906</v>
      </c>
      <c r="U7523" s="2" t="s">
        <v>7425</v>
      </c>
      <c r="V7523" s="2" t="s">
        <v>83</v>
      </c>
      <c r="W7523" s="2" t="s">
        <v>178</v>
      </c>
      <c r="X7523" s="2">
        <v>275.41500000000002</v>
      </c>
    </row>
    <row r="7524" spans="1:24" x14ac:dyDescent="0.3">
      <c r="A7524">
        <v>25336</v>
      </c>
      <c r="B7524" t="s">
        <v>14521</v>
      </c>
      <c r="C7524" s="3">
        <v>41780</v>
      </c>
      <c r="D7524" t="s">
        <v>25</v>
      </c>
      <c r="E7524">
        <v>2</v>
      </c>
      <c r="F7524" s="3">
        <f ca="1">41784+(RANDBETWEEN(1,10))</f>
        <v>41791</v>
      </c>
      <c r="G7524" t="s">
        <v>26</v>
      </c>
      <c r="H7524" t="s">
        <v>27</v>
      </c>
      <c r="I7524" t="s">
        <v>86</v>
      </c>
      <c r="J7524">
        <v>1134.0350000000001</v>
      </c>
      <c r="K7524">
        <v>0.08</v>
      </c>
      <c r="L7524">
        <v>0.39</v>
      </c>
      <c r="M7524">
        <v>69.965000000000003</v>
      </c>
      <c r="N7524">
        <v>523.24300000000005</v>
      </c>
      <c r="O7524" s="1" t="s">
        <v>29</v>
      </c>
      <c r="P7524" s="1" t="s">
        <v>11145</v>
      </c>
      <c r="Q7524" s="1" t="s">
        <v>11146</v>
      </c>
      <c r="R7524" s="1" t="s">
        <v>460</v>
      </c>
      <c r="S7524" s="1" t="s">
        <v>9263</v>
      </c>
      <c r="T7524" s="1" t="s">
        <v>9264</v>
      </c>
      <c r="U7524" s="2" t="s">
        <v>3970</v>
      </c>
      <c r="V7524" s="2" t="s">
        <v>47</v>
      </c>
      <c r="W7524" s="2" t="s">
        <v>111</v>
      </c>
      <c r="X7524" s="2">
        <v>605.46500000000003</v>
      </c>
    </row>
    <row r="7525" spans="1:24" x14ac:dyDescent="0.3">
      <c r="A7525">
        <v>25337</v>
      </c>
      <c r="B7525" t="s">
        <v>14521</v>
      </c>
      <c r="C7525" s="3">
        <v>41780</v>
      </c>
      <c r="D7525" t="s">
        <v>25</v>
      </c>
      <c r="E7525">
        <v>9</v>
      </c>
      <c r="F7525" s="3">
        <f ca="1">41789+(RANDBETWEEN(1,10))</f>
        <v>41790</v>
      </c>
      <c r="G7525" t="s">
        <v>26</v>
      </c>
      <c r="H7525" t="s">
        <v>27</v>
      </c>
      <c r="I7525" t="s">
        <v>86</v>
      </c>
      <c r="J7525">
        <v>1653.82</v>
      </c>
      <c r="K7525">
        <v>0.1</v>
      </c>
      <c r="L7525">
        <v>0.56999999999999995</v>
      </c>
      <c r="M7525">
        <v>17.465</v>
      </c>
      <c r="N7525">
        <v>650.79</v>
      </c>
      <c r="O7525" s="1" t="s">
        <v>29</v>
      </c>
      <c r="P7525" s="1" t="s">
        <v>11145</v>
      </c>
      <c r="Q7525" s="1" t="s">
        <v>11146</v>
      </c>
      <c r="R7525" s="1" t="s">
        <v>460</v>
      </c>
      <c r="S7525" s="1" t="s">
        <v>9263</v>
      </c>
      <c r="T7525" s="1" t="s">
        <v>9264</v>
      </c>
      <c r="U7525" s="2" t="s">
        <v>5920</v>
      </c>
      <c r="V7525" s="2" t="s">
        <v>36</v>
      </c>
      <c r="W7525" s="2" t="s">
        <v>37</v>
      </c>
      <c r="X7525" s="2">
        <v>230.965</v>
      </c>
    </row>
    <row r="7526" spans="1:24" x14ac:dyDescent="0.3">
      <c r="A7526">
        <v>25338</v>
      </c>
      <c r="B7526" t="s">
        <v>14522</v>
      </c>
      <c r="C7526" s="3">
        <v>40845</v>
      </c>
      <c r="D7526" t="s">
        <v>62</v>
      </c>
      <c r="E7526">
        <v>22</v>
      </c>
      <c r="F7526" s="3">
        <f ca="1">40847+(RANDBETWEEN(1,10))</f>
        <v>40848</v>
      </c>
      <c r="G7526" t="s">
        <v>26</v>
      </c>
      <c r="H7526" t="s">
        <v>96</v>
      </c>
      <c r="I7526" t="s">
        <v>28</v>
      </c>
      <c r="J7526">
        <v>461.26499999999999</v>
      </c>
      <c r="K7526">
        <v>0.04</v>
      </c>
      <c r="L7526">
        <v>0.6</v>
      </c>
      <c r="M7526">
        <v>3.36</v>
      </c>
      <c r="N7526">
        <v>184.44159999999999</v>
      </c>
      <c r="O7526" s="1" t="s">
        <v>225</v>
      </c>
      <c r="P7526" s="1" t="s">
        <v>14523</v>
      </c>
      <c r="Q7526" s="1" t="s">
        <v>14524</v>
      </c>
      <c r="R7526" s="1" t="s">
        <v>228</v>
      </c>
      <c r="S7526" s="1" t="s">
        <v>3080</v>
      </c>
      <c r="T7526" s="1" t="s">
        <v>598</v>
      </c>
      <c r="U7526" s="2" t="s">
        <v>1918</v>
      </c>
      <c r="V7526" s="2" t="s">
        <v>47</v>
      </c>
      <c r="W7526" s="2" t="s">
        <v>104</v>
      </c>
      <c r="X7526" s="2">
        <v>20.93</v>
      </c>
    </row>
    <row r="7527" spans="1:24" x14ac:dyDescent="0.3">
      <c r="A7527">
        <v>25339</v>
      </c>
      <c r="B7527" t="s">
        <v>14522</v>
      </c>
      <c r="C7527" s="3">
        <v>40845</v>
      </c>
      <c r="D7527" t="s">
        <v>62</v>
      </c>
      <c r="E7527">
        <v>2</v>
      </c>
      <c r="F7527" s="3">
        <f ca="1">40846+(RANDBETWEEN(1,10))</f>
        <v>40848</v>
      </c>
      <c r="G7527" t="s">
        <v>26</v>
      </c>
      <c r="H7527" t="s">
        <v>96</v>
      </c>
      <c r="I7527" t="s">
        <v>28</v>
      </c>
      <c r="J7527">
        <v>123.655</v>
      </c>
      <c r="K7527">
        <v>0.01</v>
      </c>
      <c r="L7527">
        <v>0.56999999999999995</v>
      </c>
      <c r="M7527">
        <v>3.4649999999999999</v>
      </c>
      <c r="N7527">
        <v>-273.67955999999998</v>
      </c>
      <c r="O7527" s="1" t="s">
        <v>225</v>
      </c>
      <c r="P7527" s="1" t="s">
        <v>14523</v>
      </c>
      <c r="Q7527" s="1" t="s">
        <v>14524</v>
      </c>
      <c r="R7527" s="1" t="s">
        <v>228</v>
      </c>
      <c r="S7527" s="1" t="s">
        <v>3080</v>
      </c>
      <c r="T7527" s="1" t="s">
        <v>598</v>
      </c>
      <c r="U7527" s="2" t="s">
        <v>5426</v>
      </c>
      <c r="V7527" s="2" t="s">
        <v>36</v>
      </c>
      <c r="W7527" s="2" t="s">
        <v>37</v>
      </c>
      <c r="X7527" s="2">
        <v>73.465000000000003</v>
      </c>
    </row>
    <row r="7528" spans="1:24" x14ac:dyDescent="0.3">
      <c r="A7528">
        <v>25340</v>
      </c>
      <c r="B7528" t="s">
        <v>14525</v>
      </c>
      <c r="C7528" s="3">
        <v>41185</v>
      </c>
      <c r="D7528" t="s">
        <v>50</v>
      </c>
      <c r="E7528">
        <v>8</v>
      </c>
      <c r="F7528" s="3">
        <f ca="1">41186+(RANDBETWEEN(1,10))</f>
        <v>41187</v>
      </c>
      <c r="G7528" t="s">
        <v>76</v>
      </c>
      <c r="H7528" t="s">
        <v>77</v>
      </c>
      <c r="I7528" t="s">
        <v>97</v>
      </c>
      <c r="J7528">
        <v>3700.9</v>
      </c>
      <c r="K7528">
        <v>0.06</v>
      </c>
      <c r="L7528">
        <v>0.78</v>
      </c>
      <c r="M7528">
        <v>105</v>
      </c>
      <c r="N7528">
        <v>-989.49059999999997</v>
      </c>
      <c r="O7528" s="1" t="s">
        <v>53</v>
      </c>
      <c r="P7528" s="1" t="s">
        <v>12962</v>
      </c>
      <c r="Q7528" s="1" t="s">
        <v>12963</v>
      </c>
      <c r="R7528" s="1" t="s">
        <v>440</v>
      </c>
      <c r="S7528" s="1" t="s">
        <v>12964</v>
      </c>
      <c r="T7528" s="1" t="s">
        <v>12965</v>
      </c>
      <c r="U7528" s="2" t="s">
        <v>2894</v>
      </c>
      <c r="V7528" s="2" t="s">
        <v>83</v>
      </c>
      <c r="W7528" s="2" t="s">
        <v>84</v>
      </c>
      <c r="X7528" s="2">
        <v>458.43</v>
      </c>
    </row>
    <row r="7529" spans="1:24" x14ac:dyDescent="0.3">
      <c r="A7529">
        <v>25341</v>
      </c>
      <c r="B7529" t="s">
        <v>14526</v>
      </c>
      <c r="C7529" s="3">
        <v>41379</v>
      </c>
      <c r="D7529" t="s">
        <v>39</v>
      </c>
      <c r="E7529">
        <v>1</v>
      </c>
      <c r="F7529" s="3">
        <f ca="1">41380+(RANDBETWEEN(1,10))</f>
        <v>41381</v>
      </c>
      <c r="G7529" t="s">
        <v>26</v>
      </c>
      <c r="H7529" t="s">
        <v>27</v>
      </c>
      <c r="I7529" t="s">
        <v>52</v>
      </c>
      <c r="J7529">
        <v>27.265000000000001</v>
      </c>
      <c r="K7529">
        <v>0.08</v>
      </c>
      <c r="L7529">
        <v>0.36</v>
      </c>
      <c r="M7529">
        <v>20.51</v>
      </c>
      <c r="N7529">
        <v>-51.064999999999998</v>
      </c>
      <c r="O7529" s="1" t="s">
        <v>64</v>
      </c>
      <c r="P7529" s="1" t="s">
        <v>13345</v>
      </c>
      <c r="Q7529" s="1" t="s">
        <v>13346</v>
      </c>
      <c r="R7529" s="1" t="s">
        <v>128</v>
      </c>
      <c r="S7529" s="1" t="s">
        <v>521</v>
      </c>
      <c r="T7529" s="1" t="s">
        <v>522</v>
      </c>
      <c r="U7529" s="2" t="s">
        <v>2014</v>
      </c>
      <c r="V7529" s="2" t="s">
        <v>47</v>
      </c>
      <c r="W7529" s="2" t="s">
        <v>74</v>
      </c>
      <c r="X7529" s="2">
        <v>22.68</v>
      </c>
    </row>
    <row r="7530" spans="1:24" x14ac:dyDescent="0.3">
      <c r="A7530">
        <v>25342</v>
      </c>
      <c r="B7530" t="s">
        <v>14527</v>
      </c>
      <c r="C7530" s="3">
        <v>41906</v>
      </c>
      <c r="D7530" t="s">
        <v>25</v>
      </c>
      <c r="E7530">
        <v>22</v>
      </c>
      <c r="F7530" s="3">
        <f ca="1">41910+(RANDBETWEEN(1,10))</f>
        <v>41919</v>
      </c>
      <c r="G7530" t="s">
        <v>26</v>
      </c>
      <c r="H7530" t="s">
        <v>96</v>
      </c>
      <c r="I7530" t="s">
        <v>97</v>
      </c>
      <c r="J7530">
        <v>211.47</v>
      </c>
      <c r="K7530">
        <v>0.1</v>
      </c>
      <c r="L7530">
        <v>0.55000000000000004</v>
      </c>
      <c r="M7530">
        <v>3.5350000000000001</v>
      </c>
      <c r="N7530">
        <v>1.8522000000000001</v>
      </c>
      <c r="O7530" s="1" t="s">
        <v>53</v>
      </c>
      <c r="P7530" s="1" t="s">
        <v>4357</v>
      </c>
      <c r="Q7530" s="1" t="s">
        <v>4358</v>
      </c>
      <c r="R7530" s="1" t="s">
        <v>440</v>
      </c>
      <c r="S7530" s="1" t="s">
        <v>3710</v>
      </c>
      <c r="T7530" s="1" t="s">
        <v>3711</v>
      </c>
      <c r="U7530" s="2" t="s">
        <v>4714</v>
      </c>
      <c r="V7530" s="2" t="s">
        <v>47</v>
      </c>
      <c r="W7530" s="2" t="s">
        <v>104</v>
      </c>
      <c r="X7530" s="2">
        <v>10.08</v>
      </c>
    </row>
    <row r="7531" spans="1:24" x14ac:dyDescent="0.3">
      <c r="A7531">
        <v>25343</v>
      </c>
      <c r="B7531" t="s">
        <v>14528</v>
      </c>
      <c r="C7531" s="3">
        <v>41583</v>
      </c>
      <c r="D7531" t="s">
        <v>39</v>
      </c>
      <c r="E7531">
        <v>41</v>
      </c>
      <c r="F7531" s="3">
        <f ca="1">41585+(RANDBETWEEN(1,10))</f>
        <v>41593</v>
      </c>
      <c r="G7531" t="s">
        <v>26</v>
      </c>
      <c r="H7531" t="s">
        <v>27</v>
      </c>
      <c r="I7531" t="s">
        <v>86</v>
      </c>
      <c r="J7531">
        <v>1845.34</v>
      </c>
      <c r="K7531">
        <v>0.04</v>
      </c>
      <c r="L7531">
        <v>0.56999999999999995</v>
      </c>
      <c r="M7531">
        <v>21.454999999999998</v>
      </c>
      <c r="N7531">
        <v>26.263999999999999</v>
      </c>
      <c r="O7531" s="1" t="s">
        <v>29</v>
      </c>
      <c r="P7531" s="1" t="s">
        <v>14529</v>
      </c>
      <c r="Q7531" s="1" t="s">
        <v>14530</v>
      </c>
      <c r="R7531" s="1" t="s">
        <v>32</v>
      </c>
      <c r="S7531" s="1" t="s">
        <v>12816</v>
      </c>
      <c r="T7531" s="1" t="s">
        <v>12817</v>
      </c>
      <c r="U7531" s="2" t="s">
        <v>5922</v>
      </c>
      <c r="V7531" s="2" t="s">
        <v>47</v>
      </c>
      <c r="W7531" s="2" t="s">
        <v>119</v>
      </c>
      <c r="X7531" s="2">
        <v>42.98</v>
      </c>
    </row>
    <row r="7532" spans="1:24" x14ac:dyDescent="0.3">
      <c r="A7532">
        <v>25344</v>
      </c>
      <c r="B7532" t="s">
        <v>14528</v>
      </c>
      <c r="C7532" s="3">
        <v>41583</v>
      </c>
      <c r="D7532" t="s">
        <v>39</v>
      </c>
      <c r="E7532">
        <v>38</v>
      </c>
      <c r="F7532" s="3">
        <f ca="1">41583+(RANDBETWEEN(1,10))</f>
        <v>41592</v>
      </c>
      <c r="G7532" t="s">
        <v>76</v>
      </c>
      <c r="H7532" t="s">
        <v>77</v>
      </c>
      <c r="I7532" t="s">
        <v>86</v>
      </c>
      <c r="J7532">
        <v>38732.54</v>
      </c>
      <c r="K7532">
        <v>0.03</v>
      </c>
      <c r="L7532" t="s">
        <v>182</v>
      </c>
      <c r="M7532">
        <v>210</v>
      </c>
      <c r="N7532">
        <v>26725.452600000001</v>
      </c>
      <c r="O7532" s="1" t="s">
        <v>29</v>
      </c>
      <c r="P7532" s="1" t="s">
        <v>14529</v>
      </c>
      <c r="Q7532" s="1" t="s">
        <v>14530</v>
      </c>
      <c r="R7532" s="1" t="s">
        <v>32</v>
      </c>
      <c r="S7532" s="1" t="s">
        <v>12816</v>
      </c>
      <c r="T7532" s="1" t="s">
        <v>12817</v>
      </c>
      <c r="U7532" s="2" t="s">
        <v>3108</v>
      </c>
      <c r="V7532" s="2" t="s">
        <v>83</v>
      </c>
      <c r="W7532" s="2" t="s">
        <v>263</v>
      </c>
      <c r="X7532" s="2">
        <v>1223.075</v>
      </c>
    </row>
    <row r="7533" spans="1:24" x14ac:dyDescent="0.3">
      <c r="A7533">
        <v>25345</v>
      </c>
      <c r="B7533" t="s">
        <v>14531</v>
      </c>
      <c r="C7533" s="3">
        <v>40941</v>
      </c>
      <c r="D7533" t="s">
        <v>25</v>
      </c>
      <c r="E7533">
        <v>1</v>
      </c>
      <c r="F7533" s="3">
        <f ca="1">40948+(RANDBETWEEN(1,10))</f>
        <v>40954</v>
      </c>
      <c r="G7533" t="s">
        <v>26</v>
      </c>
      <c r="H7533" t="s">
        <v>96</v>
      </c>
      <c r="I7533" t="s">
        <v>52</v>
      </c>
      <c r="J7533">
        <v>19.95</v>
      </c>
      <c r="K7533">
        <v>0.1</v>
      </c>
      <c r="L7533">
        <v>0.53</v>
      </c>
      <c r="M7533">
        <v>7</v>
      </c>
      <c r="N7533">
        <v>-8.19</v>
      </c>
      <c r="O7533" s="1" t="s">
        <v>225</v>
      </c>
      <c r="P7533" s="1" t="s">
        <v>8076</v>
      </c>
      <c r="Q7533" s="1" t="s">
        <v>8077</v>
      </c>
      <c r="R7533" s="1" t="s">
        <v>391</v>
      </c>
      <c r="S7533" s="1" t="s">
        <v>3376</v>
      </c>
      <c r="T7533" s="1" t="s">
        <v>3377</v>
      </c>
      <c r="U7533" s="2" t="s">
        <v>955</v>
      </c>
      <c r="V7533" s="2" t="s">
        <v>47</v>
      </c>
      <c r="W7533" s="2" t="s">
        <v>176</v>
      </c>
      <c r="X7533" s="2">
        <v>13.824999999999999</v>
      </c>
    </row>
    <row r="7534" spans="1:24" x14ac:dyDescent="0.3">
      <c r="A7534">
        <v>25346</v>
      </c>
      <c r="B7534" t="s">
        <v>14532</v>
      </c>
      <c r="C7534" s="3">
        <v>41819</v>
      </c>
      <c r="D7534" t="s">
        <v>50</v>
      </c>
      <c r="E7534">
        <v>2</v>
      </c>
      <c r="F7534" s="3">
        <f ca="1">41820+(RANDBETWEEN(1,10))</f>
        <v>41826</v>
      </c>
      <c r="G7534" t="s">
        <v>76</v>
      </c>
      <c r="H7534" t="s">
        <v>77</v>
      </c>
      <c r="I7534" t="s">
        <v>86</v>
      </c>
      <c r="J7534">
        <v>1324.96</v>
      </c>
      <c r="K7534">
        <v>7.0000000000000007E-2</v>
      </c>
      <c r="L7534">
        <v>0.69</v>
      </c>
      <c r="M7534">
        <v>105</v>
      </c>
      <c r="N7534">
        <v>-628.17999999999995</v>
      </c>
      <c r="O7534" s="1" t="s">
        <v>40</v>
      </c>
      <c r="P7534" s="1" t="s">
        <v>11291</v>
      </c>
      <c r="Q7534" s="1" t="s">
        <v>11292</v>
      </c>
      <c r="R7534" s="1" t="s">
        <v>220</v>
      </c>
      <c r="S7534" s="1" t="s">
        <v>11293</v>
      </c>
      <c r="T7534" s="1" t="s">
        <v>11294</v>
      </c>
      <c r="U7534" s="2" t="s">
        <v>5090</v>
      </c>
      <c r="V7534" s="2" t="s">
        <v>83</v>
      </c>
      <c r="W7534" s="2" t="s">
        <v>84</v>
      </c>
      <c r="X7534" s="2">
        <v>633.42999999999995</v>
      </c>
    </row>
    <row r="7535" spans="1:24" x14ac:dyDescent="0.3">
      <c r="A7535">
        <v>25347</v>
      </c>
      <c r="B7535" t="s">
        <v>14533</v>
      </c>
      <c r="C7535" s="3">
        <v>41834</v>
      </c>
      <c r="D7535" t="s">
        <v>50</v>
      </c>
      <c r="E7535">
        <v>8</v>
      </c>
      <c r="F7535" s="3">
        <f ca="1">41834+(RANDBETWEEN(1,10))</f>
        <v>41837</v>
      </c>
      <c r="G7535" t="s">
        <v>26</v>
      </c>
      <c r="H7535" t="s">
        <v>27</v>
      </c>
      <c r="I7535" t="s">
        <v>28</v>
      </c>
      <c r="J7535">
        <v>6240.71</v>
      </c>
      <c r="K7535">
        <v>7.0000000000000007E-2</v>
      </c>
      <c r="L7535">
        <v>0.38</v>
      </c>
      <c r="M7535">
        <v>52.534999999999997</v>
      </c>
      <c r="N7535">
        <v>4306.0898999999999</v>
      </c>
      <c r="O7535" s="1" t="s">
        <v>64</v>
      </c>
      <c r="P7535" s="1" t="s">
        <v>10549</v>
      </c>
      <c r="Q7535" s="1" t="s">
        <v>10550</v>
      </c>
      <c r="R7535" s="1" t="s">
        <v>67</v>
      </c>
      <c r="S7535" s="1" t="s">
        <v>10551</v>
      </c>
      <c r="T7535" s="1" t="s">
        <v>10552</v>
      </c>
      <c r="U7535" s="2" t="s">
        <v>9474</v>
      </c>
      <c r="V7535" s="2" t="s">
        <v>47</v>
      </c>
      <c r="W7535" s="2" t="s">
        <v>111</v>
      </c>
      <c r="X7535" s="2">
        <v>783.93</v>
      </c>
    </row>
    <row r="7536" spans="1:24" x14ac:dyDescent="0.3">
      <c r="A7536">
        <v>25348</v>
      </c>
      <c r="B7536" t="s">
        <v>14534</v>
      </c>
      <c r="C7536" s="3">
        <v>41125</v>
      </c>
      <c r="D7536" t="s">
        <v>25</v>
      </c>
      <c r="E7536">
        <v>18</v>
      </c>
      <c r="F7536" s="3">
        <f ca="1">41129+(RANDBETWEEN(1,10))</f>
        <v>41133</v>
      </c>
      <c r="G7536" t="s">
        <v>26</v>
      </c>
      <c r="H7536" t="s">
        <v>27</v>
      </c>
      <c r="I7536" t="s">
        <v>52</v>
      </c>
      <c r="J7536">
        <v>233.97499999999999</v>
      </c>
      <c r="K7536">
        <v>0.06</v>
      </c>
      <c r="L7536">
        <v>0.36</v>
      </c>
      <c r="M7536">
        <v>19.04</v>
      </c>
      <c r="N7536">
        <v>-281.75966</v>
      </c>
      <c r="O7536" s="1" t="s">
        <v>40</v>
      </c>
      <c r="P7536" s="1" t="s">
        <v>7663</v>
      </c>
      <c r="Q7536" s="1" t="s">
        <v>7664</v>
      </c>
      <c r="R7536" s="1" t="s">
        <v>43</v>
      </c>
      <c r="S7536" s="1" t="s">
        <v>7665</v>
      </c>
      <c r="T7536" s="1" t="s">
        <v>7666</v>
      </c>
      <c r="U7536" s="2" t="s">
        <v>2432</v>
      </c>
      <c r="V7536" s="2" t="s">
        <v>47</v>
      </c>
      <c r="W7536" s="2" t="s">
        <v>111</v>
      </c>
      <c r="X7536" s="2">
        <v>13.335000000000001</v>
      </c>
    </row>
    <row r="7537" spans="1:24" x14ac:dyDescent="0.3">
      <c r="A7537">
        <v>25349</v>
      </c>
      <c r="B7537" t="s">
        <v>14535</v>
      </c>
      <c r="C7537" s="3">
        <v>41628</v>
      </c>
      <c r="D7537" t="s">
        <v>148</v>
      </c>
      <c r="E7537">
        <v>14</v>
      </c>
      <c r="F7537" s="3">
        <f ca="1">41629+(RANDBETWEEN(1,10))</f>
        <v>41634</v>
      </c>
      <c r="G7537" t="s">
        <v>26</v>
      </c>
      <c r="H7537" t="s">
        <v>27</v>
      </c>
      <c r="I7537" t="s">
        <v>97</v>
      </c>
      <c r="J7537">
        <v>6993.35</v>
      </c>
      <c r="K7537">
        <v>0.1</v>
      </c>
      <c r="L7537">
        <v>0.74</v>
      </c>
      <c r="M7537">
        <v>22.75</v>
      </c>
      <c r="N7537">
        <v>112.875</v>
      </c>
      <c r="O7537" s="1" t="s">
        <v>225</v>
      </c>
      <c r="P7537" s="1" t="s">
        <v>11322</v>
      </c>
      <c r="Q7537" s="1" t="s">
        <v>11323</v>
      </c>
      <c r="R7537" s="1" t="s">
        <v>228</v>
      </c>
      <c r="S7537" s="1" t="s">
        <v>11324</v>
      </c>
      <c r="T7537" s="1" t="s">
        <v>1880</v>
      </c>
      <c r="U7537" s="2" t="s">
        <v>192</v>
      </c>
      <c r="V7537" s="2" t="s">
        <v>36</v>
      </c>
      <c r="W7537" s="2" t="s">
        <v>60</v>
      </c>
      <c r="X7537" s="2">
        <v>533.67999999999995</v>
      </c>
    </row>
    <row r="7538" spans="1:24" x14ac:dyDescent="0.3">
      <c r="A7538">
        <v>25350</v>
      </c>
      <c r="B7538" t="s">
        <v>14535</v>
      </c>
      <c r="C7538" s="3">
        <v>41628</v>
      </c>
      <c r="D7538" t="s">
        <v>148</v>
      </c>
      <c r="E7538">
        <v>3</v>
      </c>
      <c r="F7538" s="3">
        <f ca="1">41630+(RANDBETWEEN(1,10))</f>
        <v>41631</v>
      </c>
      <c r="G7538" t="s">
        <v>26</v>
      </c>
      <c r="H7538" t="s">
        <v>27</v>
      </c>
      <c r="I7538" t="s">
        <v>97</v>
      </c>
      <c r="J7538">
        <v>59.29</v>
      </c>
      <c r="K7538">
        <v>0.1</v>
      </c>
      <c r="L7538">
        <v>0.38</v>
      </c>
      <c r="M7538">
        <v>16.45</v>
      </c>
      <c r="N7538">
        <v>-25.7075</v>
      </c>
      <c r="O7538" s="1" t="s">
        <v>40</v>
      </c>
      <c r="P7538" s="1" t="s">
        <v>14536</v>
      </c>
      <c r="Q7538" s="1" t="s">
        <v>14537</v>
      </c>
      <c r="R7538" s="1" t="s">
        <v>43</v>
      </c>
      <c r="S7538" s="1" t="s">
        <v>5142</v>
      </c>
      <c r="T7538" s="1" t="s">
        <v>5143</v>
      </c>
      <c r="U7538" s="2" t="s">
        <v>5182</v>
      </c>
      <c r="V7538" s="2" t="s">
        <v>47</v>
      </c>
      <c r="W7538" s="2" t="s">
        <v>74</v>
      </c>
      <c r="X7538" s="2">
        <v>17.43</v>
      </c>
    </row>
    <row r="7539" spans="1:24" x14ac:dyDescent="0.3">
      <c r="A7539">
        <v>25351</v>
      </c>
      <c r="B7539" t="s">
        <v>14538</v>
      </c>
      <c r="C7539" s="3">
        <v>40789</v>
      </c>
      <c r="D7539" t="s">
        <v>50</v>
      </c>
      <c r="E7539">
        <v>22</v>
      </c>
      <c r="F7539" s="3">
        <f ca="1">40791+(RANDBETWEEN(1,10))</f>
        <v>40794</v>
      </c>
      <c r="G7539" t="s">
        <v>26</v>
      </c>
      <c r="H7539" t="s">
        <v>27</v>
      </c>
      <c r="I7539" t="s">
        <v>28</v>
      </c>
      <c r="J7539">
        <v>850.88499999999999</v>
      </c>
      <c r="K7539">
        <v>0.05</v>
      </c>
      <c r="L7539">
        <v>0.36</v>
      </c>
      <c r="M7539">
        <v>16.8</v>
      </c>
      <c r="N7539">
        <v>317.17</v>
      </c>
      <c r="O7539" s="1" t="s">
        <v>29</v>
      </c>
      <c r="P7539" s="1" t="s">
        <v>10210</v>
      </c>
      <c r="Q7539" s="1" t="s">
        <v>10211</v>
      </c>
      <c r="R7539" s="1" t="s">
        <v>32</v>
      </c>
      <c r="S7539" s="1" t="s">
        <v>3145</v>
      </c>
      <c r="T7539" s="1" t="s">
        <v>3146</v>
      </c>
      <c r="U7539" s="2" t="s">
        <v>3188</v>
      </c>
      <c r="V7539" s="2" t="s">
        <v>47</v>
      </c>
      <c r="W7539" s="2" t="s">
        <v>48</v>
      </c>
      <c r="X7539" s="2">
        <v>38.43</v>
      </c>
    </row>
    <row r="7540" spans="1:24" x14ac:dyDescent="0.3">
      <c r="A7540">
        <v>25352</v>
      </c>
      <c r="B7540" t="s">
        <v>14539</v>
      </c>
      <c r="C7540" s="3">
        <v>40548</v>
      </c>
      <c r="D7540" t="s">
        <v>39</v>
      </c>
      <c r="E7540">
        <v>2</v>
      </c>
      <c r="F7540" s="3">
        <f ca="1">40550+(RANDBETWEEN(1,10))</f>
        <v>40556</v>
      </c>
      <c r="G7540" t="s">
        <v>76</v>
      </c>
      <c r="H7540" t="s">
        <v>77</v>
      </c>
      <c r="I7540" t="s">
        <v>97</v>
      </c>
      <c r="J7540">
        <v>817.53</v>
      </c>
      <c r="K7540">
        <v>0.08</v>
      </c>
      <c r="L7540">
        <v>0.38</v>
      </c>
      <c r="M7540">
        <v>92.05</v>
      </c>
      <c r="N7540">
        <v>-818.442408</v>
      </c>
      <c r="O7540" s="1" t="s">
        <v>53</v>
      </c>
      <c r="P7540" s="1" t="s">
        <v>14540</v>
      </c>
      <c r="Q7540" s="1" t="s">
        <v>14541</v>
      </c>
      <c r="R7540" s="1" t="s">
        <v>56</v>
      </c>
      <c r="S7540" s="1" t="s">
        <v>1149</v>
      </c>
      <c r="T7540" s="1" t="s">
        <v>1150</v>
      </c>
      <c r="U7540" s="2" t="s">
        <v>7068</v>
      </c>
      <c r="V7540" s="2" t="s">
        <v>36</v>
      </c>
      <c r="W7540" s="2" t="s">
        <v>142</v>
      </c>
      <c r="X7540" s="2">
        <v>423.39499999999998</v>
      </c>
    </row>
    <row r="7541" spans="1:24" x14ac:dyDescent="0.3">
      <c r="A7541">
        <v>25353</v>
      </c>
      <c r="B7541" t="s">
        <v>14542</v>
      </c>
      <c r="C7541" s="3">
        <v>41568</v>
      </c>
      <c r="D7541" t="s">
        <v>62</v>
      </c>
      <c r="E7541">
        <v>15</v>
      </c>
      <c r="F7541" s="3">
        <f ca="1">41568+(RANDBETWEEN(1,10))</f>
        <v>41578</v>
      </c>
      <c r="G7541" t="s">
        <v>26</v>
      </c>
      <c r="H7541" t="s">
        <v>51</v>
      </c>
      <c r="I7541" t="s">
        <v>28</v>
      </c>
      <c r="J7541">
        <v>1109.8499999999999</v>
      </c>
      <c r="K7541">
        <v>0.08</v>
      </c>
      <c r="L7541">
        <v>0.59</v>
      </c>
      <c r="M7541">
        <v>31.465</v>
      </c>
      <c r="N7541">
        <v>-1292.4436000000001</v>
      </c>
      <c r="O7541" s="1" t="s">
        <v>87</v>
      </c>
      <c r="P7541" s="1" t="s">
        <v>9237</v>
      </c>
      <c r="Q7541" s="1" t="s">
        <v>9238</v>
      </c>
      <c r="R7541" s="1" t="s">
        <v>398</v>
      </c>
      <c r="S7541" s="1" t="s">
        <v>4220</v>
      </c>
      <c r="T7541" s="1" t="s">
        <v>4221</v>
      </c>
      <c r="U7541" s="2" t="s">
        <v>2789</v>
      </c>
      <c r="V7541" s="2" t="s">
        <v>47</v>
      </c>
      <c r="W7541" s="2" t="s">
        <v>104</v>
      </c>
      <c r="X7541" s="2">
        <v>74.83</v>
      </c>
    </row>
    <row r="7542" spans="1:24" x14ac:dyDescent="0.3">
      <c r="A7542">
        <v>25354</v>
      </c>
      <c r="B7542" t="s">
        <v>14543</v>
      </c>
      <c r="C7542" s="3">
        <v>40889</v>
      </c>
      <c r="D7542" t="s">
        <v>39</v>
      </c>
      <c r="E7542">
        <v>17</v>
      </c>
      <c r="F7542" s="3">
        <f ca="1">40891+(RANDBETWEEN(1,10))</f>
        <v>40898</v>
      </c>
      <c r="G7542" t="s">
        <v>26</v>
      </c>
      <c r="H7542" t="s">
        <v>96</v>
      </c>
      <c r="I7542" t="s">
        <v>28</v>
      </c>
      <c r="J7542">
        <v>1772.365</v>
      </c>
      <c r="K7542">
        <v>0.04</v>
      </c>
      <c r="L7542">
        <v>0.38</v>
      </c>
      <c r="M7542">
        <v>17.010000000000002</v>
      </c>
      <c r="N7542">
        <v>1222.9318499999999</v>
      </c>
      <c r="O7542" s="1" t="s">
        <v>225</v>
      </c>
      <c r="P7542" s="1" t="s">
        <v>11019</v>
      </c>
      <c r="Q7542" s="1" t="s">
        <v>11020</v>
      </c>
      <c r="R7542" s="1" t="s">
        <v>228</v>
      </c>
      <c r="S7542" s="1" t="s">
        <v>11021</v>
      </c>
      <c r="T7542" s="1" t="s">
        <v>11022</v>
      </c>
      <c r="U7542" s="2" t="s">
        <v>8213</v>
      </c>
      <c r="V7542" s="2" t="s">
        <v>47</v>
      </c>
      <c r="W7542" s="2" t="s">
        <v>74</v>
      </c>
      <c r="X7542" s="2">
        <v>101.99</v>
      </c>
    </row>
    <row r="7543" spans="1:24" x14ac:dyDescent="0.3">
      <c r="A7543">
        <v>25355</v>
      </c>
      <c r="B7543" t="s">
        <v>14544</v>
      </c>
      <c r="C7543" s="3">
        <v>41985</v>
      </c>
      <c r="D7543" t="s">
        <v>39</v>
      </c>
      <c r="E7543">
        <v>20</v>
      </c>
      <c r="F7543" s="3">
        <f ca="1">41987+(RANDBETWEEN(1,10))</f>
        <v>41997</v>
      </c>
      <c r="G7543" t="s">
        <v>26</v>
      </c>
      <c r="H7543" t="s">
        <v>27</v>
      </c>
      <c r="I7543" t="s">
        <v>28</v>
      </c>
      <c r="J7543">
        <v>1539.72</v>
      </c>
      <c r="K7543">
        <v>0.02</v>
      </c>
      <c r="L7543">
        <v>0.83</v>
      </c>
      <c r="M7543">
        <v>40.32</v>
      </c>
      <c r="N7543">
        <v>-363.88968</v>
      </c>
      <c r="O7543" s="1" t="s">
        <v>225</v>
      </c>
      <c r="P7543" s="1" t="s">
        <v>11019</v>
      </c>
      <c r="Q7543" s="1" t="s">
        <v>11020</v>
      </c>
      <c r="R7543" s="1" t="s">
        <v>228</v>
      </c>
      <c r="S7543" s="1" t="s">
        <v>11021</v>
      </c>
      <c r="T7543" s="1" t="s">
        <v>11022</v>
      </c>
      <c r="U7543" s="2" t="s">
        <v>2328</v>
      </c>
      <c r="V7543" s="2" t="s">
        <v>47</v>
      </c>
      <c r="W7543" s="2" t="s">
        <v>119</v>
      </c>
      <c r="X7543" s="2">
        <v>73.114999999999995</v>
      </c>
    </row>
    <row r="7544" spans="1:24" x14ac:dyDescent="0.3">
      <c r="A7544">
        <v>25356</v>
      </c>
      <c r="B7544" t="s">
        <v>14545</v>
      </c>
      <c r="C7544" s="3">
        <v>40574</v>
      </c>
      <c r="D7544" t="s">
        <v>50</v>
      </c>
      <c r="E7544">
        <v>2</v>
      </c>
      <c r="F7544" s="3">
        <f ca="1">40576+(RANDBETWEEN(1,10))</f>
        <v>40585</v>
      </c>
      <c r="G7544" t="s">
        <v>26</v>
      </c>
      <c r="H7544" t="s">
        <v>96</v>
      </c>
      <c r="I7544" t="s">
        <v>28</v>
      </c>
      <c r="J7544">
        <v>58.1</v>
      </c>
      <c r="K7544">
        <v>0.05</v>
      </c>
      <c r="L7544">
        <v>0.36</v>
      </c>
      <c r="M7544">
        <v>20.405000000000001</v>
      </c>
      <c r="N7544">
        <v>-73.563000000000002</v>
      </c>
      <c r="O7544" s="1" t="s">
        <v>53</v>
      </c>
      <c r="P7544" s="1" t="s">
        <v>9977</v>
      </c>
      <c r="Q7544" s="1" t="s">
        <v>9978</v>
      </c>
      <c r="R7544" s="1" t="s">
        <v>440</v>
      </c>
      <c r="S7544" s="1" t="s">
        <v>9979</v>
      </c>
      <c r="T7544" s="1" t="s">
        <v>9980</v>
      </c>
      <c r="U7544" s="2" t="s">
        <v>605</v>
      </c>
      <c r="V7544" s="2" t="s">
        <v>47</v>
      </c>
      <c r="W7544" s="2" t="s">
        <v>74</v>
      </c>
      <c r="X7544" s="2">
        <v>26.74</v>
      </c>
    </row>
    <row r="7545" spans="1:24" x14ac:dyDescent="0.3">
      <c r="A7545">
        <v>25357</v>
      </c>
      <c r="B7545" t="s">
        <v>14545</v>
      </c>
      <c r="C7545" s="3">
        <v>40574</v>
      </c>
      <c r="D7545" t="s">
        <v>50</v>
      </c>
      <c r="E7545">
        <v>10</v>
      </c>
      <c r="F7545" s="3">
        <f ca="1">40575+(RANDBETWEEN(1,10))</f>
        <v>40582</v>
      </c>
      <c r="G7545" t="s">
        <v>76</v>
      </c>
      <c r="H7545" t="s">
        <v>258</v>
      </c>
      <c r="I7545" t="s">
        <v>28</v>
      </c>
      <c r="J7545">
        <v>7998.9350000000004</v>
      </c>
      <c r="K7545">
        <v>0.04</v>
      </c>
      <c r="L7545">
        <v>0.72</v>
      </c>
      <c r="M7545">
        <v>243.74</v>
      </c>
      <c r="N7545">
        <v>-2294.3545625000002</v>
      </c>
      <c r="O7545" s="1" t="s">
        <v>53</v>
      </c>
      <c r="P7545" s="1" t="s">
        <v>9977</v>
      </c>
      <c r="Q7545" s="1" t="s">
        <v>9978</v>
      </c>
      <c r="R7545" s="1" t="s">
        <v>440</v>
      </c>
      <c r="S7545" s="1" t="s">
        <v>9979</v>
      </c>
      <c r="T7545" s="1" t="s">
        <v>9980</v>
      </c>
      <c r="U7545" s="2" t="s">
        <v>1233</v>
      </c>
      <c r="V7545" s="2" t="s">
        <v>83</v>
      </c>
      <c r="W7545" s="2" t="s">
        <v>263</v>
      </c>
      <c r="X7545" s="2">
        <v>765.625</v>
      </c>
    </row>
    <row r="7546" spans="1:24" x14ac:dyDescent="0.3">
      <c r="A7546">
        <v>25358</v>
      </c>
      <c r="B7546" t="s">
        <v>14546</v>
      </c>
      <c r="C7546" s="3">
        <v>41900</v>
      </c>
      <c r="D7546" t="s">
        <v>39</v>
      </c>
      <c r="E7546">
        <v>17</v>
      </c>
      <c r="F7546" s="3">
        <f ca="1">41901+(RANDBETWEEN(1,10))</f>
        <v>41911</v>
      </c>
      <c r="G7546" t="s">
        <v>26</v>
      </c>
      <c r="H7546" t="s">
        <v>27</v>
      </c>
      <c r="I7546" t="s">
        <v>28</v>
      </c>
      <c r="J7546">
        <v>6508.74</v>
      </c>
      <c r="K7546">
        <v>0.09</v>
      </c>
      <c r="L7546">
        <v>0.78</v>
      </c>
      <c r="M7546">
        <v>30.24</v>
      </c>
      <c r="N7546">
        <v>-346.92</v>
      </c>
      <c r="O7546" s="1" t="s">
        <v>87</v>
      </c>
      <c r="P7546" s="1" t="s">
        <v>14547</v>
      </c>
      <c r="Q7546" s="1" t="s">
        <v>14548</v>
      </c>
      <c r="R7546" s="1" t="s">
        <v>398</v>
      </c>
      <c r="S7546" s="1" t="s">
        <v>7779</v>
      </c>
      <c r="T7546" s="1" t="s">
        <v>7780</v>
      </c>
      <c r="U7546" s="2" t="s">
        <v>5174</v>
      </c>
      <c r="V7546" s="2" t="s">
        <v>47</v>
      </c>
      <c r="W7546" s="2" t="s">
        <v>119</v>
      </c>
      <c r="X7546" s="2">
        <v>388.60500000000002</v>
      </c>
    </row>
    <row r="7547" spans="1:24" x14ac:dyDescent="0.3">
      <c r="A7547">
        <v>25359</v>
      </c>
      <c r="B7547" t="s">
        <v>14549</v>
      </c>
      <c r="C7547" s="3">
        <v>41375</v>
      </c>
      <c r="D7547" t="s">
        <v>62</v>
      </c>
      <c r="E7547">
        <v>14</v>
      </c>
      <c r="F7547" s="3">
        <f ca="1">41377+(RANDBETWEEN(1,10))</f>
        <v>41379</v>
      </c>
      <c r="G7547" t="s">
        <v>26</v>
      </c>
      <c r="H7547" t="s">
        <v>51</v>
      </c>
      <c r="I7547" t="s">
        <v>97</v>
      </c>
      <c r="J7547">
        <v>1734.39</v>
      </c>
      <c r="K7547">
        <v>0.02</v>
      </c>
      <c r="L7547">
        <v>0.43</v>
      </c>
      <c r="M7547">
        <v>6.9649999999999999</v>
      </c>
      <c r="N7547">
        <v>1196.7291</v>
      </c>
      <c r="O7547" s="1" t="s">
        <v>29</v>
      </c>
      <c r="P7547" s="1" t="s">
        <v>8335</v>
      </c>
      <c r="Q7547" s="1" t="s">
        <v>8336</v>
      </c>
      <c r="R7547" s="1" t="s">
        <v>32</v>
      </c>
      <c r="S7547" s="1" t="s">
        <v>7445</v>
      </c>
      <c r="T7547" s="1" t="s">
        <v>6825</v>
      </c>
      <c r="U7547" s="2" t="s">
        <v>2995</v>
      </c>
      <c r="V7547" s="2" t="s">
        <v>36</v>
      </c>
      <c r="W7547" s="2" t="s">
        <v>60</v>
      </c>
      <c r="X7547" s="2">
        <v>123.935</v>
      </c>
    </row>
    <row r="7548" spans="1:24" x14ac:dyDescent="0.3">
      <c r="A7548">
        <v>25360</v>
      </c>
      <c r="B7548" t="s">
        <v>14549</v>
      </c>
      <c r="C7548" s="3">
        <v>41375</v>
      </c>
      <c r="D7548" t="s">
        <v>62</v>
      </c>
      <c r="E7548">
        <v>7</v>
      </c>
      <c r="F7548" s="3">
        <f ca="1">41376+(RANDBETWEEN(1,10))</f>
        <v>41380</v>
      </c>
      <c r="G7548" t="s">
        <v>26</v>
      </c>
      <c r="H7548" t="s">
        <v>27</v>
      </c>
      <c r="I7548" t="s">
        <v>97</v>
      </c>
      <c r="J7548">
        <v>1105.4749999999999</v>
      </c>
      <c r="K7548">
        <v>0.01</v>
      </c>
      <c r="L7548" t="s">
        <v>182</v>
      </c>
      <c r="M7548">
        <v>21.77</v>
      </c>
      <c r="N7548">
        <v>762.77774999999997</v>
      </c>
      <c r="O7548" s="1" t="s">
        <v>29</v>
      </c>
      <c r="P7548" s="1" t="s">
        <v>8335</v>
      </c>
      <c r="Q7548" s="1" t="s">
        <v>8336</v>
      </c>
      <c r="R7548" s="1" t="s">
        <v>32</v>
      </c>
      <c r="S7548" s="1" t="s">
        <v>7445</v>
      </c>
      <c r="T7548" s="1" t="s">
        <v>6825</v>
      </c>
      <c r="U7548" s="2" t="s">
        <v>824</v>
      </c>
      <c r="V7548" s="2" t="s">
        <v>47</v>
      </c>
      <c r="W7548" s="2" t="s">
        <v>119</v>
      </c>
      <c r="X7548" s="2">
        <v>149.66</v>
      </c>
    </row>
    <row r="7549" spans="1:24" x14ac:dyDescent="0.3">
      <c r="A7549">
        <v>25361</v>
      </c>
      <c r="B7549" t="s">
        <v>14550</v>
      </c>
      <c r="C7549" s="3">
        <v>41162</v>
      </c>
      <c r="D7549" t="s">
        <v>50</v>
      </c>
      <c r="E7549">
        <v>10</v>
      </c>
      <c r="F7549" s="3">
        <f ca="1">41163+(RANDBETWEEN(1,10))</f>
        <v>41164</v>
      </c>
      <c r="G7549" t="s">
        <v>76</v>
      </c>
      <c r="H7549" t="s">
        <v>77</v>
      </c>
      <c r="I7549" t="s">
        <v>28</v>
      </c>
      <c r="J7549">
        <v>10766.35</v>
      </c>
      <c r="K7549">
        <v>0.05</v>
      </c>
      <c r="L7549">
        <v>0.56999999999999995</v>
      </c>
      <c r="M7549">
        <v>206.32499999999999</v>
      </c>
      <c r="N7549">
        <v>2812.18</v>
      </c>
      <c r="O7549" s="1" t="s">
        <v>225</v>
      </c>
      <c r="P7549" s="1" t="s">
        <v>8308</v>
      </c>
      <c r="Q7549" s="1" t="s">
        <v>8309</v>
      </c>
      <c r="R7549" s="1" t="s">
        <v>228</v>
      </c>
      <c r="S7549" s="1" t="s">
        <v>8310</v>
      </c>
      <c r="T7549" s="1" t="s">
        <v>8311</v>
      </c>
      <c r="U7549" s="2" t="s">
        <v>850</v>
      </c>
      <c r="V7549" s="2" t="s">
        <v>83</v>
      </c>
      <c r="W7549" s="2" t="s">
        <v>84</v>
      </c>
      <c r="X7549" s="2">
        <v>1123.43</v>
      </c>
    </row>
    <row r="7550" spans="1:24" x14ac:dyDescent="0.3">
      <c r="A7550">
        <v>25362</v>
      </c>
      <c r="B7550" t="s">
        <v>14551</v>
      </c>
      <c r="C7550" s="3">
        <v>41117</v>
      </c>
      <c r="D7550" t="s">
        <v>50</v>
      </c>
      <c r="E7550">
        <v>14</v>
      </c>
      <c r="F7550" s="3">
        <f ca="1">41119+(RANDBETWEEN(1,10))</f>
        <v>41121</v>
      </c>
      <c r="G7550" t="s">
        <v>26</v>
      </c>
      <c r="H7550" t="s">
        <v>51</v>
      </c>
      <c r="I7550" t="s">
        <v>97</v>
      </c>
      <c r="J7550">
        <v>1064.3150000000001</v>
      </c>
      <c r="K7550">
        <v>0.08</v>
      </c>
      <c r="L7550">
        <v>0.44</v>
      </c>
      <c r="M7550">
        <v>31.465</v>
      </c>
      <c r="N7550">
        <v>608.79</v>
      </c>
      <c r="O7550" s="1" t="s">
        <v>225</v>
      </c>
      <c r="P7550" s="1" t="s">
        <v>12982</v>
      </c>
      <c r="Q7550" s="1" t="s">
        <v>12983</v>
      </c>
      <c r="R7550" s="1" t="s">
        <v>391</v>
      </c>
      <c r="S7550" s="1" t="s">
        <v>2934</v>
      </c>
      <c r="T7550" s="1" t="s">
        <v>2935</v>
      </c>
      <c r="U7550" s="2" t="s">
        <v>2721</v>
      </c>
      <c r="V7550" s="2" t="s">
        <v>83</v>
      </c>
      <c r="W7550" s="2" t="s">
        <v>178</v>
      </c>
      <c r="X7550" s="2">
        <v>79.52</v>
      </c>
    </row>
    <row r="7551" spans="1:24" x14ac:dyDescent="0.3">
      <c r="A7551">
        <v>25363</v>
      </c>
      <c r="B7551" t="s">
        <v>14552</v>
      </c>
      <c r="C7551" s="3">
        <v>41305</v>
      </c>
      <c r="D7551" t="s">
        <v>62</v>
      </c>
      <c r="E7551">
        <v>6</v>
      </c>
      <c r="F7551" s="3">
        <f ca="1">41305+(RANDBETWEEN(1,10))</f>
        <v>41314</v>
      </c>
      <c r="G7551" t="s">
        <v>156</v>
      </c>
      <c r="H7551" t="s">
        <v>27</v>
      </c>
      <c r="I7551" t="s">
        <v>28</v>
      </c>
      <c r="J7551">
        <v>848.19</v>
      </c>
      <c r="K7551">
        <v>0.06</v>
      </c>
      <c r="L7551">
        <v>0.56999999999999995</v>
      </c>
      <c r="M7551">
        <v>18.655000000000001</v>
      </c>
      <c r="N7551">
        <v>435.65480000000002</v>
      </c>
      <c r="O7551" s="1" t="s">
        <v>53</v>
      </c>
      <c r="P7551" s="1" t="s">
        <v>5681</v>
      </c>
      <c r="Q7551" s="1" t="s">
        <v>5682</v>
      </c>
      <c r="R7551" s="1" t="s">
        <v>440</v>
      </c>
      <c r="S7551" s="1" t="s">
        <v>1172</v>
      </c>
      <c r="T7551" s="1" t="s">
        <v>5683</v>
      </c>
      <c r="U7551" s="2" t="s">
        <v>1712</v>
      </c>
      <c r="V7551" s="2" t="s">
        <v>47</v>
      </c>
      <c r="W7551" s="2" t="s">
        <v>71</v>
      </c>
      <c r="X7551" s="2">
        <v>143.43</v>
      </c>
    </row>
    <row r="7552" spans="1:24" x14ac:dyDescent="0.3">
      <c r="A7552">
        <v>25364</v>
      </c>
      <c r="B7552" t="s">
        <v>14552</v>
      </c>
      <c r="C7552" s="3">
        <v>41305</v>
      </c>
      <c r="D7552" t="s">
        <v>62</v>
      </c>
      <c r="E7552">
        <v>8</v>
      </c>
      <c r="F7552" s="3">
        <f ca="1">41307+(RANDBETWEEN(1,10))</f>
        <v>41312</v>
      </c>
      <c r="G7552" t="s">
        <v>26</v>
      </c>
      <c r="H7552" t="s">
        <v>51</v>
      </c>
      <c r="I7552" t="s">
        <v>28</v>
      </c>
      <c r="J7552">
        <v>669.41</v>
      </c>
      <c r="K7552">
        <v>0</v>
      </c>
      <c r="L7552">
        <v>0.52</v>
      </c>
      <c r="M7552">
        <v>12.705</v>
      </c>
      <c r="N7552">
        <v>461.8929</v>
      </c>
      <c r="O7552" s="1" t="s">
        <v>53</v>
      </c>
      <c r="P7552" s="1" t="s">
        <v>5681</v>
      </c>
      <c r="Q7552" s="1" t="s">
        <v>5682</v>
      </c>
      <c r="R7552" s="1" t="s">
        <v>440</v>
      </c>
      <c r="S7552" s="1" t="s">
        <v>1172</v>
      </c>
      <c r="T7552" s="1" t="s">
        <v>5683</v>
      </c>
      <c r="U7552" s="2" t="s">
        <v>6058</v>
      </c>
      <c r="V7552" s="2" t="s">
        <v>83</v>
      </c>
      <c r="W7552" s="2" t="s">
        <v>178</v>
      </c>
      <c r="X7552" s="2">
        <v>77.805000000000007</v>
      </c>
    </row>
    <row r="7553" spans="1:24" x14ac:dyDescent="0.3">
      <c r="A7553">
        <v>25365</v>
      </c>
      <c r="B7553" t="s">
        <v>14553</v>
      </c>
      <c r="C7553" s="3">
        <v>41278</v>
      </c>
      <c r="D7553" t="s">
        <v>50</v>
      </c>
      <c r="E7553">
        <v>11</v>
      </c>
      <c r="F7553" s="3">
        <f ca="1">41279+(RANDBETWEEN(1,10))</f>
        <v>41289</v>
      </c>
      <c r="G7553" t="s">
        <v>26</v>
      </c>
      <c r="H7553" t="s">
        <v>27</v>
      </c>
      <c r="I7553" t="s">
        <v>97</v>
      </c>
      <c r="J7553">
        <v>11158.63</v>
      </c>
      <c r="K7553">
        <v>0.1</v>
      </c>
      <c r="L7553">
        <v>0.48</v>
      </c>
      <c r="M7553">
        <v>25.13</v>
      </c>
      <c r="N7553">
        <v>7699.4547000000002</v>
      </c>
      <c r="O7553" s="1" t="s">
        <v>87</v>
      </c>
      <c r="P7553" s="1" t="s">
        <v>14449</v>
      </c>
      <c r="Q7553" s="1" t="s">
        <v>14450</v>
      </c>
      <c r="R7553" s="1" t="s">
        <v>90</v>
      </c>
      <c r="S7553" s="1" t="s">
        <v>3227</v>
      </c>
      <c r="T7553" s="1" t="s">
        <v>3228</v>
      </c>
      <c r="U7553" s="2" t="s">
        <v>2057</v>
      </c>
      <c r="V7553" s="2" t="s">
        <v>36</v>
      </c>
      <c r="W7553" s="2" t="s">
        <v>60</v>
      </c>
      <c r="X7553" s="2">
        <v>1053.395</v>
      </c>
    </row>
    <row r="7554" spans="1:24" x14ac:dyDescent="0.3">
      <c r="A7554">
        <v>25366</v>
      </c>
      <c r="B7554" t="s">
        <v>14554</v>
      </c>
      <c r="C7554" s="3">
        <v>41791</v>
      </c>
      <c r="D7554" t="s">
        <v>62</v>
      </c>
      <c r="E7554">
        <v>6</v>
      </c>
      <c r="F7554" s="3">
        <f ca="1">41792+(RANDBETWEEN(1,10))</f>
        <v>41794</v>
      </c>
      <c r="G7554" t="s">
        <v>26</v>
      </c>
      <c r="H7554" t="s">
        <v>27</v>
      </c>
      <c r="I7554" t="s">
        <v>28</v>
      </c>
      <c r="J7554">
        <v>153.26499999999999</v>
      </c>
      <c r="K7554">
        <v>0.09</v>
      </c>
      <c r="L7554">
        <v>0.38</v>
      </c>
      <c r="M7554">
        <v>8.75</v>
      </c>
      <c r="N7554">
        <v>66.108000000000004</v>
      </c>
      <c r="O7554" s="1" t="s">
        <v>53</v>
      </c>
      <c r="P7554" s="1" t="s">
        <v>12108</v>
      </c>
      <c r="Q7554" s="1" t="s">
        <v>12109</v>
      </c>
      <c r="R7554" s="1" t="s">
        <v>440</v>
      </c>
      <c r="S7554" s="1" t="s">
        <v>12110</v>
      </c>
      <c r="T7554" s="1" t="s">
        <v>12111</v>
      </c>
      <c r="U7554" s="2" t="s">
        <v>6341</v>
      </c>
      <c r="V7554" s="2" t="s">
        <v>47</v>
      </c>
      <c r="W7554" s="2" t="s">
        <v>48</v>
      </c>
      <c r="X7554" s="2">
        <v>27.23</v>
      </c>
    </row>
    <row r="7555" spans="1:24" x14ac:dyDescent="0.3">
      <c r="A7555">
        <v>25367</v>
      </c>
      <c r="B7555" t="s">
        <v>14555</v>
      </c>
      <c r="C7555" s="3">
        <v>41462</v>
      </c>
      <c r="D7555" t="s">
        <v>39</v>
      </c>
      <c r="E7555">
        <v>1</v>
      </c>
      <c r="F7555" s="3">
        <f ca="1">41464+(RANDBETWEEN(1,10))</f>
        <v>41465</v>
      </c>
      <c r="G7555" t="s">
        <v>26</v>
      </c>
      <c r="H7555" t="s">
        <v>27</v>
      </c>
      <c r="I7555" t="s">
        <v>52</v>
      </c>
      <c r="J7555">
        <v>43.645000000000003</v>
      </c>
      <c r="K7555">
        <v>0.09</v>
      </c>
      <c r="L7555">
        <v>0.57999999999999996</v>
      </c>
      <c r="M7555">
        <v>17.43</v>
      </c>
      <c r="N7555">
        <v>-76.194999999999993</v>
      </c>
      <c r="O7555" s="1" t="s">
        <v>40</v>
      </c>
      <c r="P7555" s="1" t="s">
        <v>14556</v>
      </c>
      <c r="Q7555" s="1" t="s">
        <v>14557</v>
      </c>
      <c r="R7555" s="1" t="s">
        <v>220</v>
      </c>
      <c r="S7555" s="1" t="s">
        <v>5888</v>
      </c>
      <c r="T7555" s="1" t="s">
        <v>5889</v>
      </c>
      <c r="U7555" s="2" t="s">
        <v>5213</v>
      </c>
      <c r="V7555" s="2" t="s">
        <v>47</v>
      </c>
      <c r="W7555" s="2" t="s">
        <v>71</v>
      </c>
      <c r="X7555" s="2">
        <v>41.895000000000003</v>
      </c>
    </row>
    <row r="7556" spans="1:24" x14ac:dyDescent="0.3">
      <c r="A7556">
        <v>25368</v>
      </c>
      <c r="B7556" t="s">
        <v>14555</v>
      </c>
      <c r="C7556" s="3">
        <v>41462</v>
      </c>
      <c r="D7556" t="s">
        <v>39</v>
      </c>
      <c r="E7556">
        <v>11</v>
      </c>
      <c r="F7556" s="3">
        <f ca="1">41464+(RANDBETWEEN(1,10))</f>
        <v>41472</v>
      </c>
      <c r="G7556" t="s">
        <v>156</v>
      </c>
      <c r="H7556" t="s">
        <v>27</v>
      </c>
      <c r="I7556" t="s">
        <v>52</v>
      </c>
      <c r="J7556">
        <v>237.61500000000001</v>
      </c>
      <c r="K7556">
        <v>0.08</v>
      </c>
      <c r="L7556">
        <v>0.39</v>
      </c>
      <c r="M7556">
        <v>17.535</v>
      </c>
      <c r="N7556">
        <v>-184.94874999999999</v>
      </c>
      <c r="O7556" s="1" t="s">
        <v>40</v>
      </c>
      <c r="P7556" s="1" t="s">
        <v>14556</v>
      </c>
      <c r="Q7556" s="1" t="s">
        <v>14557</v>
      </c>
      <c r="R7556" s="1" t="s">
        <v>220</v>
      </c>
      <c r="S7556" s="1" t="s">
        <v>5888</v>
      </c>
      <c r="T7556" s="1" t="s">
        <v>5889</v>
      </c>
      <c r="U7556" s="2" t="s">
        <v>2422</v>
      </c>
      <c r="V7556" s="2" t="s">
        <v>47</v>
      </c>
      <c r="W7556" s="2" t="s">
        <v>111</v>
      </c>
      <c r="X7556" s="2">
        <v>20.09</v>
      </c>
    </row>
    <row r="7557" spans="1:24" x14ac:dyDescent="0.3">
      <c r="A7557">
        <v>25369</v>
      </c>
      <c r="B7557" t="s">
        <v>14558</v>
      </c>
      <c r="C7557" s="3">
        <v>41644</v>
      </c>
      <c r="D7557" t="s">
        <v>39</v>
      </c>
      <c r="E7557">
        <v>14</v>
      </c>
      <c r="F7557" s="3">
        <f ca="1">41644+(RANDBETWEEN(1,10))</f>
        <v>41650</v>
      </c>
      <c r="G7557" t="s">
        <v>76</v>
      </c>
      <c r="H7557" t="s">
        <v>258</v>
      </c>
      <c r="I7557" t="s">
        <v>28</v>
      </c>
      <c r="J7557">
        <v>4862.7950000000001</v>
      </c>
      <c r="K7557">
        <v>0.08</v>
      </c>
      <c r="L7557">
        <v>0.39</v>
      </c>
      <c r="M7557">
        <v>196.49</v>
      </c>
      <c r="N7557">
        <v>891.87139999999999</v>
      </c>
      <c r="O7557" s="1" t="s">
        <v>40</v>
      </c>
      <c r="P7557" s="1" t="s">
        <v>5140</v>
      </c>
      <c r="Q7557" s="1" t="s">
        <v>5141</v>
      </c>
      <c r="R7557" s="1" t="s">
        <v>43</v>
      </c>
      <c r="S7557" s="1" t="s">
        <v>5142</v>
      </c>
      <c r="T7557" s="1" t="s">
        <v>5143</v>
      </c>
      <c r="U7557" s="2" t="s">
        <v>5088</v>
      </c>
      <c r="V7557" s="2" t="s">
        <v>36</v>
      </c>
      <c r="W7557" s="2" t="s">
        <v>142</v>
      </c>
      <c r="X7557" s="2">
        <v>419.96499999999997</v>
      </c>
    </row>
    <row r="7558" spans="1:24" x14ac:dyDescent="0.3">
      <c r="A7558">
        <v>25370</v>
      </c>
      <c r="B7558" t="s">
        <v>14558</v>
      </c>
      <c r="C7558" s="3">
        <v>41644</v>
      </c>
      <c r="D7558" t="s">
        <v>39</v>
      </c>
      <c r="E7558">
        <v>5</v>
      </c>
      <c r="F7558" s="3">
        <f ca="1">41647+(RANDBETWEEN(1,10))</f>
        <v>41648</v>
      </c>
      <c r="G7558" t="s">
        <v>156</v>
      </c>
      <c r="H7558" t="s">
        <v>51</v>
      </c>
      <c r="I7558" t="s">
        <v>28</v>
      </c>
      <c r="J7558">
        <v>177.20500000000001</v>
      </c>
      <c r="K7558">
        <v>0.08</v>
      </c>
      <c r="L7558">
        <v>0.59</v>
      </c>
      <c r="M7558">
        <v>16.38</v>
      </c>
      <c r="N7558">
        <v>-137.4478</v>
      </c>
      <c r="O7558" s="1" t="s">
        <v>40</v>
      </c>
      <c r="P7558" s="1" t="s">
        <v>14559</v>
      </c>
      <c r="Q7558" s="1" t="s">
        <v>14560</v>
      </c>
      <c r="R7558" s="1" t="s">
        <v>43</v>
      </c>
      <c r="S7558" s="1" t="s">
        <v>1443</v>
      </c>
      <c r="T7558" s="1" t="s">
        <v>14561</v>
      </c>
      <c r="U7558" s="2" t="s">
        <v>3567</v>
      </c>
      <c r="V7558" s="2" t="s">
        <v>47</v>
      </c>
      <c r="W7558" s="2" t="s">
        <v>94</v>
      </c>
      <c r="X7558" s="2">
        <v>35.805</v>
      </c>
    </row>
    <row r="7559" spans="1:24" x14ac:dyDescent="0.3">
      <c r="A7559">
        <v>25371</v>
      </c>
      <c r="B7559" t="s">
        <v>14562</v>
      </c>
      <c r="C7559" s="3">
        <v>41732</v>
      </c>
      <c r="D7559" t="s">
        <v>62</v>
      </c>
      <c r="E7559">
        <v>2</v>
      </c>
      <c r="F7559" s="3">
        <f ca="1">41733+(RANDBETWEEN(1,10))</f>
        <v>41737</v>
      </c>
      <c r="G7559" t="s">
        <v>26</v>
      </c>
      <c r="H7559" t="s">
        <v>27</v>
      </c>
      <c r="I7559" t="s">
        <v>52</v>
      </c>
      <c r="J7559">
        <v>147.875</v>
      </c>
      <c r="K7559">
        <v>0.08</v>
      </c>
      <c r="L7559">
        <v>0.6</v>
      </c>
      <c r="M7559">
        <v>14</v>
      </c>
      <c r="N7559">
        <v>-165.79499999999999</v>
      </c>
      <c r="O7559" s="1" t="s">
        <v>87</v>
      </c>
      <c r="P7559" s="1" t="s">
        <v>14119</v>
      </c>
      <c r="Q7559" s="1" t="s">
        <v>14120</v>
      </c>
      <c r="R7559" s="1" t="s">
        <v>398</v>
      </c>
      <c r="S7559" s="1" t="s">
        <v>399</v>
      </c>
      <c r="T7559" s="1" t="s">
        <v>400</v>
      </c>
      <c r="U7559" s="2" t="s">
        <v>3946</v>
      </c>
      <c r="V7559" s="2" t="s">
        <v>36</v>
      </c>
      <c r="W7559" s="2" t="s">
        <v>60</v>
      </c>
      <c r="X7559" s="2">
        <v>73.325000000000003</v>
      </c>
    </row>
    <row r="7560" spans="1:24" x14ac:dyDescent="0.3">
      <c r="A7560">
        <v>25372</v>
      </c>
      <c r="B7560" t="s">
        <v>14563</v>
      </c>
      <c r="C7560" s="3">
        <v>41758</v>
      </c>
      <c r="D7560" t="s">
        <v>39</v>
      </c>
      <c r="E7560">
        <v>2</v>
      </c>
      <c r="F7560" s="3">
        <f ca="1">41760+(RANDBETWEEN(1,10))</f>
        <v>41763</v>
      </c>
      <c r="G7560" t="s">
        <v>26</v>
      </c>
      <c r="H7560" t="s">
        <v>27</v>
      </c>
      <c r="I7560" t="s">
        <v>28</v>
      </c>
      <c r="J7560">
        <v>140.45500000000001</v>
      </c>
      <c r="K7560">
        <v>0.09</v>
      </c>
      <c r="L7560">
        <v>0.57999999999999996</v>
      </c>
      <c r="M7560">
        <v>22.12</v>
      </c>
      <c r="N7560">
        <v>-104.19499999999999</v>
      </c>
      <c r="O7560" s="1" t="s">
        <v>40</v>
      </c>
      <c r="P7560" s="1" t="s">
        <v>14056</v>
      </c>
      <c r="Q7560" s="1" t="s">
        <v>14057</v>
      </c>
      <c r="R7560" s="1" t="s">
        <v>43</v>
      </c>
      <c r="S7560" s="1" t="s">
        <v>14058</v>
      </c>
      <c r="T7560" s="1" t="s">
        <v>14059</v>
      </c>
      <c r="U7560" s="2" t="s">
        <v>3298</v>
      </c>
      <c r="V7560" s="2" t="s">
        <v>47</v>
      </c>
      <c r="W7560" s="2" t="s">
        <v>71</v>
      </c>
      <c r="X7560" s="2">
        <v>71.680000000000007</v>
      </c>
    </row>
    <row r="7561" spans="1:24" x14ac:dyDescent="0.3">
      <c r="A7561">
        <v>25373</v>
      </c>
      <c r="B7561" t="s">
        <v>14564</v>
      </c>
      <c r="C7561" s="3">
        <v>41726</v>
      </c>
      <c r="D7561" t="s">
        <v>25</v>
      </c>
      <c r="E7561">
        <v>3</v>
      </c>
      <c r="F7561" s="3">
        <f ca="1">41726+(RANDBETWEEN(1,10))</f>
        <v>41734</v>
      </c>
      <c r="G7561" t="s">
        <v>76</v>
      </c>
      <c r="H7561" t="s">
        <v>77</v>
      </c>
      <c r="I7561" t="s">
        <v>97</v>
      </c>
      <c r="J7561">
        <v>1006.075</v>
      </c>
      <c r="K7561">
        <v>0.03</v>
      </c>
      <c r="L7561">
        <v>0.36</v>
      </c>
      <c r="M7561">
        <v>49</v>
      </c>
      <c r="N7561">
        <v>26.792850000000001</v>
      </c>
      <c r="O7561" s="1" t="s">
        <v>40</v>
      </c>
      <c r="P7561" s="1" t="s">
        <v>14565</v>
      </c>
      <c r="Q7561" s="1" t="s">
        <v>14566</v>
      </c>
      <c r="R7561" s="1" t="s">
        <v>43</v>
      </c>
      <c r="S7561" s="1" t="s">
        <v>14567</v>
      </c>
      <c r="T7561" s="1" t="s">
        <v>14568</v>
      </c>
      <c r="U7561" s="2" t="s">
        <v>2449</v>
      </c>
      <c r="V7561" s="2" t="s">
        <v>36</v>
      </c>
      <c r="W7561" s="2" t="s">
        <v>142</v>
      </c>
      <c r="X7561" s="2">
        <v>318.39499999999998</v>
      </c>
    </row>
    <row r="7562" spans="1:24" x14ac:dyDescent="0.3">
      <c r="A7562">
        <v>25374</v>
      </c>
      <c r="B7562" t="s">
        <v>14569</v>
      </c>
      <c r="C7562" s="3">
        <v>41340</v>
      </c>
      <c r="D7562" t="s">
        <v>62</v>
      </c>
      <c r="E7562">
        <v>11</v>
      </c>
      <c r="F7562" s="3">
        <f ca="1">41342+(RANDBETWEEN(1,10))</f>
        <v>41350</v>
      </c>
      <c r="G7562" t="s">
        <v>76</v>
      </c>
      <c r="H7562" t="s">
        <v>258</v>
      </c>
      <c r="I7562" t="s">
        <v>52</v>
      </c>
      <c r="J7562">
        <v>6312.67</v>
      </c>
      <c r="K7562">
        <v>0.09</v>
      </c>
      <c r="L7562">
        <v>0.68</v>
      </c>
      <c r="M7562">
        <v>101.85</v>
      </c>
      <c r="N7562">
        <v>2924.11</v>
      </c>
      <c r="O7562" s="1" t="s">
        <v>87</v>
      </c>
      <c r="P7562" s="1" t="s">
        <v>14570</v>
      </c>
      <c r="Q7562" s="1" t="s">
        <v>14571</v>
      </c>
      <c r="R7562" s="1" t="s">
        <v>90</v>
      </c>
      <c r="S7562" s="1" t="s">
        <v>1492</v>
      </c>
      <c r="T7562" s="1" t="s">
        <v>1493</v>
      </c>
      <c r="U7562" s="2" t="s">
        <v>13573</v>
      </c>
      <c r="V7562" s="2" t="s">
        <v>83</v>
      </c>
      <c r="W7562" s="2" t="s">
        <v>263</v>
      </c>
      <c r="X7562" s="2">
        <v>762.47500000000002</v>
      </c>
    </row>
    <row r="7563" spans="1:24" x14ac:dyDescent="0.3">
      <c r="A7563">
        <v>25375</v>
      </c>
      <c r="B7563" t="s">
        <v>14569</v>
      </c>
      <c r="C7563" s="3">
        <v>41340</v>
      </c>
      <c r="D7563" t="s">
        <v>62</v>
      </c>
      <c r="E7563">
        <v>2</v>
      </c>
      <c r="F7563" s="3">
        <f ca="1">41343+(RANDBETWEEN(1,10))</f>
        <v>41348</v>
      </c>
      <c r="G7563" t="s">
        <v>26</v>
      </c>
      <c r="H7563" t="s">
        <v>63</v>
      </c>
      <c r="I7563" t="s">
        <v>52</v>
      </c>
      <c r="J7563">
        <v>1217.825</v>
      </c>
      <c r="K7563">
        <v>0.05</v>
      </c>
      <c r="L7563">
        <v>0.79</v>
      </c>
      <c r="M7563">
        <v>241.5</v>
      </c>
      <c r="N7563">
        <v>-1206.8699999999999</v>
      </c>
      <c r="O7563" s="1" t="s">
        <v>87</v>
      </c>
      <c r="P7563" s="1" t="s">
        <v>14570</v>
      </c>
      <c r="Q7563" s="1" t="s">
        <v>14571</v>
      </c>
      <c r="R7563" s="1" t="s">
        <v>90</v>
      </c>
      <c r="S7563" s="1" t="s">
        <v>1492</v>
      </c>
      <c r="T7563" s="1" t="s">
        <v>1493</v>
      </c>
      <c r="U7563" s="2" t="s">
        <v>3449</v>
      </c>
      <c r="V7563" s="2" t="s">
        <v>83</v>
      </c>
      <c r="W7563" s="2" t="s">
        <v>263</v>
      </c>
      <c r="X7563" s="2">
        <v>732.79499999999996</v>
      </c>
    </row>
    <row r="7564" spans="1:24" x14ac:dyDescent="0.3">
      <c r="A7564">
        <v>25376</v>
      </c>
      <c r="B7564" t="s">
        <v>14572</v>
      </c>
      <c r="C7564" s="3">
        <v>41879</v>
      </c>
      <c r="D7564" t="s">
        <v>39</v>
      </c>
      <c r="E7564">
        <v>8</v>
      </c>
      <c r="F7564" s="3">
        <f ca="1">41881+(RANDBETWEEN(1,10))</f>
        <v>41891</v>
      </c>
      <c r="G7564" t="s">
        <v>26</v>
      </c>
      <c r="H7564" t="s">
        <v>51</v>
      </c>
      <c r="I7564" t="s">
        <v>28</v>
      </c>
      <c r="J7564">
        <v>642.42499999999995</v>
      </c>
      <c r="K7564">
        <v>0.04</v>
      </c>
      <c r="L7564">
        <v>0.46</v>
      </c>
      <c r="M7564">
        <v>6.9649999999999999</v>
      </c>
      <c r="N7564">
        <v>409.28719999999998</v>
      </c>
      <c r="O7564" s="1" t="s">
        <v>225</v>
      </c>
      <c r="P7564" s="1" t="s">
        <v>14166</v>
      </c>
      <c r="Q7564" s="1" t="s">
        <v>14167</v>
      </c>
      <c r="R7564" s="1" t="s">
        <v>228</v>
      </c>
      <c r="S7564" s="1" t="s">
        <v>1564</v>
      </c>
      <c r="T7564" s="1" t="s">
        <v>1565</v>
      </c>
      <c r="U7564" s="2" t="s">
        <v>1595</v>
      </c>
      <c r="V7564" s="2" t="s">
        <v>36</v>
      </c>
      <c r="W7564" s="2" t="s">
        <v>60</v>
      </c>
      <c r="X7564" s="2">
        <v>80.430000000000007</v>
      </c>
    </row>
    <row r="7565" spans="1:24" x14ac:dyDescent="0.3">
      <c r="A7565">
        <v>25377</v>
      </c>
      <c r="B7565" t="s">
        <v>14572</v>
      </c>
      <c r="C7565" s="3">
        <v>41879</v>
      </c>
      <c r="D7565" t="s">
        <v>39</v>
      </c>
      <c r="E7565">
        <v>12</v>
      </c>
      <c r="F7565" s="3">
        <f ca="1">41881+(RANDBETWEEN(1,10))</f>
        <v>41888</v>
      </c>
      <c r="G7565" t="s">
        <v>26</v>
      </c>
      <c r="H7565" t="s">
        <v>27</v>
      </c>
      <c r="I7565" t="s">
        <v>28</v>
      </c>
      <c r="J7565">
        <v>255.04499999999999</v>
      </c>
      <c r="K7565">
        <v>0.02</v>
      </c>
      <c r="L7565">
        <v>0.38</v>
      </c>
      <c r="M7565">
        <v>4.8650000000000002</v>
      </c>
      <c r="N7565">
        <v>175.98105000000001</v>
      </c>
      <c r="O7565" s="1" t="s">
        <v>225</v>
      </c>
      <c r="P7565" s="1" t="s">
        <v>14166</v>
      </c>
      <c r="Q7565" s="1" t="s">
        <v>14167</v>
      </c>
      <c r="R7565" s="1" t="s">
        <v>228</v>
      </c>
      <c r="S7565" s="1" t="s">
        <v>1564</v>
      </c>
      <c r="T7565" s="1" t="s">
        <v>1565</v>
      </c>
      <c r="U7565" s="2" t="s">
        <v>641</v>
      </c>
      <c r="V7565" s="2" t="s">
        <v>47</v>
      </c>
      <c r="W7565" s="2" t="s">
        <v>48</v>
      </c>
      <c r="X7565" s="2">
        <v>19.88</v>
      </c>
    </row>
    <row r="7566" spans="1:24" x14ac:dyDescent="0.3">
      <c r="A7566">
        <v>25378</v>
      </c>
      <c r="B7566" t="s">
        <v>14573</v>
      </c>
      <c r="C7566" s="3">
        <v>41660</v>
      </c>
      <c r="D7566" t="s">
        <v>25</v>
      </c>
      <c r="E7566">
        <v>10</v>
      </c>
      <c r="F7566" s="3">
        <f ca="1">41664+(RANDBETWEEN(1,10))</f>
        <v>41673</v>
      </c>
      <c r="G7566" t="s">
        <v>26</v>
      </c>
      <c r="H7566" t="s">
        <v>96</v>
      </c>
      <c r="I7566" t="s">
        <v>52</v>
      </c>
      <c r="J7566">
        <v>143.60499999999999</v>
      </c>
      <c r="K7566">
        <v>0.05</v>
      </c>
      <c r="L7566">
        <v>0.52</v>
      </c>
      <c r="M7566">
        <v>2.4500000000000002</v>
      </c>
      <c r="N7566">
        <v>-2176.2860000000001</v>
      </c>
      <c r="O7566" s="1" t="s">
        <v>53</v>
      </c>
      <c r="P7566" s="1" t="s">
        <v>9765</v>
      </c>
      <c r="Q7566" s="1" t="s">
        <v>9766</v>
      </c>
      <c r="R7566" s="1" t="s">
        <v>440</v>
      </c>
      <c r="S7566" s="1" t="s">
        <v>6211</v>
      </c>
      <c r="T7566" s="1" t="s">
        <v>6212</v>
      </c>
      <c r="U7566" s="2" t="s">
        <v>2896</v>
      </c>
      <c r="V7566" s="2" t="s">
        <v>47</v>
      </c>
      <c r="W7566" s="2" t="s">
        <v>104</v>
      </c>
      <c r="X7566" s="2">
        <v>13.93</v>
      </c>
    </row>
    <row r="7567" spans="1:24" x14ac:dyDescent="0.3">
      <c r="A7567">
        <v>25379</v>
      </c>
      <c r="B7567" t="s">
        <v>14574</v>
      </c>
      <c r="C7567" s="3">
        <v>41389</v>
      </c>
      <c r="D7567" t="s">
        <v>148</v>
      </c>
      <c r="E7567">
        <v>3</v>
      </c>
      <c r="F7567" s="3">
        <f ca="1">41389+(RANDBETWEEN(1,10))</f>
        <v>41393</v>
      </c>
      <c r="G7567" t="s">
        <v>26</v>
      </c>
      <c r="H7567" t="s">
        <v>96</v>
      </c>
      <c r="I7567" t="s">
        <v>28</v>
      </c>
      <c r="J7567">
        <v>23.8</v>
      </c>
      <c r="K7567">
        <v>0.09</v>
      </c>
      <c r="L7567">
        <v>0.44</v>
      </c>
      <c r="M7567">
        <v>4.83</v>
      </c>
      <c r="N7567">
        <v>-17.989999999999998</v>
      </c>
      <c r="O7567" s="1" t="s">
        <v>40</v>
      </c>
      <c r="P7567" s="1" t="s">
        <v>9214</v>
      </c>
      <c r="Q7567" s="1" t="s">
        <v>9215</v>
      </c>
      <c r="R7567" s="1" t="s">
        <v>43</v>
      </c>
      <c r="S7567" s="1" t="s">
        <v>6731</v>
      </c>
      <c r="T7567" s="1" t="s">
        <v>6732</v>
      </c>
      <c r="U7567" s="2" t="s">
        <v>6076</v>
      </c>
      <c r="V7567" s="2" t="s">
        <v>47</v>
      </c>
      <c r="W7567" s="2" t="s">
        <v>176</v>
      </c>
      <c r="X7567" s="2">
        <v>7.63</v>
      </c>
    </row>
    <row r="7568" spans="1:24" x14ac:dyDescent="0.3">
      <c r="A7568">
        <v>25380</v>
      </c>
      <c r="B7568" t="s">
        <v>14575</v>
      </c>
      <c r="C7568" s="3">
        <v>41931</v>
      </c>
      <c r="D7568" t="s">
        <v>25</v>
      </c>
      <c r="E7568">
        <v>2</v>
      </c>
      <c r="F7568" s="3">
        <f ca="1">41935+(RANDBETWEEN(1,10))</f>
        <v>41938</v>
      </c>
      <c r="G7568" t="s">
        <v>26</v>
      </c>
      <c r="H7568" t="s">
        <v>63</v>
      </c>
      <c r="I7568" t="s">
        <v>28</v>
      </c>
      <c r="J7568">
        <v>117.63500000000001</v>
      </c>
      <c r="K7568">
        <v>0.05</v>
      </c>
      <c r="L7568">
        <v>0.6</v>
      </c>
      <c r="M7568">
        <v>171.5</v>
      </c>
      <c r="N7568">
        <v>1023.057</v>
      </c>
      <c r="O7568" s="1" t="s">
        <v>40</v>
      </c>
      <c r="P7568" s="1" t="s">
        <v>9658</v>
      </c>
      <c r="Q7568" s="1" t="s">
        <v>9659</v>
      </c>
      <c r="R7568" s="1" t="s">
        <v>43</v>
      </c>
      <c r="S7568" s="1" t="s">
        <v>2030</v>
      </c>
      <c r="T7568" s="1" t="s">
        <v>2031</v>
      </c>
      <c r="U7568" s="2" t="s">
        <v>919</v>
      </c>
      <c r="V7568" s="2" t="s">
        <v>47</v>
      </c>
      <c r="W7568" s="2" t="s">
        <v>71</v>
      </c>
      <c r="X7568" s="2">
        <v>15.68</v>
      </c>
    </row>
    <row r="7569" spans="1:24" x14ac:dyDescent="0.3">
      <c r="A7569">
        <v>25381</v>
      </c>
      <c r="B7569" t="s">
        <v>14576</v>
      </c>
      <c r="C7569" s="3">
        <v>40835</v>
      </c>
      <c r="D7569" t="s">
        <v>25</v>
      </c>
      <c r="E7569">
        <v>8</v>
      </c>
      <c r="F7569" s="3">
        <f ca="1">40839+(RANDBETWEEN(1,10))</f>
        <v>40845</v>
      </c>
      <c r="G7569" t="s">
        <v>26</v>
      </c>
      <c r="H7569" t="s">
        <v>27</v>
      </c>
      <c r="I7569" t="s">
        <v>28</v>
      </c>
      <c r="J7569">
        <v>119.56</v>
      </c>
      <c r="K7569">
        <v>0.1</v>
      </c>
      <c r="L7569">
        <v>0.35</v>
      </c>
      <c r="M7569">
        <v>18.934999999999999</v>
      </c>
      <c r="N7569">
        <v>-215.6</v>
      </c>
      <c r="O7569" s="1" t="s">
        <v>40</v>
      </c>
      <c r="P7569" s="1" t="s">
        <v>9658</v>
      </c>
      <c r="Q7569" s="1" t="s">
        <v>9659</v>
      </c>
      <c r="R7569" s="1" t="s">
        <v>43</v>
      </c>
      <c r="S7569" s="1" t="s">
        <v>2030</v>
      </c>
      <c r="T7569" s="1" t="s">
        <v>2031</v>
      </c>
      <c r="U7569" s="2" t="s">
        <v>231</v>
      </c>
      <c r="V7569" s="2" t="s">
        <v>47</v>
      </c>
      <c r="W7569" s="2" t="s">
        <v>111</v>
      </c>
      <c r="X7569" s="2">
        <v>14.84</v>
      </c>
    </row>
    <row r="7570" spans="1:24" x14ac:dyDescent="0.3">
      <c r="A7570">
        <v>25382</v>
      </c>
      <c r="B7570" t="s">
        <v>14577</v>
      </c>
      <c r="C7570" s="3">
        <v>41275</v>
      </c>
      <c r="D7570" t="s">
        <v>148</v>
      </c>
      <c r="E7570">
        <v>5</v>
      </c>
      <c r="F7570" s="3">
        <f ca="1">41278+(RANDBETWEEN(1,10))</f>
        <v>41283</v>
      </c>
      <c r="G7570" t="s">
        <v>156</v>
      </c>
      <c r="H7570" t="s">
        <v>27</v>
      </c>
      <c r="I7570" t="s">
        <v>52</v>
      </c>
      <c r="J7570">
        <v>1131.4100000000001</v>
      </c>
      <c r="K7570">
        <v>0.05</v>
      </c>
      <c r="L7570">
        <v>0.36</v>
      </c>
      <c r="M7570">
        <v>69.965000000000003</v>
      </c>
      <c r="N7570">
        <v>-464.32400000000001</v>
      </c>
      <c r="O7570" s="1" t="s">
        <v>64</v>
      </c>
      <c r="P7570" s="1" t="s">
        <v>8629</v>
      </c>
      <c r="Q7570" s="1" t="s">
        <v>8630</v>
      </c>
      <c r="R7570" s="1" t="s">
        <v>128</v>
      </c>
      <c r="S7570" s="1" t="s">
        <v>4685</v>
      </c>
      <c r="T7570" s="1" t="s">
        <v>4686</v>
      </c>
      <c r="U7570" s="2" t="s">
        <v>14578</v>
      </c>
      <c r="V7570" s="2" t="s">
        <v>47</v>
      </c>
      <c r="W7570" s="2" t="s">
        <v>111</v>
      </c>
      <c r="X7570" s="2">
        <v>223.93</v>
      </c>
    </row>
    <row r="7571" spans="1:24" x14ac:dyDescent="0.3">
      <c r="A7571">
        <v>25383</v>
      </c>
      <c r="B7571" t="s">
        <v>14579</v>
      </c>
      <c r="C7571" s="3">
        <v>41190</v>
      </c>
      <c r="D7571" t="s">
        <v>50</v>
      </c>
      <c r="E7571">
        <v>3</v>
      </c>
      <c r="F7571" s="3">
        <f ca="1">41192+(RANDBETWEEN(1,10))</f>
        <v>41193</v>
      </c>
      <c r="G7571" t="s">
        <v>26</v>
      </c>
      <c r="H7571" t="s">
        <v>27</v>
      </c>
      <c r="I7571" t="s">
        <v>52</v>
      </c>
      <c r="J7571">
        <v>1459.885</v>
      </c>
      <c r="K7571">
        <v>0.02</v>
      </c>
      <c r="L7571">
        <v>0.6</v>
      </c>
      <c r="M7571">
        <v>28.28</v>
      </c>
      <c r="N7571">
        <v>-436.39400000000001</v>
      </c>
      <c r="O7571" s="1" t="s">
        <v>53</v>
      </c>
      <c r="P7571" s="1" t="s">
        <v>9481</v>
      </c>
      <c r="Q7571" s="1" t="s">
        <v>9482</v>
      </c>
      <c r="R7571" s="1" t="s">
        <v>440</v>
      </c>
      <c r="S7571" s="1" t="s">
        <v>9483</v>
      </c>
      <c r="T7571" s="1" t="s">
        <v>9484</v>
      </c>
      <c r="U7571" s="2" t="s">
        <v>7517</v>
      </c>
      <c r="V7571" s="2" t="s">
        <v>36</v>
      </c>
      <c r="W7571" s="2" t="s">
        <v>37</v>
      </c>
      <c r="X7571" s="2">
        <v>545.96500000000003</v>
      </c>
    </row>
    <row r="7572" spans="1:24" x14ac:dyDescent="0.3">
      <c r="A7572">
        <v>25384</v>
      </c>
      <c r="B7572" t="s">
        <v>14580</v>
      </c>
      <c r="C7572" s="3">
        <v>41439</v>
      </c>
      <c r="D7572" t="s">
        <v>25</v>
      </c>
      <c r="E7572">
        <v>4</v>
      </c>
      <c r="F7572" s="3">
        <f ca="1">41443+(RANDBETWEEN(1,10))</f>
        <v>41452</v>
      </c>
      <c r="G7572" t="s">
        <v>76</v>
      </c>
      <c r="H7572" t="s">
        <v>77</v>
      </c>
      <c r="I7572" t="s">
        <v>97</v>
      </c>
      <c r="J7572">
        <v>1155.5250000000001</v>
      </c>
      <c r="K7572">
        <v>0.01</v>
      </c>
      <c r="L7572">
        <v>0.6</v>
      </c>
      <c r="M7572">
        <v>209.33500000000001</v>
      </c>
      <c r="N7572">
        <v>-897.96</v>
      </c>
      <c r="O7572" s="1" t="s">
        <v>29</v>
      </c>
      <c r="P7572" s="1" t="s">
        <v>7734</v>
      </c>
      <c r="Q7572" s="1" t="s">
        <v>7735</v>
      </c>
      <c r="R7572" s="1" t="s">
        <v>675</v>
      </c>
      <c r="S7572" s="1" t="s">
        <v>7736</v>
      </c>
      <c r="T7572" s="1" t="s">
        <v>7737</v>
      </c>
      <c r="U7572" s="2" t="s">
        <v>11996</v>
      </c>
      <c r="V7572" s="2" t="s">
        <v>83</v>
      </c>
      <c r="W7572" s="2" t="s">
        <v>84</v>
      </c>
      <c r="X7572" s="2">
        <v>248.43</v>
      </c>
    </row>
    <row r="7573" spans="1:24" x14ac:dyDescent="0.3">
      <c r="A7573">
        <v>25385</v>
      </c>
      <c r="B7573" t="s">
        <v>14580</v>
      </c>
      <c r="C7573" s="3">
        <v>41439</v>
      </c>
      <c r="D7573" t="s">
        <v>25</v>
      </c>
      <c r="E7573">
        <v>6</v>
      </c>
      <c r="F7573" s="3">
        <f ca="1">41446+(RANDBETWEEN(1,10))</f>
        <v>41448</v>
      </c>
      <c r="G7573" t="s">
        <v>26</v>
      </c>
      <c r="H7573" t="s">
        <v>27</v>
      </c>
      <c r="I7573" t="s">
        <v>97</v>
      </c>
      <c r="J7573">
        <v>3106.0050000000001</v>
      </c>
      <c r="K7573">
        <v>0.03</v>
      </c>
      <c r="L7573">
        <v>0.79</v>
      </c>
      <c r="M7573">
        <v>14</v>
      </c>
      <c r="N7573">
        <v>-788.67600000000004</v>
      </c>
      <c r="O7573" s="1" t="s">
        <v>53</v>
      </c>
      <c r="P7573" s="1" t="s">
        <v>14581</v>
      </c>
      <c r="Q7573" s="1" t="s">
        <v>14582</v>
      </c>
      <c r="R7573" s="1" t="s">
        <v>440</v>
      </c>
      <c r="S7573" s="1" t="s">
        <v>4911</v>
      </c>
      <c r="T7573" s="1" t="s">
        <v>4912</v>
      </c>
      <c r="U7573" s="2" t="s">
        <v>192</v>
      </c>
      <c r="V7573" s="2" t="s">
        <v>36</v>
      </c>
      <c r="W7573" s="2" t="s">
        <v>60</v>
      </c>
      <c r="X7573" s="2">
        <v>533.67999999999995</v>
      </c>
    </row>
    <row r="7574" spans="1:24" x14ac:dyDescent="0.3">
      <c r="A7574">
        <v>25386</v>
      </c>
      <c r="B7574" t="s">
        <v>14580</v>
      </c>
      <c r="C7574" s="3">
        <v>41439</v>
      </c>
      <c r="D7574" t="s">
        <v>25</v>
      </c>
      <c r="E7574">
        <v>6</v>
      </c>
      <c r="F7574" s="3">
        <f ca="1">41446+(RANDBETWEEN(1,10))</f>
        <v>41451</v>
      </c>
      <c r="G7574" t="s">
        <v>26</v>
      </c>
      <c r="H7574" t="s">
        <v>27</v>
      </c>
      <c r="I7574" t="s">
        <v>97</v>
      </c>
      <c r="J7574">
        <v>1069.7750000000001</v>
      </c>
      <c r="K7574">
        <v>0.09</v>
      </c>
      <c r="L7574">
        <v>0.36</v>
      </c>
      <c r="M7574">
        <v>17.010000000000002</v>
      </c>
      <c r="N7574">
        <v>738.14475000000004</v>
      </c>
      <c r="O7574" s="1" t="s">
        <v>53</v>
      </c>
      <c r="P7574" s="1" t="s">
        <v>14581</v>
      </c>
      <c r="Q7574" s="1" t="s">
        <v>14582</v>
      </c>
      <c r="R7574" s="1" t="s">
        <v>440</v>
      </c>
      <c r="S7574" s="1" t="s">
        <v>4911</v>
      </c>
      <c r="T7574" s="1" t="s">
        <v>4912</v>
      </c>
      <c r="U7574" s="2" t="s">
        <v>1690</v>
      </c>
      <c r="V7574" s="2" t="s">
        <v>47</v>
      </c>
      <c r="W7574" s="2" t="s">
        <v>74</v>
      </c>
      <c r="X7574" s="2">
        <v>195.93</v>
      </c>
    </row>
    <row r="7575" spans="1:24" x14ac:dyDescent="0.3">
      <c r="A7575">
        <v>25387</v>
      </c>
      <c r="B7575" t="s">
        <v>14583</v>
      </c>
      <c r="C7575" s="3">
        <v>41705</v>
      </c>
      <c r="D7575" t="s">
        <v>25</v>
      </c>
      <c r="E7575">
        <v>3</v>
      </c>
      <c r="F7575" s="3">
        <f ca="1">41710+(RANDBETWEEN(1,10))</f>
        <v>41713</v>
      </c>
      <c r="G7575" t="s">
        <v>26</v>
      </c>
      <c r="H7575" t="s">
        <v>96</v>
      </c>
      <c r="I7575" t="s">
        <v>28</v>
      </c>
      <c r="J7575">
        <v>61.424999999999997</v>
      </c>
      <c r="K7575">
        <v>0.09</v>
      </c>
      <c r="L7575">
        <v>0.56000000000000005</v>
      </c>
      <c r="M7575">
        <v>7.9450000000000003</v>
      </c>
      <c r="N7575">
        <v>-29.295000000000002</v>
      </c>
      <c r="O7575" s="1" t="s">
        <v>225</v>
      </c>
      <c r="P7575" s="1" t="s">
        <v>11019</v>
      </c>
      <c r="Q7575" s="1" t="s">
        <v>11020</v>
      </c>
      <c r="R7575" s="1" t="s">
        <v>228</v>
      </c>
      <c r="S7575" s="1" t="s">
        <v>11021</v>
      </c>
      <c r="T7575" s="1" t="s">
        <v>11022</v>
      </c>
      <c r="U7575" s="2" t="s">
        <v>212</v>
      </c>
      <c r="V7575" s="2" t="s">
        <v>47</v>
      </c>
      <c r="W7575" s="2" t="s">
        <v>104</v>
      </c>
      <c r="X7575" s="2">
        <v>20.475000000000001</v>
      </c>
    </row>
    <row r="7576" spans="1:24" x14ac:dyDescent="0.3">
      <c r="A7576">
        <v>25388</v>
      </c>
      <c r="B7576" t="s">
        <v>14583</v>
      </c>
      <c r="C7576" s="3">
        <v>41705</v>
      </c>
      <c r="D7576" t="s">
        <v>25</v>
      </c>
      <c r="E7576">
        <v>3</v>
      </c>
      <c r="F7576" s="3">
        <f ca="1">41714+(RANDBETWEEN(1,10))</f>
        <v>41720</v>
      </c>
      <c r="G7576" t="s">
        <v>26</v>
      </c>
      <c r="H7576" t="s">
        <v>27</v>
      </c>
      <c r="I7576" t="s">
        <v>28</v>
      </c>
      <c r="J7576">
        <v>727.68499999999995</v>
      </c>
      <c r="K7576">
        <v>7.0000000000000007E-2</v>
      </c>
      <c r="L7576">
        <v>0.59</v>
      </c>
      <c r="M7576">
        <v>12.25</v>
      </c>
      <c r="N7576">
        <v>340.76</v>
      </c>
      <c r="O7576" s="1" t="s">
        <v>87</v>
      </c>
      <c r="P7576" s="1" t="s">
        <v>14584</v>
      </c>
      <c r="Q7576" s="1" t="s">
        <v>14585</v>
      </c>
      <c r="R7576" s="1" t="s">
        <v>398</v>
      </c>
      <c r="S7576" s="1" t="s">
        <v>2691</v>
      </c>
      <c r="T7576" s="1" t="s">
        <v>2692</v>
      </c>
      <c r="U7576" s="2" t="s">
        <v>989</v>
      </c>
      <c r="V7576" s="2" t="s">
        <v>47</v>
      </c>
      <c r="W7576" s="2" t="s">
        <v>71</v>
      </c>
      <c r="X7576" s="2">
        <v>248.39500000000001</v>
      </c>
    </row>
    <row r="7577" spans="1:24" x14ac:dyDescent="0.3">
      <c r="A7577">
        <v>25389</v>
      </c>
      <c r="B7577" t="s">
        <v>14586</v>
      </c>
      <c r="C7577" s="3">
        <v>41282</v>
      </c>
      <c r="D7577" t="s">
        <v>25</v>
      </c>
      <c r="E7577">
        <v>8</v>
      </c>
      <c r="F7577" s="3">
        <f ca="1">41287+(RANDBETWEEN(1,10))</f>
        <v>41296</v>
      </c>
      <c r="G7577" t="s">
        <v>26</v>
      </c>
      <c r="H7577" t="s">
        <v>27</v>
      </c>
      <c r="I7577" t="s">
        <v>97</v>
      </c>
      <c r="J7577">
        <v>1447.81</v>
      </c>
      <c r="K7577">
        <v>0.09</v>
      </c>
      <c r="L7577">
        <v>0.56000000000000005</v>
      </c>
      <c r="M7577">
        <v>18.41</v>
      </c>
      <c r="N7577">
        <v>-480.42540000000002</v>
      </c>
      <c r="O7577" s="1" t="s">
        <v>40</v>
      </c>
      <c r="P7577" s="1" t="s">
        <v>14350</v>
      </c>
      <c r="Q7577" s="1" t="s">
        <v>14351</v>
      </c>
      <c r="R7577" s="1" t="s">
        <v>43</v>
      </c>
      <c r="S7577" s="1" t="s">
        <v>14352</v>
      </c>
      <c r="T7577" s="1" t="s">
        <v>14353</v>
      </c>
      <c r="U7577" s="2">
        <v>8860</v>
      </c>
      <c r="V7577" s="2" t="s">
        <v>36</v>
      </c>
      <c r="W7577" s="2" t="s">
        <v>37</v>
      </c>
      <c r="X7577" s="2">
        <v>230.965</v>
      </c>
    </row>
    <row r="7578" spans="1:24" x14ac:dyDescent="0.3">
      <c r="A7578">
        <v>25390</v>
      </c>
      <c r="B7578" t="s">
        <v>14587</v>
      </c>
      <c r="C7578" s="3">
        <v>41767</v>
      </c>
      <c r="D7578" t="s">
        <v>148</v>
      </c>
      <c r="E7578">
        <v>5</v>
      </c>
      <c r="F7578" s="3">
        <f ca="1">41768+(RANDBETWEEN(1,10))</f>
        <v>41769</v>
      </c>
      <c r="G7578" t="s">
        <v>26</v>
      </c>
      <c r="H7578" t="s">
        <v>27</v>
      </c>
      <c r="I7578" t="s">
        <v>28</v>
      </c>
      <c r="J7578">
        <v>2556.33</v>
      </c>
      <c r="K7578">
        <v>7.0000000000000007E-2</v>
      </c>
      <c r="L7578">
        <v>0.56999999999999995</v>
      </c>
      <c r="M7578">
        <v>31.465</v>
      </c>
      <c r="N7578">
        <v>-16.362500000000001</v>
      </c>
      <c r="O7578" s="1" t="s">
        <v>53</v>
      </c>
      <c r="P7578" s="1" t="s">
        <v>14233</v>
      </c>
      <c r="Q7578" s="1" t="s">
        <v>14234</v>
      </c>
      <c r="R7578" s="1" t="s">
        <v>100</v>
      </c>
      <c r="S7578" s="1" t="s">
        <v>14235</v>
      </c>
      <c r="T7578" s="1" t="s">
        <v>14236</v>
      </c>
      <c r="U7578" s="2">
        <v>2180</v>
      </c>
      <c r="V7578" s="2" t="s">
        <v>36</v>
      </c>
      <c r="W7578" s="2" t="s">
        <v>37</v>
      </c>
      <c r="X7578" s="2">
        <v>615.96500000000003</v>
      </c>
    </row>
    <row r="7579" spans="1:24" x14ac:dyDescent="0.3">
      <c r="A7579">
        <v>25391</v>
      </c>
      <c r="B7579" t="s">
        <v>14587</v>
      </c>
      <c r="C7579" s="3">
        <v>41767</v>
      </c>
      <c r="D7579" t="s">
        <v>148</v>
      </c>
      <c r="E7579">
        <v>1</v>
      </c>
      <c r="F7579" s="3">
        <f ca="1">41769+(RANDBETWEEN(1,10))</f>
        <v>41772</v>
      </c>
      <c r="G7579" t="s">
        <v>26</v>
      </c>
      <c r="H7579" t="s">
        <v>27</v>
      </c>
      <c r="I7579" t="s">
        <v>28</v>
      </c>
      <c r="J7579">
        <v>23.1</v>
      </c>
      <c r="K7579">
        <v>0.05</v>
      </c>
      <c r="L7579">
        <v>0.36</v>
      </c>
      <c r="M7579">
        <v>20.09</v>
      </c>
      <c r="N7579">
        <v>-57.83925</v>
      </c>
      <c r="O7579" s="1" t="s">
        <v>53</v>
      </c>
      <c r="P7579" s="1" t="s">
        <v>14588</v>
      </c>
      <c r="Q7579" s="1" t="s">
        <v>14589</v>
      </c>
      <c r="R7579" s="1" t="s">
        <v>56</v>
      </c>
      <c r="S7579" s="1" t="s">
        <v>14590</v>
      </c>
      <c r="T7579" s="1" t="s">
        <v>14591</v>
      </c>
      <c r="U7579" s="2" t="s">
        <v>1239</v>
      </c>
      <c r="V7579" s="2" t="s">
        <v>47</v>
      </c>
      <c r="W7579" s="2" t="s">
        <v>111</v>
      </c>
      <c r="X7579" s="2">
        <v>18.13</v>
      </c>
    </row>
    <row r="7580" spans="1:24" x14ac:dyDescent="0.3">
      <c r="A7580">
        <v>25392</v>
      </c>
      <c r="B7580" t="s">
        <v>14592</v>
      </c>
      <c r="C7580" s="3">
        <v>41557</v>
      </c>
      <c r="D7580" t="s">
        <v>148</v>
      </c>
      <c r="E7580">
        <v>2</v>
      </c>
      <c r="F7580" s="3">
        <f ca="1">41559+(RANDBETWEEN(1,10))</f>
        <v>41565</v>
      </c>
      <c r="G7580" t="s">
        <v>26</v>
      </c>
      <c r="H7580" t="s">
        <v>51</v>
      </c>
      <c r="I7580" t="s">
        <v>86</v>
      </c>
      <c r="J7580">
        <v>35.454999999999998</v>
      </c>
      <c r="K7580">
        <v>0.1</v>
      </c>
      <c r="L7580">
        <v>0.72</v>
      </c>
      <c r="M7580">
        <v>8.3650000000000002</v>
      </c>
      <c r="N7580">
        <v>-83.651399999999995</v>
      </c>
      <c r="O7580" s="1" t="s">
        <v>40</v>
      </c>
      <c r="P7580" s="1" t="s">
        <v>13609</v>
      </c>
      <c r="Q7580" s="1" t="s">
        <v>13610</v>
      </c>
      <c r="R7580" s="1" t="s">
        <v>220</v>
      </c>
      <c r="S7580" s="1" t="s">
        <v>13611</v>
      </c>
      <c r="T7580" s="1" t="s">
        <v>13612</v>
      </c>
      <c r="U7580" s="2" t="s">
        <v>4176</v>
      </c>
      <c r="V7580" s="2" t="s">
        <v>36</v>
      </c>
      <c r="W7580" s="2" t="s">
        <v>60</v>
      </c>
      <c r="X7580" s="2">
        <v>16.695</v>
      </c>
    </row>
    <row r="7581" spans="1:24" x14ac:dyDescent="0.3">
      <c r="A7581">
        <v>25393</v>
      </c>
      <c r="B7581" t="s">
        <v>14592</v>
      </c>
      <c r="C7581" s="3">
        <v>41557</v>
      </c>
      <c r="D7581" t="s">
        <v>148</v>
      </c>
      <c r="E7581">
        <v>11</v>
      </c>
      <c r="F7581" s="3">
        <f ca="1">41559+(RANDBETWEEN(1,10))</f>
        <v>41564</v>
      </c>
      <c r="G7581" t="s">
        <v>26</v>
      </c>
      <c r="H7581" t="s">
        <v>96</v>
      </c>
      <c r="I7581" t="s">
        <v>86</v>
      </c>
      <c r="J7581">
        <v>92.084999999999994</v>
      </c>
      <c r="K7581">
        <v>0.01</v>
      </c>
      <c r="L7581">
        <v>0.57999999999999996</v>
      </c>
      <c r="M7581">
        <v>3.92</v>
      </c>
      <c r="N7581">
        <v>-17.539200000000001</v>
      </c>
      <c r="O7581" s="1" t="s">
        <v>40</v>
      </c>
      <c r="P7581" s="1" t="s">
        <v>13609</v>
      </c>
      <c r="Q7581" s="1" t="s">
        <v>13610</v>
      </c>
      <c r="R7581" s="1" t="s">
        <v>220</v>
      </c>
      <c r="S7581" s="1" t="s">
        <v>13611</v>
      </c>
      <c r="T7581" s="1" t="s">
        <v>13612</v>
      </c>
      <c r="U7581" s="2" t="s">
        <v>6368</v>
      </c>
      <c r="V7581" s="2" t="s">
        <v>47</v>
      </c>
      <c r="W7581" s="2" t="s">
        <v>104</v>
      </c>
      <c r="X7581" s="2">
        <v>7.7350000000000003</v>
      </c>
    </row>
    <row r="7582" spans="1:24" x14ac:dyDescent="0.3">
      <c r="A7582">
        <v>25394</v>
      </c>
      <c r="B7582" t="s">
        <v>14593</v>
      </c>
      <c r="C7582" s="3">
        <v>41879</v>
      </c>
      <c r="D7582" t="s">
        <v>39</v>
      </c>
      <c r="E7582">
        <v>23</v>
      </c>
      <c r="F7582" s="3">
        <f ca="1">41881+(RANDBETWEEN(1,10))</f>
        <v>41889</v>
      </c>
      <c r="G7582" t="s">
        <v>26</v>
      </c>
      <c r="H7582" t="s">
        <v>27</v>
      </c>
      <c r="I7582" t="s">
        <v>97</v>
      </c>
      <c r="J7582">
        <v>1714.02</v>
      </c>
      <c r="K7582">
        <v>0.01</v>
      </c>
      <c r="L7582">
        <v>0.38</v>
      </c>
      <c r="M7582">
        <v>20.51</v>
      </c>
      <c r="N7582">
        <v>-8048.9849999999997</v>
      </c>
      <c r="O7582" s="1" t="s">
        <v>29</v>
      </c>
      <c r="P7582" s="1" t="s">
        <v>14594</v>
      </c>
      <c r="Q7582" s="1" t="s">
        <v>14595</v>
      </c>
      <c r="R7582" s="1" t="s">
        <v>675</v>
      </c>
      <c r="S7582" s="1" t="s">
        <v>3846</v>
      </c>
      <c r="T7582" s="1" t="s">
        <v>14596</v>
      </c>
      <c r="U7582" s="2" t="s">
        <v>5113</v>
      </c>
      <c r="V7582" s="2" t="s">
        <v>47</v>
      </c>
      <c r="W7582" s="2" t="s">
        <v>74</v>
      </c>
      <c r="X7582" s="2">
        <v>69.930000000000007</v>
      </c>
    </row>
    <row r="7583" spans="1:24" x14ac:dyDescent="0.3">
      <c r="A7583">
        <v>25395</v>
      </c>
      <c r="B7583" t="s">
        <v>14597</v>
      </c>
      <c r="C7583" s="3">
        <v>41849</v>
      </c>
      <c r="D7583" t="s">
        <v>39</v>
      </c>
      <c r="E7583">
        <v>1</v>
      </c>
      <c r="F7583" s="3">
        <f ca="1">41851+(RANDBETWEEN(1,10))</f>
        <v>41861</v>
      </c>
      <c r="G7583" t="s">
        <v>76</v>
      </c>
      <c r="H7583" t="s">
        <v>77</v>
      </c>
      <c r="I7583" t="s">
        <v>28</v>
      </c>
      <c r="J7583">
        <v>131.6</v>
      </c>
      <c r="K7583">
        <v>0.06</v>
      </c>
      <c r="L7583">
        <v>0.78</v>
      </c>
      <c r="M7583">
        <v>185.60499999999999</v>
      </c>
      <c r="N7583">
        <v>-661.99980000000005</v>
      </c>
      <c r="O7583" s="1" t="s">
        <v>29</v>
      </c>
      <c r="P7583" s="1" t="s">
        <v>14144</v>
      </c>
      <c r="Q7583" s="1" t="s">
        <v>14145</v>
      </c>
      <c r="R7583" s="1" t="s">
        <v>460</v>
      </c>
      <c r="S7583" s="1" t="s">
        <v>3701</v>
      </c>
      <c r="T7583" s="1" t="s">
        <v>3702</v>
      </c>
      <c r="U7583" s="2" t="s">
        <v>583</v>
      </c>
      <c r="V7583" s="2" t="s">
        <v>47</v>
      </c>
      <c r="W7583" s="2" t="s">
        <v>119</v>
      </c>
      <c r="X7583" s="2">
        <v>73.430000000000007</v>
      </c>
    </row>
    <row r="7584" spans="1:24" x14ac:dyDescent="0.3">
      <c r="A7584">
        <v>25396</v>
      </c>
      <c r="B7584" t="s">
        <v>14598</v>
      </c>
      <c r="C7584" s="3">
        <v>41829</v>
      </c>
      <c r="D7584" t="s">
        <v>25</v>
      </c>
      <c r="E7584">
        <v>12</v>
      </c>
      <c r="F7584" s="3">
        <f ca="1">41836+(RANDBETWEEN(1,10))</f>
        <v>41840</v>
      </c>
      <c r="G7584" t="s">
        <v>156</v>
      </c>
      <c r="H7584" t="s">
        <v>27</v>
      </c>
      <c r="I7584" t="s">
        <v>28</v>
      </c>
      <c r="J7584">
        <v>1286.74</v>
      </c>
      <c r="K7584">
        <v>0.02</v>
      </c>
      <c r="L7584">
        <v>0.38</v>
      </c>
      <c r="M7584">
        <v>5.2149999999999999</v>
      </c>
      <c r="N7584">
        <v>887.85059999999999</v>
      </c>
      <c r="O7584" s="1" t="s">
        <v>53</v>
      </c>
      <c r="P7584" s="1" t="s">
        <v>14599</v>
      </c>
      <c r="Q7584" s="1" t="s">
        <v>14600</v>
      </c>
      <c r="R7584" s="1" t="s">
        <v>440</v>
      </c>
      <c r="S7584" s="1" t="s">
        <v>6312</v>
      </c>
      <c r="T7584" s="1" t="s">
        <v>6313</v>
      </c>
      <c r="U7584" s="2" t="s">
        <v>301</v>
      </c>
      <c r="V7584" s="2" t="s">
        <v>47</v>
      </c>
      <c r="W7584" s="2" t="s">
        <v>111</v>
      </c>
      <c r="X7584" s="2">
        <v>99.855000000000004</v>
      </c>
    </row>
    <row r="7585" spans="1:24" x14ac:dyDescent="0.3">
      <c r="A7585">
        <v>25397</v>
      </c>
      <c r="B7585" t="s">
        <v>14601</v>
      </c>
      <c r="C7585" s="3">
        <v>41540</v>
      </c>
      <c r="D7585" t="s">
        <v>50</v>
      </c>
      <c r="E7585">
        <v>3</v>
      </c>
      <c r="F7585" s="3">
        <f ca="1">41542+(RANDBETWEEN(1,10))</f>
        <v>41544</v>
      </c>
      <c r="G7585" t="s">
        <v>26</v>
      </c>
      <c r="H7585" t="s">
        <v>27</v>
      </c>
      <c r="I7585" t="s">
        <v>97</v>
      </c>
      <c r="J7585">
        <v>331.17</v>
      </c>
      <c r="K7585">
        <v>0</v>
      </c>
      <c r="L7585">
        <v>0.74</v>
      </c>
      <c r="M7585">
        <v>14</v>
      </c>
      <c r="N7585">
        <v>75.683999999999997</v>
      </c>
      <c r="O7585" s="1" t="s">
        <v>87</v>
      </c>
      <c r="P7585" s="1" t="s">
        <v>14602</v>
      </c>
      <c r="Q7585" s="1" t="s">
        <v>14603</v>
      </c>
      <c r="R7585" s="1" t="s">
        <v>497</v>
      </c>
      <c r="S7585" s="1" t="s">
        <v>6489</v>
      </c>
      <c r="T7585" s="1" t="s">
        <v>6490</v>
      </c>
      <c r="U7585" s="2" t="s">
        <v>2704</v>
      </c>
      <c r="V7585" s="2" t="s">
        <v>36</v>
      </c>
      <c r="W7585" s="2" t="s">
        <v>60</v>
      </c>
      <c r="X7585" s="2">
        <v>108.395</v>
      </c>
    </row>
    <row r="7586" spans="1:24" x14ac:dyDescent="0.3">
      <c r="A7586">
        <v>25398</v>
      </c>
      <c r="B7586" t="s">
        <v>14601</v>
      </c>
      <c r="C7586" s="3">
        <v>41540</v>
      </c>
      <c r="D7586" t="s">
        <v>50</v>
      </c>
      <c r="E7586">
        <v>20</v>
      </c>
      <c r="F7586" s="3">
        <f ca="1">41542+(RANDBETWEEN(1,10))</f>
        <v>41548</v>
      </c>
      <c r="G7586" t="s">
        <v>26</v>
      </c>
      <c r="H7586" t="s">
        <v>51</v>
      </c>
      <c r="I7586" t="s">
        <v>97</v>
      </c>
      <c r="J7586">
        <v>1289.365</v>
      </c>
      <c r="K7586">
        <v>0</v>
      </c>
      <c r="L7586">
        <v>0.47</v>
      </c>
      <c r="M7586">
        <v>31.465</v>
      </c>
      <c r="N7586">
        <v>-273.322</v>
      </c>
      <c r="O7586" s="1" t="s">
        <v>87</v>
      </c>
      <c r="P7586" s="1" t="s">
        <v>14602</v>
      </c>
      <c r="Q7586" s="1" t="s">
        <v>14603</v>
      </c>
      <c r="R7586" s="1" t="s">
        <v>497</v>
      </c>
      <c r="S7586" s="1" t="s">
        <v>6489</v>
      </c>
      <c r="T7586" s="1" t="s">
        <v>6490</v>
      </c>
      <c r="U7586" s="2" t="s">
        <v>1320</v>
      </c>
      <c r="V7586" s="2" t="s">
        <v>83</v>
      </c>
      <c r="W7586" s="2" t="s">
        <v>178</v>
      </c>
      <c r="X7586" s="2">
        <v>61.844999999999999</v>
      </c>
    </row>
    <row r="7587" spans="1:24" x14ac:dyDescent="0.3">
      <c r="A7587">
        <v>25399</v>
      </c>
      <c r="B7587" t="s">
        <v>14601</v>
      </c>
      <c r="C7587" s="3">
        <v>41540</v>
      </c>
      <c r="D7587" t="s">
        <v>50</v>
      </c>
      <c r="E7587">
        <v>18</v>
      </c>
      <c r="F7587" s="3">
        <f ca="1">41540+(RANDBETWEEN(1,10))</f>
        <v>41550</v>
      </c>
      <c r="G7587" t="s">
        <v>26</v>
      </c>
      <c r="H7587" t="s">
        <v>96</v>
      </c>
      <c r="I7587" t="s">
        <v>97</v>
      </c>
      <c r="J7587">
        <v>342.47500000000002</v>
      </c>
      <c r="K7587">
        <v>0.08</v>
      </c>
      <c r="L7587">
        <v>0.54</v>
      </c>
      <c r="M7587">
        <v>11.795</v>
      </c>
      <c r="N7587">
        <v>-179.375</v>
      </c>
      <c r="O7587" s="1" t="s">
        <v>87</v>
      </c>
      <c r="P7587" s="1" t="s">
        <v>12199</v>
      </c>
      <c r="Q7587" s="1" t="s">
        <v>12200</v>
      </c>
      <c r="R7587" s="1" t="s">
        <v>398</v>
      </c>
      <c r="S7587" s="1" t="s">
        <v>12201</v>
      </c>
      <c r="T7587" s="1" t="s">
        <v>12202</v>
      </c>
      <c r="U7587" s="2" t="s">
        <v>665</v>
      </c>
      <c r="V7587" s="2" t="s">
        <v>47</v>
      </c>
      <c r="W7587" s="2" t="s">
        <v>176</v>
      </c>
      <c r="X7587" s="2">
        <v>20.335000000000001</v>
      </c>
    </row>
    <row r="7588" spans="1:24" x14ac:dyDescent="0.3">
      <c r="A7588">
        <v>25400</v>
      </c>
      <c r="B7588" t="s">
        <v>14604</v>
      </c>
      <c r="C7588" s="3">
        <v>41221</v>
      </c>
      <c r="D7588" t="s">
        <v>50</v>
      </c>
      <c r="E7588">
        <v>12</v>
      </c>
      <c r="F7588" s="3">
        <f ca="1">41222+(RANDBETWEEN(1,10))</f>
        <v>41232</v>
      </c>
      <c r="G7588" t="s">
        <v>156</v>
      </c>
      <c r="H7588" t="s">
        <v>27</v>
      </c>
      <c r="I7588" t="s">
        <v>97</v>
      </c>
      <c r="J7588">
        <v>376.63499999999999</v>
      </c>
      <c r="K7588">
        <v>0.03</v>
      </c>
      <c r="L7588">
        <v>0.35</v>
      </c>
      <c r="M7588">
        <v>21.56</v>
      </c>
      <c r="N7588">
        <v>11.02045</v>
      </c>
      <c r="O7588" s="1" t="s">
        <v>29</v>
      </c>
      <c r="P7588" s="1" t="s">
        <v>11508</v>
      </c>
      <c r="Q7588" s="1" t="s">
        <v>11509</v>
      </c>
      <c r="R7588" s="1" t="s">
        <v>32</v>
      </c>
      <c r="S7588" s="1" t="s">
        <v>11510</v>
      </c>
      <c r="T7588" s="1" t="s">
        <v>11511</v>
      </c>
      <c r="U7588" s="2" t="s">
        <v>3717</v>
      </c>
      <c r="V7588" s="2" t="s">
        <v>47</v>
      </c>
      <c r="W7588" s="2" t="s">
        <v>111</v>
      </c>
      <c r="X7588" s="2">
        <v>26.88</v>
      </c>
    </row>
    <row r="7589" spans="1:24" x14ac:dyDescent="0.3">
      <c r="A7589">
        <v>25401</v>
      </c>
      <c r="B7589" t="s">
        <v>14605</v>
      </c>
      <c r="C7589" s="3">
        <v>41094</v>
      </c>
      <c r="D7589" t="s">
        <v>39</v>
      </c>
      <c r="E7589">
        <v>14</v>
      </c>
      <c r="F7589" s="3">
        <f ca="1">41094+(RANDBETWEEN(1,10))</f>
        <v>41101</v>
      </c>
      <c r="G7589" t="s">
        <v>26</v>
      </c>
      <c r="H7589" t="s">
        <v>281</v>
      </c>
      <c r="I7589" t="s">
        <v>86</v>
      </c>
      <c r="J7589">
        <v>6070.9250000000002</v>
      </c>
      <c r="K7589">
        <v>0.09</v>
      </c>
      <c r="L7589">
        <v>0.38</v>
      </c>
      <c r="M7589">
        <v>48.965000000000003</v>
      </c>
      <c r="N7589">
        <v>4188.9382500000002</v>
      </c>
      <c r="O7589" s="1" t="s">
        <v>87</v>
      </c>
      <c r="P7589" s="1" t="s">
        <v>11495</v>
      </c>
      <c r="Q7589" s="1" t="s">
        <v>11496</v>
      </c>
      <c r="R7589" s="1" t="s">
        <v>90</v>
      </c>
      <c r="S7589" s="1" t="s">
        <v>4145</v>
      </c>
      <c r="T7589" s="1" t="s">
        <v>4146</v>
      </c>
      <c r="U7589" s="2" t="s">
        <v>480</v>
      </c>
      <c r="V7589" s="2" t="s">
        <v>36</v>
      </c>
      <c r="W7589" s="2" t="s">
        <v>142</v>
      </c>
      <c r="X7589" s="2">
        <v>528.42999999999995</v>
      </c>
    </row>
    <row r="7590" spans="1:24" x14ac:dyDescent="0.3">
      <c r="A7590">
        <v>25402</v>
      </c>
      <c r="B7590" t="s">
        <v>14606</v>
      </c>
      <c r="C7590" s="3">
        <v>41192</v>
      </c>
      <c r="D7590" t="s">
        <v>50</v>
      </c>
      <c r="E7590">
        <v>6</v>
      </c>
      <c r="F7590" s="3">
        <f ca="1">41193+(RANDBETWEEN(1,10))</f>
        <v>41202</v>
      </c>
      <c r="G7590" t="s">
        <v>26</v>
      </c>
      <c r="H7590" t="s">
        <v>96</v>
      </c>
      <c r="I7590" t="s">
        <v>86</v>
      </c>
      <c r="J7590">
        <v>42.14</v>
      </c>
      <c r="K7590">
        <v>0.1</v>
      </c>
      <c r="L7590">
        <v>0.82</v>
      </c>
      <c r="M7590">
        <v>9.0299999999999994</v>
      </c>
      <c r="N7590">
        <v>-103.1562</v>
      </c>
      <c r="O7590" s="1" t="s">
        <v>29</v>
      </c>
      <c r="P7590" s="1" t="s">
        <v>4692</v>
      </c>
      <c r="Q7590" s="1" t="s">
        <v>4693</v>
      </c>
      <c r="R7590" s="1" t="s">
        <v>460</v>
      </c>
      <c r="S7590" s="1" t="s">
        <v>4694</v>
      </c>
      <c r="T7590" s="1" t="s">
        <v>4695</v>
      </c>
      <c r="U7590" s="2" t="s">
        <v>456</v>
      </c>
      <c r="V7590" s="2" t="s">
        <v>47</v>
      </c>
      <c r="W7590" s="2" t="s">
        <v>176</v>
      </c>
      <c r="X7590" s="2">
        <v>6.51</v>
      </c>
    </row>
    <row r="7591" spans="1:24" x14ac:dyDescent="0.3">
      <c r="A7591">
        <v>25403</v>
      </c>
      <c r="B7591" t="s">
        <v>14607</v>
      </c>
      <c r="C7591" s="3">
        <v>41545</v>
      </c>
      <c r="D7591" t="s">
        <v>39</v>
      </c>
      <c r="E7591">
        <v>10</v>
      </c>
      <c r="F7591" s="3">
        <f ca="1">41545+(RANDBETWEEN(1,10))</f>
        <v>41551</v>
      </c>
      <c r="G7591" t="s">
        <v>156</v>
      </c>
      <c r="H7591" t="s">
        <v>27</v>
      </c>
      <c r="I7591" t="s">
        <v>28</v>
      </c>
      <c r="J7591">
        <v>1043.98</v>
      </c>
      <c r="K7591">
        <v>0.04</v>
      </c>
      <c r="L7591">
        <v>0.51</v>
      </c>
      <c r="M7591">
        <v>19.25</v>
      </c>
      <c r="N7591">
        <v>212.45</v>
      </c>
      <c r="O7591" s="1" t="s">
        <v>40</v>
      </c>
      <c r="P7591" s="1" t="s">
        <v>13425</v>
      </c>
      <c r="Q7591" s="1" t="s">
        <v>13426</v>
      </c>
      <c r="R7591" s="1" t="s">
        <v>43</v>
      </c>
      <c r="S7591" s="1" t="s">
        <v>13427</v>
      </c>
      <c r="T7591" s="1" t="s">
        <v>13428</v>
      </c>
      <c r="U7591" s="2" t="s">
        <v>2603</v>
      </c>
      <c r="V7591" s="2" t="s">
        <v>36</v>
      </c>
      <c r="W7591" s="2" t="s">
        <v>60</v>
      </c>
      <c r="X7591" s="2">
        <v>104.965</v>
      </c>
    </row>
    <row r="7592" spans="1:24" x14ac:dyDescent="0.3">
      <c r="A7592">
        <v>25404</v>
      </c>
      <c r="B7592" t="s">
        <v>14608</v>
      </c>
      <c r="C7592" s="3">
        <v>41238</v>
      </c>
      <c r="D7592" t="s">
        <v>148</v>
      </c>
      <c r="E7592">
        <v>24</v>
      </c>
      <c r="F7592" s="3">
        <f ca="1">41240+(RANDBETWEEN(1,10))</f>
        <v>41245</v>
      </c>
      <c r="G7592" t="s">
        <v>26</v>
      </c>
      <c r="H7592" t="s">
        <v>51</v>
      </c>
      <c r="I7592" t="s">
        <v>52</v>
      </c>
      <c r="J7592">
        <v>2002.665</v>
      </c>
      <c r="K7592">
        <v>0</v>
      </c>
      <c r="L7592">
        <v>0.55000000000000004</v>
      </c>
      <c r="M7592">
        <v>10.045</v>
      </c>
      <c r="N7592">
        <v>1381.8388500000001</v>
      </c>
      <c r="O7592" s="1" t="s">
        <v>87</v>
      </c>
      <c r="P7592" s="1" t="s">
        <v>3748</v>
      </c>
      <c r="Q7592" s="1" t="s">
        <v>3749</v>
      </c>
      <c r="R7592" s="1" t="s">
        <v>90</v>
      </c>
      <c r="S7592" s="1" t="s">
        <v>1474</v>
      </c>
      <c r="T7592" s="1" t="s">
        <v>1475</v>
      </c>
      <c r="U7592" s="2" t="s">
        <v>2051</v>
      </c>
      <c r="V7592" s="2" t="s">
        <v>47</v>
      </c>
      <c r="W7592" s="2" t="s">
        <v>104</v>
      </c>
      <c r="X7592" s="2">
        <v>76.930000000000007</v>
      </c>
    </row>
    <row r="7593" spans="1:24" x14ac:dyDescent="0.3">
      <c r="A7593">
        <v>25405</v>
      </c>
      <c r="B7593" t="s">
        <v>14609</v>
      </c>
      <c r="C7593" s="3">
        <v>41632</v>
      </c>
      <c r="D7593" t="s">
        <v>148</v>
      </c>
      <c r="E7593">
        <v>4</v>
      </c>
      <c r="F7593" s="3">
        <f ca="1">41633+(RANDBETWEEN(1,10))</f>
        <v>41635</v>
      </c>
      <c r="G7593" t="s">
        <v>26</v>
      </c>
      <c r="H7593" t="s">
        <v>27</v>
      </c>
      <c r="I7593" t="s">
        <v>52</v>
      </c>
      <c r="J7593">
        <v>556.18499999999995</v>
      </c>
      <c r="K7593">
        <v>0.02</v>
      </c>
      <c r="L7593">
        <v>0.56999999999999995</v>
      </c>
      <c r="M7593">
        <v>45.15</v>
      </c>
      <c r="N7593">
        <v>-57.907499999999999</v>
      </c>
      <c r="O7593" s="1" t="s">
        <v>40</v>
      </c>
      <c r="P7593" s="1" t="s">
        <v>11787</v>
      </c>
      <c r="Q7593" s="1" t="s">
        <v>11788</v>
      </c>
      <c r="R7593" s="1" t="s">
        <v>220</v>
      </c>
      <c r="S7593" s="1" t="s">
        <v>11789</v>
      </c>
      <c r="T7593" s="1" t="s">
        <v>11790</v>
      </c>
      <c r="U7593" s="2" t="s">
        <v>4567</v>
      </c>
      <c r="V7593" s="2" t="s">
        <v>47</v>
      </c>
      <c r="W7593" s="2" t="s">
        <v>119</v>
      </c>
      <c r="X7593" s="2">
        <v>132.16</v>
      </c>
    </row>
    <row r="7594" spans="1:24" x14ac:dyDescent="0.3">
      <c r="A7594">
        <v>25406</v>
      </c>
      <c r="B7594" t="s">
        <v>14610</v>
      </c>
      <c r="C7594" s="3">
        <v>41657</v>
      </c>
      <c r="D7594" t="s">
        <v>62</v>
      </c>
      <c r="E7594">
        <v>9</v>
      </c>
      <c r="F7594" s="3">
        <f ca="1">41659+(RANDBETWEEN(1,10))</f>
        <v>41660</v>
      </c>
      <c r="G7594" t="s">
        <v>26</v>
      </c>
      <c r="H7594" t="s">
        <v>27</v>
      </c>
      <c r="I7594" t="s">
        <v>28</v>
      </c>
      <c r="J7594">
        <v>5841.6750000000002</v>
      </c>
      <c r="K7594">
        <v>0.08</v>
      </c>
      <c r="L7594">
        <v>0.71</v>
      </c>
      <c r="M7594">
        <v>69.965000000000003</v>
      </c>
      <c r="N7594">
        <v>1382.0029999999999</v>
      </c>
      <c r="O7594" s="1" t="s">
        <v>53</v>
      </c>
      <c r="P7594" s="1" t="s">
        <v>14611</v>
      </c>
      <c r="Q7594" s="1" t="s">
        <v>14612</v>
      </c>
      <c r="R7594" s="1" t="s">
        <v>56</v>
      </c>
      <c r="S7594" s="1" t="s">
        <v>13908</v>
      </c>
      <c r="T7594" s="1" t="s">
        <v>13909</v>
      </c>
      <c r="U7594" s="2" t="s">
        <v>624</v>
      </c>
      <c r="V7594" s="2" t="s">
        <v>47</v>
      </c>
      <c r="W7594" s="2" t="s">
        <v>119</v>
      </c>
      <c r="X7594" s="2">
        <v>676.09500000000003</v>
      </c>
    </row>
    <row r="7595" spans="1:24" x14ac:dyDescent="0.3">
      <c r="A7595">
        <v>25407</v>
      </c>
      <c r="B7595" t="s">
        <v>14613</v>
      </c>
      <c r="C7595" s="3">
        <v>41010</v>
      </c>
      <c r="D7595" t="s">
        <v>39</v>
      </c>
      <c r="E7595">
        <v>2</v>
      </c>
      <c r="F7595" s="3">
        <f ca="1">41010+(RANDBETWEEN(1,10))</f>
        <v>41016</v>
      </c>
      <c r="G7595" t="s">
        <v>26</v>
      </c>
      <c r="H7595" t="s">
        <v>96</v>
      </c>
      <c r="I7595" t="s">
        <v>97</v>
      </c>
      <c r="J7595">
        <v>26.39</v>
      </c>
      <c r="K7595">
        <v>0.04</v>
      </c>
      <c r="L7595">
        <v>0.56000000000000005</v>
      </c>
      <c r="M7595">
        <v>13.895</v>
      </c>
      <c r="N7595">
        <v>-79.94</v>
      </c>
      <c r="O7595" s="1" t="s">
        <v>53</v>
      </c>
      <c r="P7595" s="1" t="s">
        <v>10843</v>
      </c>
      <c r="Q7595" s="1" t="s">
        <v>10844</v>
      </c>
      <c r="R7595" s="1" t="s">
        <v>440</v>
      </c>
      <c r="S7595" s="1" t="s">
        <v>10845</v>
      </c>
      <c r="T7595" s="1" t="s">
        <v>10846</v>
      </c>
      <c r="U7595" s="2" t="s">
        <v>4166</v>
      </c>
      <c r="V7595" s="2" t="s">
        <v>47</v>
      </c>
      <c r="W7595" s="2" t="s">
        <v>104</v>
      </c>
      <c r="X7595" s="2">
        <v>11.48</v>
      </c>
    </row>
    <row r="7596" spans="1:24" x14ac:dyDescent="0.3">
      <c r="A7596">
        <v>25408</v>
      </c>
      <c r="B7596" t="s">
        <v>14613</v>
      </c>
      <c r="C7596" s="3">
        <v>41010</v>
      </c>
      <c r="D7596" t="s">
        <v>39</v>
      </c>
      <c r="E7596">
        <v>6</v>
      </c>
      <c r="F7596" s="3">
        <f ca="1">41011+(RANDBETWEEN(1,10))</f>
        <v>41015</v>
      </c>
      <c r="G7596" t="s">
        <v>26</v>
      </c>
      <c r="H7596" t="s">
        <v>51</v>
      </c>
      <c r="I7596" t="s">
        <v>97</v>
      </c>
      <c r="J7596">
        <v>973.21</v>
      </c>
      <c r="K7596">
        <v>0.1</v>
      </c>
      <c r="L7596">
        <v>0.83</v>
      </c>
      <c r="M7596">
        <v>8.75</v>
      </c>
      <c r="N7596">
        <v>-543.54300000000001</v>
      </c>
      <c r="O7596" s="1" t="s">
        <v>53</v>
      </c>
      <c r="P7596" s="1" t="s">
        <v>14614</v>
      </c>
      <c r="Q7596" s="1" t="s">
        <v>14615</v>
      </c>
      <c r="R7596" s="1" t="s">
        <v>56</v>
      </c>
      <c r="S7596" s="1" t="s">
        <v>5118</v>
      </c>
      <c r="T7596" s="1" t="s">
        <v>5119</v>
      </c>
      <c r="U7596" s="2" t="s">
        <v>3513</v>
      </c>
      <c r="V7596" s="2" t="s">
        <v>36</v>
      </c>
      <c r="W7596" s="2" t="s">
        <v>37</v>
      </c>
      <c r="X7596" s="2">
        <v>195.965</v>
      </c>
    </row>
    <row r="7597" spans="1:24" x14ac:dyDescent="0.3">
      <c r="A7597">
        <v>25409</v>
      </c>
      <c r="B7597" t="s">
        <v>14616</v>
      </c>
      <c r="C7597" s="3">
        <v>40768</v>
      </c>
      <c r="D7597" t="s">
        <v>39</v>
      </c>
      <c r="E7597">
        <v>7</v>
      </c>
      <c r="F7597" s="3">
        <f ca="1">40769+(RANDBETWEEN(1,10))</f>
        <v>40771</v>
      </c>
      <c r="G7597" t="s">
        <v>76</v>
      </c>
      <c r="H7597" t="s">
        <v>258</v>
      </c>
      <c r="I7597" t="s">
        <v>52</v>
      </c>
      <c r="J7597">
        <v>3132.08</v>
      </c>
      <c r="K7597">
        <v>0.03</v>
      </c>
      <c r="L7597">
        <v>0.63</v>
      </c>
      <c r="M7597">
        <v>181.79</v>
      </c>
      <c r="N7597">
        <v>-14.063000000000001</v>
      </c>
      <c r="O7597" s="1" t="s">
        <v>40</v>
      </c>
      <c r="P7597" s="1" t="s">
        <v>14350</v>
      </c>
      <c r="Q7597" s="1" t="s">
        <v>14351</v>
      </c>
      <c r="R7597" s="1" t="s">
        <v>43</v>
      </c>
      <c r="S7597" s="1" t="s">
        <v>14352</v>
      </c>
      <c r="T7597" s="1" t="s">
        <v>14353</v>
      </c>
      <c r="U7597" s="2" t="s">
        <v>360</v>
      </c>
      <c r="V7597" s="2" t="s">
        <v>83</v>
      </c>
      <c r="W7597" s="2" t="s">
        <v>263</v>
      </c>
      <c r="X7597" s="2">
        <v>435.71499999999997</v>
      </c>
    </row>
    <row r="7598" spans="1:24" x14ac:dyDescent="0.3">
      <c r="A7598">
        <v>25410</v>
      </c>
      <c r="B7598" t="s">
        <v>14617</v>
      </c>
      <c r="C7598" s="3">
        <v>41321</v>
      </c>
      <c r="D7598" t="s">
        <v>25</v>
      </c>
      <c r="E7598">
        <v>5</v>
      </c>
      <c r="F7598" s="3">
        <f ca="1">41323+(RANDBETWEEN(1,10))</f>
        <v>41328</v>
      </c>
      <c r="G7598" t="s">
        <v>26</v>
      </c>
      <c r="H7598" t="s">
        <v>51</v>
      </c>
      <c r="I7598" t="s">
        <v>28</v>
      </c>
      <c r="J7598">
        <v>127.155</v>
      </c>
      <c r="K7598">
        <v>0.09</v>
      </c>
      <c r="L7598">
        <v>0.69</v>
      </c>
      <c r="M7598">
        <v>19.355</v>
      </c>
      <c r="N7598">
        <v>-351.71499999999997</v>
      </c>
      <c r="O7598" s="1" t="s">
        <v>53</v>
      </c>
      <c r="P7598" s="1" t="s">
        <v>5540</v>
      </c>
      <c r="Q7598" s="1" t="s">
        <v>5541</v>
      </c>
      <c r="R7598" s="1" t="s">
        <v>440</v>
      </c>
      <c r="S7598" s="1" t="s">
        <v>4083</v>
      </c>
      <c r="T7598" s="1" t="s">
        <v>3397</v>
      </c>
      <c r="U7598" s="2" t="s">
        <v>3244</v>
      </c>
      <c r="V7598" s="2" t="s">
        <v>36</v>
      </c>
      <c r="W7598" s="2" t="s">
        <v>60</v>
      </c>
      <c r="X7598" s="2">
        <v>25.795000000000002</v>
      </c>
    </row>
    <row r="7599" spans="1:24" x14ac:dyDescent="0.3">
      <c r="A7599">
        <v>25411</v>
      </c>
      <c r="B7599" t="s">
        <v>14618</v>
      </c>
      <c r="C7599" s="3">
        <v>41707</v>
      </c>
      <c r="D7599" t="s">
        <v>50</v>
      </c>
      <c r="E7599">
        <v>5</v>
      </c>
      <c r="F7599" s="3">
        <f ca="1">41709+(RANDBETWEEN(1,10))</f>
        <v>41716</v>
      </c>
      <c r="G7599" t="s">
        <v>26</v>
      </c>
      <c r="H7599" t="s">
        <v>63</v>
      </c>
      <c r="I7599" t="s">
        <v>28</v>
      </c>
      <c r="J7599">
        <v>98.77</v>
      </c>
      <c r="K7599">
        <v>0.03</v>
      </c>
      <c r="L7599">
        <v>0.56000000000000005</v>
      </c>
      <c r="M7599">
        <v>171.5</v>
      </c>
      <c r="N7599">
        <v>-3320.4850000000001</v>
      </c>
      <c r="O7599" s="1" t="s">
        <v>53</v>
      </c>
      <c r="P7599" s="1" t="s">
        <v>13942</v>
      </c>
      <c r="Q7599" s="1" t="s">
        <v>13943</v>
      </c>
      <c r="R7599" s="1" t="s">
        <v>56</v>
      </c>
      <c r="S7599" s="1" t="s">
        <v>2222</v>
      </c>
      <c r="T7599" s="1" t="s">
        <v>2223</v>
      </c>
      <c r="U7599" s="2" t="s">
        <v>4554</v>
      </c>
      <c r="V7599" s="2" t="s">
        <v>47</v>
      </c>
      <c r="W7599" s="2" t="s">
        <v>71</v>
      </c>
      <c r="X7599" s="2">
        <v>11.375</v>
      </c>
    </row>
    <row r="7600" spans="1:24" x14ac:dyDescent="0.3">
      <c r="A7600">
        <v>25412</v>
      </c>
      <c r="B7600" t="s">
        <v>14619</v>
      </c>
      <c r="C7600" s="3">
        <v>41204</v>
      </c>
      <c r="D7600" t="s">
        <v>39</v>
      </c>
      <c r="E7600">
        <v>4</v>
      </c>
      <c r="F7600" s="3">
        <f ca="1">41206+(RANDBETWEEN(1,10))</f>
        <v>41213</v>
      </c>
      <c r="G7600" t="s">
        <v>156</v>
      </c>
      <c r="H7600" t="s">
        <v>96</v>
      </c>
      <c r="I7600" t="s">
        <v>97</v>
      </c>
      <c r="J7600">
        <v>75.075000000000003</v>
      </c>
      <c r="K7600">
        <v>0.09</v>
      </c>
      <c r="L7600">
        <v>0.36</v>
      </c>
      <c r="M7600">
        <v>7.14</v>
      </c>
      <c r="N7600">
        <v>8.8872</v>
      </c>
      <c r="O7600" s="1" t="s">
        <v>40</v>
      </c>
      <c r="P7600" s="1" t="s">
        <v>13166</v>
      </c>
      <c r="Q7600" s="1" t="s">
        <v>13167</v>
      </c>
      <c r="R7600" s="1" t="s">
        <v>43</v>
      </c>
      <c r="S7600" s="1" t="s">
        <v>13168</v>
      </c>
      <c r="T7600" s="1" t="s">
        <v>13169</v>
      </c>
      <c r="U7600" s="2" t="s">
        <v>204</v>
      </c>
      <c r="V7600" s="2" t="s">
        <v>47</v>
      </c>
      <c r="W7600" s="2" t="s">
        <v>74</v>
      </c>
      <c r="X7600" s="2">
        <v>18.13</v>
      </c>
    </row>
    <row r="7601" spans="1:24" x14ac:dyDescent="0.3">
      <c r="A7601">
        <v>25413</v>
      </c>
      <c r="B7601" t="s">
        <v>14619</v>
      </c>
      <c r="C7601" s="3">
        <v>41204</v>
      </c>
      <c r="D7601" t="s">
        <v>39</v>
      </c>
      <c r="E7601">
        <v>3</v>
      </c>
      <c r="F7601" s="3">
        <f ca="1">41205+(RANDBETWEEN(1,10))</f>
        <v>41211</v>
      </c>
      <c r="G7601" t="s">
        <v>76</v>
      </c>
      <c r="H7601" t="s">
        <v>258</v>
      </c>
      <c r="I7601" t="s">
        <v>97</v>
      </c>
      <c r="J7601">
        <v>3007.27</v>
      </c>
      <c r="K7601">
        <v>0</v>
      </c>
      <c r="L7601">
        <v>0.65</v>
      </c>
      <c r="M7601">
        <v>233.345</v>
      </c>
      <c r="N7601">
        <v>-727.61976000000004</v>
      </c>
      <c r="O7601" s="1" t="s">
        <v>40</v>
      </c>
      <c r="P7601" s="1" t="s">
        <v>13166</v>
      </c>
      <c r="Q7601" s="1" t="s">
        <v>13167</v>
      </c>
      <c r="R7601" s="1" t="s">
        <v>43</v>
      </c>
      <c r="S7601" s="1" t="s">
        <v>13168</v>
      </c>
      <c r="T7601" s="1" t="s">
        <v>13169</v>
      </c>
      <c r="U7601" s="2" t="s">
        <v>4031</v>
      </c>
      <c r="V7601" s="2" t="s">
        <v>83</v>
      </c>
      <c r="W7601" s="2" t="s">
        <v>263</v>
      </c>
      <c r="X7601" s="2">
        <v>908.98500000000001</v>
      </c>
    </row>
    <row r="7602" spans="1:24" x14ac:dyDescent="0.3">
      <c r="A7602">
        <v>25414</v>
      </c>
      <c r="B7602" t="s">
        <v>14619</v>
      </c>
      <c r="C7602" s="3">
        <v>41204</v>
      </c>
      <c r="D7602" t="s">
        <v>39</v>
      </c>
      <c r="E7602">
        <v>11</v>
      </c>
      <c r="F7602" s="3">
        <f ca="1">41207+(RANDBETWEEN(1,10))</f>
        <v>41213</v>
      </c>
      <c r="G7602" t="s">
        <v>26</v>
      </c>
      <c r="H7602" t="s">
        <v>27</v>
      </c>
      <c r="I7602" t="s">
        <v>97</v>
      </c>
      <c r="J7602">
        <v>14309.295</v>
      </c>
      <c r="K7602">
        <v>0</v>
      </c>
      <c r="L7602">
        <v>0.4</v>
      </c>
      <c r="M7602">
        <v>69.965000000000003</v>
      </c>
      <c r="N7602">
        <v>9873.4135499999993</v>
      </c>
      <c r="O7602" s="1" t="s">
        <v>29</v>
      </c>
      <c r="P7602" s="1" t="s">
        <v>14620</v>
      </c>
      <c r="Q7602" s="1" t="s">
        <v>14621</v>
      </c>
      <c r="R7602" s="1" t="s">
        <v>675</v>
      </c>
      <c r="S7602" s="1" t="s">
        <v>3453</v>
      </c>
      <c r="T7602" s="1" t="s">
        <v>3454</v>
      </c>
      <c r="U7602" s="2" t="s">
        <v>8382</v>
      </c>
      <c r="V7602" s="2" t="s">
        <v>47</v>
      </c>
      <c r="W7602" s="2" t="s">
        <v>111</v>
      </c>
      <c r="X7602" s="2">
        <v>1287.9649999999999</v>
      </c>
    </row>
    <row r="7603" spans="1:24" x14ac:dyDescent="0.3">
      <c r="A7603">
        <v>25415</v>
      </c>
      <c r="B7603" t="s">
        <v>14619</v>
      </c>
      <c r="C7603" s="3">
        <v>41204</v>
      </c>
      <c r="D7603" t="s">
        <v>39</v>
      </c>
      <c r="E7603">
        <v>22</v>
      </c>
      <c r="F7603" s="3">
        <f ca="1">41207+(RANDBETWEEN(1,10))</f>
        <v>41216</v>
      </c>
      <c r="G7603" t="s">
        <v>26</v>
      </c>
      <c r="H7603" t="s">
        <v>27</v>
      </c>
      <c r="I7603" t="s">
        <v>97</v>
      </c>
      <c r="J7603">
        <v>296.52</v>
      </c>
      <c r="K7603">
        <v>7.0000000000000007E-2</v>
      </c>
      <c r="L7603">
        <v>0.39</v>
      </c>
      <c r="M7603">
        <v>1.75</v>
      </c>
      <c r="N7603">
        <v>204.59880000000001</v>
      </c>
      <c r="O7603" s="1" t="s">
        <v>29</v>
      </c>
      <c r="P7603" s="1" t="s">
        <v>14620</v>
      </c>
      <c r="Q7603" s="1" t="s">
        <v>14621</v>
      </c>
      <c r="R7603" s="1" t="s">
        <v>675</v>
      </c>
      <c r="S7603" s="1" t="s">
        <v>3453</v>
      </c>
      <c r="T7603" s="1" t="s">
        <v>3454</v>
      </c>
      <c r="U7603" s="2" t="s">
        <v>1889</v>
      </c>
      <c r="V7603" s="2" t="s">
        <v>47</v>
      </c>
      <c r="W7603" s="2" t="s">
        <v>203</v>
      </c>
      <c r="X7603" s="2">
        <v>14.455</v>
      </c>
    </row>
    <row r="7604" spans="1:24" x14ac:dyDescent="0.3">
      <c r="A7604">
        <v>25416</v>
      </c>
      <c r="B7604" t="s">
        <v>14619</v>
      </c>
      <c r="C7604" s="3">
        <v>41204</v>
      </c>
      <c r="D7604" t="s">
        <v>39</v>
      </c>
      <c r="E7604">
        <v>16</v>
      </c>
      <c r="F7604" s="3">
        <f ca="1">41206+(RANDBETWEEN(1,10))</f>
        <v>41214</v>
      </c>
      <c r="G7604" t="s">
        <v>76</v>
      </c>
      <c r="H7604" t="s">
        <v>258</v>
      </c>
      <c r="I7604" t="s">
        <v>97</v>
      </c>
      <c r="J7604">
        <v>22335.67</v>
      </c>
      <c r="K7604">
        <v>0.03</v>
      </c>
      <c r="L7604">
        <v>0.6</v>
      </c>
      <c r="M7604">
        <v>267.29500000000002</v>
      </c>
      <c r="N7604">
        <v>-3663.0028225000001</v>
      </c>
      <c r="O7604" s="1" t="s">
        <v>29</v>
      </c>
      <c r="P7604" s="1" t="s">
        <v>14620</v>
      </c>
      <c r="Q7604" s="1" t="s">
        <v>14621</v>
      </c>
      <c r="R7604" s="1" t="s">
        <v>675</v>
      </c>
      <c r="S7604" s="1" t="s">
        <v>3453</v>
      </c>
      <c r="T7604" s="1" t="s">
        <v>3454</v>
      </c>
      <c r="U7604" s="2" t="s">
        <v>2984</v>
      </c>
      <c r="V7604" s="2" t="s">
        <v>83</v>
      </c>
      <c r="W7604" s="2" t="s">
        <v>263</v>
      </c>
      <c r="X7604" s="2">
        <v>1403.43</v>
      </c>
    </row>
    <row r="7605" spans="1:24" x14ac:dyDescent="0.3">
      <c r="A7605">
        <v>25417</v>
      </c>
      <c r="B7605" t="s">
        <v>14622</v>
      </c>
      <c r="C7605" s="3">
        <v>40777</v>
      </c>
      <c r="D7605" t="s">
        <v>148</v>
      </c>
      <c r="E7605">
        <v>18</v>
      </c>
      <c r="F7605" s="3">
        <f ca="1">40779+(RANDBETWEEN(1,10))</f>
        <v>40781</v>
      </c>
      <c r="G7605" t="s">
        <v>26</v>
      </c>
      <c r="H7605" t="s">
        <v>27</v>
      </c>
      <c r="I7605" t="s">
        <v>97</v>
      </c>
      <c r="J7605">
        <v>3238.165</v>
      </c>
      <c r="K7605">
        <v>0</v>
      </c>
      <c r="L7605">
        <v>0.37</v>
      </c>
      <c r="M7605">
        <v>20.51</v>
      </c>
      <c r="N7605">
        <v>2234.33385</v>
      </c>
      <c r="O7605" s="1" t="s">
        <v>40</v>
      </c>
      <c r="P7605" s="1" t="s">
        <v>14254</v>
      </c>
      <c r="Q7605" s="1" t="s">
        <v>14255</v>
      </c>
      <c r="R7605" s="1" t="s">
        <v>220</v>
      </c>
      <c r="S7605" s="1" t="s">
        <v>959</v>
      </c>
      <c r="T7605" s="1" t="s">
        <v>960</v>
      </c>
      <c r="U7605" s="2" t="s">
        <v>2008</v>
      </c>
      <c r="V7605" s="2" t="s">
        <v>47</v>
      </c>
      <c r="W7605" s="2" t="s">
        <v>74</v>
      </c>
      <c r="X7605" s="2">
        <v>167.65</v>
      </c>
    </row>
    <row r="7606" spans="1:24" x14ac:dyDescent="0.3">
      <c r="A7606">
        <v>25418</v>
      </c>
      <c r="B7606" t="s">
        <v>14623</v>
      </c>
      <c r="C7606" s="3">
        <v>41414</v>
      </c>
      <c r="D7606" t="s">
        <v>39</v>
      </c>
      <c r="E7606">
        <v>6</v>
      </c>
      <c r="F7606" s="3">
        <f ca="1">41416+(RANDBETWEEN(1,10))</f>
        <v>41423</v>
      </c>
      <c r="G7606" t="s">
        <v>26</v>
      </c>
      <c r="H7606" t="s">
        <v>27</v>
      </c>
      <c r="I7606" t="s">
        <v>97</v>
      </c>
      <c r="J7606">
        <v>132.755</v>
      </c>
      <c r="K7606">
        <v>0</v>
      </c>
      <c r="L7606">
        <v>0.36</v>
      </c>
      <c r="M7606">
        <v>19.11</v>
      </c>
      <c r="N7606">
        <v>-114.17</v>
      </c>
      <c r="O7606" s="1" t="s">
        <v>53</v>
      </c>
      <c r="P7606" s="1" t="s">
        <v>14624</v>
      </c>
      <c r="Q7606" s="1" t="s">
        <v>14625</v>
      </c>
      <c r="R7606" s="1" t="s">
        <v>100</v>
      </c>
      <c r="S7606" s="1" t="s">
        <v>14626</v>
      </c>
      <c r="T7606" s="1" t="s">
        <v>14627</v>
      </c>
      <c r="U7606" s="2" t="s">
        <v>7070</v>
      </c>
      <c r="V7606" s="2" t="s">
        <v>47</v>
      </c>
      <c r="W7606" s="2" t="s">
        <v>74</v>
      </c>
      <c r="X7606" s="2">
        <v>20.93</v>
      </c>
    </row>
    <row r="7607" spans="1:24" x14ac:dyDescent="0.3">
      <c r="A7607">
        <v>25419</v>
      </c>
      <c r="B7607" t="s">
        <v>14628</v>
      </c>
      <c r="C7607" s="3">
        <v>41372</v>
      </c>
      <c r="D7607" t="s">
        <v>39</v>
      </c>
      <c r="E7607">
        <v>12</v>
      </c>
      <c r="F7607" s="3">
        <f ca="1">41373+(RANDBETWEEN(1,10))</f>
        <v>41381</v>
      </c>
      <c r="G7607" t="s">
        <v>156</v>
      </c>
      <c r="H7607" t="s">
        <v>27</v>
      </c>
      <c r="I7607" t="s">
        <v>86</v>
      </c>
      <c r="J7607">
        <v>685.16</v>
      </c>
      <c r="K7607">
        <v>0.04</v>
      </c>
      <c r="L7607">
        <v>0.49</v>
      </c>
      <c r="M7607">
        <v>32.9</v>
      </c>
      <c r="N7607">
        <v>-315.49245000000002</v>
      </c>
      <c r="O7607" s="1" t="s">
        <v>225</v>
      </c>
      <c r="P7607" s="1" t="s">
        <v>11542</v>
      </c>
      <c r="Q7607" s="1" t="s">
        <v>11543</v>
      </c>
      <c r="R7607" s="1" t="s">
        <v>228</v>
      </c>
      <c r="S7607" s="1" t="s">
        <v>11544</v>
      </c>
      <c r="T7607" s="1" t="s">
        <v>11545</v>
      </c>
      <c r="U7607" s="2" t="s">
        <v>942</v>
      </c>
      <c r="V7607" s="2" t="s">
        <v>36</v>
      </c>
      <c r="W7607" s="2" t="s">
        <v>142</v>
      </c>
      <c r="X7607" s="2">
        <v>55.965000000000003</v>
      </c>
    </row>
    <row r="7608" spans="1:24" x14ac:dyDescent="0.3">
      <c r="A7608">
        <v>25420</v>
      </c>
      <c r="B7608" t="s">
        <v>14628</v>
      </c>
      <c r="C7608" s="3">
        <v>41372</v>
      </c>
      <c r="D7608" t="s">
        <v>39</v>
      </c>
      <c r="E7608">
        <v>5</v>
      </c>
      <c r="F7608" s="3">
        <f ca="1">41373+(RANDBETWEEN(1,10))</f>
        <v>41381</v>
      </c>
      <c r="G7608" t="s">
        <v>26</v>
      </c>
      <c r="H7608" t="s">
        <v>96</v>
      </c>
      <c r="I7608" t="s">
        <v>86</v>
      </c>
      <c r="J7608">
        <v>49.664999999999999</v>
      </c>
      <c r="K7608">
        <v>0.05</v>
      </c>
      <c r="L7608">
        <v>0.59</v>
      </c>
      <c r="M7608">
        <v>4.375</v>
      </c>
      <c r="N7608">
        <v>-22.855</v>
      </c>
      <c r="O7608" s="1" t="s">
        <v>225</v>
      </c>
      <c r="P7608" s="1" t="s">
        <v>11542</v>
      </c>
      <c r="Q7608" s="1" t="s">
        <v>11543</v>
      </c>
      <c r="R7608" s="1" t="s">
        <v>228</v>
      </c>
      <c r="S7608" s="1" t="s">
        <v>11544</v>
      </c>
      <c r="T7608" s="1" t="s">
        <v>11545</v>
      </c>
      <c r="U7608" s="2" t="s">
        <v>2386</v>
      </c>
      <c r="V7608" s="2" t="s">
        <v>47</v>
      </c>
      <c r="W7608" s="2" t="s">
        <v>104</v>
      </c>
      <c r="X7608" s="2">
        <v>9.73</v>
      </c>
    </row>
    <row r="7609" spans="1:24" x14ac:dyDescent="0.3">
      <c r="A7609">
        <v>25421</v>
      </c>
      <c r="B7609" t="s">
        <v>14628</v>
      </c>
      <c r="C7609" s="3">
        <v>41372</v>
      </c>
      <c r="D7609" t="s">
        <v>39</v>
      </c>
      <c r="E7609">
        <v>2</v>
      </c>
      <c r="F7609" s="3">
        <f ca="1">41373+(RANDBETWEEN(1,10))</f>
        <v>41375</v>
      </c>
      <c r="G7609" t="s">
        <v>26</v>
      </c>
      <c r="H7609" t="s">
        <v>96</v>
      </c>
      <c r="I7609" t="s">
        <v>86</v>
      </c>
      <c r="J7609">
        <v>46.935000000000002</v>
      </c>
      <c r="K7609">
        <v>0.02</v>
      </c>
      <c r="L7609">
        <v>0.4</v>
      </c>
      <c r="M7609">
        <v>4.2699999999999996</v>
      </c>
      <c r="N7609">
        <v>25.69</v>
      </c>
      <c r="O7609" s="1" t="s">
        <v>225</v>
      </c>
      <c r="P7609" s="1" t="s">
        <v>11542</v>
      </c>
      <c r="Q7609" s="1" t="s">
        <v>11543</v>
      </c>
      <c r="R7609" s="1" t="s">
        <v>228</v>
      </c>
      <c r="S7609" s="1" t="s">
        <v>11544</v>
      </c>
      <c r="T7609" s="1" t="s">
        <v>11545</v>
      </c>
      <c r="U7609" s="2" t="s">
        <v>5296</v>
      </c>
      <c r="V7609" s="2" t="s">
        <v>47</v>
      </c>
      <c r="W7609" s="2" t="s">
        <v>104</v>
      </c>
      <c r="X7609" s="2">
        <v>22.645</v>
      </c>
    </row>
    <row r="7610" spans="1:24" x14ac:dyDescent="0.3">
      <c r="A7610">
        <v>25422</v>
      </c>
      <c r="B7610" t="s">
        <v>14628</v>
      </c>
      <c r="C7610" s="3">
        <v>41372</v>
      </c>
      <c r="D7610" t="s">
        <v>39</v>
      </c>
      <c r="E7610">
        <v>6</v>
      </c>
      <c r="F7610" s="3">
        <f ca="1">41373+(RANDBETWEEN(1,10))</f>
        <v>41379</v>
      </c>
      <c r="G7610" t="s">
        <v>26</v>
      </c>
      <c r="H7610" t="s">
        <v>96</v>
      </c>
      <c r="I7610" t="s">
        <v>86</v>
      </c>
      <c r="J7610">
        <v>81.900000000000006</v>
      </c>
      <c r="K7610">
        <v>0.03</v>
      </c>
      <c r="L7610">
        <v>0.39</v>
      </c>
      <c r="M7610">
        <v>3.4649999999999999</v>
      </c>
      <c r="N7610">
        <v>56.511000000000003</v>
      </c>
      <c r="O7610" s="1" t="s">
        <v>225</v>
      </c>
      <c r="P7610" s="1" t="s">
        <v>11542</v>
      </c>
      <c r="Q7610" s="1" t="s">
        <v>11543</v>
      </c>
      <c r="R7610" s="1" t="s">
        <v>228</v>
      </c>
      <c r="S7610" s="1" t="s">
        <v>11544</v>
      </c>
      <c r="T7610" s="1" t="s">
        <v>11545</v>
      </c>
      <c r="U7610" s="2" t="s">
        <v>175</v>
      </c>
      <c r="V7610" s="2" t="s">
        <v>47</v>
      </c>
      <c r="W7610" s="2" t="s">
        <v>176</v>
      </c>
      <c r="X7610" s="2">
        <v>13.755000000000001</v>
      </c>
    </row>
    <row r="7611" spans="1:24" x14ac:dyDescent="0.3">
      <c r="A7611">
        <v>25423</v>
      </c>
      <c r="B7611" t="s">
        <v>14629</v>
      </c>
      <c r="C7611" s="3">
        <v>41586</v>
      </c>
      <c r="D7611" t="s">
        <v>25</v>
      </c>
      <c r="E7611">
        <v>14</v>
      </c>
      <c r="F7611" s="3">
        <f ca="1">41590+(RANDBETWEEN(1,10))</f>
        <v>41592</v>
      </c>
      <c r="G7611" t="s">
        <v>26</v>
      </c>
      <c r="H7611" t="s">
        <v>27</v>
      </c>
      <c r="I7611" t="s">
        <v>28</v>
      </c>
      <c r="J7611">
        <v>419.51</v>
      </c>
      <c r="K7611">
        <v>0.04</v>
      </c>
      <c r="L7611">
        <v>0.38</v>
      </c>
      <c r="M7611">
        <v>4.8650000000000002</v>
      </c>
      <c r="N7611">
        <v>289.46190000000001</v>
      </c>
      <c r="O7611" s="1" t="s">
        <v>225</v>
      </c>
      <c r="P7611" s="1" t="s">
        <v>14630</v>
      </c>
      <c r="Q7611" s="1" t="s">
        <v>14631</v>
      </c>
      <c r="R7611" s="1" t="s">
        <v>391</v>
      </c>
      <c r="S7611" s="1" t="s">
        <v>713</v>
      </c>
      <c r="T7611" s="1" t="s">
        <v>14632</v>
      </c>
      <c r="U7611" s="2" t="s">
        <v>1682</v>
      </c>
      <c r="V7611" s="2" t="s">
        <v>47</v>
      </c>
      <c r="W7611" s="2" t="s">
        <v>48</v>
      </c>
      <c r="X7611" s="2">
        <v>30.59</v>
      </c>
    </row>
    <row r="7612" spans="1:24" x14ac:dyDescent="0.3">
      <c r="A7612">
        <v>25424</v>
      </c>
      <c r="B7612" t="s">
        <v>14629</v>
      </c>
      <c r="C7612" s="3">
        <v>41586</v>
      </c>
      <c r="D7612" t="s">
        <v>25</v>
      </c>
      <c r="E7612">
        <v>33</v>
      </c>
      <c r="F7612" s="3">
        <f ca="1">41591+(RANDBETWEEN(1,10))</f>
        <v>41599</v>
      </c>
      <c r="G7612" t="s">
        <v>26</v>
      </c>
      <c r="H7612" t="s">
        <v>27</v>
      </c>
      <c r="I7612" t="s">
        <v>28</v>
      </c>
      <c r="J7612">
        <v>666.85500000000002</v>
      </c>
      <c r="K7612">
        <v>0.1</v>
      </c>
      <c r="L7612">
        <v>0.36</v>
      </c>
      <c r="M7612">
        <v>28.315000000000001</v>
      </c>
      <c r="N7612">
        <v>128.13499999999999</v>
      </c>
      <c r="O7612" s="1" t="s">
        <v>225</v>
      </c>
      <c r="P7612" s="1" t="s">
        <v>14630</v>
      </c>
      <c r="Q7612" s="1" t="s">
        <v>14631</v>
      </c>
      <c r="R7612" s="1" t="s">
        <v>391</v>
      </c>
      <c r="S7612" s="1" t="s">
        <v>713</v>
      </c>
      <c r="T7612" s="1" t="s">
        <v>14632</v>
      </c>
      <c r="U7612" s="2" t="s">
        <v>1749</v>
      </c>
      <c r="V7612" s="2" t="s">
        <v>47</v>
      </c>
      <c r="W7612" s="2" t="s">
        <v>74</v>
      </c>
      <c r="X7612" s="2">
        <v>20.23</v>
      </c>
    </row>
    <row r="7613" spans="1:24" x14ac:dyDescent="0.3">
      <c r="A7613">
        <v>25425</v>
      </c>
      <c r="B7613" t="s">
        <v>14629</v>
      </c>
      <c r="C7613" s="3">
        <v>41586</v>
      </c>
      <c r="D7613" t="s">
        <v>25</v>
      </c>
      <c r="E7613">
        <v>20</v>
      </c>
      <c r="F7613" s="3">
        <f ca="1">41586+(RANDBETWEEN(1,10))</f>
        <v>41588</v>
      </c>
      <c r="G7613" t="s">
        <v>26</v>
      </c>
      <c r="H7613" t="s">
        <v>51</v>
      </c>
      <c r="I7613" t="s">
        <v>28</v>
      </c>
      <c r="J7613">
        <v>3243.8</v>
      </c>
      <c r="K7613">
        <v>0.09</v>
      </c>
      <c r="L7613">
        <v>0.59</v>
      </c>
      <c r="M7613">
        <v>11.55</v>
      </c>
      <c r="N7613">
        <v>1084.1985</v>
      </c>
      <c r="O7613" s="1" t="s">
        <v>225</v>
      </c>
      <c r="P7613" s="1" t="s">
        <v>14630</v>
      </c>
      <c r="Q7613" s="1" t="s">
        <v>14631</v>
      </c>
      <c r="R7613" s="1" t="s">
        <v>391</v>
      </c>
      <c r="S7613" s="1" t="s">
        <v>713</v>
      </c>
      <c r="T7613" s="1" t="s">
        <v>14632</v>
      </c>
      <c r="U7613" s="2" t="s">
        <v>3769</v>
      </c>
      <c r="V7613" s="2" t="s">
        <v>36</v>
      </c>
      <c r="W7613" s="2" t="s">
        <v>37</v>
      </c>
      <c r="X7613" s="2">
        <v>195.965</v>
      </c>
    </row>
    <row r="7614" spans="1:24" x14ac:dyDescent="0.3">
      <c r="A7614">
        <v>25426</v>
      </c>
      <c r="B7614" t="s">
        <v>14629</v>
      </c>
      <c r="C7614" s="3">
        <v>41586</v>
      </c>
      <c r="D7614" t="s">
        <v>25</v>
      </c>
      <c r="E7614">
        <v>34</v>
      </c>
      <c r="F7614" s="3">
        <f ca="1">41586+(RANDBETWEEN(1,10))</f>
        <v>41589</v>
      </c>
      <c r="G7614" t="s">
        <v>26</v>
      </c>
      <c r="H7614" t="s">
        <v>51</v>
      </c>
      <c r="I7614" t="s">
        <v>28</v>
      </c>
      <c r="J7614">
        <v>5550.125</v>
      </c>
      <c r="K7614">
        <v>0.02</v>
      </c>
      <c r="L7614">
        <v>0.35</v>
      </c>
      <c r="M7614">
        <v>4.375</v>
      </c>
      <c r="N7614">
        <v>3829.5862499999998</v>
      </c>
      <c r="O7614" s="1" t="s">
        <v>225</v>
      </c>
      <c r="P7614" s="1" t="s">
        <v>14630</v>
      </c>
      <c r="Q7614" s="1" t="s">
        <v>14631</v>
      </c>
      <c r="R7614" s="1" t="s">
        <v>391</v>
      </c>
      <c r="S7614" s="1" t="s">
        <v>713</v>
      </c>
      <c r="T7614" s="1" t="s">
        <v>14632</v>
      </c>
      <c r="U7614" s="2" t="s">
        <v>2368</v>
      </c>
      <c r="V7614" s="2" t="s">
        <v>36</v>
      </c>
      <c r="W7614" s="2" t="s">
        <v>37</v>
      </c>
      <c r="X7614" s="2">
        <v>195.965</v>
      </c>
    </row>
    <row r="7615" spans="1:24" x14ac:dyDescent="0.3">
      <c r="A7615">
        <v>25427</v>
      </c>
      <c r="B7615" t="s">
        <v>14633</v>
      </c>
      <c r="C7615" s="3">
        <v>41771</v>
      </c>
      <c r="D7615" t="s">
        <v>25</v>
      </c>
      <c r="E7615">
        <v>1</v>
      </c>
      <c r="F7615" s="3">
        <f ca="1">41776+(RANDBETWEEN(1,10))</f>
        <v>41784</v>
      </c>
      <c r="G7615" t="s">
        <v>26</v>
      </c>
      <c r="H7615" t="s">
        <v>27</v>
      </c>
      <c r="I7615" t="s">
        <v>97</v>
      </c>
      <c r="J7615">
        <v>30.59</v>
      </c>
      <c r="K7615">
        <v>0</v>
      </c>
      <c r="L7615">
        <v>0.37</v>
      </c>
      <c r="M7615">
        <v>23.1</v>
      </c>
      <c r="N7615">
        <v>-48.02</v>
      </c>
      <c r="O7615" s="1" t="s">
        <v>225</v>
      </c>
      <c r="P7615" s="1" t="s">
        <v>8076</v>
      </c>
      <c r="Q7615" s="1" t="s">
        <v>8077</v>
      </c>
      <c r="R7615" s="1" t="s">
        <v>391</v>
      </c>
      <c r="S7615" s="1" t="s">
        <v>3376</v>
      </c>
      <c r="T7615" s="1" t="s">
        <v>3377</v>
      </c>
      <c r="U7615" s="2" t="s">
        <v>241</v>
      </c>
      <c r="V7615" s="2" t="s">
        <v>47</v>
      </c>
      <c r="W7615" s="2" t="s">
        <v>74</v>
      </c>
      <c r="X7615" s="2">
        <v>22.68</v>
      </c>
    </row>
    <row r="7616" spans="1:24" x14ac:dyDescent="0.3">
      <c r="A7616">
        <v>25428</v>
      </c>
      <c r="B7616" t="s">
        <v>14634</v>
      </c>
      <c r="C7616" s="3">
        <v>41877</v>
      </c>
      <c r="D7616" t="s">
        <v>25</v>
      </c>
      <c r="E7616">
        <v>22</v>
      </c>
      <c r="F7616" s="3">
        <f ca="1">41884+(RANDBETWEEN(1,10))</f>
        <v>41886</v>
      </c>
      <c r="G7616" t="s">
        <v>156</v>
      </c>
      <c r="H7616" t="s">
        <v>27</v>
      </c>
      <c r="I7616" t="s">
        <v>52</v>
      </c>
      <c r="J7616">
        <v>368.30500000000001</v>
      </c>
      <c r="K7616">
        <v>0.03</v>
      </c>
      <c r="L7616">
        <v>0.39</v>
      </c>
      <c r="M7616">
        <v>5.2149999999999999</v>
      </c>
      <c r="N7616">
        <v>254.13045</v>
      </c>
      <c r="O7616" s="1" t="s">
        <v>29</v>
      </c>
      <c r="P7616" s="1" t="s">
        <v>13618</v>
      </c>
      <c r="Q7616" s="1" t="s">
        <v>13619</v>
      </c>
      <c r="R7616" s="1" t="s">
        <v>32</v>
      </c>
      <c r="S7616" s="1" t="s">
        <v>1051</v>
      </c>
      <c r="T7616" s="1" t="s">
        <v>1052</v>
      </c>
      <c r="U7616" s="2" t="s">
        <v>11173</v>
      </c>
      <c r="V7616" s="2" t="s">
        <v>47</v>
      </c>
      <c r="W7616" s="2" t="s">
        <v>111</v>
      </c>
      <c r="X7616" s="2">
        <v>15.715</v>
      </c>
    </row>
    <row r="7617" spans="1:24" x14ac:dyDescent="0.3">
      <c r="A7617">
        <v>25429</v>
      </c>
      <c r="B7617" t="s">
        <v>14635</v>
      </c>
      <c r="C7617" s="3">
        <v>41482</v>
      </c>
      <c r="D7617" t="s">
        <v>62</v>
      </c>
      <c r="E7617">
        <v>7</v>
      </c>
      <c r="F7617" s="3">
        <f ca="1">41483+(RANDBETWEEN(1,10))</f>
        <v>41485</v>
      </c>
      <c r="G7617" t="s">
        <v>26</v>
      </c>
      <c r="H7617" t="s">
        <v>27</v>
      </c>
      <c r="I7617" t="s">
        <v>28</v>
      </c>
      <c r="J7617">
        <v>112.875</v>
      </c>
      <c r="K7617">
        <v>0.08</v>
      </c>
      <c r="L7617">
        <v>0.36</v>
      </c>
      <c r="M7617">
        <v>1.75</v>
      </c>
      <c r="N7617">
        <v>77.883750000000006</v>
      </c>
      <c r="O7617" s="1" t="s">
        <v>87</v>
      </c>
      <c r="P7617" s="1" t="s">
        <v>14636</v>
      </c>
      <c r="Q7617" s="1" t="s">
        <v>14637</v>
      </c>
      <c r="R7617" s="1" t="s">
        <v>90</v>
      </c>
      <c r="S7617" s="1" t="s">
        <v>653</v>
      </c>
      <c r="T7617" s="1" t="s">
        <v>654</v>
      </c>
      <c r="U7617" s="2" t="s">
        <v>2281</v>
      </c>
      <c r="V7617" s="2" t="s">
        <v>47</v>
      </c>
      <c r="W7617" s="2" t="s">
        <v>203</v>
      </c>
      <c r="X7617" s="2">
        <v>17.184999999999999</v>
      </c>
    </row>
    <row r="7618" spans="1:24" x14ac:dyDescent="0.3">
      <c r="A7618">
        <v>25430</v>
      </c>
      <c r="B7618" t="s">
        <v>14638</v>
      </c>
      <c r="C7618" s="3">
        <v>40999</v>
      </c>
      <c r="D7618" t="s">
        <v>62</v>
      </c>
      <c r="E7618">
        <v>11</v>
      </c>
      <c r="F7618" s="3">
        <f ca="1">41000+(RANDBETWEEN(1,10))</f>
        <v>41010</v>
      </c>
      <c r="G7618" t="s">
        <v>26</v>
      </c>
      <c r="H7618" t="s">
        <v>63</v>
      </c>
      <c r="I7618" t="s">
        <v>28</v>
      </c>
      <c r="J7618">
        <v>5018.8249999999998</v>
      </c>
      <c r="K7618">
        <v>0.08</v>
      </c>
      <c r="L7618">
        <v>0.59</v>
      </c>
      <c r="M7618">
        <v>85.715000000000003</v>
      </c>
      <c r="N7618">
        <v>2898.9450000000002</v>
      </c>
      <c r="O7618" s="1" t="s">
        <v>87</v>
      </c>
      <c r="P7618" s="1" t="s">
        <v>5737</v>
      </c>
      <c r="Q7618" s="1" t="s">
        <v>5738</v>
      </c>
      <c r="R7618" s="1" t="s">
        <v>90</v>
      </c>
      <c r="S7618" s="1" t="s">
        <v>5739</v>
      </c>
      <c r="T7618" s="1" t="s">
        <v>5740</v>
      </c>
      <c r="U7618" s="2" t="s">
        <v>1632</v>
      </c>
      <c r="V7618" s="2" t="s">
        <v>83</v>
      </c>
      <c r="W7618" s="2" t="s">
        <v>178</v>
      </c>
      <c r="X7618" s="2">
        <v>479.43</v>
      </c>
    </row>
    <row r="7619" spans="1:24" x14ac:dyDescent="0.3">
      <c r="A7619">
        <v>25431</v>
      </c>
      <c r="B7619" t="s">
        <v>14639</v>
      </c>
      <c r="C7619" s="3">
        <v>41713</v>
      </c>
      <c r="D7619" t="s">
        <v>50</v>
      </c>
      <c r="E7619">
        <v>2</v>
      </c>
      <c r="F7619" s="3">
        <f ca="1">41713+(RANDBETWEEN(1,10))</f>
        <v>41718</v>
      </c>
      <c r="G7619" t="s">
        <v>26</v>
      </c>
      <c r="H7619" t="s">
        <v>27</v>
      </c>
      <c r="I7619" t="s">
        <v>52</v>
      </c>
      <c r="J7619">
        <v>29.225000000000001</v>
      </c>
      <c r="K7619">
        <v>0.03</v>
      </c>
      <c r="L7619">
        <v>0.4</v>
      </c>
      <c r="M7619">
        <v>21.945</v>
      </c>
      <c r="N7619">
        <v>-124.292</v>
      </c>
      <c r="O7619" s="1" t="s">
        <v>225</v>
      </c>
      <c r="P7619" s="1" t="s">
        <v>8818</v>
      </c>
      <c r="Q7619" s="1" t="s">
        <v>8819</v>
      </c>
      <c r="R7619" s="1" t="s">
        <v>228</v>
      </c>
      <c r="S7619" s="1" t="s">
        <v>472</v>
      </c>
      <c r="T7619" s="1" t="s">
        <v>473</v>
      </c>
      <c r="U7619" s="2" t="s">
        <v>1887</v>
      </c>
      <c r="V7619" s="2" t="s">
        <v>47</v>
      </c>
      <c r="W7619" s="2" t="s">
        <v>111</v>
      </c>
      <c r="X7619" s="2">
        <v>11.76</v>
      </c>
    </row>
    <row r="7620" spans="1:24" x14ac:dyDescent="0.3">
      <c r="A7620">
        <v>25432</v>
      </c>
      <c r="B7620" t="s">
        <v>14640</v>
      </c>
      <c r="C7620" s="3">
        <v>41754</v>
      </c>
      <c r="D7620" t="s">
        <v>50</v>
      </c>
      <c r="E7620">
        <v>1</v>
      </c>
      <c r="F7620" s="3">
        <f ca="1">41756+(RANDBETWEEN(1,10))</f>
        <v>41766</v>
      </c>
      <c r="G7620" t="s">
        <v>156</v>
      </c>
      <c r="H7620" t="s">
        <v>96</v>
      </c>
      <c r="I7620" t="s">
        <v>97</v>
      </c>
      <c r="J7620">
        <v>30.52</v>
      </c>
      <c r="K7620">
        <v>0.04</v>
      </c>
      <c r="L7620">
        <v>0.42</v>
      </c>
      <c r="M7620">
        <v>14</v>
      </c>
      <c r="N7620">
        <v>21.058800000000002</v>
      </c>
      <c r="O7620" s="1" t="s">
        <v>87</v>
      </c>
      <c r="P7620" s="1" t="s">
        <v>11932</v>
      </c>
      <c r="Q7620" s="1" t="s">
        <v>11933</v>
      </c>
      <c r="R7620" s="1" t="s">
        <v>646</v>
      </c>
      <c r="S7620" s="1" t="s">
        <v>11934</v>
      </c>
      <c r="T7620" s="1" t="s">
        <v>4332</v>
      </c>
      <c r="U7620" s="2" t="s">
        <v>2801</v>
      </c>
      <c r="V7620" s="2" t="s">
        <v>83</v>
      </c>
      <c r="W7620" s="2" t="s">
        <v>178</v>
      </c>
      <c r="X7620" s="2">
        <v>26.565000000000001</v>
      </c>
    </row>
    <row r="7621" spans="1:24" x14ac:dyDescent="0.3">
      <c r="A7621">
        <v>25433</v>
      </c>
      <c r="B7621" t="s">
        <v>14640</v>
      </c>
      <c r="C7621" s="3">
        <v>41754</v>
      </c>
      <c r="D7621" t="s">
        <v>50</v>
      </c>
      <c r="E7621">
        <v>10</v>
      </c>
      <c r="F7621" s="3">
        <f ca="1">41756+(RANDBETWEEN(1,10))</f>
        <v>41763</v>
      </c>
      <c r="G7621" t="s">
        <v>26</v>
      </c>
      <c r="H7621" t="s">
        <v>96</v>
      </c>
      <c r="I7621" t="s">
        <v>97</v>
      </c>
      <c r="J7621">
        <v>307.86</v>
      </c>
      <c r="K7621">
        <v>0.05</v>
      </c>
      <c r="L7621">
        <v>0.4</v>
      </c>
      <c r="M7621">
        <v>7.5250000000000004</v>
      </c>
      <c r="N7621">
        <v>212.42339999999999</v>
      </c>
      <c r="O7621" s="1" t="s">
        <v>87</v>
      </c>
      <c r="P7621" s="1" t="s">
        <v>11932</v>
      </c>
      <c r="Q7621" s="1" t="s">
        <v>11933</v>
      </c>
      <c r="R7621" s="1" t="s">
        <v>646</v>
      </c>
      <c r="S7621" s="1" t="s">
        <v>11934</v>
      </c>
      <c r="T7621" s="1" t="s">
        <v>4332</v>
      </c>
      <c r="U7621" s="2" t="s">
        <v>4359</v>
      </c>
      <c r="V7621" s="2" t="s">
        <v>47</v>
      </c>
      <c r="W7621" s="2" t="s">
        <v>74</v>
      </c>
      <c r="X7621" s="2">
        <v>31.885000000000002</v>
      </c>
    </row>
    <row r="7622" spans="1:24" x14ac:dyDescent="0.3">
      <c r="A7622">
        <v>25434</v>
      </c>
      <c r="B7622" t="s">
        <v>14640</v>
      </c>
      <c r="C7622" s="3">
        <v>41754</v>
      </c>
      <c r="D7622" t="s">
        <v>50</v>
      </c>
      <c r="E7622">
        <v>2</v>
      </c>
      <c r="F7622" s="3">
        <f ca="1">41754+(RANDBETWEEN(1,10))</f>
        <v>41764</v>
      </c>
      <c r="G7622" t="s">
        <v>26</v>
      </c>
      <c r="H7622" t="s">
        <v>27</v>
      </c>
      <c r="I7622" t="s">
        <v>97</v>
      </c>
      <c r="J7622">
        <v>44.625</v>
      </c>
      <c r="K7622">
        <v>0.1</v>
      </c>
      <c r="L7622">
        <v>0.36</v>
      </c>
      <c r="M7622">
        <v>19.844999999999999</v>
      </c>
      <c r="N7622">
        <v>-74.165000000000006</v>
      </c>
      <c r="O7622" s="1" t="s">
        <v>87</v>
      </c>
      <c r="P7622" s="1" t="s">
        <v>11932</v>
      </c>
      <c r="Q7622" s="1" t="s">
        <v>11933</v>
      </c>
      <c r="R7622" s="1" t="s">
        <v>646</v>
      </c>
      <c r="S7622" s="1" t="s">
        <v>11934</v>
      </c>
      <c r="T7622" s="1" t="s">
        <v>4332</v>
      </c>
      <c r="U7622" s="2" t="s">
        <v>1621</v>
      </c>
      <c r="V7622" s="2" t="s">
        <v>47</v>
      </c>
      <c r="W7622" s="2" t="s">
        <v>74</v>
      </c>
      <c r="X7622" s="2">
        <v>20.23</v>
      </c>
    </row>
    <row r="7623" spans="1:24" x14ac:dyDescent="0.3">
      <c r="A7623">
        <v>25435</v>
      </c>
      <c r="B7623" t="s">
        <v>14641</v>
      </c>
      <c r="C7623" s="3">
        <v>41771</v>
      </c>
      <c r="D7623" t="s">
        <v>50</v>
      </c>
      <c r="E7623">
        <v>3</v>
      </c>
      <c r="F7623" s="3">
        <f ca="1">41772+(RANDBETWEEN(1,10))</f>
        <v>41773</v>
      </c>
      <c r="G7623" t="s">
        <v>26</v>
      </c>
      <c r="H7623" t="s">
        <v>27</v>
      </c>
      <c r="I7623" t="s">
        <v>28</v>
      </c>
      <c r="J7623">
        <v>218.33</v>
      </c>
      <c r="K7623">
        <v>0.09</v>
      </c>
      <c r="L7623">
        <v>0.47</v>
      </c>
      <c r="M7623">
        <v>50.365000000000002</v>
      </c>
      <c r="N7623">
        <v>43.4</v>
      </c>
      <c r="O7623" s="1" t="s">
        <v>29</v>
      </c>
      <c r="P7623" s="1" t="s">
        <v>13141</v>
      </c>
      <c r="Q7623" s="1" t="s">
        <v>13142</v>
      </c>
      <c r="R7623" s="1" t="s">
        <v>460</v>
      </c>
      <c r="S7623" s="1" t="s">
        <v>13143</v>
      </c>
      <c r="T7623" s="1" t="s">
        <v>13144</v>
      </c>
      <c r="U7623" s="2" t="s">
        <v>3841</v>
      </c>
      <c r="V7623" s="2" t="s">
        <v>83</v>
      </c>
      <c r="W7623" s="2" t="s">
        <v>178</v>
      </c>
      <c r="X7623" s="2">
        <v>70.98</v>
      </c>
    </row>
    <row r="7624" spans="1:24" x14ac:dyDescent="0.3">
      <c r="A7624">
        <v>25436</v>
      </c>
      <c r="B7624" t="s">
        <v>14641</v>
      </c>
      <c r="C7624" s="3">
        <v>41771</v>
      </c>
      <c r="D7624" t="s">
        <v>50</v>
      </c>
      <c r="E7624">
        <v>15</v>
      </c>
      <c r="F7624" s="3">
        <f ca="1">41772+(RANDBETWEEN(1,10))</f>
        <v>41777</v>
      </c>
      <c r="G7624" t="s">
        <v>26</v>
      </c>
      <c r="H7624" t="s">
        <v>51</v>
      </c>
      <c r="I7624" t="s">
        <v>28</v>
      </c>
      <c r="J7624">
        <v>2573.8649999999998</v>
      </c>
      <c r="K7624">
        <v>0.03</v>
      </c>
      <c r="L7624">
        <v>0.8</v>
      </c>
      <c r="M7624">
        <v>17.5</v>
      </c>
      <c r="N7624">
        <v>260.7885</v>
      </c>
      <c r="O7624" s="1" t="s">
        <v>29</v>
      </c>
      <c r="P7624" s="1" t="s">
        <v>13141</v>
      </c>
      <c r="Q7624" s="1" t="s">
        <v>13142</v>
      </c>
      <c r="R7624" s="1" t="s">
        <v>460</v>
      </c>
      <c r="S7624" s="1" t="s">
        <v>13143</v>
      </c>
      <c r="T7624" s="1" t="s">
        <v>13144</v>
      </c>
      <c r="U7624" s="2" t="s">
        <v>2876</v>
      </c>
      <c r="V7624" s="2" t="s">
        <v>36</v>
      </c>
      <c r="W7624" s="2" t="s">
        <v>37</v>
      </c>
      <c r="X7624" s="2">
        <v>195.965</v>
      </c>
    </row>
    <row r="7625" spans="1:24" x14ac:dyDescent="0.3">
      <c r="A7625">
        <v>25437</v>
      </c>
      <c r="B7625" t="s">
        <v>14642</v>
      </c>
      <c r="C7625" s="3">
        <v>41715</v>
      </c>
      <c r="D7625" t="s">
        <v>62</v>
      </c>
      <c r="E7625">
        <v>8</v>
      </c>
      <c r="F7625" s="3">
        <f ca="1">41716+(RANDBETWEEN(1,10))</f>
        <v>41722</v>
      </c>
      <c r="G7625" t="s">
        <v>26</v>
      </c>
      <c r="H7625" t="s">
        <v>27</v>
      </c>
      <c r="I7625" t="s">
        <v>52</v>
      </c>
      <c r="J7625">
        <v>171.11500000000001</v>
      </c>
      <c r="K7625">
        <v>0.09</v>
      </c>
      <c r="L7625">
        <v>0.4</v>
      </c>
      <c r="M7625">
        <v>26.25</v>
      </c>
      <c r="N7625">
        <v>-465.255</v>
      </c>
      <c r="O7625" s="1" t="s">
        <v>87</v>
      </c>
      <c r="P7625" s="1" t="s">
        <v>14643</v>
      </c>
      <c r="Q7625" s="1" t="s">
        <v>14644</v>
      </c>
      <c r="R7625" s="1" t="s">
        <v>497</v>
      </c>
      <c r="S7625" s="1" t="s">
        <v>3296</v>
      </c>
      <c r="T7625" s="1" t="s">
        <v>3297</v>
      </c>
      <c r="U7625" s="2" t="s">
        <v>6464</v>
      </c>
      <c r="V7625" s="2" t="s">
        <v>47</v>
      </c>
      <c r="W7625" s="2" t="s">
        <v>74</v>
      </c>
      <c r="X7625" s="2">
        <v>20.93</v>
      </c>
    </row>
    <row r="7626" spans="1:24" x14ac:dyDescent="0.3">
      <c r="A7626">
        <v>25438</v>
      </c>
      <c r="B7626" t="s">
        <v>14645</v>
      </c>
      <c r="C7626" s="3">
        <v>41696</v>
      </c>
      <c r="D7626" t="s">
        <v>25</v>
      </c>
      <c r="E7626">
        <v>9</v>
      </c>
      <c r="F7626" s="3">
        <f ca="1">41702+(RANDBETWEEN(1,10))</f>
        <v>41712</v>
      </c>
      <c r="G7626" t="s">
        <v>26</v>
      </c>
      <c r="H7626" t="s">
        <v>51</v>
      </c>
      <c r="I7626" t="s">
        <v>52</v>
      </c>
      <c r="J7626">
        <v>290.53500000000003</v>
      </c>
      <c r="K7626">
        <v>0.05</v>
      </c>
      <c r="L7626">
        <v>0.56000000000000005</v>
      </c>
      <c r="M7626">
        <v>13.93</v>
      </c>
      <c r="N7626">
        <v>-61.53</v>
      </c>
      <c r="O7626" s="1" t="s">
        <v>40</v>
      </c>
      <c r="P7626" s="1" t="s">
        <v>14513</v>
      </c>
      <c r="Q7626" s="1" t="s">
        <v>14514</v>
      </c>
      <c r="R7626" s="1" t="s">
        <v>43</v>
      </c>
      <c r="S7626" s="1" t="s">
        <v>2543</v>
      </c>
      <c r="T7626" s="1" t="s">
        <v>2544</v>
      </c>
      <c r="U7626" s="2" t="s">
        <v>93</v>
      </c>
      <c r="V7626" s="2" t="s">
        <v>47</v>
      </c>
      <c r="W7626" s="2" t="s">
        <v>94</v>
      </c>
      <c r="X7626" s="2">
        <v>32.585000000000001</v>
      </c>
    </row>
    <row r="7627" spans="1:24" x14ac:dyDescent="0.3">
      <c r="A7627">
        <v>25439</v>
      </c>
      <c r="B7627" t="s">
        <v>14646</v>
      </c>
      <c r="C7627" s="3">
        <v>41208</v>
      </c>
      <c r="D7627" t="s">
        <v>25</v>
      </c>
      <c r="E7627">
        <v>17</v>
      </c>
      <c r="F7627" s="3">
        <f ca="1">41208+(RANDBETWEEN(1,10))</f>
        <v>41214</v>
      </c>
      <c r="G7627" t="s">
        <v>26</v>
      </c>
      <c r="H7627" t="s">
        <v>27</v>
      </c>
      <c r="I7627" t="s">
        <v>97</v>
      </c>
      <c r="J7627">
        <v>2072.0349999999999</v>
      </c>
      <c r="K7627">
        <v>0.05</v>
      </c>
      <c r="L7627">
        <v>0.4</v>
      </c>
      <c r="M7627">
        <v>51.52</v>
      </c>
      <c r="N7627">
        <v>472.18079999999998</v>
      </c>
      <c r="O7627" s="1" t="s">
        <v>40</v>
      </c>
      <c r="P7627" s="1" t="s">
        <v>13900</v>
      </c>
      <c r="Q7627" s="1" t="s">
        <v>13901</v>
      </c>
      <c r="R7627" s="1" t="s">
        <v>220</v>
      </c>
      <c r="S7627" s="1" t="s">
        <v>9501</v>
      </c>
      <c r="T7627" s="1" t="s">
        <v>9502</v>
      </c>
      <c r="U7627" s="2" t="s">
        <v>5698</v>
      </c>
      <c r="V7627" s="2" t="s">
        <v>47</v>
      </c>
      <c r="W7627" s="2" t="s">
        <v>48</v>
      </c>
      <c r="X7627" s="2">
        <v>125.61499999999999</v>
      </c>
    </row>
    <row r="7628" spans="1:24" x14ac:dyDescent="0.3">
      <c r="A7628">
        <v>25440</v>
      </c>
      <c r="B7628" t="s">
        <v>14647</v>
      </c>
      <c r="C7628" s="3">
        <v>40751</v>
      </c>
      <c r="D7628" t="s">
        <v>25</v>
      </c>
      <c r="E7628">
        <v>12</v>
      </c>
      <c r="F7628" s="3">
        <f ca="1">40756+(RANDBETWEEN(1,10))</f>
        <v>40763</v>
      </c>
      <c r="G7628" t="s">
        <v>26</v>
      </c>
      <c r="H7628" t="s">
        <v>27</v>
      </c>
      <c r="I7628" t="s">
        <v>28</v>
      </c>
      <c r="J7628">
        <v>240.52</v>
      </c>
      <c r="K7628">
        <v>0.1</v>
      </c>
      <c r="L7628">
        <v>0.39</v>
      </c>
      <c r="M7628">
        <v>1.75</v>
      </c>
      <c r="N7628">
        <v>-1624.9870000000001</v>
      </c>
      <c r="O7628" s="1" t="s">
        <v>87</v>
      </c>
      <c r="P7628" s="1" t="s">
        <v>3620</v>
      </c>
      <c r="Q7628" s="1" t="s">
        <v>3621</v>
      </c>
      <c r="R7628" s="1" t="s">
        <v>90</v>
      </c>
      <c r="S7628" s="1" t="s">
        <v>3622</v>
      </c>
      <c r="T7628" s="1" t="s">
        <v>3623</v>
      </c>
      <c r="U7628" s="2" t="s">
        <v>2021</v>
      </c>
      <c r="V7628" s="2" t="s">
        <v>47</v>
      </c>
      <c r="W7628" s="2" t="s">
        <v>203</v>
      </c>
      <c r="X7628" s="2">
        <v>22.05</v>
      </c>
    </row>
    <row r="7629" spans="1:24" x14ac:dyDescent="0.3">
      <c r="A7629">
        <v>25441</v>
      </c>
      <c r="B7629" t="s">
        <v>14648</v>
      </c>
      <c r="C7629" s="3">
        <v>41581</v>
      </c>
      <c r="D7629" t="s">
        <v>62</v>
      </c>
      <c r="E7629">
        <v>11</v>
      </c>
      <c r="F7629" s="3">
        <f ca="1">41582+(RANDBETWEEN(1,10))</f>
        <v>41592</v>
      </c>
      <c r="G7629" t="s">
        <v>26</v>
      </c>
      <c r="H7629" t="s">
        <v>27</v>
      </c>
      <c r="I7629" t="s">
        <v>28</v>
      </c>
      <c r="J7629">
        <v>1508.885</v>
      </c>
      <c r="K7629">
        <v>7.0000000000000007E-2</v>
      </c>
      <c r="L7629">
        <v>0.54</v>
      </c>
      <c r="M7629">
        <v>31.395</v>
      </c>
      <c r="N7629">
        <v>35.827469999999998</v>
      </c>
      <c r="O7629" s="1" t="s">
        <v>29</v>
      </c>
      <c r="P7629" s="1" t="s">
        <v>7115</v>
      </c>
      <c r="Q7629" s="1" t="s">
        <v>7116</v>
      </c>
      <c r="R7629" s="1" t="s">
        <v>460</v>
      </c>
      <c r="S7629" s="1" t="s">
        <v>7117</v>
      </c>
      <c r="T7629" s="1" t="s">
        <v>7118</v>
      </c>
      <c r="U7629" s="2" t="s">
        <v>14649</v>
      </c>
      <c r="V7629" s="2" t="s">
        <v>36</v>
      </c>
      <c r="W7629" s="2" t="s">
        <v>142</v>
      </c>
      <c r="X7629" s="2">
        <v>143.465</v>
      </c>
    </row>
    <row r="7630" spans="1:24" x14ac:dyDescent="0.3">
      <c r="A7630">
        <v>25442</v>
      </c>
      <c r="B7630" t="s">
        <v>14650</v>
      </c>
      <c r="C7630" s="3">
        <v>40990</v>
      </c>
      <c r="D7630" t="s">
        <v>62</v>
      </c>
      <c r="E7630">
        <v>9</v>
      </c>
      <c r="F7630" s="3">
        <f ca="1">40992+(RANDBETWEEN(1,10))</f>
        <v>41000</v>
      </c>
      <c r="G7630" t="s">
        <v>26</v>
      </c>
      <c r="H7630" t="s">
        <v>27</v>
      </c>
      <c r="I7630" t="s">
        <v>52</v>
      </c>
      <c r="J7630">
        <v>646.69500000000005</v>
      </c>
      <c r="K7630">
        <v>0.1</v>
      </c>
      <c r="L7630">
        <v>0.65</v>
      </c>
      <c r="M7630">
        <v>20.965</v>
      </c>
      <c r="N7630">
        <v>-250.42500000000001</v>
      </c>
      <c r="O7630" s="1" t="s">
        <v>29</v>
      </c>
      <c r="P7630" s="1" t="s">
        <v>14651</v>
      </c>
      <c r="Q7630" s="1" t="s">
        <v>14652</v>
      </c>
      <c r="R7630" s="1" t="s">
        <v>460</v>
      </c>
      <c r="S7630" s="1" t="s">
        <v>3422</v>
      </c>
      <c r="T7630" s="1" t="s">
        <v>3423</v>
      </c>
      <c r="U7630" s="2" t="s">
        <v>3946</v>
      </c>
      <c r="V7630" s="2" t="s">
        <v>36</v>
      </c>
      <c r="W7630" s="2" t="s">
        <v>60</v>
      </c>
      <c r="X7630" s="2">
        <v>73.325000000000003</v>
      </c>
    </row>
    <row r="7631" spans="1:24" x14ac:dyDescent="0.3">
      <c r="A7631">
        <v>25443</v>
      </c>
      <c r="B7631" t="s">
        <v>14653</v>
      </c>
      <c r="C7631" s="3">
        <v>41720</v>
      </c>
      <c r="D7631" t="s">
        <v>62</v>
      </c>
      <c r="E7631">
        <v>1</v>
      </c>
      <c r="F7631" s="3">
        <f ca="1">41722+(RANDBETWEEN(1,10))</f>
        <v>41727</v>
      </c>
      <c r="G7631" t="s">
        <v>26</v>
      </c>
      <c r="H7631" t="s">
        <v>96</v>
      </c>
      <c r="I7631" t="s">
        <v>52</v>
      </c>
      <c r="J7631">
        <v>33.774999999999999</v>
      </c>
      <c r="K7631">
        <v>0.02</v>
      </c>
      <c r="L7631">
        <v>0.4</v>
      </c>
      <c r="M7631">
        <v>7.5250000000000004</v>
      </c>
      <c r="N7631">
        <v>-9.8699999999999992</v>
      </c>
      <c r="O7631" s="1" t="s">
        <v>29</v>
      </c>
      <c r="P7631" s="1" t="s">
        <v>14651</v>
      </c>
      <c r="Q7631" s="1" t="s">
        <v>14652</v>
      </c>
      <c r="R7631" s="1" t="s">
        <v>460</v>
      </c>
      <c r="S7631" s="1" t="s">
        <v>3422</v>
      </c>
      <c r="T7631" s="1" t="s">
        <v>3423</v>
      </c>
      <c r="U7631" s="2" t="s">
        <v>4359</v>
      </c>
      <c r="V7631" s="2" t="s">
        <v>47</v>
      </c>
      <c r="W7631" s="2" t="s">
        <v>74</v>
      </c>
      <c r="X7631" s="2">
        <v>31.885000000000002</v>
      </c>
    </row>
    <row r="7632" spans="1:24" x14ac:dyDescent="0.3">
      <c r="A7632">
        <v>25444</v>
      </c>
      <c r="B7632" t="s">
        <v>14654</v>
      </c>
      <c r="C7632" s="3">
        <v>41776</v>
      </c>
      <c r="D7632" t="s">
        <v>50</v>
      </c>
      <c r="E7632">
        <v>2</v>
      </c>
      <c r="F7632" s="3">
        <f ca="1">41778+(RANDBETWEEN(1,10))</f>
        <v>41782</v>
      </c>
      <c r="G7632" t="s">
        <v>26</v>
      </c>
      <c r="H7632" t="s">
        <v>96</v>
      </c>
      <c r="I7632" t="s">
        <v>28</v>
      </c>
      <c r="J7632">
        <v>31.85</v>
      </c>
      <c r="K7632">
        <v>0.09</v>
      </c>
      <c r="L7632">
        <v>0.39</v>
      </c>
      <c r="M7632">
        <v>3.08</v>
      </c>
      <c r="N7632">
        <v>-1.575</v>
      </c>
      <c r="O7632" s="1" t="s">
        <v>53</v>
      </c>
      <c r="P7632" s="1" t="s">
        <v>10096</v>
      </c>
      <c r="Q7632" s="1" t="s">
        <v>10097</v>
      </c>
      <c r="R7632" s="1" t="s">
        <v>440</v>
      </c>
      <c r="S7632" s="1" t="s">
        <v>10098</v>
      </c>
      <c r="T7632" s="1" t="s">
        <v>10099</v>
      </c>
      <c r="U7632" s="2" t="s">
        <v>1743</v>
      </c>
      <c r="V7632" s="2" t="s">
        <v>47</v>
      </c>
      <c r="W7632" s="2" t="s">
        <v>74</v>
      </c>
      <c r="X7632" s="2">
        <v>16.66</v>
      </c>
    </row>
    <row r="7633" spans="1:24" x14ac:dyDescent="0.3">
      <c r="A7633">
        <v>25445</v>
      </c>
      <c r="B7633" t="s">
        <v>14655</v>
      </c>
      <c r="C7633" s="3">
        <v>41882</v>
      </c>
      <c r="D7633" t="s">
        <v>50</v>
      </c>
      <c r="E7633">
        <v>13</v>
      </c>
      <c r="F7633" s="3">
        <f ca="1">41884+(RANDBETWEEN(1,10))</f>
        <v>41891</v>
      </c>
      <c r="G7633" t="s">
        <v>26</v>
      </c>
      <c r="H7633" t="s">
        <v>27</v>
      </c>
      <c r="I7633" t="s">
        <v>28</v>
      </c>
      <c r="J7633">
        <v>483.66500000000002</v>
      </c>
      <c r="K7633">
        <v>0.06</v>
      </c>
      <c r="L7633">
        <v>0.36</v>
      </c>
      <c r="M7633">
        <v>17.989999999999998</v>
      </c>
      <c r="N7633">
        <v>77.221242000000004</v>
      </c>
      <c r="O7633" s="1" t="s">
        <v>87</v>
      </c>
      <c r="P7633" s="1" t="s">
        <v>14656</v>
      </c>
      <c r="Q7633" s="1" t="s">
        <v>14657</v>
      </c>
      <c r="R7633" s="1" t="s">
        <v>497</v>
      </c>
      <c r="S7633" s="1" t="s">
        <v>14658</v>
      </c>
      <c r="T7633" s="1" t="s">
        <v>14659</v>
      </c>
      <c r="U7633" s="2" t="s">
        <v>5285</v>
      </c>
      <c r="V7633" s="2" t="s">
        <v>47</v>
      </c>
      <c r="W7633" s="2" t="s">
        <v>111</v>
      </c>
      <c r="X7633" s="2">
        <v>38.43</v>
      </c>
    </row>
    <row r="7634" spans="1:24" x14ac:dyDescent="0.3">
      <c r="A7634">
        <v>25446</v>
      </c>
      <c r="B7634" t="s">
        <v>14660</v>
      </c>
      <c r="C7634" s="3">
        <v>41405</v>
      </c>
      <c r="D7634" t="s">
        <v>39</v>
      </c>
      <c r="E7634">
        <v>20</v>
      </c>
      <c r="F7634" s="3">
        <f ca="1">41406+(RANDBETWEEN(1,10))</f>
        <v>41410</v>
      </c>
      <c r="G7634" t="s">
        <v>26</v>
      </c>
      <c r="H7634" t="s">
        <v>27</v>
      </c>
      <c r="I7634" t="s">
        <v>52</v>
      </c>
      <c r="J7634">
        <v>2650.62</v>
      </c>
      <c r="K7634">
        <v>7.0000000000000007E-2</v>
      </c>
      <c r="L7634">
        <v>0.35</v>
      </c>
      <c r="M7634">
        <v>10.465</v>
      </c>
      <c r="N7634">
        <v>1828.9277999999999</v>
      </c>
      <c r="O7634" s="1" t="s">
        <v>87</v>
      </c>
      <c r="P7634" s="1" t="s">
        <v>13209</v>
      </c>
      <c r="Q7634" s="1" t="s">
        <v>13210</v>
      </c>
      <c r="R7634" s="1" t="s">
        <v>398</v>
      </c>
      <c r="S7634" s="1" t="s">
        <v>3021</v>
      </c>
      <c r="T7634" s="1" t="s">
        <v>3022</v>
      </c>
      <c r="U7634" s="2" t="s">
        <v>1132</v>
      </c>
      <c r="V7634" s="2" t="s">
        <v>47</v>
      </c>
      <c r="W7634" s="2" t="s">
        <v>111</v>
      </c>
      <c r="X7634" s="2">
        <v>131.94999999999999</v>
      </c>
    </row>
    <row r="7635" spans="1:24" x14ac:dyDescent="0.3">
      <c r="A7635">
        <v>25447</v>
      </c>
      <c r="B7635" t="s">
        <v>14660</v>
      </c>
      <c r="C7635" s="3">
        <v>41405</v>
      </c>
      <c r="D7635" t="s">
        <v>39</v>
      </c>
      <c r="E7635">
        <v>19</v>
      </c>
      <c r="F7635" s="3">
        <f ca="1">41407+(RANDBETWEEN(1,10))</f>
        <v>41413</v>
      </c>
      <c r="G7635" t="s">
        <v>26</v>
      </c>
      <c r="H7635" t="s">
        <v>27</v>
      </c>
      <c r="I7635" t="s">
        <v>52</v>
      </c>
      <c r="J7635">
        <v>3566.64</v>
      </c>
      <c r="K7635">
        <v>0.05</v>
      </c>
      <c r="L7635">
        <v>0.59</v>
      </c>
      <c r="M7635">
        <v>69.965000000000003</v>
      </c>
      <c r="N7635">
        <v>-482.82850000000002</v>
      </c>
      <c r="O7635" s="1" t="s">
        <v>87</v>
      </c>
      <c r="P7635" s="1" t="s">
        <v>13209</v>
      </c>
      <c r="Q7635" s="1" t="s">
        <v>13210</v>
      </c>
      <c r="R7635" s="1" t="s">
        <v>398</v>
      </c>
      <c r="S7635" s="1" t="s">
        <v>3021</v>
      </c>
      <c r="T7635" s="1" t="s">
        <v>3022</v>
      </c>
      <c r="U7635" s="2" t="s">
        <v>5463</v>
      </c>
      <c r="V7635" s="2" t="s">
        <v>36</v>
      </c>
      <c r="W7635" s="2" t="s">
        <v>37</v>
      </c>
      <c r="X7635" s="2">
        <v>230.965</v>
      </c>
    </row>
    <row r="7636" spans="1:24" x14ac:dyDescent="0.3">
      <c r="A7636">
        <v>25448</v>
      </c>
      <c r="B7636" t="s">
        <v>14661</v>
      </c>
      <c r="C7636" s="3">
        <v>41703</v>
      </c>
      <c r="D7636" t="s">
        <v>148</v>
      </c>
      <c r="E7636">
        <v>9</v>
      </c>
      <c r="F7636" s="3">
        <f ca="1">41703+(RANDBETWEEN(1,10))</f>
        <v>41713</v>
      </c>
      <c r="G7636" t="s">
        <v>156</v>
      </c>
      <c r="H7636" t="s">
        <v>27</v>
      </c>
      <c r="I7636" t="s">
        <v>28</v>
      </c>
      <c r="J7636">
        <v>1795.36</v>
      </c>
      <c r="K7636">
        <v>0.01</v>
      </c>
      <c r="L7636">
        <v>0.57999999999999996</v>
      </c>
      <c r="M7636">
        <v>30.8</v>
      </c>
      <c r="N7636">
        <v>1226.2635</v>
      </c>
      <c r="O7636" s="1" t="s">
        <v>40</v>
      </c>
      <c r="P7636" s="1" t="s">
        <v>14056</v>
      </c>
      <c r="Q7636" s="1" t="s">
        <v>14057</v>
      </c>
      <c r="R7636" s="1" t="s">
        <v>43</v>
      </c>
      <c r="S7636" s="1" t="s">
        <v>14058</v>
      </c>
      <c r="T7636" s="1" t="s">
        <v>14059</v>
      </c>
      <c r="U7636" s="2">
        <v>6120</v>
      </c>
      <c r="V7636" s="2" t="s">
        <v>36</v>
      </c>
      <c r="W7636" s="2" t="s">
        <v>37</v>
      </c>
      <c r="X7636" s="2">
        <v>230.965</v>
      </c>
    </row>
    <row r="7637" spans="1:24" x14ac:dyDescent="0.3">
      <c r="A7637">
        <v>25449</v>
      </c>
      <c r="B7637" t="s">
        <v>14662</v>
      </c>
      <c r="C7637" s="3">
        <v>40607</v>
      </c>
      <c r="D7637" t="s">
        <v>148</v>
      </c>
      <c r="E7637">
        <v>1</v>
      </c>
      <c r="F7637" s="3">
        <f ca="1">40609+(RANDBETWEEN(1,10))</f>
        <v>40611</v>
      </c>
      <c r="G7637" t="s">
        <v>26</v>
      </c>
      <c r="H7637" t="s">
        <v>27</v>
      </c>
      <c r="I7637" t="s">
        <v>28</v>
      </c>
      <c r="J7637">
        <v>130.06</v>
      </c>
      <c r="K7637">
        <v>0.02</v>
      </c>
      <c r="L7637">
        <v>0.76</v>
      </c>
      <c r="M7637">
        <v>26.355</v>
      </c>
      <c r="N7637">
        <v>-558.88</v>
      </c>
      <c r="O7637" s="1" t="s">
        <v>29</v>
      </c>
      <c r="P7637" s="1" t="s">
        <v>14663</v>
      </c>
      <c r="Q7637" s="1" t="s">
        <v>14664</v>
      </c>
      <c r="R7637" s="1" t="s">
        <v>460</v>
      </c>
      <c r="S7637" s="1" t="s">
        <v>6580</v>
      </c>
      <c r="T7637" s="1" t="s">
        <v>6581</v>
      </c>
      <c r="U7637" s="2" t="s">
        <v>5838</v>
      </c>
      <c r="V7637" s="2" t="s">
        <v>36</v>
      </c>
      <c r="W7637" s="2" t="s">
        <v>60</v>
      </c>
      <c r="X7637" s="2">
        <v>122.43</v>
      </c>
    </row>
    <row r="7638" spans="1:24" x14ac:dyDescent="0.3">
      <c r="A7638">
        <v>25450</v>
      </c>
      <c r="B7638" t="s">
        <v>14662</v>
      </c>
      <c r="C7638" s="3">
        <v>40607</v>
      </c>
      <c r="D7638" t="s">
        <v>148</v>
      </c>
      <c r="E7638">
        <v>2</v>
      </c>
      <c r="F7638" s="3">
        <f ca="1">40610+(RANDBETWEEN(1,10))</f>
        <v>40615</v>
      </c>
      <c r="G7638" t="s">
        <v>26</v>
      </c>
      <c r="H7638" t="s">
        <v>63</v>
      </c>
      <c r="I7638" t="s">
        <v>28</v>
      </c>
      <c r="J7638">
        <v>152.77500000000001</v>
      </c>
      <c r="K7638">
        <v>0.01</v>
      </c>
      <c r="L7638">
        <v>0.6</v>
      </c>
      <c r="M7638">
        <v>39.094999999999999</v>
      </c>
      <c r="N7638">
        <v>97.685000000000002</v>
      </c>
      <c r="O7638" s="1" t="s">
        <v>29</v>
      </c>
      <c r="P7638" s="1" t="s">
        <v>14663</v>
      </c>
      <c r="Q7638" s="1" t="s">
        <v>14664</v>
      </c>
      <c r="R7638" s="1" t="s">
        <v>460</v>
      </c>
      <c r="S7638" s="1" t="s">
        <v>6580</v>
      </c>
      <c r="T7638" s="1" t="s">
        <v>6581</v>
      </c>
      <c r="U7638" s="2" t="s">
        <v>7243</v>
      </c>
      <c r="V7638" s="2" t="s">
        <v>83</v>
      </c>
      <c r="W7638" s="2" t="s">
        <v>178</v>
      </c>
      <c r="X7638" s="2">
        <v>69.965000000000003</v>
      </c>
    </row>
    <row r="7639" spans="1:24" x14ac:dyDescent="0.3">
      <c r="A7639">
        <v>25451</v>
      </c>
      <c r="B7639" t="s">
        <v>14661</v>
      </c>
      <c r="C7639" s="3">
        <v>41703</v>
      </c>
      <c r="D7639" t="s">
        <v>148</v>
      </c>
      <c r="E7639">
        <v>2</v>
      </c>
      <c r="F7639" s="3">
        <f ca="1">41705+(RANDBETWEEN(1,10))</f>
        <v>41713</v>
      </c>
      <c r="G7639" t="s">
        <v>26</v>
      </c>
      <c r="H7639" t="s">
        <v>27</v>
      </c>
      <c r="I7639" t="s">
        <v>28</v>
      </c>
      <c r="J7639">
        <v>145.18</v>
      </c>
      <c r="K7639">
        <v>0.02</v>
      </c>
      <c r="L7639">
        <v>0.37</v>
      </c>
      <c r="M7639">
        <v>30.38</v>
      </c>
      <c r="N7639">
        <v>7.21</v>
      </c>
      <c r="O7639" s="1" t="s">
        <v>29</v>
      </c>
      <c r="P7639" s="1" t="s">
        <v>14663</v>
      </c>
      <c r="Q7639" s="1" t="s">
        <v>14664</v>
      </c>
      <c r="R7639" s="1" t="s">
        <v>460</v>
      </c>
      <c r="S7639" s="1" t="s">
        <v>6580</v>
      </c>
      <c r="T7639" s="1" t="s">
        <v>6581</v>
      </c>
      <c r="U7639" s="2" t="s">
        <v>3983</v>
      </c>
      <c r="V7639" s="2" t="s">
        <v>47</v>
      </c>
      <c r="W7639" s="2" t="s">
        <v>74</v>
      </c>
      <c r="X7639" s="2">
        <v>69.930000000000007</v>
      </c>
    </row>
    <row r="7640" spans="1:24" x14ac:dyDescent="0.3">
      <c r="A7640">
        <v>25452</v>
      </c>
      <c r="B7640" t="s">
        <v>14665</v>
      </c>
      <c r="C7640" s="3">
        <v>40809</v>
      </c>
      <c r="D7640" t="s">
        <v>62</v>
      </c>
      <c r="E7640">
        <v>13</v>
      </c>
      <c r="F7640" s="3">
        <f ca="1">40810+(RANDBETWEEN(1,10))</f>
        <v>40811</v>
      </c>
      <c r="G7640" t="s">
        <v>26</v>
      </c>
      <c r="H7640" t="s">
        <v>27</v>
      </c>
      <c r="I7640" t="s">
        <v>28</v>
      </c>
      <c r="J7640">
        <v>902.72</v>
      </c>
      <c r="K7640">
        <v>0.1</v>
      </c>
      <c r="L7640">
        <v>0.56999999999999995</v>
      </c>
      <c r="M7640">
        <v>13.965</v>
      </c>
      <c r="N7640">
        <v>1335.663</v>
      </c>
      <c r="O7640" s="1" t="s">
        <v>64</v>
      </c>
      <c r="P7640" s="1" t="s">
        <v>13503</v>
      </c>
      <c r="Q7640" s="1" t="s">
        <v>13504</v>
      </c>
      <c r="R7640" s="1" t="s">
        <v>128</v>
      </c>
      <c r="S7640" s="1" t="s">
        <v>13505</v>
      </c>
      <c r="T7640" s="1" t="s">
        <v>13506</v>
      </c>
      <c r="U7640" s="2" t="s">
        <v>9232</v>
      </c>
      <c r="V7640" s="2" t="s">
        <v>47</v>
      </c>
      <c r="W7640" s="2" t="s">
        <v>71</v>
      </c>
      <c r="X7640" s="2">
        <v>70.944999999999993</v>
      </c>
    </row>
    <row r="7641" spans="1:24" x14ac:dyDescent="0.3">
      <c r="A7641">
        <v>25453</v>
      </c>
      <c r="B7641" t="s">
        <v>14666</v>
      </c>
      <c r="C7641" s="3">
        <v>41708</v>
      </c>
      <c r="D7641" t="s">
        <v>50</v>
      </c>
      <c r="E7641">
        <v>12</v>
      </c>
      <c r="F7641" s="3">
        <f ca="1">41709+(RANDBETWEEN(1,10))</f>
        <v>41715</v>
      </c>
      <c r="G7641" t="s">
        <v>26</v>
      </c>
      <c r="H7641" t="s">
        <v>27</v>
      </c>
      <c r="I7641" t="s">
        <v>28</v>
      </c>
      <c r="J7641">
        <v>167.05500000000001</v>
      </c>
      <c r="K7641">
        <v>7.0000000000000007E-2</v>
      </c>
      <c r="L7641">
        <v>0.39</v>
      </c>
      <c r="M7641">
        <v>3.4649999999999999</v>
      </c>
      <c r="N7641">
        <v>115.26795</v>
      </c>
      <c r="O7641" s="1" t="s">
        <v>53</v>
      </c>
      <c r="P7641" s="1" t="s">
        <v>4534</v>
      </c>
      <c r="Q7641" s="1" t="s">
        <v>4535</v>
      </c>
      <c r="R7641" s="1" t="s">
        <v>56</v>
      </c>
      <c r="S7641" s="1" t="s">
        <v>4536</v>
      </c>
      <c r="T7641" s="1" t="s">
        <v>897</v>
      </c>
      <c r="U7641" s="2" t="s">
        <v>2720</v>
      </c>
      <c r="V7641" s="2" t="s">
        <v>47</v>
      </c>
      <c r="W7641" s="2" t="s">
        <v>203</v>
      </c>
      <c r="X7641" s="2">
        <v>14.455</v>
      </c>
    </row>
    <row r="7642" spans="1:24" x14ac:dyDescent="0.3">
      <c r="A7642">
        <v>25454</v>
      </c>
      <c r="B7642" t="s">
        <v>14667</v>
      </c>
      <c r="C7642" s="3">
        <v>41948</v>
      </c>
      <c r="D7642" t="s">
        <v>39</v>
      </c>
      <c r="E7642">
        <v>20</v>
      </c>
      <c r="F7642" s="3">
        <f ca="1">41949+(RANDBETWEEN(1,10))</f>
        <v>41954</v>
      </c>
      <c r="G7642" t="s">
        <v>26</v>
      </c>
      <c r="H7642" t="s">
        <v>27</v>
      </c>
      <c r="I7642" t="s">
        <v>97</v>
      </c>
      <c r="J7642">
        <v>1976.59</v>
      </c>
      <c r="K7642">
        <v>7.0000000000000007E-2</v>
      </c>
      <c r="L7642">
        <v>0.7</v>
      </c>
      <c r="M7642">
        <v>23.24</v>
      </c>
      <c r="N7642">
        <v>68.776399999999995</v>
      </c>
      <c r="O7642" s="1" t="s">
        <v>87</v>
      </c>
      <c r="P7642" s="1" t="s">
        <v>14449</v>
      </c>
      <c r="Q7642" s="1" t="s">
        <v>14450</v>
      </c>
      <c r="R7642" s="1" t="s">
        <v>90</v>
      </c>
      <c r="S7642" s="1" t="s">
        <v>3227</v>
      </c>
      <c r="T7642" s="1" t="s">
        <v>3228</v>
      </c>
      <c r="U7642" s="2" t="s">
        <v>4355</v>
      </c>
      <c r="V7642" s="2" t="s">
        <v>47</v>
      </c>
      <c r="W7642" s="2" t="s">
        <v>119</v>
      </c>
      <c r="X7642" s="2">
        <v>104.09</v>
      </c>
    </row>
    <row r="7643" spans="1:24" x14ac:dyDescent="0.3">
      <c r="A7643">
        <v>25455</v>
      </c>
      <c r="B7643" t="s">
        <v>14668</v>
      </c>
      <c r="C7643" s="3">
        <v>41509</v>
      </c>
      <c r="D7643" t="s">
        <v>62</v>
      </c>
      <c r="E7643">
        <v>14</v>
      </c>
      <c r="F7643" s="3">
        <f ca="1">41509+(RANDBETWEEN(1,10))</f>
        <v>41518</v>
      </c>
      <c r="G7643" t="s">
        <v>156</v>
      </c>
      <c r="H7643" t="s">
        <v>27</v>
      </c>
      <c r="I7643" t="s">
        <v>28</v>
      </c>
      <c r="J7643">
        <v>361.9</v>
      </c>
      <c r="K7643">
        <v>0</v>
      </c>
      <c r="L7643">
        <v>0.37</v>
      </c>
      <c r="M7643">
        <v>20.79</v>
      </c>
      <c r="N7643">
        <v>-73.819199999999995</v>
      </c>
      <c r="O7643" s="1" t="s">
        <v>53</v>
      </c>
      <c r="P7643" s="1" t="s">
        <v>8552</v>
      </c>
      <c r="Q7643" s="1" t="s">
        <v>8553</v>
      </c>
      <c r="R7643" s="1" t="s">
        <v>100</v>
      </c>
      <c r="S7643" s="1" t="s">
        <v>8554</v>
      </c>
      <c r="T7643" s="1" t="s">
        <v>8555</v>
      </c>
      <c r="U7643" s="2" t="s">
        <v>3813</v>
      </c>
      <c r="V7643" s="2" t="s">
        <v>47</v>
      </c>
      <c r="W7643" s="2" t="s">
        <v>74</v>
      </c>
      <c r="X7643" s="2">
        <v>22.68</v>
      </c>
    </row>
    <row r="7644" spans="1:24" x14ac:dyDescent="0.3">
      <c r="A7644">
        <v>25456</v>
      </c>
      <c r="B7644" t="s">
        <v>14669</v>
      </c>
      <c r="C7644" s="3">
        <v>40810</v>
      </c>
      <c r="D7644" t="s">
        <v>148</v>
      </c>
      <c r="E7644">
        <v>5</v>
      </c>
      <c r="F7644" s="3">
        <f ca="1">40813+(RANDBETWEEN(1,10))</f>
        <v>40823</v>
      </c>
      <c r="G7644" t="s">
        <v>26</v>
      </c>
      <c r="H7644" t="s">
        <v>27</v>
      </c>
      <c r="I7644" t="s">
        <v>97</v>
      </c>
      <c r="J7644">
        <v>469.315</v>
      </c>
      <c r="K7644">
        <v>0.06</v>
      </c>
      <c r="L7644">
        <v>0.38</v>
      </c>
      <c r="M7644">
        <v>5.2149999999999999</v>
      </c>
      <c r="N7644">
        <v>261.23475000000002</v>
      </c>
      <c r="O7644" s="1" t="s">
        <v>29</v>
      </c>
      <c r="P7644" s="1" t="s">
        <v>14127</v>
      </c>
      <c r="Q7644" s="1" t="s">
        <v>14128</v>
      </c>
      <c r="R7644" s="1" t="s">
        <v>460</v>
      </c>
      <c r="S7644" s="1" t="s">
        <v>14129</v>
      </c>
      <c r="T7644" s="1" t="s">
        <v>14130</v>
      </c>
      <c r="U7644" s="2" t="s">
        <v>301</v>
      </c>
      <c r="V7644" s="2" t="s">
        <v>47</v>
      </c>
      <c r="W7644" s="2" t="s">
        <v>111</v>
      </c>
      <c r="X7644" s="2">
        <v>99.855000000000004</v>
      </c>
    </row>
    <row r="7645" spans="1:24" x14ac:dyDescent="0.3">
      <c r="A7645">
        <v>25457</v>
      </c>
      <c r="B7645" t="s">
        <v>14670</v>
      </c>
      <c r="C7645" s="3">
        <v>41906</v>
      </c>
      <c r="D7645" t="s">
        <v>148</v>
      </c>
      <c r="E7645">
        <v>5</v>
      </c>
      <c r="F7645" s="3">
        <f ca="1">41907+(RANDBETWEEN(1,10))</f>
        <v>41915</v>
      </c>
      <c r="G7645" t="s">
        <v>26</v>
      </c>
      <c r="H7645" t="s">
        <v>27</v>
      </c>
      <c r="I7645" t="s">
        <v>97</v>
      </c>
      <c r="J7645">
        <v>927.60500000000002</v>
      </c>
      <c r="K7645">
        <v>0.1</v>
      </c>
      <c r="L7645">
        <v>0.59</v>
      </c>
      <c r="M7645">
        <v>13.965</v>
      </c>
      <c r="N7645">
        <v>-549.11626000000001</v>
      </c>
      <c r="O7645" s="1" t="s">
        <v>29</v>
      </c>
      <c r="P7645" s="1" t="s">
        <v>14127</v>
      </c>
      <c r="Q7645" s="1" t="s">
        <v>14128</v>
      </c>
      <c r="R7645" s="1" t="s">
        <v>460</v>
      </c>
      <c r="S7645" s="1" t="s">
        <v>14129</v>
      </c>
      <c r="T7645" s="1" t="s">
        <v>14130</v>
      </c>
      <c r="U7645" s="2" t="s">
        <v>1991</v>
      </c>
      <c r="V7645" s="2" t="s">
        <v>36</v>
      </c>
      <c r="W7645" s="2" t="s">
        <v>37</v>
      </c>
      <c r="X7645" s="2">
        <v>230.965</v>
      </c>
    </row>
    <row r="7646" spans="1:24" x14ac:dyDescent="0.3">
      <c r="A7646">
        <v>25458</v>
      </c>
      <c r="B7646" t="s">
        <v>14671</v>
      </c>
      <c r="C7646" s="3">
        <v>41977</v>
      </c>
      <c r="D7646" t="s">
        <v>39</v>
      </c>
      <c r="E7646">
        <v>18</v>
      </c>
      <c r="F7646" s="3">
        <f ca="1">41980+(RANDBETWEEN(1,10))</f>
        <v>41985</v>
      </c>
      <c r="G7646" t="s">
        <v>26</v>
      </c>
      <c r="H7646" t="s">
        <v>27</v>
      </c>
      <c r="I7646" t="s">
        <v>28</v>
      </c>
      <c r="J7646">
        <v>399.03500000000003</v>
      </c>
      <c r="K7646">
        <v>0.06</v>
      </c>
      <c r="L7646">
        <v>0.37</v>
      </c>
      <c r="M7646">
        <v>30.555</v>
      </c>
      <c r="N7646">
        <v>-218.19504000000001</v>
      </c>
      <c r="O7646" s="1" t="s">
        <v>40</v>
      </c>
      <c r="P7646" s="1" t="s">
        <v>11551</v>
      </c>
      <c r="Q7646" s="1" t="s">
        <v>11552</v>
      </c>
      <c r="R7646" s="1" t="s">
        <v>43</v>
      </c>
      <c r="S7646" s="1" t="s">
        <v>9511</v>
      </c>
      <c r="T7646" s="1" t="s">
        <v>9512</v>
      </c>
      <c r="U7646" s="2" t="s">
        <v>2564</v>
      </c>
      <c r="V7646" s="2" t="s">
        <v>47</v>
      </c>
      <c r="W7646" s="2" t="s">
        <v>74</v>
      </c>
      <c r="X7646" s="2">
        <v>22.68</v>
      </c>
    </row>
    <row r="7647" spans="1:24" x14ac:dyDescent="0.3">
      <c r="A7647">
        <v>25459</v>
      </c>
      <c r="B7647" t="s">
        <v>14672</v>
      </c>
      <c r="C7647" s="3">
        <v>41696</v>
      </c>
      <c r="D7647" t="s">
        <v>50</v>
      </c>
      <c r="E7647">
        <v>7</v>
      </c>
      <c r="F7647" s="3">
        <f ca="1">41697+(RANDBETWEEN(1,10))</f>
        <v>41707</v>
      </c>
      <c r="G7647" t="s">
        <v>26</v>
      </c>
      <c r="H7647" t="s">
        <v>51</v>
      </c>
      <c r="I7647" t="s">
        <v>28</v>
      </c>
      <c r="J7647">
        <v>366.17</v>
      </c>
      <c r="K7647">
        <v>0.1</v>
      </c>
      <c r="L7647">
        <v>0.46</v>
      </c>
      <c r="M7647">
        <v>13.055</v>
      </c>
      <c r="N7647">
        <v>252.65729999999999</v>
      </c>
      <c r="O7647" s="1" t="s">
        <v>29</v>
      </c>
      <c r="P7647" s="1" t="s">
        <v>7154</v>
      </c>
      <c r="Q7647" s="1" t="s">
        <v>7155</v>
      </c>
      <c r="R7647" s="1" t="s">
        <v>32</v>
      </c>
      <c r="S7647" s="1" t="s">
        <v>7156</v>
      </c>
      <c r="T7647" s="1" t="s">
        <v>7157</v>
      </c>
      <c r="U7647" s="2" t="s">
        <v>2063</v>
      </c>
      <c r="V7647" s="2" t="s">
        <v>83</v>
      </c>
      <c r="W7647" s="2" t="s">
        <v>178</v>
      </c>
      <c r="X7647" s="2">
        <v>54.88</v>
      </c>
    </row>
    <row r="7648" spans="1:24" x14ac:dyDescent="0.3">
      <c r="A7648">
        <v>25460</v>
      </c>
      <c r="B7648" t="s">
        <v>14673</v>
      </c>
      <c r="C7648" s="3">
        <v>40835</v>
      </c>
      <c r="D7648" t="s">
        <v>25</v>
      </c>
      <c r="E7648">
        <v>1</v>
      </c>
      <c r="F7648" s="3">
        <f ca="1">40835+(RANDBETWEEN(1,10))</f>
        <v>40843</v>
      </c>
      <c r="G7648" t="s">
        <v>26</v>
      </c>
      <c r="H7648" t="s">
        <v>27</v>
      </c>
      <c r="I7648" t="s">
        <v>86</v>
      </c>
      <c r="J7648">
        <v>38.01</v>
      </c>
      <c r="K7648">
        <v>7.0000000000000007E-2</v>
      </c>
      <c r="L7648">
        <v>0.37</v>
      </c>
      <c r="M7648">
        <v>33.39</v>
      </c>
      <c r="N7648">
        <v>7.8120000000000003</v>
      </c>
      <c r="O7648" s="1" t="s">
        <v>29</v>
      </c>
      <c r="P7648" s="1" t="s">
        <v>13515</v>
      </c>
      <c r="Q7648" s="1" t="s">
        <v>13516</v>
      </c>
      <c r="R7648" s="1" t="s">
        <v>32</v>
      </c>
      <c r="S7648" s="1" t="s">
        <v>4995</v>
      </c>
      <c r="T7648" s="1" t="s">
        <v>4996</v>
      </c>
      <c r="U7648" s="2" t="s">
        <v>272</v>
      </c>
      <c r="V7648" s="2" t="s">
        <v>47</v>
      </c>
      <c r="W7648" s="2" t="s">
        <v>74</v>
      </c>
      <c r="X7648" s="2">
        <v>22.68</v>
      </c>
    </row>
    <row r="7649" spans="1:24" x14ac:dyDescent="0.3">
      <c r="A7649">
        <v>25461</v>
      </c>
      <c r="B7649" t="s">
        <v>14674</v>
      </c>
      <c r="C7649" s="3">
        <v>41834</v>
      </c>
      <c r="D7649" t="s">
        <v>25</v>
      </c>
      <c r="E7649">
        <v>1</v>
      </c>
      <c r="F7649" s="3">
        <f ca="1">41841+(RANDBETWEEN(1,10))</f>
        <v>41851</v>
      </c>
      <c r="G7649" t="s">
        <v>26</v>
      </c>
      <c r="H7649" t="s">
        <v>27</v>
      </c>
      <c r="I7649" t="s">
        <v>28</v>
      </c>
      <c r="J7649">
        <v>23.274999999999999</v>
      </c>
      <c r="K7649">
        <v>0.08</v>
      </c>
      <c r="L7649">
        <v>0.35</v>
      </c>
      <c r="M7649">
        <v>18.934999999999999</v>
      </c>
      <c r="N7649">
        <v>-32.963783999999997</v>
      </c>
      <c r="O7649" s="1" t="s">
        <v>225</v>
      </c>
      <c r="P7649" s="1" t="s">
        <v>6770</v>
      </c>
      <c r="Q7649" s="1" t="s">
        <v>6771</v>
      </c>
      <c r="R7649" s="1" t="s">
        <v>228</v>
      </c>
      <c r="S7649" s="1" t="s">
        <v>6772</v>
      </c>
      <c r="T7649" s="1" t="s">
        <v>6773</v>
      </c>
      <c r="U7649" s="2" t="s">
        <v>231</v>
      </c>
      <c r="V7649" s="2" t="s">
        <v>47</v>
      </c>
      <c r="W7649" s="2" t="s">
        <v>111</v>
      </c>
      <c r="X7649" s="2">
        <v>14.84</v>
      </c>
    </row>
    <row r="7650" spans="1:24" x14ac:dyDescent="0.3">
      <c r="A7650">
        <v>25462</v>
      </c>
      <c r="B7650" t="s">
        <v>14675</v>
      </c>
      <c r="C7650" s="3">
        <v>41211</v>
      </c>
      <c r="D7650" t="s">
        <v>62</v>
      </c>
      <c r="E7650">
        <v>3</v>
      </c>
      <c r="F7650" s="3">
        <f ca="1">41212+(RANDBETWEEN(1,10))</f>
        <v>41218</v>
      </c>
      <c r="G7650" t="s">
        <v>76</v>
      </c>
      <c r="H7650" t="s">
        <v>258</v>
      </c>
      <c r="I7650" t="s">
        <v>97</v>
      </c>
      <c r="J7650">
        <v>3634.5749999999998</v>
      </c>
      <c r="K7650">
        <v>0.06</v>
      </c>
      <c r="L7650">
        <v>0.62</v>
      </c>
      <c r="M7650">
        <v>140.66499999999999</v>
      </c>
      <c r="N7650">
        <v>-356.32396799999998</v>
      </c>
      <c r="O7650" s="1" t="s">
        <v>53</v>
      </c>
      <c r="P7650" s="1" t="s">
        <v>14676</v>
      </c>
      <c r="Q7650" s="1" t="s">
        <v>14677</v>
      </c>
      <c r="R7650" s="1" t="s">
        <v>56</v>
      </c>
      <c r="S7650" s="1" t="s">
        <v>7605</v>
      </c>
      <c r="T7650" s="1" t="s">
        <v>7606</v>
      </c>
      <c r="U7650" s="2" t="s">
        <v>3482</v>
      </c>
      <c r="V7650" s="2" t="s">
        <v>83</v>
      </c>
      <c r="W7650" s="2" t="s">
        <v>263</v>
      </c>
      <c r="X7650" s="2">
        <v>1218.7349999999999</v>
      </c>
    </row>
    <row r="7651" spans="1:24" x14ac:dyDescent="0.3">
      <c r="A7651">
        <v>25463</v>
      </c>
      <c r="B7651" t="s">
        <v>14678</v>
      </c>
      <c r="C7651" s="3">
        <v>40773</v>
      </c>
      <c r="D7651" t="s">
        <v>148</v>
      </c>
      <c r="E7651">
        <v>15</v>
      </c>
      <c r="F7651" s="3">
        <f ca="1">40776+(RANDBETWEEN(1,10))</f>
        <v>40784</v>
      </c>
      <c r="G7651" t="s">
        <v>26</v>
      </c>
      <c r="H7651" t="s">
        <v>27</v>
      </c>
      <c r="I7651" t="s">
        <v>97</v>
      </c>
      <c r="J7651">
        <v>8403.3250000000007</v>
      </c>
      <c r="K7651">
        <v>0</v>
      </c>
      <c r="L7651">
        <v>0.59</v>
      </c>
      <c r="M7651">
        <v>17.465</v>
      </c>
      <c r="N7651">
        <v>5798.2942499999999</v>
      </c>
      <c r="O7651" s="1" t="s">
        <v>40</v>
      </c>
      <c r="P7651" s="1" t="s">
        <v>13070</v>
      </c>
      <c r="Q7651" s="1" t="s">
        <v>13071</v>
      </c>
      <c r="R7651" s="1" t="s">
        <v>43</v>
      </c>
      <c r="S7651" s="1" t="s">
        <v>5268</v>
      </c>
      <c r="T7651" s="1" t="s">
        <v>5269</v>
      </c>
      <c r="U7651" s="2">
        <v>5165</v>
      </c>
      <c r="V7651" s="2" t="s">
        <v>36</v>
      </c>
      <c r="W7651" s="2" t="s">
        <v>37</v>
      </c>
      <c r="X7651" s="2">
        <v>615.96500000000003</v>
      </c>
    </row>
    <row r="7652" spans="1:24" x14ac:dyDescent="0.3">
      <c r="A7652">
        <v>25464</v>
      </c>
      <c r="B7652" t="s">
        <v>14679</v>
      </c>
      <c r="C7652" s="3">
        <v>41731</v>
      </c>
      <c r="D7652" t="s">
        <v>62</v>
      </c>
      <c r="E7652">
        <v>10</v>
      </c>
      <c r="F7652" s="3">
        <f ca="1">41733+(RANDBETWEEN(1,10))</f>
        <v>41739</v>
      </c>
      <c r="G7652" t="s">
        <v>76</v>
      </c>
      <c r="H7652" t="s">
        <v>77</v>
      </c>
      <c r="I7652" t="s">
        <v>28</v>
      </c>
      <c r="J7652">
        <v>12316.5</v>
      </c>
      <c r="K7652">
        <v>0.08</v>
      </c>
      <c r="L7652">
        <v>0.64</v>
      </c>
      <c r="M7652">
        <v>206.22</v>
      </c>
      <c r="N7652">
        <v>6629.49</v>
      </c>
      <c r="O7652" s="1" t="s">
        <v>29</v>
      </c>
      <c r="P7652" s="1" t="s">
        <v>13658</v>
      </c>
      <c r="Q7652" s="1" t="s">
        <v>13659</v>
      </c>
      <c r="R7652" s="1" t="s">
        <v>675</v>
      </c>
      <c r="S7652" s="1" t="s">
        <v>860</v>
      </c>
      <c r="T7652" s="1" t="s">
        <v>861</v>
      </c>
      <c r="U7652" s="2" t="s">
        <v>207</v>
      </c>
      <c r="V7652" s="2" t="s">
        <v>83</v>
      </c>
      <c r="W7652" s="2" t="s">
        <v>84</v>
      </c>
      <c r="X7652" s="2">
        <v>1245.93</v>
      </c>
    </row>
    <row r="7653" spans="1:24" x14ac:dyDescent="0.3">
      <c r="A7653">
        <v>25465</v>
      </c>
      <c r="B7653" t="s">
        <v>14680</v>
      </c>
      <c r="C7653" s="3">
        <v>41575</v>
      </c>
      <c r="D7653" t="s">
        <v>39</v>
      </c>
      <c r="E7653">
        <v>1</v>
      </c>
      <c r="F7653" s="3">
        <f ca="1">41576+(RANDBETWEEN(1,10))</f>
        <v>41578</v>
      </c>
      <c r="G7653" t="s">
        <v>26</v>
      </c>
      <c r="H7653" t="s">
        <v>281</v>
      </c>
      <c r="I7653" t="s">
        <v>97</v>
      </c>
      <c r="J7653">
        <v>43.89</v>
      </c>
      <c r="K7653">
        <v>0.04</v>
      </c>
      <c r="L7653">
        <v>0.39</v>
      </c>
      <c r="M7653">
        <v>20.16</v>
      </c>
      <c r="N7653">
        <v>-104.610366</v>
      </c>
      <c r="O7653" s="1" t="s">
        <v>40</v>
      </c>
      <c r="P7653" s="1" t="s">
        <v>14334</v>
      </c>
      <c r="Q7653" s="1" t="s">
        <v>14335</v>
      </c>
      <c r="R7653" s="1" t="s">
        <v>220</v>
      </c>
      <c r="S7653" s="1" t="s">
        <v>6387</v>
      </c>
      <c r="T7653" s="1" t="s">
        <v>6388</v>
      </c>
      <c r="U7653" s="2" t="s">
        <v>7988</v>
      </c>
      <c r="V7653" s="2" t="s">
        <v>36</v>
      </c>
      <c r="W7653" s="2" t="s">
        <v>142</v>
      </c>
      <c r="X7653" s="2">
        <v>33.215000000000003</v>
      </c>
    </row>
    <row r="7654" spans="1:24" x14ac:dyDescent="0.3">
      <c r="A7654">
        <v>25466</v>
      </c>
      <c r="B7654" t="s">
        <v>14681</v>
      </c>
      <c r="C7654" s="3">
        <v>41783</v>
      </c>
      <c r="D7654" t="s">
        <v>62</v>
      </c>
      <c r="E7654">
        <v>2</v>
      </c>
      <c r="F7654" s="3">
        <f ca="1">41785+(RANDBETWEEN(1,10))</f>
        <v>41795</v>
      </c>
      <c r="G7654" t="s">
        <v>26</v>
      </c>
      <c r="H7654" t="s">
        <v>27</v>
      </c>
      <c r="I7654" t="s">
        <v>97</v>
      </c>
      <c r="J7654">
        <v>1216.7750000000001</v>
      </c>
      <c r="K7654">
        <v>0.04</v>
      </c>
      <c r="L7654">
        <v>0.4</v>
      </c>
      <c r="M7654">
        <v>69.965000000000003</v>
      </c>
      <c r="N7654">
        <v>573.31224999999995</v>
      </c>
      <c r="O7654" s="1" t="s">
        <v>29</v>
      </c>
      <c r="P7654" s="1" t="s">
        <v>13497</v>
      </c>
      <c r="Q7654" s="1" t="s">
        <v>13498</v>
      </c>
      <c r="R7654" s="1" t="s">
        <v>32</v>
      </c>
      <c r="S7654" s="1" t="s">
        <v>3174</v>
      </c>
      <c r="T7654" s="1" t="s">
        <v>3175</v>
      </c>
      <c r="U7654" s="2" t="s">
        <v>2782</v>
      </c>
      <c r="V7654" s="2" t="s">
        <v>47</v>
      </c>
      <c r="W7654" s="2" t="s">
        <v>111</v>
      </c>
      <c r="X7654" s="2">
        <v>580.92999999999995</v>
      </c>
    </row>
    <row r="7655" spans="1:24" x14ac:dyDescent="0.3">
      <c r="A7655">
        <v>25467</v>
      </c>
      <c r="B7655" t="s">
        <v>14682</v>
      </c>
      <c r="C7655" s="3">
        <v>40728</v>
      </c>
      <c r="D7655" t="s">
        <v>148</v>
      </c>
      <c r="E7655">
        <v>7</v>
      </c>
      <c r="F7655" s="3">
        <f ca="1">40730+(RANDBETWEEN(1,10))</f>
        <v>40732</v>
      </c>
      <c r="G7655" t="s">
        <v>26</v>
      </c>
      <c r="H7655" t="s">
        <v>27</v>
      </c>
      <c r="I7655" t="s">
        <v>97</v>
      </c>
      <c r="J7655">
        <v>8961.9249999999993</v>
      </c>
      <c r="K7655">
        <v>0.05</v>
      </c>
      <c r="L7655">
        <v>0.56999999999999995</v>
      </c>
      <c r="M7655">
        <v>69.965000000000003</v>
      </c>
      <c r="N7655">
        <v>6183.7282500000001</v>
      </c>
      <c r="O7655" s="1" t="s">
        <v>29</v>
      </c>
      <c r="P7655" s="1" t="s">
        <v>12403</v>
      </c>
      <c r="Q7655" s="1" t="s">
        <v>12404</v>
      </c>
      <c r="R7655" s="1" t="s">
        <v>675</v>
      </c>
      <c r="S7655" s="1" t="s">
        <v>12405</v>
      </c>
      <c r="T7655" s="1" t="s">
        <v>12406</v>
      </c>
      <c r="U7655" s="2" t="s">
        <v>572</v>
      </c>
      <c r="V7655" s="2" t="s">
        <v>47</v>
      </c>
      <c r="W7655" s="2" t="s">
        <v>71</v>
      </c>
      <c r="X7655" s="2">
        <v>1271.375</v>
      </c>
    </row>
    <row r="7656" spans="1:24" x14ac:dyDescent="0.3">
      <c r="A7656">
        <v>25468</v>
      </c>
      <c r="B7656" t="s">
        <v>14683</v>
      </c>
      <c r="C7656" s="3">
        <v>41824</v>
      </c>
      <c r="D7656" t="s">
        <v>148</v>
      </c>
      <c r="E7656">
        <v>11</v>
      </c>
      <c r="F7656" s="3">
        <f ca="1">41825+(RANDBETWEEN(1,10))</f>
        <v>41826</v>
      </c>
      <c r="G7656" t="s">
        <v>26</v>
      </c>
      <c r="H7656" t="s">
        <v>96</v>
      </c>
      <c r="I7656" t="s">
        <v>97</v>
      </c>
      <c r="J7656">
        <v>135.345</v>
      </c>
      <c r="K7656">
        <v>0.06</v>
      </c>
      <c r="L7656">
        <v>0.54</v>
      </c>
      <c r="M7656">
        <v>26.215</v>
      </c>
      <c r="N7656">
        <v>-553.36512000000005</v>
      </c>
      <c r="O7656" s="1" t="s">
        <v>29</v>
      </c>
      <c r="P7656" s="1" t="s">
        <v>12403</v>
      </c>
      <c r="Q7656" s="1" t="s">
        <v>12404</v>
      </c>
      <c r="R7656" s="1" t="s">
        <v>675</v>
      </c>
      <c r="S7656" s="1" t="s">
        <v>12405</v>
      </c>
      <c r="T7656" s="1" t="s">
        <v>12406</v>
      </c>
      <c r="U7656" s="2" t="s">
        <v>6714</v>
      </c>
      <c r="V7656" s="2" t="s">
        <v>47</v>
      </c>
      <c r="W7656" s="2" t="s">
        <v>104</v>
      </c>
      <c r="X7656" s="2">
        <v>11.69</v>
      </c>
    </row>
    <row r="7657" spans="1:24" x14ac:dyDescent="0.3">
      <c r="A7657">
        <v>25469</v>
      </c>
      <c r="B7657" t="s">
        <v>14684</v>
      </c>
      <c r="C7657" s="3">
        <v>41171</v>
      </c>
      <c r="D7657" t="s">
        <v>39</v>
      </c>
      <c r="E7657">
        <v>15</v>
      </c>
      <c r="F7657" s="3">
        <f ca="1">41171+(RANDBETWEEN(1,10))</f>
        <v>41176</v>
      </c>
      <c r="G7657" t="s">
        <v>26</v>
      </c>
      <c r="H7657" t="s">
        <v>27</v>
      </c>
      <c r="I7657" t="s">
        <v>97</v>
      </c>
      <c r="J7657">
        <v>4244.415</v>
      </c>
      <c r="K7657">
        <v>0.01</v>
      </c>
      <c r="L7657">
        <v>0.43</v>
      </c>
      <c r="M7657">
        <v>69.965000000000003</v>
      </c>
      <c r="N7657">
        <v>2928.64635</v>
      </c>
      <c r="O7657" s="1" t="s">
        <v>40</v>
      </c>
      <c r="P7657" s="1" t="s">
        <v>14685</v>
      </c>
      <c r="Q7657" s="1" t="s">
        <v>14686</v>
      </c>
      <c r="R7657" s="1" t="s">
        <v>43</v>
      </c>
      <c r="S7657" s="1" t="s">
        <v>1194</v>
      </c>
      <c r="T7657" s="1" t="s">
        <v>1195</v>
      </c>
      <c r="U7657" s="2" t="s">
        <v>7425</v>
      </c>
      <c r="V7657" s="2" t="s">
        <v>83</v>
      </c>
      <c r="W7657" s="2" t="s">
        <v>178</v>
      </c>
      <c r="X7657" s="2">
        <v>275.41500000000002</v>
      </c>
    </row>
    <row r="7658" spans="1:24" x14ac:dyDescent="0.3">
      <c r="A7658">
        <v>25470</v>
      </c>
      <c r="B7658" t="s">
        <v>14684</v>
      </c>
      <c r="C7658" s="3">
        <v>41171</v>
      </c>
      <c r="D7658" t="s">
        <v>39</v>
      </c>
      <c r="E7658">
        <v>7</v>
      </c>
      <c r="F7658" s="3">
        <f ca="1">41173+(RANDBETWEEN(1,10))</f>
        <v>41174</v>
      </c>
      <c r="G7658" t="s">
        <v>76</v>
      </c>
      <c r="H7658" t="s">
        <v>258</v>
      </c>
      <c r="I7658" t="s">
        <v>97</v>
      </c>
      <c r="J7658">
        <v>3652.39</v>
      </c>
      <c r="K7658">
        <v>0.05</v>
      </c>
      <c r="L7658">
        <v>0.69</v>
      </c>
      <c r="M7658">
        <v>181.72</v>
      </c>
      <c r="N7658">
        <v>-1088.325</v>
      </c>
      <c r="O7658" s="1" t="s">
        <v>40</v>
      </c>
      <c r="P7658" s="1" t="s">
        <v>14685</v>
      </c>
      <c r="Q7658" s="1" t="s">
        <v>14686</v>
      </c>
      <c r="R7658" s="1" t="s">
        <v>43</v>
      </c>
      <c r="S7658" s="1" t="s">
        <v>1194</v>
      </c>
      <c r="T7658" s="1" t="s">
        <v>1195</v>
      </c>
      <c r="U7658" s="2" t="s">
        <v>2661</v>
      </c>
      <c r="V7658" s="2" t="s">
        <v>83</v>
      </c>
      <c r="W7658" s="2" t="s">
        <v>263</v>
      </c>
      <c r="X7658" s="2">
        <v>510.93</v>
      </c>
    </row>
    <row r="7659" spans="1:24" x14ac:dyDescent="0.3">
      <c r="A7659">
        <v>25471</v>
      </c>
      <c r="B7659" t="s">
        <v>14687</v>
      </c>
      <c r="C7659" s="3">
        <v>40963</v>
      </c>
      <c r="D7659" t="s">
        <v>39</v>
      </c>
      <c r="E7659">
        <v>9</v>
      </c>
      <c r="F7659" s="3">
        <f ca="1">40965+(RANDBETWEEN(1,10))</f>
        <v>40966</v>
      </c>
      <c r="G7659" t="s">
        <v>26</v>
      </c>
      <c r="H7659" t="s">
        <v>27</v>
      </c>
      <c r="I7659" t="s">
        <v>86</v>
      </c>
      <c r="J7659">
        <v>159.215</v>
      </c>
      <c r="K7659">
        <v>0.03</v>
      </c>
      <c r="L7659">
        <v>0.39</v>
      </c>
      <c r="M7659">
        <v>21.245000000000001</v>
      </c>
      <c r="N7659">
        <v>-462.91525000000001</v>
      </c>
      <c r="O7659" s="1" t="s">
        <v>225</v>
      </c>
      <c r="P7659" s="1" t="s">
        <v>9556</v>
      </c>
      <c r="Q7659" s="1" t="s">
        <v>9557</v>
      </c>
      <c r="R7659" s="1" t="s">
        <v>228</v>
      </c>
      <c r="S7659" s="1" t="s">
        <v>6990</v>
      </c>
      <c r="T7659" s="1" t="s">
        <v>6991</v>
      </c>
      <c r="U7659" s="2" t="s">
        <v>14688</v>
      </c>
      <c r="V7659" s="2" t="s">
        <v>47</v>
      </c>
      <c r="W7659" s="2" t="s">
        <v>111</v>
      </c>
      <c r="X7659" s="2">
        <v>17.114999999999998</v>
      </c>
    </row>
    <row r="7660" spans="1:24" x14ac:dyDescent="0.3">
      <c r="A7660">
        <v>25472</v>
      </c>
      <c r="B7660" t="s">
        <v>14689</v>
      </c>
      <c r="C7660" s="3">
        <v>41009</v>
      </c>
      <c r="D7660" t="s">
        <v>25</v>
      </c>
      <c r="E7660">
        <v>12</v>
      </c>
      <c r="F7660" s="3">
        <f ca="1">41018+(RANDBETWEEN(1,10))</f>
        <v>41024</v>
      </c>
      <c r="G7660" t="s">
        <v>76</v>
      </c>
      <c r="H7660" t="s">
        <v>77</v>
      </c>
      <c r="I7660" t="s">
        <v>28</v>
      </c>
      <c r="J7660">
        <v>10045.91</v>
      </c>
      <c r="K7660">
        <v>7.0000000000000007E-2</v>
      </c>
      <c r="L7660">
        <v>0.55000000000000004</v>
      </c>
      <c r="M7660">
        <v>151.62</v>
      </c>
      <c r="N7660">
        <v>6931.6778999999997</v>
      </c>
      <c r="O7660" s="1" t="s">
        <v>40</v>
      </c>
      <c r="P7660" s="1" t="s">
        <v>14472</v>
      </c>
      <c r="Q7660" s="1" t="s">
        <v>14473</v>
      </c>
      <c r="R7660" s="1" t="s">
        <v>220</v>
      </c>
      <c r="S7660" s="1" t="s">
        <v>777</v>
      </c>
      <c r="T7660" s="1" t="s">
        <v>778</v>
      </c>
      <c r="U7660" s="2" t="s">
        <v>1924</v>
      </c>
      <c r="V7660" s="2" t="s">
        <v>83</v>
      </c>
      <c r="W7660" s="2" t="s">
        <v>84</v>
      </c>
      <c r="X7660" s="2">
        <v>853.93</v>
      </c>
    </row>
    <row r="7661" spans="1:24" x14ac:dyDescent="0.3">
      <c r="A7661">
        <v>25473</v>
      </c>
      <c r="B7661" t="s">
        <v>14690</v>
      </c>
      <c r="C7661" s="3">
        <v>40708</v>
      </c>
      <c r="D7661" t="s">
        <v>50</v>
      </c>
      <c r="E7661">
        <v>9</v>
      </c>
      <c r="F7661" s="3">
        <f ca="1">40708+(RANDBETWEEN(1,10))</f>
        <v>40713</v>
      </c>
      <c r="G7661" t="s">
        <v>26</v>
      </c>
      <c r="H7661" t="s">
        <v>27</v>
      </c>
      <c r="I7661" t="s">
        <v>97</v>
      </c>
      <c r="J7661">
        <v>9248.68</v>
      </c>
      <c r="K7661">
        <v>0.08</v>
      </c>
      <c r="L7661">
        <v>0.38</v>
      </c>
      <c r="M7661">
        <v>69.965000000000003</v>
      </c>
      <c r="N7661">
        <v>155.82</v>
      </c>
      <c r="O7661" s="1" t="s">
        <v>64</v>
      </c>
      <c r="P7661" s="1" t="s">
        <v>4974</v>
      </c>
      <c r="Q7661" s="1" t="s">
        <v>4975</v>
      </c>
      <c r="R7661" s="1" t="s">
        <v>67</v>
      </c>
      <c r="S7661" s="1" t="s">
        <v>4976</v>
      </c>
      <c r="T7661" s="1" t="s">
        <v>4977</v>
      </c>
      <c r="U7661" s="2" t="s">
        <v>1457</v>
      </c>
      <c r="V7661" s="2" t="s">
        <v>47</v>
      </c>
      <c r="W7661" s="2" t="s">
        <v>111</v>
      </c>
      <c r="X7661" s="2">
        <v>1105.93</v>
      </c>
    </row>
    <row r="7662" spans="1:24" x14ac:dyDescent="0.3">
      <c r="A7662">
        <v>25474</v>
      </c>
      <c r="B7662" t="s">
        <v>14691</v>
      </c>
      <c r="C7662" s="3">
        <v>41833</v>
      </c>
      <c r="D7662" t="s">
        <v>148</v>
      </c>
      <c r="E7662">
        <v>18</v>
      </c>
      <c r="F7662" s="3">
        <f ca="1">41834+(RANDBETWEEN(1,10))</f>
        <v>41844</v>
      </c>
      <c r="G7662" t="s">
        <v>156</v>
      </c>
      <c r="H7662" t="s">
        <v>63</v>
      </c>
      <c r="I7662" t="s">
        <v>28</v>
      </c>
      <c r="J7662">
        <v>17557.505000000001</v>
      </c>
      <c r="K7662">
        <v>0.1</v>
      </c>
      <c r="L7662">
        <v>0.5</v>
      </c>
      <c r="M7662">
        <v>40.74</v>
      </c>
      <c r="N7662">
        <v>98.049000000000007</v>
      </c>
      <c r="O7662" s="1" t="s">
        <v>29</v>
      </c>
      <c r="P7662" s="1" t="s">
        <v>10936</v>
      </c>
      <c r="Q7662" s="1" t="s">
        <v>10937</v>
      </c>
      <c r="R7662" s="1" t="s">
        <v>32</v>
      </c>
      <c r="S7662" s="1" t="s">
        <v>10938</v>
      </c>
      <c r="T7662" s="1" t="s">
        <v>10939</v>
      </c>
      <c r="U7662" s="2" t="s">
        <v>2872</v>
      </c>
      <c r="V7662" s="2" t="s">
        <v>36</v>
      </c>
      <c r="W7662" s="2" t="s">
        <v>1327</v>
      </c>
      <c r="X7662" s="2">
        <v>1049.9649999999999</v>
      </c>
    </row>
    <row r="7663" spans="1:24" x14ac:dyDescent="0.3">
      <c r="A7663">
        <v>25475</v>
      </c>
      <c r="B7663" t="s">
        <v>14691</v>
      </c>
      <c r="C7663" s="3">
        <v>41833</v>
      </c>
      <c r="D7663" t="s">
        <v>148</v>
      </c>
      <c r="E7663">
        <v>13</v>
      </c>
      <c r="F7663" s="3">
        <f ca="1">41834+(RANDBETWEEN(1,10))</f>
        <v>41841</v>
      </c>
      <c r="G7663" t="s">
        <v>26</v>
      </c>
      <c r="H7663" t="s">
        <v>27</v>
      </c>
      <c r="I7663" t="s">
        <v>28</v>
      </c>
      <c r="J7663">
        <v>1477.28</v>
      </c>
      <c r="K7663">
        <v>0.06</v>
      </c>
      <c r="L7663">
        <v>0.55000000000000004</v>
      </c>
      <c r="M7663">
        <v>69.965000000000003</v>
      </c>
      <c r="N7663">
        <v>673.40700000000004</v>
      </c>
      <c r="O7663" s="1" t="s">
        <v>29</v>
      </c>
      <c r="P7663" s="1" t="s">
        <v>10936</v>
      </c>
      <c r="Q7663" s="1" t="s">
        <v>10937</v>
      </c>
      <c r="R7663" s="1" t="s">
        <v>32</v>
      </c>
      <c r="S7663" s="1" t="s">
        <v>10938</v>
      </c>
      <c r="T7663" s="1" t="s">
        <v>10939</v>
      </c>
      <c r="U7663" s="2" t="s">
        <v>3861</v>
      </c>
      <c r="V7663" s="2" t="s">
        <v>83</v>
      </c>
      <c r="W7663" s="2" t="s">
        <v>178</v>
      </c>
      <c r="X7663" s="2">
        <v>118.93</v>
      </c>
    </row>
    <row r="7664" spans="1:24" x14ac:dyDescent="0.3">
      <c r="A7664">
        <v>25476</v>
      </c>
      <c r="B7664" t="s">
        <v>14691</v>
      </c>
      <c r="C7664" s="3">
        <v>41833</v>
      </c>
      <c r="D7664" t="s">
        <v>148</v>
      </c>
      <c r="E7664">
        <v>17</v>
      </c>
      <c r="F7664" s="3">
        <f ca="1">41834+(RANDBETWEEN(1,10))</f>
        <v>41839</v>
      </c>
      <c r="G7664" t="s">
        <v>26</v>
      </c>
      <c r="H7664" t="s">
        <v>51</v>
      </c>
      <c r="I7664" t="s">
        <v>28</v>
      </c>
      <c r="J7664">
        <v>2886.6950000000002</v>
      </c>
      <c r="K7664">
        <v>0.04</v>
      </c>
      <c r="L7664">
        <v>0.83</v>
      </c>
      <c r="M7664">
        <v>17.5</v>
      </c>
      <c r="N7664">
        <v>-321.78300000000002</v>
      </c>
      <c r="O7664" s="1" t="s">
        <v>29</v>
      </c>
      <c r="P7664" s="1" t="s">
        <v>10936</v>
      </c>
      <c r="Q7664" s="1" t="s">
        <v>10937</v>
      </c>
      <c r="R7664" s="1" t="s">
        <v>32</v>
      </c>
      <c r="S7664" s="1" t="s">
        <v>10938</v>
      </c>
      <c r="T7664" s="1" t="s">
        <v>10939</v>
      </c>
      <c r="U7664" s="2" t="s">
        <v>4376</v>
      </c>
      <c r="V7664" s="2" t="s">
        <v>36</v>
      </c>
      <c r="W7664" s="2" t="s">
        <v>37</v>
      </c>
      <c r="X7664" s="2">
        <v>195.965</v>
      </c>
    </row>
    <row r="7665" spans="1:24" x14ac:dyDescent="0.3">
      <c r="A7665">
        <v>25477</v>
      </c>
      <c r="B7665" t="s">
        <v>14692</v>
      </c>
      <c r="C7665" s="3">
        <v>41178</v>
      </c>
      <c r="D7665" t="s">
        <v>62</v>
      </c>
      <c r="E7665">
        <v>12</v>
      </c>
      <c r="F7665" s="3">
        <f ca="1">41179+(RANDBETWEEN(1,10))</f>
        <v>41185</v>
      </c>
      <c r="G7665" t="s">
        <v>26</v>
      </c>
      <c r="H7665" t="s">
        <v>27</v>
      </c>
      <c r="I7665" t="s">
        <v>28</v>
      </c>
      <c r="J7665">
        <v>464.31</v>
      </c>
      <c r="K7665">
        <v>0.01</v>
      </c>
      <c r="L7665">
        <v>0.36</v>
      </c>
      <c r="M7665">
        <v>16.8</v>
      </c>
      <c r="N7665">
        <v>132.65</v>
      </c>
      <c r="O7665" s="1" t="s">
        <v>40</v>
      </c>
      <c r="P7665" s="1" t="s">
        <v>6292</v>
      </c>
      <c r="Q7665" s="1" t="s">
        <v>6293</v>
      </c>
      <c r="R7665" s="1" t="s">
        <v>43</v>
      </c>
      <c r="S7665" s="1" t="s">
        <v>80</v>
      </c>
      <c r="T7665" s="1" t="s">
        <v>6294</v>
      </c>
      <c r="U7665" s="2" t="s">
        <v>3188</v>
      </c>
      <c r="V7665" s="2" t="s">
        <v>47</v>
      </c>
      <c r="W7665" s="2" t="s">
        <v>48</v>
      </c>
      <c r="X7665" s="2">
        <v>38.43</v>
      </c>
    </row>
    <row r="7666" spans="1:24" x14ac:dyDescent="0.3">
      <c r="A7666">
        <v>25478</v>
      </c>
      <c r="B7666" t="s">
        <v>14693</v>
      </c>
      <c r="C7666" s="3">
        <v>40904</v>
      </c>
      <c r="D7666" t="s">
        <v>50</v>
      </c>
      <c r="E7666">
        <v>6</v>
      </c>
      <c r="F7666" s="3">
        <f ca="1">40905+(RANDBETWEEN(1,10))</f>
        <v>40913</v>
      </c>
      <c r="G7666" t="s">
        <v>26</v>
      </c>
      <c r="H7666" t="s">
        <v>63</v>
      </c>
      <c r="I7666" t="s">
        <v>28</v>
      </c>
      <c r="J7666">
        <v>142.41499999999999</v>
      </c>
      <c r="K7666">
        <v>0.1</v>
      </c>
      <c r="L7666">
        <v>0.56000000000000005</v>
      </c>
      <c r="M7666">
        <v>171.5</v>
      </c>
      <c r="N7666">
        <v>-1001.8575</v>
      </c>
      <c r="O7666" s="1" t="s">
        <v>64</v>
      </c>
      <c r="P7666" s="1" t="s">
        <v>10549</v>
      </c>
      <c r="Q7666" s="1" t="s">
        <v>10550</v>
      </c>
      <c r="R7666" s="1" t="s">
        <v>67</v>
      </c>
      <c r="S7666" s="1" t="s">
        <v>10551</v>
      </c>
      <c r="T7666" s="1" t="s">
        <v>10552</v>
      </c>
      <c r="U7666" s="2" t="s">
        <v>4554</v>
      </c>
      <c r="V7666" s="2" t="s">
        <v>47</v>
      </c>
      <c r="W7666" s="2" t="s">
        <v>71</v>
      </c>
      <c r="X7666" s="2">
        <v>11.375</v>
      </c>
    </row>
    <row r="7667" spans="1:24" x14ac:dyDescent="0.3">
      <c r="A7667">
        <v>25479</v>
      </c>
      <c r="B7667" t="s">
        <v>14694</v>
      </c>
      <c r="C7667" s="3">
        <v>42000</v>
      </c>
      <c r="D7667" t="s">
        <v>50</v>
      </c>
      <c r="E7667">
        <v>8</v>
      </c>
      <c r="F7667" s="3">
        <f ca="1">42001+(RANDBETWEEN(1,10))</f>
        <v>42011</v>
      </c>
      <c r="G7667" t="s">
        <v>76</v>
      </c>
      <c r="H7667" t="s">
        <v>77</v>
      </c>
      <c r="I7667" t="s">
        <v>28</v>
      </c>
      <c r="J7667">
        <v>8885.3799999999992</v>
      </c>
      <c r="K7667">
        <v>0</v>
      </c>
      <c r="L7667">
        <v>0.56000000000000005</v>
      </c>
      <c r="M7667">
        <v>226.55500000000001</v>
      </c>
      <c r="N7667">
        <v>3837.3171200000002</v>
      </c>
      <c r="O7667" s="1" t="s">
        <v>64</v>
      </c>
      <c r="P7667" s="1" t="s">
        <v>10549</v>
      </c>
      <c r="Q7667" s="1" t="s">
        <v>10550</v>
      </c>
      <c r="R7667" s="1" t="s">
        <v>67</v>
      </c>
      <c r="S7667" s="1" t="s">
        <v>10551</v>
      </c>
      <c r="T7667" s="1" t="s">
        <v>10552</v>
      </c>
      <c r="U7667" s="2" t="s">
        <v>3031</v>
      </c>
      <c r="V7667" s="2" t="s">
        <v>83</v>
      </c>
      <c r="W7667" s="2" t="s">
        <v>84</v>
      </c>
      <c r="X7667" s="2">
        <v>1053.43</v>
      </c>
    </row>
    <row r="7668" spans="1:24" x14ac:dyDescent="0.3">
      <c r="A7668">
        <v>25480</v>
      </c>
      <c r="B7668" t="s">
        <v>14695</v>
      </c>
      <c r="C7668" s="3">
        <v>40762</v>
      </c>
      <c r="D7668" t="s">
        <v>62</v>
      </c>
      <c r="E7668">
        <v>20</v>
      </c>
      <c r="F7668" s="3">
        <f ca="1">40764+(RANDBETWEEN(1,10))</f>
        <v>40771</v>
      </c>
      <c r="G7668" t="s">
        <v>26</v>
      </c>
      <c r="H7668" t="s">
        <v>27</v>
      </c>
      <c r="I7668" t="s">
        <v>28</v>
      </c>
      <c r="J7668">
        <v>1022.63</v>
      </c>
      <c r="K7668">
        <v>0.08</v>
      </c>
      <c r="L7668">
        <v>0.43</v>
      </c>
      <c r="M7668">
        <v>46.62</v>
      </c>
      <c r="N7668">
        <v>-460.66019999999997</v>
      </c>
      <c r="O7668" s="1" t="s">
        <v>87</v>
      </c>
      <c r="P7668" s="1" t="s">
        <v>10622</v>
      </c>
      <c r="Q7668" s="1" t="s">
        <v>10623</v>
      </c>
      <c r="R7668" s="1" t="s">
        <v>646</v>
      </c>
      <c r="S7668" s="1" t="s">
        <v>6024</v>
      </c>
      <c r="T7668" s="1" t="s">
        <v>6025</v>
      </c>
      <c r="U7668" s="2" t="s">
        <v>1840</v>
      </c>
      <c r="V7668" s="2" t="s">
        <v>47</v>
      </c>
      <c r="W7668" s="2" t="s">
        <v>71</v>
      </c>
      <c r="X7668" s="2">
        <v>51.835000000000001</v>
      </c>
    </row>
    <row r="7669" spans="1:24" x14ac:dyDescent="0.3">
      <c r="A7669">
        <v>25481</v>
      </c>
      <c r="B7669" t="s">
        <v>14696</v>
      </c>
      <c r="C7669" s="3">
        <v>41607</v>
      </c>
      <c r="D7669" t="s">
        <v>62</v>
      </c>
      <c r="E7669">
        <v>21</v>
      </c>
      <c r="F7669" s="3">
        <f ca="1">41608+(RANDBETWEEN(1,10))</f>
        <v>41617</v>
      </c>
      <c r="G7669" t="s">
        <v>26</v>
      </c>
      <c r="H7669" t="s">
        <v>27</v>
      </c>
      <c r="I7669" t="s">
        <v>86</v>
      </c>
      <c r="J7669">
        <v>1962.87</v>
      </c>
      <c r="K7669">
        <v>0.08</v>
      </c>
      <c r="L7669">
        <v>0.75</v>
      </c>
      <c r="M7669">
        <v>14</v>
      </c>
      <c r="N7669">
        <v>40.271000000000001</v>
      </c>
      <c r="O7669" s="1" t="s">
        <v>53</v>
      </c>
      <c r="P7669" s="1" t="s">
        <v>14676</v>
      </c>
      <c r="Q7669" s="1" t="s">
        <v>14677</v>
      </c>
      <c r="R7669" s="1" t="s">
        <v>56</v>
      </c>
      <c r="S7669" s="1" t="s">
        <v>7605</v>
      </c>
      <c r="T7669" s="1" t="s">
        <v>7606</v>
      </c>
      <c r="U7669" s="2" t="s">
        <v>4155</v>
      </c>
      <c r="V7669" s="2" t="s">
        <v>36</v>
      </c>
      <c r="W7669" s="2" t="s">
        <v>60</v>
      </c>
      <c r="X7669" s="2">
        <v>96.18</v>
      </c>
    </row>
    <row r="7670" spans="1:24" x14ac:dyDescent="0.3">
      <c r="A7670">
        <v>25482</v>
      </c>
      <c r="B7670" t="s">
        <v>14697</v>
      </c>
      <c r="C7670" s="3">
        <v>41897</v>
      </c>
      <c r="D7670" t="s">
        <v>62</v>
      </c>
      <c r="E7670">
        <v>24</v>
      </c>
      <c r="F7670" s="3">
        <f ca="1">41898+(RANDBETWEEN(1,10))</f>
        <v>41905</v>
      </c>
      <c r="G7670" t="s">
        <v>26</v>
      </c>
      <c r="H7670" t="s">
        <v>281</v>
      </c>
      <c r="I7670" t="s">
        <v>86</v>
      </c>
      <c r="J7670">
        <v>4750.165</v>
      </c>
      <c r="K7670">
        <v>0.02</v>
      </c>
      <c r="L7670">
        <v>0.64</v>
      </c>
      <c r="M7670">
        <v>38.85</v>
      </c>
      <c r="N7670">
        <v>114.72195000000001</v>
      </c>
      <c r="O7670" s="1" t="s">
        <v>40</v>
      </c>
      <c r="P7670" s="1" t="s">
        <v>3905</v>
      </c>
      <c r="Q7670" s="1" t="s">
        <v>3906</v>
      </c>
      <c r="R7670" s="1" t="s">
        <v>220</v>
      </c>
      <c r="S7670" s="1" t="s">
        <v>3907</v>
      </c>
      <c r="T7670" s="1" t="s">
        <v>3908</v>
      </c>
      <c r="U7670" s="2" t="s">
        <v>3827</v>
      </c>
      <c r="V7670" s="2" t="s">
        <v>83</v>
      </c>
      <c r="W7670" s="2" t="s">
        <v>178</v>
      </c>
      <c r="X7670" s="2">
        <v>189.7</v>
      </c>
    </row>
    <row r="7671" spans="1:24" x14ac:dyDescent="0.3">
      <c r="A7671">
        <v>25483</v>
      </c>
      <c r="B7671" t="s">
        <v>14698</v>
      </c>
      <c r="C7671" s="3">
        <v>41875</v>
      </c>
      <c r="D7671" t="s">
        <v>148</v>
      </c>
      <c r="E7671">
        <v>4</v>
      </c>
      <c r="F7671" s="3">
        <f ca="1">41876+(RANDBETWEEN(1,10))</f>
        <v>41881</v>
      </c>
      <c r="G7671" t="s">
        <v>26</v>
      </c>
      <c r="H7671" t="s">
        <v>27</v>
      </c>
      <c r="I7671" t="s">
        <v>86</v>
      </c>
      <c r="J7671">
        <v>690.72500000000002</v>
      </c>
      <c r="K7671">
        <v>0.01</v>
      </c>
      <c r="L7671">
        <v>0.37</v>
      </c>
      <c r="M7671">
        <v>20.265000000000001</v>
      </c>
      <c r="N7671">
        <v>465.21944000000002</v>
      </c>
      <c r="O7671" s="1" t="s">
        <v>29</v>
      </c>
      <c r="P7671" s="1" t="s">
        <v>13108</v>
      </c>
      <c r="Q7671" s="1" t="s">
        <v>13109</v>
      </c>
      <c r="R7671" s="1" t="s">
        <v>675</v>
      </c>
      <c r="S7671" s="1" t="s">
        <v>746</v>
      </c>
      <c r="T7671" s="1" t="s">
        <v>747</v>
      </c>
      <c r="U7671" s="2" t="s">
        <v>8002</v>
      </c>
      <c r="V7671" s="2" t="s">
        <v>47</v>
      </c>
      <c r="W7671" s="2" t="s">
        <v>74</v>
      </c>
      <c r="X7671" s="2">
        <v>168.14</v>
      </c>
    </row>
    <row r="7672" spans="1:24" x14ac:dyDescent="0.3">
      <c r="A7672">
        <v>25484</v>
      </c>
      <c r="B7672" t="s">
        <v>14699</v>
      </c>
      <c r="C7672" s="3">
        <v>41555</v>
      </c>
      <c r="D7672" t="s">
        <v>62</v>
      </c>
      <c r="E7672">
        <v>17</v>
      </c>
      <c r="F7672" s="3">
        <f ca="1">41556+(RANDBETWEEN(1,10))</f>
        <v>41557</v>
      </c>
      <c r="G7672" t="s">
        <v>26</v>
      </c>
      <c r="H7672" t="s">
        <v>27</v>
      </c>
      <c r="I7672" t="s">
        <v>52</v>
      </c>
      <c r="J7672">
        <v>2511.9850000000001</v>
      </c>
      <c r="K7672">
        <v>0.04</v>
      </c>
      <c r="L7672">
        <v>0.56000000000000005</v>
      </c>
      <c r="M7672">
        <v>16.170000000000002</v>
      </c>
      <c r="N7672">
        <v>1247.9431999999999</v>
      </c>
      <c r="O7672" s="1" t="s">
        <v>87</v>
      </c>
      <c r="P7672" s="1" t="s">
        <v>9455</v>
      </c>
      <c r="Q7672" s="1" t="s">
        <v>9456</v>
      </c>
      <c r="R7672" s="1" t="s">
        <v>90</v>
      </c>
      <c r="S7672" s="1" t="s">
        <v>9457</v>
      </c>
      <c r="T7672" s="1" t="s">
        <v>9458</v>
      </c>
      <c r="U7672" s="2" t="s">
        <v>5674</v>
      </c>
      <c r="V7672" s="2" t="s">
        <v>47</v>
      </c>
      <c r="W7672" s="2" t="s">
        <v>71</v>
      </c>
      <c r="X7672" s="2">
        <v>150.43</v>
      </c>
    </row>
    <row r="7673" spans="1:24" x14ac:dyDescent="0.3">
      <c r="A7673">
        <v>25485</v>
      </c>
      <c r="B7673" t="s">
        <v>14699</v>
      </c>
      <c r="C7673" s="3">
        <v>41555</v>
      </c>
      <c r="D7673" t="s">
        <v>62</v>
      </c>
      <c r="E7673">
        <v>1</v>
      </c>
      <c r="F7673" s="3">
        <f ca="1">41557+(RANDBETWEEN(1,10))</f>
        <v>41559</v>
      </c>
      <c r="G7673" t="s">
        <v>26</v>
      </c>
      <c r="H7673" t="s">
        <v>27</v>
      </c>
      <c r="I7673" t="s">
        <v>52</v>
      </c>
      <c r="J7673">
        <v>22.715</v>
      </c>
      <c r="K7673">
        <v>0.01</v>
      </c>
      <c r="L7673">
        <v>0.39</v>
      </c>
      <c r="M7673">
        <v>1.75</v>
      </c>
      <c r="N7673">
        <v>-7.5978000000000003</v>
      </c>
      <c r="O7673" s="1" t="s">
        <v>87</v>
      </c>
      <c r="P7673" s="1" t="s">
        <v>9455</v>
      </c>
      <c r="Q7673" s="1" t="s">
        <v>9456</v>
      </c>
      <c r="R7673" s="1" t="s">
        <v>90</v>
      </c>
      <c r="S7673" s="1" t="s">
        <v>9457</v>
      </c>
      <c r="T7673" s="1" t="s">
        <v>9458</v>
      </c>
      <c r="U7673" s="2" t="s">
        <v>2675</v>
      </c>
      <c r="V7673" s="2" t="s">
        <v>47</v>
      </c>
      <c r="W7673" s="2" t="s">
        <v>203</v>
      </c>
      <c r="X7673" s="2">
        <v>22.05</v>
      </c>
    </row>
    <row r="7674" spans="1:24" x14ac:dyDescent="0.3">
      <c r="A7674">
        <v>25486</v>
      </c>
      <c r="B7674" t="s">
        <v>14699</v>
      </c>
      <c r="C7674" s="3">
        <v>41555</v>
      </c>
      <c r="D7674" t="s">
        <v>62</v>
      </c>
      <c r="E7674">
        <v>11</v>
      </c>
      <c r="F7674" s="3">
        <f ca="1">41556+(RANDBETWEEN(1,10))</f>
        <v>41560</v>
      </c>
      <c r="G7674" t="s">
        <v>26</v>
      </c>
      <c r="H7674" t="s">
        <v>96</v>
      </c>
      <c r="I7674" t="s">
        <v>52</v>
      </c>
      <c r="J7674">
        <v>260.39999999999998</v>
      </c>
      <c r="K7674">
        <v>0.04</v>
      </c>
      <c r="L7674">
        <v>0.4</v>
      </c>
      <c r="M7674">
        <v>4.2699999999999996</v>
      </c>
      <c r="N7674">
        <v>167.69759999999999</v>
      </c>
      <c r="O7674" s="1" t="s">
        <v>87</v>
      </c>
      <c r="P7674" s="1" t="s">
        <v>9455</v>
      </c>
      <c r="Q7674" s="1" t="s">
        <v>9456</v>
      </c>
      <c r="R7674" s="1" t="s">
        <v>90</v>
      </c>
      <c r="S7674" s="1" t="s">
        <v>9457</v>
      </c>
      <c r="T7674" s="1" t="s">
        <v>9458</v>
      </c>
      <c r="U7674" s="2" t="s">
        <v>5296</v>
      </c>
      <c r="V7674" s="2" t="s">
        <v>47</v>
      </c>
      <c r="W7674" s="2" t="s">
        <v>104</v>
      </c>
      <c r="X7674" s="2">
        <v>22.645</v>
      </c>
    </row>
    <row r="7675" spans="1:24" x14ac:dyDescent="0.3">
      <c r="A7675">
        <v>25487</v>
      </c>
      <c r="B7675" t="s">
        <v>14700</v>
      </c>
      <c r="C7675" s="3">
        <v>41936</v>
      </c>
      <c r="D7675" t="s">
        <v>39</v>
      </c>
      <c r="E7675">
        <v>4</v>
      </c>
      <c r="F7675" s="3">
        <f ca="1">41938+(RANDBETWEEN(1,10))</f>
        <v>41945</v>
      </c>
      <c r="G7675" t="s">
        <v>26</v>
      </c>
      <c r="H7675" t="s">
        <v>51</v>
      </c>
      <c r="I7675" t="s">
        <v>86</v>
      </c>
      <c r="J7675">
        <v>185.43</v>
      </c>
      <c r="K7675">
        <v>0.01</v>
      </c>
      <c r="L7675">
        <v>0.59</v>
      </c>
      <c r="M7675">
        <v>31.465</v>
      </c>
      <c r="N7675">
        <v>-155.155</v>
      </c>
      <c r="O7675" s="1" t="s">
        <v>64</v>
      </c>
      <c r="P7675" s="1" t="s">
        <v>12938</v>
      </c>
      <c r="Q7675" s="1" t="s">
        <v>12939</v>
      </c>
      <c r="R7675" s="1" t="s">
        <v>67</v>
      </c>
      <c r="S7675" s="1" t="s">
        <v>6615</v>
      </c>
      <c r="T7675" s="1" t="s">
        <v>6616</v>
      </c>
      <c r="U7675" s="2" t="s">
        <v>2687</v>
      </c>
      <c r="V7675" s="2" t="s">
        <v>47</v>
      </c>
      <c r="W7675" s="2" t="s">
        <v>104</v>
      </c>
      <c r="X7675" s="2">
        <v>40.81</v>
      </c>
    </row>
    <row r="7676" spans="1:24" x14ac:dyDescent="0.3">
      <c r="A7676">
        <v>25488</v>
      </c>
      <c r="B7676" t="s">
        <v>14700</v>
      </c>
      <c r="C7676" s="3">
        <v>41936</v>
      </c>
      <c r="D7676" t="s">
        <v>39</v>
      </c>
      <c r="E7676">
        <v>11</v>
      </c>
      <c r="F7676" s="3">
        <f ca="1">41938+(RANDBETWEEN(1,10))</f>
        <v>41946</v>
      </c>
      <c r="G7676" t="s">
        <v>26</v>
      </c>
      <c r="H7676" t="s">
        <v>96</v>
      </c>
      <c r="I7676" t="s">
        <v>86</v>
      </c>
      <c r="J7676">
        <v>135.31</v>
      </c>
      <c r="K7676">
        <v>0.02</v>
      </c>
      <c r="L7676">
        <v>0.4</v>
      </c>
      <c r="M7676">
        <v>4.7249999999999996</v>
      </c>
      <c r="N7676">
        <v>39.305</v>
      </c>
      <c r="O7676" s="1" t="s">
        <v>64</v>
      </c>
      <c r="P7676" s="1" t="s">
        <v>12938</v>
      </c>
      <c r="Q7676" s="1" t="s">
        <v>12939</v>
      </c>
      <c r="R7676" s="1" t="s">
        <v>67</v>
      </c>
      <c r="S7676" s="1" t="s">
        <v>6615</v>
      </c>
      <c r="T7676" s="1" t="s">
        <v>6616</v>
      </c>
      <c r="U7676" s="2" t="s">
        <v>2529</v>
      </c>
      <c r="V7676" s="2" t="s">
        <v>47</v>
      </c>
      <c r="W7676" s="2" t="s">
        <v>176</v>
      </c>
      <c r="X7676" s="2">
        <v>11.515000000000001</v>
      </c>
    </row>
    <row r="7677" spans="1:24" x14ac:dyDescent="0.3">
      <c r="A7677">
        <v>25489</v>
      </c>
      <c r="B7677" t="s">
        <v>14701</v>
      </c>
      <c r="C7677" s="3">
        <v>40705</v>
      </c>
      <c r="D7677" t="s">
        <v>50</v>
      </c>
      <c r="E7677">
        <v>5</v>
      </c>
      <c r="F7677" s="3">
        <f ca="1">40705+(RANDBETWEEN(1,10))</f>
        <v>40714</v>
      </c>
      <c r="G7677" t="s">
        <v>26</v>
      </c>
      <c r="H7677" t="s">
        <v>27</v>
      </c>
      <c r="I7677" t="s">
        <v>86</v>
      </c>
      <c r="J7677">
        <v>601.755</v>
      </c>
      <c r="K7677">
        <v>0.04</v>
      </c>
      <c r="L7677">
        <v>0.38</v>
      </c>
      <c r="M7677">
        <v>17.815000000000001</v>
      </c>
      <c r="N7677">
        <v>415.21095000000003</v>
      </c>
      <c r="O7677" s="1" t="s">
        <v>87</v>
      </c>
      <c r="P7677" s="1" t="s">
        <v>13806</v>
      </c>
      <c r="Q7677" s="1" t="s">
        <v>13807</v>
      </c>
      <c r="R7677" s="1" t="s">
        <v>90</v>
      </c>
      <c r="S7677" s="1" t="s">
        <v>13808</v>
      </c>
      <c r="T7677" s="1" t="s">
        <v>13809</v>
      </c>
      <c r="U7677" s="2" t="s">
        <v>4048</v>
      </c>
      <c r="V7677" s="2" t="s">
        <v>47</v>
      </c>
      <c r="W7677" s="2" t="s">
        <v>74</v>
      </c>
      <c r="X7677" s="2">
        <v>124.04</v>
      </c>
    </row>
    <row r="7678" spans="1:24" x14ac:dyDescent="0.3">
      <c r="A7678">
        <v>25490</v>
      </c>
      <c r="B7678" t="s">
        <v>14701</v>
      </c>
      <c r="C7678" s="3">
        <v>40705</v>
      </c>
      <c r="D7678" t="s">
        <v>50</v>
      </c>
      <c r="E7678">
        <v>9</v>
      </c>
      <c r="F7678" s="3">
        <f ca="1">40708+(RANDBETWEEN(1,10))</f>
        <v>40718</v>
      </c>
      <c r="G7678" t="s">
        <v>26</v>
      </c>
      <c r="H7678" t="s">
        <v>96</v>
      </c>
      <c r="I7678" t="s">
        <v>86</v>
      </c>
      <c r="J7678">
        <v>123.16500000000001</v>
      </c>
      <c r="K7678">
        <v>0.08</v>
      </c>
      <c r="L7678">
        <v>0.52</v>
      </c>
      <c r="M7678">
        <v>2.4500000000000002</v>
      </c>
      <c r="N7678">
        <v>81.563999999999993</v>
      </c>
      <c r="O7678" s="1" t="s">
        <v>87</v>
      </c>
      <c r="P7678" s="1" t="s">
        <v>13806</v>
      </c>
      <c r="Q7678" s="1" t="s">
        <v>13807</v>
      </c>
      <c r="R7678" s="1" t="s">
        <v>90</v>
      </c>
      <c r="S7678" s="1" t="s">
        <v>13808</v>
      </c>
      <c r="T7678" s="1" t="s">
        <v>13809</v>
      </c>
      <c r="U7678" s="2" t="s">
        <v>2896</v>
      </c>
      <c r="V7678" s="2" t="s">
        <v>47</v>
      </c>
      <c r="W7678" s="2" t="s">
        <v>104</v>
      </c>
      <c r="X7678" s="2">
        <v>13.93</v>
      </c>
    </row>
    <row r="7679" spans="1:24" x14ac:dyDescent="0.3">
      <c r="A7679">
        <v>25491</v>
      </c>
      <c r="B7679" t="s">
        <v>14702</v>
      </c>
      <c r="C7679" s="3">
        <v>41801</v>
      </c>
      <c r="D7679" t="s">
        <v>50</v>
      </c>
      <c r="E7679">
        <v>18</v>
      </c>
      <c r="F7679" s="3">
        <f ca="1">41802+(RANDBETWEEN(1,10))</f>
        <v>41806</v>
      </c>
      <c r="G7679" t="s">
        <v>26</v>
      </c>
      <c r="H7679" t="s">
        <v>96</v>
      </c>
      <c r="I7679" t="s">
        <v>86</v>
      </c>
      <c r="J7679">
        <v>115.11499999999999</v>
      </c>
      <c r="K7679">
        <v>0.01</v>
      </c>
      <c r="L7679">
        <v>0.56000000000000005</v>
      </c>
      <c r="M7679">
        <v>2.4500000000000002</v>
      </c>
      <c r="N7679">
        <v>13.146000000000001</v>
      </c>
      <c r="O7679" s="1" t="s">
        <v>87</v>
      </c>
      <c r="P7679" s="1" t="s">
        <v>13806</v>
      </c>
      <c r="Q7679" s="1" t="s">
        <v>13807</v>
      </c>
      <c r="R7679" s="1" t="s">
        <v>90</v>
      </c>
      <c r="S7679" s="1" t="s">
        <v>13808</v>
      </c>
      <c r="T7679" s="1" t="s">
        <v>13809</v>
      </c>
      <c r="U7679" s="2" t="s">
        <v>384</v>
      </c>
      <c r="V7679" s="2" t="s">
        <v>47</v>
      </c>
      <c r="W7679" s="2" t="s">
        <v>104</v>
      </c>
      <c r="X7679" s="2">
        <v>6.16</v>
      </c>
    </row>
    <row r="7680" spans="1:24" x14ac:dyDescent="0.3">
      <c r="A7680">
        <v>25492</v>
      </c>
      <c r="B7680" t="s">
        <v>14702</v>
      </c>
      <c r="C7680" s="3">
        <v>41801</v>
      </c>
      <c r="D7680" t="s">
        <v>50</v>
      </c>
      <c r="E7680">
        <v>16</v>
      </c>
      <c r="F7680" s="3">
        <f ca="1">41801+(RANDBETWEEN(1,10))</f>
        <v>41803</v>
      </c>
      <c r="G7680" t="s">
        <v>156</v>
      </c>
      <c r="H7680" t="s">
        <v>27</v>
      </c>
      <c r="I7680" t="s">
        <v>86</v>
      </c>
      <c r="J7680">
        <v>10836.42</v>
      </c>
      <c r="K7680">
        <v>0.01</v>
      </c>
      <c r="L7680">
        <v>0.71</v>
      </c>
      <c r="M7680">
        <v>69.965000000000003</v>
      </c>
      <c r="N7680">
        <v>4792.4939999999997</v>
      </c>
      <c r="O7680" s="1" t="s">
        <v>87</v>
      </c>
      <c r="P7680" s="1" t="s">
        <v>13806</v>
      </c>
      <c r="Q7680" s="1" t="s">
        <v>13807</v>
      </c>
      <c r="R7680" s="1" t="s">
        <v>90</v>
      </c>
      <c r="S7680" s="1" t="s">
        <v>13808</v>
      </c>
      <c r="T7680" s="1" t="s">
        <v>13809</v>
      </c>
      <c r="U7680" s="2" t="s">
        <v>624</v>
      </c>
      <c r="V7680" s="2" t="s">
        <v>47</v>
      </c>
      <c r="W7680" s="2" t="s">
        <v>119</v>
      </c>
      <c r="X7680" s="2">
        <v>676.09500000000003</v>
      </c>
    </row>
    <row r="7681" spans="1:24" x14ac:dyDescent="0.3">
      <c r="A7681">
        <v>25493</v>
      </c>
      <c r="B7681" t="s">
        <v>14703</v>
      </c>
      <c r="C7681" s="3">
        <v>41764</v>
      </c>
      <c r="D7681" t="s">
        <v>39</v>
      </c>
      <c r="E7681">
        <v>10</v>
      </c>
      <c r="F7681" s="3">
        <f ca="1">41766+(RANDBETWEEN(1,10))</f>
        <v>41770</v>
      </c>
      <c r="G7681" t="s">
        <v>76</v>
      </c>
      <c r="H7681" t="s">
        <v>77</v>
      </c>
      <c r="I7681" t="s">
        <v>28</v>
      </c>
      <c r="J7681">
        <v>3405.99</v>
      </c>
      <c r="K7681">
        <v>0.01</v>
      </c>
      <c r="L7681">
        <v>0.56999999999999995</v>
      </c>
      <c r="M7681">
        <v>260.22500000000002</v>
      </c>
      <c r="N7681">
        <v>-4225.13</v>
      </c>
      <c r="O7681" s="1" t="s">
        <v>87</v>
      </c>
      <c r="P7681" s="1" t="s">
        <v>10590</v>
      </c>
      <c r="Q7681" s="1" t="s">
        <v>10591</v>
      </c>
      <c r="R7681" s="1" t="s">
        <v>90</v>
      </c>
      <c r="S7681" s="1" t="s">
        <v>10592</v>
      </c>
      <c r="T7681" s="1" t="s">
        <v>10593</v>
      </c>
      <c r="U7681" s="2" t="s">
        <v>1560</v>
      </c>
      <c r="V7681" s="2" t="s">
        <v>83</v>
      </c>
      <c r="W7681" s="2" t="s">
        <v>84</v>
      </c>
      <c r="X7681" s="2">
        <v>335.82499999999999</v>
      </c>
    </row>
    <row r="7682" spans="1:24" x14ac:dyDescent="0.3">
      <c r="A7682">
        <v>25494</v>
      </c>
      <c r="B7682" t="s">
        <v>14703</v>
      </c>
      <c r="C7682" s="3">
        <v>41764</v>
      </c>
      <c r="D7682" t="s">
        <v>39</v>
      </c>
      <c r="E7682">
        <v>9</v>
      </c>
      <c r="F7682" s="3">
        <f ca="1">41765+(RANDBETWEEN(1,10))</f>
        <v>41770</v>
      </c>
      <c r="G7682" t="s">
        <v>76</v>
      </c>
      <c r="H7682" t="s">
        <v>77</v>
      </c>
      <c r="I7682" t="s">
        <v>28</v>
      </c>
      <c r="J7682">
        <v>9522.24</v>
      </c>
      <c r="K7682">
        <v>0.06</v>
      </c>
      <c r="L7682">
        <v>0.56000000000000005</v>
      </c>
      <c r="M7682">
        <v>226.55500000000001</v>
      </c>
      <c r="N7682">
        <v>4415.04</v>
      </c>
      <c r="O7682" s="1" t="s">
        <v>87</v>
      </c>
      <c r="P7682" s="1" t="s">
        <v>10590</v>
      </c>
      <c r="Q7682" s="1" t="s">
        <v>10591</v>
      </c>
      <c r="R7682" s="1" t="s">
        <v>90</v>
      </c>
      <c r="S7682" s="1" t="s">
        <v>10592</v>
      </c>
      <c r="T7682" s="1" t="s">
        <v>10593</v>
      </c>
      <c r="U7682" s="2" t="s">
        <v>3031</v>
      </c>
      <c r="V7682" s="2" t="s">
        <v>83</v>
      </c>
      <c r="W7682" s="2" t="s">
        <v>84</v>
      </c>
      <c r="X7682" s="2">
        <v>1053.43</v>
      </c>
    </row>
    <row r="7683" spans="1:24" x14ac:dyDescent="0.3">
      <c r="A7683">
        <v>25495</v>
      </c>
      <c r="B7683" t="s">
        <v>14703</v>
      </c>
      <c r="C7683" s="3">
        <v>41764</v>
      </c>
      <c r="D7683" t="s">
        <v>39</v>
      </c>
      <c r="E7683">
        <v>12</v>
      </c>
      <c r="F7683" s="3">
        <f ca="1">41766+(RANDBETWEEN(1,10))</f>
        <v>41774</v>
      </c>
      <c r="G7683" t="s">
        <v>26</v>
      </c>
      <c r="H7683" t="s">
        <v>96</v>
      </c>
      <c r="I7683" t="s">
        <v>28</v>
      </c>
      <c r="J7683">
        <v>1533.77</v>
      </c>
      <c r="K7683">
        <v>0.06</v>
      </c>
      <c r="L7683">
        <v>0.38</v>
      </c>
      <c r="M7683">
        <v>17.78</v>
      </c>
      <c r="N7683">
        <v>1058.3013000000001</v>
      </c>
      <c r="O7683" s="1" t="s">
        <v>87</v>
      </c>
      <c r="P7683" s="1" t="s">
        <v>10590</v>
      </c>
      <c r="Q7683" s="1" t="s">
        <v>10591</v>
      </c>
      <c r="R7683" s="1" t="s">
        <v>90</v>
      </c>
      <c r="S7683" s="1" t="s">
        <v>10592</v>
      </c>
      <c r="T7683" s="1" t="s">
        <v>10593</v>
      </c>
      <c r="U7683" s="2" t="s">
        <v>2638</v>
      </c>
      <c r="V7683" s="2" t="s">
        <v>47</v>
      </c>
      <c r="W7683" s="2" t="s">
        <v>74</v>
      </c>
      <c r="X7683" s="2">
        <v>132.79</v>
      </c>
    </row>
    <row r="7684" spans="1:24" x14ac:dyDescent="0.3">
      <c r="A7684">
        <v>25496</v>
      </c>
      <c r="B7684" t="s">
        <v>14703</v>
      </c>
      <c r="C7684" s="3">
        <v>41764</v>
      </c>
      <c r="D7684" t="s">
        <v>39</v>
      </c>
      <c r="E7684">
        <v>9</v>
      </c>
      <c r="F7684" s="3">
        <f ca="1">41766+(RANDBETWEEN(1,10))</f>
        <v>41774</v>
      </c>
      <c r="G7684" t="s">
        <v>26</v>
      </c>
      <c r="H7684" t="s">
        <v>27</v>
      </c>
      <c r="I7684" t="s">
        <v>28</v>
      </c>
      <c r="J7684">
        <v>5039.0550000000003</v>
      </c>
      <c r="K7684">
        <v>7.0000000000000007E-2</v>
      </c>
      <c r="L7684">
        <v>0.66</v>
      </c>
      <c r="M7684">
        <v>69.965000000000003</v>
      </c>
      <c r="N7684">
        <v>2138.15</v>
      </c>
      <c r="O7684" s="1" t="s">
        <v>87</v>
      </c>
      <c r="P7684" s="1" t="s">
        <v>10590</v>
      </c>
      <c r="Q7684" s="1" t="s">
        <v>10591</v>
      </c>
      <c r="R7684" s="1" t="s">
        <v>90</v>
      </c>
      <c r="S7684" s="1" t="s">
        <v>10592</v>
      </c>
      <c r="T7684" s="1" t="s">
        <v>10593</v>
      </c>
      <c r="U7684" s="2" t="s">
        <v>6421</v>
      </c>
      <c r="V7684" s="2" t="s">
        <v>47</v>
      </c>
      <c r="W7684" s="2" t="s">
        <v>119</v>
      </c>
      <c r="X7684" s="2">
        <v>565.42499999999995</v>
      </c>
    </row>
    <row r="7685" spans="1:24" x14ac:dyDescent="0.3">
      <c r="A7685">
        <v>25497</v>
      </c>
      <c r="B7685" t="s">
        <v>14704</v>
      </c>
      <c r="C7685" s="3">
        <v>41953</v>
      </c>
      <c r="D7685" t="s">
        <v>39</v>
      </c>
      <c r="E7685">
        <v>12</v>
      </c>
      <c r="F7685" s="3">
        <f ca="1">41955+(RANDBETWEEN(1,10))</f>
        <v>41962</v>
      </c>
      <c r="G7685" t="s">
        <v>26</v>
      </c>
      <c r="H7685" t="s">
        <v>27</v>
      </c>
      <c r="I7685" t="s">
        <v>52</v>
      </c>
      <c r="J7685">
        <v>3464.09</v>
      </c>
      <c r="K7685">
        <v>0.03</v>
      </c>
      <c r="L7685">
        <v>0.48</v>
      </c>
      <c r="M7685">
        <v>25.13</v>
      </c>
      <c r="N7685">
        <v>1290.4953599999999</v>
      </c>
      <c r="O7685" s="1" t="s">
        <v>87</v>
      </c>
      <c r="P7685" s="1" t="s">
        <v>10590</v>
      </c>
      <c r="Q7685" s="1" t="s">
        <v>10591</v>
      </c>
      <c r="R7685" s="1" t="s">
        <v>90</v>
      </c>
      <c r="S7685" s="1" t="s">
        <v>10592</v>
      </c>
      <c r="T7685" s="1" t="s">
        <v>10593</v>
      </c>
      <c r="U7685" s="2" t="s">
        <v>5548</v>
      </c>
      <c r="V7685" s="2" t="s">
        <v>36</v>
      </c>
      <c r="W7685" s="2" t="s">
        <v>60</v>
      </c>
      <c r="X7685" s="2">
        <v>283.43</v>
      </c>
    </row>
    <row r="7686" spans="1:24" x14ac:dyDescent="0.3">
      <c r="A7686">
        <v>25498</v>
      </c>
      <c r="B7686" t="s">
        <v>14705</v>
      </c>
      <c r="C7686" s="3">
        <v>40857</v>
      </c>
      <c r="D7686" t="s">
        <v>39</v>
      </c>
      <c r="E7686">
        <v>21</v>
      </c>
      <c r="F7686" s="3">
        <f ca="1">40859+(RANDBETWEEN(1,10))</f>
        <v>40868</v>
      </c>
      <c r="G7686" t="s">
        <v>26</v>
      </c>
      <c r="H7686" t="s">
        <v>281</v>
      </c>
      <c r="I7686" t="s">
        <v>52</v>
      </c>
      <c r="J7686">
        <v>1007.965</v>
      </c>
      <c r="K7686">
        <v>0.06</v>
      </c>
      <c r="L7686">
        <v>0.39</v>
      </c>
      <c r="M7686">
        <v>26.285</v>
      </c>
      <c r="N7686">
        <v>22.69134</v>
      </c>
      <c r="O7686" s="1" t="s">
        <v>87</v>
      </c>
      <c r="P7686" s="1" t="s">
        <v>10590</v>
      </c>
      <c r="Q7686" s="1" t="s">
        <v>10591</v>
      </c>
      <c r="R7686" s="1" t="s">
        <v>90</v>
      </c>
      <c r="S7686" s="1" t="s">
        <v>10592</v>
      </c>
      <c r="T7686" s="1" t="s">
        <v>10593</v>
      </c>
      <c r="U7686" s="2" t="s">
        <v>1079</v>
      </c>
      <c r="V7686" s="2" t="s">
        <v>36</v>
      </c>
      <c r="W7686" s="2" t="s">
        <v>142</v>
      </c>
      <c r="X7686" s="2">
        <v>48.965000000000003</v>
      </c>
    </row>
    <row r="7687" spans="1:24" x14ac:dyDescent="0.3">
      <c r="A7687">
        <v>25499</v>
      </c>
      <c r="B7687" t="s">
        <v>14705</v>
      </c>
      <c r="C7687" s="3">
        <v>40857</v>
      </c>
      <c r="D7687" t="s">
        <v>39</v>
      </c>
      <c r="E7687">
        <v>3</v>
      </c>
      <c r="F7687" s="3">
        <f ca="1">40857+(RANDBETWEEN(1,10))</f>
        <v>40866</v>
      </c>
      <c r="G7687" t="s">
        <v>26</v>
      </c>
      <c r="H7687" t="s">
        <v>96</v>
      </c>
      <c r="I7687" t="s">
        <v>52</v>
      </c>
      <c r="J7687">
        <v>164.01</v>
      </c>
      <c r="K7687">
        <v>0.06</v>
      </c>
      <c r="L7687">
        <v>0.39</v>
      </c>
      <c r="M7687">
        <v>6.8949999999999996</v>
      </c>
      <c r="N7687">
        <v>8.1620000000000008</v>
      </c>
      <c r="O7687" s="1" t="s">
        <v>87</v>
      </c>
      <c r="P7687" s="1" t="s">
        <v>10590</v>
      </c>
      <c r="Q7687" s="1" t="s">
        <v>10591</v>
      </c>
      <c r="R7687" s="1" t="s">
        <v>90</v>
      </c>
      <c r="S7687" s="1" t="s">
        <v>10592</v>
      </c>
      <c r="T7687" s="1" t="s">
        <v>10593</v>
      </c>
      <c r="U7687" s="2" t="s">
        <v>372</v>
      </c>
      <c r="V7687" s="2" t="s">
        <v>47</v>
      </c>
      <c r="W7687" s="2" t="s">
        <v>74</v>
      </c>
      <c r="X7687" s="2">
        <v>52.64</v>
      </c>
    </row>
    <row r="7688" spans="1:24" x14ac:dyDescent="0.3">
      <c r="A7688">
        <v>25500</v>
      </c>
      <c r="B7688" t="s">
        <v>14706</v>
      </c>
      <c r="C7688" s="3">
        <v>40594</v>
      </c>
      <c r="D7688" t="s">
        <v>148</v>
      </c>
      <c r="E7688">
        <v>10</v>
      </c>
      <c r="F7688" s="3">
        <f ca="1">40596+(RANDBETWEEN(1,10))</f>
        <v>40603</v>
      </c>
      <c r="G7688" t="s">
        <v>26</v>
      </c>
      <c r="H7688" t="s">
        <v>27</v>
      </c>
      <c r="I7688" t="s">
        <v>86</v>
      </c>
      <c r="J7688">
        <v>205.8</v>
      </c>
      <c r="K7688">
        <v>7.0000000000000007E-2</v>
      </c>
      <c r="L7688">
        <v>0.39</v>
      </c>
      <c r="M7688">
        <v>29.715</v>
      </c>
      <c r="N7688">
        <v>-851.32775000000004</v>
      </c>
      <c r="O7688" s="1" t="s">
        <v>225</v>
      </c>
      <c r="P7688" s="1" t="s">
        <v>14707</v>
      </c>
      <c r="Q7688" s="1" t="s">
        <v>14708</v>
      </c>
      <c r="R7688" s="1" t="s">
        <v>228</v>
      </c>
      <c r="S7688" s="1" t="s">
        <v>5300</v>
      </c>
      <c r="T7688" s="1" t="s">
        <v>5301</v>
      </c>
      <c r="U7688" s="2" t="s">
        <v>3658</v>
      </c>
      <c r="V7688" s="2" t="s">
        <v>47</v>
      </c>
      <c r="W7688" s="2" t="s">
        <v>111</v>
      </c>
      <c r="X7688" s="2">
        <v>20.335000000000001</v>
      </c>
    </row>
    <row r="7689" spans="1:24" x14ac:dyDescent="0.3">
      <c r="A7689">
        <v>25501</v>
      </c>
      <c r="B7689" t="s">
        <v>14706</v>
      </c>
      <c r="C7689" s="3">
        <v>40594</v>
      </c>
      <c r="D7689" t="s">
        <v>148</v>
      </c>
      <c r="E7689">
        <v>12</v>
      </c>
      <c r="F7689" s="3">
        <f ca="1">40595+(RANDBETWEEN(1,10))</f>
        <v>40602</v>
      </c>
      <c r="G7689" t="s">
        <v>26</v>
      </c>
      <c r="H7689" t="s">
        <v>27</v>
      </c>
      <c r="I7689" t="s">
        <v>86</v>
      </c>
      <c r="J7689">
        <v>421.64499999999998</v>
      </c>
      <c r="K7689">
        <v>0.04</v>
      </c>
      <c r="L7689">
        <v>0.55000000000000004</v>
      </c>
      <c r="M7689">
        <v>21.77</v>
      </c>
      <c r="N7689">
        <v>-187.67</v>
      </c>
      <c r="O7689" s="1" t="s">
        <v>225</v>
      </c>
      <c r="P7689" s="1" t="s">
        <v>14707</v>
      </c>
      <c r="Q7689" s="1" t="s">
        <v>14708</v>
      </c>
      <c r="R7689" s="1" t="s">
        <v>228</v>
      </c>
      <c r="S7689" s="1" t="s">
        <v>5300</v>
      </c>
      <c r="T7689" s="1" t="s">
        <v>5301</v>
      </c>
      <c r="U7689" s="2" t="s">
        <v>1422</v>
      </c>
      <c r="V7689" s="2" t="s">
        <v>83</v>
      </c>
      <c r="W7689" s="2" t="s">
        <v>178</v>
      </c>
      <c r="X7689" s="2">
        <v>33.774999999999999</v>
      </c>
    </row>
    <row r="7690" spans="1:24" x14ac:dyDescent="0.3">
      <c r="A7690">
        <v>25502</v>
      </c>
      <c r="B7690" t="s">
        <v>14709</v>
      </c>
      <c r="C7690" s="3">
        <v>41942</v>
      </c>
      <c r="D7690" t="s">
        <v>39</v>
      </c>
      <c r="E7690">
        <v>18</v>
      </c>
      <c r="F7690" s="3">
        <f ca="1">41944+(RANDBETWEEN(1,10))</f>
        <v>41953</v>
      </c>
      <c r="G7690" t="s">
        <v>26</v>
      </c>
      <c r="H7690" t="s">
        <v>27</v>
      </c>
      <c r="I7690" t="s">
        <v>97</v>
      </c>
      <c r="J7690">
        <v>1329.65</v>
      </c>
      <c r="K7690">
        <v>0.1</v>
      </c>
      <c r="L7690">
        <v>0.51</v>
      </c>
      <c r="M7690">
        <v>26.53</v>
      </c>
      <c r="N7690">
        <v>382.06</v>
      </c>
      <c r="O7690" s="1" t="s">
        <v>40</v>
      </c>
      <c r="P7690" s="1" t="s">
        <v>14710</v>
      </c>
      <c r="Q7690" s="1" t="s">
        <v>14711</v>
      </c>
      <c r="R7690" s="1" t="s">
        <v>220</v>
      </c>
      <c r="S7690" s="1" t="s">
        <v>7696</v>
      </c>
      <c r="T7690" s="1" t="s">
        <v>7268</v>
      </c>
      <c r="U7690" s="2" t="s">
        <v>1676</v>
      </c>
      <c r="V7690" s="2" t="s">
        <v>83</v>
      </c>
      <c r="W7690" s="2" t="s">
        <v>178</v>
      </c>
      <c r="X7690" s="2">
        <v>80.430000000000007</v>
      </c>
    </row>
    <row r="7691" spans="1:24" x14ac:dyDescent="0.3">
      <c r="A7691">
        <v>25503</v>
      </c>
      <c r="B7691" t="s">
        <v>14709</v>
      </c>
      <c r="C7691" s="3">
        <v>41942</v>
      </c>
      <c r="D7691" t="s">
        <v>39</v>
      </c>
      <c r="E7691">
        <v>3</v>
      </c>
      <c r="F7691" s="3">
        <f ca="1">41944+(RANDBETWEEN(1,10))</f>
        <v>41946</v>
      </c>
      <c r="G7691" t="s">
        <v>76</v>
      </c>
      <c r="H7691" t="s">
        <v>258</v>
      </c>
      <c r="I7691" t="s">
        <v>97</v>
      </c>
      <c r="J7691">
        <v>2132.34</v>
      </c>
      <c r="K7691">
        <v>0</v>
      </c>
      <c r="L7691">
        <v>0.71</v>
      </c>
      <c r="M7691">
        <v>196.7</v>
      </c>
      <c r="N7691">
        <v>-821.07899999999995</v>
      </c>
      <c r="O7691" s="1" t="s">
        <v>40</v>
      </c>
      <c r="P7691" s="1" t="s">
        <v>14710</v>
      </c>
      <c r="Q7691" s="1" t="s">
        <v>14711</v>
      </c>
      <c r="R7691" s="1" t="s">
        <v>220</v>
      </c>
      <c r="S7691" s="1" t="s">
        <v>7696</v>
      </c>
      <c r="T7691" s="1" t="s">
        <v>7268</v>
      </c>
      <c r="U7691" s="2" t="s">
        <v>6493</v>
      </c>
      <c r="V7691" s="2" t="s">
        <v>83</v>
      </c>
      <c r="W7691" s="2" t="s">
        <v>263</v>
      </c>
      <c r="X7691" s="2">
        <v>627.51499999999999</v>
      </c>
    </row>
    <row r="7692" spans="1:24" x14ac:dyDescent="0.3">
      <c r="A7692">
        <v>25504</v>
      </c>
      <c r="B7692" t="s">
        <v>14712</v>
      </c>
      <c r="C7692" s="3">
        <v>41818</v>
      </c>
      <c r="D7692" t="s">
        <v>148</v>
      </c>
      <c r="E7692">
        <v>13</v>
      </c>
      <c r="F7692" s="3">
        <f ca="1">41819+(RANDBETWEEN(1,10))</f>
        <v>41828</v>
      </c>
      <c r="G7692" t="s">
        <v>76</v>
      </c>
      <c r="H7692" t="s">
        <v>77</v>
      </c>
      <c r="I7692" t="s">
        <v>97</v>
      </c>
      <c r="J7692">
        <v>5729.15</v>
      </c>
      <c r="K7692">
        <v>0.05</v>
      </c>
      <c r="L7692">
        <v>0.74</v>
      </c>
      <c r="M7692">
        <v>245.7</v>
      </c>
      <c r="N7692">
        <v>-327.02600000000001</v>
      </c>
      <c r="O7692" s="1" t="s">
        <v>29</v>
      </c>
      <c r="P7692" s="1" t="s">
        <v>11205</v>
      </c>
      <c r="Q7692" s="1" t="s">
        <v>11206</v>
      </c>
      <c r="R7692" s="1" t="s">
        <v>32</v>
      </c>
      <c r="S7692" s="1" t="s">
        <v>2354</v>
      </c>
      <c r="T7692" s="1" t="s">
        <v>2355</v>
      </c>
      <c r="U7692" s="2" t="s">
        <v>358</v>
      </c>
      <c r="V7692" s="2" t="s">
        <v>83</v>
      </c>
      <c r="W7692" s="2" t="s">
        <v>84</v>
      </c>
      <c r="X7692" s="2">
        <v>430.46499999999997</v>
      </c>
    </row>
    <row r="7693" spans="1:24" x14ac:dyDescent="0.3">
      <c r="A7693">
        <v>25505</v>
      </c>
      <c r="B7693" t="s">
        <v>14713</v>
      </c>
      <c r="C7693" s="3">
        <v>41713</v>
      </c>
      <c r="D7693" t="s">
        <v>50</v>
      </c>
      <c r="E7693">
        <v>5</v>
      </c>
      <c r="F7693" s="3">
        <f ca="1">41715+(RANDBETWEEN(1,10))</f>
        <v>41719</v>
      </c>
      <c r="G7693" t="s">
        <v>26</v>
      </c>
      <c r="H7693" t="s">
        <v>27</v>
      </c>
      <c r="I7693" t="s">
        <v>86</v>
      </c>
      <c r="J7693">
        <v>198.38</v>
      </c>
      <c r="K7693">
        <v>0.05</v>
      </c>
      <c r="L7693">
        <v>0.38</v>
      </c>
      <c r="M7693">
        <v>10.465</v>
      </c>
      <c r="N7693">
        <v>136.88220000000001</v>
      </c>
      <c r="O7693" s="1" t="s">
        <v>40</v>
      </c>
      <c r="P7693" s="1" t="s">
        <v>13628</v>
      </c>
      <c r="Q7693" s="1" t="s">
        <v>13629</v>
      </c>
      <c r="R7693" s="1" t="s">
        <v>43</v>
      </c>
      <c r="S7693" s="1" t="s">
        <v>13630</v>
      </c>
      <c r="T7693" s="1" t="s">
        <v>13631</v>
      </c>
      <c r="U7693" s="2" t="s">
        <v>1610</v>
      </c>
      <c r="V7693" s="2" t="s">
        <v>47</v>
      </c>
      <c r="W7693" s="2" t="s">
        <v>111</v>
      </c>
      <c r="X7693" s="2">
        <v>38.185000000000002</v>
      </c>
    </row>
    <row r="7694" spans="1:24" x14ac:dyDescent="0.3">
      <c r="A7694">
        <v>25506</v>
      </c>
      <c r="B7694" t="s">
        <v>14714</v>
      </c>
      <c r="C7694" s="3">
        <v>41036</v>
      </c>
      <c r="D7694" t="s">
        <v>148</v>
      </c>
      <c r="E7694">
        <v>6</v>
      </c>
      <c r="F7694" s="3">
        <f ca="1">41037+(RANDBETWEEN(1,10))</f>
        <v>41045</v>
      </c>
      <c r="G7694" t="s">
        <v>26</v>
      </c>
      <c r="H7694" t="s">
        <v>27</v>
      </c>
      <c r="I7694" t="s">
        <v>28</v>
      </c>
      <c r="J7694">
        <v>227.39500000000001</v>
      </c>
      <c r="K7694">
        <v>7.0000000000000007E-2</v>
      </c>
      <c r="L7694">
        <v>0.36</v>
      </c>
      <c r="M7694">
        <v>18.375</v>
      </c>
      <c r="N7694">
        <v>16.765000000000001</v>
      </c>
      <c r="O7694" s="1" t="s">
        <v>40</v>
      </c>
      <c r="P7694" s="1" t="s">
        <v>5383</v>
      </c>
      <c r="Q7694" s="1" t="s">
        <v>5384</v>
      </c>
      <c r="R7694" s="1" t="s">
        <v>43</v>
      </c>
      <c r="S7694" s="1" t="s">
        <v>5385</v>
      </c>
      <c r="T7694" s="1" t="s">
        <v>5386</v>
      </c>
      <c r="U7694" s="2" t="s">
        <v>1463</v>
      </c>
      <c r="V7694" s="2" t="s">
        <v>47</v>
      </c>
      <c r="W7694" s="2" t="s">
        <v>48</v>
      </c>
      <c r="X7694" s="2">
        <v>38.814999999999998</v>
      </c>
    </row>
    <row r="7695" spans="1:24" x14ac:dyDescent="0.3">
      <c r="A7695">
        <v>25507</v>
      </c>
      <c r="B7695" t="s">
        <v>14715</v>
      </c>
      <c r="C7695" s="3">
        <v>40617</v>
      </c>
      <c r="D7695" t="s">
        <v>50</v>
      </c>
      <c r="E7695">
        <v>2</v>
      </c>
      <c r="F7695" s="3">
        <f ca="1">40619+(RANDBETWEEN(1,10))</f>
        <v>40622</v>
      </c>
      <c r="G7695" t="s">
        <v>26</v>
      </c>
      <c r="H7695" t="s">
        <v>96</v>
      </c>
      <c r="I7695" t="s">
        <v>97</v>
      </c>
      <c r="J7695">
        <v>109.34</v>
      </c>
      <c r="K7695">
        <v>0.03</v>
      </c>
      <c r="L7695">
        <v>0.46</v>
      </c>
      <c r="M7695">
        <v>18.55</v>
      </c>
      <c r="N7695">
        <v>75.444599999999994</v>
      </c>
      <c r="O7695" s="1" t="s">
        <v>64</v>
      </c>
      <c r="P7695" s="1" t="s">
        <v>5730</v>
      </c>
      <c r="Q7695" s="1" t="s">
        <v>5731</v>
      </c>
      <c r="R7695" s="1" t="s">
        <v>67</v>
      </c>
      <c r="S7695" s="1" t="s">
        <v>5732</v>
      </c>
      <c r="T7695" s="1" t="s">
        <v>5733</v>
      </c>
      <c r="U7695" s="2" t="s">
        <v>2729</v>
      </c>
      <c r="V7695" s="2" t="s">
        <v>83</v>
      </c>
      <c r="W7695" s="2" t="s">
        <v>178</v>
      </c>
      <c r="X7695" s="2">
        <v>49.7</v>
      </c>
    </row>
    <row r="7696" spans="1:24" x14ac:dyDescent="0.3">
      <c r="A7696">
        <v>25508</v>
      </c>
      <c r="B7696" t="s">
        <v>14716</v>
      </c>
      <c r="C7696" s="3">
        <v>41738</v>
      </c>
      <c r="D7696" t="s">
        <v>148</v>
      </c>
      <c r="E7696">
        <v>2</v>
      </c>
      <c r="F7696" s="3">
        <f ca="1">41739+(RANDBETWEEN(1,10))</f>
        <v>41748</v>
      </c>
      <c r="G7696" t="s">
        <v>26</v>
      </c>
      <c r="H7696" t="s">
        <v>63</v>
      </c>
      <c r="I7696" t="s">
        <v>28</v>
      </c>
      <c r="J7696">
        <v>585.97</v>
      </c>
      <c r="K7696">
        <v>0.03</v>
      </c>
      <c r="L7696">
        <v>0.81</v>
      </c>
      <c r="M7696">
        <v>122.5</v>
      </c>
      <c r="N7696">
        <v>-1039.57</v>
      </c>
      <c r="O7696" s="1" t="s">
        <v>40</v>
      </c>
      <c r="P7696" s="1" t="s">
        <v>14559</v>
      </c>
      <c r="Q7696" s="1" t="s">
        <v>14560</v>
      </c>
      <c r="R7696" s="1" t="s">
        <v>43</v>
      </c>
      <c r="S7696" s="1" t="s">
        <v>1443</v>
      </c>
      <c r="T7696" s="1" t="s">
        <v>14561</v>
      </c>
      <c r="U7696" s="2" t="s">
        <v>166</v>
      </c>
      <c r="V7696" s="2" t="s">
        <v>47</v>
      </c>
      <c r="W7696" s="2" t="s">
        <v>119</v>
      </c>
      <c r="X7696" s="2">
        <v>283.43</v>
      </c>
    </row>
    <row r="7697" spans="1:24" x14ac:dyDescent="0.3">
      <c r="A7697">
        <v>25509</v>
      </c>
      <c r="B7697" t="s">
        <v>14717</v>
      </c>
      <c r="C7697" s="3">
        <v>41830</v>
      </c>
      <c r="D7697" t="s">
        <v>148</v>
      </c>
      <c r="E7697">
        <v>3</v>
      </c>
      <c r="F7697" s="3">
        <f ca="1">41831+(RANDBETWEEN(1,10))</f>
        <v>41841</v>
      </c>
      <c r="G7697" t="s">
        <v>156</v>
      </c>
      <c r="H7697" t="s">
        <v>27</v>
      </c>
      <c r="I7697" t="s">
        <v>86</v>
      </c>
      <c r="J7697">
        <v>72.974999999999994</v>
      </c>
      <c r="K7697">
        <v>0.03</v>
      </c>
      <c r="L7697">
        <v>0.36</v>
      </c>
      <c r="M7697">
        <v>20.09</v>
      </c>
      <c r="N7697">
        <v>-57.301188000000003</v>
      </c>
      <c r="O7697" s="1" t="s">
        <v>87</v>
      </c>
      <c r="P7697" s="1" t="s">
        <v>13228</v>
      </c>
      <c r="Q7697" s="1" t="s">
        <v>13229</v>
      </c>
      <c r="R7697" s="1" t="s">
        <v>646</v>
      </c>
      <c r="S7697" s="1" t="s">
        <v>1231</v>
      </c>
      <c r="T7697" s="1" t="s">
        <v>1232</v>
      </c>
      <c r="U7697" s="2" t="s">
        <v>1239</v>
      </c>
      <c r="V7697" s="2" t="s">
        <v>47</v>
      </c>
      <c r="W7697" s="2" t="s">
        <v>111</v>
      </c>
      <c r="X7697" s="2">
        <v>18.13</v>
      </c>
    </row>
    <row r="7698" spans="1:24" x14ac:dyDescent="0.3">
      <c r="A7698">
        <v>25510</v>
      </c>
      <c r="B7698" t="s">
        <v>14718</v>
      </c>
      <c r="C7698" s="3">
        <v>41854</v>
      </c>
      <c r="D7698" t="s">
        <v>148</v>
      </c>
      <c r="E7698">
        <v>10</v>
      </c>
      <c r="F7698" s="3">
        <f ca="1">41856+(RANDBETWEEN(1,10))</f>
        <v>41862</v>
      </c>
      <c r="G7698" t="s">
        <v>26</v>
      </c>
      <c r="H7698" t="s">
        <v>281</v>
      </c>
      <c r="I7698" t="s">
        <v>52</v>
      </c>
      <c r="J7698">
        <v>932.995</v>
      </c>
      <c r="K7698">
        <v>0.06</v>
      </c>
      <c r="L7698">
        <v>0.5</v>
      </c>
      <c r="M7698">
        <v>18.795000000000002</v>
      </c>
      <c r="N7698">
        <v>775.86599999999999</v>
      </c>
      <c r="O7698" s="1" t="s">
        <v>29</v>
      </c>
      <c r="P7698" s="1" t="s">
        <v>8677</v>
      </c>
      <c r="Q7698" s="1" t="s">
        <v>8678</v>
      </c>
      <c r="R7698" s="1" t="s">
        <v>460</v>
      </c>
      <c r="S7698" s="1" t="s">
        <v>8679</v>
      </c>
      <c r="T7698" s="1" t="s">
        <v>8680</v>
      </c>
      <c r="U7698" s="2" t="s">
        <v>3418</v>
      </c>
      <c r="V7698" s="2" t="s">
        <v>47</v>
      </c>
      <c r="W7698" s="2" t="s">
        <v>71</v>
      </c>
      <c r="X7698" s="2">
        <v>90.93</v>
      </c>
    </row>
    <row r="7699" spans="1:24" x14ac:dyDescent="0.3">
      <c r="A7699">
        <v>25511</v>
      </c>
      <c r="B7699" t="s">
        <v>14719</v>
      </c>
      <c r="C7699" s="3">
        <v>41124</v>
      </c>
      <c r="D7699" t="s">
        <v>148</v>
      </c>
      <c r="E7699">
        <v>22</v>
      </c>
      <c r="F7699" s="3">
        <f ca="1">41126+(RANDBETWEEN(1,10))</f>
        <v>41130</v>
      </c>
      <c r="G7699" t="s">
        <v>76</v>
      </c>
      <c r="H7699" t="s">
        <v>258</v>
      </c>
      <c r="I7699" t="s">
        <v>52</v>
      </c>
      <c r="J7699">
        <v>13423.165000000001</v>
      </c>
      <c r="K7699">
        <v>0.06</v>
      </c>
      <c r="L7699">
        <v>0.66</v>
      </c>
      <c r="M7699">
        <v>125.61499999999999</v>
      </c>
      <c r="N7699">
        <v>-194.57900000000001</v>
      </c>
      <c r="O7699" s="1" t="s">
        <v>29</v>
      </c>
      <c r="P7699" s="1" t="s">
        <v>8677</v>
      </c>
      <c r="Q7699" s="1" t="s">
        <v>8678</v>
      </c>
      <c r="R7699" s="1" t="s">
        <v>460</v>
      </c>
      <c r="S7699" s="1" t="s">
        <v>8679</v>
      </c>
      <c r="T7699" s="1" t="s">
        <v>8680</v>
      </c>
      <c r="U7699" s="2" t="s">
        <v>6081</v>
      </c>
      <c r="V7699" s="2" t="s">
        <v>83</v>
      </c>
      <c r="W7699" s="2" t="s">
        <v>298</v>
      </c>
      <c r="X7699" s="2">
        <v>598.42999999999995</v>
      </c>
    </row>
    <row r="7700" spans="1:24" x14ac:dyDescent="0.3">
      <c r="A7700">
        <v>25512</v>
      </c>
      <c r="B7700" t="s">
        <v>14719</v>
      </c>
      <c r="C7700" s="3">
        <v>41124</v>
      </c>
      <c r="D7700" t="s">
        <v>148</v>
      </c>
      <c r="E7700">
        <v>1</v>
      </c>
      <c r="F7700" s="3">
        <f ca="1">41126+(RANDBETWEEN(1,10))</f>
        <v>41130</v>
      </c>
      <c r="G7700" t="s">
        <v>26</v>
      </c>
      <c r="H7700" t="s">
        <v>96</v>
      </c>
      <c r="I7700" t="s">
        <v>52</v>
      </c>
      <c r="J7700">
        <v>260.08499999999998</v>
      </c>
      <c r="K7700">
        <v>7.0000000000000007E-2</v>
      </c>
      <c r="L7700">
        <v>0.73</v>
      </c>
      <c r="M7700">
        <v>119.7</v>
      </c>
      <c r="N7700">
        <v>52.878</v>
      </c>
      <c r="O7700" s="1" t="s">
        <v>29</v>
      </c>
      <c r="P7700" s="1" t="s">
        <v>8677</v>
      </c>
      <c r="Q7700" s="1" t="s">
        <v>8678</v>
      </c>
      <c r="R7700" s="1" t="s">
        <v>460</v>
      </c>
      <c r="S7700" s="1" t="s">
        <v>8679</v>
      </c>
      <c r="T7700" s="1" t="s">
        <v>8680</v>
      </c>
      <c r="U7700" s="2" t="s">
        <v>5026</v>
      </c>
      <c r="V7700" s="2" t="s">
        <v>83</v>
      </c>
      <c r="W7700" s="2" t="s">
        <v>178</v>
      </c>
      <c r="X7700" s="2">
        <v>145.14500000000001</v>
      </c>
    </row>
    <row r="7701" spans="1:24" x14ac:dyDescent="0.3">
      <c r="A7701">
        <v>25513</v>
      </c>
      <c r="B7701" t="s">
        <v>14720</v>
      </c>
      <c r="C7701" s="3">
        <v>41838</v>
      </c>
      <c r="D7701" t="s">
        <v>50</v>
      </c>
      <c r="E7701">
        <v>12</v>
      </c>
      <c r="F7701" s="3">
        <f ca="1">41840+(RANDBETWEEN(1,10))</f>
        <v>41842</v>
      </c>
      <c r="G7701" t="s">
        <v>26</v>
      </c>
      <c r="H7701" t="s">
        <v>96</v>
      </c>
      <c r="I7701" t="s">
        <v>86</v>
      </c>
      <c r="J7701">
        <v>132.26499999999999</v>
      </c>
      <c r="K7701">
        <v>0.08</v>
      </c>
      <c r="L7701">
        <v>0.84</v>
      </c>
      <c r="M7701">
        <v>6.72</v>
      </c>
      <c r="N7701">
        <v>-168.40992</v>
      </c>
      <c r="O7701" s="1" t="s">
        <v>225</v>
      </c>
      <c r="P7701" s="1" t="s">
        <v>14721</v>
      </c>
      <c r="Q7701" s="1" t="s">
        <v>14722</v>
      </c>
      <c r="R7701" s="1" t="s">
        <v>228</v>
      </c>
      <c r="S7701" s="1" t="s">
        <v>13416</v>
      </c>
      <c r="T7701" s="1" t="s">
        <v>13417</v>
      </c>
      <c r="U7701" s="2" t="s">
        <v>524</v>
      </c>
      <c r="V7701" s="2" t="s">
        <v>47</v>
      </c>
      <c r="W7701" s="2" t="s">
        <v>94</v>
      </c>
      <c r="X7701" s="2">
        <v>10.99</v>
      </c>
    </row>
    <row r="7702" spans="1:24" x14ac:dyDescent="0.3">
      <c r="A7702">
        <v>25514</v>
      </c>
      <c r="B7702" t="s">
        <v>14723</v>
      </c>
      <c r="C7702" s="3">
        <v>41350</v>
      </c>
      <c r="D7702" t="s">
        <v>39</v>
      </c>
      <c r="E7702">
        <v>3</v>
      </c>
      <c r="F7702" s="3">
        <f ca="1">41351+(RANDBETWEEN(1,10))</f>
        <v>41352</v>
      </c>
      <c r="G7702" t="s">
        <v>156</v>
      </c>
      <c r="H7702" t="s">
        <v>27</v>
      </c>
      <c r="I7702" t="s">
        <v>52</v>
      </c>
      <c r="J7702">
        <v>394.69499999999999</v>
      </c>
      <c r="K7702">
        <v>0.1</v>
      </c>
      <c r="L7702">
        <v>0.4</v>
      </c>
      <c r="M7702">
        <v>34.405000000000001</v>
      </c>
      <c r="N7702">
        <v>214.44499999999999</v>
      </c>
      <c r="O7702" s="1" t="s">
        <v>87</v>
      </c>
      <c r="P7702" s="1" t="s">
        <v>8475</v>
      </c>
      <c r="Q7702" s="1" t="s">
        <v>8476</v>
      </c>
      <c r="R7702" s="1" t="s">
        <v>497</v>
      </c>
      <c r="S7702" s="1" t="s">
        <v>3254</v>
      </c>
      <c r="T7702" s="1" t="s">
        <v>8477</v>
      </c>
      <c r="U7702" s="2" t="s">
        <v>345</v>
      </c>
      <c r="V7702" s="2" t="s">
        <v>47</v>
      </c>
      <c r="W7702" s="2" t="s">
        <v>48</v>
      </c>
      <c r="X7702" s="2">
        <v>139.93</v>
      </c>
    </row>
    <row r="7703" spans="1:24" x14ac:dyDescent="0.3">
      <c r="A7703">
        <v>25515</v>
      </c>
      <c r="B7703" t="s">
        <v>14724</v>
      </c>
      <c r="C7703" s="3">
        <v>41776</v>
      </c>
      <c r="D7703" t="s">
        <v>148</v>
      </c>
      <c r="E7703">
        <v>11</v>
      </c>
      <c r="F7703" s="3">
        <f ca="1">41778+(RANDBETWEEN(1,10))</f>
        <v>41781</v>
      </c>
      <c r="G7703" t="s">
        <v>26</v>
      </c>
      <c r="H7703" t="s">
        <v>27</v>
      </c>
      <c r="I7703" t="s">
        <v>52</v>
      </c>
      <c r="J7703">
        <v>131.07499999999999</v>
      </c>
      <c r="K7703">
        <v>0.08</v>
      </c>
      <c r="L7703">
        <v>0.4</v>
      </c>
      <c r="M7703">
        <v>21.945</v>
      </c>
      <c r="N7703">
        <v>-559.07249999999999</v>
      </c>
      <c r="O7703" s="1" t="s">
        <v>53</v>
      </c>
      <c r="P7703" s="1" t="s">
        <v>8095</v>
      </c>
      <c r="Q7703" s="1" t="s">
        <v>8096</v>
      </c>
      <c r="R7703" s="1" t="s">
        <v>440</v>
      </c>
      <c r="S7703" s="1" t="s">
        <v>8097</v>
      </c>
      <c r="T7703" s="1" t="s">
        <v>8098</v>
      </c>
      <c r="U7703" s="2" t="s">
        <v>1887</v>
      </c>
      <c r="V7703" s="2" t="s">
        <v>47</v>
      </c>
      <c r="W7703" s="2" t="s">
        <v>111</v>
      </c>
      <c r="X7703" s="2">
        <v>11.76</v>
      </c>
    </row>
    <row r="7704" spans="1:24" x14ac:dyDescent="0.3">
      <c r="A7704">
        <v>25516</v>
      </c>
      <c r="B7704" t="s">
        <v>14724</v>
      </c>
      <c r="C7704" s="3">
        <v>41776</v>
      </c>
      <c r="D7704" t="s">
        <v>148</v>
      </c>
      <c r="E7704">
        <v>5</v>
      </c>
      <c r="F7704" s="3">
        <f ca="1">41778+(RANDBETWEEN(1,10))</f>
        <v>41784</v>
      </c>
      <c r="G7704" t="s">
        <v>26</v>
      </c>
      <c r="H7704" t="s">
        <v>27</v>
      </c>
      <c r="I7704" t="s">
        <v>52</v>
      </c>
      <c r="J7704">
        <v>526.15499999999997</v>
      </c>
      <c r="K7704">
        <v>0.09</v>
      </c>
      <c r="L7704">
        <v>0.55000000000000004</v>
      </c>
      <c r="M7704">
        <v>3.85</v>
      </c>
      <c r="N7704">
        <v>162.792</v>
      </c>
      <c r="O7704" s="1" t="s">
        <v>53</v>
      </c>
      <c r="P7704" s="1" t="s">
        <v>8095</v>
      </c>
      <c r="Q7704" s="1" t="s">
        <v>8096</v>
      </c>
      <c r="R7704" s="1" t="s">
        <v>440</v>
      </c>
      <c r="S7704" s="1" t="s">
        <v>8097</v>
      </c>
      <c r="T7704" s="1" t="s">
        <v>8098</v>
      </c>
      <c r="U7704" s="2" t="s">
        <v>1451</v>
      </c>
      <c r="V7704" s="2" t="s">
        <v>36</v>
      </c>
      <c r="W7704" s="2" t="s">
        <v>37</v>
      </c>
      <c r="X7704" s="2">
        <v>125.965</v>
      </c>
    </row>
    <row r="7705" spans="1:24" x14ac:dyDescent="0.3">
      <c r="A7705">
        <v>25517</v>
      </c>
      <c r="B7705" t="s">
        <v>14725</v>
      </c>
      <c r="C7705" s="3">
        <v>40999</v>
      </c>
      <c r="D7705" t="s">
        <v>50</v>
      </c>
      <c r="E7705">
        <v>2</v>
      </c>
      <c r="F7705" s="3">
        <f ca="1">41000+(RANDBETWEEN(1,10))</f>
        <v>41002</v>
      </c>
      <c r="G7705" t="s">
        <v>26</v>
      </c>
      <c r="H7705" t="s">
        <v>51</v>
      </c>
      <c r="I7705" t="s">
        <v>28</v>
      </c>
      <c r="J7705">
        <v>76.405000000000001</v>
      </c>
      <c r="K7705">
        <v>0.04</v>
      </c>
      <c r="L7705">
        <v>0.56999999999999995</v>
      </c>
      <c r="M7705">
        <v>11.795</v>
      </c>
      <c r="N7705">
        <v>-36.33</v>
      </c>
      <c r="O7705" s="1" t="s">
        <v>87</v>
      </c>
      <c r="P7705" s="1" t="s">
        <v>14449</v>
      </c>
      <c r="Q7705" s="1" t="s">
        <v>14450</v>
      </c>
      <c r="R7705" s="1" t="s">
        <v>90</v>
      </c>
      <c r="S7705" s="1" t="s">
        <v>3227</v>
      </c>
      <c r="T7705" s="1" t="s">
        <v>3228</v>
      </c>
      <c r="U7705" s="2" t="s">
        <v>5857</v>
      </c>
      <c r="V7705" s="2" t="s">
        <v>47</v>
      </c>
      <c r="W7705" s="2" t="s">
        <v>94</v>
      </c>
      <c r="X7705" s="2">
        <v>38.43</v>
      </c>
    </row>
    <row r="7706" spans="1:24" x14ac:dyDescent="0.3">
      <c r="A7706">
        <v>25518</v>
      </c>
      <c r="B7706" t="s">
        <v>14726</v>
      </c>
      <c r="C7706" s="3">
        <v>41435</v>
      </c>
      <c r="D7706" t="s">
        <v>148</v>
      </c>
      <c r="E7706">
        <v>17</v>
      </c>
      <c r="F7706" s="3">
        <f ca="1">41436+(RANDBETWEEN(1,10))</f>
        <v>41440</v>
      </c>
      <c r="G7706" t="s">
        <v>26</v>
      </c>
      <c r="H7706" t="s">
        <v>27</v>
      </c>
      <c r="I7706" t="s">
        <v>86</v>
      </c>
      <c r="J7706">
        <v>343.49</v>
      </c>
      <c r="K7706">
        <v>0.08</v>
      </c>
      <c r="L7706">
        <v>0.39</v>
      </c>
      <c r="M7706">
        <v>17.535</v>
      </c>
      <c r="N7706">
        <v>-231.80779999999999</v>
      </c>
      <c r="O7706" s="1" t="s">
        <v>53</v>
      </c>
      <c r="P7706" s="1" t="s">
        <v>10362</v>
      </c>
      <c r="Q7706" s="1" t="s">
        <v>10363</v>
      </c>
      <c r="R7706" s="1" t="s">
        <v>56</v>
      </c>
      <c r="S7706" s="1" t="s">
        <v>10364</v>
      </c>
      <c r="T7706" s="1" t="s">
        <v>10365</v>
      </c>
      <c r="U7706" s="2" t="s">
        <v>2422</v>
      </c>
      <c r="V7706" s="2" t="s">
        <v>47</v>
      </c>
      <c r="W7706" s="2" t="s">
        <v>111</v>
      </c>
      <c r="X7706" s="2">
        <v>20.09</v>
      </c>
    </row>
    <row r="7707" spans="1:24" x14ac:dyDescent="0.3">
      <c r="A7707">
        <v>25519</v>
      </c>
      <c r="B7707" t="s">
        <v>14726</v>
      </c>
      <c r="C7707" s="3">
        <v>41435</v>
      </c>
      <c r="D7707" t="s">
        <v>148</v>
      </c>
      <c r="E7707">
        <v>18</v>
      </c>
      <c r="F7707" s="3">
        <f ca="1">41436+(RANDBETWEEN(1,10))</f>
        <v>41443</v>
      </c>
      <c r="G7707" t="s">
        <v>26</v>
      </c>
      <c r="H7707" t="s">
        <v>27</v>
      </c>
      <c r="I7707" t="s">
        <v>86</v>
      </c>
      <c r="J7707">
        <v>9165.4850000000006</v>
      </c>
      <c r="K7707">
        <v>0.01</v>
      </c>
      <c r="L7707">
        <v>0.73</v>
      </c>
      <c r="M7707">
        <v>69.965000000000003</v>
      </c>
      <c r="N7707">
        <v>2911.692</v>
      </c>
      <c r="O7707" s="1" t="s">
        <v>53</v>
      </c>
      <c r="P7707" s="1" t="s">
        <v>10362</v>
      </c>
      <c r="Q7707" s="1" t="s">
        <v>10363</v>
      </c>
      <c r="R7707" s="1" t="s">
        <v>56</v>
      </c>
      <c r="S7707" s="1" t="s">
        <v>10364</v>
      </c>
      <c r="T7707" s="1" t="s">
        <v>10365</v>
      </c>
      <c r="U7707" s="2" t="s">
        <v>1828</v>
      </c>
      <c r="V7707" s="2" t="s">
        <v>47</v>
      </c>
      <c r="W7707" s="2" t="s">
        <v>119</v>
      </c>
      <c r="X7707" s="2">
        <v>492.97500000000002</v>
      </c>
    </row>
    <row r="7708" spans="1:24" x14ac:dyDescent="0.3">
      <c r="A7708">
        <v>25520</v>
      </c>
      <c r="B7708" t="s">
        <v>14726</v>
      </c>
      <c r="C7708" s="3">
        <v>41435</v>
      </c>
      <c r="D7708" t="s">
        <v>148</v>
      </c>
      <c r="E7708">
        <v>16</v>
      </c>
      <c r="F7708" s="3">
        <f ca="1">41436+(RANDBETWEEN(1,10))</f>
        <v>41442</v>
      </c>
      <c r="G7708" t="s">
        <v>26</v>
      </c>
      <c r="H7708" t="s">
        <v>27</v>
      </c>
      <c r="I7708" t="s">
        <v>86</v>
      </c>
      <c r="J7708">
        <v>885.22</v>
      </c>
      <c r="K7708">
        <v>0.02</v>
      </c>
      <c r="L7708">
        <v>0.39</v>
      </c>
      <c r="M7708">
        <v>29.4</v>
      </c>
      <c r="N7708">
        <v>109.17059999999999</v>
      </c>
      <c r="O7708" s="1" t="s">
        <v>225</v>
      </c>
      <c r="P7708" s="1" t="s">
        <v>14727</v>
      </c>
      <c r="Q7708" s="1" t="s">
        <v>14728</v>
      </c>
      <c r="R7708" s="1" t="s">
        <v>228</v>
      </c>
      <c r="S7708" s="1" t="s">
        <v>8055</v>
      </c>
      <c r="T7708" s="1" t="s">
        <v>8056</v>
      </c>
      <c r="U7708" s="2" t="s">
        <v>110</v>
      </c>
      <c r="V7708" s="2" t="s">
        <v>47</v>
      </c>
      <c r="W7708" s="2" t="s">
        <v>111</v>
      </c>
      <c r="X7708" s="2">
        <v>52.534999999999997</v>
      </c>
    </row>
    <row r="7709" spans="1:24" x14ac:dyDescent="0.3">
      <c r="A7709">
        <v>25521</v>
      </c>
      <c r="B7709" t="s">
        <v>14729</v>
      </c>
      <c r="C7709" s="3">
        <v>41806</v>
      </c>
      <c r="D7709" t="s">
        <v>148</v>
      </c>
      <c r="E7709">
        <v>4</v>
      </c>
      <c r="F7709" s="3">
        <f ca="1">41807+(RANDBETWEEN(1,10))</f>
        <v>41809</v>
      </c>
      <c r="G7709" t="s">
        <v>156</v>
      </c>
      <c r="H7709" t="s">
        <v>96</v>
      </c>
      <c r="I7709" t="s">
        <v>52</v>
      </c>
      <c r="J7709">
        <v>77.454999999999998</v>
      </c>
      <c r="K7709">
        <v>0</v>
      </c>
      <c r="L7709">
        <v>0.52</v>
      </c>
      <c r="M7709">
        <v>2.4849999999999999</v>
      </c>
      <c r="N7709">
        <v>53.443950000000001</v>
      </c>
      <c r="O7709" s="1" t="s">
        <v>87</v>
      </c>
      <c r="P7709" s="1" t="s">
        <v>13185</v>
      </c>
      <c r="Q7709" s="1" t="s">
        <v>13186</v>
      </c>
      <c r="R7709" s="1" t="s">
        <v>398</v>
      </c>
      <c r="S7709" s="1" t="s">
        <v>13187</v>
      </c>
      <c r="T7709" s="1" t="s">
        <v>13188</v>
      </c>
      <c r="U7709" s="2" t="s">
        <v>2636</v>
      </c>
      <c r="V7709" s="2" t="s">
        <v>47</v>
      </c>
      <c r="W7709" s="2" t="s">
        <v>104</v>
      </c>
      <c r="X7709" s="2">
        <v>16.940000000000001</v>
      </c>
    </row>
    <row r="7710" spans="1:24" x14ac:dyDescent="0.3">
      <c r="A7710">
        <v>25522</v>
      </c>
      <c r="B7710" t="s">
        <v>14730</v>
      </c>
      <c r="C7710" s="3">
        <v>41074</v>
      </c>
      <c r="D7710" t="s">
        <v>50</v>
      </c>
      <c r="E7710">
        <v>5</v>
      </c>
      <c r="F7710" s="3">
        <f ca="1">41075+(RANDBETWEEN(1,10))</f>
        <v>41077</v>
      </c>
      <c r="G7710" t="s">
        <v>26</v>
      </c>
      <c r="H7710" t="s">
        <v>27</v>
      </c>
      <c r="I7710" t="s">
        <v>28</v>
      </c>
      <c r="J7710">
        <v>2457.84</v>
      </c>
      <c r="K7710">
        <v>0.06</v>
      </c>
      <c r="L7710">
        <v>0.73</v>
      </c>
      <c r="M7710">
        <v>69.965000000000003</v>
      </c>
      <c r="N7710">
        <v>-97.412000000000006</v>
      </c>
      <c r="O7710" s="1" t="s">
        <v>64</v>
      </c>
      <c r="P7710" s="1" t="s">
        <v>14102</v>
      </c>
      <c r="Q7710" s="1" t="s">
        <v>14103</v>
      </c>
      <c r="R7710" s="1" t="s">
        <v>128</v>
      </c>
      <c r="S7710" s="1" t="s">
        <v>7105</v>
      </c>
      <c r="T7710" s="1" t="s">
        <v>7106</v>
      </c>
      <c r="U7710" s="2" t="s">
        <v>1828</v>
      </c>
      <c r="V7710" s="2" t="s">
        <v>47</v>
      </c>
      <c r="W7710" s="2" t="s">
        <v>119</v>
      </c>
      <c r="X7710" s="2">
        <v>492.97500000000002</v>
      </c>
    </row>
    <row r="7711" spans="1:24" x14ac:dyDescent="0.3">
      <c r="A7711">
        <v>25523</v>
      </c>
      <c r="B7711" t="s">
        <v>14731</v>
      </c>
      <c r="C7711" s="3">
        <v>41569</v>
      </c>
      <c r="D7711" t="s">
        <v>39</v>
      </c>
      <c r="E7711">
        <v>13</v>
      </c>
      <c r="F7711" s="3">
        <f ca="1">41570+(RANDBETWEEN(1,10))</f>
        <v>41571</v>
      </c>
      <c r="G7711" t="s">
        <v>26</v>
      </c>
      <c r="H7711" t="s">
        <v>27</v>
      </c>
      <c r="I7711" t="s">
        <v>28</v>
      </c>
      <c r="J7711">
        <v>2532.25</v>
      </c>
      <c r="K7711">
        <v>7.0000000000000007E-2</v>
      </c>
      <c r="L7711">
        <v>0.38</v>
      </c>
      <c r="M7711">
        <v>5.2149999999999999</v>
      </c>
      <c r="N7711">
        <v>1747.2525000000001</v>
      </c>
      <c r="O7711" s="1" t="s">
        <v>64</v>
      </c>
      <c r="P7711" s="1" t="s">
        <v>10549</v>
      </c>
      <c r="Q7711" s="1" t="s">
        <v>10550</v>
      </c>
      <c r="R7711" s="1" t="s">
        <v>67</v>
      </c>
      <c r="S7711" s="1" t="s">
        <v>10551</v>
      </c>
      <c r="T7711" s="1" t="s">
        <v>10552</v>
      </c>
      <c r="U7711" s="2" t="s">
        <v>3367</v>
      </c>
      <c r="V7711" s="2" t="s">
        <v>47</v>
      </c>
      <c r="W7711" s="2" t="s">
        <v>111</v>
      </c>
      <c r="X7711" s="2">
        <v>203.35</v>
      </c>
    </row>
    <row r="7712" spans="1:24" x14ac:dyDescent="0.3">
      <c r="A7712">
        <v>25524</v>
      </c>
      <c r="B7712" t="s">
        <v>14732</v>
      </c>
      <c r="C7712" s="3">
        <v>42002</v>
      </c>
      <c r="D7712" t="s">
        <v>39</v>
      </c>
      <c r="E7712">
        <v>20</v>
      </c>
      <c r="F7712" s="3">
        <f ca="1">42003+(RANDBETWEEN(1,10))</f>
        <v>42006</v>
      </c>
      <c r="G7712" t="s">
        <v>26</v>
      </c>
      <c r="H7712" t="s">
        <v>27</v>
      </c>
      <c r="I7712" t="s">
        <v>28</v>
      </c>
      <c r="J7712">
        <v>318.14999999999998</v>
      </c>
      <c r="K7712">
        <v>0.05</v>
      </c>
      <c r="L7712">
        <v>0.36</v>
      </c>
      <c r="M7712">
        <v>20.405000000000001</v>
      </c>
      <c r="N7712">
        <v>-170.213064</v>
      </c>
      <c r="O7712" s="1" t="s">
        <v>40</v>
      </c>
      <c r="P7712" s="1" t="s">
        <v>7577</v>
      </c>
      <c r="Q7712" s="1" t="s">
        <v>7578</v>
      </c>
      <c r="R7712" s="1" t="s">
        <v>43</v>
      </c>
      <c r="S7712" s="1" t="s">
        <v>7579</v>
      </c>
      <c r="T7712" s="1" t="s">
        <v>7580</v>
      </c>
      <c r="U7712" s="2" t="s">
        <v>6429</v>
      </c>
      <c r="V7712" s="2" t="s">
        <v>47</v>
      </c>
      <c r="W7712" s="2" t="s">
        <v>111</v>
      </c>
      <c r="X7712" s="2">
        <v>15.89</v>
      </c>
    </row>
    <row r="7713" spans="1:24" x14ac:dyDescent="0.3">
      <c r="A7713">
        <v>25525</v>
      </c>
      <c r="B7713" t="s">
        <v>14733</v>
      </c>
      <c r="C7713" s="3">
        <v>41791</v>
      </c>
      <c r="D7713" t="s">
        <v>62</v>
      </c>
      <c r="E7713">
        <v>11</v>
      </c>
      <c r="F7713" s="3">
        <f ca="1">41792+(RANDBETWEEN(1,10))</f>
        <v>41798</v>
      </c>
      <c r="G7713" t="s">
        <v>26</v>
      </c>
      <c r="H7713" t="s">
        <v>27</v>
      </c>
      <c r="I7713" t="s">
        <v>52</v>
      </c>
      <c r="J7713">
        <v>187.215</v>
      </c>
      <c r="K7713">
        <v>7.0000000000000007E-2</v>
      </c>
      <c r="L7713">
        <v>0.39</v>
      </c>
      <c r="M7713">
        <v>1.7150000000000001</v>
      </c>
      <c r="N7713">
        <v>129.17834999999999</v>
      </c>
      <c r="O7713" s="1" t="s">
        <v>225</v>
      </c>
      <c r="P7713" s="1" t="s">
        <v>7377</v>
      </c>
      <c r="Q7713" s="1" t="s">
        <v>7378</v>
      </c>
      <c r="R7713" s="1" t="s">
        <v>228</v>
      </c>
      <c r="S7713" s="1" t="s">
        <v>6861</v>
      </c>
      <c r="T7713" s="1" t="s">
        <v>6862</v>
      </c>
      <c r="U7713" s="2" t="s">
        <v>892</v>
      </c>
      <c r="V7713" s="2" t="s">
        <v>47</v>
      </c>
      <c r="W7713" s="2" t="s">
        <v>203</v>
      </c>
      <c r="X7713" s="2">
        <v>17.43</v>
      </c>
    </row>
    <row r="7714" spans="1:24" x14ac:dyDescent="0.3">
      <c r="A7714">
        <v>25526</v>
      </c>
      <c r="B7714" t="s">
        <v>14734</v>
      </c>
      <c r="C7714" s="3">
        <v>41925</v>
      </c>
      <c r="D7714" t="s">
        <v>50</v>
      </c>
      <c r="E7714">
        <v>12</v>
      </c>
      <c r="F7714" s="3">
        <f ca="1">41926+(RANDBETWEEN(1,10))</f>
        <v>41928</v>
      </c>
      <c r="G7714" t="s">
        <v>76</v>
      </c>
      <c r="H7714" t="s">
        <v>258</v>
      </c>
      <c r="I7714" t="s">
        <v>28</v>
      </c>
      <c r="J7714">
        <v>5961.2349999999997</v>
      </c>
      <c r="K7714">
        <v>7.0000000000000007E-2</v>
      </c>
      <c r="L7714">
        <v>0.69</v>
      </c>
      <c r="M7714">
        <v>161.69999999999999</v>
      </c>
      <c r="N7714">
        <v>-2010.95895</v>
      </c>
      <c r="O7714" s="1" t="s">
        <v>53</v>
      </c>
      <c r="P7714" s="1" t="s">
        <v>10362</v>
      </c>
      <c r="Q7714" s="1" t="s">
        <v>10363</v>
      </c>
      <c r="R7714" s="1" t="s">
        <v>56</v>
      </c>
      <c r="S7714" s="1" t="s">
        <v>10364</v>
      </c>
      <c r="T7714" s="1" t="s">
        <v>10365</v>
      </c>
      <c r="U7714" s="2" t="s">
        <v>2661</v>
      </c>
      <c r="V7714" s="2" t="s">
        <v>83</v>
      </c>
      <c r="W7714" s="2" t="s">
        <v>263</v>
      </c>
      <c r="X7714" s="2">
        <v>510.93</v>
      </c>
    </row>
    <row r="7715" spans="1:24" x14ac:dyDescent="0.3">
      <c r="A7715">
        <v>25527</v>
      </c>
      <c r="B7715" t="s">
        <v>14735</v>
      </c>
      <c r="C7715" s="3">
        <v>41512</v>
      </c>
      <c r="D7715" t="s">
        <v>50</v>
      </c>
      <c r="E7715">
        <v>17</v>
      </c>
      <c r="F7715" s="3">
        <f ca="1">41513+(RANDBETWEEN(1,10))</f>
        <v>41521</v>
      </c>
      <c r="G7715" t="s">
        <v>26</v>
      </c>
      <c r="H7715" t="s">
        <v>27</v>
      </c>
      <c r="I7715" t="s">
        <v>86</v>
      </c>
      <c r="J7715">
        <v>1922.97</v>
      </c>
      <c r="K7715">
        <v>0.03</v>
      </c>
      <c r="L7715">
        <v>0.4</v>
      </c>
      <c r="M7715">
        <v>20.16</v>
      </c>
      <c r="N7715">
        <v>1326.8493000000001</v>
      </c>
      <c r="O7715" s="1" t="s">
        <v>29</v>
      </c>
      <c r="P7715" s="1" t="s">
        <v>8895</v>
      </c>
      <c r="Q7715" s="1" t="s">
        <v>8896</v>
      </c>
      <c r="R7715" s="1" t="s">
        <v>460</v>
      </c>
      <c r="S7715" s="1" t="s">
        <v>8897</v>
      </c>
      <c r="T7715" s="1" t="s">
        <v>8898</v>
      </c>
      <c r="U7715" s="2" t="s">
        <v>2045</v>
      </c>
      <c r="V7715" s="2" t="s">
        <v>47</v>
      </c>
      <c r="W7715" s="2" t="s">
        <v>74</v>
      </c>
      <c r="X7715" s="2">
        <v>108.43</v>
      </c>
    </row>
    <row r="7716" spans="1:24" x14ac:dyDescent="0.3">
      <c r="A7716">
        <v>25528</v>
      </c>
      <c r="B7716" t="s">
        <v>14736</v>
      </c>
      <c r="C7716" s="3">
        <v>41669</v>
      </c>
      <c r="D7716" t="s">
        <v>39</v>
      </c>
      <c r="E7716">
        <v>11</v>
      </c>
      <c r="F7716" s="3">
        <f ca="1">41670+(RANDBETWEEN(1,10))</f>
        <v>41673</v>
      </c>
      <c r="G7716" t="s">
        <v>156</v>
      </c>
      <c r="H7716" t="s">
        <v>27</v>
      </c>
      <c r="I7716" t="s">
        <v>97</v>
      </c>
      <c r="J7716">
        <v>254.69499999999999</v>
      </c>
      <c r="K7716">
        <v>0.1</v>
      </c>
      <c r="L7716">
        <v>0.37</v>
      </c>
      <c r="M7716">
        <v>21.77</v>
      </c>
      <c r="N7716">
        <v>-403.88040000000001</v>
      </c>
      <c r="O7716" s="1" t="s">
        <v>64</v>
      </c>
      <c r="P7716" s="1" t="s">
        <v>2716</v>
      </c>
      <c r="Q7716" s="1" t="s">
        <v>2717</v>
      </c>
      <c r="R7716" s="1" t="s">
        <v>67</v>
      </c>
      <c r="S7716" s="1" t="s">
        <v>2718</v>
      </c>
      <c r="T7716" s="1" t="s">
        <v>2719</v>
      </c>
      <c r="U7716" s="2" t="s">
        <v>4158</v>
      </c>
      <c r="V7716" s="2" t="s">
        <v>47</v>
      </c>
      <c r="W7716" s="2" t="s">
        <v>74</v>
      </c>
      <c r="X7716" s="2">
        <v>22.68</v>
      </c>
    </row>
    <row r="7717" spans="1:24" x14ac:dyDescent="0.3">
      <c r="A7717">
        <v>25529</v>
      </c>
      <c r="B7717" t="s">
        <v>14736</v>
      </c>
      <c r="C7717" s="3">
        <v>41669</v>
      </c>
      <c r="D7717" t="s">
        <v>39</v>
      </c>
      <c r="E7717">
        <v>6</v>
      </c>
      <c r="F7717" s="3">
        <f ca="1">41671+(RANDBETWEEN(1,10))</f>
        <v>41678</v>
      </c>
      <c r="G7717" t="s">
        <v>26</v>
      </c>
      <c r="H7717" t="s">
        <v>27</v>
      </c>
      <c r="I7717" t="s">
        <v>97</v>
      </c>
      <c r="J7717">
        <v>3356.7449999999999</v>
      </c>
      <c r="K7717">
        <v>0.05</v>
      </c>
      <c r="L7717">
        <v>0.6</v>
      </c>
      <c r="M7717">
        <v>14.7</v>
      </c>
      <c r="N7717">
        <v>985.08312000000001</v>
      </c>
      <c r="O7717" s="1" t="s">
        <v>64</v>
      </c>
      <c r="P7717" s="1" t="s">
        <v>2716</v>
      </c>
      <c r="Q7717" s="1" t="s">
        <v>2717</v>
      </c>
      <c r="R7717" s="1" t="s">
        <v>67</v>
      </c>
      <c r="S7717" s="1" t="s">
        <v>2718</v>
      </c>
      <c r="T7717" s="1" t="s">
        <v>2719</v>
      </c>
      <c r="U7717" s="2">
        <v>688</v>
      </c>
      <c r="V7717" s="2" t="s">
        <v>36</v>
      </c>
      <c r="W7717" s="2" t="s">
        <v>37</v>
      </c>
      <c r="X7717" s="2">
        <v>685.96500000000003</v>
      </c>
    </row>
    <row r="7718" spans="1:24" x14ac:dyDescent="0.3">
      <c r="A7718">
        <v>25530</v>
      </c>
      <c r="B7718" t="s">
        <v>14737</v>
      </c>
      <c r="C7718" s="3">
        <v>41913</v>
      </c>
      <c r="D7718" t="s">
        <v>62</v>
      </c>
      <c r="E7718">
        <v>5</v>
      </c>
      <c r="F7718" s="3">
        <f ca="1">41913+(RANDBETWEEN(1,10))</f>
        <v>41921</v>
      </c>
      <c r="G7718" t="s">
        <v>76</v>
      </c>
      <c r="H7718" t="s">
        <v>258</v>
      </c>
      <c r="I7718" t="s">
        <v>86</v>
      </c>
      <c r="J7718">
        <v>1091.51</v>
      </c>
      <c r="K7718">
        <v>0.01</v>
      </c>
      <c r="L7718">
        <v>0.61</v>
      </c>
      <c r="M7718">
        <v>128.13499999999999</v>
      </c>
      <c r="N7718">
        <v>-746.62</v>
      </c>
      <c r="O7718" s="1" t="s">
        <v>29</v>
      </c>
      <c r="P7718" s="1" t="s">
        <v>14529</v>
      </c>
      <c r="Q7718" s="1" t="s">
        <v>14530</v>
      </c>
      <c r="R7718" s="1" t="s">
        <v>32</v>
      </c>
      <c r="S7718" s="1" t="s">
        <v>12816</v>
      </c>
      <c r="T7718" s="1" t="s">
        <v>12817</v>
      </c>
      <c r="U7718" s="2" t="s">
        <v>4050</v>
      </c>
      <c r="V7718" s="2" t="s">
        <v>83</v>
      </c>
      <c r="W7718" s="2" t="s">
        <v>298</v>
      </c>
      <c r="X7718" s="2">
        <v>203.49</v>
      </c>
    </row>
    <row r="7719" spans="1:24" x14ac:dyDescent="0.3">
      <c r="A7719">
        <v>25531</v>
      </c>
      <c r="B7719" t="s">
        <v>14738</v>
      </c>
      <c r="C7719" s="3">
        <v>40652</v>
      </c>
      <c r="D7719" t="s">
        <v>25</v>
      </c>
      <c r="E7719">
        <v>7</v>
      </c>
      <c r="F7719" s="3">
        <f ca="1">40659+(RANDBETWEEN(1,10))</f>
        <v>40666</v>
      </c>
      <c r="G7719" t="s">
        <v>26</v>
      </c>
      <c r="H7719" t="s">
        <v>281</v>
      </c>
      <c r="I7719" t="s">
        <v>28</v>
      </c>
      <c r="J7719">
        <v>1958.0050000000001</v>
      </c>
      <c r="K7719">
        <v>0</v>
      </c>
      <c r="L7719">
        <v>0.52</v>
      </c>
      <c r="M7719">
        <v>48.965000000000003</v>
      </c>
      <c r="N7719">
        <v>1351.0234499999999</v>
      </c>
      <c r="O7719" s="1" t="s">
        <v>64</v>
      </c>
      <c r="P7719" s="1" t="s">
        <v>12075</v>
      </c>
      <c r="Q7719" s="1" t="s">
        <v>12076</v>
      </c>
      <c r="R7719" s="1" t="s">
        <v>67</v>
      </c>
      <c r="S7719" s="1" t="s">
        <v>4699</v>
      </c>
      <c r="T7719" s="1" t="s">
        <v>4700</v>
      </c>
      <c r="U7719" s="2" t="s">
        <v>5634</v>
      </c>
      <c r="V7719" s="2" t="s">
        <v>47</v>
      </c>
      <c r="W7719" s="2" t="s">
        <v>71</v>
      </c>
      <c r="X7719" s="2">
        <v>275.27499999999998</v>
      </c>
    </row>
    <row r="7720" spans="1:24" x14ac:dyDescent="0.3">
      <c r="A7720">
        <v>25532</v>
      </c>
      <c r="B7720" t="s">
        <v>14738</v>
      </c>
      <c r="C7720" s="3">
        <v>40652</v>
      </c>
      <c r="D7720" t="s">
        <v>25</v>
      </c>
      <c r="E7720">
        <v>10</v>
      </c>
      <c r="F7720" s="3">
        <f ca="1">40657+(RANDBETWEEN(1,10))</f>
        <v>40664</v>
      </c>
      <c r="G7720" t="s">
        <v>76</v>
      </c>
      <c r="H7720" t="s">
        <v>77</v>
      </c>
      <c r="I7720" t="s">
        <v>28</v>
      </c>
      <c r="J7720">
        <v>4257.82</v>
      </c>
      <c r="K7720">
        <v>0.08</v>
      </c>
      <c r="L7720">
        <v>0.74</v>
      </c>
      <c r="M7720">
        <v>245.7</v>
      </c>
      <c r="N7720">
        <v>-6537.8950000000004</v>
      </c>
      <c r="O7720" s="1" t="s">
        <v>64</v>
      </c>
      <c r="P7720" s="1" t="s">
        <v>12075</v>
      </c>
      <c r="Q7720" s="1" t="s">
        <v>12076</v>
      </c>
      <c r="R7720" s="1" t="s">
        <v>67</v>
      </c>
      <c r="S7720" s="1" t="s">
        <v>4699</v>
      </c>
      <c r="T7720" s="1" t="s">
        <v>4700</v>
      </c>
      <c r="U7720" s="2" t="s">
        <v>358</v>
      </c>
      <c r="V7720" s="2" t="s">
        <v>83</v>
      </c>
      <c r="W7720" s="2" t="s">
        <v>84</v>
      </c>
      <c r="X7720" s="2">
        <v>430.46499999999997</v>
      </c>
    </row>
    <row r="7721" spans="1:24" x14ac:dyDescent="0.3">
      <c r="A7721">
        <v>25533</v>
      </c>
      <c r="B7721" t="s">
        <v>14739</v>
      </c>
      <c r="C7721" s="3">
        <v>41373</v>
      </c>
      <c r="D7721" t="s">
        <v>25</v>
      </c>
      <c r="E7721">
        <v>10</v>
      </c>
      <c r="F7721" s="3">
        <f ca="1">41375+(RANDBETWEEN(1,10))</f>
        <v>41377</v>
      </c>
      <c r="G7721" t="s">
        <v>26</v>
      </c>
      <c r="H7721" t="s">
        <v>27</v>
      </c>
      <c r="I7721" t="s">
        <v>52</v>
      </c>
      <c r="J7721">
        <v>1600.34</v>
      </c>
      <c r="K7721">
        <v>0.08</v>
      </c>
      <c r="L7721">
        <v>0.37</v>
      </c>
      <c r="M7721">
        <v>25.305</v>
      </c>
      <c r="N7721">
        <v>1104.2346</v>
      </c>
      <c r="O7721" s="1" t="s">
        <v>64</v>
      </c>
      <c r="P7721" s="1" t="s">
        <v>14740</v>
      </c>
      <c r="Q7721" s="1" t="s">
        <v>14741</v>
      </c>
      <c r="R7721" s="1" t="s">
        <v>67</v>
      </c>
      <c r="S7721" s="1" t="s">
        <v>417</v>
      </c>
      <c r="T7721" s="1" t="s">
        <v>418</v>
      </c>
      <c r="U7721" s="2" t="s">
        <v>2593</v>
      </c>
      <c r="V7721" s="2" t="s">
        <v>47</v>
      </c>
      <c r="W7721" s="2" t="s">
        <v>74</v>
      </c>
      <c r="X7721" s="2">
        <v>168.14</v>
      </c>
    </row>
    <row r="7722" spans="1:24" x14ac:dyDescent="0.3">
      <c r="A7722">
        <v>25534</v>
      </c>
      <c r="B7722" t="s">
        <v>14742</v>
      </c>
      <c r="C7722" s="3">
        <v>41063</v>
      </c>
      <c r="D7722" t="s">
        <v>39</v>
      </c>
      <c r="E7722">
        <v>17</v>
      </c>
      <c r="F7722" s="3">
        <f ca="1">41066+(RANDBETWEEN(1,10))</f>
        <v>41068</v>
      </c>
      <c r="G7722" t="s">
        <v>156</v>
      </c>
      <c r="H7722" t="s">
        <v>27</v>
      </c>
      <c r="I7722" t="s">
        <v>97</v>
      </c>
      <c r="J7722">
        <v>10098.76</v>
      </c>
      <c r="K7722">
        <v>0.02</v>
      </c>
      <c r="L7722">
        <v>0.66</v>
      </c>
      <c r="M7722">
        <v>69.965000000000003</v>
      </c>
      <c r="N7722">
        <v>6968.1444000000001</v>
      </c>
      <c r="O7722" s="1" t="s">
        <v>29</v>
      </c>
      <c r="P7722" s="1" t="s">
        <v>13913</v>
      </c>
      <c r="Q7722" s="1" t="s">
        <v>13914</v>
      </c>
      <c r="R7722" s="1" t="s">
        <v>460</v>
      </c>
      <c r="S7722" s="1" t="s">
        <v>2302</v>
      </c>
      <c r="T7722" s="1" t="s">
        <v>2303</v>
      </c>
      <c r="U7722" s="2" t="s">
        <v>6421</v>
      </c>
      <c r="V7722" s="2" t="s">
        <v>47</v>
      </c>
      <c r="W7722" s="2" t="s">
        <v>119</v>
      </c>
      <c r="X7722" s="2">
        <v>565.42499999999995</v>
      </c>
    </row>
    <row r="7723" spans="1:24" x14ac:dyDescent="0.3">
      <c r="A7723">
        <v>25535</v>
      </c>
      <c r="B7723" t="s">
        <v>14743</v>
      </c>
      <c r="C7723" s="3">
        <v>40565</v>
      </c>
      <c r="D7723" t="s">
        <v>39</v>
      </c>
      <c r="E7723">
        <v>9</v>
      </c>
      <c r="F7723" s="3">
        <f ca="1">40565+(RANDBETWEEN(1,10))</f>
        <v>40572</v>
      </c>
      <c r="G7723" t="s">
        <v>26</v>
      </c>
      <c r="H7723" t="s">
        <v>27</v>
      </c>
      <c r="I7723" t="s">
        <v>97</v>
      </c>
      <c r="J7723">
        <v>492.45</v>
      </c>
      <c r="K7723">
        <v>0.02</v>
      </c>
      <c r="L7723">
        <v>0.36</v>
      </c>
      <c r="M7723">
        <v>34.055</v>
      </c>
      <c r="N7723">
        <v>-75.713470000000001</v>
      </c>
      <c r="O7723" s="1" t="s">
        <v>53</v>
      </c>
      <c r="P7723" s="1" t="s">
        <v>12108</v>
      </c>
      <c r="Q7723" s="1" t="s">
        <v>12109</v>
      </c>
      <c r="R7723" s="1" t="s">
        <v>440</v>
      </c>
      <c r="S7723" s="1" t="s">
        <v>12110</v>
      </c>
      <c r="T7723" s="1" t="s">
        <v>12111</v>
      </c>
      <c r="U7723" s="2" t="s">
        <v>5433</v>
      </c>
      <c r="V7723" s="2" t="s">
        <v>47</v>
      </c>
      <c r="W7723" s="2" t="s">
        <v>111</v>
      </c>
      <c r="X7723" s="2">
        <v>53.27</v>
      </c>
    </row>
    <row r="7724" spans="1:24" x14ac:dyDescent="0.3">
      <c r="A7724">
        <v>25536</v>
      </c>
      <c r="B7724" t="s">
        <v>14743</v>
      </c>
      <c r="C7724" s="3">
        <v>40565</v>
      </c>
      <c r="D7724" t="s">
        <v>39</v>
      </c>
      <c r="E7724">
        <v>7</v>
      </c>
      <c r="F7724" s="3">
        <f ca="1">40566+(RANDBETWEEN(1,10))</f>
        <v>40574</v>
      </c>
      <c r="G7724" t="s">
        <v>26</v>
      </c>
      <c r="H7724" t="s">
        <v>27</v>
      </c>
      <c r="I7724" t="s">
        <v>97</v>
      </c>
      <c r="J7724">
        <v>4160.2049999999999</v>
      </c>
      <c r="K7724">
        <v>7.0000000000000007E-2</v>
      </c>
      <c r="L7724">
        <v>0.48</v>
      </c>
      <c r="M7724">
        <v>69.965000000000003</v>
      </c>
      <c r="N7724">
        <v>2566.4877000000001</v>
      </c>
      <c r="O7724" s="1" t="s">
        <v>29</v>
      </c>
      <c r="P7724" s="1" t="s">
        <v>14744</v>
      </c>
      <c r="Q7724" s="1" t="s">
        <v>14745</v>
      </c>
      <c r="R7724" s="1" t="s">
        <v>460</v>
      </c>
      <c r="S7724" s="1" t="s">
        <v>4852</v>
      </c>
      <c r="T7724" s="1" t="s">
        <v>4853</v>
      </c>
      <c r="U7724" s="2" t="s">
        <v>2205</v>
      </c>
      <c r="V7724" s="2" t="s">
        <v>36</v>
      </c>
      <c r="W7724" s="2" t="s">
        <v>60</v>
      </c>
      <c r="X7724" s="2">
        <v>629.96500000000003</v>
      </c>
    </row>
    <row r="7725" spans="1:24" x14ac:dyDescent="0.3">
      <c r="A7725">
        <v>25537</v>
      </c>
      <c r="B7725" t="s">
        <v>14743</v>
      </c>
      <c r="C7725" s="3">
        <v>40565</v>
      </c>
      <c r="D7725" t="s">
        <v>39</v>
      </c>
      <c r="E7725">
        <v>11</v>
      </c>
      <c r="F7725" s="3">
        <f ca="1">40566+(RANDBETWEEN(1,10))</f>
        <v>40572</v>
      </c>
      <c r="G7725" t="s">
        <v>156</v>
      </c>
      <c r="H7725" t="s">
        <v>281</v>
      </c>
      <c r="I7725" t="s">
        <v>97</v>
      </c>
      <c r="J7725">
        <v>3534.7550000000001</v>
      </c>
      <c r="K7725">
        <v>0.02</v>
      </c>
      <c r="L7725">
        <v>0.67</v>
      </c>
      <c r="M7725">
        <v>138.63499999999999</v>
      </c>
      <c r="N7725">
        <v>-3170.9663999999998</v>
      </c>
      <c r="O7725" s="1" t="s">
        <v>29</v>
      </c>
      <c r="P7725" s="1" t="s">
        <v>14744</v>
      </c>
      <c r="Q7725" s="1" t="s">
        <v>14745</v>
      </c>
      <c r="R7725" s="1" t="s">
        <v>460</v>
      </c>
      <c r="S7725" s="1" t="s">
        <v>4852</v>
      </c>
      <c r="T7725" s="1" t="s">
        <v>4853</v>
      </c>
      <c r="U7725" s="2" t="s">
        <v>3390</v>
      </c>
      <c r="V7725" s="2" t="s">
        <v>83</v>
      </c>
      <c r="W7725" s="2" t="s">
        <v>178</v>
      </c>
      <c r="X7725" s="2">
        <v>322.80500000000001</v>
      </c>
    </row>
    <row r="7726" spans="1:24" x14ac:dyDescent="0.3">
      <c r="A7726">
        <v>25538</v>
      </c>
      <c r="B7726" t="s">
        <v>14746</v>
      </c>
      <c r="C7726" s="3">
        <v>41661</v>
      </c>
      <c r="D7726" t="s">
        <v>39</v>
      </c>
      <c r="E7726">
        <v>7</v>
      </c>
      <c r="F7726" s="3">
        <f ca="1">41662+(RANDBETWEEN(1,10))</f>
        <v>41667</v>
      </c>
      <c r="G7726" t="s">
        <v>156</v>
      </c>
      <c r="H7726" t="s">
        <v>27</v>
      </c>
      <c r="I7726" t="s">
        <v>97</v>
      </c>
      <c r="J7726">
        <v>2519.5100000000002</v>
      </c>
      <c r="K7726">
        <v>0.03</v>
      </c>
      <c r="L7726">
        <v>0.57999999999999996</v>
      </c>
      <c r="M7726">
        <v>20.72</v>
      </c>
      <c r="N7726">
        <v>-491.17599999999999</v>
      </c>
      <c r="O7726" s="1" t="s">
        <v>29</v>
      </c>
      <c r="P7726" s="1" t="s">
        <v>14744</v>
      </c>
      <c r="Q7726" s="1" t="s">
        <v>14745</v>
      </c>
      <c r="R7726" s="1" t="s">
        <v>460</v>
      </c>
      <c r="S7726" s="1" t="s">
        <v>4852</v>
      </c>
      <c r="T7726" s="1" t="s">
        <v>4853</v>
      </c>
      <c r="U7726" s="2">
        <v>8890</v>
      </c>
      <c r="V7726" s="2" t="s">
        <v>36</v>
      </c>
      <c r="W7726" s="2" t="s">
        <v>37</v>
      </c>
      <c r="X7726" s="2">
        <v>405.96499999999997</v>
      </c>
    </row>
    <row r="7727" spans="1:24" x14ac:dyDescent="0.3">
      <c r="A7727">
        <v>25539</v>
      </c>
      <c r="B7727" t="s">
        <v>14747</v>
      </c>
      <c r="C7727" s="3">
        <v>40731</v>
      </c>
      <c r="D7727" t="s">
        <v>62</v>
      </c>
      <c r="E7727">
        <v>14</v>
      </c>
      <c r="F7727" s="3">
        <f ca="1">40732+(RANDBETWEEN(1,10))</f>
        <v>40740</v>
      </c>
      <c r="G7727" t="s">
        <v>26</v>
      </c>
      <c r="H7727" t="s">
        <v>96</v>
      </c>
      <c r="I7727" t="s">
        <v>52</v>
      </c>
      <c r="J7727">
        <v>720.93</v>
      </c>
      <c r="K7727">
        <v>0.03</v>
      </c>
      <c r="L7727">
        <v>0.46</v>
      </c>
      <c r="M7727">
        <v>18.55</v>
      </c>
      <c r="N7727">
        <v>374.57</v>
      </c>
      <c r="O7727" s="1" t="s">
        <v>40</v>
      </c>
      <c r="P7727" s="1" t="s">
        <v>10009</v>
      </c>
      <c r="Q7727" s="1" t="s">
        <v>10010</v>
      </c>
      <c r="R7727" s="1" t="s">
        <v>43</v>
      </c>
      <c r="S7727" s="1" t="s">
        <v>1989</v>
      </c>
      <c r="T7727" s="1" t="s">
        <v>10011</v>
      </c>
      <c r="U7727" s="2" t="s">
        <v>2729</v>
      </c>
      <c r="V7727" s="2" t="s">
        <v>83</v>
      </c>
      <c r="W7727" s="2" t="s">
        <v>178</v>
      </c>
      <c r="X7727" s="2">
        <v>49.7</v>
      </c>
    </row>
    <row r="7728" spans="1:24" x14ac:dyDescent="0.3">
      <c r="A7728">
        <v>25540</v>
      </c>
      <c r="B7728" t="s">
        <v>14748</v>
      </c>
      <c r="C7728" s="3">
        <v>41827</v>
      </c>
      <c r="D7728" t="s">
        <v>62</v>
      </c>
      <c r="E7728">
        <v>13</v>
      </c>
      <c r="F7728" s="3">
        <f ca="1">41828+(RANDBETWEEN(1,10))</f>
        <v>41832</v>
      </c>
      <c r="G7728" t="s">
        <v>26</v>
      </c>
      <c r="H7728" t="s">
        <v>63</v>
      </c>
      <c r="I7728" t="s">
        <v>52</v>
      </c>
      <c r="J7728">
        <v>3389.33</v>
      </c>
      <c r="K7728">
        <v>0.04</v>
      </c>
      <c r="L7728">
        <v>0.68</v>
      </c>
      <c r="M7728">
        <v>241.5</v>
      </c>
      <c r="N7728">
        <v>-4984.997472</v>
      </c>
      <c r="O7728" s="1" t="s">
        <v>40</v>
      </c>
      <c r="P7728" s="1" t="s">
        <v>10009</v>
      </c>
      <c r="Q7728" s="1" t="s">
        <v>10010</v>
      </c>
      <c r="R7728" s="1" t="s">
        <v>43</v>
      </c>
      <c r="S7728" s="1" t="s">
        <v>1989</v>
      </c>
      <c r="T7728" s="1" t="s">
        <v>10011</v>
      </c>
      <c r="U7728" s="2" t="s">
        <v>1152</v>
      </c>
      <c r="V7728" s="2" t="s">
        <v>83</v>
      </c>
      <c r="W7728" s="2" t="s">
        <v>263</v>
      </c>
      <c r="X7728" s="2">
        <v>249.79499999999999</v>
      </c>
    </row>
    <row r="7729" spans="1:24" x14ac:dyDescent="0.3">
      <c r="A7729">
        <v>25541</v>
      </c>
      <c r="B7729" t="s">
        <v>14748</v>
      </c>
      <c r="C7729" s="3">
        <v>41827</v>
      </c>
      <c r="D7729" t="s">
        <v>62</v>
      </c>
      <c r="E7729">
        <v>10</v>
      </c>
      <c r="F7729" s="3">
        <f ca="1">41827+(RANDBETWEEN(1,10))</f>
        <v>41830</v>
      </c>
      <c r="G7729" t="s">
        <v>156</v>
      </c>
      <c r="H7729" t="s">
        <v>27</v>
      </c>
      <c r="I7729" t="s">
        <v>52</v>
      </c>
      <c r="J7729">
        <v>6226.8149999999996</v>
      </c>
      <c r="K7729">
        <v>0.02</v>
      </c>
      <c r="L7729">
        <v>0.59</v>
      </c>
      <c r="M7729">
        <v>28.28</v>
      </c>
      <c r="N7729">
        <v>4296.5023499999998</v>
      </c>
      <c r="O7729" s="1" t="s">
        <v>40</v>
      </c>
      <c r="P7729" s="1" t="s">
        <v>10009</v>
      </c>
      <c r="Q7729" s="1" t="s">
        <v>10010</v>
      </c>
      <c r="R7729" s="1" t="s">
        <v>43</v>
      </c>
      <c r="S7729" s="1" t="s">
        <v>1989</v>
      </c>
      <c r="T7729" s="1" t="s">
        <v>10011</v>
      </c>
      <c r="U7729" s="2">
        <v>5125</v>
      </c>
      <c r="V7729" s="2" t="s">
        <v>36</v>
      </c>
      <c r="W7729" s="2" t="s">
        <v>37</v>
      </c>
      <c r="X7729" s="2">
        <v>703.46500000000003</v>
      </c>
    </row>
    <row r="7730" spans="1:24" x14ac:dyDescent="0.3">
      <c r="A7730">
        <v>25542</v>
      </c>
      <c r="B7730" t="s">
        <v>14749</v>
      </c>
      <c r="C7730" s="3">
        <v>41521</v>
      </c>
      <c r="D7730" t="s">
        <v>50</v>
      </c>
      <c r="E7730">
        <v>10</v>
      </c>
      <c r="F7730" s="3">
        <f ca="1">41523+(RANDBETWEEN(1,10))</f>
        <v>41531</v>
      </c>
      <c r="G7730" t="s">
        <v>26</v>
      </c>
      <c r="H7730" t="s">
        <v>27</v>
      </c>
      <c r="I7730" t="s">
        <v>86</v>
      </c>
      <c r="J7730">
        <v>13204.485000000001</v>
      </c>
      <c r="K7730">
        <v>0.1</v>
      </c>
      <c r="L7730">
        <v>0.57999999999999996</v>
      </c>
      <c r="M7730">
        <v>69.965000000000003</v>
      </c>
      <c r="N7730">
        <v>1053.171</v>
      </c>
      <c r="O7730" s="1" t="s">
        <v>29</v>
      </c>
      <c r="P7730" s="1" t="s">
        <v>14594</v>
      </c>
      <c r="Q7730" s="1" t="s">
        <v>14595</v>
      </c>
      <c r="R7730" s="1" t="s">
        <v>675</v>
      </c>
      <c r="S7730" s="1" t="s">
        <v>3846</v>
      </c>
      <c r="T7730" s="1" t="s">
        <v>14596</v>
      </c>
      <c r="U7730" s="2" t="s">
        <v>3569</v>
      </c>
      <c r="V7730" s="2" t="s">
        <v>47</v>
      </c>
      <c r="W7730" s="2" t="s">
        <v>119</v>
      </c>
      <c r="X7730" s="2">
        <v>1467.165</v>
      </c>
    </row>
    <row r="7731" spans="1:24" x14ac:dyDescent="0.3">
      <c r="A7731">
        <v>25543</v>
      </c>
      <c r="B7731" t="s">
        <v>14750</v>
      </c>
      <c r="C7731" s="3">
        <v>41716</v>
      </c>
      <c r="D7731" t="s">
        <v>62</v>
      </c>
      <c r="E7731">
        <v>5</v>
      </c>
      <c r="F7731" s="3">
        <f ca="1">41718+(RANDBETWEEN(1,10))</f>
        <v>41728</v>
      </c>
      <c r="G7731" t="s">
        <v>76</v>
      </c>
      <c r="H7731" t="s">
        <v>77</v>
      </c>
      <c r="I7731" t="s">
        <v>97</v>
      </c>
      <c r="J7731">
        <v>421.26</v>
      </c>
      <c r="K7731">
        <v>0.05</v>
      </c>
      <c r="L7731">
        <v>0.78</v>
      </c>
      <c r="M7731">
        <v>185.60499999999999</v>
      </c>
      <c r="N7731">
        <v>-2855.2649999999999</v>
      </c>
      <c r="O7731" s="1" t="s">
        <v>29</v>
      </c>
      <c r="P7731" s="1" t="s">
        <v>7598</v>
      </c>
      <c r="Q7731" s="1" t="s">
        <v>7599</v>
      </c>
      <c r="R7731" s="1" t="s">
        <v>460</v>
      </c>
      <c r="S7731" s="1" t="s">
        <v>7600</v>
      </c>
      <c r="T7731" s="1" t="s">
        <v>7601</v>
      </c>
      <c r="U7731" s="2" t="s">
        <v>583</v>
      </c>
      <c r="V7731" s="2" t="s">
        <v>47</v>
      </c>
      <c r="W7731" s="2" t="s">
        <v>119</v>
      </c>
      <c r="X7731" s="2">
        <v>73.430000000000007</v>
      </c>
    </row>
    <row r="7732" spans="1:24" x14ac:dyDescent="0.3">
      <c r="A7732">
        <v>25544</v>
      </c>
      <c r="B7732" t="s">
        <v>14751</v>
      </c>
      <c r="C7732" s="3">
        <v>40629</v>
      </c>
      <c r="D7732" t="s">
        <v>50</v>
      </c>
      <c r="E7732">
        <v>9</v>
      </c>
      <c r="F7732" s="3">
        <f ca="1">40630+(RANDBETWEEN(1,10))</f>
        <v>40635</v>
      </c>
      <c r="G7732" t="s">
        <v>26</v>
      </c>
      <c r="H7732" t="s">
        <v>96</v>
      </c>
      <c r="I7732" t="s">
        <v>28</v>
      </c>
      <c r="J7732">
        <v>269.185</v>
      </c>
      <c r="K7732">
        <v>7.0000000000000007E-2</v>
      </c>
      <c r="L7732">
        <v>0.39</v>
      </c>
      <c r="M7732">
        <v>7.0350000000000001</v>
      </c>
      <c r="N7732">
        <v>185.73765</v>
      </c>
      <c r="O7732" s="1" t="s">
        <v>64</v>
      </c>
      <c r="P7732" s="1" t="s">
        <v>9268</v>
      </c>
      <c r="Q7732" s="1" t="s">
        <v>9269</v>
      </c>
      <c r="R7732" s="1" t="s">
        <v>67</v>
      </c>
      <c r="S7732" s="1" t="s">
        <v>6687</v>
      </c>
      <c r="T7732" s="1" t="s">
        <v>6688</v>
      </c>
      <c r="U7732" s="2" t="s">
        <v>7728</v>
      </c>
      <c r="V7732" s="2" t="s">
        <v>47</v>
      </c>
      <c r="W7732" s="2" t="s">
        <v>74</v>
      </c>
      <c r="X7732" s="2">
        <v>31.324999999999999</v>
      </c>
    </row>
    <row r="7733" spans="1:24" x14ac:dyDescent="0.3">
      <c r="A7733">
        <v>25545</v>
      </c>
      <c r="B7733" t="s">
        <v>14752</v>
      </c>
      <c r="C7733" s="3">
        <v>41337</v>
      </c>
      <c r="D7733" t="s">
        <v>62</v>
      </c>
      <c r="E7733">
        <v>12</v>
      </c>
      <c r="F7733" s="3">
        <f ca="1">41339+(RANDBETWEEN(1,10))</f>
        <v>41341</v>
      </c>
      <c r="G7733" t="s">
        <v>76</v>
      </c>
      <c r="H7733" t="s">
        <v>77</v>
      </c>
      <c r="I7733" t="s">
        <v>97</v>
      </c>
      <c r="J7733">
        <v>5416.04</v>
      </c>
      <c r="K7733">
        <v>0.04</v>
      </c>
      <c r="L7733">
        <v>0.78</v>
      </c>
      <c r="M7733">
        <v>455</v>
      </c>
      <c r="N7733">
        <v>-11914.84</v>
      </c>
      <c r="O7733" s="1" t="s">
        <v>29</v>
      </c>
      <c r="P7733" s="1" t="s">
        <v>12580</v>
      </c>
      <c r="Q7733" s="1" t="s">
        <v>12581</v>
      </c>
      <c r="R7733" s="1" t="s">
        <v>32</v>
      </c>
      <c r="S7733" s="1" t="s">
        <v>2296</v>
      </c>
      <c r="T7733" s="1" t="s">
        <v>2297</v>
      </c>
      <c r="U7733" s="2" t="s">
        <v>2894</v>
      </c>
      <c r="V7733" s="2" t="s">
        <v>83</v>
      </c>
      <c r="W7733" s="2" t="s">
        <v>84</v>
      </c>
      <c r="X7733" s="2">
        <v>458.43</v>
      </c>
    </row>
    <row r="7734" spans="1:24" x14ac:dyDescent="0.3">
      <c r="A7734">
        <v>25546</v>
      </c>
      <c r="B7734" t="s">
        <v>14753</v>
      </c>
      <c r="C7734" s="3">
        <v>41494</v>
      </c>
      <c r="D7734" t="s">
        <v>39</v>
      </c>
      <c r="E7734">
        <v>21</v>
      </c>
      <c r="F7734" s="3">
        <f ca="1">41495+(RANDBETWEEN(1,10))</f>
        <v>41496</v>
      </c>
      <c r="G7734" t="s">
        <v>26</v>
      </c>
      <c r="H7734" t="s">
        <v>27</v>
      </c>
      <c r="I7734" t="s">
        <v>52</v>
      </c>
      <c r="J7734">
        <v>3042.34</v>
      </c>
      <c r="K7734">
        <v>0.01</v>
      </c>
      <c r="L7734">
        <v>0.36</v>
      </c>
      <c r="M7734">
        <v>61.18</v>
      </c>
      <c r="N7734">
        <v>-1036.3989999999999</v>
      </c>
      <c r="O7734" s="1" t="s">
        <v>40</v>
      </c>
      <c r="P7734" s="1" t="s">
        <v>14754</v>
      </c>
      <c r="Q7734" s="1" t="s">
        <v>14755</v>
      </c>
      <c r="R7734" s="1" t="s">
        <v>43</v>
      </c>
      <c r="S7734" s="1" t="s">
        <v>4347</v>
      </c>
      <c r="T7734" s="1" t="s">
        <v>4348</v>
      </c>
      <c r="U7734" s="2" t="s">
        <v>1688</v>
      </c>
      <c r="V7734" s="2" t="s">
        <v>47</v>
      </c>
      <c r="W7734" s="2" t="s">
        <v>74</v>
      </c>
      <c r="X7734" s="2">
        <v>143.465</v>
      </c>
    </row>
    <row r="7735" spans="1:24" x14ac:dyDescent="0.3">
      <c r="A7735">
        <v>25547</v>
      </c>
      <c r="B7735" t="s">
        <v>14756</v>
      </c>
      <c r="C7735" s="3">
        <v>41983</v>
      </c>
      <c r="D7735" t="s">
        <v>148</v>
      </c>
      <c r="E7735">
        <v>12</v>
      </c>
      <c r="F7735" s="3">
        <f ca="1">41984+(RANDBETWEEN(1,10))</f>
        <v>41985</v>
      </c>
      <c r="G7735" t="s">
        <v>26</v>
      </c>
      <c r="H7735" t="s">
        <v>96</v>
      </c>
      <c r="I7735" t="s">
        <v>28</v>
      </c>
      <c r="J7735">
        <v>315.73500000000001</v>
      </c>
      <c r="K7735">
        <v>0</v>
      </c>
      <c r="L7735">
        <v>0.39</v>
      </c>
      <c r="M7735">
        <v>7</v>
      </c>
      <c r="N7735">
        <v>217.85714999999999</v>
      </c>
      <c r="O7735" s="1" t="s">
        <v>87</v>
      </c>
      <c r="P7735" s="1" t="s">
        <v>11584</v>
      </c>
      <c r="Q7735" s="1" t="s">
        <v>11585</v>
      </c>
      <c r="R7735" s="1" t="s">
        <v>646</v>
      </c>
      <c r="S7735" s="1" t="s">
        <v>1637</v>
      </c>
      <c r="T7735" s="1" t="s">
        <v>1638</v>
      </c>
      <c r="U7735" s="2" t="s">
        <v>336</v>
      </c>
      <c r="V7735" s="2" t="s">
        <v>47</v>
      </c>
      <c r="W7735" s="2" t="s">
        <v>74</v>
      </c>
      <c r="X7735" s="2">
        <v>24.08</v>
      </c>
    </row>
    <row r="7736" spans="1:24" x14ac:dyDescent="0.3">
      <c r="A7736">
        <v>25548</v>
      </c>
      <c r="B7736" t="s">
        <v>14757</v>
      </c>
      <c r="C7736" s="3">
        <v>41944</v>
      </c>
      <c r="D7736" t="s">
        <v>50</v>
      </c>
      <c r="E7736">
        <v>40</v>
      </c>
      <c r="F7736" s="3">
        <f ca="1">41945+(RANDBETWEEN(1,10))</f>
        <v>41955</v>
      </c>
      <c r="G7736" t="s">
        <v>26</v>
      </c>
      <c r="H7736" t="s">
        <v>27</v>
      </c>
      <c r="I7736" t="s">
        <v>28</v>
      </c>
      <c r="J7736">
        <v>13567.05</v>
      </c>
      <c r="K7736">
        <v>0.04</v>
      </c>
      <c r="L7736">
        <v>0.56999999999999995</v>
      </c>
      <c r="M7736">
        <v>8.75</v>
      </c>
      <c r="N7736">
        <v>9361.2644999999993</v>
      </c>
      <c r="O7736" s="1" t="s">
        <v>40</v>
      </c>
      <c r="P7736" s="1" t="s">
        <v>14263</v>
      </c>
      <c r="Q7736" s="1" t="s">
        <v>14264</v>
      </c>
      <c r="R7736" s="1" t="s">
        <v>220</v>
      </c>
      <c r="S7736" s="1" t="s">
        <v>7647</v>
      </c>
      <c r="T7736" s="1" t="s">
        <v>7648</v>
      </c>
      <c r="U7736" s="2" t="s">
        <v>3011</v>
      </c>
      <c r="V7736" s="2" t="s">
        <v>36</v>
      </c>
      <c r="W7736" s="2" t="s">
        <v>37</v>
      </c>
      <c r="X7736" s="2">
        <v>388.46499999999997</v>
      </c>
    </row>
    <row r="7737" spans="1:24" x14ac:dyDescent="0.3">
      <c r="A7737">
        <v>25549</v>
      </c>
      <c r="B7737" t="s">
        <v>14758</v>
      </c>
      <c r="C7737" s="3">
        <v>41821</v>
      </c>
      <c r="D7737" t="s">
        <v>25</v>
      </c>
      <c r="E7737">
        <v>12</v>
      </c>
      <c r="F7737" s="3">
        <f ca="1">41828+(RANDBETWEEN(1,10))</f>
        <v>41837</v>
      </c>
      <c r="G7737" t="s">
        <v>76</v>
      </c>
      <c r="H7737" t="s">
        <v>77</v>
      </c>
      <c r="I7737" t="s">
        <v>28</v>
      </c>
      <c r="J7737">
        <v>5079.7950000000001</v>
      </c>
      <c r="K7737">
        <v>0.08</v>
      </c>
      <c r="L7737">
        <v>0.38</v>
      </c>
      <c r="M7737">
        <v>92.05</v>
      </c>
      <c r="N7737">
        <v>3505.0585500000002</v>
      </c>
      <c r="O7737" s="1" t="s">
        <v>29</v>
      </c>
      <c r="P7737" s="1" t="s">
        <v>7760</v>
      </c>
      <c r="Q7737" s="1" t="s">
        <v>7761</v>
      </c>
      <c r="R7737" s="1" t="s">
        <v>32</v>
      </c>
      <c r="S7737" s="1" t="s">
        <v>2911</v>
      </c>
      <c r="T7737" s="1" t="s">
        <v>2912</v>
      </c>
      <c r="U7737" s="2" t="s">
        <v>7068</v>
      </c>
      <c r="V7737" s="2" t="s">
        <v>36</v>
      </c>
      <c r="W7737" s="2" t="s">
        <v>142</v>
      </c>
      <c r="X7737" s="2">
        <v>423.39499999999998</v>
      </c>
    </row>
    <row r="7738" spans="1:24" x14ac:dyDescent="0.3">
      <c r="A7738">
        <v>25550</v>
      </c>
      <c r="B7738" t="s">
        <v>14759</v>
      </c>
      <c r="C7738" s="3">
        <v>41670</v>
      </c>
      <c r="D7738" t="s">
        <v>25</v>
      </c>
      <c r="E7738">
        <v>10</v>
      </c>
      <c r="F7738" s="3">
        <f ca="1">41674+(RANDBETWEEN(1,10))</f>
        <v>41677</v>
      </c>
      <c r="G7738" t="s">
        <v>26</v>
      </c>
      <c r="H7738" t="s">
        <v>27</v>
      </c>
      <c r="I7738" t="s">
        <v>28</v>
      </c>
      <c r="J7738">
        <v>648.58500000000004</v>
      </c>
      <c r="K7738">
        <v>0.05</v>
      </c>
      <c r="L7738">
        <v>0.37</v>
      </c>
      <c r="M7738">
        <v>18.234999999999999</v>
      </c>
      <c r="N7738">
        <v>447.52364999999998</v>
      </c>
      <c r="O7738" s="1" t="s">
        <v>87</v>
      </c>
      <c r="P7738" s="1" t="s">
        <v>14760</v>
      </c>
      <c r="Q7738" s="1" t="s">
        <v>14761</v>
      </c>
      <c r="R7738" s="1" t="s">
        <v>398</v>
      </c>
      <c r="S7738" s="1" t="s">
        <v>2577</v>
      </c>
      <c r="T7738" s="1" t="s">
        <v>2578</v>
      </c>
      <c r="U7738" s="2" t="s">
        <v>4606</v>
      </c>
      <c r="V7738" s="2" t="s">
        <v>47</v>
      </c>
      <c r="W7738" s="2" t="s">
        <v>74</v>
      </c>
      <c r="X7738" s="2">
        <v>66.394999999999996</v>
      </c>
    </row>
    <row r="7739" spans="1:24" x14ac:dyDescent="0.3">
      <c r="A7739">
        <v>25551</v>
      </c>
      <c r="B7739" t="s">
        <v>14759</v>
      </c>
      <c r="C7739" s="3">
        <v>41670</v>
      </c>
      <c r="D7739" t="s">
        <v>25</v>
      </c>
      <c r="E7739">
        <v>12</v>
      </c>
      <c r="F7739" s="3">
        <f ca="1">41675+(RANDBETWEEN(1,10))</f>
        <v>41681</v>
      </c>
      <c r="G7739" t="s">
        <v>26</v>
      </c>
      <c r="H7739" t="s">
        <v>27</v>
      </c>
      <c r="I7739" t="s">
        <v>28</v>
      </c>
      <c r="J7739">
        <v>264.28500000000003</v>
      </c>
      <c r="K7739">
        <v>0.09</v>
      </c>
      <c r="L7739">
        <v>0.37</v>
      </c>
      <c r="M7739">
        <v>24.01</v>
      </c>
      <c r="N7739">
        <v>-609.68320000000006</v>
      </c>
      <c r="O7739" s="1" t="s">
        <v>87</v>
      </c>
      <c r="P7739" s="1" t="s">
        <v>14760</v>
      </c>
      <c r="Q7739" s="1" t="s">
        <v>14761</v>
      </c>
      <c r="R7739" s="1" t="s">
        <v>398</v>
      </c>
      <c r="S7739" s="1" t="s">
        <v>2577</v>
      </c>
      <c r="T7739" s="1" t="s">
        <v>2578</v>
      </c>
      <c r="U7739" s="2" t="s">
        <v>1514</v>
      </c>
      <c r="V7739" s="2" t="s">
        <v>47</v>
      </c>
      <c r="W7739" s="2" t="s">
        <v>74</v>
      </c>
      <c r="X7739" s="2">
        <v>22.68</v>
      </c>
    </row>
    <row r="7740" spans="1:24" x14ac:dyDescent="0.3">
      <c r="A7740">
        <v>25552</v>
      </c>
      <c r="B7740" t="s">
        <v>14762</v>
      </c>
      <c r="C7740" s="3">
        <v>41842</v>
      </c>
      <c r="D7740" t="s">
        <v>50</v>
      </c>
      <c r="E7740">
        <v>16</v>
      </c>
      <c r="F7740" s="3">
        <f ca="1">41843+(RANDBETWEEN(1,10))</f>
        <v>41849</v>
      </c>
      <c r="G7740" t="s">
        <v>26</v>
      </c>
      <c r="H7740" t="s">
        <v>27</v>
      </c>
      <c r="I7740" t="s">
        <v>86</v>
      </c>
      <c r="J7740">
        <v>504.73500000000001</v>
      </c>
      <c r="K7740">
        <v>7.0000000000000007E-2</v>
      </c>
      <c r="L7740">
        <v>0.36</v>
      </c>
      <c r="M7740">
        <v>19.600000000000001</v>
      </c>
      <c r="N7740">
        <v>-27.420876</v>
      </c>
      <c r="O7740" s="1" t="s">
        <v>87</v>
      </c>
      <c r="P7740" s="1" t="s">
        <v>7771</v>
      </c>
      <c r="Q7740" s="1" t="s">
        <v>7772</v>
      </c>
      <c r="R7740" s="1" t="s">
        <v>398</v>
      </c>
      <c r="S7740" s="1" t="s">
        <v>7773</v>
      </c>
      <c r="T7740" s="1" t="s">
        <v>7774</v>
      </c>
      <c r="U7740" s="2" t="s">
        <v>3792</v>
      </c>
      <c r="V7740" s="2" t="s">
        <v>47</v>
      </c>
      <c r="W7740" s="2" t="s">
        <v>111</v>
      </c>
      <c r="X7740" s="2">
        <v>30.975000000000001</v>
      </c>
    </row>
    <row r="7741" spans="1:24" x14ac:dyDescent="0.3">
      <c r="A7741">
        <v>25553</v>
      </c>
      <c r="B7741" t="s">
        <v>14763</v>
      </c>
      <c r="C7741" s="3">
        <v>41497</v>
      </c>
      <c r="D7741" t="s">
        <v>148</v>
      </c>
      <c r="E7741">
        <v>11</v>
      </c>
      <c r="F7741" s="3">
        <f ca="1">41499+(RANDBETWEEN(1,10))</f>
        <v>41504</v>
      </c>
      <c r="G7741" t="s">
        <v>76</v>
      </c>
      <c r="H7741" t="s">
        <v>258</v>
      </c>
      <c r="I7741" t="s">
        <v>28</v>
      </c>
      <c r="J7741">
        <v>5526.15</v>
      </c>
      <c r="K7741">
        <v>0.05</v>
      </c>
      <c r="L7741">
        <v>0.77</v>
      </c>
      <c r="M7741">
        <v>126.315</v>
      </c>
      <c r="N7741">
        <v>-559.57719999999995</v>
      </c>
      <c r="O7741" s="1" t="s">
        <v>64</v>
      </c>
      <c r="P7741" s="1" t="s">
        <v>7413</v>
      </c>
      <c r="Q7741" s="1" t="s">
        <v>7414</v>
      </c>
      <c r="R7741" s="1" t="s">
        <v>128</v>
      </c>
      <c r="S7741" s="1" t="s">
        <v>5446</v>
      </c>
      <c r="T7741" s="1" t="s">
        <v>5447</v>
      </c>
      <c r="U7741" s="2" t="s">
        <v>3136</v>
      </c>
      <c r="V7741" s="2" t="s">
        <v>83</v>
      </c>
      <c r="W7741" s="2" t="s">
        <v>298</v>
      </c>
      <c r="X7741" s="2">
        <v>493.43</v>
      </c>
    </row>
    <row r="7742" spans="1:24" x14ac:dyDescent="0.3">
      <c r="A7742">
        <v>25554</v>
      </c>
      <c r="B7742" t="s">
        <v>14763</v>
      </c>
      <c r="C7742" s="3">
        <v>41497</v>
      </c>
      <c r="D7742" t="s">
        <v>148</v>
      </c>
      <c r="E7742">
        <v>14</v>
      </c>
      <c r="F7742" s="3">
        <f ca="1">41498+(RANDBETWEEN(1,10))</f>
        <v>41504</v>
      </c>
      <c r="G7742" t="s">
        <v>156</v>
      </c>
      <c r="H7742" t="s">
        <v>27</v>
      </c>
      <c r="I7742" t="s">
        <v>28</v>
      </c>
      <c r="J7742">
        <v>222.18</v>
      </c>
      <c r="K7742">
        <v>0.06</v>
      </c>
      <c r="L7742">
        <v>0.39</v>
      </c>
      <c r="M7742">
        <v>3.4649999999999999</v>
      </c>
      <c r="N7742">
        <v>153.30420000000001</v>
      </c>
      <c r="O7742" s="1" t="s">
        <v>64</v>
      </c>
      <c r="P7742" s="1" t="s">
        <v>7413</v>
      </c>
      <c r="Q7742" s="1" t="s">
        <v>7414</v>
      </c>
      <c r="R7742" s="1" t="s">
        <v>128</v>
      </c>
      <c r="S7742" s="1" t="s">
        <v>5446</v>
      </c>
      <c r="T7742" s="1" t="s">
        <v>5447</v>
      </c>
      <c r="U7742" s="2" t="s">
        <v>2720</v>
      </c>
      <c r="V7742" s="2" t="s">
        <v>47</v>
      </c>
      <c r="W7742" s="2" t="s">
        <v>203</v>
      </c>
      <c r="X7742" s="2">
        <v>14.455</v>
      </c>
    </row>
    <row r="7743" spans="1:24" x14ac:dyDescent="0.3">
      <c r="A7743">
        <v>25555</v>
      </c>
      <c r="B7743" t="s">
        <v>14764</v>
      </c>
      <c r="C7743" s="3">
        <v>41684</v>
      </c>
      <c r="D7743" t="s">
        <v>39</v>
      </c>
      <c r="E7743">
        <v>5</v>
      </c>
      <c r="F7743" s="3">
        <f ca="1">41685+(RANDBETWEEN(1,10))</f>
        <v>41690</v>
      </c>
      <c r="G7743" t="s">
        <v>156</v>
      </c>
      <c r="H7743" t="s">
        <v>51</v>
      </c>
      <c r="I7743" t="s">
        <v>52</v>
      </c>
      <c r="J7743">
        <v>798.94500000000005</v>
      </c>
      <c r="K7743">
        <v>0.06</v>
      </c>
      <c r="L7743">
        <v>0.8</v>
      </c>
      <c r="M7743">
        <v>17.5</v>
      </c>
      <c r="N7743">
        <v>-806.19</v>
      </c>
      <c r="O7743" s="1" t="s">
        <v>29</v>
      </c>
      <c r="P7743" s="1" t="s">
        <v>14765</v>
      </c>
      <c r="Q7743" s="1" t="s">
        <v>14766</v>
      </c>
      <c r="R7743" s="1" t="s">
        <v>675</v>
      </c>
      <c r="S7743" s="1" t="s">
        <v>1324</v>
      </c>
      <c r="T7743" s="1" t="s">
        <v>1325</v>
      </c>
      <c r="U7743" s="2" t="s">
        <v>2876</v>
      </c>
      <c r="V7743" s="2" t="s">
        <v>36</v>
      </c>
      <c r="W7743" s="2" t="s">
        <v>37</v>
      </c>
      <c r="X7743" s="2">
        <v>195.965</v>
      </c>
    </row>
    <row r="7744" spans="1:24" x14ac:dyDescent="0.3">
      <c r="A7744">
        <v>25556</v>
      </c>
      <c r="B7744" t="s">
        <v>14764</v>
      </c>
      <c r="C7744" s="3">
        <v>41684</v>
      </c>
      <c r="D7744" t="s">
        <v>39</v>
      </c>
      <c r="E7744">
        <v>9</v>
      </c>
      <c r="F7744" s="3">
        <f ca="1">41685+(RANDBETWEEN(1,10))</f>
        <v>41693</v>
      </c>
      <c r="G7744" t="s">
        <v>26</v>
      </c>
      <c r="H7744" t="s">
        <v>27</v>
      </c>
      <c r="I7744" t="s">
        <v>52</v>
      </c>
      <c r="J7744">
        <v>5220.0749999999998</v>
      </c>
      <c r="K7744">
        <v>0.03</v>
      </c>
      <c r="L7744">
        <v>0.59</v>
      </c>
      <c r="M7744">
        <v>28.28</v>
      </c>
      <c r="N7744">
        <v>3601.8517499999998</v>
      </c>
      <c r="O7744" s="1" t="s">
        <v>87</v>
      </c>
      <c r="P7744" s="1" t="s">
        <v>14767</v>
      </c>
      <c r="Q7744" s="1" t="s">
        <v>14768</v>
      </c>
      <c r="R7744" s="1" t="s">
        <v>90</v>
      </c>
      <c r="S7744" s="1" t="s">
        <v>14769</v>
      </c>
      <c r="T7744" s="1" t="s">
        <v>14770</v>
      </c>
      <c r="U7744" s="2">
        <v>5125</v>
      </c>
      <c r="V7744" s="2" t="s">
        <v>36</v>
      </c>
      <c r="W7744" s="2" t="s">
        <v>37</v>
      </c>
      <c r="X7744" s="2">
        <v>703.46500000000003</v>
      </c>
    </row>
    <row r="7745" spans="1:24" x14ac:dyDescent="0.3">
      <c r="A7745">
        <v>25557</v>
      </c>
      <c r="B7745" t="s">
        <v>14771</v>
      </c>
      <c r="C7745" s="3">
        <v>40587</v>
      </c>
      <c r="D7745" t="s">
        <v>62</v>
      </c>
      <c r="E7745">
        <v>11</v>
      </c>
      <c r="F7745" s="3">
        <f ca="1">40589+(RANDBETWEEN(1,10))</f>
        <v>40595</v>
      </c>
      <c r="G7745" t="s">
        <v>76</v>
      </c>
      <c r="H7745" t="s">
        <v>258</v>
      </c>
      <c r="I7745" t="s">
        <v>97</v>
      </c>
      <c r="J7745">
        <v>4798.4650000000001</v>
      </c>
      <c r="K7745">
        <v>0.02</v>
      </c>
      <c r="L7745">
        <v>0.75</v>
      </c>
      <c r="M7745">
        <v>205.24</v>
      </c>
      <c r="N7745">
        <v>-4656.75</v>
      </c>
      <c r="O7745" s="1" t="s">
        <v>29</v>
      </c>
      <c r="P7745" s="1" t="s">
        <v>14620</v>
      </c>
      <c r="Q7745" s="1" t="s">
        <v>14621</v>
      </c>
      <c r="R7745" s="1" t="s">
        <v>675</v>
      </c>
      <c r="S7745" s="1" t="s">
        <v>3453</v>
      </c>
      <c r="T7745" s="1" t="s">
        <v>3454</v>
      </c>
      <c r="U7745" s="2" t="s">
        <v>837</v>
      </c>
      <c r="V7745" s="2" t="s">
        <v>83</v>
      </c>
      <c r="W7745" s="2" t="s">
        <v>298</v>
      </c>
      <c r="X7745" s="2">
        <v>423.43</v>
      </c>
    </row>
    <row r="7746" spans="1:24" x14ac:dyDescent="0.3">
      <c r="A7746">
        <v>25558</v>
      </c>
      <c r="B7746" t="s">
        <v>14772</v>
      </c>
      <c r="C7746" s="3">
        <v>41343</v>
      </c>
      <c r="D7746" t="s">
        <v>25</v>
      </c>
      <c r="E7746">
        <v>1</v>
      </c>
      <c r="F7746" s="3">
        <f ca="1">41345+(RANDBETWEEN(1,10))</f>
        <v>41355</v>
      </c>
      <c r="G7746" t="s">
        <v>26</v>
      </c>
      <c r="H7746" t="s">
        <v>51</v>
      </c>
      <c r="I7746" t="s">
        <v>97</v>
      </c>
      <c r="J7746">
        <v>100.625</v>
      </c>
      <c r="K7746">
        <v>0.02</v>
      </c>
      <c r="L7746">
        <v>0.4</v>
      </c>
      <c r="M7746">
        <v>6.9649999999999999</v>
      </c>
      <c r="N7746">
        <v>-291.13</v>
      </c>
      <c r="O7746" s="1" t="s">
        <v>64</v>
      </c>
      <c r="P7746" s="1" t="s">
        <v>9314</v>
      </c>
      <c r="Q7746" s="1" t="s">
        <v>9315</v>
      </c>
      <c r="R7746" s="1" t="s">
        <v>128</v>
      </c>
      <c r="S7746" s="1" t="s">
        <v>9316</v>
      </c>
      <c r="T7746" s="1" t="s">
        <v>9317</v>
      </c>
      <c r="U7746" s="2" t="s">
        <v>1109</v>
      </c>
      <c r="V7746" s="2" t="s">
        <v>36</v>
      </c>
      <c r="W7746" s="2" t="s">
        <v>60</v>
      </c>
      <c r="X7746" s="2">
        <v>99.68</v>
      </c>
    </row>
    <row r="7747" spans="1:24" x14ac:dyDescent="0.3">
      <c r="A7747">
        <v>25559</v>
      </c>
      <c r="B7747" t="s">
        <v>14773</v>
      </c>
      <c r="C7747" s="3">
        <v>41476</v>
      </c>
      <c r="D7747" t="s">
        <v>39</v>
      </c>
      <c r="E7747">
        <v>3</v>
      </c>
      <c r="F7747" s="3">
        <f ca="1">41478+(RANDBETWEEN(1,10))</f>
        <v>41481</v>
      </c>
      <c r="G7747" t="s">
        <v>76</v>
      </c>
      <c r="H7747" t="s">
        <v>77</v>
      </c>
      <c r="I7747" t="s">
        <v>97</v>
      </c>
      <c r="J7747">
        <v>2835.42</v>
      </c>
      <c r="K7747">
        <v>0.08</v>
      </c>
      <c r="L7747">
        <v>0.59</v>
      </c>
      <c r="M7747">
        <v>81.165000000000006</v>
      </c>
      <c r="N7747">
        <v>903.03499999999997</v>
      </c>
      <c r="O7747" s="1" t="s">
        <v>64</v>
      </c>
      <c r="P7747" s="1" t="s">
        <v>9543</v>
      </c>
      <c r="Q7747" s="1" t="s">
        <v>9544</v>
      </c>
      <c r="R7747" s="1" t="s">
        <v>128</v>
      </c>
      <c r="S7747" s="1" t="s">
        <v>2117</v>
      </c>
      <c r="T7747" s="1" t="s">
        <v>1313</v>
      </c>
      <c r="U7747" s="2" t="s">
        <v>1970</v>
      </c>
      <c r="V7747" s="2" t="s">
        <v>47</v>
      </c>
      <c r="W7747" s="2" t="s">
        <v>71</v>
      </c>
      <c r="X7747" s="2">
        <v>979.33500000000004</v>
      </c>
    </row>
    <row r="7748" spans="1:24" x14ac:dyDescent="0.3">
      <c r="A7748">
        <v>25560</v>
      </c>
      <c r="B7748" t="s">
        <v>14774</v>
      </c>
      <c r="C7748" s="3">
        <v>41527</v>
      </c>
      <c r="D7748" t="s">
        <v>62</v>
      </c>
      <c r="E7748">
        <v>1</v>
      </c>
      <c r="F7748" s="3">
        <f ca="1">41529+(RANDBETWEEN(1,10))</f>
        <v>41530</v>
      </c>
      <c r="G7748" t="s">
        <v>76</v>
      </c>
      <c r="H7748" t="s">
        <v>77</v>
      </c>
      <c r="I7748" t="s">
        <v>28</v>
      </c>
      <c r="J7748">
        <v>187.285</v>
      </c>
      <c r="K7748">
        <v>0.08</v>
      </c>
      <c r="L7748">
        <v>0.56000000000000005</v>
      </c>
      <c r="M7748">
        <v>49.664999999999999</v>
      </c>
      <c r="N7748">
        <v>-243.81</v>
      </c>
      <c r="O7748" s="1" t="s">
        <v>225</v>
      </c>
      <c r="P7748" s="1" t="s">
        <v>6236</v>
      </c>
      <c r="Q7748" s="1" t="s">
        <v>6237</v>
      </c>
      <c r="R7748" s="1" t="s">
        <v>391</v>
      </c>
      <c r="S7748" s="1" t="s">
        <v>1484</v>
      </c>
      <c r="T7748" s="1" t="s">
        <v>6238</v>
      </c>
      <c r="U7748" s="2" t="s">
        <v>3412</v>
      </c>
      <c r="V7748" s="2" t="s">
        <v>83</v>
      </c>
      <c r="W7748" s="2" t="s">
        <v>84</v>
      </c>
      <c r="X7748" s="2">
        <v>178.43</v>
      </c>
    </row>
    <row r="7749" spans="1:24" x14ac:dyDescent="0.3">
      <c r="A7749">
        <v>25561</v>
      </c>
      <c r="B7749" t="s">
        <v>14775</v>
      </c>
      <c r="C7749" s="3">
        <v>41888</v>
      </c>
      <c r="D7749" t="s">
        <v>25</v>
      </c>
      <c r="E7749">
        <v>12</v>
      </c>
      <c r="F7749" s="3">
        <f ca="1">41890+(RANDBETWEEN(1,10))</f>
        <v>41895</v>
      </c>
      <c r="G7749" t="s">
        <v>76</v>
      </c>
      <c r="H7749" t="s">
        <v>77</v>
      </c>
      <c r="I7749" t="s">
        <v>86</v>
      </c>
      <c r="J7749">
        <v>9243.99</v>
      </c>
      <c r="K7749">
        <v>0.06</v>
      </c>
      <c r="L7749">
        <v>0.56000000000000005</v>
      </c>
      <c r="M7749">
        <v>98.21</v>
      </c>
      <c r="N7749">
        <v>3185.8973999999998</v>
      </c>
      <c r="O7749" s="1" t="s">
        <v>225</v>
      </c>
      <c r="P7749" s="1" t="s">
        <v>14776</v>
      </c>
      <c r="Q7749" s="1" t="s">
        <v>14777</v>
      </c>
      <c r="R7749" s="1" t="s">
        <v>228</v>
      </c>
      <c r="S7749" s="1" t="s">
        <v>6497</v>
      </c>
      <c r="T7749" s="1" t="s">
        <v>6498</v>
      </c>
      <c r="U7749" s="2" t="s">
        <v>6948</v>
      </c>
      <c r="V7749" s="2" t="s">
        <v>36</v>
      </c>
      <c r="W7749" s="2" t="s">
        <v>142</v>
      </c>
      <c r="X7749" s="2">
        <v>948.39499999999998</v>
      </c>
    </row>
    <row r="7750" spans="1:24" x14ac:dyDescent="0.3">
      <c r="A7750">
        <v>25562</v>
      </c>
      <c r="B7750" t="s">
        <v>14778</v>
      </c>
      <c r="C7750" s="3">
        <v>41646</v>
      </c>
      <c r="D7750" t="s">
        <v>25</v>
      </c>
      <c r="E7750">
        <v>7</v>
      </c>
      <c r="F7750" s="3">
        <f ca="1">41651+(RANDBETWEEN(1,10))</f>
        <v>41653</v>
      </c>
      <c r="G7750" t="s">
        <v>26</v>
      </c>
      <c r="H7750" t="s">
        <v>27</v>
      </c>
      <c r="I7750" t="s">
        <v>28</v>
      </c>
      <c r="J7750">
        <v>116.55</v>
      </c>
      <c r="K7750">
        <v>0.01</v>
      </c>
      <c r="L7750">
        <v>0.59</v>
      </c>
      <c r="M7750">
        <v>18.024999999999999</v>
      </c>
      <c r="N7750">
        <v>-347.41699999999997</v>
      </c>
      <c r="O7750" s="1" t="s">
        <v>29</v>
      </c>
      <c r="P7750" s="1" t="s">
        <v>14779</v>
      </c>
      <c r="Q7750" s="1" t="s">
        <v>14780</v>
      </c>
      <c r="R7750" s="1" t="s">
        <v>32</v>
      </c>
      <c r="S7750" s="1" t="s">
        <v>7308</v>
      </c>
      <c r="T7750" s="1" t="s">
        <v>7309</v>
      </c>
      <c r="U7750" s="2" t="s">
        <v>3610</v>
      </c>
      <c r="V7750" s="2" t="s">
        <v>47</v>
      </c>
      <c r="W7750" s="2" t="s">
        <v>71</v>
      </c>
      <c r="X7750" s="2">
        <v>15.295</v>
      </c>
    </row>
    <row r="7751" spans="1:24" x14ac:dyDescent="0.3">
      <c r="A7751">
        <v>25563</v>
      </c>
      <c r="B7751" t="s">
        <v>14778</v>
      </c>
      <c r="C7751" s="3">
        <v>41646</v>
      </c>
      <c r="D7751" t="s">
        <v>25</v>
      </c>
      <c r="E7751">
        <v>11</v>
      </c>
      <c r="F7751" s="3">
        <f ca="1">41651+(RANDBETWEEN(1,10))</f>
        <v>41658</v>
      </c>
      <c r="G7751" t="s">
        <v>26</v>
      </c>
      <c r="H7751" t="s">
        <v>27</v>
      </c>
      <c r="I7751" t="s">
        <v>28</v>
      </c>
      <c r="J7751">
        <v>194.6</v>
      </c>
      <c r="K7751">
        <v>0.03</v>
      </c>
      <c r="L7751">
        <v>0.37</v>
      </c>
      <c r="M7751">
        <v>17.324999999999999</v>
      </c>
      <c r="N7751">
        <v>-388.10016000000002</v>
      </c>
      <c r="O7751" s="1" t="s">
        <v>29</v>
      </c>
      <c r="P7751" s="1" t="s">
        <v>14779</v>
      </c>
      <c r="Q7751" s="1" t="s">
        <v>14780</v>
      </c>
      <c r="R7751" s="1" t="s">
        <v>32</v>
      </c>
      <c r="S7751" s="1" t="s">
        <v>7308</v>
      </c>
      <c r="T7751" s="1" t="s">
        <v>7309</v>
      </c>
      <c r="U7751" s="2" t="s">
        <v>5209</v>
      </c>
      <c r="V7751" s="2" t="s">
        <v>47</v>
      </c>
      <c r="W7751" s="2" t="s">
        <v>111</v>
      </c>
      <c r="X7751" s="2">
        <v>17.43</v>
      </c>
    </row>
    <row r="7752" spans="1:24" x14ac:dyDescent="0.3">
      <c r="A7752">
        <v>25564</v>
      </c>
      <c r="B7752" t="s">
        <v>14781</v>
      </c>
      <c r="C7752" s="3">
        <v>41581</v>
      </c>
      <c r="D7752" t="s">
        <v>62</v>
      </c>
      <c r="E7752">
        <v>19</v>
      </c>
      <c r="F7752" s="3">
        <f ca="1">41582+(RANDBETWEEN(1,10))</f>
        <v>41585</v>
      </c>
      <c r="G7752" t="s">
        <v>76</v>
      </c>
      <c r="H7752" t="s">
        <v>258</v>
      </c>
      <c r="I7752" t="s">
        <v>86</v>
      </c>
      <c r="J7752">
        <v>10063.48</v>
      </c>
      <c r="K7752">
        <v>0.05</v>
      </c>
      <c r="L7752">
        <v>0.7</v>
      </c>
      <c r="M7752">
        <v>56.034999999999997</v>
      </c>
      <c r="N7752">
        <v>2695</v>
      </c>
      <c r="O7752" s="1" t="s">
        <v>40</v>
      </c>
      <c r="P7752" s="1" t="s">
        <v>12386</v>
      </c>
      <c r="Q7752" s="1" t="s">
        <v>12387</v>
      </c>
      <c r="R7752" s="1" t="s">
        <v>43</v>
      </c>
      <c r="S7752" s="1" t="s">
        <v>1296</v>
      </c>
      <c r="T7752" s="1" t="s">
        <v>1297</v>
      </c>
      <c r="U7752" s="2" t="s">
        <v>342</v>
      </c>
      <c r="V7752" s="2" t="s">
        <v>83</v>
      </c>
      <c r="W7752" s="2" t="s">
        <v>263</v>
      </c>
      <c r="X7752" s="2">
        <v>528.42999999999995</v>
      </c>
    </row>
    <row r="7753" spans="1:24" x14ac:dyDescent="0.3">
      <c r="A7753">
        <v>25565</v>
      </c>
      <c r="B7753" t="s">
        <v>14782</v>
      </c>
      <c r="C7753" s="3">
        <v>41051</v>
      </c>
      <c r="D7753" t="s">
        <v>148</v>
      </c>
      <c r="E7753">
        <v>16</v>
      </c>
      <c r="F7753" s="3">
        <f ca="1">41052+(RANDBETWEEN(1,10))</f>
        <v>41058</v>
      </c>
      <c r="G7753" t="s">
        <v>156</v>
      </c>
      <c r="H7753" t="s">
        <v>96</v>
      </c>
      <c r="I7753" t="s">
        <v>28</v>
      </c>
      <c r="J7753">
        <v>324.8</v>
      </c>
      <c r="K7753">
        <v>0.04</v>
      </c>
      <c r="L7753">
        <v>0.54</v>
      </c>
      <c r="M7753">
        <v>11.795</v>
      </c>
      <c r="N7753">
        <v>-152.07499999999999</v>
      </c>
      <c r="O7753" s="1" t="s">
        <v>53</v>
      </c>
      <c r="P7753" s="1" t="s">
        <v>14438</v>
      </c>
      <c r="Q7753" s="1" t="s">
        <v>14439</v>
      </c>
      <c r="R7753" s="1" t="s">
        <v>56</v>
      </c>
      <c r="S7753" s="1" t="s">
        <v>14440</v>
      </c>
      <c r="T7753" s="1" t="s">
        <v>14441</v>
      </c>
      <c r="U7753" s="2" t="s">
        <v>665</v>
      </c>
      <c r="V7753" s="2" t="s">
        <v>47</v>
      </c>
      <c r="W7753" s="2" t="s">
        <v>176</v>
      </c>
      <c r="X7753" s="2">
        <v>20.335000000000001</v>
      </c>
    </row>
    <row r="7754" spans="1:24" x14ac:dyDescent="0.3">
      <c r="A7754">
        <v>25566</v>
      </c>
      <c r="B7754" t="s">
        <v>14783</v>
      </c>
      <c r="C7754" s="3">
        <v>41781</v>
      </c>
      <c r="D7754" t="s">
        <v>148</v>
      </c>
      <c r="E7754">
        <v>1</v>
      </c>
      <c r="F7754" s="3">
        <f ca="1">41784+(RANDBETWEEN(1,10))</f>
        <v>41787</v>
      </c>
      <c r="G7754" t="s">
        <v>26</v>
      </c>
      <c r="H7754" t="s">
        <v>27</v>
      </c>
      <c r="I7754" t="s">
        <v>28</v>
      </c>
      <c r="J7754">
        <v>111.61499999999999</v>
      </c>
      <c r="K7754">
        <v>0.05</v>
      </c>
      <c r="L7754">
        <v>0.7</v>
      </c>
      <c r="M7754">
        <v>23.24</v>
      </c>
      <c r="N7754">
        <v>-146.125</v>
      </c>
      <c r="O7754" s="1" t="s">
        <v>53</v>
      </c>
      <c r="P7754" s="1" t="s">
        <v>14438</v>
      </c>
      <c r="Q7754" s="1" t="s">
        <v>14439</v>
      </c>
      <c r="R7754" s="1" t="s">
        <v>56</v>
      </c>
      <c r="S7754" s="1" t="s">
        <v>14440</v>
      </c>
      <c r="T7754" s="1" t="s">
        <v>14441</v>
      </c>
      <c r="U7754" s="2" t="s">
        <v>4355</v>
      </c>
      <c r="V7754" s="2" t="s">
        <v>47</v>
      </c>
      <c r="W7754" s="2" t="s">
        <v>119</v>
      </c>
      <c r="X7754" s="2">
        <v>104.09</v>
      </c>
    </row>
    <row r="7755" spans="1:24" x14ac:dyDescent="0.3">
      <c r="A7755">
        <v>25567</v>
      </c>
      <c r="B7755" t="s">
        <v>14784</v>
      </c>
      <c r="C7755" s="3">
        <v>40910</v>
      </c>
      <c r="D7755" t="s">
        <v>25</v>
      </c>
      <c r="E7755">
        <v>9</v>
      </c>
      <c r="F7755" s="3">
        <f ca="1">40910+(RANDBETWEEN(1,10))</f>
        <v>40915</v>
      </c>
      <c r="G7755" t="s">
        <v>26</v>
      </c>
      <c r="H7755" t="s">
        <v>27</v>
      </c>
      <c r="I7755" t="s">
        <v>97</v>
      </c>
      <c r="J7755">
        <v>65.099999999999994</v>
      </c>
      <c r="K7755">
        <v>0.1</v>
      </c>
      <c r="L7755">
        <v>0.43</v>
      </c>
      <c r="M7755">
        <v>18.655000000000001</v>
      </c>
      <c r="N7755">
        <v>-577.48040000000003</v>
      </c>
      <c r="O7755" s="1" t="s">
        <v>225</v>
      </c>
      <c r="P7755" s="1" t="s">
        <v>8076</v>
      </c>
      <c r="Q7755" s="1" t="s">
        <v>8077</v>
      </c>
      <c r="R7755" s="1" t="s">
        <v>391</v>
      </c>
      <c r="S7755" s="1" t="s">
        <v>3376</v>
      </c>
      <c r="T7755" s="1" t="s">
        <v>3377</v>
      </c>
      <c r="U7755" s="2" t="s">
        <v>2500</v>
      </c>
      <c r="V7755" s="2" t="s">
        <v>83</v>
      </c>
      <c r="W7755" s="2" t="s">
        <v>178</v>
      </c>
      <c r="X7755" s="2">
        <v>7.28</v>
      </c>
    </row>
    <row r="7756" spans="1:24" x14ac:dyDescent="0.3">
      <c r="A7756">
        <v>25568</v>
      </c>
      <c r="B7756" t="s">
        <v>14785</v>
      </c>
      <c r="C7756" s="3">
        <v>41200</v>
      </c>
      <c r="D7756" t="s">
        <v>25</v>
      </c>
      <c r="E7756">
        <v>1</v>
      </c>
      <c r="F7756" s="3">
        <f ca="1">41205+(RANDBETWEEN(1,10))</f>
        <v>41214</v>
      </c>
      <c r="G7756" t="s">
        <v>26</v>
      </c>
      <c r="H7756" t="s">
        <v>51</v>
      </c>
      <c r="I7756" t="s">
        <v>28</v>
      </c>
      <c r="J7756">
        <v>145.53</v>
      </c>
      <c r="K7756">
        <v>0.06</v>
      </c>
      <c r="L7756">
        <v>0.55000000000000004</v>
      </c>
      <c r="M7756">
        <v>6.9649999999999999</v>
      </c>
      <c r="N7756">
        <v>1778.826</v>
      </c>
      <c r="O7756" s="1" t="s">
        <v>29</v>
      </c>
      <c r="P7756" s="1" t="s">
        <v>13833</v>
      </c>
      <c r="Q7756" s="1" t="s">
        <v>13834</v>
      </c>
      <c r="R7756" s="1" t="s">
        <v>675</v>
      </c>
      <c r="S7756" s="1" t="s">
        <v>2348</v>
      </c>
      <c r="T7756" s="1" t="s">
        <v>2349</v>
      </c>
      <c r="U7756" s="2" t="s">
        <v>1957</v>
      </c>
      <c r="V7756" s="2" t="s">
        <v>36</v>
      </c>
      <c r="W7756" s="2" t="s">
        <v>60</v>
      </c>
      <c r="X7756" s="2">
        <v>143.36000000000001</v>
      </c>
    </row>
    <row r="7757" spans="1:24" x14ac:dyDescent="0.3">
      <c r="A7757">
        <v>25569</v>
      </c>
      <c r="B7757" t="s">
        <v>14786</v>
      </c>
      <c r="C7757" s="3">
        <v>41447</v>
      </c>
      <c r="D7757" t="s">
        <v>62</v>
      </c>
      <c r="E7757">
        <v>5</v>
      </c>
      <c r="F7757" s="3">
        <f ca="1">41447+(RANDBETWEEN(1,10))</f>
        <v>41457</v>
      </c>
      <c r="G7757" t="s">
        <v>156</v>
      </c>
      <c r="H7757" t="s">
        <v>27</v>
      </c>
      <c r="I7757" t="s">
        <v>28</v>
      </c>
      <c r="J7757">
        <v>2933.63</v>
      </c>
      <c r="K7757">
        <v>0.01</v>
      </c>
      <c r="L7757">
        <v>0.59</v>
      </c>
      <c r="M7757">
        <v>13.965</v>
      </c>
      <c r="N7757">
        <v>-150.3348</v>
      </c>
      <c r="O7757" s="1" t="s">
        <v>29</v>
      </c>
      <c r="P7757" s="1" t="s">
        <v>11002</v>
      </c>
      <c r="Q7757" s="1" t="s">
        <v>11003</v>
      </c>
      <c r="R7757" s="1" t="s">
        <v>460</v>
      </c>
      <c r="S7757" s="1" t="s">
        <v>5492</v>
      </c>
      <c r="T7757" s="1" t="s">
        <v>5493</v>
      </c>
      <c r="U7757" s="2" t="s">
        <v>8434</v>
      </c>
      <c r="V7757" s="2" t="s">
        <v>36</v>
      </c>
      <c r="W7757" s="2" t="s">
        <v>37</v>
      </c>
      <c r="X7757" s="2">
        <v>685.96500000000003</v>
      </c>
    </row>
    <row r="7758" spans="1:24" x14ac:dyDescent="0.3">
      <c r="A7758">
        <v>25570</v>
      </c>
      <c r="B7758" t="s">
        <v>14787</v>
      </c>
      <c r="C7758" s="3">
        <v>41884</v>
      </c>
      <c r="D7758" t="s">
        <v>62</v>
      </c>
      <c r="E7758">
        <v>18</v>
      </c>
      <c r="F7758" s="3">
        <f ca="1">41885+(RANDBETWEEN(1,10))</f>
        <v>41895</v>
      </c>
      <c r="G7758" t="s">
        <v>26</v>
      </c>
      <c r="H7758" t="s">
        <v>96</v>
      </c>
      <c r="I7758" t="s">
        <v>86</v>
      </c>
      <c r="J7758">
        <v>370.58</v>
      </c>
      <c r="K7758">
        <v>0.03</v>
      </c>
      <c r="L7758">
        <v>0.39</v>
      </c>
      <c r="M7758">
        <v>5.1100000000000003</v>
      </c>
      <c r="N7758">
        <v>249.0264</v>
      </c>
      <c r="O7758" s="1" t="s">
        <v>87</v>
      </c>
      <c r="P7758" s="1" t="s">
        <v>13855</v>
      </c>
      <c r="Q7758" s="1" t="s">
        <v>13856</v>
      </c>
      <c r="R7758" s="1" t="s">
        <v>90</v>
      </c>
      <c r="S7758" s="1" t="s">
        <v>1630</v>
      </c>
      <c r="T7758" s="1" t="s">
        <v>1631</v>
      </c>
      <c r="U7758" s="2" t="s">
        <v>8262</v>
      </c>
      <c r="V7758" s="2" t="s">
        <v>47</v>
      </c>
      <c r="W7758" s="2" t="s">
        <v>74</v>
      </c>
      <c r="X7758" s="2">
        <v>19.88</v>
      </c>
    </row>
    <row r="7759" spans="1:24" x14ac:dyDescent="0.3">
      <c r="A7759">
        <v>25571</v>
      </c>
      <c r="B7759" t="s">
        <v>14787</v>
      </c>
      <c r="C7759" s="3">
        <v>41884</v>
      </c>
      <c r="D7759" t="s">
        <v>62</v>
      </c>
      <c r="E7759">
        <v>20</v>
      </c>
      <c r="F7759" s="3">
        <f ca="1">41885+(RANDBETWEEN(1,10))</f>
        <v>41887</v>
      </c>
      <c r="G7759" t="s">
        <v>26</v>
      </c>
      <c r="H7759" t="s">
        <v>96</v>
      </c>
      <c r="I7759" t="s">
        <v>86</v>
      </c>
      <c r="J7759">
        <v>119.94499999999999</v>
      </c>
      <c r="K7759">
        <v>7.0000000000000007E-2</v>
      </c>
      <c r="L7759">
        <v>0.35</v>
      </c>
      <c r="M7759">
        <v>3.5</v>
      </c>
      <c r="N7759">
        <v>5.3676000000000004</v>
      </c>
      <c r="O7759" s="1" t="s">
        <v>87</v>
      </c>
      <c r="P7759" s="1" t="s">
        <v>13855</v>
      </c>
      <c r="Q7759" s="1" t="s">
        <v>13856</v>
      </c>
      <c r="R7759" s="1" t="s">
        <v>90</v>
      </c>
      <c r="S7759" s="1" t="s">
        <v>1630</v>
      </c>
      <c r="T7759" s="1" t="s">
        <v>1631</v>
      </c>
      <c r="U7759" s="2" t="s">
        <v>6252</v>
      </c>
      <c r="V7759" s="2" t="s">
        <v>47</v>
      </c>
      <c r="W7759" s="2" t="s">
        <v>104</v>
      </c>
      <c r="X7759" s="2">
        <v>5.88</v>
      </c>
    </row>
    <row r="7760" spans="1:24" x14ac:dyDescent="0.3">
      <c r="A7760">
        <v>25572</v>
      </c>
      <c r="B7760" t="s">
        <v>14788</v>
      </c>
      <c r="C7760" s="3">
        <v>41452</v>
      </c>
      <c r="D7760" t="s">
        <v>50</v>
      </c>
      <c r="E7760">
        <v>14</v>
      </c>
      <c r="F7760" s="3">
        <f ca="1">41453+(RANDBETWEEN(1,10))</f>
        <v>41456</v>
      </c>
      <c r="G7760" t="s">
        <v>26</v>
      </c>
      <c r="H7760" t="s">
        <v>27</v>
      </c>
      <c r="I7760" t="s">
        <v>52</v>
      </c>
      <c r="J7760">
        <v>3701.67</v>
      </c>
      <c r="K7760">
        <v>0.06</v>
      </c>
      <c r="L7760">
        <v>0.65</v>
      </c>
      <c r="M7760">
        <v>50.82</v>
      </c>
      <c r="N7760">
        <v>341.59859999999998</v>
      </c>
      <c r="O7760" s="1" t="s">
        <v>40</v>
      </c>
      <c r="P7760" s="1" t="s">
        <v>14350</v>
      </c>
      <c r="Q7760" s="1" t="s">
        <v>14351</v>
      </c>
      <c r="R7760" s="1" t="s">
        <v>43</v>
      </c>
      <c r="S7760" s="1" t="s">
        <v>14352</v>
      </c>
      <c r="T7760" s="1" t="s">
        <v>14353</v>
      </c>
      <c r="U7760" s="2" t="s">
        <v>2448</v>
      </c>
      <c r="V7760" s="2" t="s">
        <v>36</v>
      </c>
      <c r="W7760" s="2" t="s">
        <v>60</v>
      </c>
      <c r="X7760" s="2">
        <v>258.93</v>
      </c>
    </row>
    <row r="7761" spans="1:24" x14ac:dyDescent="0.3">
      <c r="A7761">
        <v>25573</v>
      </c>
      <c r="B7761" t="s">
        <v>14789</v>
      </c>
      <c r="C7761" s="3">
        <v>41664</v>
      </c>
      <c r="D7761" t="s">
        <v>62</v>
      </c>
      <c r="E7761">
        <v>3</v>
      </c>
      <c r="F7761" s="3">
        <f ca="1">41664+(RANDBETWEEN(1,10))</f>
        <v>41673</v>
      </c>
      <c r="G7761" t="s">
        <v>26</v>
      </c>
      <c r="H7761" t="s">
        <v>27</v>
      </c>
      <c r="I7761" t="s">
        <v>97</v>
      </c>
      <c r="J7761">
        <v>420.63</v>
      </c>
      <c r="K7761">
        <v>0.1</v>
      </c>
      <c r="L7761">
        <v>0.36</v>
      </c>
      <c r="M7761">
        <v>10.465</v>
      </c>
      <c r="N7761">
        <v>290.23469999999998</v>
      </c>
      <c r="O7761" s="1" t="s">
        <v>40</v>
      </c>
      <c r="P7761" s="1" t="s">
        <v>13536</v>
      </c>
      <c r="Q7761" s="1" t="s">
        <v>13537</v>
      </c>
      <c r="R7761" s="1" t="s">
        <v>43</v>
      </c>
      <c r="S7761" s="1" t="s">
        <v>3877</v>
      </c>
      <c r="T7761" s="1" t="s">
        <v>3878</v>
      </c>
      <c r="U7761" s="2" t="s">
        <v>4432</v>
      </c>
      <c r="V7761" s="2" t="s">
        <v>47</v>
      </c>
      <c r="W7761" s="2" t="s">
        <v>111</v>
      </c>
      <c r="X7761" s="2">
        <v>149.80000000000001</v>
      </c>
    </row>
    <row r="7762" spans="1:24" x14ac:dyDescent="0.3">
      <c r="A7762">
        <v>25574</v>
      </c>
      <c r="B7762" t="s">
        <v>14789</v>
      </c>
      <c r="C7762" s="3">
        <v>41664</v>
      </c>
      <c r="D7762" t="s">
        <v>62</v>
      </c>
      <c r="E7762">
        <v>7</v>
      </c>
      <c r="F7762" s="3">
        <f ca="1">41666+(RANDBETWEEN(1,10))</f>
        <v>41671</v>
      </c>
      <c r="G7762" t="s">
        <v>26</v>
      </c>
      <c r="H7762" t="s">
        <v>27</v>
      </c>
      <c r="I7762" t="s">
        <v>97</v>
      </c>
      <c r="J7762">
        <v>155.82</v>
      </c>
      <c r="K7762">
        <v>0.1</v>
      </c>
      <c r="L7762">
        <v>0.37</v>
      </c>
      <c r="M7762">
        <v>25.795000000000002</v>
      </c>
      <c r="N7762">
        <v>-425.971</v>
      </c>
      <c r="O7762" s="1" t="s">
        <v>40</v>
      </c>
      <c r="P7762" s="1" t="s">
        <v>13536</v>
      </c>
      <c r="Q7762" s="1" t="s">
        <v>13537</v>
      </c>
      <c r="R7762" s="1" t="s">
        <v>43</v>
      </c>
      <c r="S7762" s="1" t="s">
        <v>3877</v>
      </c>
      <c r="T7762" s="1" t="s">
        <v>3878</v>
      </c>
      <c r="U7762" s="2" t="s">
        <v>2975</v>
      </c>
      <c r="V7762" s="2" t="s">
        <v>47</v>
      </c>
      <c r="W7762" s="2" t="s">
        <v>74</v>
      </c>
      <c r="X7762" s="2">
        <v>22.68</v>
      </c>
    </row>
    <row r="7763" spans="1:24" x14ac:dyDescent="0.3">
      <c r="A7763">
        <v>25575</v>
      </c>
      <c r="B7763" t="s">
        <v>14790</v>
      </c>
      <c r="C7763" s="3">
        <v>41934</v>
      </c>
      <c r="D7763" t="s">
        <v>62</v>
      </c>
      <c r="E7763">
        <v>23</v>
      </c>
      <c r="F7763" s="3">
        <f ca="1">41936+(RANDBETWEEN(1,10))</f>
        <v>41939</v>
      </c>
      <c r="G7763" t="s">
        <v>26</v>
      </c>
      <c r="H7763" t="s">
        <v>51</v>
      </c>
      <c r="I7763" t="s">
        <v>52</v>
      </c>
      <c r="J7763">
        <v>1711.08</v>
      </c>
      <c r="K7763">
        <v>0.08</v>
      </c>
      <c r="L7763">
        <v>0.59</v>
      </c>
      <c r="M7763">
        <v>31.465</v>
      </c>
      <c r="N7763">
        <v>-202.125</v>
      </c>
      <c r="O7763" s="1" t="s">
        <v>87</v>
      </c>
      <c r="P7763" s="1" t="s">
        <v>6029</v>
      </c>
      <c r="Q7763" s="1" t="s">
        <v>6030</v>
      </c>
      <c r="R7763" s="1" t="s">
        <v>497</v>
      </c>
      <c r="S7763" s="1" t="s">
        <v>1859</v>
      </c>
      <c r="T7763" s="1" t="s">
        <v>1860</v>
      </c>
      <c r="U7763" s="2" t="s">
        <v>2789</v>
      </c>
      <c r="V7763" s="2" t="s">
        <v>47</v>
      </c>
      <c r="W7763" s="2" t="s">
        <v>104</v>
      </c>
      <c r="X7763" s="2">
        <v>74.83</v>
      </c>
    </row>
    <row r="7764" spans="1:24" x14ac:dyDescent="0.3">
      <c r="A7764">
        <v>25576</v>
      </c>
      <c r="B7764" t="s">
        <v>14791</v>
      </c>
      <c r="C7764" s="3">
        <v>41777</v>
      </c>
      <c r="D7764" t="s">
        <v>39</v>
      </c>
      <c r="E7764">
        <v>4</v>
      </c>
      <c r="F7764" s="3">
        <f ca="1">41779+(RANDBETWEEN(1,10))</f>
        <v>41781</v>
      </c>
      <c r="G7764" t="s">
        <v>76</v>
      </c>
      <c r="H7764" t="s">
        <v>77</v>
      </c>
      <c r="I7764" t="s">
        <v>97</v>
      </c>
      <c r="J7764">
        <v>3043.6</v>
      </c>
      <c r="K7764">
        <v>0.03</v>
      </c>
      <c r="L7764">
        <v>0.59</v>
      </c>
      <c r="M7764">
        <v>51.45</v>
      </c>
      <c r="N7764">
        <v>235.76</v>
      </c>
      <c r="O7764" s="1" t="s">
        <v>40</v>
      </c>
      <c r="P7764" s="1" t="s">
        <v>13147</v>
      </c>
      <c r="Q7764" s="1" t="s">
        <v>13148</v>
      </c>
      <c r="R7764" s="1" t="s">
        <v>220</v>
      </c>
      <c r="S7764" s="1" t="s">
        <v>13149</v>
      </c>
      <c r="T7764" s="1" t="s">
        <v>13150</v>
      </c>
      <c r="U7764" s="2" t="s">
        <v>5448</v>
      </c>
      <c r="V7764" s="2" t="s">
        <v>36</v>
      </c>
      <c r="W7764" s="2" t="s">
        <v>142</v>
      </c>
      <c r="X7764" s="2">
        <v>747.07500000000005</v>
      </c>
    </row>
    <row r="7765" spans="1:24" x14ac:dyDescent="0.3">
      <c r="A7765">
        <v>25577</v>
      </c>
      <c r="B7765" t="s">
        <v>14792</v>
      </c>
      <c r="C7765" s="3">
        <v>41744</v>
      </c>
      <c r="D7765" t="s">
        <v>62</v>
      </c>
      <c r="E7765">
        <v>8</v>
      </c>
      <c r="F7765" s="3">
        <f ca="1">41746+(RANDBETWEEN(1,10))</f>
        <v>41753</v>
      </c>
      <c r="G7765" t="s">
        <v>156</v>
      </c>
      <c r="H7765" t="s">
        <v>27</v>
      </c>
      <c r="I7765" t="s">
        <v>28</v>
      </c>
      <c r="J7765">
        <v>2427.0050000000001</v>
      </c>
      <c r="K7765">
        <v>0.02</v>
      </c>
      <c r="L7765">
        <v>0.44</v>
      </c>
      <c r="M7765">
        <v>19.25</v>
      </c>
      <c r="N7765">
        <v>1674.63345</v>
      </c>
      <c r="O7765" s="1" t="s">
        <v>29</v>
      </c>
      <c r="P7765" s="1" t="s">
        <v>11679</v>
      </c>
      <c r="Q7765" s="1" t="s">
        <v>11680</v>
      </c>
      <c r="R7765" s="1" t="s">
        <v>32</v>
      </c>
      <c r="S7765" s="1" t="s">
        <v>3320</v>
      </c>
      <c r="T7765" s="1" t="s">
        <v>3321</v>
      </c>
      <c r="U7765" s="2" t="s">
        <v>3335</v>
      </c>
      <c r="V7765" s="2" t="s">
        <v>36</v>
      </c>
      <c r="W7765" s="2" t="s">
        <v>60</v>
      </c>
      <c r="X7765" s="2">
        <v>290.46499999999997</v>
      </c>
    </row>
    <row r="7766" spans="1:24" x14ac:dyDescent="0.3">
      <c r="A7766">
        <v>25578</v>
      </c>
      <c r="B7766" t="s">
        <v>14792</v>
      </c>
      <c r="C7766" s="3">
        <v>41744</v>
      </c>
      <c r="D7766" t="s">
        <v>62</v>
      </c>
      <c r="E7766">
        <v>2</v>
      </c>
      <c r="F7766" s="3">
        <f ca="1">41745+(RANDBETWEEN(1,10))</f>
        <v>41749</v>
      </c>
      <c r="G7766" t="s">
        <v>26</v>
      </c>
      <c r="H7766" t="s">
        <v>51</v>
      </c>
      <c r="I7766" t="s">
        <v>28</v>
      </c>
      <c r="J7766">
        <v>88.584999999999994</v>
      </c>
      <c r="K7766">
        <v>0.02</v>
      </c>
      <c r="L7766">
        <v>0.59</v>
      </c>
      <c r="M7766">
        <v>31.465</v>
      </c>
      <c r="N7766">
        <v>-182.875</v>
      </c>
      <c r="O7766" s="1" t="s">
        <v>29</v>
      </c>
      <c r="P7766" s="1" t="s">
        <v>11679</v>
      </c>
      <c r="Q7766" s="1" t="s">
        <v>11680</v>
      </c>
      <c r="R7766" s="1" t="s">
        <v>32</v>
      </c>
      <c r="S7766" s="1" t="s">
        <v>3320</v>
      </c>
      <c r="T7766" s="1" t="s">
        <v>3321</v>
      </c>
      <c r="U7766" s="2" t="s">
        <v>2687</v>
      </c>
      <c r="V7766" s="2" t="s">
        <v>47</v>
      </c>
      <c r="W7766" s="2" t="s">
        <v>104</v>
      </c>
      <c r="X7766" s="2">
        <v>40.81</v>
      </c>
    </row>
    <row r="7767" spans="1:24" x14ac:dyDescent="0.3">
      <c r="A7767">
        <v>25579</v>
      </c>
      <c r="B7767" t="s">
        <v>14793</v>
      </c>
      <c r="C7767" s="3">
        <v>41866</v>
      </c>
      <c r="D7767" t="s">
        <v>148</v>
      </c>
      <c r="E7767">
        <v>11</v>
      </c>
      <c r="F7767" s="3">
        <f ca="1">41868+(RANDBETWEEN(1,10))</f>
        <v>41873</v>
      </c>
      <c r="G7767" t="s">
        <v>26</v>
      </c>
      <c r="H7767" t="s">
        <v>96</v>
      </c>
      <c r="I7767" t="s">
        <v>97</v>
      </c>
      <c r="J7767">
        <v>1219.155</v>
      </c>
      <c r="K7767">
        <v>0.04</v>
      </c>
      <c r="L7767">
        <v>0.38</v>
      </c>
      <c r="M7767">
        <v>20.965</v>
      </c>
      <c r="N7767">
        <v>841.21695</v>
      </c>
      <c r="O7767" s="1" t="s">
        <v>29</v>
      </c>
      <c r="P7767" s="1" t="s">
        <v>9197</v>
      </c>
      <c r="Q7767" s="1" t="s">
        <v>9198</v>
      </c>
      <c r="R7767" s="1" t="s">
        <v>675</v>
      </c>
      <c r="S7767" s="1" t="s">
        <v>9199</v>
      </c>
      <c r="T7767" s="1" t="s">
        <v>9200</v>
      </c>
      <c r="U7767" s="2" t="s">
        <v>5234</v>
      </c>
      <c r="V7767" s="2" t="s">
        <v>36</v>
      </c>
      <c r="W7767" s="2" t="s">
        <v>37</v>
      </c>
      <c r="X7767" s="2">
        <v>125.965</v>
      </c>
    </row>
    <row r="7768" spans="1:24" x14ac:dyDescent="0.3">
      <c r="A7768">
        <v>25580</v>
      </c>
      <c r="B7768" t="s">
        <v>14794</v>
      </c>
      <c r="C7768" s="3">
        <v>41641</v>
      </c>
      <c r="D7768" t="s">
        <v>148</v>
      </c>
      <c r="E7768">
        <v>10</v>
      </c>
      <c r="F7768" s="3">
        <f ca="1">41644+(RANDBETWEEN(1,10))</f>
        <v>41645</v>
      </c>
      <c r="G7768" t="s">
        <v>156</v>
      </c>
      <c r="H7768" t="s">
        <v>63</v>
      </c>
      <c r="I7768" t="s">
        <v>86</v>
      </c>
      <c r="J7768">
        <v>6747.3</v>
      </c>
      <c r="K7768">
        <v>0.04</v>
      </c>
      <c r="L7768">
        <v>0.46</v>
      </c>
      <c r="M7768">
        <v>85.715000000000003</v>
      </c>
      <c r="N7768">
        <v>4655.6369999999997</v>
      </c>
      <c r="O7768" s="1" t="s">
        <v>29</v>
      </c>
      <c r="P7768" s="1" t="s">
        <v>6107</v>
      </c>
      <c r="Q7768" s="1" t="s">
        <v>6108</v>
      </c>
      <c r="R7768" s="1" t="s">
        <v>32</v>
      </c>
      <c r="S7768" s="1" t="s">
        <v>6109</v>
      </c>
      <c r="T7768" s="1" t="s">
        <v>6110</v>
      </c>
      <c r="U7768" s="2" t="s">
        <v>7870</v>
      </c>
      <c r="V7768" s="2" t="s">
        <v>36</v>
      </c>
      <c r="W7768" s="2" t="s">
        <v>1327</v>
      </c>
      <c r="X7768" s="2">
        <v>699.96500000000003</v>
      </c>
    </row>
    <row r="7769" spans="1:24" x14ac:dyDescent="0.3">
      <c r="A7769">
        <v>25581</v>
      </c>
      <c r="B7769" t="s">
        <v>14795</v>
      </c>
      <c r="C7769" s="3">
        <v>41568</v>
      </c>
      <c r="D7769" t="s">
        <v>39</v>
      </c>
      <c r="E7769">
        <v>7</v>
      </c>
      <c r="F7769" s="3">
        <f ca="1">41570+(RANDBETWEEN(1,10))</f>
        <v>41577</v>
      </c>
      <c r="G7769" t="s">
        <v>26</v>
      </c>
      <c r="H7769" t="s">
        <v>51</v>
      </c>
      <c r="I7769" t="s">
        <v>86</v>
      </c>
      <c r="J7769">
        <v>562.13499999999999</v>
      </c>
      <c r="K7769">
        <v>0.04</v>
      </c>
      <c r="L7769">
        <v>0.46</v>
      </c>
      <c r="M7769">
        <v>6.9649999999999999</v>
      </c>
      <c r="N7769">
        <v>172.07679999999999</v>
      </c>
      <c r="O7769" s="1" t="s">
        <v>225</v>
      </c>
      <c r="P7769" s="1" t="s">
        <v>14776</v>
      </c>
      <c r="Q7769" s="1" t="s">
        <v>14777</v>
      </c>
      <c r="R7769" s="1" t="s">
        <v>228</v>
      </c>
      <c r="S7769" s="1" t="s">
        <v>6497</v>
      </c>
      <c r="T7769" s="1" t="s">
        <v>6498</v>
      </c>
      <c r="U7769" s="2" t="s">
        <v>1595</v>
      </c>
      <c r="V7769" s="2" t="s">
        <v>36</v>
      </c>
      <c r="W7769" s="2" t="s">
        <v>60</v>
      </c>
      <c r="X7769" s="2">
        <v>80.430000000000007</v>
      </c>
    </row>
    <row r="7770" spans="1:24" x14ac:dyDescent="0.3">
      <c r="A7770">
        <v>25582</v>
      </c>
      <c r="B7770" t="s">
        <v>14796</v>
      </c>
      <c r="C7770" s="3">
        <v>40802</v>
      </c>
      <c r="D7770" t="s">
        <v>25</v>
      </c>
      <c r="E7770">
        <v>3</v>
      </c>
      <c r="F7770" s="3">
        <f ca="1">40802+(RANDBETWEEN(1,10))</f>
        <v>40807</v>
      </c>
      <c r="G7770" t="s">
        <v>156</v>
      </c>
      <c r="H7770" t="s">
        <v>63</v>
      </c>
      <c r="I7770" t="s">
        <v>97</v>
      </c>
      <c r="J7770">
        <v>1587.67</v>
      </c>
      <c r="K7770">
        <v>7.0000000000000007E-2</v>
      </c>
      <c r="L7770">
        <v>0.68</v>
      </c>
      <c r="M7770">
        <v>241.5</v>
      </c>
      <c r="N7770">
        <v>-2221.5693500000002</v>
      </c>
      <c r="O7770" s="1" t="s">
        <v>87</v>
      </c>
      <c r="P7770" s="1" t="s">
        <v>13855</v>
      </c>
      <c r="Q7770" s="1" t="s">
        <v>13856</v>
      </c>
      <c r="R7770" s="1" t="s">
        <v>90</v>
      </c>
      <c r="S7770" s="1" t="s">
        <v>1630</v>
      </c>
      <c r="T7770" s="1" t="s">
        <v>1631</v>
      </c>
      <c r="U7770" s="2" t="s">
        <v>7427</v>
      </c>
      <c r="V7770" s="2" t="s">
        <v>83</v>
      </c>
      <c r="W7770" s="2" t="s">
        <v>263</v>
      </c>
      <c r="X7770" s="2">
        <v>539.45500000000004</v>
      </c>
    </row>
    <row r="7771" spans="1:24" x14ac:dyDescent="0.3">
      <c r="A7771">
        <v>25583</v>
      </c>
      <c r="B7771" t="s">
        <v>14797</v>
      </c>
      <c r="C7771" s="3">
        <v>41357</v>
      </c>
      <c r="D7771" t="s">
        <v>148</v>
      </c>
      <c r="E7771">
        <v>1</v>
      </c>
      <c r="F7771" s="3">
        <f ca="1">41358+(RANDBETWEEN(1,10))</f>
        <v>41361</v>
      </c>
      <c r="G7771" t="s">
        <v>26</v>
      </c>
      <c r="H7771" t="s">
        <v>96</v>
      </c>
      <c r="I7771" t="s">
        <v>28</v>
      </c>
      <c r="J7771">
        <v>58.31</v>
      </c>
      <c r="K7771">
        <v>0.09</v>
      </c>
      <c r="L7771">
        <v>0.81</v>
      </c>
      <c r="M7771">
        <v>8.75</v>
      </c>
      <c r="N7771">
        <v>-402.17099999999999</v>
      </c>
      <c r="O7771" s="1" t="s">
        <v>29</v>
      </c>
      <c r="P7771" s="1" t="s">
        <v>12889</v>
      </c>
      <c r="Q7771" s="1" t="s">
        <v>12890</v>
      </c>
      <c r="R7771" s="1" t="s">
        <v>32</v>
      </c>
      <c r="S7771" s="1" t="s">
        <v>12891</v>
      </c>
      <c r="T7771" s="1" t="s">
        <v>12892</v>
      </c>
      <c r="U7771" s="2" t="s">
        <v>1282</v>
      </c>
      <c r="V7771" s="2" t="s">
        <v>36</v>
      </c>
      <c r="W7771" s="2" t="s">
        <v>37</v>
      </c>
      <c r="X7771" s="2">
        <v>73.465000000000003</v>
      </c>
    </row>
    <row r="7772" spans="1:24" x14ac:dyDescent="0.3">
      <c r="A7772">
        <v>25584</v>
      </c>
      <c r="B7772" t="s">
        <v>14798</v>
      </c>
      <c r="C7772" s="3">
        <v>41966</v>
      </c>
      <c r="D7772" t="s">
        <v>50</v>
      </c>
      <c r="E7772">
        <v>18</v>
      </c>
      <c r="F7772" s="3">
        <f ca="1">41968+(RANDBETWEEN(1,10))</f>
        <v>41975</v>
      </c>
      <c r="G7772" t="s">
        <v>26</v>
      </c>
      <c r="H7772" t="s">
        <v>281</v>
      </c>
      <c r="I7772" t="s">
        <v>28</v>
      </c>
      <c r="J7772">
        <v>4986.625</v>
      </c>
      <c r="K7772">
        <v>0.05</v>
      </c>
      <c r="L7772">
        <v>0.52</v>
      </c>
      <c r="M7772">
        <v>48.965000000000003</v>
      </c>
      <c r="N7772">
        <v>2828.672</v>
      </c>
      <c r="O7772" s="1" t="s">
        <v>87</v>
      </c>
      <c r="P7772" s="1" t="s">
        <v>8930</v>
      </c>
      <c r="Q7772" s="1" t="s">
        <v>8931</v>
      </c>
      <c r="R7772" s="1" t="s">
        <v>497</v>
      </c>
      <c r="S7772" s="1" t="s">
        <v>1391</v>
      </c>
      <c r="T7772" s="1" t="s">
        <v>1392</v>
      </c>
      <c r="U7772" s="2" t="s">
        <v>5634</v>
      </c>
      <c r="V7772" s="2" t="s">
        <v>47</v>
      </c>
      <c r="W7772" s="2" t="s">
        <v>71</v>
      </c>
      <c r="X7772" s="2">
        <v>275.27499999999998</v>
      </c>
    </row>
    <row r="7773" spans="1:24" x14ac:dyDescent="0.3">
      <c r="A7773">
        <v>25585</v>
      </c>
      <c r="B7773" t="s">
        <v>14799</v>
      </c>
      <c r="C7773" s="3">
        <v>40945</v>
      </c>
      <c r="D7773" t="s">
        <v>50</v>
      </c>
      <c r="E7773">
        <v>5</v>
      </c>
      <c r="F7773" s="3">
        <f ca="1">40946+(RANDBETWEEN(1,10))</f>
        <v>40953</v>
      </c>
      <c r="G7773" t="s">
        <v>26</v>
      </c>
      <c r="H7773" t="s">
        <v>27</v>
      </c>
      <c r="I7773" t="s">
        <v>86</v>
      </c>
      <c r="J7773">
        <v>630.49</v>
      </c>
      <c r="K7773">
        <v>0</v>
      </c>
      <c r="L7773">
        <v>0.38</v>
      </c>
      <c r="M7773">
        <v>17.22</v>
      </c>
      <c r="N7773">
        <v>435.03809999999999</v>
      </c>
      <c r="O7773" s="1" t="s">
        <v>40</v>
      </c>
      <c r="P7773" s="1" t="s">
        <v>7645</v>
      </c>
      <c r="Q7773" s="1" t="s">
        <v>7646</v>
      </c>
      <c r="R7773" s="1" t="s">
        <v>220</v>
      </c>
      <c r="S7773" s="1" t="s">
        <v>7647</v>
      </c>
      <c r="T7773" s="1" t="s">
        <v>7648</v>
      </c>
      <c r="U7773" s="2" t="s">
        <v>6817</v>
      </c>
      <c r="V7773" s="2" t="s">
        <v>47</v>
      </c>
      <c r="W7773" s="2" t="s">
        <v>74</v>
      </c>
      <c r="X7773" s="2">
        <v>124.04</v>
      </c>
    </row>
    <row r="7774" spans="1:24" x14ac:dyDescent="0.3">
      <c r="A7774">
        <v>25586</v>
      </c>
      <c r="B7774" t="s">
        <v>14800</v>
      </c>
      <c r="C7774" s="3">
        <v>41485</v>
      </c>
      <c r="D7774" t="s">
        <v>39</v>
      </c>
      <c r="E7774">
        <v>14</v>
      </c>
      <c r="F7774" s="3">
        <f ca="1">41486+(RANDBETWEEN(1,10))</f>
        <v>41488</v>
      </c>
      <c r="G7774" t="s">
        <v>76</v>
      </c>
      <c r="H7774" t="s">
        <v>77</v>
      </c>
      <c r="I7774" t="s">
        <v>28</v>
      </c>
      <c r="J7774">
        <v>12036.184999999999</v>
      </c>
      <c r="K7774">
        <v>0.1</v>
      </c>
      <c r="L7774">
        <v>0.57999999999999996</v>
      </c>
      <c r="M7774">
        <v>62.51</v>
      </c>
      <c r="N7774">
        <v>6921.915</v>
      </c>
      <c r="O7774" s="1" t="s">
        <v>53</v>
      </c>
      <c r="P7774" s="1" t="s">
        <v>14599</v>
      </c>
      <c r="Q7774" s="1" t="s">
        <v>14600</v>
      </c>
      <c r="R7774" s="1" t="s">
        <v>440</v>
      </c>
      <c r="S7774" s="1" t="s">
        <v>6312</v>
      </c>
      <c r="T7774" s="1" t="s">
        <v>6313</v>
      </c>
      <c r="U7774" s="2" t="s">
        <v>2262</v>
      </c>
      <c r="V7774" s="2" t="s">
        <v>36</v>
      </c>
      <c r="W7774" s="2" t="s">
        <v>142</v>
      </c>
      <c r="X7774" s="2">
        <v>927.43</v>
      </c>
    </row>
    <row r="7775" spans="1:24" x14ac:dyDescent="0.3">
      <c r="A7775">
        <v>25587</v>
      </c>
      <c r="B7775" t="s">
        <v>14801</v>
      </c>
      <c r="C7775" s="3">
        <v>40956</v>
      </c>
      <c r="D7775" t="s">
        <v>39</v>
      </c>
      <c r="E7775">
        <v>3</v>
      </c>
      <c r="F7775" s="3">
        <f ca="1">40958+(RANDBETWEEN(1,10))</f>
        <v>40968</v>
      </c>
      <c r="G7775" t="s">
        <v>26</v>
      </c>
      <c r="H7775" t="s">
        <v>27</v>
      </c>
      <c r="I7775" t="s">
        <v>52</v>
      </c>
      <c r="J7775">
        <v>533.22500000000002</v>
      </c>
      <c r="K7775">
        <v>0.03</v>
      </c>
      <c r="L7775">
        <v>0.56000000000000005</v>
      </c>
      <c r="M7775">
        <v>13.965</v>
      </c>
      <c r="N7775">
        <v>367.92525000000001</v>
      </c>
      <c r="O7775" s="1" t="s">
        <v>87</v>
      </c>
      <c r="P7775" s="1" t="s">
        <v>14643</v>
      </c>
      <c r="Q7775" s="1" t="s">
        <v>14644</v>
      </c>
      <c r="R7775" s="1" t="s">
        <v>497</v>
      </c>
      <c r="S7775" s="1" t="s">
        <v>3296</v>
      </c>
      <c r="T7775" s="1" t="s">
        <v>3297</v>
      </c>
      <c r="U7775" s="2" t="s">
        <v>1399</v>
      </c>
      <c r="V7775" s="2" t="s">
        <v>47</v>
      </c>
      <c r="W7775" s="2" t="s">
        <v>71</v>
      </c>
      <c r="X7775" s="2">
        <v>170.03</v>
      </c>
    </row>
    <row r="7776" spans="1:24" x14ac:dyDescent="0.3">
      <c r="A7776">
        <v>25588</v>
      </c>
      <c r="B7776" t="s">
        <v>14802</v>
      </c>
      <c r="C7776" s="3">
        <v>41647</v>
      </c>
      <c r="D7776" t="s">
        <v>39</v>
      </c>
      <c r="E7776">
        <v>4</v>
      </c>
      <c r="F7776" s="3">
        <f ca="1">41648+(RANDBETWEEN(1,10))</f>
        <v>41651</v>
      </c>
      <c r="G7776" t="s">
        <v>26</v>
      </c>
      <c r="H7776" t="s">
        <v>63</v>
      </c>
      <c r="I7776" t="s">
        <v>28</v>
      </c>
      <c r="J7776">
        <v>227.29</v>
      </c>
      <c r="K7776">
        <v>0.01</v>
      </c>
      <c r="L7776">
        <v>0.57999999999999996</v>
      </c>
      <c r="M7776">
        <v>47.46</v>
      </c>
      <c r="N7776">
        <v>-258.83760000000001</v>
      </c>
      <c r="O7776" s="1" t="s">
        <v>225</v>
      </c>
      <c r="P7776" s="1" t="s">
        <v>6236</v>
      </c>
      <c r="Q7776" s="1" t="s">
        <v>6237</v>
      </c>
      <c r="R7776" s="1" t="s">
        <v>391</v>
      </c>
      <c r="S7776" s="1" t="s">
        <v>1484</v>
      </c>
      <c r="T7776" s="1" t="s">
        <v>6238</v>
      </c>
      <c r="U7776" s="2" t="s">
        <v>6638</v>
      </c>
      <c r="V7776" s="2" t="s">
        <v>83</v>
      </c>
      <c r="W7776" s="2" t="s">
        <v>178</v>
      </c>
      <c r="X7776" s="2">
        <v>52.115000000000002</v>
      </c>
    </row>
    <row r="7777" spans="1:24" x14ac:dyDescent="0.3">
      <c r="A7777">
        <v>25589</v>
      </c>
      <c r="B7777" t="s">
        <v>14802</v>
      </c>
      <c r="C7777" s="3">
        <v>41647</v>
      </c>
      <c r="D7777" t="s">
        <v>39</v>
      </c>
      <c r="E7777">
        <v>4</v>
      </c>
      <c r="F7777" s="3">
        <f ca="1">41648+(RANDBETWEEN(1,10))</f>
        <v>41653</v>
      </c>
      <c r="G7777" t="s">
        <v>76</v>
      </c>
      <c r="H7777" t="s">
        <v>258</v>
      </c>
      <c r="I7777" t="s">
        <v>28</v>
      </c>
      <c r="J7777">
        <v>3849.79</v>
      </c>
      <c r="K7777">
        <v>0.04</v>
      </c>
      <c r="L7777">
        <v>0.66</v>
      </c>
      <c r="M7777">
        <v>124.845</v>
      </c>
      <c r="N7777">
        <v>511.25200000000001</v>
      </c>
      <c r="O7777" s="1" t="s">
        <v>225</v>
      </c>
      <c r="P7777" s="1" t="s">
        <v>6236</v>
      </c>
      <c r="Q7777" s="1" t="s">
        <v>6237</v>
      </c>
      <c r="R7777" s="1" t="s">
        <v>391</v>
      </c>
      <c r="S7777" s="1" t="s">
        <v>1484</v>
      </c>
      <c r="T7777" s="1" t="s">
        <v>6238</v>
      </c>
      <c r="U7777" s="2" t="s">
        <v>1073</v>
      </c>
      <c r="V7777" s="2" t="s">
        <v>83</v>
      </c>
      <c r="W7777" s="2" t="s">
        <v>263</v>
      </c>
      <c r="X7777" s="2">
        <v>983.43</v>
      </c>
    </row>
    <row r="7778" spans="1:24" x14ac:dyDescent="0.3">
      <c r="A7778">
        <v>25590</v>
      </c>
      <c r="B7778" t="s">
        <v>14802</v>
      </c>
      <c r="C7778" s="3">
        <v>41647</v>
      </c>
      <c r="D7778" t="s">
        <v>39</v>
      </c>
      <c r="E7778">
        <v>11</v>
      </c>
      <c r="F7778" s="3">
        <f ca="1">41648+(RANDBETWEEN(1,10))</f>
        <v>41650</v>
      </c>
      <c r="G7778" t="s">
        <v>26</v>
      </c>
      <c r="H7778" t="s">
        <v>27</v>
      </c>
      <c r="I7778" t="s">
        <v>28</v>
      </c>
      <c r="J7778">
        <v>186.2</v>
      </c>
      <c r="K7778">
        <v>0.08</v>
      </c>
      <c r="L7778">
        <v>0.36</v>
      </c>
      <c r="M7778">
        <v>19.88</v>
      </c>
      <c r="N7778">
        <v>-583.34807999999998</v>
      </c>
      <c r="O7778" s="1" t="s">
        <v>225</v>
      </c>
      <c r="P7778" s="1" t="s">
        <v>3072</v>
      </c>
      <c r="Q7778" s="1" t="s">
        <v>3073</v>
      </c>
      <c r="R7778" s="1" t="s">
        <v>228</v>
      </c>
      <c r="S7778" s="1" t="s">
        <v>1794</v>
      </c>
      <c r="T7778" s="1" t="s">
        <v>548</v>
      </c>
      <c r="U7778" s="2" t="s">
        <v>4013</v>
      </c>
      <c r="V7778" s="2" t="s">
        <v>47</v>
      </c>
      <c r="W7778" s="2" t="s">
        <v>111</v>
      </c>
      <c r="X7778" s="2">
        <v>17.184999999999999</v>
      </c>
    </row>
    <row r="7779" spans="1:24" x14ac:dyDescent="0.3">
      <c r="A7779">
        <v>25591</v>
      </c>
      <c r="B7779" t="s">
        <v>14803</v>
      </c>
      <c r="C7779" s="3">
        <v>41744</v>
      </c>
      <c r="D7779" t="s">
        <v>148</v>
      </c>
      <c r="E7779">
        <v>13</v>
      </c>
      <c r="F7779" s="3">
        <f ca="1">41746+(RANDBETWEEN(1,10))</f>
        <v>41751</v>
      </c>
      <c r="G7779" t="s">
        <v>26</v>
      </c>
      <c r="H7779" t="s">
        <v>96</v>
      </c>
      <c r="I7779" t="s">
        <v>28</v>
      </c>
      <c r="J7779">
        <v>866.495</v>
      </c>
      <c r="K7779">
        <v>0.05</v>
      </c>
      <c r="L7779">
        <v>0.43</v>
      </c>
      <c r="M7779">
        <v>12.67</v>
      </c>
      <c r="N7779">
        <v>597.88154999999995</v>
      </c>
      <c r="O7779" s="1" t="s">
        <v>29</v>
      </c>
      <c r="P7779" s="1" t="s">
        <v>12452</v>
      </c>
      <c r="Q7779" s="1" t="s">
        <v>12453</v>
      </c>
      <c r="R7779" s="1" t="s">
        <v>460</v>
      </c>
      <c r="S7779" s="1" t="s">
        <v>1431</v>
      </c>
      <c r="T7779" s="1" t="s">
        <v>1432</v>
      </c>
      <c r="U7779" s="2" t="s">
        <v>5482</v>
      </c>
      <c r="V7779" s="2" t="s">
        <v>83</v>
      </c>
      <c r="W7779" s="2" t="s">
        <v>178</v>
      </c>
      <c r="X7779" s="2">
        <v>65.94</v>
      </c>
    </row>
    <row r="7780" spans="1:24" x14ac:dyDescent="0.3">
      <c r="A7780">
        <v>25592</v>
      </c>
      <c r="B7780" t="s">
        <v>14804</v>
      </c>
      <c r="C7780" s="3">
        <v>41761</v>
      </c>
      <c r="D7780" t="s">
        <v>25</v>
      </c>
      <c r="E7780">
        <v>16</v>
      </c>
      <c r="F7780" s="3">
        <f ca="1">41768+(RANDBETWEEN(1,10))</f>
        <v>41769</v>
      </c>
      <c r="G7780" t="s">
        <v>156</v>
      </c>
      <c r="H7780" t="s">
        <v>27</v>
      </c>
      <c r="I7780" t="s">
        <v>28</v>
      </c>
      <c r="J7780">
        <v>3506.6849999999999</v>
      </c>
      <c r="K7780">
        <v>0.02</v>
      </c>
      <c r="L7780">
        <v>0.56999999999999995</v>
      </c>
      <c r="M7780">
        <v>13.965</v>
      </c>
      <c r="N7780">
        <v>2419.61265</v>
      </c>
      <c r="O7780" s="1" t="s">
        <v>87</v>
      </c>
      <c r="P7780" s="1" t="s">
        <v>14584</v>
      </c>
      <c r="Q7780" s="1" t="s">
        <v>14585</v>
      </c>
      <c r="R7780" s="1" t="s">
        <v>398</v>
      </c>
      <c r="S7780" s="1" t="s">
        <v>2691</v>
      </c>
      <c r="T7780" s="1" t="s">
        <v>2692</v>
      </c>
      <c r="U7780" s="2" t="s">
        <v>1024</v>
      </c>
      <c r="V7780" s="2" t="s">
        <v>47</v>
      </c>
      <c r="W7780" s="2" t="s">
        <v>71</v>
      </c>
      <c r="X7780" s="2">
        <v>209.93</v>
      </c>
    </row>
    <row r="7781" spans="1:24" x14ac:dyDescent="0.3">
      <c r="A7781">
        <v>25593</v>
      </c>
      <c r="B7781" t="s">
        <v>14804</v>
      </c>
      <c r="C7781" s="3">
        <v>41761</v>
      </c>
      <c r="D7781" t="s">
        <v>25</v>
      </c>
      <c r="E7781">
        <v>13</v>
      </c>
      <c r="F7781" s="3">
        <f ca="1">41766+(RANDBETWEEN(1,10))</f>
        <v>41768</v>
      </c>
      <c r="G7781" t="s">
        <v>26</v>
      </c>
      <c r="H7781" t="s">
        <v>27</v>
      </c>
      <c r="I7781" t="s">
        <v>28</v>
      </c>
      <c r="J7781">
        <v>2452.0300000000002</v>
      </c>
      <c r="K7781">
        <v>0.06</v>
      </c>
      <c r="L7781">
        <v>0.56999999999999995</v>
      </c>
      <c r="M7781">
        <v>18.585000000000001</v>
      </c>
      <c r="N7781">
        <v>1605.1769999999999</v>
      </c>
      <c r="O7781" s="1" t="s">
        <v>87</v>
      </c>
      <c r="P7781" s="1" t="s">
        <v>14584</v>
      </c>
      <c r="Q7781" s="1" t="s">
        <v>14585</v>
      </c>
      <c r="R7781" s="1" t="s">
        <v>398</v>
      </c>
      <c r="S7781" s="1" t="s">
        <v>2691</v>
      </c>
      <c r="T7781" s="1" t="s">
        <v>2692</v>
      </c>
      <c r="U7781" s="2">
        <v>3390</v>
      </c>
      <c r="V7781" s="2" t="s">
        <v>36</v>
      </c>
      <c r="W7781" s="2" t="s">
        <v>37</v>
      </c>
      <c r="X7781" s="2">
        <v>230.965</v>
      </c>
    </row>
    <row r="7782" spans="1:24" x14ac:dyDescent="0.3">
      <c r="A7782">
        <v>25594</v>
      </c>
      <c r="B7782" t="s">
        <v>14805</v>
      </c>
      <c r="C7782" s="3">
        <v>40702</v>
      </c>
      <c r="D7782" t="s">
        <v>25</v>
      </c>
      <c r="E7782">
        <v>13</v>
      </c>
      <c r="F7782" s="3">
        <f ca="1">40702+(RANDBETWEEN(1,10))</f>
        <v>40704</v>
      </c>
      <c r="G7782" t="s">
        <v>156</v>
      </c>
      <c r="H7782" t="s">
        <v>27</v>
      </c>
      <c r="I7782" t="s">
        <v>52</v>
      </c>
      <c r="J7782">
        <v>4471.2150000000001</v>
      </c>
      <c r="K7782">
        <v>0.05</v>
      </c>
      <c r="L7782">
        <v>0.46</v>
      </c>
      <c r="M7782">
        <v>25.13</v>
      </c>
      <c r="N7782">
        <v>3085.1383500000002</v>
      </c>
      <c r="O7782" s="1" t="s">
        <v>87</v>
      </c>
      <c r="P7782" s="1" t="s">
        <v>14570</v>
      </c>
      <c r="Q7782" s="1" t="s">
        <v>14571</v>
      </c>
      <c r="R7782" s="1" t="s">
        <v>90</v>
      </c>
      <c r="S7782" s="1" t="s">
        <v>1492</v>
      </c>
      <c r="T7782" s="1" t="s">
        <v>1493</v>
      </c>
      <c r="U7782" s="2" t="s">
        <v>8699</v>
      </c>
      <c r="V7782" s="2" t="s">
        <v>36</v>
      </c>
      <c r="W7782" s="2" t="s">
        <v>60</v>
      </c>
      <c r="X7782" s="2">
        <v>353.39499999999998</v>
      </c>
    </row>
    <row r="7783" spans="1:24" x14ac:dyDescent="0.3">
      <c r="A7783">
        <v>25595</v>
      </c>
      <c r="B7783" t="s">
        <v>14806</v>
      </c>
      <c r="C7783" s="3">
        <v>41798</v>
      </c>
      <c r="D7783" t="s">
        <v>25</v>
      </c>
      <c r="E7783">
        <v>1</v>
      </c>
      <c r="F7783" s="3">
        <f ca="1">41798+(RANDBETWEEN(1,10))</f>
        <v>41803</v>
      </c>
      <c r="G7783" t="s">
        <v>26</v>
      </c>
      <c r="H7783" t="s">
        <v>96</v>
      </c>
      <c r="I7783" t="s">
        <v>52</v>
      </c>
      <c r="J7783">
        <v>18.34</v>
      </c>
      <c r="K7783">
        <v>0.02</v>
      </c>
      <c r="L7783">
        <v>0.52</v>
      </c>
      <c r="M7783">
        <v>2.4849999999999999</v>
      </c>
      <c r="N7783">
        <v>-15.82</v>
      </c>
      <c r="O7783" s="1" t="s">
        <v>87</v>
      </c>
      <c r="P7783" s="1" t="s">
        <v>14570</v>
      </c>
      <c r="Q7783" s="1" t="s">
        <v>14571</v>
      </c>
      <c r="R7783" s="1" t="s">
        <v>90</v>
      </c>
      <c r="S7783" s="1" t="s">
        <v>1492</v>
      </c>
      <c r="T7783" s="1" t="s">
        <v>1493</v>
      </c>
      <c r="U7783" s="2" t="s">
        <v>2636</v>
      </c>
      <c r="V7783" s="2" t="s">
        <v>47</v>
      </c>
      <c r="W7783" s="2" t="s">
        <v>104</v>
      </c>
      <c r="X7783" s="2">
        <v>16.940000000000001</v>
      </c>
    </row>
    <row r="7784" spans="1:24" x14ac:dyDescent="0.3">
      <c r="A7784">
        <v>25596</v>
      </c>
      <c r="B7784" t="s">
        <v>14807</v>
      </c>
      <c r="C7784" s="3">
        <v>41579</v>
      </c>
      <c r="D7784" t="s">
        <v>50</v>
      </c>
      <c r="E7784">
        <v>26</v>
      </c>
      <c r="F7784" s="3">
        <f ca="1">41581+(RANDBETWEEN(1,10))</f>
        <v>41586</v>
      </c>
      <c r="G7784" t="s">
        <v>26</v>
      </c>
      <c r="H7784" t="s">
        <v>96</v>
      </c>
      <c r="I7784" t="s">
        <v>86</v>
      </c>
      <c r="J7784">
        <v>684.56500000000005</v>
      </c>
      <c r="K7784">
        <v>0.04</v>
      </c>
      <c r="L7784">
        <v>0.36</v>
      </c>
      <c r="M7784">
        <v>20.405000000000001</v>
      </c>
      <c r="N7784">
        <v>33.649000000000001</v>
      </c>
      <c r="O7784" s="1" t="s">
        <v>53</v>
      </c>
      <c r="P7784" s="1" t="s">
        <v>14808</v>
      </c>
      <c r="Q7784" s="1" t="s">
        <v>14809</v>
      </c>
      <c r="R7784" s="1" t="s">
        <v>440</v>
      </c>
      <c r="S7784" s="1" t="s">
        <v>2443</v>
      </c>
      <c r="T7784" s="1" t="s">
        <v>2444</v>
      </c>
      <c r="U7784" s="2" t="s">
        <v>605</v>
      </c>
      <c r="V7784" s="2" t="s">
        <v>47</v>
      </c>
      <c r="W7784" s="2" t="s">
        <v>74</v>
      </c>
      <c r="X7784" s="2">
        <v>26.74</v>
      </c>
    </row>
    <row r="7785" spans="1:24" x14ac:dyDescent="0.3">
      <c r="A7785">
        <v>25597</v>
      </c>
      <c r="B7785" t="s">
        <v>14807</v>
      </c>
      <c r="C7785" s="3">
        <v>41579</v>
      </c>
      <c r="D7785" t="s">
        <v>50</v>
      </c>
      <c r="E7785">
        <v>14</v>
      </c>
      <c r="F7785" s="3">
        <f ca="1">41580+(RANDBETWEEN(1,10))</f>
        <v>41590</v>
      </c>
      <c r="G7785" t="s">
        <v>26</v>
      </c>
      <c r="H7785" t="s">
        <v>27</v>
      </c>
      <c r="I7785" t="s">
        <v>86</v>
      </c>
      <c r="J7785">
        <v>243.565</v>
      </c>
      <c r="K7785">
        <v>0.08</v>
      </c>
      <c r="L7785">
        <v>0.38</v>
      </c>
      <c r="M7785">
        <v>19.215</v>
      </c>
      <c r="N7785">
        <v>33.984999999999999</v>
      </c>
      <c r="O7785" s="1" t="s">
        <v>53</v>
      </c>
      <c r="P7785" s="1" t="s">
        <v>14808</v>
      </c>
      <c r="Q7785" s="1" t="s">
        <v>14809</v>
      </c>
      <c r="R7785" s="1" t="s">
        <v>440</v>
      </c>
      <c r="S7785" s="1" t="s">
        <v>2443</v>
      </c>
      <c r="T7785" s="1" t="s">
        <v>2444</v>
      </c>
      <c r="U7785" s="2" t="s">
        <v>236</v>
      </c>
      <c r="V7785" s="2" t="s">
        <v>47</v>
      </c>
      <c r="W7785" s="2" t="s">
        <v>74</v>
      </c>
      <c r="X7785" s="2">
        <v>17.43</v>
      </c>
    </row>
    <row r="7786" spans="1:24" x14ac:dyDescent="0.3">
      <c r="A7786">
        <v>25598</v>
      </c>
      <c r="B7786" t="s">
        <v>14807</v>
      </c>
      <c r="C7786" s="3">
        <v>41579</v>
      </c>
      <c r="D7786" t="s">
        <v>50</v>
      </c>
      <c r="E7786">
        <v>37</v>
      </c>
      <c r="F7786" s="3">
        <f ca="1">41580+(RANDBETWEEN(1,10))</f>
        <v>41582</v>
      </c>
      <c r="G7786" t="s">
        <v>26</v>
      </c>
      <c r="H7786" t="s">
        <v>27</v>
      </c>
      <c r="I7786" t="s">
        <v>86</v>
      </c>
      <c r="J7786">
        <v>5062.47</v>
      </c>
      <c r="K7786">
        <v>0.05</v>
      </c>
      <c r="L7786">
        <v>0.56000000000000005</v>
      </c>
      <c r="M7786">
        <v>17.465</v>
      </c>
      <c r="N7786">
        <v>2949.8238000000001</v>
      </c>
      <c r="O7786" s="1" t="s">
        <v>53</v>
      </c>
      <c r="P7786" s="1" t="s">
        <v>14808</v>
      </c>
      <c r="Q7786" s="1" t="s">
        <v>14809</v>
      </c>
      <c r="R7786" s="1" t="s">
        <v>440</v>
      </c>
      <c r="S7786" s="1" t="s">
        <v>2443</v>
      </c>
      <c r="T7786" s="1" t="s">
        <v>2444</v>
      </c>
      <c r="U7786" s="2" t="s">
        <v>3202</v>
      </c>
      <c r="V7786" s="2" t="s">
        <v>36</v>
      </c>
      <c r="W7786" s="2" t="s">
        <v>37</v>
      </c>
      <c r="X7786" s="2">
        <v>160.965</v>
      </c>
    </row>
    <row r="7787" spans="1:24" x14ac:dyDescent="0.3">
      <c r="A7787">
        <v>25599</v>
      </c>
      <c r="B7787" t="s">
        <v>14810</v>
      </c>
      <c r="C7787" s="3">
        <v>40604</v>
      </c>
      <c r="D7787" t="s">
        <v>50</v>
      </c>
      <c r="E7787">
        <v>12</v>
      </c>
      <c r="F7787" s="3">
        <f ca="1">40606+(RANDBETWEEN(1,10))</f>
        <v>40607</v>
      </c>
      <c r="G7787" t="s">
        <v>156</v>
      </c>
      <c r="H7787" t="s">
        <v>51</v>
      </c>
      <c r="I7787" t="s">
        <v>52</v>
      </c>
      <c r="J7787">
        <v>376.28500000000003</v>
      </c>
      <c r="K7787">
        <v>0</v>
      </c>
      <c r="L7787">
        <v>0.52</v>
      </c>
      <c r="M7787">
        <v>6.9649999999999999</v>
      </c>
      <c r="N7787">
        <v>259.63664999999997</v>
      </c>
      <c r="O7787" s="1" t="s">
        <v>40</v>
      </c>
      <c r="P7787" s="1" t="s">
        <v>10531</v>
      </c>
      <c r="Q7787" s="1" t="s">
        <v>10532</v>
      </c>
      <c r="R7787" s="1" t="s">
        <v>220</v>
      </c>
      <c r="S7787" s="1" t="s">
        <v>1838</v>
      </c>
      <c r="T7787" s="1" t="s">
        <v>1839</v>
      </c>
      <c r="U7787" s="2" t="s">
        <v>2853</v>
      </c>
      <c r="V7787" s="2" t="s">
        <v>36</v>
      </c>
      <c r="W7787" s="2" t="s">
        <v>60</v>
      </c>
      <c r="X7787" s="2">
        <v>29.155000000000001</v>
      </c>
    </row>
    <row r="7788" spans="1:24" x14ac:dyDescent="0.3">
      <c r="A7788">
        <v>25600</v>
      </c>
      <c r="B7788" t="s">
        <v>14811</v>
      </c>
      <c r="C7788" s="3">
        <v>41737</v>
      </c>
      <c r="D7788" t="s">
        <v>50</v>
      </c>
      <c r="E7788">
        <v>12</v>
      </c>
      <c r="F7788" s="3">
        <f ca="1">41737+(RANDBETWEEN(1,10))</f>
        <v>41743</v>
      </c>
      <c r="G7788" t="s">
        <v>26</v>
      </c>
      <c r="H7788" t="s">
        <v>27</v>
      </c>
      <c r="I7788" t="s">
        <v>28</v>
      </c>
      <c r="J7788">
        <v>4258.7299999999996</v>
      </c>
      <c r="K7788">
        <v>0</v>
      </c>
      <c r="L7788">
        <v>0.52</v>
      </c>
      <c r="M7788">
        <v>69.965000000000003</v>
      </c>
      <c r="N7788">
        <v>2938.5237000000002</v>
      </c>
      <c r="O7788" s="1" t="s">
        <v>87</v>
      </c>
      <c r="P7788" s="1" t="s">
        <v>8469</v>
      </c>
      <c r="Q7788" s="1" t="s">
        <v>8470</v>
      </c>
      <c r="R7788" s="1" t="s">
        <v>90</v>
      </c>
      <c r="S7788" s="1" t="s">
        <v>8471</v>
      </c>
      <c r="T7788" s="1" t="s">
        <v>8472</v>
      </c>
      <c r="U7788" s="2" t="s">
        <v>1438</v>
      </c>
      <c r="V7788" s="2" t="s">
        <v>36</v>
      </c>
      <c r="W7788" s="2" t="s">
        <v>60</v>
      </c>
      <c r="X7788" s="2">
        <v>349.96499999999997</v>
      </c>
    </row>
    <row r="7789" spans="1:24" x14ac:dyDescent="0.3">
      <c r="A7789">
        <v>25601</v>
      </c>
      <c r="B7789" t="s">
        <v>14812</v>
      </c>
      <c r="C7789" s="3">
        <v>41685</v>
      </c>
      <c r="D7789" t="s">
        <v>50</v>
      </c>
      <c r="E7789">
        <v>7</v>
      </c>
      <c r="F7789" s="3">
        <f ca="1">41685+(RANDBETWEEN(1,10))</f>
        <v>41691</v>
      </c>
      <c r="G7789" t="s">
        <v>26</v>
      </c>
      <c r="H7789" t="s">
        <v>96</v>
      </c>
      <c r="I7789" t="s">
        <v>28</v>
      </c>
      <c r="J7789">
        <v>100.66</v>
      </c>
      <c r="K7789">
        <v>0</v>
      </c>
      <c r="L7789">
        <v>0.39</v>
      </c>
      <c r="M7789">
        <v>2.4849999999999999</v>
      </c>
      <c r="N7789">
        <v>3492.4742999999999</v>
      </c>
      <c r="O7789" s="1" t="s">
        <v>87</v>
      </c>
      <c r="P7789" s="1" t="s">
        <v>6396</v>
      </c>
      <c r="Q7789" s="1" t="s">
        <v>6397</v>
      </c>
      <c r="R7789" s="1" t="s">
        <v>497</v>
      </c>
      <c r="S7789" s="1" t="s">
        <v>6398</v>
      </c>
      <c r="T7789" s="1" t="s">
        <v>6399</v>
      </c>
      <c r="U7789" s="2" t="s">
        <v>2000</v>
      </c>
      <c r="V7789" s="2" t="s">
        <v>47</v>
      </c>
      <c r="W7789" s="2" t="s">
        <v>176</v>
      </c>
      <c r="X7789" s="2">
        <v>13.23</v>
      </c>
    </row>
    <row r="7790" spans="1:24" x14ac:dyDescent="0.3">
      <c r="A7790">
        <v>25602</v>
      </c>
      <c r="B7790" t="s">
        <v>14812</v>
      </c>
      <c r="C7790" s="3">
        <v>41685</v>
      </c>
      <c r="D7790" t="s">
        <v>50</v>
      </c>
      <c r="E7790">
        <v>2</v>
      </c>
      <c r="F7790" s="3">
        <f ca="1">41687+(RANDBETWEEN(1,10))</f>
        <v>41697</v>
      </c>
      <c r="G7790" t="s">
        <v>26</v>
      </c>
      <c r="H7790" t="s">
        <v>27</v>
      </c>
      <c r="I7790" t="s">
        <v>28</v>
      </c>
      <c r="J7790">
        <v>118.61499999999999</v>
      </c>
      <c r="K7790">
        <v>0.05</v>
      </c>
      <c r="L7790">
        <v>0.36</v>
      </c>
      <c r="M7790">
        <v>17.78</v>
      </c>
      <c r="N7790">
        <v>87.57</v>
      </c>
      <c r="O7790" s="1" t="s">
        <v>29</v>
      </c>
      <c r="P7790" s="1" t="s">
        <v>14813</v>
      </c>
      <c r="Q7790" s="1" t="s">
        <v>14814</v>
      </c>
      <c r="R7790" s="1" t="s">
        <v>675</v>
      </c>
      <c r="S7790" s="1" t="s">
        <v>5587</v>
      </c>
      <c r="T7790" s="1" t="s">
        <v>5053</v>
      </c>
      <c r="U7790" s="2" t="s">
        <v>8826</v>
      </c>
      <c r="V7790" s="2" t="s">
        <v>47</v>
      </c>
      <c r="W7790" s="2" t="s">
        <v>111</v>
      </c>
      <c r="X7790" s="2">
        <v>58.59</v>
      </c>
    </row>
    <row r="7791" spans="1:24" x14ac:dyDescent="0.3">
      <c r="A7791">
        <v>25603</v>
      </c>
      <c r="B7791" t="s">
        <v>14815</v>
      </c>
      <c r="C7791" s="3">
        <v>41612</v>
      </c>
      <c r="D7791" t="s">
        <v>39</v>
      </c>
      <c r="E7791">
        <v>17</v>
      </c>
      <c r="F7791" s="3">
        <f ca="1">41614+(RANDBETWEEN(1,10))</f>
        <v>41617</v>
      </c>
      <c r="G7791" t="s">
        <v>26</v>
      </c>
      <c r="H7791" t="s">
        <v>27</v>
      </c>
      <c r="I7791" t="s">
        <v>97</v>
      </c>
      <c r="J7791">
        <v>1172.5350000000001</v>
      </c>
      <c r="K7791">
        <v>7.0000000000000007E-2</v>
      </c>
      <c r="L7791">
        <v>0.35</v>
      </c>
      <c r="M7791">
        <v>5.2149999999999999</v>
      </c>
      <c r="N7791">
        <v>809.04915000000005</v>
      </c>
      <c r="O7791" s="1" t="s">
        <v>87</v>
      </c>
      <c r="P7791" s="1" t="s">
        <v>11870</v>
      </c>
      <c r="Q7791" s="1" t="s">
        <v>11871</v>
      </c>
      <c r="R7791" s="1" t="s">
        <v>398</v>
      </c>
      <c r="S7791" s="1" t="s">
        <v>11872</v>
      </c>
      <c r="T7791" s="1" t="s">
        <v>11873</v>
      </c>
      <c r="U7791" s="2" t="s">
        <v>3361</v>
      </c>
      <c r="V7791" s="2" t="s">
        <v>47</v>
      </c>
      <c r="W7791" s="2" t="s">
        <v>111</v>
      </c>
      <c r="X7791" s="2">
        <v>73.430000000000007</v>
      </c>
    </row>
    <row r="7792" spans="1:24" x14ac:dyDescent="0.3">
      <c r="A7792">
        <v>25604</v>
      </c>
      <c r="B7792" t="s">
        <v>14816</v>
      </c>
      <c r="C7792" s="3">
        <v>41076</v>
      </c>
      <c r="D7792" t="s">
        <v>148</v>
      </c>
      <c r="E7792">
        <v>9</v>
      </c>
      <c r="F7792" s="3">
        <f ca="1">41077+(RANDBETWEEN(1,10))</f>
        <v>41079</v>
      </c>
      <c r="G7792" t="s">
        <v>26</v>
      </c>
      <c r="H7792" t="s">
        <v>27</v>
      </c>
      <c r="I7792" t="s">
        <v>28</v>
      </c>
      <c r="J7792">
        <v>12332.6</v>
      </c>
      <c r="K7792">
        <v>7.0000000000000007E-2</v>
      </c>
      <c r="L7792">
        <v>0.35</v>
      </c>
      <c r="M7792">
        <v>69.965000000000003</v>
      </c>
      <c r="N7792">
        <v>8509.4940000000006</v>
      </c>
      <c r="O7792" s="1" t="s">
        <v>64</v>
      </c>
      <c r="P7792" s="1" t="s">
        <v>12064</v>
      </c>
      <c r="Q7792" s="1" t="s">
        <v>12065</v>
      </c>
      <c r="R7792" s="1" t="s">
        <v>67</v>
      </c>
      <c r="S7792" s="1" t="s">
        <v>1099</v>
      </c>
      <c r="T7792" s="1" t="s">
        <v>1100</v>
      </c>
      <c r="U7792" s="2" t="s">
        <v>1352</v>
      </c>
      <c r="V7792" s="2" t="s">
        <v>47</v>
      </c>
      <c r="W7792" s="2" t="s">
        <v>111</v>
      </c>
      <c r="X7792" s="2">
        <v>1473.43</v>
      </c>
    </row>
    <row r="7793" spans="1:24" x14ac:dyDescent="0.3">
      <c r="A7793">
        <v>25605</v>
      </c>
      <c r="B7793" t="s">
        <v>14817</v>
      </c>
      <c r="C7793" s="3">
        <v>40805</v>
      </c>
      <c r="D7793" t="s">
        <v>39</v>
      </c>
      <c r="E7793">
        <v>8</v>
      </c>
      <c r="F7793" s="3">
        <f ca="1">40805+(RANDBETWEEN(1,10))</f>
        <v>40813</v>
      </c>
      <c r="G7793" t="s">
        <v>156</v>
      </c>
      <c r="H7793" t="s">
        <v>51</v>
      </c>
      <c r="I7793" t="s">
        <v>28</v>
      </c>
      <c r="J7793">
        <v>1162.56</v>
      </c>
      <c r="K7793">
        <v>0.04</v>
      </c>
      <c r="L7793">
        <v>0.54</v>
      </c>
      <c r="M7793">
        <v>6.9649999999999999</v>
      </c>
      <c r="N7793">
        <v>-5374.2024000000001</v>
      </c>
      <c r="O7793" s="1" t="s">
        <v>29</v>
      </c>
      <c r="P7793" s="1" t="s">
        <v>14813</v>
      </c>
      <c r="Q7793" s="1" t="s">
        <v>14814</v>
      </c>
      <c r="R7793" s="1" t="s">
        <v>675</v>
      </c>
      <c r="S7793" s="1" t="s">
        <v>5587</v>
      </c>
      <c r="T7793" s="1" t="s">
        <v>5053</v>
      </c>
      <c r="U7793" s="2" t="s">
        <v>685</v>
      </c>
      <c r="V7793" s="2" t="s">
        <v>36</v>
      </c>
      <c r="W7793" s="2" t="s">
        <v>60</v>
      </c>
      <c r="X7793" s="2">
        <v>138.18</v>
      </c>
    </row>
    <row r="7794" spans="1:24" x14ac:dyDescent="0.3">
      <c r="A7794">
        <v>25606</v>
      </c>
      <c r="B7794" t="s">
        <v>14817</v>
      </c>
      <c r="C7794" s="3">
        <v>40805</v>
      </c>
      <c r="D7794" t="s">
        <v>39</v>
      </c>
      <c r="E7794">
        <v>17</v>
      </c>
      <c r="F7794" s="3">
        <f ca="1">40806+(RANDBETWEEN(1,10))</f>
        <v>40816</v>
      </c>
      <c r="G7794" t="s">
        <v>26</v>
      </c>
      <c r="H7794" t="s">
        <v>51</v>
      </c>
      <c r="I7794" t="s">
        <v>28</v>
      </c>
      <c r="J7794">
        <v>516.66999999999996</v>
      </c>
      <c r="K7794">
        <v>0</v>
      </c>
      <c r="L7794">
        <v>0.77</v>
      </c>
      <c r="M7794">
        <v>9.9049999999999994</v>
      </c>
      <c r="N7794">
        <v>-557.62</v>
      </c>
      <c r="O7794" s="1" t="s">
        <v>29</v>
      </c>
      <c r="P7794" s="1" t="s">
        <v>14813</v>
      </c>
      <c r="Q7794" s="1" t="s">
        <v>14814</v>
      </c>
      <c r="R7794" s="1" t="s">
        <v>675</v>
      </c>
      <c r="S7794" s="1" t="s">
        <v>5587</v>
      </c>
      <c r="T7794" s="1" t="s">
        <v>5053</v>
      </c>
      <c r="U7794" s="2" t="s">
        <v>2563</v>
      </c>
      <c r="V7794" s="2" t="s">
        <v>36</v>
      </c>
      <c r="W7794" s="2" t="s">
        <v>60</v>
      </c>
      <c r="X7794" s="2">
        <v>28.42</v>
      </c>
    </row>
    <row r="7795" spans="1:24" x14ac:dyDescent="0.3">
      <c r="A7795">
        <v>25607</v>
      </c>
      <c r="B7795" t="s">
        <v>14818</v>
      </c>
      <c r="C7795" s="3">
        <v>41262</v>
      </c>
      <c r="D7795" t="s">
        <v>39</v>
      </c>
      <c r="E7795">
        <v>7</v>
      </c>
      <c r="F7795" s="3">
        <f ca="1">41262+(RANDBETWEEN(1,10))</f>
        <v>41268</v>
      </c>
      <c r="G7795" t="s">
        <v>26</v>
      </c>
      <c r="H7795" t="s">
        <v>51</v>
      </c>
      <c r="I7795" t="s">
        <v>28</v>
      </c>
      <c r="J7795">
        <v>1067.99</v>
      </c>
      <c r="K7795">
        <v>0.09</v>
      </c>
      <c r="L7795">
        <v>0.83</v>
      </c>
      <c r="M7795">
        <v>17.5</v>
      </c>
      <c r="N7795">
        <v>-544.33225000000004</v>
      </c>
      <c r="O7795" s="1" t="s">
        <v>87</v>
      </c>
      <c r="P7795" s="1" t="s">
        <v>12778</v>
      </c>
      <c r="Q7795" s="1" t="s">
        <v>12779</v>
      </c>
      <c r="R7795" s="1" t="s">
        <v>90</v>
      </c>
      <c r="S7795" s="1" t="s">
        <v>12780</v>
      </c>
      <c r="T7795" s="1" t="s">
        <v>12781</v>
      </c>
      <c r="U7795" s="2" t="s">
        <v>4376</v>
      </c>
      <c r="V7795" s="2" t="s">
        <v>36</v>
      </c>
      <c r="W7795" s="2" t="s">
        <v>37</v>
      </c>
      <c r="X7795" s="2">
        <v>195.965</v>
      </c>
    </row>
    <row r="7796" spans="1:24" x14ac:dyDescent="0.3">
      <c r="A7796">
        <v>25608</v>
      </c>
      <c r="B7796" t="s">
        <v>14819</v>
      </c>
      <c r="C7796" s="3">
        <v>40787</v>
      </c>
      <c r="D7796" t="s">
        <v>39</v>
      </c>
      <c r="E7796">
        <v>5</v>
      </c>
      <c r="F7796" s="3">
        <f ca="1">40789+(RANDBETWEEN(1,10))</f>
        <v>40796</v>
      </c>
      <c r="G7796" t="s">
        <v>26</v>
      </c>
      <c r="H7796" t="s">
        <v>27</v>
      </c>
      <c r="I7796" t="s">
        <v>52</v>
      </c>
      <c r="J7796">
        <v>361.79500000000002</v>
      </c>
      <c r="K7796">
        <v>0.06</v>
      </c>
      <c r="L7796">
        <v>0.49</v>
      </c>
      <c r="M7796">
        <v>36.715000000000003</v>
      </c>
      <c r="N7796">
        <v>1799.6202000000001</v>
      </c>
      <c r="O7796" s="1" t="s">
        <v>87</v>
      </c>
      <c r="P7796" s="1" t="s">
        <v>14820</v>
      </c>
      <c r="Q7796" s="1" t="s">
        <v>14821</v>
      </c>
      <c r="R7796" s="1" t="s">
        <v>497</v>
      </c>
      <c r="S7796" s="1" t="s">
        <v>11171</v>
      </c>
      <c r="T7796" s="1" t="s">
        <v>11172</v>
      </c>
      <c r="U7796" s="2" t="s">
        <v>2586</v>
      </c>
      <c r="V7796" s="2" t="s">
        <v>83</v>
      </c>
      <c r="W7796" s="2" t="s">
        <v>178</v>
      </c>
      <c r="X7796" s="2">
        <v>69.930000000000007</v>
      </c>
    </row>
    <row r="7797" spans="1:24" x14ac:dyDescent="0.3">
      <c r="A7797">
        <v>25609</v>
      </c>
      <c r="B7797" t="s">
        <v>14819</v>
      </c>
      <c r="C7797" s="3">
        <v>40787</v>
      </c>
      <c r="D7797" t="s">
        <v>39</v>
      </c>
      <c r="E7797">
        <v>23</v>
      </c>
      <c r="F7797" s="3">
        <f ca="1">40788+(RANDBETWEEN(1,10))</f>
        <v>40789</v>
      </c>
      <c r="G7797" t="s">
        <v>26</v>
      </c>
      <c r="H7797" t="s">
        <v>27</v>
      </c>
      <c r="I7797" t="s">
        <v>52</v>
      </c>
      <c r="J7797">
        <v>140.77000000000001</v>
      </c>
      <c r="K7797">
        <v>0.08</v>
      </c>
      <c r="L7797">
        <v>0.41</v>
      </c>
      <c r="M7797">
        <v>17.010000000000002</v>
      </c>
      <c r="N7797">
        <v>824.79600000000005</v>
      </c>
      <c r="O7797" s="1" t="s">
        <v>87</v>
      </c>
      <c r="P7797" s="1" t="s">
        <v>14820</v>
      </c>
      <c r="Q7797" s="1" t="s">
        <v>14821</v>
      </c>
      <c r="R7797" s="1" t="s">
        <v>497</v>
      </c>
      <c r="S7797" s="1" t="s">
        <v>11171</v>
      </c>
      <c r="T7797" s="1" t="s">
        <v>11172</v>
      </c>
      <c r="U7797" s="2" t="s">
        <v>4017</v>
      </c>
      <c r="V7797" s="2" t="s">
        <v>83</v>
      </c>
      <c r="W7797" s="2" t="s">
        <v>178</v>
      </c>
      <c r="X7797" s="2">
        <v>6.16</v>
      </c>
    </row>
    <row r="7798" spans="1:24" x14ac:dyDescent="0.3">
      <c r="A7798">
        <v>25610</v>
      </c>
      <c r="B7798" t="s">
        <v>14822</v>
      </c>
      <c r="C7798" s="3">
        <v>41930</v>
      </c>
      <c r="D7798" t="s">
        <v>25</v>
      </c>
      <c r="E7798">
        <v>19</v>
      </c>
      <c r="F7798" s="3">
        <f ca="1">41932+(RANDBETWEEN(1,10))</f>
        <v>41935</v>
      </c>
      <c r="G7798" t="s">
        <v>26</v>
      </c>
      <c r="H7798" t="s">
        <v>27</v>
      </c>
      <c r="I7798" t="s">
        <v>86</v>
      </c>
      <c r="J7798">
        <v>784.84</v>
      </c>
      <c r="K7798">
        <v>0.06</v>
      </c>
      <c r="L7798">
        <v>0.35</v>
      </c>
      <c r="M7798">
        <v>20.02</v>
      </c>
      <c r="N7798">
        <v>181.685</v>
      </c>
      <c r="O7798" s="1" t="s">
        <v>225</v>
      </c>
      <c r="P7798" s="1" t="s">
        <v>12120</v>
      </c>
      <c r="Q7798" s="1" t="s">
        <v>12121</v>
      </c>
      <c r="R7798" s="1" t="s">
        <v>228</v>
      </c>
      <c r="S7798" s="1" t="s">
        <v>12122</v>
      </c>
      <c r="T7798" s="1" t="s">
        <v>12123</v>
      </c>
      <c r="U7798" s="2" t="s">
        <v>2886</v>
      </c>
      <c r="V7798" s="2" t="s">
        <v>47</v>
      </c>
      <c r="W7798" s="2" t="s">
        <v>48</v>
      </c>
      <c r="X7798" s="2">
        <v>40.53</v>
      </c>
    </row>
    <row r="7799" spans="1:24" x14ac:dyDescent="0.3">
      <c r="A7799">
        <v>25611</v>
      </c>
      <c r="B7799" t="s">
        <v>14823</v>
      </c>
      <c r="C7799" s="3">
        <v>41200</v>
      </c>
      <c r="D7799" t="s">
        <v>25</v>
      </c>
      <c r="E7799">
        <v>14</v>
      </c>
      <c r="F7799" s="3">
        <f ca="1">41202+(RANDBETWEEN(1,10))</f>
        <v>41209</v>
      </c>
      <c r="G7799" t="s">
        <v>26</v>
      </c>
      <c r="H7799" t="s">
        <v>96</v>
      </c>
      <c r="I7799" t="s">
        <v>86</v>
      </c>
      <c r="J7799">
        <v>239.64500000000001</v>
      </c>
      <c r="K7799">
        <v>0.06</v>
      </c>
      <c r="L7799">
        <v>0.51</v>
      </c>
      <c r="M7799">
        <v>7.1050000000000004</v>
      </c>
      <c r="N7799">
        <v>58.797199999999997</v>
      </c>
      <c r="O7799" s="1" t="s">
        <v>225</v>
      </c>
      <c r="P7799" s="1" t="s">
        <v>12120</v>
      </c>
      <c r="Q7799" s="1" t="s">
        <v>12121</v>
      </c>
      <c r="R7799" s="1" t="s">
        <v>228</v>
      </c>
      <c r="S7799" s="1" t="s">
        <v>12122</v>
      </c>
      <c r="T7799" s="1" t="s">
        <v>12123</v>
      </c>
      <c r="U7799" s="2" t="s">
        <v>3434</v>
      </c>
      <c r="V7799" s="2" t="s">
        <v>83</v>
      </c>
      <c r="W7799" s="2" t="s">
        <v>178</v>
      </c>
      <c r="X7799" s="2">
        <v>17.78</v>
      </c>
    </row>
    <row r="7800" spans="1:24" x14ac:dyDescent="0.3">
      <c r="A7800">
        <v>25612</v>
      </c>
      <c r="B7800" t="s">
        <v>14822</v>
      </c>
      <c r="C7800" s="3">
        <v>41930</v>
      </c>
      <c r="D7800" t="s">
        <v>25</v>
      </c>
      <c r="E7800">
        <v>9</v>
      </c>
      <c r="F7800" s="3">
        <f ca="1">41935+(RANDBETWEEN(1,10))</f>
        <v>41937</v>
      </c>
      <c r="G7800" t="s">
        <v>26</v>
      </c>
      <c r="H7800" t="s">
        <v>27</v>
      </c>
      <c r="I7800" t="s">
        <v>86</v>
      </c>
      <c r="J7800">
        <v>138.66999999999999</v>
      </c>
      <c r="K7800">
        <v>0.08</v>
      </c>
      <c r="L7800">
        <v>0.6</v>
      </c>
      <c r="M7800">
        <v>24.114999999999998</v>
      </c>
      <c r="N7800">
        <v>-292.98500000000001</v>
      </c>
      <c r="O7800" s="1" t="s">
        <v>40</v>
      </c>
      <c r="P7800" s="1" t="s">
        <v>14824</v>
      </c>
      <c r="Q7800" s="1" t="s">
        <v>14825</v>
      </c>
      <c r="R7800" s="1" t="s">
        <v>220</v>
      </c>
      <c r="S7800" s="1" t="s">
        <v>6977</v>
      </c>
      <c r="T7800" s="1" t="s">
        <v>6978</v>
      </c>
      <c r="U7800" s="2" t="s">
        <v>3815</v>
      </c>
      <c r="V7800" s="2" t="s">
        <v>47</v>
      </c>
      <c r="W7800" s="2" t="s">
        <v>71</v>
      </c>
      <c r="X7800" s="2">
        <v>14.21</v>
      </c>
    </row>
    <row r="7801" spans="1:24" x14ac:dyDescent="0.3">
      <c r="A7801">
        <v>25613</v>
      </c>
      <c r="B7801" t="s">
        <v>14826</v>
      </c>
      <c r="C7801" s="3">
        <v>40891</v>
      </c>
      <c r="D7801" t="s">
        <v>39</v>
      </c>
      <c r="E7801">
        <v>7</v>
      </c>
      <c r="F7801" s="3">
        <f ca="1">40892+(RANDBETWEEN(1,10))</f>
        <v>40902</v>
      </c>
      <c r="G7801" t="s">
        <v>26</v>
      </c>
      <c r="H7801" t="s">
        <v>27</v>
      </c>
      <c r="I7801" t="s">
        <v>52</v>
      </c>
      <c r="J7801">
        <v>66.569999999999993</v>
      </c>
      <c r="K7801">
        <v>0.03</v>
      </c>
      <c r="L7801">
        <v>0.39</v>
      </c>
      <c r="M7801">
        <v>1.75</v>
      </c>
      <c r="N7801">
        <v>14.155049999999999</v>
      </c>
      <c r="O7801" s="1" t="s">
        <v>225</v>
      </c>
      <c r="P7801" s="1" t="s">
        <v>14827</v>
      </c>
      <c r="Q7801" s="1" t="s">
        <v>14828</v>
      </c>
      <c r="R7801" s="1" t="s">
        <v>391</v>
      </c>
      <c r="S7801" s="1" t="s">
        <v>9797</v>
      </c>
      <c r="T7801" s="1" t="s">
        <v>9798</v>
      </c>
      <c r="U7801" s="2" t="s">
        <v>1726</v>
      </c>
      <c r="V7801" s="2" t="s">
        <v>47</v>
      </c>
      <c r="W7801" s="2" t="s">
        <v>203</v>
      </c>
      <c r="X7801" s="2">
        <v>9.1349999999999998</v>
      </c>
    </row>
    <row r="7802" spans="1:24" x14ac:dyDescent="0.3">
      <c r="A7802">
        <v>25614</v>
      </c>
      <c r="B7802" t="s">
        <v>14826</v>
      </c>
      <c r="C7802" s="3">
        <v>40891</v>
      </c>
      <c r="D7802" t="s">
        <v>39</v>
      </c>
      <c r="E7802">
        <v>16</v>
      </c>
      <c r="F7802" s="3">
        <f ca="1">40892+(RANDBETWEEN(1,10))</f>
        <v>40896</v>
      </c>
      <c r="G7802" t="s">
        <v>26</v>
      </c>
      <c r="H7802" t="s">
        <v>51</v>
      </c>
      <c r="I7802" t="s">
        <v>52</v>
      </c>
      <c r="J7802">
        <v>678.54499999999996</v>
      </c>
      <c r="K7802">
        <v>0.01</v>
      </c>
      <c r="L7802">
        <v>0.57999999999999996</v>
      </c>
      <c r="M7802">
        <v>27.824999999999999</v>
      </c>
      <c r="N7802">
        <v>-36.289400000000001</v>
      </c>
      <c r="O7802" s="1" t="s">
        <v>225</v>
      </c>
      <c r="P7802" s="1" t="s">
        <v>14827</v>
      </c>
      <c r="Q7802" s="1" t="s">
        <v>14828</v>
      </c>
      <c r="R7802" s="1" t="s">
        <v>391</v>
      </c>
      <c r="S7802" s="1" t="s">
        <v>9797</v>
      </c>
      <c r="T7802" s="1" t="s">
        <v>9798</v>
      </c>
      <c r="U7802" s="2" t="s">
        <v>248</v>
      </c>
      <c r="V7802" s="2" t="s">
        <v>47</v>
      </c>
      <c r="W7802" s="2" t="s">
        <v>104</v>
      </c>
      <c r="X7802" s="2">
        <v>40.81</v>
      </c>
    </row>
    <row r="7803" spans="1:24" x14ac:dyDescent="0.3">
      <c r="A7803">
        <v>25615</v>
      </c>
      <c r="B7803" t="s">
        <v>14829</v>
      </c>
      <c r="C7803" s="3">
        <v>40927</v>
      </c>
      <c r="D7803" t="s">
        <v>50</v>
      </c>
      <c r="E7803">
        <v>1</v>
      </c>
      <c r="F7803" s="3">
        <f ca="1">40930+(RANDBETWEEN(1,10))</f>
        <v>40932</v>
      </c>
      <c r="G7803" t="s">
        <v>26</v>
      </c>
      <c r="H7803" t="s">
        <v>27</v>
      </c>
      <c r="I7803" t="s">
        <v>97</v>
      </c>
      <c r="J7803">
        <v>544.28499999999997</v>
      </c>
      <c r="K7803">
        <v>7.0000000000000007E-2</v>
      </c>
      <c r="L7803">
        <v>0.56000000000000005</v>
      </c>
      <c r="M7803">
        <v>69.965000000000003</v>
      </c>
      <c r="N7803">
        <v>308.25900000000001</v>
      </c>
      <c r="O7803" s="1" t="s">
        <v>29</v>
      </c>
      <c r="P7803" s="1" t="s">
        <v>14830</v>
      </c>
      <c r="Q7803" s="1" t="s">
        <v>14831</v>
      </c>
      <c r="R7803" s="1" t="s">
        <v>32</v>
      </c>
      <c r="S7803" s="1" t="s">
        <v>3234</v>
      </c>
      <c r="T7803" s="1" t="s">
        <v>3235</v>
      </c>
      <c r="U7803" s="2" t="s">
        <v>3048</v>
      </c>
      <c r="V7803" s="2" t="s">
        <v>47</v>
      </c>
      <c r="W7803" s="2" t="s">
        <v>119</v>
      </c>
      <c r="X7803" s="2">
        <v>500.01</v>
      </c>
    </row>
    <row r="7804" spans="1:24" x14ac:dyDescent="0.3">
      <c r="A7804">
        <v>25616</v>
      </c>
      <c r="B7804" t="s">
        <v>14832</v>
      </c>
      <c r="C7804" s="3">
        <v>41972</v>
      </c>
      <c r="D7804" t="s">
        <v>62</v>
      </c>
      <c r="E7804">
        <v>32</v>
      </c>
      <c r="F7804" s="3">
        <f ca="1">41973+(RANDBETWEEN(1,10))</f>
        <v>41974</v>
      </c>
      <c r="G7804" t="s">
        <v>26</v>
      </c>
      <c r="H7804" t="s">
        <v>27</v>
      </c>
      <c r="I7804" t="s">
        <v>28</v>
      </c>
      <c r="J7804">
        <v>6343.82</v>
      </c>
      <c r="K7804">
        <v>0.01</v>
      </c>
      <c r="L7804">
        <v>0.56999999999999995</v>
      </c>
      <c r="M7804">
        <v>17.465</v>
      </c>
      <c r="N7804">
        <v>4154.163552</v>
      </c>
      <c r="O7804" s="1" t="s">
        <v>64</v>
      </c>
      <c r="P7804" s="1" t="s">
        <v>14102</v>
      </c>
      <c r="Q7804" s="1" t="s">
        <v>14103</v>
      </c>
      <c r="R7804" s="1" t="s">
        <v>128</v>
      </c>
      <c r="S7804" s="1" t="s">
        <v>7105</v>
      </c>
      <c r="T7804" s="1" t="s">
        <v>7106</v>
      </c>
      <c r="U7804" s="2" t="s">
        <v>5920</v>
      </c>
      <c r="V7804" s="2" t="s">
        <v>36</v>
      </c>
      <c r="W7804" s="2" t="s">
        <v>37</v>
      </c>
      <c r="X7804" s="2">
        <v>230.965</v>
      </c>
    </row>
    <row r="7805" spans="1:24" x14ac:dyDescent="0.3">
      <c r="A7805">
        <v>25617</v>
      </c>
      <c r="B7805" t="s">
        <v>14832</v>
      </c>
      <c r="C7805" s="3">
        <v>41972</v>
      </c>
      <c r="D7805" t="s">
        <v>62</v>
      </c>
      <c r="E7805">
        <v>14</v>
      </c>
      <c r="F7805" s="3">
        <f ca="1">41974+(RANDBETWEEN(1,10))</f>
        <v>41976</v>
      </c>
      <c r="G7805" t="s">
        <v>26</v>
      </c>
      <c r="H7805" t="s">
        <v>281</v>
      </c>
      <c r="I7805" t="s">
        <v>28</v>
      </c>
      <c r="J7805">
        <v>690.48</v>
      </c>
      <c r="K7805">
        <v>0.09</v>
      </c>
      <c r="L7805">
        <v>0.39</v>
      </c>
      <c r="M7805">
        <v>26.285</v>
      </c>
      <c r="N7805">
        <v>53.632924799999998</v>
      </c>
      <c r="O7805" s="1" t="s">
        <v>29</v>
      </c>
      <c r="P7805" s="1" t="s">
        <v>14833</v>
      </c>
      <c r="Q7805" s="1" t="s">
        <v>14834</v>
      </c>
      <c r="R7805" s="1" t="s">
        <v>460</v>
      </c>
      <c r="S7805" s="1" t="s">
        <v>854</v>
      </c>
      <c r="T7805" s="1" t="s">
        <v>14835</v>
      </c>
      <c r="U7805" s="2" t="s">
        <v>1079</v>
      </c>
      <c r="V7805" s="2" t="s">
        <v>36</v>
      </c>
      <c r="W7805" s="2" t="s">
        <v>142</v>
      </c>
      <c r="X7805" s="2">
        <v>48.965000000000003</v>
      </c>
    </row>
    <row r="7806" spans="1:24" x14ac:dyDescent="0.3">
      <c r="A7806">
        <v>25618</v>
      </c>
      <c r="B7806" t="s">
        <v>14832</v>
      </c>
      <c r="C7806" s="3">
        <v>41972</v>
      </c>
      <c r="D7806" t="s">
        <v>62</v>
      </c>
      <c r="E7806">
        <v>34</v>
      </c>
      <c r="F7806" s="3">
        <f ca="1">41974+(RANDBETWEEN(1,10))</f>
        <v>41981</v>
      </c>
      <c r="G7806" t="s">
        <v>26</v>
      </c>
      <c r="H7806" t="s">
        <v>63</v>
      </c>
      <c r="I7806" t="s">
        <v>28</v>
      </c>
      <c r="J7806">
        <v>2455.04</v>
      </c>
      <c r="K7806">
        <v>0.05</v>
      </c>
      <c r="L7806">
        <v>0.84</v>
      </c>
      <c r="M7806">
        <v>122.5</v>
      </c>
      <c r="N7806">
        <v>1693.9775999999999</v>
      </c>
      <c r="O7806" s="1" t="s">
        <v>29</v>
      </c>
      <c r="P7806" s="1" t="s">
        <v>14833</v>
      </c>
      <c r="Q7806" s="1" t="s">
        <v>14834</v>
      </c>
      <c r="R7806" s="1" t="s">
        <v>460</v>
      </c>
      <c r="S7806" s="1" t="s">
        <v>854</v>
      </c>
      <c r="T7806" s="1" t="s">
        <v>14835</v>
      </c>
      <c r="U7806" s="2" t="s">
        <v>2742</v>
      </c>
      <c r="V7806" s="2" t="s">
        <v>47</v>
      </c>
      <c r="W7806" s="2" t="s">
        <v>119</v>
      </c>
      <c r="X7806" s="2">
        <v>71.19</v>
      </c>
    </row>
    <row r="7807" spans="1:24" x14ac:dyDescent="0.3">
      <c r="A7807">
        <v>25619</v>
      </c>
      <c r="B7807" t="s">
        <v>14836</v>
      </c>
      <c r="C7807" s="3">
        <v>41278</v>
      </c>
      <c r="D7807" t="s">
        <v>148</v>
      </c>
      <c r="E7807">
        <v>4</v>
      </c>
      <c r="F7807" s="3">
        <f ca="1">41279+(RANDBETWEEN(1,10))</f>
        <v>41289</v>
      </c>
      <c r="G7807" t="s">
        <v>26</v>
      </c>
      <c r="H7807" t="s">
        <v>96</v>
      </c>
      <c r="I7807" t="s">
        <v>52</v>
      </c>
      <c r="J7807">
        <v>85.89</v>
      </c>
      <c r="K7807">
        <v>0.03</v>
      </c>
      <c r="L7807">
        <v>0.51</v>
      </c>
      <c r="M7807">
        <v>3.1850000000000001</v>
      </c>
      <c r="N7807">
        <v>52.428600000000003</v>
      </c>
      <c r="O7807" s="1" t="s">
        <v>64</v>
      </c>
      <c r="P7807" s="1" t="s">
        <v>4161</v>
      </c>
      <c r="Q7807" s="1" t="s">
        <v>4162</v>
      </c>
      <c r="R7807" s="1" t="s">
        <v>67</v>
      </c>
      <c r="S7807" s="1" t="s">
        <v>4163</v>
      </c>
      <c r="T7807" s="1" t="s">
        <v>4164</v>
      </c>
      <c r="U7807" s="2" t="s">
        <v>4793</v>
      </c>
      <c r="V7807" s="2" t="s">
        <v>47</v>
      </c>
      <c r="W7807" s="2" t="s">
        <v>104</v>
      </c>
      <c r="X7807" s="2">
        <v>21.28</v>
      </c>
    </row>
    <row r="7808" spans="1:24" x14ac:dyDescent="0.3">
      <c r="A7808">
        <v>25620</v>
      </c>
      <c r="B7808" t="s">
        <v>14836</v>
      </c>
      <c r="C7808" s="3">
        <v>41278</v>
      </c>
      <c r="D7808" t="s">
        <v>148</v>
      </c>
      <c r="E7808">
        <v>5</v>
      </c>
      <c r="F7808" s="3">
        <f ca="1">41280+(RANDBETWEEN(1,10))</f>
        <v>41284</v>
      </c>
      <c r="G7808" t="s">
        <v>26</v>
      </c>
      <c r="H7808" t="s">
        <v>51</v>
      </c>
      <c r="I7808" t="s">
        <v>52</v>
      </c>
      <c r="J7808">
        <v>213.29</v>
      </c>
      <c r="K7808">
        <v>0.01</v>
      </c>
      <c r="L7808">
        <v>0.59</v>
      </c>
      <c r="M7808">
        <v>31.465</v>
      </c>
      <c r="N7808">
        <v>-372.8494</v>
      </c>
      <c r="O7808" s="1" t="s">
        <v>64</v>
      </c>
      <c r="P7808" s="1" t="s">
        <v>14837</v>
      </c>
      <c r="Q7808" s="1" t="s">
        <v>14838</v>
      </c>
      <c r="R7808" s="1" t="s">
        <v>128</v>
      </c>
      <c r="S7808" s="1" t="s">
        <v>7972</v>
      </c>
      <c r="T7808" s="1" t="s">
        <v>7973</v>
      </c>
      <c r="U7808" s="2" t="s">
        <v>2687</v>
      </c>
      <c r="V7808" s="2" t="s">
        <v>47</v>
      </c>
      <c r="W7808" s="2" t="s">
        <v>104</v>
      </c>
      <c r="X7808" s="2">
        <v>40.81</v>
      </c>
    </row>
    <row r="7809" spans="1:24" x14ac:dyDescent="0.3">
      <c r="A7809">
        <v>25621</v>
      </c>
      <c r="B7809" t="s">
        <v>14836</v>
      </c>
      <c r="C7809" s="3">
        <v>41278</v>
      </c>
      <c r="D7809" t="s">
        <v>148</v>
      </c>
      <c r="E7809">
        <v>2</v>
      </c>
      <c r="F7809" s="3">
        <f ca="1">41280+(RANDBETWEEN(1,10))</f>
        <v>41288</v>
      </c>
      <c r="G7809" t="s">
        <v>26</v>
      </c>
      <c r="H7809" t="s">
        <v>51</v>
      </c>
      <c r="I7809" t="s">
        <v>52</v>
      </c>
      <c r="J7809">
        <v>77</v>
      </c>
      <c r="K7809">
        <v>0.06</v>
      </c>
      <c r="L7809">
        <v>0.6</v>
      </c>
      <c r="M7809">
        <v>10.115</v>
      </c>
      <c r="N7809">
        <v>-27.6892</v>
      </c>
      <c r="O7809" s="1" t="s">
        <v>64</v>
      </c>
      <c r="P7809" s="1" t="s">
        <v>14837</v>
      </c>
      <c r="Q7809" s="1" t="s">
        <v>14838</v>
      </c>
      <c r="R7809" s="1" t="s">
        <v>128</v>
      </c>
      <c r="S7809" s="1" t="s">
        <v>7972</v>
      </c>
      <c r="T7809" s="1" t="s">
        <v>7973</v>
      </c>
      <c r="U7809" s="2" t="s">
        <v>6149</v>
      </c>
      <c r="V7809" s="2" t="s">
        <v>47</v>
      </c>
      <c r="W7809" s="2" t="s">
        <v>104</v>
      </c>
      <c r="X7809" s="2">
        <v>36.68</v>
      </c>
    </row>
    <row r="7810" spans="1:24" x14ac:dyDescent="0.3">
      <c r="A7810">
        <v>25622</v>
      </c>
      <c r="B7810" t="s">
        <v>14839</v>
      </c>
      <c r="C7810" s="3">
        <v>41626</v>
      </c>
      <c r="D7810" t="s">
        <v>148</v>
      </c>
      <c r="E7810">
        <v>11</v>
      </c>
      <c r="F7810" s="3">
        <f ca="1">41627+(RANDBETWEEN(1,10))</f>
        <v>41635</v>
      </c>
      <c r="G7810" t="s">
        <v>26</v>
      </c>
      <c r="H7810" t="s">
        <v>27</v>
      </c>
      <c r="I7810" t="s">
        <v>28</v>
      </c>
      <c r="J7810">
        <v>297.46499999999997</v>
      </c>
      <c r="K7810">
        <v>0.03</v>
      </c>
      <c r="L7810">
        <v>0.39</v>
      </c>
      <c r="M7810">
        <v>21.175000000000001</v>
      </c>
      <c r="N7810">
        <v>-74.764375000000001</v>
      </c>
      <c r="O7810" s="1" t="s">
        <v>87</v>
      </c>
      <c r="P7810" s="1" t="s">
        <v>14840</v>
      </c>
      <c r="Q7810" s="1" t="s">
        <v>14841</v>
      </c>
      <c r="R7810" s="1" t="s">
        <v>398</v>
      </c>
      <c r="S7810" s="1" t="s">
        <v>14842</v>
      </c>
      <c r="T7810" s="1" t="s">
        <v>14843</v>
      </c>
      <c r="U7810" s="2" t="s">
        <v>2669</v>
      </c>
      <c r="V7810" s="2" t="s">
        <v>47</v>
      </c>
      <c r="W7810" s="2" t="s">
        <v>111</v>
      </c>
      <c r="X7810" s="2">
        <v>24.85</v>
      </c>
    </row>
    <row r="7811" spans="1:24" x14ac:dyDescent="0.3">
      <c r="A7811">
        <v>25623</v>
      </c>
      <c r="B7811" t="s">
        <v>14844</v>
      </c>
      <c r="C7811" s="3">
        <v>41717</v>
      </c>
      <c r="D7811" t="s">
        <v>50</v>
      </c>
      <c r="E7811">
        <v>4</v>
      </c>
      <c r="F7811" s="3">
        <f ca="1">41719+(RANDBETWEEN(1,10))</f>
        <v>41723</v>
      </c>
      <c r="G7811" t="s">
        <v>26</v>
      </c>
      <c r="H7811" t="s">
        <v>27</v>
      </c>
      <c r="I7811" t="s">
        <v>86</v>
      </c>
      <c r="J7811">
        <v>109.13</v>
      </c>
      <c r="K7811">
        <v>0.01</v>
      </c>
      <c r="L7811">
        <v>0.38</v>
      </c>
      <c r="M7811">
        <v>20.86</v>
      </c>
      <c r="N7811">
        <v>-105.14</v>
      </c>
      <c r="O7811" s="1" t="s">
        <v>53</v>
      </c>
      <c r="P7811" s="1" t="s">
        <v>7797</v>
      </c>
      <c r="Q7811" s="1" t="s">
        <v>7798</v>
      </c>
      <c r="R7811" s="1" t="s">
        <v>56</v>
      </c>
      <c r="S7811" s="1" t="s">
        <v>7799</v>
      </c>
      <c r="T7811" s="1" t="s">
        <v>7800</v>
      </c>
      <c r="U7811" s="2" t="s">
        <v>2322</v>
      </c>
      <c r="V7811" s="2" t="s">
        <v>47</v>
      </c>
      <c r="W7811" s="2" t="s">
        <v>74</v>
      </c>
      <c r="X7811" s="2">
        <v>25.725000000000001</v>
      </c>
    </row>
    <row r="7812" spans="1:24" x14ac:dyDescent="0.3">
      <c r="A7812">
        <v>25624</v>
      </c>
      <c r="B7812" t="s">
        <v>14845</v>
      </c>
      <c r="C7812" s="3">
        <v>40740</v>
      </c>
      <c r="D7812" t="s">
        <v>62</v>
      </c>
      <c r="E7812">
        <v>7</v>
      </c>
      <c r="F7812" s="3">
        <f ca="1">40743+(RANDBETWEEN(1,10))</f>
        <v>40747</v>
      </c>
      <c r="G7812" t="s">
        <v>26</v>
      </c>
      <c r="H7812" t="s">
        <v>51</v>
      </c>
      <c r="I7812" t="s">
        <v>86</v>
      </c>
      <c r="J7812">
        <v>673.05</v>
      </c>
      <c r="K7812">
        <v>0.09</v>
      </c>
      <c r="L7812">
        <v>0.4</v>
      </c>
      <c r="M7812">
        <v>6.9649999999999999</v>
      </c>
      <c r="N7812">
        <v>464.40449999999998</v>
      </c>
      <c r="O7812" s="1" t="s">
        <v>40</v>
      </c>
      <c r="P7812" s="1" t="s">
        <v>13811</v>
      </c>
      <c r="Q7812" s="1" t="s">
        <v>13812</v>
      </c>
      <c r="R7812" s="1" t="s">
        <v>43</v>
      </c>
      <c r="S7812" s="1" t="s">
        <v>1598</v>
      </c>
      <c r="T7812" s="1" t="s">
        <v>13813</v>
      </c>
      <c r="U7812" s="2" t="s">
        <v>1109</v>
      </c>
      <c r="V7812" s="2" t="s">
        <v>36</v>
      </c>
      <c r="W7812" s="2" t="s">
        <v>60</v>
      </c>
      <c r="X7812" s="2">
        <v>99.68</v>
      </c>
    </row>
    <row r="7813" spans="1:24" x14ac:dyDescent="0.3">
      <c r="A7813">
        <v>25625</v>
      </c>
      <c r="B7813" t="s">
        <v>14845</v>
      </c>
      <c r="C7813" s="3">
        <v>40740</v>
      </c>
      <c r="D7813" t="s">
        <v>62</v>
      </c>
      <c r="E7813">
        <v>14</v>
      </c>
      <c r="F7813" s="3">
        <f ca="1">40742+(RANDBETWEEN(1,10))</f>
        <v>40744</v>
      </c>
      <c r="G7813" t="s">
        <v>156</v>
      </c>
      <c r="H7813" t="s">
        <v>27</v>
      </c>
      <c r="I7813" t="s">
        <v>86</v>
      </c>
      <c r="J7813">
        <v>2618.35</v>
      </c>
      <c r="K7813">
        <v>0.08</v>
      </c>
      <c r="L7813">
        <v>0.57999999999999996</v>
      </c>
      <c r="M7813">
        <v>17.465</v>
      </c>
      <c r="N7813">
        <v>1739.115</v>
      </c>
      <c r="O7813" s="1" t="s">
        <v>40</v>
      </c>
      <c r="P7813" s="1" t="s">
        <v>13811</v>
      </c>
      <c r="Q7813" s="1" t="s">
        <v>13812</v>
      </c>
      <c r="R7813" s="1" t="s">
        <v>43</v>
      </c>
      <c r="S7813" s="1" t="s">
        <v>1598</v>
      </c>
      <c r="T7813" s="1" t="s">
        <v>13813</v>
      </c>
      <c r="U7813" s="2" t="s">
        <v>9193</v>
      </c>
      <c r="V7813" s="2" t="s">
        <v>36</v>
      </c>
      <c r="W7813" s="2" t="s">
        <v>37</v>
      </c>
      <c r="X7813" s="2">
        <v>230.965</v>
      </c>
    </row>
    <row r="7814" spans="1:24" x14ac:dyDescent="0.3">
      <c r="A7814">
        <v>25626</v>
      </c>
      <c r="B7814" t="s">
        <v>14846</v>
      </c>
      <c r="C7814" s="3">
        <v>41186</v>
      </c>
      <c r="D7814" t="s">
        <v>62</v>
      </c>
      <c r="E7814">
        <v>11</v>
      </c>
      <c r="F7814" s="3">
        <f ca="1">41188+(RANDBETWEEN(1,10))</f>
        <v>41195</v>
      </c>
      <c r="G7814" t="s">
        <v>26</v>
      </c>
      <c r="H7814" t="s">
        <v>51</v>
      </c>
      <c r="I7814" t="s">
        <v>97</v>
      </c>
      <c r="J7814">
        <v>839.89499999999998</v>
      </c>
      <c r="K7814">
        <v>0.01</v>
      </c>
      <c r="L7814">
        <v>0.46</v>
      </c>
      <c r="M7814">
        <v>31.465</v>
      </c>
      <c r="N7814">
        <v>141.26140000000001</v>
      </c>
      <c r="O7814" s="1" t="s">
        <v>29</v>
      </c>
      <c r="P7814" s="1" t="s">
        <v>14847</v>
      </c>
      <c r="Q7814" s="1" t="s">
        <v>14848</v>
      </c>
      <c r="R7814" s="1" t="s">
        <v>675</v>
      </c>
      <c r="S7814" s="1" t="s">
        <v>676</v>
      </c>
      <c r="T7814" s="1" t="s">
        <v>677</v>
      </c>
      <c r="U7814" s="2" t="s">
        <v>10613</v>
      </c>
      <c r="V7814" s="2" t="s">
        <v>83</v>
      </c>
      <c r="W7814" s="2" t="s">
        <v>178</v>
      </c>
      <c r="X7814" s="2">
        <v>70.84</v>
      </c>
    </row>
    <row r="7815" spans="1:24" x14ac:dyDescent="0.3">
      <c r="A7815">
        <v>25627</v>
      </c>
      <c r="B7815" t="s">
        <v>14849</v>
      </c>
      <c r="C7815" s="3">
        <v>41249</v>
      </c>
      <c r="D7815" t="s">
        <v>39</v>
      </c>
      <c r="E7815">
        <v>12</v>
      </c>
      <c r="F7815" s="3">
        <f ca="1">41251+(RANDBETWEEN(1,10))</f>
        <v>41261</v>
      </c>
      <c r="G7815" t="s">
        <v>156</v>
      </c>
      <c r="H7815" t="s">
        <v>27</v>
      </c>
      <c r="I7815" t="s">
        <v>28</v>
      </c>
      <c r="J7815">
        <v>2417.1350000000002</v>
      </c>
      <c r="K7815">
        <v>0.04</v>
      </c>
      <c r="L7815">
        <v>0.55000000000000004</v>
      </c>
      <c r="M7815">
        <v>20.72</v>
      </c>
      <c r="N7815">
        <v>1667.8231499999999</v>
      </c>
      <c r="O7815" s="1" t="s">
        <v>225</v>
      </c>
      <c r="P7815" s="1" t="s">
        <v>12149</v>
      </c>
      <c r="Q7815" s="1" t="s">
        <v>12150</v>
      </c>
      <c r="R7815" s="1" t="s">
        <v>391</v>
      </c>
      <c r="S7815" s="1" t="s">
        <v>4320</v>
      </c>
      <c r="T7815" s="1" t="s">
        <v>4321</v>
      </c>
      <c r="U7815" s="2">
        <v>252</v>
      </c>
      <c r="V7815" s="2" t="s">
        <v>36</v>
      </c>
      <c r="W7815" s="2" t="s">
        <v>37</v>
      </c>
      <c r="X7815" s="2">
        <v>230.965</v>
      </c>
    </row>
    <row r="7816" spans="1:24" x14ac:dyDescent="0.3">
      <c r="A7816">
        <v>25628</v>
      </c>
      <c r="B7816" t="s">
        <v>14850</v>
      </c>
      <c r="C7816" s="3">
        <v>40757</v>
      </c>
      <c r="D7816" t="s">
        <v>148</v>
      </c>
      <c r="E7816">
        <v>14</v>
      </c>
      <c r="F7816" s="3">
        <f ca="1">40759+(RANDBETWEEN(1,10))</f>
        <v>40761</v>
      </c>
      <c r="G7816" t="s">
        <v>26</v>
      </c>
      <c r="H7816" t="s">
        <v>27</v>
      </c>
      <c r="I7816" t="s">
        <v>86</v>
      </c>
      <c r="J7816">
        <v>310.97500000000002</v>
      </c>
      <c r="K7816">
        <v>0.09</v>
      </c>
      <c r="L7816">
        <v>0.53</v>
      </c>
      <c r="M7816">
        <v>18.934999999999999</v>
      </c>
      <c r="N7816">
        <v>-112.0938</v>
      </c>
      <c r="O7816" s="1" t="s">
        <v>53</v>
      </c>
      <c r="P7816" s="1" t="s">
        <v>7582</v>
      </c>
      <c r="Q7816" s="1" t="s">
        <v>7583</v>
      </c>
      <c r="R7816" s="1" t="s">
        <v>440</v>
      </c>
      <c r="S7816" s="1" t="s">
        <v>3776</v>
      </c>
      <c r="T7816" s="1" t="s">
        <v>3777</v>
      </c>
      <c r="U7816" s="2" t="s">
        <v>5637</v>
      </c>
      <c r="V7816" s="2" t="s">
        <v>83</v>
      </c>
      <c r="W7816" s="2" t="s">
        <v>178</v>
      </c>
      <c r="X7816" s="2">
        <v>21.98</v>
      </c>
    </row>
    <row r="7817" spans="1:24" x14ac:dyDescent="0.3">
      <c r="A7817">
        <v>25629</v>
      </c>
      <c r="B7817" t="s">
        <v>14851</v>
      </c>
      <c r="C7817" s="3">
        <v>41437</v>
      </c>
      <c r="D7817" t="s">
        <v>25</v>
      </c>
      <c r="E7817">
        <v>12</v>
      </c>
      <c r="F7817" s="3">
        <f ca="1">41441+(RANDBETWEEN(1,10))</f>
        <v>41446</v>
      </c>
      <c r="G7817" t="s">
        <v>76</v>
      </c>
      <c r="H7817" t="s">
        <v>258</v>
      </c>
      <c r="I7817" t="s">
        <v>86</v>
      </c>
      <c r="J7817">
        <v>2957.3249999999998</v>
      </c>
      <c r="K7817">
        <v>0.05</v>
      </c>
      <c r="L7817" t="s">
        <v>182</v>
      </c>
      <c r="M7817">
        <v>93.974999999999994</v>
      </c>
      <c r="N7817">
        <v>-42.811999999999998</v>
      </c>
      <c r="O7817" s="1" t="s">
        <v>53</v>
      </c>
      <c r="P7817" s="1" t="s">
        <v>14852</v>
      </c>
      <c r="Q7817" s="1" t="s">
        <v>14853</v>
      </c>
      <c r="R7817" s="1" t="s">
        <v>100</v>
      </c>
      <c r="S7817" s="1" t="s">
        <v>4265</v>
      </c>
      <c r="T7817" s="1" t="s">
        <v>3707</v>
      </c>
      <c r="U7817" s="2" t="s">
        <v>9883</v>
      </c>
      <c r="V7817" s="2" t="s">
        <v>83</v>
      </c>
      <c r="W7817" s="2" t="s">
        <v>298</v>
      </c>
      <c r="X7817" s="2">
        <v>248.43</v>
      </c>
    </row>
    <row r="7818" spans="1:24" x14ac:dyDescent="0.3">
      <c r="A7818">
        <v>2563</v>
      </c>
      <c r="B7818" t="s">
        <v>14854</v>
      </c>
      <c r="C7818" s="3">
        <v>41274</v>
      </c>
      <c r="D7818" t="s">
        <v>50</v>
      </c>
      <c r="E7818">
        <v>4</v>
      </c>
      <c r="F7818" s="3">
        <f ca="1">41274+(RANDBETWEEN(1,10))</f>
        <v>41281</v>
      </c>
      <c r="G7818" t="s">
        <v>26</v>
      </c>
      <c r="H7818" t="s">
        <v>27</v>
      </c>
      <c r="I7818" t="s">
        <v>28</v>
      </c>
      <c r="J7818">
        <v>392.91</v>
      </c>
      <c r="K7818">
        <v>0.02</v>
      </c>
      <c r="L7818">
        <v>0.47</v>
      </c>
      <c r="M7818">
        <v>50.365000000000002</v>
      </c>
      <c r="N7818">
        <v>170.97499999999999</v>
      </c>
      <c r="O7818" s="1" t="s">
        <v>64</v>
      </c>
      <c r="P7818" s="1" t="s">
        <v>214</v>
      </c>
      <c r="Q7818" s="1" t="s">
        <v>215</v>
      </c>
      <c r="R7818" s="1" t="s">
        <v>67</v>
      </c>
      <c r="S7818" s="1" t="s">
        <v>68</v>
      </c>
      <c r="T7818" s="1" t="s">
        <v>69</v>
      </c>
      <c r="U7818" s="2" t="s">
        <v>3841</v>
      </c>
      <c r="V7818" s="2" t="s">
        <v>83</v>
      </c>
      <c r="W7818" s="2" t="s">
        <v>178</v>
      </c>
      <c r="X7818" s="2">
        <v>70.98</v>
      </c>
    </row>
    <row r="7819" spans="1:24" x14ac:dyDescent="0.3">
      <c r="A7819">
        <v>25630</v>
      </c>
      <c r="B7819" t="s">
        <v>14851</v>
      </c>
      <c r="C7819" s="3">
        <v>41437</v>
      </c>
      <c r="D7819" t="s">
        <v>25</v>
      </c>
      <c r="E7819">
        <v>14</v>
      </c>
      <c r="F7819" s="3">
        <f ca="1">41439+(RANDBETWEEN(1,10))</f>
        <v>41447</v>
      </c>
      <c r="G7819" t="s">
        <v>26</v>
      </c>
      <c r="H7819" t="s">
        <v>27</v>
      </c>
      <c r="I7819" t="s">
        <v>86</v>
      </c>
      <c r="J7819">
        <v>222.565</v>
      </c>
      <c r="K7819">
        <v>0.03</v>
      </c>
      <c r="L7819">
        <v>0.49</v>
      </c>
      <c r="M7819">
        <v>24.22</v>
      </c>
      <c r="N7819">
        <v>-374.55599999999998</v>
      </c>
      <c r="O7819" s="1" t="s">
        <v>64</v>
      </c>
      <c r="P7819" s="1" t="s">
        <v>14855</v>
      </c>
      <c r="Q7819" s="1" t="s">
        <v>14856</v>
      </c>
      <c r="R7819" s="1" t="s">
        <v>128</v>
      </c>
      <c r="S7819" s="1" t="s">
        <v>14857</v>
      </c>
      <c r="T7819" s="1" t="s">
        <v>14858</v>
      </c>
      <c r="U7819" s="2" t="s">
        <v>6098</v>
      </c>
      <c r="V7819" s="2" t="s">
        <v>83</v>
      </c>
      <c r="W7819" s="2" t="s">
        <v>178</v>
      </c>
      <c r="X7819" s="2">
        <v>14.63</v>
      </c>
    </row>
    <row r="7820" spans="1:24" x14ac:dyDescent="0.3">
      <c r="A7820">
        <v>25631</v>
      </c>
      <c r="B7820" t="s">
        <v>14859</v>
      </c>
      <c r="C7820" s="3">
        <v>40661</v>
      </c>
      <c r="D7820" t="s">
        <v>148</v>
      </c>
      <c r="E7820">
        <v>8</v>
      </c>
      <c r="F7820" s="3">
        <f ca="1">40663+(RANDBETWEEN(1,10))</f>
        <v>40666</v>
      </c>
      <c r="G7820" t="s">
        <v>26</v>
      </c>
      <c r="H7820" t="s">
        <v>51</v>
      </c>
      <c r="I7820" t="s">
        <v>86</v>
      </c>
      <c r="J7820">
        <v>233.59</v>
      </c>
      <c r="K7820">
        <v>0.02</v>
      </c>
      <c r="L7820">
        <v>0.59</v>
      </c>
      <c r="M7820">
        <v>9.24</v>
      </c>
      <c r="N7820">
        <v>23.765000000000001</v>
      </c>
      <c r="O7820" s="1" t="s">
        <v>225</v>
      </c>
      <c r="P7820" s="1" t="s">
        <v>14860</v>
      </c>
      <c r="Q7820" s="1" t="s">
        <v>14861</v>
      </c>
      <c r="R7820" s="1" t="s">
        <v>228</v>
      </c>
      <c r="S7820" s="1" t="s">
        <v>14862</v>
      </c>
      <c r="T7820" s="1" t="s">
        <v>14863</v>
      </c>
      <c r="U7820" s="2" t="s">
        <v>6942</v>
      </c>
      <c r="V7820" s="2" t="s">
        <v>47</v>
      </c>
      <c r="W7820" s="2" t="s">
        <v>94</v>
      </c>
      <c r="X7820" s="2">
        <v>29.19</v>
      </c>
    </row>
    <row r="7821" spans="1:24" x14ac:dyDescent="0.3">
      <c r="A7821">
        <v>25632</v>
      </c>
      <c r="B7821" t="s">
        <v>14859</v>
      </c>
      <c r="C7821" s="3">
        <v>40661</v>
      </c>
      <c r="D7821" t="s">
        <v>148</v>
      </c>
      <c r="E7821">
        <v>10</v>
      </c>
      <c r="F7821" s="3">
        <f ca="1">40664+(RANDBETWEEN(1,10))</f>
        <v>40671</v>
      </c>
      <c r="G7821" t="s">
        <v>76</v>
      </c>
      <c r="H7821" t="s">
        <v>77</v>
      </c>
      <c r="I7821" t="s">
        <v>86</v>
      </c>
      <c r="J7821">
        <v>4489.3450000000003</v>
      </c>
      <c r="K7821">
        <v>0.09</v>
      </c>
      <c r="L7821">
        <v>0.78</v>
      </c>
      <c r="M7821">
        <v>105</v>
      </c>
      <c r="N7821">
        <v>-1476.16</v>
      </c>
      <c r="O7821" s="1" t="s">
        <v>53</v>
      </c>
      <c r="P7821" s="1" t="s">
        <v>14864</v>
      </c>
      <c r="Q7821" s="1" t="s">
        <v>14865</v>
      </c>
      <c r="R7821" s="1" t="s">
        <v>100</v>
      </c>
      <c r="S7821" s="1" t="s">
        <v>3040</v>
      </c>
      <c r="T7821" s="1" t="s">
        <v>3041</v>
      </c>
      <c r="U7821" s="2" t="s">
        <v>2894</v>
      </c>
      <c r="V7821" s="2" t="s">
        <v>83</v>
      </c>
      <c r="W7821" s="2" t="s">
        <v>84</v>
      </c>
      <c r="X7821" s="2">
        <v>458.43</v>
      </c>
    </row>
    <row r="7822" spans="1:24" x14ac:dyDescent="0.3">
      <c r="A7822">
        <v>25633</v>
      </c>
      <c r="B7822" t="s">
        <v>14866</v>
      </c>
      <c r="C7822" s="3">
        <v>41065</v>
      </c>
      <c r="D7822" t="s">
        <v>39</v>
      </c>
      <c r="E7822">
        <v>8</v>
      </c>
      <c r="F7822" s="3">
        <f ca="1">41066+(RANDBETWEEN(1,10))</f>
        <v>41069</v>
      </c>
      <c r="G7822" t="s">
        <v>26</v>
      </c>
      <c r="H7822" t="s">
        <v>51</v>
      </c>
      <c r="I7822" t="s">
        <v>97</v>
      </c>
      <c r="J7822">
        <v>628.32000000000005</v>
      </c>
      <c r="K7822">
        <v>7.0000000000000007E-2</v>
      </c>
      <c r="L7822">
        <v>0.46</v>
      </c>
      <c r="M7822">
        <v>6.9649999999999999</v>
      </c>
      <c r="N7822">
        <v>433.54079999999999</v>
      </c>
      <c r="O7822" s="1" t="s">
        <v>87</v>
      </c>
      <c r="P7822" s="1" t="s">
        <v>9167</v>
      </c>
      <c r="Q7822" s="1" t="s">
        <v>9168</v>
      </c>
      <c r="R7822" s="1" t="s">
        <v>398</v>
      </c>
      <c r="S7822" s="1" t="s">
        <v>9169</v>
      </c>
      <c r="T7822" s="1" t="s">
        <v>9170</v>
      </c>
      <c r="U7822" s="2" t="s">
        <v>1595</v>
      </c>
      <c r="V7822" s="2" t="s">
        <v>36</v>
      </c>
      <c r="W7822" s="2" t="s">
        <v>60</v>
      </c>
      <c r="X7822" s="2">
        <v>80.430000000000007</v>
      </c>
    </row>
    <row r="7823" spans="1:24" x14ac:dyDescent="0.3">
      <c r="A7823">
        <v>25634</v>
      </c>
      <c r="B7823" t="s">
        <v>14867</v>
      </c>
      <c r="C7823" s="3">
        <v>41861</v>
      </c>
      <c r="D7823" t="s">
        <v>25</v>
      </c>
      <c r="E7823">
        <v>6</v>
      </c>
      <c r="F7823" s="3">
        <f ca="1">41865+(RANDBETWEEN(1,10))</f>
        <v>41867</v>
      </c>
      <c r="G7823" t="s">
        <v>26</v>
      </c>
      <c r="H7823" t="s">
        <v>27</v>
      </c>
      <c r="I7823" t="s">
        <v>97</v>
      </c>
      <c r="J7823">
        <v>139.79</v>
      </c>
      <c r="K7823">
        <v>0.06</v>
      </c>
      <c r="L7823">
        <v>0.37</v>
      </c>
      <c r="M7823">
        <v>21.77</v>
      </c>
      <c r="N7823">
        <v>-51.242519999999999</v>
      </c>
      <c r="O7823" s="1" t="s">
        <v>53</v>
      </c>
      <c r="P7823" s="1" t="s">
        <v>7284</v>
      </c>
      <c r="Q7823" s="1" t="s">
        <v>7285</v>
      </c>
      <c r="R7823" s="1" t="s">
        <v>440</v>
      </c>
      <c r="S7823" s="1" t="s">
        <v>7286</v>
      </c>
      <c r="T7823" s="1" t="s">
        <v>2516</v>
      </c>
      <c r="U7823" s="2" t="s">
        <v>4158</v>
      </c>
      <c r="V7823" s="2" t="s">
        <v>47</v>
      </c>
      <c r="W7823" s="2" t="s">
        <v>74</v>
      </c>
      <c r="X7823" s="2">
        <v>22.68</v>
      </c>
    </row>
    <row r="7824" spans="1:24" x14ac:dyDescent="0.3">
      <c r="A7824">
        <v>25635</v>
      </c>
      <c r="B7824" t="s">
        <v>14868</v>
      </c>
      <c r="C7824" s="3">
        <v>41962</v>
      </c>
      <c r="D7824" t="s">
        <v>39</v>
      </c>
      <c r="E7824">
        <v>20</v>
      </c>
      <c r="F7824" s="3">
        <f ca="1">41964+(RANDBETWEEN(1,10))</f>
        <v>41973</v>
      </c>
      <c r="G7824" t="s">
        <v>156</v>
      </c>
      <c r="H7824" t="s">
        <v>27</v>
      </c>
      <c r="I7824" t="s">
        <v>28</v>
      </c>
      <c r="J7824">
        <v>348.46</v>
      </c>
      <c r="K7824">
        <v>0.09</v>
      </c>
      <c r="L7824">
        <v>0.36</v>
      </c>
      <c r="M7824">
        <v>20.405000000000001</v>
      </c>
      <c r="N7824">
        <v>119.115528</v>
      </c>
      <c r="O7824" s="1" t="s">
        <v>40</v>
      </c>
      <c r="P7824" s="1" t="s">
        <v>12977</v>
      </c>
      <c r="Q7824" s="1" t="s">
        <v>12978</v>
      </c>
      <c r="R7824" s="1" t="s">
        <v>43</v>
      </c>
      <c r="S7824" s="1" t="s">
        <v>2105</v>
      </c>
      <c r="T7824" s="1" t="s">
        <v>2106</v>
      </c>
      <c r="U7824" s="2" t="s">
        <v>6429</v>
      </c>
      <c r="V7824" s="2" t="s">
        <v>47</v>
      </c>
      <c r="W7824" s="2" t="s">
        <v>111</v>
      </c>
      <c r="X7824" s="2">
        <v>15.89</v>
      </c>
    </row>
    <row r="7825" spans="1:24" x14ac:dyDescent="0.3">
      <c r="A7825">
        <v>25636</v>
      </c>
      <c r="B7825" t="s">
        <v>14869</v>
      </c>
      <c r="C7825" s="3">
        <v>41501</v>
      </c>
      <c r="D7825" t="s">
        <v>39</v>
      </c>
      <c r="E7825">
        <v>19</v>
      </c>
      <c r="F7825" s="3">
        <f ca="1">41501+(RANDBETWEEN(1,10))</f>
        <v>41506</v>
      </c>
      <c r="G7825" t="s">
        <v>26</v>
      </c>
      <c r="H7825" t="s">
        <v>27</v>
      </c>
      <c r="I7825" t="s">
        <v>28</v>
      </c>
      <c r="J7825">
        <v>460.07499999999999</v>
      </c>
      <c r="K7825">
        <v>0.06</v>
      </c>
      <c r="L7825">
        <v>0.37</v>
      </c>
      <c r="M7825">
        <v>18.2</v>
      </c>
      <c r="N7825">
        <v>-76.403599999999997</v>
      </c>
      <c r="O7825" s="1" t="s">
        <v>87</v>
      </c>
      <c r="P7825" s="1" t="s">
        <v>8469</v>
      </c>
      <c r="Q7825" s="1" t="s">
        <v>8470</v>
      </c>
      <c r="R7825" s="1" t="s">
        <v>90</v>
      </c>
      <c r="S7825" s="1" t="s">
        <v>8471</v>
      </c>
      <c r="T7825" s="1" t="s">
        <v>8472</v>
      </c>
      <c r="U7825" s="2" t="s">
        <v>4079</v>
      </c>
      <c r="V7825" s="2" t="s">
        <v>47</v>
      </c>
      <c r="W7825" s="2" t="s">
        <v>74</v>
      </c>
      <c r="X7825" s="2">
        <v>23.38</v>
      </c>
    </row>
    <row r="7826" spans="1:24" x14ac:dyDescent="0.3">
      <c r="A7826">
        <v>25637</v>
      </c>
      <c r="B7826" t="s">
        <v>14870</v>
      </c>
      <c r="C7826" s="3">
        <v>41703</v>
      </c>
      <c r="D7826" t="s">
        <v>148</v>
      </c>
      <c r="E7826">
        <v>4</v>
      </c>
      <c r="F7826" s="3">
        <f ca="1">41703+(RANDBETWEEN(1,10))</f>
        <v>41705</v>
      </c>
      <c r="G7826" t="s">
        <v>26</v>
      </c>
      <c r="H7826" t="s">
        <v>96</v>
      </c>
      <c r="I7826" t="s">
        <v>97</v>
      </c>
      <c r="J7826">
        <v>38.185000000000002</v>
      </c>
      <c r="K7826">
        <v>0.05</v>
      </c>
      <c r="L7826">
        <v>0.59</v>
      </c>
      <c r="M7826">
        <v>3.395</v>
      </c>
      <c r="N7826">
        <v>-12.845000000000001</v>
      </c>
      <c r="O7826" s="1" t="s">
        <v>40</v>
      </c>
      <c r="P7826" s="1" t="s">
        <v>10903</v>
      </c>
      <c r="Q7826" s="1" t="s">
        <v>10904</v>
      </c>
      <c r="R7826" s="1" t="s">
        <v>43</v>
      </c>
      <c r="S7826" s="1" t="s">
        <v>2411</v>
      </c>
      <c r="T7826" s="1" t="s">
        <v>10905</v>
      </c>
      <c r="U7826" s="2" t="s">
        <v>12490</v>
      </c>
      <c r="V7826" s="2" t="s">
        <v>47</v>
      </c>
      <c r="W7826" s="2" t="s">
        <v>104</v>
      </c>
      <c r="X7826" s="2">
        <v>9.73</v>
      </c>
    </row>
    <row r="7827" spans="1:24" x14ac:dyDescent="0.3">
      <c r="A7827">
        <v>25638</v>
      </c>
      <c r="B7827" t="s">
        <v>14871</v>
      </c>
      <c r="C7827" s="3">
        <v>40973</v>
      </c>
      <c r="D7827" t="s">
        <v>148</v>
      </c>
      <c r="E7827">
        <v>7</v>
      </c>
      <c r="F7827" s="3">
        <f ca="1">40975+(RANDBETWEEN(1,10))</f>
        <v>40978</v>
      </c>
      <c r="G7827" t="s">
        <v>26</v>
      </c>
      <c r="H7827" t="s">
        <v>27</v>
      </c>
      <c r="I7827" t="s">
        <v>97</v>
      </c>
      <c r="J7827">
        <v>2248.9949999999999</v>
      </c>
      <c r="K7827">
        <v>0.09</v>
      </c>
      <c r="L7827">
        <v>0.57999999999999996</v>
      </c>
      <c r="M7827">
        <v>31.465</v>
      </c>
      <c r="N7827">
        <v>871.85699999999997</v>
      </c>
      <c r="O7827" s="1" t="s">
        <v>40</v>
      </c>
      <c r="P7827" s="1" t="s">
        <v>10903</v>
      </c>
      <c r="Q7827" s="1" t="s">
        <v>10904</v>
      </c>
      <c r="R7827" s="1" t="s">
        <v>43</v>
      </c>
      <c r="S7827" s="1" t="s">
        <v>2411</v>
      </c>
      <c r="T7827" s="1" t="s">
        <v>10905</v>
      </c>
      <c r="U7827" s="2">
        <v>5185</v>
      </c>
      <c r="V7827" s="2" t="s">
        <v>36</v>
      </c>
      <c r="W7827" s="2" t="s">
        <v>37</v>
      </c>
      <c r="X7827" s="2">
        <v>405.96499999999997</v>
      </c>
    </row>
    <row r="7828" spans="1:24" x14ac:dyDescent="0.3">
      <c r="A7828">
        <v>25639</v>
      </c>
      <c r="B7828" t="s">
        <v>14872</v>
      </c>
      <c r="C7828" s="3">
        <v>41901</v>
      </c>
      <c r="D7828" t="s">
        <v>62</v>
      </c>
      <c r="E7828">
        <v>23</v>
      </c>
      <c r="F7828" s="3">
        <f ca="1">41901+(RANDBETWEEN(1,10))</f>
        <v>41905</v>
      </c>
      <c r="G7828" t="s">
        <v>26</v>
      </c>
      <c r="H7828" t="s">
        <v>27</v>
      </c>
      <c r="I7828" t="s">
        <v>52</v>
      </c>
      <c r="J7828">
        <v>210.84</v>
      </c>
      <c r="K7828">
        <v>0.08</v>
      </c>
      <c r="L7828">
        <v>0.36</v>
      </c>
      <c r="M7828">
        <v>22.225000000000001</v>
      </c>
      <c r="N7828">
        <v>-649.15200000000004</v>
      </c>
      <c r="O7828" s="1" t="s">
        <v>64</v>
      </c>
      <c r="P7828" s="1" t="s">
        <v>12420</v>
      </c>
      <c r="Q7828" s="1" t="s">
        <v>12421</v>
      </c>
      <c r="R7828" s="1" t="s">
        <v>128</v>
      </c>
      <c r="S7828" s="1" t="s">
        <v>12422</v>
      </c>
      <c r="T7828" s="1" t="s">
        <v>12423</v>
      </c>
      <c r="U7828" s="2" t="s">
        <v>9272</v>
      </c>
      <c r="V7828" s="2" t="s">
        <v>47</v>
      </c>
      <c r="W7828" s="2" t="s">
        <v>48</v>
      </c>
      <c r="X7828" s="2">
        <v>9.31</v>
      </c>
    </row>
    <row r="7829" spans="1:24" x14ac:dyDescent="0.3">
      <c r="A7829">
        <v>2564</v>
      </c>
      <c r="B7829" t="s">
        <v>14854</v>
      </c>
      <c r="C7829" s="3">
        <v>41274</v>
      </c>
      <c r="D7829" t="s">
        <v>50</v>
      </c>
      <c r="E7829">
        <v>46</v>
      </c>
      <c r="F7829" s="3">
        <f ca="1">41276+(RANDBETWEEN(1,10))</f>
        <v>41277</v>
      </c>
      <c r="G7829" t="s">
        <v>26</v>
      </c>
      <c r="H7829" t="s">
        <v>27</v>
      </c>
      <c r="I7829" t="s">
        <v>28</v>
      </c>
      <c r="J7829">
        <v>9605.4</v>
      </c>
      <c r="K7829">
        <v>0</v>
      </c>
      <c r="L7829">
        <v>0.57999999999999996</v>
      </c>
      <c r="M7829">
        <v>20.965</v>
      </c>
      <c r="N7829">
        <v>1002.2670000000001</v>
      </c>
      <c r="O7829" s="1" t="s">
        <v>64</v>
      </c>
      <c r="P7829" s="1" t="s">
        <v>214</v>
      </c>
      <c r="Q7829" s="1" t="s">
        <v>215</v>
      </c>
      <c r="R7829" s="1" t="s">
        <v>67</v>
      </c>
      <c r="S7829" s="1" t="s">
        <v>68</v>
      </c>
      <c r="T7829" s="1" t="s">
        <v>69</v>
      </c>
      <c r="U7829" s="2" t="s">
        <v>326</v>
      </c>
      <c r="V7829" s="2" t="s">
        <v>36</v>
      </c>
      <c r="W7829" s="2" t="s">
        <v>37</v>
      </c>
      <c r="X7829" s="2">
        <v>230.965</v>
      </c>
    </row>
    <row r="7830" spans="1:24" x14ac:dyDescent="0.3">
      <c r="A7830">
        <v>25640</v>
      </c>
      <c r="B7830" t="s">
        <v>14150</v>
      </c>
      <c r="C7830" s="3">
        <v>41930</v>
      </c>
      <c r="D7830" t="s">
        <v>50</v>
      </c>
      <c r="E7830">
        <v>10</v>
      </c>
      <c r="F7830" s="3">
        <f ca="1">41931+(RANDBETWEEN(1,10))</f>
        <v>41937</v>
      </c>
      <c r="G7830" t="s">
        <v>76</v>
      </c>
      <c r="H7830" t="s">
        <v>258</v>
      </c>
      <c r="I7830" t="s">
        <v>28</v>
      </c>
      <c r="J7830">
        <v>3688.6149999999998</v>
      </c>
      <c r="K7830">
        <v>0</v>
      </c>
      <c r="L7830">
        <v>0.6</v>
      </c>
      <c r="M7830">
        <v>91.77</v>
      </c>
      <c r="N7830">
        <v>528.81500000000005</v>
      </c>
      <c r="O7830" s="1" t="s">
        <v>87</v>
      </c>
      <c r="P7830" s="1" t="s">
        <v>12827</v>
      </c>
      <c r="Q7830" s="1" t="s">
        <v>12828</v>
      </c>
      <c r="R7830" s="1" t="s">
        <v>646</v>
      </c>
      <c r="S7830" s="1" t="s">
        <v>3486</v>
      </c>
      <c r="T7830" s="1" t="s">
        <v>3487</v>
      </c>
      <c r="U7830" s="2" t="s">
        <v>1151</v>
      </c>
      <c r="V7830" s="2" t="s">
        <v>83</v>
      </c>
      <c r="W7830" s="2" t="s">
        <v>298</v>
      </c>
      <c r="X7830" s="2">
        <v>353.43</v>
      </c>
    </row>
    <row r="7831" spans="1:24" x14ac:dyDescent="0.3">
      <c r="A7831">
        <v>25641</v>
      </c>
      <c r="B7831" t="s">
        <v>14873</v>
      </c>
      <c r="C7831" s="3">
        <v>41256</v>
      </c>
      <c r="D7831" t="s">
        <v>148</v>
      </c>
      <c r="E7831">
        <v>13</v>
      </c>
      <c r="F7831" s="3">
        <f ca="1">41257+(RANDBETWEEN(1,10))</f>
        <v>41266</v>
      </c>
      <c r="G7831" t="s">
        <v>26</v>
      </c>
      <c r="H7831" t="s">
        <v>27</v>
      </c>
      <c r="I7831" t="s">
        <v>86</v>
      </c>
      <c r="J7831">
        <v>2239.125</v>
      </c>
      <c r="K7831">
        <v>0.02</v>
      </c>
      <c r="L7831">
        <v>0.37</v>
      </c>
      <c r="M7831">
        <v>25.305</v>
      </c>
      <c r="N7831">
        <v>1544.9962499999999</v>
      </c>
      <c r="O7831" s="1" t="s">
        <v>40</v>
      </c>
      <c r="P7831" s="1" t="s">
        <v>14824</v>
      </c>
      <c r="Q7831" s="1" t="s">
        <v>14825</v>
      </c>
      <c r="R7831" s="1" t="s">
        <v>220</v>
      </c>
      <c r="S7831" s="1" t="s">
        <v>6977</v>
      </c>
      <c r="T7831" s="1" t="s">
        <v>6978</v>
      </c>
      <c r="U7831" s="2" t="s">
        <v>2593</v>
      </c>
      <c r="V7831" s="2" t="s">
        <v>47</v>
      </c>
      <c r="W7831" s="2" t="s">
        <v>74</v>
      </c>
      <c r="X7831" s="2">
        <v>168.14</v>
      </c>
    </row>
    <row r="7832" spans="1:24" x14ac:dyDescent="0.3">
      <c r="A7832">
        <v>25642</v>
      </c>
      <c r="B7832" t="s">
        <v>14874</v>
      </c>
      <c r="C7832" s="3">
        <v>41747</v>
      </c>
      <c r="D7832" t="s">
        <v>148</v>
      </c>
      <c r="E7832">
        <v>9</v>
      </c>
      <c r="F7832" s="3">
        <f ca="1">41748+(RANDBETWEEN(1,10))</f>
        <v>41758</v>
      </c>
      <c r="G7832" t="s">
        <v>26</v>
      </c>
      <c r="H7832" t="s">
        <v>27</v>
      </c>
      <c r="I7832" t="s">
        <v>28</v>
      </c>
      <c r="J7832">
        <v>4122.335</v>
      </c>
      <c r="K7832">
        <v>0.06</v>
      </c>
      <c r="L7832">
        <v>0.55000000000000004</v>
      </c>
      <c r="M7832">
        <v>13.65</v>
      </c>
      <c r="N7832">
        <v>2844.4111499999999</v>
      </c>
      <c r="O7832" s="1" t="s">
        <v>87</v>
      </c>
      <c r="P7832" s="1" t="s">
        <v>10622</v>
      </c>
      <c r="Q7832" s="1" t="s">
        <v>10623</v>
      </c>
      <c r="R7832" s="1" t="s">
        <v>646</v>
      </c>
      <c r="S7832" s="1" t="s">
        <v>6024</v>
      </c>
      <c r="T7832" s="1" t="s">
        <v>6025</v>
      </c>
      <c r="U7832" s="2" t="s">
        <v>1983</v>
      </c>
      <c r="V7832" s="2" t="s">
        <v>36</v>
      </c>
      <c r="W7832" s="2" t="s">
        <v>37</v>
      </c>
      <c r="X7832" s="2">
        <v>545.96500000000003</v>
      </c>
    </row>
    <row r="7833" spans="1:24" x14ac:dyDescent="0.3">
      <c r="A7833">
        <v>25643</v>
      </c>
      <c r="B7833" t="s">
        <v>14875</v>
      </c>
      <c r="C7833" s="3">
        <v>41980</v>
      </c>
      <c r="D7833" t="s">
        <v>62</v>
      </c>
      <c r="E7833">
        <v>22</v>
      </c>
      <c r="F7833" s="3">
        <f ca="1">41983+(RANDBETWEEN(1,10))</f>
        <v>41985</v>
      </c>
      <c r="G7833" t="s">
        <v>26</v>
      </c>
      <c r="H7833" t="s">
        <v>27</v>
      </c>
      <c r="I7833" t="s">
        <v>97</v>
      </c>
      <c r="J7833">
        <v>5988.29</v>
      </c>
      <c r="K7833">
        <v>0</v>
      </c>
      <c r="L7833">
        <v>0.77</v>
      </c>
      <c r="M7833">
        <v>14</v>
      </c>
      <c r="N7833">
        <v>2583.0604800000001</v>
      </c>
      <c r="O7833" s="1" t="s">
        <v>53</v>
      </c>
      <c r="P7833" s="1" t="s">
        <v>13830</v>
      </c>
      <c r="Q7833" s="1" t="s">
        <v>13831</v>
      </c>
      <c r="R7833" s="1" t="s">
        <v>56</v>
      </c>
      <c r="S7833" s="1" t="s">
        <v>10459</v>
      </c>
      <c r="T7833" s="1" t="s">
        <v>10460</v>
      </c>
      <c r="U7833" s="2" t="s">
        <v>1651</v>
      </c>
      <c r="V7833" s="2" t="s">
        <v>36</v>
      </c>
      <c r="W7833" s="2" t="s">
        <v>60</v>
      </c>
      <c r="X7833" s="2">
        <v>258.93</v>
      </c>
    </row>
    <row r="7834" spans="1:24" x14ac:dyDescent="0.3">
      <c r="A7834">
        <v>25644</v>
      </c>
      <c r="B7834" t="s">
        <v>14876</v>
      </c>
      <c r="C7834" s="3">
        <v>41650</v>
      </c>
      <c r="D7834" t="s">
        <v>50</v>
      </c>
      <c r="E7834">
        <v>8</v>
      </c>
      <c r="F7834" s="3">
        <f ca="1">41652+(RANDBETWEEN(1,10))</f>
        <v>41660</v>
      </c>
      <c r="G7834" t="s">
        <v>26</v>
      </c>
      <c r="H7834" t="s">
        <v>27</v>
      </c>
      <c r="I7834" t="s">
        <v>97</v>
      </c>
      <c r="J7834">
        <v>354.935</v>
      </c>
      <c r="K7834">
        <v>0.08</v>
      </c>
      <c r="L7834">
        <v>0.59</v>
      </c>
      <c r="M7834">
        <v>15.785</v>
      </c>
      <c r="N7834">
        <v>12.012</v>
      </c>
      <c r="O7834" s="1" t="s">
        <v>225</v>
      </c>
      <c r="P7834" s="1" t="s">
        <v>11073</v>
      </c>
      <c r="Q7834" s="1" t="s">
        <v>11074</v>
      </c>
      <c r="R7834" s="1" t="s">
        <v>228</v>
      </c>
      <c r="S7834" s="1" t="s">
        <v>11075</v>
      </c>
      <c r="T7834" s="1" t="s">
        <v>11076</v>
      </c>
      <c r="U7834" s="2" t="s">
        <v>1495</v>
      </c>
      <c r="V7834" s="2" t="s">
        <v>47</v>
      </c>
      <c r="W7834" s="2" t="s">
        <v>119</v>
      </c>
      <c r="X7834" s="2">
        <v>47.18</v>
      </c>
    </row>
    <row r="7835" spans="1:24" x14ac:dyDescent="0.3">
      <c r="A7835">
        <v>25645</v>
      </c>
      <c r="B7835" t="s">
        <v>14877</v>
      </c>
      <c r="C7835" s="3">
        <v>41329</v>
      </c>
      <c r="D7835" t="s">
        <v>39</v>
      </c>
      <c r="E7835">
        <v>2</v>
      </c>
      <c r="F7835" s="3">
        <f ca="1">41330+(RANDBETWEEN(1,10))</f>
        <v>41332</v>
      </c>
      <c r="G7835" t="s">
        <v>26</v>
      </c>
      <c r="H7835" t="s">
        <v>27</v>
      </c>
      <c r="I7835" t="s">
        <v>97</v>
      </c>
      <c r="J7835">
        <v>170.03</v>
      </c>
      <c r="K7835">
        <v>7.0000000000000007E-2</v>
      </c>
      <c r="L7835">
        <v>0.39</v>
      </c>
      <c r="M7835">
        <v>59.045000000000002</v>
      </c>
      <c r="N7835">
        <v>-196.35</v>
      </c>
      <c r="O7835" s="1" t="s">
        <v>64</v>
      </c>
      <c r="P7835" s="1" t="s">
        <v>7403</v>
      </c>
      <c r="Q7835" s="1" t="s">
        <v>7404</v>
      </c>
      <c r="R7835" s="1" t="s">
        <v>67</v>
      </c>
      <c r="S7835" s="1" t="s">
        <v>7405</v>
      </c>
      <c r="T7835" s="1" t="s">
        <v>7406</v>
      </c>
      <c r="U7835" s="2" t="s">
        <v>6800</v>
      </c>
      <c r="V7835" s="2" t="s">
        <v>47</v>
      </c>
      <c r="W7835" s="2" t="s">
        <v>74</v>
      </c>
      <c r="X7835" s="2">
        <v>79.94</v>
      </c>
    </row>
    <row r="7836" spans="1:24" x14ac:dyDescent="0.3">
      <c r="A7836">
        <v>25646</v>
      </c>
      <c r="B7836" t="s">
        <v>14878</v>
      </c>
      <c r="C7836" s="3">
        <v>41993</v>
      </c>
      <c r="D7836" t="s">
        <v>39</v>
      </c>
      <c r="E7836">
        <v>14</v>
      </c>
      <c r="F7836" s="3">
        <f ca="1">41994+(RANDBETWEEN(1,10))</f>
        <v>42003</v>
      </c>
      <c r="G7836" t="s">
        <v>26</v>
      </c>
      <c r="H7836" t="s">
        <v>96</v>
      </c>
      <c r="I7836" t="s">
        <v>28</v>
      </c>
      <c r="J7836">
        <v>1973.7550000000001</v>
      </c>
      <c r="K7836">
        <v>0.01</v>
      </c>
      <c r="L7836">
        <v>0.53</v>
      </c>
      <c r="M7836">
        <v>10.64</v>
      </c>
      <c r="N7836">
        <v>3926.7060000000001</v>
      </c>
      <c r="O7836" s="1" t="s">
        <v>53</v>
      </c>
      <c r="P7836" s="1" t="s">
        <v>14189</v>
      </c>
      <c r="Q7836" s="1" t="s">
        <v>14190</v>
      </c>
      <c r="R7836" s="1" t="s">
        <v>100</v>
      </c>
      <c r="S7836" s="1" t="s">
        <v>14191</v>
      </c>
      <c r="T7836" s="1" t="s">
        <v>14192</v>
      </c>
      <c r="U7836" s="2" t="s">
        <v>1089</v>
      </c>
      <c r="V7836" s="2" t="s">
        <v>83</v>
      </c>
      <c r="W7836" s="2" t="s">
        <v>178</v>
      </c>
      <c r="X7836" s="2">
        <v>139.61500000000001</v>
      </c>
    </row>
    <row r="7837" spans="1:24" x14ac:dyDescent="0.3">
      <c r="A7837">
        <v>25647</v>
      </c>
      <c r="B7837" t="s">
        <v>14878</v>
      </c>
      <c r="C7837" s="3">
        <v>41993</v>
      </c>
      <c r="D7837" t="s">
        <v>39</v>
      </c>
      <c r="E7837">
        <v>21</v>
      </c>
      <c r="F7837" s="3">
        <f ca="1">41995+(RANDBETWEEN(1,10))</f>
        <v>42001</v>
      </c>
      <c r="G7837" t="s">
        <v>26</v>
      </c>
      <c r="H7837" t="s">
        <v>63</v>
      </c>
      <c r="I7837" t="s">
        <v>28</v>
      </c>
      <c r="J7837">
        <v>7478.38</v>
      </c>
      <c r="K7837">
        <v>7.0000000000000007E-2</v>
      </c>
      <c r="L7837">
        <v>0.82</v>
      </c>
      <c r="M7837">
        <v>122.5</v>
      </c>
      <c r="N7837">
        <v>317.94</v>
      </c>
      <c r="O7837" s="1" t="s">
        <v>53</v>
      </c>
      <c r="P7837" s="1" t="s">
        <v>14189</v>
      </c>
      <c r="Q7837" s="1" t="s">
        <v>14190</v>
      </c>
      <c r="R7837" s="1" t="s">
        <v>100</v>
      </c>
      <c r="S7837" s="1" t="s">
        <v>14191</v>
      </c>
      <c r="T7837" s="1" t="s">
        <v>14192</v>
      </c>
      <c r="U7837" s="2" t="s">
        <v>4513</v>
      </c>
      <c r="V7837" s="2" t="s">
        <v>47</v>
      </c>
      <c r="W7837" s="2" t="s">
        <v>119</v>
      </c>
      <c r="X7837" s="2">
        <v>354.935</v>
      </c>
    </row>
    <row r="7838" spans="1:24" x14ac:dyDescent="0.3">
      <c r="A7838">
        <v>25648</v>
      </c>
      <c r="B7838" t="s">
        <v>14878</v>
      </c>
      <c r="C7838" s="3">
        <v>41993</v>
      </c>
      <c r="D7838" t="s">
        <v>39</v>
      </c>
      <c r="E7838">
        <v>23</v>
      </c>
      <c r="F7838" s="3">
        <f ca="1">41995+(RANDBETWEEN(1,10))</f>
        <v>41999</v>
      </c>
      <c r="G7838" t="s">
        <v>76</v>
      </c>
      <c r="H7838" t="s">
        <v>77</v>
      </c>
      <c r="I7838" t="s">
        <v>28</v>
      </c>
      <c r="J7838">
        <v>7450.8</v>
      </c>
      <c r="K7838">
        <v>0</v>
      </c>
      <c r="L7838">
        <v>0.61</v>
      </c>
      <c r="M7838">
        <v>105</v>
      </c>
      <c r="N7838">
        <v>790.20032000000003</v>
      </c>
      <c r="O7838" s="1" t="s">
        <v>87</v>
      </c>
      <c r="P7838" s="1" t="s">
        <v>14879</v>
      </c>
      <c r="Q7838" s="1" t="s">
        <v>14880</v>
      </c>
      <c r="R7838" s="1" t="s">
        <v>90</v>
      </c>
      <c r="S7838" s="1" t="s">
        <v>1420</v>
      </c>
      <c r="T7838" s="1" t="s">
        <v>1421</v>
      </c>
      <c r="U7838" s="2" t="s">
        <v>1790</v>
      </c>
      <c r="V7838" s="2" t="s">
        <v>83</v>
      </c>
      <c r="W7838" s="2" t="s">
        <v>84</v>
      </c>
      <c r="X7838" s="2">
        <v>318.43</v>
      </c>
    </row>
    <row r="7839" spans="1:24" x14ac:dyDescent="0.3">
      <c r="A7839">
        <v>25649</v>
      </c>
      <c r="B7839" t="s">
        <v>14881</v>
      </c>
      <c r="C7839" s="3">
        <v>40826</v>
      </c>
      <c r="D7839" t="s">
        <v>25</v>
      </c>
      <c r="E7839">
        <v>5</v>
      </c>
      <c r="F7839" s="3">
        <f ca="1">40831+(RANDBETWEEN(1,10))</f>
        <v>40840</v>
      </c>
      <c r="G7839" t="s">
        <v>26</v>
      </c>
      <c r="H7839" t="s">
        <v>281</v>
      </c>
      <c r="I7839" t="s">
        <v>86</v>
      </c>
      <c r="J7839">
        <v>93.31</v>
      </c>
      <c r="K7839">
        <v>7.0000000000000007E-2</v>
      </c>
      <c r="L7839">
        <v>0.54</v>
      </c>
      <c r="M7839">
        <v>19.984999999999999</v>
      </c>
      <c r="N7839">
        <v>-630.53200000000004</v>
      </c>
      <c r="O7839" s="1" t="s">
        <v>40</v>
      </c>
      <c r="P7839" s="1" t="s">
        <v>10957</v>
      </c>
      <c r="Q7839" s="1" t="s">
        <v>10958</v>
      </c>
      <c r="R7839" s="1" t="s">
        <v>220</v>
      </c>
      <c r="S7839" s="1" t="s">
        <v>7623</v>
      </c>
      <c r="T7839" s="1" t="s">
        <v>7624</v>
      </c>
      <c r="U7839" s="2" t="s">
        <v>948</v>
      </c>
      <c r="V7839" s="2" t="s">
        <v>83</v>
      </c>
      <c r="W7839" s="2" t="s">
        <v>178</v>
      </c>
      <c r="X7839" s="2">
        <v>17.395</v>
      </c>
    </row>
    <row r="7840" spans="1:24" x14ac:dyDescent="0.3">
      <c r="A7840">
        <v>25650</v>
      </c>
      <c r="B7840" t="s">
        <v>14881</v>
      </c>
      <c r="C7840" s="3">
        <v>40826</v>
      </c>
      <c r="D7840" t="s">
        <v>25</v>
      </c>
      <c r="E7840">
        <v>12</v>
      </c>
      <c r="F7840" s="3">
        <f ca="1">40828+(RANDBETWEEN(1,10))</f>
        <v>40834</v>
      </c>
      <c r="G7840" t="s">
        <v>26</v>
      </c>
      <c r="H7840" t="s">
        <v>96</v>
      </c>
      <c r="I7840" t="s">
        <v>86</v>
      </c>
      <c r="J7840">
        <v>103.425</v>
      </c>
      <c r="K7840">
        <v>0.09</v>
      </c>
      <c r="L7840">
        <v>0.39</v>
      </c>
      <c r="M7840">
        <v>2.8</v>
      </c>
      <c r="N7840">
        <v>29.358000000000001</v>
      </c>
      <c r="O7840" s="1" t="s">
        <v>40</v>
      </c>
      <c r="P7840" s="1" t="s">
        <v>10957</v>
      </c>
      <c r="Q7840" s="1" t="s">
        <v>10958</v>
      </c>
      <c r="R7840" s="1" t="s">
        <v>220</v>
      </c>
      <c r="S7840" s="1" t="s">
        <v>7623</v>
      </c>
      <c r="T7840" s="1" t="s">
        <v>7624</v>
      </c>
      <c r="U7840" s="2" t="s">
        <v>2672</v>
      </c>
      <c r="V7840" s="2" t="s">
        <v>47</v>
      </c>
      <c r="W7840" s="2" t="s">
        <v>176</v>
      </c>
      <c r="X7840" s="2">
        <v>9.17</v>
      </c>
    </row>
    <row r="7841" spans="1:24" x14ac:dyDescent="0.3">
      <c r="A7841">
        <v>25651</v>
      </c>
      <c r="B7841" t="s">
        <v>14881</v>
      </c>
      <c r="C7841" s="3">
        <v>40826</v>
      </c>
      <c r="D7841" t="s">
        <v>25</v>
      </c>
      <c r="E7841">
        <v>21</v>
      </c>
      <c r="F7841" s="3">
        <f ca="1">40826+(RANDBETWEEN(1,10))</f>
        <v>40828</v>
      </c>
      <c r="G7841" t="s">
        <v>26</v>
      </c>
      <c r="H7841" t="s">
        <v>27</v>
      </c>
      <c r="I7841" t="s">
        <v>86</v>
      </c>
      <c r="J7841">
        <v>4330.8999999999996</v>
      </c>
      <c r="K7841">
        <v>0.03</v>
      </c>
      <c r="L7841">
        <v>0.57999999999999996</v>
      </c>
      <c r="M7841">
        <v>30.8</v>
      </c>
      <c r="N7841">
        <v>34.789650000000002</v>
      </c>
      <c r="O7841" s="1" t="s">
        <v>40</v>
      </c>
      <c r="P7841" s="1" t="s">
        <v>10957</v>
      </c>
      <c r="Q7841" s="1" t="s">
        <v>10958</v>
      </c>
      <c r="R7841" s="1" t="s">
        <v>220</v>
      </c>
      <c r="S7841" s="1" t="s">
        <v>7623</v>
      </c>
      <c r="T7841" s="1" t="s">
        <v>7624</v>
      </c>
      <c r="U7841" s="2">
        <v>6120</v>
      </c>
      <c r="V7841" s="2" t="s">
        <v>36</v>
      </c>
      <c r="W7841" s="2" t="s">
        <v>37</v>
      </c>
      <c r="X7841" s="2">
        <v>230.965</v>
      </c>
    </row>
    <row r="7842" spans="1:24" x14ac:dyDescent="0.3">
      <c r="A7842">
        <v>25652</v>
      </c>
      <c r="B7842" t="s">
        <v>14882</v>
      </c>
      <c r="C7842" s="3">
        <v>41267</v>
      </c>
      <c r="D7842" t="s">
        <v>50</v>
      </c>
      <c r="E7842">
        <v>7</v>
      </c>
      <c r="F7842" s="3">
        <f ca="1">41267+(RANDBETWEEN(1,10))</f>
        <v>41271</v>
      </c>
      <c r="G7842" t="s">
        <v>26</v>
      </c>
      <c r="H7842" t="s">
        <v>27</v>
      </c>
      <c r="I7842" t="s">
        <v>97</v>
      </c>
      <c r="J7842">
        <v>4341.05</v>
      </c>
      <c r="K7842">
        <v>7.0000000000000007E-2</v>
      </c>
      <c r="L7842">
        <v>0.55000000000000004</v>
      </c>
      <c r="M7842">
        <v>69.965000000000003</v>
      </c>
      <c r="N7842">
        <v>2995.3245000000002</v>
      </c>
      <c r="O7842" s="1" t="s">
        <v>53</v>
      </c>
      <c r="P7842" s="1" t="s">
        <v>14323</v>
      </c>
      <c r="Q7842" s="1" t="s">
        <v>14324</v>
      </c>
      <c r="R7842" s="1" t="s">
        <v>440</v>
      </c>
      <c r="S7842" s="1" t="s">
        <v>2005</v>
      </c>
      <c r="T7842" s="1" t="s">
        <v>2006</v>
      </c>
      <c r="U7842" s="2" t="s">
        <v>721</v>
      </c>
      <c r="V7842" s="2" t="s">
        <v>47</v>
      </c>
      <c r="W7842" s="2" t="s">
        <v>119</v>
      </c>
      <c r="X7842" s="2">
        <v>624.64499999999998</v>
      </c>
    </row>
    <row r="7843" spans="1:24" x14ac:dyDescent="0.3">
      <c r="A7843">
        <v>25653</v>
      </c>
      <c r="B7843" t="s">
        <v>14882</v>
      </c>
      <c r="C7843" s="3">
        <v>41267</v>
      </c>
      <c r="D7843" t="s">
        <v>50</v>
      </c>
      <c r="E7843">
        <v>4</v>
      </c>
      <c r="F7843" s="3">
        <f ca="1">41268+(RANDBETWEEN(1,10))</f>
        <v>41275</v>
      </c>
      <c r="G7843" t="s">
        <v>26</v>
      </c>
      <c r="H7843" t="s">
        <v>27</v>
      </c>
      <c r="I7843" t="s">
        <v>97</v>
      </c>
      <c r="J7843">
        <v>1484</v>
      </c>
      <c r="K7843">
        <v>0.02</v>
      </c>
      <c r="L7843">
        <v>0.56999999999999995</v>
      </c>
      <c r="M7843">
        <v>28.28</v>
      </c>
      <c r="N7843">
        <v>-436.32049999999998</v>
      </c>
      <c r="O7843" s="1" t="s">
        <v>53</v>
      </c>
      <c r="P7843" s="1" t="s">
        <v>14323</v>
      </c>
      <c r="Q7843" s="1" t="s">
        <v>14324</v>
      </c>
      <c r="R7843" s="1" t="s">
        <v>440</v>
      </c>
      <c r="S7843" s="1" t="s">
        <v>2005</v>
      </c>
      <c r="T7843" s="1" t="s">
        <v>2006</v>
      </c>
      <c r="U7843" s="2" t="s">
        <v>566</v>
      </c>
      <c r="V7843" s="2" t="s">
        <v>36</v>
      </c>
      <c r="W7843" s="2" t="s">
        <v>37</v>
      </c>
      <c r="X7843" s="2">
        <v>440.96499999999997</v>
      </c>
    </row>
    <row r="7844" spans="1:24" x14ac:dyDescent="0.3">
      <c r="A7844">
        <v>25654</v>
      </c>
      <c r="B7844" t="s">
        <v>14883</v>
      </c>
      <c r="C7844" s="3">
        <v>41311</v>
      </c>
      <c r="D7844" t="s">
        <v>62</v>
      </c>
      <c r="E7844">
        <v>5</v>
      </c>
      <c r="F7844" s="3">
        <f ca="1">41314+(RANDBETWEEN(1,10))</f>
        <v>41323</v>
      </c>
      <c r="G7844" t="s">
        <v>26</v>
      </c>
      <c r="H7844" t="s">
        <v>27</v>
      </c>
      <c r="I7844" t="s">
        <v>52</v>
      </c>
      <c r="J7844">
        <v>88.83</v>
      </c>
      <c r="K7844">
        <v>0.02</v>
      </c>
      <c r="L7844">
        <v>0.39</v>
      </c>
      <c r="M7844">
        <v>1.7150000000000001</v>
      </c>
      <c r="N7844">
        <v>484.34399999999999</v>
      </c>
      <c r="O7844" s="1" t="s">
        <v>64</v>
      </c>
      <c r="P7844" s="1" t="s">
        <v>8187</v>
      </c>
      <c r="Q7844" s="1" t="s">
        <v>8188</v>
      </c>
      <c r="R7844" s="1" t="s">
        <v>67</v>
      </c>
      <c r="S7844" s="1" t="s">
        <v>254</v>
      </c>
      <c r="T7844" s="1" t="s">
        <v>8189</v>
      </c>
      <c r="U7844" s="2" t="s">
        <v>892</v>
      </c>
      <c r="V7844" s="2" t="s">
        <v>47</v>
      </c>
      <c r="W7844" s="2" t="s">
        <v>203</v>
      </c>
      <c r="X7844" s="2">
        <v>17.43</v>
      </c>
    </row>
    <row r="7845" spans="1:24" x14ac:dyDescent="0.3">
      <c r="A7845">
        <v>25655</v>
      </c>
      <c r="B7845" t="s">
        <v>14883</v>
      </c>
      <c r="C7845" s="3">
        <v>41311</v>
      </c>
      <c r="D7845" t="s">
        <v>62</v>
      </c>
      <c r="E7845">
        <v>1</v>
      </c>
      <c r="F7845" s="3">
        <f ca="1">41313+(RANDBETWEEN(1,10))</f>
        <v>41314</v>
      </c>
      <c r="G7845" t="s">
        <v>26</v>
      </c>
      <c r="H7845" t="s">
        <v>96</v>
      </c>
      <c r="I7845" t="s">
        <v>52</v>
      </c>
      <c r="J7845">
        <v>152.11000000000001</v>
      </c>
      <c r="K7845">
        <v>0.03</v>
      </c>
      <c r="L7845">
        <v>0.41</v>
      </c>
      <c r="M7845">
        <v>48.615000000000002</v>
      </c>
      <c r="N7845">
        <v>-145.4957</v>
      </c>
      <c r="O7845" s="1" t="s">
        <v>64</v>
      </c>
      <c r="P7845" s="1" t="s">
        <v>8187</v>
      </c>
      <c r="Q7845" s="1" t="s">
        <v>8188</v>
      </c>
      <c r="R7845" s="1" t="s">
        <v>67</v>
      </c>
      <c r="S7845" s="1" t="s">
        <v>254</v>
      </c>
      <c r="T7845" s="1" t="s">
        <v>8189</v>
      </c>
      <c r="U7845" s="2" t="s">
        <v>530</v>
      </c>
      <c r="V7845" s="2" t="s">
        <v>47</v>
      </c>
      <c r="W7845" s="2" t="s">
        <v>104</v>
      </c>
      <c r="X7845" s="2">
        <v>127.925</v>
      </c>
    </row>
    <row r="7846" spans="1:24" x14ac:dyDescent="0.3">
      <c r="A7846">
        <v>25656</v>
      </c>
      <c r="B7846" t="s">
        <v>14884</v>
      </c>
      <c r="C7846" s="3">
        <v>41855</v>
      </c>
      <c r="D7846" t="s">
        <v>62</v>
      </c>
      <c r="E7846">
        <v>20</v>
      </c>
      <c r="F7846" s="3">
        <f ca="1">41856+(RANDBETWEEN(1,10))</f>
        <v>41860</v>
      </c>
      <c r="G7846" t="s">
        <v>26</v>
      </c>
      <c r="H7846" t="s">
        <v>27</v>
      </c>
      <c r="I7846" t="s">
        <v>86</v>
      </c>
      <c r="J7846">
        <v>753.76</v>
      </c>
      <c r="K7846">
        <v>0.02</v>
      </c>
      <c r="L7846">
        <v>0.56999999999999995</v>
      </c>
      <c r="M7846">
        <v>18.059999999999999</v>
      </c>
      <c r="N7846">
        <v>-58.0244</v>
      </c>
      <c r="O7846" s="1" t="s">
        <v>87</v>
      </c>
      <c r="P7846" s="1" t="s">
        <v>10474</v>
      </c>
      <c r="Q7846" s="1" t="s">
        <v>10475</v>
      </c>
      <c r="R7846" s="1" t="s">
        <v>398</v>
      </c>
      <c r="S7846" s="1" t="s">
        <v>10476</v>
      </c>
      <c r="T7846" s="1" t="s">
        <v>10477</v>
      </c>
      <c r="U7846" s="2" t="s">
        <v>1754</v>
      </c>
      <c r="V7846" s="2" t="s">
        <v>83</v>
      </c>
      <c r="W7846" s="2" t="s">
        <v>178</v>
      </c>
      <c r="X7846" s="2">
        <v>37.24</v>
      </c>
    </row>
    <row r="7847" spans="1:24" x14ac:dyDescent="0.3">
      <c r="A7847">
        <v>25657</v>
      </c>
      <c r="B7847" t="s">
        <v>14885</v>
      </c>
      <c r="C7847" s="3">
        <v>41476</v>
      </c>
      <c r="D7847" t="s">
        <v>25</v>
      </c>
      <c r="E7847">
        <v>6</v>
      </c>
      <c r="F7847" s="3">
        <f ca="1">41483+(RANDBETWEEN(1,10))</f>
        <v>41484</v>
      </c>
      <c r="G7847" t="s">
        <v>26</v>
      </c>
      <c r="H7847" t="s">
        <v>96</v>
      </c>
      <c r="I7847" t="s">
        <v>86</v>
      </c>
      <c r="J7847">
        <v>144.935</v>
      </c>
      <c r="K7847">
        <v>7.0000000000000007E-2</v>
      </c>
      <c r="L7847">
        <v>0.36</v>
      </c>
      <c r="M7847">
        <v>10.85</v>
      </c>
      <c r="N7847">
        <v>36.085000000000001</v>
      </c>
      <c r="O7847" s="1" t="s">
        <v>40</v>
      </c>
      <c r="P7847" s="1" t="s">
        <v>12313</v>
      </c>
      <c r="Q7847" s="1" t="s">
        <v>12314</v>
      </c>
      <c r="R7847" s="1" t="s">
        <v>43</v>
      </c>
      <c r="S7847" s="1" t="s">
        <v>12315</v>
      </c>
      <c r="T7847" s="1" t="s">
        <v>12316</v>
      </c>
      <c r="U7847" s="2" t="s">
        <v>8343</v>
      </c>
      <c r="V7847" s="2" t="s">
        <v>47</v>
      </c>
      <c r="W7847" s="2" t="s">
        <v>74</v>
      </c>
      <c r="X7847" s="2">
        <v>23.414999999999999</v>
      </c>
    </row>
    <row r="7848" spans="1:24" x14ac:dyDescent="0.3">
      <c r="A7848">
        <v>25658</v>
      </c>
      <c r="B7848" t="s">
        <v>14886</v>
      </c>
      <c r="C7848" s="3">
        <v>41093</v>
      </c>
      <c r="D7848" t="s">
        <v>39</v>
      </c>
      <c r="E7848">
        <v>3</v>
      </c>
      <c r="F7848" s="3">
        <f ca="1">41095+(RANDBETWEEN(1,10))</f>
        <v>41105</v>
      </c>
      <c r="G7848" t="s">
        <v>156</v>
      </c>
      <c r="H7848" t="s">
        <v>96</v>
      </c>
      <c r="I7848" t="s">
        <v>52</v>
      </c>
      <c r="J7848">
        <v>52.115000000000002</v>
      </c>
      <c r="K7848">
        <v>0.08</v>
      </c>
      <c r="L7848">
        <v>0.39</v>
      </c>
      <c r="M7848">
        <v>3.08</v>
      </c>
      <c r="N7848">
        <v>35.959350000000001</v>
      </c>
      <c r="O7848" s="1" t="s">
        <v>40</v>
      </c>
      <c r="P7848" s="1" t="s">
        <v>14887</v>
      </c>
      <c r="Q7848" s="1" t="s">
        <v>14888</v>
      </c>
      <c r="R7848" s="1" t="s">
        <v>43</v>
      </c>
      <c r="S7848" s="1" t="s">
        <v>725</v>
      </c>
      <c r="T7848" s="1" t="s">
        <v>726</v>
      </c>
      <c r="U7848" s="2" t="s">
        <v>1743</v>
      </c>
      <c r="V7848" s="2" t="s">
        <v>47</v>
      </c>
      <c r="W7848" s="2" t="s">
        <v>74</v>
      </c>
      <c r="X7848" s="2">
        <v>16.66</v>
      </c>
    </row>
    <row r="7849" spans="1:24" x14ac:dyDescent="0.3">
      <c r="A7849">
        <v>25659</v>
      </c>
      <c r="B7849" t="s">
        <v>14889</v>
      </c>
      <c r="C7849" s="3">
        <v>41514</v>
      </c>
      <c r="D7849" t="s">
        <v>62</v>
      </c>
      <c r="E7849">
        <v>16</v>
      </c>
      <c r="F7849" s="3">
        <f ca="1">41515+(RANDBETWEEN(1,10))</f>
        <v>41523</v>
      </c>
      <c r="G7849" t="s">
        <v>26</v>
      </c>
      <c r="H7849" t="s">
        <v>27</v>
      </c>
      <c r="I7849" t="s">
        <v>86</v>
      </c>
      <c r="J7849">
        <v>346.39499999999998</v>
      </c>
      <c r="K7849">
        <v>0.06</v>
      </c>
      <c r="L7849">
        <v>0.36</v>
      </c>
      <c r="M7849">
        <v>19.11</v>
      </c>
      <c r="N7849">
        <v>-104.90479999999999</v>
      </c>
      <c r="O7849" s="1" t="s">
        <v>40</v>
      </c>
      <c r="P7849" s="1" t="s">
        <v>10388</v>
      </c>
      <c r="Q7849" s="1" t="s">
        <v>10389</v>
      </c>
      <c r="R7849" s="1" t="s">
        <v>220</v>
      </c>
      <c r="S7849" s="1" t="s">
        <v>10390</v>
      </c>
      <c r="T7849" s="1" t="s">
        <v>10391</v>
      </c>
      <c r="U7849" s="2" t="s">
        <v>7070</v>
      </c>
      <c r="V7849" s="2" t="s">
        <v>47</v>
      </c>
      <c r="W7849" s="2" t="s">
        <v>74</v>
      </c>
      <c r="X7849" s="2">
        <v>20.93</v>
      </c>
    </row>
    <row r="7850" spans="1:24" x14ac:dyDescent="0.3">
      <c r="A7850">
        <v>25660</v>
      </c>
      <c r="B7850" t="s">
        <v>14889</v>
      </c>
      <c r="C7850" s="3">
        <v>41514</v>
      </c>
      <c r="D7850" t="s">
        <v>62</v>
      </c>
      <c r="E7850">
        <v>3</v>
      </c>
      <c r="F7850" s="3">
        <f ca="1">41516+(RANDBETWEEN(1,10))</f>
        <v>41519</v>
      </c>
      <c r="G7850" t="s">
        <v>26</v>
      </c>
      <c r="H7850" t="s">
        <v>281</v>
      </c>
      <c r="I7850" t="s">
        <v>86</v>
      </c>
      <c r="J7850">
        <v>135.87</v>
      </c>
      <c r="K7850">
        <v>0.06</v>
      </c>
      <c r="L7850">
        <v>0.56999999999999995</v>
      </c>
      <c r="M7850">
        <v>21.945</v>
      </c>
      <c r="N7850">
        <v>-50.650599999999997</v>
      </c>
      <c r="O7850" s="1" t="s">
        <v>87</v>
      </c>
      <c r="P7850" s="1" t="s">
        <v>14890</v>
      </c>
      <c r="Q7850" s="1" t="s">
        <v>14891</v>
      </c>
      <c r="R7850" s="1" t="s">
        <v>90</v>
      </c>
      <c r="S7850" s="1" t="s">
        <v>2533</v>
      </c>
      <c r="T7850" s="1" t="s">
        <v>2534</v>
      </c>
      <c r="U7850" s="2" t="s">
        <v>517</v>
      </c>
      <c r="V7850" s="2" t="s">
        <v>47</v>
      </c>
      <c r="W7850" s="2" t="s">
        <v>119</v>
      </c>
      <c r="X7850" s="2">
        <v>43.54</v>
      </c>
    </row>
    <row r="7851" spans="1:24" x14ac:dyDescent="0.3">
      <c r="A7851">
        <v>25661</v>
      </c>
      <c r="B7851" t="s">
        <v>14892</v>
      </c>
      <c r="C7851" s="3">
        <v>41738</v>
      </c>
      <c r="D7851" t="s">
        <v>39</v>
      </c>
      <c r="E7851">
        <v>3</v>
      </c>
      <c r="F7851" s="3">
        <f ca="1">41739+(RANDBETWEEN(1,10))</f>
        <v>41741</v>
      </c>
      <c r="G7851" t="s">
        <v>26</v>
      </c>
      <c r="H7851" t="s">
        <v>63</v>
      </c>
      <c r="I7851" t="s">
        <v>86</v>
      </c>
      <c r="J7851">
        <v>5280.3450000000003</v>
      </c>
      <c r="K7851">
        <v>0.06</v>
      </c>
      <c r="L7851">
        <v>0.36</v>
      </c>
      <c r="M7851">
        <v>85.715000000000003</v>
      </c>
      <c r="N7851">
        <v>-1809.78</v>
      </c>
      <c r="O7851" s="1" t="s">
        <v>87</v>
      </c>
      <c r="P7851" s="1" t="s">
        <v>13159</v>
      </c>
      <c r="Q7851" s="1" t="s">
        <v>13160</v>
      </c>
      <c r="R7851" s="1" t="s">
        <v>497</v>
      </c>
      <c r="S7851" s="1" t="s">
        <v>13161</v>
      </c>
      <c r="T7851" s="1" t="s">
        <v>13162</v>
      </c>
      <c r="U7851" s="2" t="s">
        <v>3414</v>
      </c>
      <c r="V7851" s="2" t="s">
        <v>36</v>
      </c>
      <c r="W7851" s="2" t="s">
        <v>1327</v>
      </c>
      <c r="X7851" s="2">
        <v>1749.9649999999999</v>
      </c>
    </row>
    <row r="7852" spans="1:24" x14ac:dyDescent="0.3">
      <c r="A7852">
        <v>25662</v>
      </c>
      <c r="B7852" t="s">
        <v>14893</v>
      </c>
      <c r="C7852" s="3">
        <v>40596</v>
      </c>
      <c r="D7852" t="s">
        <v>50</v>
      </c>
      <c r="E7852">
        <v>7</v>
      </c>
      <c r="F7852" s="3">
        <f ca="1">40597+(RANDBETWEEN(1,10))</f>
        <v>40602</v>
      </c>
      <c r="G7852" t="s">
        <v>26</v>
      </c>
      <c r="H7852" t="s">
        <v>51</v>
      </c>
      <c r="I7852" t="s">
        <v>52</v>
      </c>
      <c r="J7852">
        <v>120.12</v>
      </c>
      <c r="K7852">
        <v>0.05</v>
      </c>
      <c r="L7852">
        <v>0.64</v>
      </c>
      <c r="M7852">
        <v>16.170000000000002</v>
      </c>
      <c r="N7852">
        <v>-344.22500000000002</v>
      </c>
      <c r="O7852" s="1" t="s">
        <v>29</v>
      </c>
      <c r="P7852" s="1" t="s">
        <v>14894</v>
      </c>
      <c r="Q7852" s="1" t="s">
        <v>14895</v>
      </c>
      <c r="R7852" s="1" t="s">
        <v>675</v>
      </c>
      <c r="S7852" s="1" t="s">
        <v>6169</v>
      </c>
      <c r="T7852" s="1" t="s">
        <v>6170</v>
      </c>
      <c r="U7852" s="2" t="s">
        <v>505</v>
      </c>
      <c r="V7852" s="2" t="s">
        <v>36</v>
      </c>
      <c r="W7852" s="2" t="s">
        <v>60</v>
      </c>
      <c r="X7852" s="2">
        <v>17.43</v>
      </c>
    </row>
    <row r="7853" spans="1:24" x14ac:dyDescent="0.3">
      <c r="A7853">
        <v>25663</v>
      </c>
      <c r="B7853" t="s">
        <v>14893</v>
      </c>
      <c r="C7853" s="3">
        <v>40596</v>
      </c>
      <c r="D7853" t="s">
        <v>50</v>
      </c>
      <c r="E7853">
        <v>11</v>
      </c>
      <c r="F7853" s="3">
        <f ca="1">40598+(RANDBETWEEN(1,10))</f>
        <v>40603</v>
      </c>
      <c r="G7853" t="s">
        <v>26</v>
      </c>
      <c r="H7853" t="s">
        <v>27</v>
      </c>
      <c r="I7853" t="s">
        <v>52</v>
      </c>
      <c r="J7853">
        <v>1373.575</v>
      </c>
      <c r="K7853">
        <v>0.02</v>
      </c>
      <c r="L7853">
        <v>0.55000000000000004</v>
      </c>
      <c r="M7853">
        <v>17.57</v>
      </c>
      <c r="N7853">
        <v>947.76675</v>
      </c>
      <c r="O7853" s="1" t="s">
        <v>29</v>
      </c>
      <c r="P7853" s="1" t="s">
        <v>14894</v>
      </c>
      <c r="Q7853" s="1" t="s">
        <v>14895</v>
      </c>
      <c r="R7853" s="1" t="s">
        <v>675</v>
      </c>
      <c r="S7853" s="1" t="s">
        <v>6169</v>
      </c>
      <c r="T7853" s="1" t="s">
        <v>6170</v>
      </c>
      <c r="U7853" s="2" t="s">
        <v>4829</v>
      </c>
      <c r="V7853" s="2" t="s">
        <v>83</v>
      </c>
      <c r="W7853" s="2" t="s">
        <v>178</v>
      </c>
      <c r="X7853" s="2">
        <v>119.80500000000001</v>
      </c>
    </row>
    <row r="7854" spans="1:24" x14ac:dyDescent="0.3">
      <c r="A7854">
        <v>25664</v>
      </c>
      <c r="B7854" t="s">
        <v>14896</v>
      </c>
      <c r="C7854" s="3">
        <v>40765</v>
      </c>
      <c r="D7854" t="s">
        <v>25</v>
      </c>
      <c r="E7854">
        <v>14</v>
      </c>
      <c r="F7854" s="3">
        <f ca="1">40770+(RANDBETWEEN(1,10))</f>
        <v>40771</v>
      </c>
      <c r="G7854" t="s">
        <v>26</v>
      </c>
      <c r="H7854" t="s">
        <v>27</v>
      </c>
      <c r="I7854" t="s">
        <v>28</v>
      </c>
      <c r="J7854">
        <v>323.01499999999999</v>
      </c>
      <c r="K7854">
        <v>0.08</v>
      </c>
      <c r="L7854">
        <v>0.36</v>
      </c>
      <c r="M7854">
        <v>23.835000000000001</v>
      </c>
      <c r="N7854">
        <v>-172.15379999999999</v>
      </c>
      <c r="O7854" s="1" t="s">
        <v>40</v>
      </c>
      <c r="P7854" s="1" t="s">
        <v>12574</v>
      </c>
      <c r="Q7854" s="1" t="s">
        <v>12575</v>
      </c>
      <c r="R7854" s="1" t="s">
        <v>220</v>
      </c>
      <c r="S7854" s="1" t="s">
        <v>12576</v>
      </c>
      <c r="T7854" s="1" t="s">
        <v>12577</v>
      </c>
      <c r="U7854" s="2" t="s">
        <v>2113</v>
      </c>
      <c r="V7854" s="2" t="s">
        <v>47</v>
      </c>
      <c r="W7854" s="2" t="s">
        <v>74</v>
      </c>
      <c r="X7854" s="2">
        <v>22.68</v>
      </c>
    </row>
    <row r="7855" spans="1:24" x14ac:dyDescent="0.3">
      <c r="A7855">
        <v>25665</v>
      </c>
      <c r="B7855" t="s">
        <v>14896</v>
      </c>
      <c r="C7855" s="3">
        <v>40765</v>
      </c>
      <c r="D7855" t="s">
        <v>25</v>
      </c>
      <c r="E7855">
        <v>3</v>
      </c>
      <c r="F7855" s="3">
        <f ca="1">40772+(RANDBETWEEN(1,10))</f>
        <v>40777</v>
      </c>
      <c r="G7855" t="s">
        <v>76</v>
      </c>
      <c r="H7855" t="s">
        <v>77</v>
      </c>
      <c r="I7855" t="s">
        <v>28</v>
      </c>
      <c r="J7855">
        <v>288.01499999999999</v>
      </c>
      <c r="K7855">
        <v>0.09</v>
      </c>
      <c r="L7855">
        <v>0.78</v>
      </c>
      <c r="M7855">
        <v>185.60499999999999</v>
      </c>
      <c r="N7855">
        <v>-534.60680000000002</v>
      </c>
      <c r="O7855" s="1" t="s">
        <v>40</v>
      </c>
      <c r="P7855" s="1" t="s">
        <v>12574</v>
      </c>
      <c r="Q7855" s="1" t="s">
        <v>12575</v>
      </c>
      <c r="R7855" s="1" t="s">
        <v>220</v>
      </c>
      <c r="S7855" s="1" t="s">
        <v>12576</v>
      </c>
      <c r="T7855" s="1" t="s">
        <v>12577</v>
      </c>
      <c r="U7855" s="2" t="s">
        <v>583</v>
      </c>
      <c r="V7855" s="2" t="s">
        <v>47</v>
      </c>
      <c r="W7855" s="2" t="s">
        <v>119</v>
      </c>
      <c r="X7855" s="2">
        <v>73.430000000000007</v>
      </c>
    </row>
    <row r="7856" spans="1:24" x14ac:dyDescent="0.3">
      <c r="A7856">
        <v>25666</v>
      </c>
      <c r="B7856" t="s">
        <v>14897</v>
      </c>
      <c r="C7856" s="3">
        <v>41978</v>
      </c>
      <c r="D7856" t="s">
        <v>39</v>
      </c>
      <c r="E7856">
        <v>13</v>
      </c>
      <c r="F7856" s="3">
        <f ca="1">41979+(RANDBETWEEN(1,10))</f>
        <v>41985</v>
      </c>
      <c r="G7856" t="s">
        <v>26</v>
      </c>
      <c r="H7856" t="s">
        <v>51</v>
      </c>
      <c r="I7856" t="s">
        <v>52</v>
      </c>
      <c r="J7856">
        <v>305.51499999999999</v>
      </c>
      <c r="K7856">
        <v>0.08</v>
      </c>
      <c r="L7856">
        <v>0.57999999999999996</v>
      </c>
      <c r="M7856">
        <v>15.47</v>
      </c>
      <c r="N7856">
        <v>-67.231920000000002</v>
      </c>
      <c r="O7856" s="1" t="s">
        <v>40</v>
      </c>
      <c r="P7856" s="1" t="s">
        <v>14394</v>
      </c>
      <c r="Q7856" s="1" t="s">
        <v>14395</v>
      </c>
      <c r="R7856" s="1" t="s">
        <v>220</v>
      </c>
      <c r="S7856" s="1" t="s">
        <v>11789</v>
      </c>
      <c r="T7856" s="1" t="s">
        <v>11790</v>
      </c>
      <c r="U7856" s="2" t="s">
        <v>9046</v>
      </c>
      <c r="V7856" s="2" t="s">
        <v>47</v>
      </c>
      <c r="W7856" s="2" t="s">
        <v>94</v>
      </c>
      <c r="X7856" s="2">
        <v>23.94</v>
      </c>
    </row>
    <row r="7857" spans="1:24" x14ac:dyDescent="0.3">
      <c r="A7857">
        <v>25667</v>
      </c>
      <c r="B7857" t="s">
        <v>14898</v>
      </c>
      <c r="C7857" s="3">
        <v>41248</v>
      </c>
      <c r="D7857" t="s">
        <v>39</v>
      </c>
      <c r="E7857">
        <v>10</v>
      </c>
      <c r="F7857" s="3">
        <f ca="1">41249+(RANDBETWEEN(1,10))</f>
        <v>41258</v>
      </c>
      <c r="G7857" t="s">
        <v>76</v>
      </c>
      <c r="H7857" t="s">
        <v>258</v>
      </c>
      <c r="I7857" t="s">
        <v>52</v>
      </c>
      <c r="J7857">
        <v>13983.375</v>
      </c>
      <c r="K7857">
        <v>7.0000000000000007E-2</v>
      </c>
      <c r="L7857">
        <v>0.67</v>
      </c>
      <c r="M7857">
        <v>385.7</v>
      </c>
      <c r="N7857">
        <v>-1794.0795372499999</v>
      </c>
      <c r="O7857" s="1" t="s">
        <v>40</v>
      </c>
      <c r="P7857" s="1" t="s">
        <v>14394</v>
      </c>
      <c r="Q7857" s="1" t="s">
        <v>14395</v>
      </c>
      <c r="R7857" s="1" t="s">
        <v>220</v>
      </c>
      <c r="S7857" s="1" t="s">
        <v>11789</v>
      </c>
      <c r="T7857" s="1" t="s">
        <v>11790</v>
      </c>
      <c r="U7857" s="2" t="s">
        <v>9280</v>
      </c>
      <c r="V7857" s="2" t="s">
        <v>83</v>
      </c>
      <c r="W7857" s="2" t="s">
        <v>263</v>
      </c>
      <c r="X7857" s="2">
        <v>1484.7349999999999</v>
      </c>
    </row>
    <row r="7858" spans="1:24" x14ac:dyDescent="0.3">
      <c r="A7858">
        <v>25668</v>
      </c>
      <c r="B7858" t="s">
        <v>14899</v>
      </c>
      <c r="C7858" s="3">
        <v>41465</v>
      </c>
      <c r="D7858" t="s">
        <v>25</v>
      </c>
      <c r="E7858">
        <v>8</v>
      </c>
      <c r="F7858" s="3">
        <f ca="1">41469+(RANDBETWEEN(1,10))</f>
        <v>41477</v>
      </c>
      <c r="G7858" t="s">
        <v>26</v>
      </c>
      <c r="H7858" t="s">
        <v>27</v>
      </c>
      <c r="I7858" t="s">
        <v>97</v>
      </c>
      <c r="J7858">
        <v>401.625</v>
      </c>
      <c r="K7858">
        <v>0.1</v>
      </c>
      <c r="L7858">
        <v>0.38</v>
      </c>
      <c r="M7858">
        <v>22.61</v>
      </c>
      <c r="N7858">
        <v>83.865250000000003</v>
      </c>
      <c r="O7858" s="1" t="s">
        <v>87</v>
      </c>
      <c r="P7858" s="1" t="s">
        <v>12126</v>
      </c>
      <c r="Q7858" s="1" t="s">
        <v>12127</v>
      </c>
      <c r="R7858" s="1" t="s">
        <v>90</v>
      </c>
      <c r="S7858" s="1" t="s">
        <v>5020</v>
      </c>
      <c r="T7858" s="1" t="s">
        <v>5021</v>
      </c>
      <c r="U7858" s="2" t="s">
        <v>1867</v>
      </c>
      <c r="V7858" s="2" t="s">
        <v>47</v>
      </c>
      <c r="W7858" s="2" t="s">
        <v>111</v>
      </c>
      <c r="X7858" s="2">
        <v>50.68</v>
      </c>
    </row>
    <row r="7859" spans="1:24" x14ac:dyDescent="0.3">
      <c r="A7859">
        <v>25669</v>
      </c>
      <c r="B7859" t="s">
        <v>14899</v>
      </c>
      <c r="C7859" s="3">
        <v>41465</v>
      </c>
      <c r="D7859" t="s">
        <v>25</v>
      </c>
      <c r="E7859">
        <v>4</v>
      </c>
      <c r="F7859" s="3">
        <f ca="1">41470+(RANDBETWEEN(1,10))</f>
        <v>41471</v>
      </c>
      <c r="G7859" t="s">
        <v>26</v>
      </c>
      <c r="H7859" t="s">
        <v>96</v>
      </c>
      <c r="I7859" t="s">
        <v>97</v>
      </c>
      <c r="J7859">
        <v>75.564999999999998</v>
      </c>
      <c r="K7859">
        <v>0.09</v>
      </c>
      <c r="L7859">
        <v>0.38</v>
      </c>
      <c r="M7859">
        <v>3.5</v>
      </c>
      <c r="N7859">
        <v>50.61</v>
      </c>
      <c r="O7859" s="1" t="s">
        <v>87</v>
      </c>
      <c r="P7859" s="1" t="s">
        <v>12126</v>
      </c>
      <c r="Q7859" s="1" t="s">
        <v>12127</v>
      </c>
      <c r="R7859" s="1" t="s">
        <v>90</v>
      </c>
      <c r="S7859" s="1" t="s">
        <v>5020</v>
      </c>
      <c r="T7859" s="1" t="s">
        <v>5021</v>
      </c>
      <c r="U7859" s="2" t="s">
        <v>3510</v>
      </c>
      <c r="V7859" s="2" t="s">
        <v>47</v>
      </c>
      <c r="W7859" s="2" t="s">
        <v>104</v>
      </c>
      <c r="X7859" s="2">
        <v>20.440000000000001</v>
      </c>
    </row>
    <row r="7860" spans="1:24" x14ac:dyDescent="0.3">
      <c r="A7860">
        <v>25670</v>
      </c>
      <c r="B7860" t="s">
        <v>14900</v>
      </c>
      <c r="C7860" s="3">
        <v>41681</v>
      </c>
      <c r="D7860" t="s">
        <v>39</v>
      </c>
      <c r="E7860">
        <v>8</v>
      </c>
      <c r="F7860" s="3">
        <f ca="1">41682+(RANDBETWEEN(1,10))</f>
        <v>41691</v>
      </c>
      <c r="G7860" t="s">
        <v>26</v>
      </c>
      <c r="H7860" t="s">
        <v>27</v>
      </c>
      <c r="I7860" t="s">
        <v>97</v>
      </c>
      <c r="J7860">
        <v>925.19</v>
      </c>
      <c r="K7860">
        <v>0.03</v>
      </c>
      <c r="L7860">
        <v>0.37</v>
      </c>
      <c r="M7860">
        <v>44.17</v>
      </c>
      <c r="N7860">
        <v>611.51125000000002</v>
      </c>
      <c r="O7860" s="1" t="s">
        <v>87</v>
      </c>
      <c r="P7860" s="1" t="s">
        <v>14901</v>
      </c>
      <c r="Q7860" s="1" t="s">
        <v>14902</v>
      </c>
      <c r="R7860" s="1" t="s">
        <v>90</v>
      </c>
      <c r="S7860" s="1" t="s">
        <v>1811</v>
      </c>
      <c r="T7860" s="1" t="s">
        <v>1812</v>
      </c>
      <c r="U7860" s="2" t="s">
        <v>4243</v>
      </c>
      <c r="V7860" s="2" t="s">
        <v>47</v>
      </c>
      <c r="W7860" s="2" t="s">
        <v>111</v>
      </c>
      <c r="X7860" s="2">
        <v>111.09</v>
      </c>
    </row>
    <row r="7861" spans="1:24" x14ac:dyDescent="0.3">
      <c r="A7861">
        <v>25671</v>
      </c>
      <c r="B7861" t="s">
        <v>14903</v>
      </c>
      <c r="C7861" s="3">
        <v>41643</v>
      </c>
      <c r="D7861" t="s">
        <v>62</v>
      </c>
      <c r="E7861">
        <v>13</v>
      </c>
      <c r="F7861" s="3">
        <f ca="1">41644+(RANDBETWEEN(1,10))</f>
        <v>41654</v>
      </c>
      <c r="G7861" t="s">
        <v>26</v>
      </c>
      <c r="H7861" t="s">
        <v>96</v>
      </c>
      <c r="I7861" t="s">
        <v>86</v>
      </c>
      <c r="J7861">
        <v>428.71499999999997</v>
      </c>
      <c r="K7861">
        <v>0.09</v>
      </c>
      <c r="L7861">
        <v>0.47</v>
      </c>
      <c r="M7861">
        <v>16.87</v>
      </c>
      <c r="N7861">
        <v>-91.14</v>
      </c>
      <c r="O7861" s="1" t="s">
        <v>53</v>
      </c>
      <c r="P7861" s="1" t="s">
        <v>14202</v>
      </c>
      <c r="Q7861" s="1" t="s">
        <v>14203</v>
      </c>
      <c r="R7861" s="1" t="s">
        <v>100</v>
      </c>
      <c r="S7861" s="1" t="s">
        <v>4040</v>
      </c>
      <c r="T7861" s="1" t="s">
        <v>4041</v>
      </c>
      <c r="U7861" s="2" t="s">
        <v>9076</v>
      </c>
      <c r="V7861" s="2" t="s">
        <v>47</v>
      </c>
      <c r="W7861" s="2" t="s">
        <v>104</v>
      </c>
      <c r="X7861" s="2">
        <v>34.475000000000001</v>
      </c>
    </row>
    <row r="7862" spans="1:24" x14ac:dyDescent="0.3">
      <c r="A7862">
        <v>25672</v>
      </c>
      <c r="B7862" t="s">
        <v>14903</v>
      </c>
      <c r="C7862" s="3">
        <v>41643</v>
      </c>
      <c r="D7862" t="s">
        <v>62</v>
      </c>
      <c r="E7862">
        <v>5</v>
      </c>
      <c r="F7862" s="3">
        <f ca="1">41644+(RANDBETWEEN(1,10))</f>
        <v>41650</v>
      </c>
      <c r="G7862" t="s">
        <v>26</v>
      </c>
      <c r="H7862" t="s">
        <v>96</v>
      </c>
      <c r="I7862" t="s">
        <v>86</v>
      </c>
      <c r="J7862">
        <v>54.284999999999997</v>
      </c>
      <c r="K7862">
        <v>0.01</v>
      </c>
      <c r="L7862">
        <v>0.4</v>
      </c>
      <c r="M7862">
        <v>2.835</v>
      </c>
      <c r="N7862">
        <v>37.456650000000003</v>
      </c>
      <c r="O7862" s="1" t="s">
        <v>53</v>
      </c>
      <c r="P7862" s="1" t="s">
        <v>14202</v>
      </c>
      <c r="Q7862" s="1" t="s">
        <v>14203</v>
      </c>
      <c r="R7862" s="1" t="s">
        <v>100</v>
      </c>
      <c r="S7862" s="1" t="s">
        <v>4040</v>
      </c>
      <c r="T7862" s="1" t="s">
        <v>4041</v>
      </c>
      <c r="U7862" s="2" t="s">
        <v>5264</v>
      </c>
      <c r="V7862" s="2" t="s">
        <v>47</v>
      </c>
      <c r="W7862" s="2" t="s">
        <v>104</v>
      </c>
      <c r="X7862" s="2">
        <v>10.29</v>
      </c>
    </row>
    <row r="7863" spans="1:24" x14ac:dyDescent="0.3">
      <c r="A7863">
        <v>25673</v>
      </c>
      <c r="B7863" t="s">
        <v>14904</v>
      </c>
      <c r="C7863" s="3">
        <v>41467</v>
      </c>
      <c r="D7863" t="s">
        <v>25</v>
      </c>
      <c r="E7863">
        <v>2</v>
      </c>
      <c r="F7863" s="3">
        <f ca="1">41474+(RANDBETWEEN(1,10))</f>
        <v>41479</v>
      </c>
      <c r="G7863" t="s">
        <v>26</v>
      </c>
      <c r="H7863" t="s">
        <v>27</v>
      </c>
      <c r="I7863" t="s">
        <v>97</v>
      </c>
      <c r="J7863">
        <v>34.020000000000003</v>
      </c>
      <c r="K7863">
        <v>0.02</v>
      </c>
      <c r="L7863">
        <v>0.36</v>
      </c>
      <c r="M7863">
        <v>1.75</v>
      </c>
      <c r="N7863">
        <v>10.99</v>
      </c>
      <c r="O7863" s="1" t="s">
        <v>87</v>
      </c>
      <c r="P7863" s="1" t="s">
        <v>14905</v>
      </c>
      <c r="Q7863" s="1" t="s">
        <v>14906</v>
      </c>
      <c r="R7863" s="1" t="s">
        <v>90</v>
      </c>
      <c r="S7863" s="1" t="s">
        <v>6880</v>
      </c>
      <c r="T7863" s="1" t="s">
        <v>6231</v>
      </c>
      <c r="U7863" s="2" t="s">
        <v>2281</v>
      </c>
      <c r="V7863" s="2" t="s">
        <v>47</v>
      </c>
      <c r="W7863" s="2" t="s">
        <v>203</v>
      </c>
      <c r="X7863" s="2">
        <v>17.184999999999999</v>
      </c>
    </row>
    <row r="7864" spans="1:24" x14ac:dyDescent="0.3">
      <c r="A7864">
        <v>25674</v>
      </c>
      <c r="B7864" t="s">
        <v>14904</v>
      </c>
      <c r="C7864" s="3">
        <v>41467</v>
      </c>
      <c r="D7864" t="s">
        <v>25</v>
      </c>
      <c r="E7864">
        <v>5</v>
      </c>
      <c r="F7864" s="3">
        <f ca="1">41472+(RANDBETWEEN(1,10))</f>
        <v>41473</v>
      </c>
      <c r="G7864" t="s">
        <v>26</v>
      </c>
      <c r="H7864" t="s">
        <v>51</v>
      </c>
      <c r="I7864" t="s">
        <v>97</v>
      </c>
      <c r="J7864">
        <v>403.27</v>
      </c>
      <c r="K7864">
        <v>0.02</v>
      </c>
      <c r="L7864">
        <v>0.59</v>
      </c>
      <c r="M7864">
        <v>19.355</v>
      </c>
      <c r="N7864">
        <v>67.795000000000002</v>
      </c>
      <c r="O7864" s="1" t="s">
        <v>87</v>
      </c>
      <c r="P7864" s="1" t="s">
        <v>14905</v>
      </c>
      <c r="Q7864" s="1" t="s">
        <v>14906</v>
      </c>
      <c r="R7864" s="1" t="s">
        <v>90</v>
      </c>
      <c r="S7864" s="1" t="s">
        <v>6880</v>
      </c>
      <c r="T7864" s="1" t="s">
        <v>6231</v>
      </c>
      <c r="U7864" s="2" t="s">
        <v>2037</v>
      </c>
      <c r="V7864" s="2" t="s">
        <v>47</v>
      </c>
      <c r="W7864" s="2" t="s">
        <v>104</v>
      </c>
      <c r="X7864" s="2">
        <v>77.034999999999997</v>
      </c>
    </row>
    <row r="7865" spans="1:24" x14ac:dyDescent="0.3">
      <c r="A7865">
        <v>25675</v>
      </c>
      <c r="B7865" t="s">
        <v>14907</v>
      </c>
      <c r="C7865" s="3">
        <v>41214</v>
      </c>
      <c r="D7865" t="s">
        <v>39</v>
      </c>
      <c r="E7865">
        <v>32</v>
      </c>
      <c r="F7865" s="3">
        <f ca="1">41215+(RANDBETWEEN(1,10))</f>
        <v>41216</v>
      </c>
      <c r="G7865" t="s">
        <v>26</v>
      </c>
      <c r="H7865" t="s">
        <v>96</v>
      </c>
      <c r="I7865" t="s">
        <v>86</v>
      </c>
      <c r="J7865">
        <v>693.07</v>
      </c>
      <c r="K7865">
        <v>0.03</v>
      </c>
      <c r="L7865">
        <v>0.56000000000000005</v>
      </c>
      <c r="M7865">
        <v>7.9450000000000003</v>
      </c>
      <c r="N7865">
        <v>97.79</v>
      </c>
      <c r="O7865" s="1" t="s">
        <v>87</v>
      </c>
      <c r="P7865" s="1" t="s">
        <v>10169</v>
      </c>
      <c r="Q7865" s="1" t="s">
        <v>10170</v>
      </c>
      <c r="R7865" s="1" t="s">
        <v>497</v>
      </c>
      <c r="S7865" s="1" t="s">
        <v>5554</v>
      </c>
      <c r="T7865" s="1" t="s">
        <v>5555</v>
      </c>
      <c r="U7865" s="2" t="s">
        <v>212</v>
      </c>
      <c r="V7865" s="2" t="s">
        <v>47</v>
      </c>
      <c r="W7865" s="2" t="s">
        <v>104</v>
      </c>
      <c r="X7865" s="2">
        <v>20.475000000000001</v>
      </c>
    </row>
    <row r="7866" spans="1:24" x14ac:dyDescent="0.3">
      <c r="A7866">
        <v>25676</v>
      </c>
      <c r="B7866" t="s">
        <v>14908</v>
      </c>
      <c r="C7866" s="3">
        <v>40645</v>
      </c>
      <c r="D7866" t="s">
        <v>39</v>
      </c>
      <c r="E7866">
        <v>2</v>
      </c>
      <c r="F7866" s="3">
        <f ca="1">40647+(RANDBETWEEN(1,10))</f>
        <v>40651</v>
      </c>
      <c r="G7866" t="s">
        <v>26</v>
      </c>
      <c r="H7866" t="s">
        <v>27</v>
      </c>
      <c r="I7866" t="s">
        <v>52</v>
      </c>
      <c r="J7866">
        <v>255.85</v>
      </c>
      <c r="K7866">
        <v>0.05</v>
      </c>
      <c r="L7866">
        <v>0.57999999999999996</v>
      </c>
      <c r="M7866">
        <v>22.085000000000001</v>
      </c>
      <c r="N7866">
        <v>21.385000000000002</v>
      </c>
      <c r="O7866" s="1" t="s">
        <v>40</v>
      </c>
      <c r="P7866" s="1" t="s">
        <v>5592</v>
      </c>
      <c r="Q7866" s="1" t="s">
        <v>5593</v>
      </c>
      <c r="R7866" s="1" t="s">
        <v>43</v>
      </c>
      <c r="S7866" s="1" t="s">
        <v>1414</v>
      </c>
      <c r="T7866" s="1" t="s">
        <v>1415</v>
      </c>
      <c r="U7866" s="2" t="s">
        <v>1404</v>
      </c>
      <c r="V7866" s="2" t="s">
        <v>47</v>
      </c>
      <c r="W7866" s="2" t="s">
        <v>119</v>
      </c>
      <c r="X7866" s="2">
        <v>124.285</v>
      </c>
    </row>
    <row r="7867" spans="1:24" x14ac:dyDescent="0.3">
      <c r="A7867">
        <v>25677</v>
      </c>
      <c r="B7867" t="s">
        <v>14908</v>
      </c>
      <c r="C7867" s="3">
        <v>40645</v>
      </c>
      <c r="D7867" t="s">
        <v>39</v>
      </c>
      <c r="E7867">
        <v>6</v>
      </c>
      <c r="F7867" s="3">
        <f ca="1">40645+(RANDBETWEEN(1,10))</f>
        <v>40655</v>
      </c>
      <c r="G7867" t="s">
        <v>26</v>
      </c>
      <c r="H7867" t="s">
        <v>51</v>
      </c>
      <c r="I7867" t="s">
        <v>52</v>
      </c>
      <c r="J7867">
        <v>167.82499999999999</v>
      </c>
      <c r="K7867">
        <v>0.1</v>
      </c>
      <c r="L7867">
        <v>0.59</v>
      </c>
      <c r="M7867">
        <v>9.24</v>
      </c>
      <c r="N7867">
        <v>-22.19</v>
      </c>
      <c r="O7867" s="1" t="s">
        <v>40</v>
      </c>
      <c r="P7867" s="1" t="s">
        <v>5594</v>
      </c>
      <c r="Q7867" s="1" t="s">
        <v>5595</v>
      </c>
      <c r="R7867" s="1" t="s">
        <v>43</v>
      </c>
      <c r="S7867" s="1" t="s">
        <v>5596</v>
      </c>
      <c r="T7867" s="1" t="s">
        <v>5597</v>
      </c>
      <c r="U7867" s="2" t="s">
        <v>6942</v>
      </c>
      <c r="V7867" s="2" t="s">
        <v>47</v>
      </c>
      <c r="W7867" s="2" t="s">
        <v>94</v>
      </c>
      <c r="X7867" s="2">
        <v>29.19</v>
      </c>
    </row>
    <row r="7868" spans="1:24" x14ac:dyDescent="0.3">
      <c r="A7868">
        <v>25678</v>
      </c>
      <c r="B7868" t="s">
        <v>14908</v>
      </c>
      <c r="C7868" s="3">
        <v>40645</v>
      </c>
      <c r="D7868" t="s">
        <v>39</v>
      </c>
      <c r="E7868">
        <v>9</v>
      </c>
      <c r="F7868" s="3">
        <f ca="1">40647+(RANDBETWEEN(1,10))</f>
        <v>40649</v>
      </c>
      <c r="G7868" t="s">
        <v>26</v>
      </c>
      <c r="H7868" t="s">
        <v>27</v>
      </c>
      <c r="I7868" t="s">
        <v>52</v>
      </c>
      <c r="J7868">
        <v>268.69499999999999</v>
      </c>
      <c r="K7868">
        <v>0.03</v>
      </c>
      <c r="L7868">
        <v>0.4</v>
      </c>
      <c r="M7868">
        <v>31.29</v>
      </c>
      <c r="N7868">
        <v>-560.96424999999999</v>
      </c>
      <c r="O7868" s="1" t="s">
        <v>40</v>
      </c>
      <c r="P7868" s="1" t="s">
        <v>9603</v>
      </c>
      <c r="Q7868" s="1" t="s">
        <v>9604</v>
      </c>
      <c r="R7868" s="1" t="s">
        <v>43</v>
      </c>
      <c r="S7868" s="1" t="s">
        <v>5786</v>
      </c>
      <c r="T7868" s="1" t="s">
        <v>5787</v>
      </c>
      <c r="U7868" s="2" t="s">
        <v>2966</v>
      </c>
      <c r="V7868" s="2" t="s">
        <v>47</v>
      </c>
      <c r="W7868" s="2" t="s">
        <v>111</v>
      </c>
      <c r="X7868" s="2">
        <v>28.14</v>
      </c>
    </row>
    <row r="7869" spans="1:24" x14ac:dyDescent="0.3">
      <c r="A7869">
        <v>25679</v>
      </c>
      <c r="B7869" t="s">
        <v>14909</v>
      </c>
      <c r="C7869" s="3">
        <v>41741</v>
      </c>
      <c r="D7869" t="s">
        <v>39</v>
      </c>
      <c r="E7869">
        <v>1</v>
      </c>
      <c r="F7869" s="3">
        <f ca="1">41743+(RANDBETWEEN(1,10))</f>
        <v>41747</v>
      </c>
      <c r="G7869" t="s">
        <v>76</v>
      </c>
      <c r="H7869" t="s">
        <v>77</v>
      </c>
      <c r="I7869" t="s">
        <v>52</v>
      </c>
      <c r="J7869">
        <v>8211.4549999999999</v>
      </c>
      <c r="K7869">
        <v>0.08</v>
      </c>
      <c r="L7869">
        <v>0.56999999999999995</v>
      </c>
      <c r="M7869">
        <v>103.95</v>
      </c>
      <c r="N7869">
        <v>-25805.948700000001</v>
      </c>
      <c r="O7869" s="1" t="s">
        <v>40</v>
      </c>
      <c r="P7869" s="1" t="s">
        <v>9603</v>
      </c>
      <c r="Q7869" s="1" t="s">
        <v>9604</v>
      </c>
      <c r="R7869" s="1" t="s">
        <v>43</v>
      </c>
      <c r="S7869" s="1" t="s">
        <v>5786</v>
      </c>
      <c r="T7869" s="1" t="s">
        <v>5787</v>
      </c>
      <c r="U7869" s="2" t="s">
        <v>2100</v>
      </c>
      <c r="V7869" s="2" t="s">
        <v>36</v>
      </c>
      <c r="W7869" s="2" t="s">
        <v>142</v>
      </c>
      <c r="X7869" s="2">
        <v>8925.49</v>
      </c>
    </row>
    <row r="7870" spans="1:24" x14ac:dyDescent="0.3">
      <c r="A7870">
        <v>25680</v>
      </c>
      <c r="B7870" t="s">
        <v>14910</v>
      </c>
      <c r="C7870" s="3">
        <v>41616</v>
      </c>
      <c r="D7870" t="s">
        <v>39</v>
      </c>
      <c r="E7870">
        <v>14</v>
      </c>
      <c r="F7870" s="3">
        <f ca="1">41618+(RANDBETWEEN(1,10))</f>
        <v>41619</v>
      </c>
      <c r="G7870" t="s">
        <v>156</v>
      </c>
      <c r="H7870" t="s">
        <v>27</v>
      </c>
      <c r="I7870" t="s">
        <v>97</v>
      </c>
      <c r="J7870">
        <v>3006.29</v>
      </c>
      <c r="K7870">
        <v>0.05</v>
      </c>
      <c r="L7870">
        <v>0.56000000000000005</v>
      </c>
      <c r="M7870">
        <v>15.75</v>
      </c>
      <c r="N7870">
        <v>28.791</v>
      </c>
      <c r="O7870" s="1" t="s">
        <v>64</v>
      </c>
      <c r="P7870" s="1" t="s">
        <v>11865</v>
      </c>
      <c r="Q7870" s="1" t="s">
        <v>11866</v>
      </c>
      <c r="R7870" s="1" t="s">
        <v>67</v>
      </c>
      <c r="S7870" s="1" t="s">
        <v>4811</v>
      </c>
      <c r="T7870" s="1" t="s">
        <v>4812</v>
      </c>
      <c r="U7870" s="2" t="s">
        <v>1654</v>
      </c>
      <c r="V7870" s="2" t="s">
        <v>47</v>
      </c>
      <c r="W7870" s="2" t="s">
        <v>71</v>
      </c>
      <c r="X7870" s="2">
        <v>213.39500000000001</v>
      </c>
    </row>
    <row r="7871" spans="1:24" x14ac:dyDescent="0.3">
      <c r="A7871">
        <v>25681</v>
      </c>
      <c r="B7871" t="s">
        <v>14910</v>
      </c>
      <c r="C7871" s="3">
        <v>41616</v>
      </c>
      <c r="D7871" t="s">
        <v>39</v>
      </c>
      <c r="E7871">
        <v>19</v>
      </c>
      <c r="F7871" s="3">
        <f ca="1">41617+(RANDBETWEEN(1,10))</f>
        <v>41624</v>
      </c>
      <c r="G7871" t="s">
        <v>26</v>
      </c>
      <c r="H7871" t="s">
        <v>27</v>
      </c>
      <c r="I7871" t="s">
        <v>97</v>
      </c>
      <c r="J7871">
        <v>3462.27</v>
      </c>
      <c r="K7871">
        <v>0.09</v>
      </c>
      <c r="L7871">
        <v>0.55000000000000004</v>
      </c>
      <c r="M7871">
        <v>8.75</v>
      </c>
      <c r="N7871">
        <v>475.923</v>
      </c>
      <c r="O7871" s="1" t="s">
        <v>64</v>
      </c>
      <c r="P7871" s="1" t="s">
        <v>11865</v>
      </c>
      <c r="Q7871" s="1" t="s">
        <v>11866</v>
      </c>
      <c r="R7871" s="1" t="s">
        <v>67</v>
      </c>
      <c r="S7871" s="1" t="s">
        <v>4811</v>
      </c>
      <c r="T7871" s="1" t="s">
        <v>4812</v>
      </c>
      <c r="U7871" s="2">
        <v>6000</v>
      </c>
      <c r="V7871" s="2" t="s">
        <v>36</v>
      </c>
      <c r="W7871" s="2" t="s">
        <v>37</v>
      </c>
      <c r="X7871" s="2">
        <v>230.965</v>
      </c>
    </row>
    <row r="7872" spans="1:24" x14ac:dyDescent="0.3">
      <c r="A7872">
        <v>25682</v>
      </c>
      <c r="B7872" t="s">
        <v>14911</v>
      </c>
      <c r="C7872" s="3">
        <v>41965</v>
      </c>
      <c r="D7872" t="s">
        <v>39</v>
      </c>
      <c r="E7872">
        <v>18</v>
      </c>
      <c r="F7872" s="3">
        <f ca="1">41965+(RANDBETWEEN(1,10))</f>
        <v>41975</v>
      </c>
      <c r="G7872" t="s">
        <v>26</v>
      </c>
      <c r="H7872" t="s">
        <v>63</v>
      </c>
      <c r="I7872" t="s">
        <v>97</v>
      </c>
      <c r="J7872">
        <v>1990.9749999999999</v>
      </c>
      <c r="K7872">
        <v>0.09</v>
      </c>
      <c r="L7872">
        <v>0.81</v>
      </c>
      <c r="M7872">
        <v>122.5</v>
      </c>
      <c r="N7872">
        <v>784.35</v>
      </c>
      <c r="O7872" s="1" t="s">
        <v>87</v>
      </c>
      <c r="P7872" s="1" t="s">
        <v>13219</v>
      </c>
      <c r="Q7872" s="1" t="s">
        <v>13220</v>
      </c>
      <c r="R7872" s="1" t="s">
        <v>90</v>
      </c>
      <c r="S7872" s="1" t="s">
        <v>4962</v>
      </c>
      <c r="T7872" s="1" t="s">
        <v>4963</v>
      </c>
      <c r="U7872" s="2" t="s">
        <v>6867</v>
      </c>
      <c r="V7872" s="2" t="s">
        <v>47</v>
      </c>
      <c r="W7872" s="2" t="s">
        <v>119</v>
      </c>
      <c r="X7872" s="2">
        <v>113.68</v>
      </c>
    </row>
    <row r="7873" spans="1:24" x14ac:dyDescent="0.3">
      <c r="A7873">
        <v>25683</v>
      </c>
      <c r="B7873" t="s">
        <v>14912</v>
      </c>
      <c r="C7873" s="3">
        <v>40646</v>
      </c>
      <c r="D7873" t="s">
        <v>62</v>
      </c>
      <c r="E7873">
        <v>1</v>
      </c>
      <c r="F7873" s="3">
        <f ca="1">40647+(RANDBETWEEN(1,10))</f>
        <v>40648</v>
      </c>
      <c r="G7873" t="s">
        <v>156</v>
      </c>
      <c r="H7873" t="s">
        <v>27</v>
      </c>
      <c r="I7873" t="s">
        <v>86</v>
      </c>
      <c r="J7873">
        <v>51.31</v>
      </c>
      <c r="K7873">
        <v>0.08</v>
      </c>
      <c r="L7873">
        <v>0.37</v>
      </c>
      <c r="M7873">
        <v>39.024999999999999</v>
      </c>
      <c r="N7873">
        <v>-155.45249999999999</v>
      </c>
      <c r="O7873" s="1" t="s">
        <v>29</v>
      </c>
      <c r="P7873" s="1" t="s">
        <v>14173</v>
      </c>
      <c r="Q7873" s="1" t="s">
        <v>14174</v>
      </c>
      <c r="R7873" s="1" t="s">
        <v>32</v>
      </c>
      <c r="S7873" s="1" t="s">
        <v>14175</v>
      </c>
      <c r="T7873" s="1" t="s">
        <v>14176</v>
      </c>
      <c r="U7873" s="2" t="s">
        <v>4160</v>
      </c>
      <c r="V7873" s="2" t="s">
        <v>47</v>
      </c>
      <c r="W7873" s="2" t="s">
        <v>74</v>
      </c>
      <c r="X7873" s="2">
        <v>25.48</v>
      </c>
    </row>
    <row r="7874" spans="1:24" x14ac:dyDescent="0.3">
      <c r="A7874">
        <v>25684</v>
      </c>
      <c r="B7874" t="s">
        <v>14913</v>
      </c>
      <c r="C7874" s="3">
        <v>41718</v>
      </c>
      <c r="D7874" t="s">
        <v>25</v>
      </c>
      <c r="E7874">
        <v>10</v>
      </c>
      <c r="F7874" s="3">
        <f ca="1">41718+(RANDBETWEEN(1,10))</f>
        <v>41724</v>
      </c>
      <c r="G7874" t="s">
        <v>26</v>
      </c>
      <c r="H7874" t="s">
        <v>27</v>
      </c>
      <c r="I7874" t="s">
        <v>28</v>
      </c>
      <c r="J7874">
        <v>2079.63</v>
      </c>
      <c r="K7874">
        <v>0.01</v>
      </c>
      <c r="L7874">
        <v>0.56999999999999995</v>
      </c>
      <c r="M7874">
        <v>13.965</v>
      </c>
      <c r="N7874">
        <v>1434.9447</v>
      </c>
      <c r="O7874" s="1" t="s">
        <v>40</v>
      </c>
      <c r="P7874" s="1" t="s">
        <v>14914</v>
      </c>
      <c r="Q7874" s="1" t="s">
        <v>14915</v>
      </c>
      <c r="R7874" s="1" t="s">
        <v>43</v>
      </c>
      <c r="S7874" s="1" t="s">
        <v>7360</v>
      </c>
      <c r="T7874" s="1" t="s">
        <v>7361</v>
      </c>
      <c r="U7874" s="2" t="s">
        <v>6278</v>
      </c>
      <c r="V7874" s="2" t="s">
        <v>36</v>
      </c>
      <c r="W7874" s="2" t="s">
        <v>37</v>
      </c>
      <c r="X7874" s="2">
        <v>230.965</v>
      </c>
    </row>
    <row r="7875" spans="1:24" x14ac:dyDescent="0.3">
      <c r="A7875">
        <v>25685</v>
      </c>
      <c r="B7875" t="s">
        <v>14916</v>
      </c>
      <c r="C7875" s="3">
        <v>41306</v>
      </c>
      <c r="D7875" t="s">
        <v>62</v>
      </c>
      <c r="E7875">
        <v>6</v>
      </c>
      <c r="F7875" s="3">
        <f ca="1">41309+(RANDBETWEEN(1,10))</f>
        <v>41310</v>
      </c>
      <c r="G7875" t="s">
        <v>76</v>
      </c>
      <c r="H7875" t="s">
        <v>77</v>
      </c>
      <c r="I7875" t="s">
        <v>97</v>
      </c>
      <c r="J7875">
        <v>556.46500000000003</v>
      </c>
      <c r="K7875">
        <v>0.08</v>
      </c>
      <c r="L7875">
        <v>0.6</v>
      </c>
      <c r="M7875">
        <v>50.26</v>
      </c>
      <c r="N7875">
        <v>-435.47</v>
      </c>
      <c r="O7875" s="1" t="s">
        <v>87</v>
      </c>
      <c r="P7875" s="1" t="s">
        <v>6220</v>
      </c>
      <c r="Q7875" s="1" t="s">
        <v>6221</v>
      </c>
      <c r="R7875" s="1" t="s">
        <v>646</v>
      </c>
      <c r="S7875" s="1" t="s">
        <v>2737</v>
      </c>
      <c r="T7875" s="1" t="s">
        <v>2738</v>
      </c>
      <c r="U7875" s="2" t="s">
        <v>4583</v>
      </c>
      <c r="V7875" s="2" t="s">
        <v>83</v>
      </c>
      <c r="W7875" s="2" t="s">
        <v>84</v>
      </c>
      <c r="X7875" s="2">
        <v>90.93</v>
      </c>
    </row>
    <row r="7876" spans="1:24" x14ac:dyDescent="0.3">
      <c r="A7876">
        <v>25686</v>
      </c>
      <c r="B7876" t="s">
        <v>14917</v>
      </c>
      <c r="C7876" s="3">
        <v>41551</v>
      </c>
      <c r="D7876" t="s">
        <v>62</v>
      </c>
      <c r="E7876">
        <v>1</v>
      </c>
      <c r="F7876" s="3">
        <f ca="1">41553+(RANDBETWEEN(1,10))</f>
        <v>41560</v>
      </c>
      <c r="G7876" t="s">
        <v>26</v>
      </c>
      <c r="H7876" t="s">
        <v>51</v>
      </c>
      <c r="I7876" t="s">
        <v>28</v>
      </c>
      <c r="J7876">
        <v>55.475000000000001</v>
      </c>
      <c r="K7876">
        <v>0.05</v>
      </c>
      <c r="L7876">
        <v>0.49</v>
      </c>
      <c r="M7876">
        <v>6.9649999999999999</v>
      </c>
      <c r="N7876">
        <v>-167.79419999999999</v>
      </c>
      <c r="O7876" s="1" t="s">
        <v>225</v>
      </c>
      <c r="P7876" s="1" t="s">
        <v>6770</v>
      </c>
      <c r="Q7876" s="1" t="s">
        <v>6771</v>
      </c>
      <c r="R7876" s="1" t="s">
        <v>228</v>
      </c>
      <c r="S7876" s="1" t="s">
        <v>6772</v>
      </c>
      <c r="T7876" s="1" t="s">
        <v>6773</v>
      </c>
      <c r="U7876" s="2" t="s">
        <v>1903</v>
      </c>
      <c r="V7876" s="2" t="s">
        <v>36</v>
      </c>
      <c r="W7876" s="2" t="s">
        <v>60</v>
      </c>
      <c r="X7876" s="2">
        <v>50.68</v>
      </c>
    </row>
    <row r="7877" spans="1:24" x14ac:dyDescent="0.3">
      <c r="A7877">
        <v>25687</v>
      </c>
      <c r="B7877" t="s">
        <v>14917</v>
      </c>
      <c r="C7877" s="3">
        <v>41551</v>
      </c>
      <c r="D7877" t="s">
        <v>62</v>
      </c>
      <c r="E7877">
        <v>1</v>
      </c>
      <c r="F7877" s="3">
        <f ca="1">41553+(RANDBETWEEN(1,10))</f>
        <v>41558</v>
      </c>
      <c r="G7877" t="s">
        <v>26</v>
      </c>
      <c r="H7877" t="s">
        <v>51</v>
      </c>
      <c r="I7877" t="s">
        <v>28</v>
      </c>
      <c r="J7877">
        <v>167.965</v>
      </c>
      <c r="K7877">
        <v>0.08</v>
      </c>
      <c r="L7877">
        <v>0.83</v>
      </c>
      <c r="M7877">
        <v>8.75</v>
      </c>
      <c r="N7877">
        <v>-1070.60184</v>
      </c>
      <c r="O7877" s="1" t="s">
        <v>225</v>
      </c>
      <c r="P7877" s="1" t="s">
        <v>6770</v>
      </c>
      <c r="Q7877" s="1" t="s">
        <v>6771</v>
      </c>
      <c r="R7877" s="1" t="s">
        <v>228</v>
      </c>
      <c r="S7877" s="1" t="s">
        <v>6772</v>
      </c>
      <c r="T7877" s="1" t="s">
        <v>6773</v>
      </c>
      <c r="U7877" s="2" t="s">
        <v>3513</v>
      </c>
      <c r="V7877" s="2" t="s">
        <v>36</v>
      </c>
      <c r="W7877" s="2" t="s">
        <v>37</v>
      </c>
      <c r="X7877" s="2">
        <v>195.965</v>
      </c>
    </row>
    <row r="7878" spans="1:24" x14ac:dyDescent="0.3">
      <c r="A7878">
        <v>25688</v>
      </c>
      <c r="B7878" t="s">
        <v>14918</v>
      </c>
      <c r="C7878" s="3">
        <v>41037</v>
      </c>
      <c r="D7878" t="s">
        <v>25</v>
      </c>
      <c r="E7878">
        <v>12</v>
      </c>
      <c r="F7878" s="3">
        <f ca="1">41042+(RANDBETWEEN(1,10))</f>
        <v>41043</v>
      </c>
      <c r="G7878" t="s">
        <v>26</v>
      </c>
      <c r="H7878" t="s">
        <v>27</v>
      </c>
      <c r="I7878" t="s">
        <v>97</v>
      </c>
      <c r="J7878">
        <v>225.12</v>
      </c>
      <c r="K7878">
        <v>0.1</v>
      </c>
      <c r="L7878">
        <v>0.38</v>
      </c>
      <c r="M7878">
        <v>4.8650000000000002</v>
      </c>
      <c r="N7878">
        <v>155.33279999999999</v>
      </c>
      <c r="O7878" s="1" t="s">
        <v>29</v>
      </c>
      <c r="P7878" s="1" t="s">
        <v>13339</v>
      </c>
      <c r="Q7878" s="1" t="s">
        <v>13340</v>
      </c>
      <c r="R7878" s="1" t="s">
        <v>675</v>
      </c>
      <c r="S7878" s="1" t="s">
        <v>8134</v>
      </c>
      <c r="T7878" s="1" t="s">
        <v>13341</v>
      </c>
      <c r="U7878" s="2" t="s">
        <v>641</v>
      </c>
      <c r="V7878" s="2" t="s">
        <v>47</v>
      </c>
      <c r="W7878" s="2" t="s">
        <v>48</v>
      </c>
      <c r="X7878" s="2">
        <v>19.88</v>
      </c>
    </row>
    <row r="7879" spans="1:24" x14ac:dyDescent="0.3">
      <c r="A7879">
        <v>25689</v>
      </c>
      <c r="B7879" t="s">
        <v>14919</v>
      </c>
      <c r="C7879" s="3">
        <v>41921</v>
      </c>
      <c r="D7879" t="s">
        <v>62</v>
      </c>
      <c r="E7879">
        <v>15</v>
      </c>
      <c r="F7879" s="3">
        <f ca="1">41923+(RANDBETWEEN(1,10))</f>
        <v>41932</v>
      </c>
      <c r="G7879" t="s">
        <v>26</v>
      </c>
      <c r="H7879" t="s">
        <v>27</v>
      </c>
      <c r="I7879" t="s">
        <v>97</v>
      </c>
      <c r="J7879">
        <v>243.81</v>
      </c>
      <c r="K7879">
        <v>0.1</v>
      </c>
      <c r="L7879">
        <v>0.38</v>
      </c>
      <c r="M7879">
        <v>16.45</v>
      </c>
      <c r="N7879">
        <v>610.34400000000005</v>
      </c>
      <c r="O7879" s="1" t="s">
        <v>87</v>
      </c>
      <c r="P7879" s="1" t="s">
        <v>12927</v>
      </c>
      <c r="Q7879" s="1" t="s">
        <v>12928</v>
      </c>
      <c r="R7879" s="1" t="s">
        <v>398</v>
      </c>
      <c r="S7879" s="1" t="s">
        <v>12929</v>
      </c>
      <c r="T7879" s="1" t="s">
        <v>12930</v>
      </c>
      <c r="U7879" s="2" t="s">
        <v>5182</v>
      </c>
      <c r="V7879" s="2" t="s">
        <v>47</v>
      </c>
      <c r="W7879" s="2" t="s">
        <v>74</v>
      </c>
      <c r="X7879" s="2">
        <v>17.43</v>
      </c>
    </row>
    <row r="7880" spans="1:24" x14ac:dyDescent="0.3">
      <c r="A7880">
        <v>25690</v>
      </c>
      <c r="B7880" t="s">
        <v>14920</v>
      </c>
      <c r="C7880" s="3">
        <v>40810</v>
      </c>
      <c r="D7880" t="s">
        <v>39</v>
      </c>
      <c r="E7880">
        <v>10</v>
      </c>
      <c r="F7880" s="3">
        <f ca="1">40811+(RANDBETWEEN(1,10))</f>
        <v>40814</v>
      </c>
      <c r="G7880" t="s">
        <v>26</v>
      </c>
      <c r="H7880" t="s">
        <v>63</v>
      </c>
      <c r="I7880" t="s">
        <v>28</v>
      </c>
      <c r="J7880">
        <v>1801.7650000000001</v>
      </c>
      <c r="K7880">
        <v>0</v>
      </c>
      <c r="L7880">
        <v>0.83</v>
      </c>
      <c r="M7880">
        <v>122.5</v>
      </c>
      <c r="N7880">
        <v>-2199.33</v>
      </c>
      <c r="O7880" s="1" t="s">
        <v>40</v>
      </c>
      <c r="P7880" s="1" t="s">
        <v>12328</v>
      </c>
      <c r="Q7880" s="1" t="s">
        <v>12329</v>
      </c>
      <c r="R7880" s="1" t="s">
        <v>43</v>
      </c>
      <c r="S7880" s="1" t="s">
        <v>5075</v>
      </c>
      <c r="T7880" s="1" t="s">
        <v>5076</v>
      </c>
      <c r="U7880" s="2" t="s">
        <v>279</v>
      </c>
      <c r="V7880" s="2" t="s">
        <v>47</v>
      </c>
      <c r="W7880" s="2" t="s">
        <v>119</v>
      </c>
      <c r="X7880" s="2">
        <v>171.185</v>
      </c>
    </row>
    <row r="7881" spans="1:24" x14ac:dyDescent="0.3">
      <c r="A7881">
        <v>25691</v>
      </c>
      <c r="B7881" t="s">
        <v>14921</v>
      </c>
      <c r="C7881" s="3">
        <v>40925</v>
      </c>
      <c r="D7881" t="s">
        <v>50</v>
      </c>
      <c r="E7881">
        <v>7</v>
      </c>
      <c r="F7881" s="3">
        <f ca="1">40926+(RANDBETWEEN(1,10))</f>
        <v>40928</v>
      </c>
      <c r="G7881" t="s">
        <v>26</v>
      </c>
      <c r="H7881" t="s">
        <v>96</v>
      </c>
      <c r="I7881" t="s">
        <v>86</v>
      </c>
      <c r="J7881">
        <v>80.78</v>
      </c>
      <c r="K7881">
        <v>0.08</v>
      </c>
      <c r="L7881">
        <v>0.52</v>
      </c>
      <c r="M7881">
        <v>3.43</v>
      </c>
      <c r="N7881">
        <v>24.7912</v>
      </c>
      <c r="O7881" s="1" t="s">
        <v>87</v>
      </c>
      <c r="P7881" s="1" t="s">
        <v>14922</v>
      </c>
      <c r="Q7881" s="1" t="s">
        <v>14923</v>
      </c>
      <c r="R7881" s="1" t="s">
        <v>398</v>
      </c>
      <c r="S7881" s="1" t="s">
        <v>8539</v>
      </c>
      <c r="T7881" s="1" t="s">
        <v>8540</v>
      </c>
      <c r="U7881" s="2" t="s">
        <v>5660</v>
      </c>
      <c r="V7881" s="2" t="s">
        <v>47</v>
      </c>
      <c r="W7881" s="2" t="s">
        <v>104</v>
      </c>
      <c r="X7881" s="2">
        <v>11.48</v>
      </c>
    </row>
    <row r="7882" spans="1:24" x14ac:dyDescent="0.3">
      <c r="A7882">
        <v>25692</v>
      </c>
      <c r="B7882" t="s">
        <v>14921</v>
      </c>
      <c r="C7882" s="3">
        <v>40925</v>
      </c>
      <c r="D7882" t="s">
        <v>50</v>
      </c>
      <c r="E7882">
        <v>10</v>
      </c>
      <c r="F7882" s="3">
        <f ca="1">40926+(RANDBETWEEN(1,10))</f>
        <v>40928</v>
      </c>
      <c r="G7882" t="s">
        <v>26</v>
      </c>
      <c r="H7882" t="s">
        <v>51</v>
      </c>
      <c r="I7882" t="s">
        <v>86</v>
      </c>
      <c r="J7882">
        <v>492.20499999999998</v>
      </c>
      <c r="K7882">
        <v>0.04</v>
      </c>
      <c r="L7882">
        <v>0.56000000000000005</v>
      </c>
      <c r="M7882">
        <v>26.565000000000001</v>
      </c>
      <c r="N7882">
        <v>-353.92700000000002</v>
      </c>
      <c r="O7882" s="1" t="s">
        <v>225</v>
      </c>
      <c r="P7882" s="1" t="s">
        <v>12707</v>
      </c>
      <c r="Q7882" s="1" t="s">
        <v>12708</v>
      </c>
      <c r="R7882" s="1" t="s">
        <v>228</v>
      </c>
      <c r="S7882" s="1" t="s">
        <v>12709</v>
      </c>
      <c r="T7882" s="1" t="s">
        <v>12710</v>
      </c>
      <c r="U7882" s="2" t="s">
        <v>2877</v>
      </c>
      <c r="V7882" s="2" t="s">
        <v>47</v>
      </c>
      <c r="W7882" s="2" t="s">
        <v>94</v>
      </c>
      <c r="X7882" s="2">
        <v>48.65</v>
      </c>
    </row>
    <row r="7883" spans="1:24" x14ac:dyDescent="0.3">
      <c r="A7883">
        <v>25693</v>
      </c>
      <c r="B7883" t="s">
        <v>14924</v>
      </c>
      <c r="C7883" s="3">
        <v>41094</v>
      </c>
      <c r="D7883" t="s">
        <v>62</v>
      </c>
      <c r="E7883">
        <v>12</v>
      </c>
      <c r="F7883" s="3">
        <f ca="1">41096+(RANDBETWEEN(1,10))</f>
        <v>41102</v>
      </c>
      <c r="G7883" t="s">
        <v>26</v>
      </c>
      <c r="H7883" t="s">
        <v>281</v>
      </c>
      <c r="I7883" t="s">
        <v>28</v>
      </c>
      <c r="J7883">
        <v>472.57</v>
      </c>
      <c r="K7883">
        <v>0.09</v>
      </c>
      <c r="L7883">
        <v>0.5</v>
      </c>
      <c r="M7883">
        <v>24.36</v>
      </c>
      <c r="N7883">
        <v>-294.66500000000002</v>
      </c>
      <c r="O7883" s="1" t="s">
        <v>29</v>
      </c>
      <c r="P7883" s="1" t="s">
        <v>9400</v>
      </c>
      <c r="Q7883" s="1" t="s">
        <v>9401</v>
      </c>
      <c r="R7883" s="1" t="s">
        <v>32</v>
      </c>
      <c r="S7883" s="1" t="s">
        <v>6694</v>
      </c>
      <c r="T7883" s="1" t="s">
        <v>6695</v>
      </c>
      <c r="U7883" s="2" t="s">
        <v>709</v>
      </c>
      <c r="V7883" s="2" t="s">
        <v>47</v>
      </c>
      <c r="W7883" s="2" t="s">
        <v>71</v>
      </c>
      <c r="X7883" s="2">
        <v>40.950000000000003</v>
      </c>
    </row>
    <row r="7884" spans="1:24" x14ac:dyDescent="0.3">
      <c r="A7884">
        <v>25694</v>
      </c>
      <c r="B7884" t="s">
        <v>14925</v>
      </c>
      <c r="C7884" s="3">
        <v>41903</v>
      </c>
      <c r="D7884" t="s">
        <v>62</v>
      </c>
      <c r="E7884">
        <v>12</v>
      </c>
      <c r="F7884" s="3">
        <f ca="1">41905+(RANDBETWEEN(1,10))</f>
        <v>41912</v>
      </c>
      <c r="G7884" t="s">
        <v>156</v>
      </c>
      <c r="H7884" t="s">
        <v>51</v>
      </c>
      <c r="I7884" t="s">
        <v>86</v>
      </c>
      <c r="J7884">
        <v>1881.0050000000001</v>
      </c>
      <c r="K7884">
        <v>0.04</v>
      </c>
      <c r="L7884">
        <v>0.57999999999999996</v>
      </c>
      <c r="M7884">
        <v>31.465</v>
      </c>
      <c r="N7884">
        <v>523.03859999999997</v>
      </c>
      <c r="O7884" s="1" t="s">
        <v>40</v>
      </c>
      <c r="P7884" s="1" t="s">
        <v>7663</v>
      </c>
      <c r="Q7884" s="1" t="s">
        <v>7664</v>
      </c>
      <c r="R7884" s="1" t="s">
        <v>43</v>
      </c>
      <c r="S7884" s="1" t="s">
        <v>7665</v>
      </c>
      <c r="T7884" s="1" t="s">
        <v>7666</v>
      </c>
      <c r="U7884" s="2" t="s">
        <v>565</v>
      </c>
      <c r="V7884" s="2" t="s">
        <v>47</v>
      </c>
      <c r="W7884" s="2" t="s">
        <v>104</v>
      </c>
      <c r="X7884" s="2">
        <v>153.93</v>
      </c>
    </row>
    <row r="7885" spans="1:24" x14ac:dyDescent="0.3">
      <c r="A7885">
        <v>25695</v>
      </c>
      <c r="B7885" t="s">
        <v>14926</v>
      </c>
      <c r="C7885" s="3">
        <v>41938</v>
      </c>
      <c r="D7885" t="s">
        <v>39</v>
      </c>
      <c r="E7885">
        <v>15</v>
      </c>
      <c r="F7885" s="3">
        <f ca="1">41939+(RANDBETWEEN(1,10))</f>
        <v>41940</v>
      </c>
      <c r="G7885" t="s">
        <v>26</v>
      </c>
      <c r="H7885" t="s">
        <v>27</v>
      </c>
      <c r="I7885" t="s">
        <v>97</v>
      </c>
      <c r="J7885">
        <v>1042.5450000000001</v>
      </c>
      <c r="K7885">
        <v>0.06</v>
      </c>
      <c r="L7885">
        <v>0.68</v>
      </c>
      <c r="M7885">
        <v>14</v>
      </c>
      <c r="N7885">
        <v>666.82245</v>
      </c>
      <c r="O7885" s="1" t="s">
        <v>64</v>
      </c>
      <c r="P7885" s="1" t="s">
        <v>14927</v>
      </c>
      <c r="Q7885" s="1" t="s">
        <v>14928</v>
      </c>
      <c r="R7885" s="1" t="s">
        <v>128</v>
      </c>
      <c r="S7885" s="1" t="s">
        <v>5562</v>
      </c>
      <c r="T7885" s="1" t="s">
        <v>5563</v>
      </c>
      <c r="U7885" s="2" t="s">
        <v>2334</v>
      </c>
      <c r="V7885" s="2" t="s">
        <v>36</v>
      </c>
      <c r="W7885" s="2" t="s">
        <v>60</v>
      </c>
      <c r="X7885" s="2">
        <v>69.930000000000007</v>
      </c>
    </row>
    <row r="7886" spans="1:24" x14ac:dyDescent="0.3">
      <c r="A7886">
        <v>25696</v>
      </c>
      <c r="B7886" t="s">
        <v>14926</v>
      </c>
      <c r="C7886" s="3">
        <v>41938</v>
      </c>
      <c r="D7886" t="s">
        <v>39</v>
      </c>
      <c r="E7886">
        <v>23</v>
      </c>
      <c r="F7886" s="3">
        <f ca="1">41938+(RANDBETWEEN(1,10))</f>
        <v>41948</v>
      </c>
      <c r="G7886" t="s">
        <v>26</v>
      </c>
      <c r="H7886" t="s">
        <v>27</v>
      </c>
      <c r="I7886" t="s">
        <v>97</v>
      </c>
      <c r="J7886">
        <v>487.86500000000001</v>
      </c>
      <c r="K7886">
        <v>0.05</v>
      </c>
      <c r="L7886">
        <v>0.36</v>
      </c>
      <c r="M7886">
        <v>27.86</v>
      </c>
      <c r="N7886">
        <v>-69.971999999999994</v>
      </c>
      <c r="O7886" s="1" t="s">
        <v>64</v>
      </c>
      <c r="P7886" s="1" t="s">
        <v>14927</v>
      </c>
      <c r="Q7886" s="1" t="s">
        <v>14928</v>
      </c>
      <c r="R7886" s="1" t="s">
        <v>128</v>
      </c>
      <c r="S7886" s="1" t="s">
        <v>5562</v>
      </c>
      <c r="T7886" s="1" t="s">
        <v>5563</v>
      </c>
      <c r="U7886" s="2" t="s">
        <v>3042</v>
      </c>
      <c r="V7886" s="2" t="s">
        <v>47</v>
      </c>
      <c r="W7886" s="2" t="s">
        <v>74</v>
      </c>
      <c r="X7886" s="2">
        <v>20.23</v>
      </c>
    </row>
    <row r="7887" spans="1:24" x14ac:dyDescent="0.3">
      <c r="A7887">
        <v>25697</v>
      </c>
      <c r="B7887" t="s">
        <v>14929</v>
      </c>
      <c r="C7887" s="3">
        <v>41246</v>
      </c>
      <c r="D7887" t="s">
        <v>50</v>
      </c>
      <c r="E7887">
        <v>1</v>
      </c>
      <c r="F7887" s="3">
        <f ca="1">41247+(RANDBETWEEN(1,10))</f>
        <v>41257</v>
      </c>
      <c r="G7887" t="s">
        <v>26</v>
      </c>
      <c r="H7887" t="s">
        <v>51</v>
      </c>
      <c r="I7887" t="s">
        <v>28</v>
      </c>
      <c r="J7887">
        <v>132.61500000000001</v>
      </c>
      <c r="K7887">
        <v>0</v>
      </c>
      <c r="L7887">
        <v>0.43</v>
      </c>
      <c r="M7887">
        <v>6.9649999999999999</v>
      </c>
      <c r="N7887">
        <v>-211.69749999999999</v>
      </c>
      <c r="O7887" s="1" t="s">
        <v>64</v>
      </c>
      <c r="P7887" s="1" t="s">
        <v>12484</v>
      </c>
      <c r="Q7887" s="1" t="s">
        <v>12485</v>
      </c>
      <c r="R7887" s="1" t="s">
        <v>128</v>
      </c>
      <c r="S7887" s="1" t="s">
        <v>939</v>
      </c>
      <c r="T7887" s="1" t="s">
        <v>940</v>
      </c>
      <c r="U7887" s="2" t="s">
        <v>2995</v>
      </c>
      <c r="V7887" s="2" t="s">
        <v>36</v>
      </c>
      <c r="W7887" s="2" t="s">
        <v>60</v>
      </c>
      <c r="X7887" s="2">
        <v>123.935</v>
      </c>
    </row>
    <row r="7888" spans="1:24" x14ac:dyDescent="0.3">
      <c r="A7888">
        <v>25698</v>
      </c>
      <c r="B7888" t="s">
        <v>14930</v>
      </c>
      <c r="C7888" s="3">
        <v>41149</v>
      </c>
      <c r="D7888" t="s">
        <v>148</v>
      </c>
      <c r="E7888">
        <v>15</v>
      </c>
      <c r="F7888" s="3">
        <f ca="1">41151+(RANDBETWEEN(1,10))</f>
        <v>41156</v>
      </c>
      <c r="G7888" t="s">
        <v>26</v>
      </c>
      <c r="H7888" t="s">
        <v>27</v>
      </c>
      <c r="I7888" t="s">
        <v>97</v>
      </c>
      <c r="J7888">
        <v>803.53</v>
      </c>
      <c r="K7888">
        <v>0.01</v>
      </c>
      <c r="L7888">
        <v>0.38</v>
      </c>
      <c r="M7888">
        <v>35.454999999999998</v>
      </c>
      <c r="N7888">
        <v>1329.258</v>
      </c>
      <c r="O7888" s="1" t="s">
        <v>87</v>
      </c>
      <c r="P7888" s="1" t="s">
        <v>14005</v>
      </c>
      <c r="Q7888" s="1" t="s">
        <v>14006</v>
      </c>
      <c r="R7888" s="1" t="s">
        <v>646</v>
      </c>
      <c r="S7888" s="1" t="s">
        <v>6307</v>
      </c>
      <c r="T7888" s="1" t="s">
        <v>6308</v>
      </c>
      <c r="U7888" s="2" t="s">
        <v>5528</v>
      </c>
      <c r="V7888" s="2" t="s">
        <v>47</v>
      </c>
      <c r="W7888" s="2" t="s">
        <v>111</v>
      </c>
      <c r="X7888" s="2">
        <v>53.024999999999999</v>
      </c>
    </row>
    <row r="7889" spans="1:24" x14ac:dyDescent="0.3">
      <c r="A7889">
        <v>25699</v>
      </c>
      <c r="B7889" t="s">
        <v>14931</v>
      </c>
      <c r="C7889" s="3">
        <v>41879</v>
      </c>
      <c r="D7889" t="s">
        <v>148</v>
      </c>
      <c r="E7889">
        <v>2</v>
      </c>
      <c r="F7889" s="3">
        <f ca="1">41881+(RANDBETWEEN(1,10))</f>
        <v>41891</v>
      </c>
      <c r="G7889" t="s">
        <v>26</v>
      </c>
      <c r="H7889" t="s">
        <v>27</v>
      </c>
      <c r="I7889" t="s">
        <v>97</v>
      </c>
      <c r="J7889">
        <v>1136.17</v>
      </c>
      <c r="K7889">
        <v>0.1</v>
      </c>
      <c r="L7889">
        <v>0.57999999999999996</v>
      </c>
      <c r="M7889">
        <v>9.7650000000000006</v>
      </c>
      <c r="N7889">
        <v>-35.475999999999999</v>
      </c>
      <c r="O7889" s="1" t="s">
        <v>87</v>
      </c>
      <c r="P7889" s="1" t="s">
        <v>14005</v>
      </c>
      <c r="Q7889" s="1" t="s">
        <v>14006</v>
      </c>
      <c r="R7889" s="1" t="s">
        <v>646</v>
      </c>
      <c r="S7889" s="1" t="s">
        <v>6307</v>
      </c>
      <c r="T7889" s="1" t="s">
        <v>6308</v>
      </c>
      <c r="U7889" s="2" t="s">
        <v>13444</v>
      </c>
      <c r="V7889" s="2" t="s">
        <v>36</v>
      </c>
      <c r="W7889" s="2" t="s">
        <v>37</v>
      </c>
      <c r="X7889" s="2">
        <v>720.96500000000003</v>
      </c>
    </row>
    <row r="7890" spans="1:24" x14ac:dyDescent="0.3">
      <c r="A7890">
        <v>257</v>
      </c>
      <c r="B7890" t="s">
        <v>14932</v>
      </c>
      <c r="C7890" s="3">
        <v>41831</v>
      </c>
      <c r="D7890" t="s">
        <v>50</v>
      </c>
      <c r="E7890">
        <v>50</v>
      </c>
      <c r="F7890" s="3">
        <f ca="1">41831+(RANDBETWEEN(1,10))</f>
        <v>41833</v>
      </c>
      <c r="G7890" t="s">
        <v>26</v>
      </c>
      <c r="H7890" t="s">
        <v>27</v>
      </c>
      <c r="I7890" t="s">
        <v>97</v>
      </c>
      <c r="J7890">
        <v>1134.7349999999999</v>
      </c>
      <c r="K7890">
        <v>0.03</v>
      </c>
      <c r="L7890">
        <v>0.4</v>
      </c>
      <c r="M7890">
        <v>18.760000000000002</v>
      </c>
      <c r="N7890">
        <v>-334.68518999999998</v>
      </c>
      <c r="O7890" s="1" t="s">
        <v>225</v>
      </c>
      <c r="P7890" s="1" t="s">
        <v>347</v>
      </c>
      <c r="Q7890" s="1" t="s">
        <v>348</v>
      </c>
      <c r="R7890" s="1" t="s">
        <v>228</v>
      </c>
      <c r="S7890" s="1" t="s">
        <v>349</v>
      </c>
      <c r="T7890" s="1" t="s">
        <v>350</v>
      </c>
      <c r="U7890" s="2" t="s">
        <v>1501</v>
      </c>
      <c r="V7890" s="2" t="s">
        <v>47</v>
      </c>
      <c r="W7890" s="2" t="s">
        <v>111</v>
      </c>
      <c r="X7890" s="2">
        <v>21.98</v>
      </c>
    </row>
    <row r="7891" spans="1:24" x14ac:dyDescent="0.3">
      <c r="A7891">
        <v>2570</v>
      </c>
      <c r="B7891" t="s">
        <v>14933</v>
      </c>
      <c r="C7891" s="3">
        <v>41638</v>
      </c>
      <c r="D7891" t="s">
        <v>25</v>
      </c>
      <c r="E7891">
        <v>72</v>
      </c>
      <c r="F7891" s="3">
        <f ca="1">41638+(RANDBETWEEN(1,10))</f>
        <v>41644</v>
      </c>
      <c r="G7891" t="s">
        <v>156</v>
      </c>
      <c r="H7891" t="s">
        <v>51</v>
      </c>
      <c r="I7891" t="s">
        <v>28</v>
      </c>
      <c r="J7891">
        <v>1978.06</v>
      </c>
      <c r="K7891">
        <v>0.1</v>
      </c>
      <c r="L7891">
        <v>0.52</v>
      </c>
      <c r="M7891">
        <v>6.9649999999999999</v>
      </c>
      <c r="N7891">
        <v>75.88</v>
      </c>
      <c r="O7891" s="1" t="s">
        <v>64</v>
      </c>
      <c r="P7891" s="1" t="s">
        <v>339</v>
      </c>
      <c r="Q7891" s="1" t="s">
        <v>340</v>
      </c>
      <c r="R7891" s="1" t="s">
        <v>128</v>
      </c>
      <c r="S7891" s="1" t="s">
        <v>129</v>
      </c>
      <c r="T7891" s="1" t="s">
        <v>341</v>
      </c>
      <c r="U7891" s="2" t="s">
        <v>2853</v>
      </c>
      <c r="V7891" s="2" t="s">
        <v>36</v>
      </c>
      <c r="W7891" s="2" t="s">
        <v>60</v>
      </c>
      <c r="X7891" s="2">
        <v>29.155000000000001</v>
      </c>
    </row>
    <row r="7892" spans="1:24" x14ac:dyDescent="0.3">
      <c r="A7892">
        <v>25700</v>
      </c>
      <c r="B7892" t="s">
        <v>14934</v>
      </c>
      <c r="C7892" s="3">
        <v>41510</v>
      </c>
      <c r="D7892" t="s">
        <v>25</v>
      </c>
      <c r="E7892">
        <v>16</v>
      </c>
      <c r="F7892" s="3">
        <f ca="1">41512+(RANDBETWEEN(1,10))</f>
        <v>41518</v>
      </c>
      <c r="G7892" t="s">
        <v>156</v>
      </c>
      <c r="H7892" t="s">
        <v>63</v>
      </c>
      <c r="I7892" t="s">
        <v>86</v>
      </c>
      <c r="J7892">
        <v>5250</v>
      </c>
      <c r="K7892">
        <v>7.0000000000000007E-2</v>
      </c>
      <c r="L7892" t="s">
        <v>182</v>
      </c>
      <c r="M7892">
        <v>122.5</v>
      </c>
      <c r="N7892">
        <v>-1548.2922000000001</v>
      </c>
      <c r="O7892" s="1" t="s">
        <v>87</v>
      </c>
      <c r="P7892" s="1" t="s">
        <v>14935</v>
      </c>
      <c r="Q7892" s="1" t="s">
        <v>14936</v>
      </c>
      <c r="R7892" s="1" t="s">
        <v>497</v>
      </c>
      <c r="S7892" s="1" t="s">
        <v>11150</v>
      </c>
      <c r="T7892" s="1" t="s">
        <v>11151</v>
      </c>
      <c r="U7892" s="2" t="s">
        <v>186</v>
      </c>
      <c r="V7892" s="2" t="s">
        <v>47</v>
      </c>
      <c r="W7892" s="2" t="s">
        <v>119</v>
      </c>
      <c r="X7892" s="2">
        <v>335.96499999999997</v>
      </c>
    </row>
    <row r="7893" spans="1:24" x14ac:dyDescent="0.3">
      <c r="A7893">
        <v>25701</v>
      </c>
      <c r="B7893" t="s">
        <v>14934</v>
      </c>
      <c r="C7893" s="3">
        <v>41510</v>
      </c>
      <c r="D7893" t="s">
        <v>25</v>
      </c>
      <c r="E7893">
        <v>24</v>
      </c>
      <c r="F7893" s="3">
        <f ca="1">41517+(RANDBETWEEN(1,10))</f>
        <v>41525</v>
      </c>
      <c r="G7893" t="s">
        <v>26</v>
      </c>
      <c r="H7893" t="s">
        <v>27</v>
      </c>
      <c r="I7893" t="s">
        <v>86</v>
      </c>
      <c r="J7893">
        <v>10861.48</v>
      </c>
      <c r="K7893">
        <v>0.08</v>
      </c>
      <c r="L7893">
        <v>0.57999999999999996</v>
      </c>
      <c r="M7893">
        <v>31.465</v>
      </c>
      <c r="N7893">
        <v>7494.4211999999998</v>
      </c>
      <c r="O7893" s="1" t="s">
        <v>40</v>
      </c>
      <c r="P7893" s="1" t="s">
        <v>14937</v>
      </c>
      <c r="Q7893" s="1" t="s">
        <v>14938</v>
      </c>
      <c r="R7893" s="1" t="s">
        <v>43</v>
      </c>
      <c r="S7893" s="1" t="s">
        <v>5804</v>
      </c>
      <c r="T7893" s="1" t="s">
        <v>5379</v>
      </c>
      <c r="U7893" s="2" t="s">
        <v>1265</v>
      </c>
      <c r="V7893" s="2" t="s">
        <v>36</v>
      </c>
      <c r="W7893" s="2" t="s">
        <v>37</v>
      </c>
      <c r="X7893" s="2">
        <v>545.96500000000003</v>
      </c>
    </row>
    <row r="7894" spans="1:24" x14ac:dyDescent="0.3">
      <c r="A7894">
        <v>25702</v>
      </c>
      <c r="B7894" t="s">
        <v>14939</v>
      </c>
      <c r="C7894" s="3">
        <v>41010</v>
      </c>
      <c r="D7894" t="s">
        <v>25</v>
      </c>
      <c r="E7894">
        <v>5</v>
      </c>
      <c r="F7894" s="3">
        <f ca="1">41010+(RANDBETWEEN(1,10))</f>
        <v>41019</v>
      </c>
      <c r="G7894" t="s">
        <v>26</v>
      </c>
      <c r="H7894" t="s">
        <v>27</v>
      </c>
      <c r="I7894" t="s">
        <v>28</v>
      </c>
      <c r="J7894">
        <v>966.84</v>
      </c>
      <c r="K7894">
        <v>0.05</v>
      </c>
      <c r="L7894">
        <v>0.59</v>
      </c>
      <c r="M7894">
        <v>26.914999999999999</v>
      </c>
      <c r="N7894">
        <v>2.4885000000000002</v>
      </c>
      <c r="O7894" s="1" t="s">
        <v>87</v>
      </c>
      <c r="P7894" s="1" t="s">
        <v>14940</v>
      </c>
      <c r="Q7894" s="1" t="s">
        <v>14941</v>
      </c>
      <c r="R7894" s="1" t="s">
        <v>398</v>
      </c>
      <c r="S7894" s="1" t="s">
        <v>3402</v>
      </c>
      <c r="T7894" s="1" t="s">
        <v>3403</v>
      </c>
      <c r="U7894" s="2">
        <v>5190</v>
      </c>
      <c r="V7894" s="2" t="s">
        <v>36</v>
      </c>
      <c r="W7894" s="2" t="s">
        <v>37</v>
      </c>
      <c r="X7894" s="2">
        <v>230.965</v>
      </c>
    </row>
    <row r="7895" spans="1:24" x14ac:dyDescent="0.3">
      <c r="A7895">
        <v>25703</v>
      </c>
      <c r="B7895" t="s">
        <v>14942</v>
      </c>
      <c r="C7895" s="3">
        <v>41580</v>
      </c>
      <c r="D7895" t="s">
        <v>148</v>
      </c>
      <c r="E7895">
        <v>17</v>
      </c>
      <c r="F7895" s="3">
        <f ca="1">41581+(RANDBETWEEN(1,10))</f>
        <v>41583</v>
      </c>
      <c r="G7895" t="s">
        <v>156</v>
      </c>
      <c r="H7895" t="s">
        <v>27</v>
      </c>
      <c r="I7895" t="s">
        <v>97</v>
      </c>
      <c r="J7895">
        <v>156.80000000000001</v>
      </c>
      <c r="K7895">
        <v>0.03</v>
      </c>
      <c r="L7895">
        <v>0.37</v>
      </c>
      <c r="M7895">
        <v>16.765000000000001</v>
      </c>
      <c r="N7895">
        <v>45.418100000000003</v>
      </c>
      <c r="O7895" s="1" t="s">
        <v>53</v>
      </c>
      <c r="P7895" s="1" t="s">
        <v>14808</v>
      </c>
      <c r="Q7895" s="1" t="s">
        <v>14809</v>
      </c>
      <c r="R7895" s="1" t="s">
        <v>440</v>
      </c>
      <c r="S7895" s="1" t="s">
        <v>2443</v>
      </c>
      <c r="T7895" s="1" t="s">
        <v>2444</v>
      </c>
      <c r="U7895" s="2" t="s">
        <v>10064</v>
      </c>
      <c r="V7895" s="2" t="s">
        <v>47</v>
      </c>
      <c r="W7895" s="2" t="s">
        <v>111</v>
      </c>
      <c r="X7895" s="2">
        <v>6.3</v>
      </c>
    </row>
    <row r="7896" spans="1:24" x14ac:dyDescent="0.3">
      <c r="A7896">
        <v>25704</v>
      </c>
      <c r="B7896" t="s">
        <v>14943</v>
      </c>
      <c r="C7896" s="3">
        <v>41118</v>
      </c>
      <c r="D7896" t="s">
        <v>25</v>
      </c>
      <c r="E7896">
        <v>4</v>
      </c>
      <c r="F7896" s="3">
        <f ca="1">41122+(RANDBETWEEN(1,10))</f>
        <v>41123</v>
      </c>
      <c r="G7896" t="s">
        <v>26</v>
      </c>
      <c r="H7896" t="s">
        <v>27</v>
      </c>
      <c r="I7896" t="s">
        <v>28</v>
      </c>
      <c r="J7896">
        <v>701.01499999999999</v>
      </c>
      <c r="K7896">
        <v>0.09</v>
      </c>
      <c r="L7896">
        <v>0.62</v>
      </c>
      <c r="M7896">
        <v>19.25</v>
      </c>
      <c r="N7896">
        <v>-224.86099999999999</v>
      </c>
      <c r="O7896" s="1" t="s">
        <v>29</v>
      </c>
      <c r="P7896" s="1" t="s">
        <v>14944</v>
      </c>
      <c r="Q7896" s="1" t="s">
        <v>14945</v>
      </c>
      <c r="R7896" s="1" t="s">
        <v>460</v>
      </c>
      <c r="S7896" s="1" t="s">
        <v>14366</v>
      </c>
      <c r="T7896" s="1" t="s">
        <v>5696</v>
      </c>
      <c r="U7896" s="2" t="s">
        <v>2236</v>
      </c>
      <c r="V7896" s="2" t="s">
        <v>36</v>
      </c>
      <c r="W7896" s="2" t="s">
        <v>60</v>
      </c>
      <c r="X7896" s="2">
        <v>188.93</v>
      </c>
    </row>
    <row r="7897" spans="1:24" x14ac:dyDescent="0.3">
      <c r="A7897">
        <v>25705</v>
      </c>
      <c r="B7897" t="s">
        <v>14943</v>
      </c>
      <c r="C7897" s="3">
        <v>41118</v>
      </c>
      <c r="D7897" t="s">
        <v>25</v>
      </c>
      <c r="E7897">
        <v>2</v>
      </c>
      <c r="F7897" s="3">
        <f ca="1">41120+(RANDBETWEEN(1,10))</f>
        <v>41121</v>
      </c>
      <c r="G7897" t="s">
        <v>26</v>
      </c>
      <c r="H7897" t="s">
        <v>96</v>
      </c>
      <c r="I7897" t="s">
        <v>28</v>
      </c>
      <c r="J7897">
        <v>23.87</v>
      </c>
      <c r="K7897">
        <v>0.03</v>
      </c>
      <c r="L7897">
        <v>0.56999999999999995</v>
      </c>
      <c r="M7897">
        <v>7.1050000000000004</v>
      </c>
      <c r="N7897">
        <v>307.10399999999998</v>
      </c>
      <c r="O7897" s="1" t="s">
        <v>29</v>
      </c>
      <c r="P7897" s="1" t="s">
        <v>14944</v>
      </c>
      <c r="Q7897" s="1" t="s">
        <v>14945</v>
      </c>
      <c r="R7897" s="1" t="s">
        <v>460</v>
      </c>
      <c r="S7897" s="1" t="s">
        <v>14366</v>
      </c>
      <c r="T7897" s="1" t="s">
        <v>5696</v>
      </c>
      <c r="U7897" s="2" t="s">
        <v>7905</v>
      </c>
      <c r="V7897" s="2" t="s">
        <v>47</v>
      </c>
      <c r="W7897" s="2" t="s">
        <v>104</v>
      </c>
      <c r="X7897" s="2">
        <v>10.43</v>
      </c>
    </row>
    <row r="7898" spans="1:24" x14ac:dyDescent="0.3">
      <c r="A7898">
        <v>25706</v>
      </c>
      <c r="B7898" t="s">
        <v>14946</v>
      </c>
      <c r="C7898" s="3">
        <v>41918</v>
      </c>
      <c r="D7898" t="s">
        <v>25</v>
      </c>
      <c r="E7898">
        <v>17</v>
      </c>
      <c r="F7898" s="3">
        <f ca="1">41920+(RANDBETWEEN(1,10))</f>
        <v>41930</v>
      </c>
      <c r="G7898" t="s">
        <v>26</v>
      </c>
      <c r="H7898" t="s">
        <v>27</v>
      </c>
      <c r="I7898" t="s">
        <v>28</v>
      </c>
      <c r="J7898">
        <v>4566.38</v>
      </c>
      <c r="K7898">
        <v>0</v>
      </c>
      <c r="L7898">
        <v>0.57999999999999996</v>
      </c>
      <c r="M7898">
        <v>9.7650000000000006</v>
      </c>
      <c r="N7898">
        <v>2556.7919999999999</v>
      </c>
      <c r="O7898" s="1" t="s">
        <v>53</v>
      </c>
      <c r="P7898" s="1" t="s">
        <v>11845</v>
      </c>
      <c r="Q7898" s="1" t="s">
        <v>11846</v>
      </c>
      <c r="R7898" s="1" t="s">
        <v>440</v>
      </c>
      <c r="S7898" s="1" t="s">
        <v>1071</v>
      </c>
      <c r="T7898" s="1" t="s">
        <v>1072</v>
      </c>
      <c r="U7898" s="2">
        <v>6340</v>
      </c>
      <c r="V7898" s="2" t="s">
        <v>36</v>
      </c>
      <c r="W7898" s="2" t="s">
        <v>37</v>
      </c>
      <c r="X7898" s="2">
        <v>300.96499999999997</v>
      </c>
    </row>
    <row r="7899" spans="1:24" x14ac:dyDescent="0.3">
      <c r="A7899">
        <v>25707</v>
      </c>
      <c r="B7899" t="s">
        <v>14947</v>
      </c>
      <c r="C7899" s="3">
        <v>41976</v>
      </c>
      <c r="D7899" t="s">
        <v>62</v>
      </c>
      <c r="E7899">
        <v>3</v>
      </c>
      <c r="F7899" s="3">
        <f ca="1">41976+(RANDBETWEEN(1,10))</f>
        <v>41985</v>
      </c>
      <c r="G7899" t="s">
        <v>156</v>
      </c>
      <c r="H7899" t="s">
        <v>63</v>
      </c>
      <c r="I7899" t="s">
        <v>52</v>
      </c>
      <c r="J7899">
        <v>1765.54</v>
      </c>
      <c r="K7899">
        <v>0.02</v>
      </c>
      <c r="L7899">
        <v>0.79</v>
      </c>
      <c r="M7899">
        <v>241.5</v>
      </c>
      <c r="N7899">
        <v>-595.03774714999997</v>
      </c>
      <c r="O7899" s="1" t="s">
        <v>87</v>
      </c>
      <c r="P7899" s="1" t="s">
        <v>14948</v>
      </c>
      <c r="Q7899" s="1" t="s">
        <v>14949</v>
      </c>
      <c r="R7899" s="1" t="s">
        <v>497</v>
      </c>
      <c r="S7899" s="1" t="s">
        <v>11150</v>
      </c>
      <c r="T7899" s="1" t="s">
        <v>11151</v>
      </c>
      <c r="U7899" s="2" t="s">
        <v>3449</v>
      </c>
      <c r="V7899" s="2" t="s">
        <v>83</v>
      </c>
      <c r="W7899" s="2" t="s">
        <v>263</v>
      </c>
      <c r="X7899" s="2">
        <v>732.79499999999996</v>
      </c>
    </row>
    <row r="7900" spans="1:24" x14ac:dyDescent="0.3">
      <c r="A7900">
        <v>25708</v>
      </c>
      <c r="B7900" t="s">
        <v>14947</v>
      </c>
      <c r="C7900" s="3">
        <v>41976</v>
      </c>
      <c r="D7900" t="s">
        <v>62</v>
      </c>
      <c r="E7900">
        <v>7</v>
      </c>
      <c r="F7900" s="3">
        <f ca="1">41977+(RANDBETWEEN(1,10))</f>
        <v>41985</v>
      </c>
      <c r="G7900" t="s">
        <v>156</v>
      </c>
      <c r="H7900" t="s">
        <v>27</v>
      </c>
      <c r="I7900" t="s">
        <v>52</v>
      </c>
      <c r="J7900">
        <v>180.32</v>
      </c>
      <c r="K7900">
        <v>7.0000000000000007E-2</v>
      </c>
      <c r="L7900">
        <v>0.37</v>
      </c>
      <c r="M7900">
        <v>17.989999999999998</v>
      </c>
      <c r="N7900">
        <v>-17.957519999999999</v>
      </c>
      <c r="O7900" s="1" t="s">
        <v>87</v>
      </c>
      <c r="P7900" s="1" t="s">
        <v>14950</v>
      </c>
      <c r="Q7900" s="1" t="s">
        <v>14951</v>
      </c>
      <c r="R7900" s="1" t="s">
        <v>90</v>
      </c>
      <c r="S7900" s="1" t="s">
        <v>653</v>
      </c>
      <c r="T7900" s="1" t="s">
        <v>654</v>
      </c>
      <c r="U7900" s="2" t="s">
        <v>146</v>
      </c>
      <c r="V7900" s="2" t="s">
        <v>47</v>
      </c>
      <c r="W7900" s="2" t="s">
        <v>74</v>
      </c>
      <c r="X7900" s="2">
        <v>22.68</v>
      </c>
    </row>
    <row r="7901" spans="1:24" x14ac:dyDescent="0.3">
      <c r="A7901">
        <v>25709</v>
      </c>
      <c r="B7901" t="s">
        <v>14952</v>
      </c>
      <c r="C7901" s="3">
        <v>40809</v>
      </c>
      <c r="D7901" t="s">
        <v>25</v>
      </c>
      <c r="E7901">
        <v>18</v>
      </c>
      <c r="F7901" s="3">
        <f ca="1">40814+(RANDBETWEEN(1,10))</f>
        <v>40820</v>
      </c>
      <c r="G7901" t="s">
        <v>26</v>
      </c>
      <c r="H7901" t="s">
        <v>96</v>
      </c>
      <c r="I7901" t="s">
        <v>28</v>
      </c>
      <c r="J7901">
        <v>1141.105</v>
      </c>
      <c r="K7901">
        <v>0.06</v>
      </c>
      <c r="L7901">
        <v>0.37</v>
      </c>
      <c r="M7901">
        <v>3.4649999999999999</v>
      </c>
      <c r="N7901">
        <v>787.36244999999997</v>
      </c>
      <c r="O7901" s="1" t="s">
        <v>40</v>
      </c>
      <c r="P7901" s="1" t="s">
        <v>14559</v>
      </c>
      <c r="Q7901" s="1" t="s">
        <v>14560</v>
      </c>
      <c r="R7901" s="1" t="s">
        <v>43</v>
      </c>
      <c r="S7901" s="1" t="s">
        <v>1443</v>
      </c>
      <c r="T7901" s="1" t="s">
        <v>14561</v>
      </c>
      <c r="U7901" s="2" t="s">
        <v>3359</v>
      </c>
      <c r="V7901" s="2" t="s">
        <v>36</v>
      </c>
      <c r="W7901" s="2" t="s">
        <v>37</v>
      </c>
      <c r="X7901" s="2">
        <v>73.465000000000003</v>
      </c>
    </row>
    <row r="7902" spans="1:24" x14ac:dyDescent="0.3">
      <c r="A7902">
        <v>2571</v>
      </c>
      <c r="B7902" t="s">
        <v>14953</v>
      </c>
      <c r="C7902" s="3">
        <v>40552</v>
      </c>
      <c r="D7902" t="s">
        <v>50</v>
      </c>
      <c r="E7902">
        <v>9</v>
      </c>
      <c r="F7902" s="3">
        <f ca="1">40553+(RANDBETWEEN(1,10))</f>
        <v>40563</v>
      </c>
      <c r="G7902" t="s">
        <v>26</v>
      </c>
      <c r="H7902" t="s">
        <v>27</v>
      </c>
      <c r="I7902" t="s">
        <v>97</v>
      </c>
      <c r="J7902">
        <v>160.54499999999999</v>
      </c>
      <c r="K7902">
        <v>0.02</v>
      </c>
      <c r="L7902">
        <v>0.39</v>
      </c>
      <c r="M7902">
        <v>24.114999999999998</v>
      </c>
      <c r="N7902">
        <v>-181.0795</v>
      </c>
      <c r="O7902" s="1" t="s">
        <v>225</v>
      </c>
      <c r="P7902" s="1" t="s">
        <v>347</v>
      </c>
      <c r="Q7902" s="1" t="s">
        <v>348</v>
      </c>
      <c r="R7902" s="1" t="s">
        <v>228</v>
      </c>
      <c r="S7902" s="1" t="s">
        <v>349</v>
      </c>
      <c r="T7902" s="1" t="s">
        <v>350</v>
      </c>
      <c r="U7902" s="2" t="s">
        <v>3963</v>
      </c>
      <c r="V7902" s="2" t="s">
        <v>47</v>
      </c>
      <c r="W7902" s="2" t="s">
        <v>203</v>
      </c>
      <c r="X7902" s="2">
        <v>14.455</v>
      </c>
    </row>
    <row r="7903" spans="1:24" x14ac:dyDescent="0.3">
      <c r="A7903">
        <v>25710</v>
      </c>
      <c r="B7903" t="s">
        <v>14954</v>
      </c>
      <c r="C7903" s="3">
        <v>41715</v>
      </c>
      <c r="D7903" t="s">
        <v>39</v>
      </c>
      <c r="E7903">
        <v>3</v>
      </c>
      <c r="F7903" s="3">
        <f ca="1">41716+(RANDBETWEEN(1,10))</f>
        <v>41721</v>
      </c>
      <c r="G7903" t="s">
        <v>156</v>
      </c>
      <c r="H7903" t="s">
        <v>51</v>
      </c>
      <c r="I7903" t="s">
        <v>97</v>
      </c>
      <c r="J7903">
        <v>58.66</v>
      </c>
      <c r="K7903">
        <v>0.08</v>
      </c>
      <c r="L7903">
        <v>0.66</v>
      </c>
      <c r="M7903">
        <v>17.254999999999999</v>
      </c>
      <c r="N7903">
        <v>-167.405</v>
      </c>
      <c r="O7903" s="1" t="s">
        <v>87</v>
      </c>
      <c r="P7903" s="1" t="s">
        <v>14955</v>
      </c>
      <c r="Q7903" s="1" t="s">
        <v>14956</v>
      </c>
      <c r="R7903" s="1" t="s">
        <v>646</v>
      </c>
      <c r="S7903" s="1" t="s">
        <v>2982</v>
      </c>
      <c r="T7903" s="1" t="s">
        <v>2686</v>
      </c>
      <c r="U7903" s="2" t="s">
        <v>1387</v>
      </c>
      <c r="V7903" s="2" t="s">
        <v>36</v>
      </c>
      <c r="W7903" s="2" t="s">
        <v>60</v>
      </c>
      <c r="X7903" s="2">
        <v>17.114999999999998</v>
      </c>
    </row>
    <row r="7904" spans="1:24" x14ac:dyDescent="0.3">
      <c r="A7904">
        <v>25711</v>
      </c>
      <c r="B7904" t="s">
        <v>14957</v>
      </c>
      <c r="C7904" s="3">
        <v>41705</v>
      </c>
      <c r="D7904" t="s">
        <v>148</v>
      </c>
      <c r="E7904">
        <v>1</v>
      </c>
      <c r="F7904" s="3">
        <f ca="1">41706+(RANDBETWEEN(1,10))</f>
        <v>41709</v>
      </c>
      <c r="G7904" t="s">
        <v>26</v>
      </c>
      <c r="H7904" t="s">
        <v>27</v>
      </c>
      <c r="I7904" t="s">
        <v>86</v>
      </c>
      <c r="J7904">
        <v>173.63499999999999</v>
      </c>
      <c r="K7904">
        <v>0</v>
      </c>
      <c r="L7904">
        <v>0.4</v>
      </c>
      <c r="M7904">
        <v>59.78</v>
      </c>
      <c r="N7904">
        <v>-146.37</v>
      </c>
      <c r="O7904" s="1" t="s">
        <v>87</v>
      </c>
      <c r="P7904" s="1" t="s">
        <v>14199</v>
      </c>
      <c r="Q7904" s="1" t="s">
        <v>14200</v>
      </c>
      <c r="R7904" s="1" t="s">
        <v>646</v>
      </c>
      <c r="S7904" s="1" t="s">
        <v>5282</v>
      </c>
      <c r="T7904" s="1" t="s">
        <v>5283</v>
      </c>
      <c r="U7904" s="2" t="s">
        <v>6956</v>
      </c>
      <c r="V7904" s="2" t="s">
        <v>47</v>
      </c>
      <c r="W7904" s="2" t="s">
        <v>74</v>
      </c>
      <c r="X7904" s="2">
        <v>108.43</v>
      </c>
    </row>
    <row r="7905" spans="1:24" x14ac:dyDescent="0.3">
      <c r="A7905">
        <v>25712</v>
      </c>
      <c r="B7905" t="s">
        <v>14958</v>
      </c>
      <c r="C7905" s="3">
        <v>40930</v>
      </c>
      <c r="D7905" t="s">
        <v>148</v>
      </c>
      <c r="E7905">
        <v>1</v>
      </c>
      <c r="F7905" s="3">
        <f ca="1">40931+(RANDBETWEEN(1,10))</f>
        <v>40940</v>
      </c>
      <c r="G7905" t="s">
        <v>26</v>
      </c>
      <c r="H7905" t="s">
        <v>27</v>
      </c>
      <c r="I7905" t="s">
        <v>97</v>
      </c>
      <c r="J7905">
        <v>122.99</v>
      </c>
      <c r="K7905">
        <v>0.02</v>
      </c>
      <c r="L7905">
        <v>0.37</v>
      </c>
      <c r="M7905">
        <v>21.945</v>
      </c>
      <c r="N7905">
        <v>-55.350189999999998</v>
      </c>
      <c r="O7905" s="1" t="s">
        <v>40</v>
      </c>
      <c r="P7905" s="1" t="s">
        <v>14959</v>
      </c>
      <c r="Q7905" s="1" t="s">
        <v>14960</v>
      </c>
      <c r="R7905" s="1" t="s">
        <v>43</v>
      </c>
      <c r="S7905" s="1" t="s">
        <v>1943</v>
      </c>
      <c r="T7905" s="1" t="s">
        <v>1944</v>
      </c>
      <c r="U7905" s="2" t="s">
        <v>3223</v>
      </c>
      <c r="V7905" s="2" t="s">
        <v>47</v>
      </c>
      <c r="W7905" s="2" t="s">
        <v>111</v>
      </c>
      <c r="X7905" s="2">
        <v>102.095</v>
      </c>
    </row>
    <row r="7906" spans="1:24" x14ac:dyDescent="0.3">
      <c r="A7906">
        <v>25713</v>
      </c>
      <c r="B7906" t="s">
        <v>14961</v>
      </c>
      <c r="C7906" s="3">
        <v>41344</v>
      </c>
      <c r="D7906" t="s">
        <v>148</v>
      </c>
      <c r="E7906">
        <v>4</v>
      </c>
      <c r="F7906" s="3">
        <f ca="1">41346+(RANDBETWEEN(1,10))</f>
        <v>41353</v>
      </c>
      <c r="G7906" t="s">
        <v>76</v>
      </c>
      <c r="H7906" t="s">
        <v>77</v>
      </c>
      <c r="I7906" t="s">
        <v>52</v>
      </c>
      <c r="J7906">
        <v>1442.28</v>
      </c>
      <c r="K7906">
        <v>7.0000000000000007E-2</v>
      </c>
      <c r="L7906">
        <v>0.61</v>
      </c>
      <c r="M7906">
        <v>147</v>
      </c>
      <c r="N7906">
        <v>-735.49</v>
      </c>
      <c r="O7906" s="1" t="s">
        <v>29</v>
      </c>
      <c r="P7906" s="1" t="s">
        <v>14295</v>
      </c>
      <c r="Q7906" s="1" t="s">
        <v>14296</v>
      </c>
      <c r="R7906" s="1" t="s">
        <v>32</v>
      </c>
      <c r="S7906" s="1" t="s">
        <v>14297</v>
      </c>
      <c r="T7906" s="1" t="s">
        <v>14298</v>
      </c>
      <c r="U7906" s="2" t="s">
        <v>10308</v>
      </c>
      <c r="V7906" s="2" t="s">
        <v>83</v>
      </c>
      <c r="W7906" s="2" t="s">
        <v>84</v>
      </c>
      <c r="X7906" s="2">
        <v>353.11500000000001</v>
      </c>
    </row>
    <row r="7907" spans="1:24" x14ac:dyDescent="0.3">
      <c r="A7907">
        <v>25714</v>
      </c>
      <c r="B7907" t="s">
        <v>14962</v>
      </c>
      <c r="C7907" s="3">
        <v>41930</v>
      </c>
      <c r="D7907" t="s">
        <v>25</v>
      </c>
      <c r="E7907">
        <v>17</v>
      </c>
      <c r="F7907" s="3">
        <f ca="1">41934+(RANDBETWEEN(1,10))</f>
        <v>41944</v>
      </c>
      <c r="G7907" t="s">
        <v>26</v>
      </c>
      <c r="H7907" t="s">
        <v>96</v>
      </c>
      <c r="I7907" t="s">
        <v>28</v>
      </c>
      <c r="J7907">
        <v>589.54</v>
      </c>
      <c r="K7907">
        <v>0.05</v>
      </c>
      <c r="L7907">
        <v>0.39</v>
      </c>
      <c r="M7907">
        <v>7.21</v>
      </c>
      <c r="N7907">
        <v>-44.737000000000002</v>
      </c>
      <c r="O7907" s="1" t="s">
        <v>53</v>
      </c>
      <c r="P7907" s="1" t="s">
        <v>14963</v>
      </c>
      <c r="Q7907" s="1" t="s">
        <v>14964</v>
      </c>
      <c r="R7907" s="1" t="s">
        <v>440</v>
      </c>
      <c r="S7907" s="1" t="s">
        <v>7556</v>
      </c>
      <c r="T7907" s="1" t="s">
        <v>7557</v>
      </c>
      <c r="U7907" s="2" t="s">
        <v>2438</v>
      </c>
      <c r="V7907" s="2" t="s">
        <v>47</v>
      </c>
      <c r="W7907" s="2" t="s">
        <v>74</v>
      </c>
      <c r="X7907" s="2">
        <v>35.21</v>
      </c>
    </row>
    <row r="7908" spans="1:24" x14ac:dyDescent="0.3">
      <c r="A7908">
        <v>25715</v>
      </c>
      <c r="B7908" t="s">
        <v>14965</v>
      </c>
      <c r="C7908" s="3">
        <v>41931</v>
      </c>
      <c r="D7908" t="s">
        <v>148</v>
      </c>
      <c r="E7908">
        <v>15</v>
      </c>
      <c r="F7908" s="3">
        <f ca="1">41933+(RANDBETWEEN(1,10))</f>
        <v>41936</v>
      </c>
      <c r="G7908" t="s">
        <v>26</v>
      </c>
      <c r="H7908" t="s">
        <v>27</v>
      </c>
      <c r="I7908" t="s">
        <v>86</v>
      </c>
      <c r="J7908">
        <v>1025.8499999999999</v>
      </c>
      <c r="K7908">
        <v>0.1</v>
      </c>
      <c r="L7908">
        <v>0.37</v>
      </c>
      <c r="M7908">
        <v>30.38</v>
      </c>
      <c r="N7908">
        <v>40.662300000000002</v>
      </c>
      <c r="O7908" s="1" t="s">
        <v>225</v>
      </c>
      <c r="P7908" s="1" t="s">
        <v>14358</v>
      </c>
      <c r="Q7908" s="1" t="s">
        <v>14359</v>
      </c>
      <c r="R7908" s="1" t="s">
        <v>391</v>
      </c>
      <c r="S7908" s="1" t="s">
        <v>3958</v>
      </c>
      <c r="T7908" s="1" t="s">
        <v>3959</v>
      </c>
      <c r="U7908" s="2" t="s">
        <v>3983</v>
      </c>
      <c r="V7908" s="2" t="s">
        <v>47</v>
      </c>
      <c r="W7908" s="2" t="s">
        <v>74</v>
      </c>
      <c r="X7908" s="2">
        <v>69.930000000000007</v>
      </c>
    </row>
    <row r="7909" spans="1:24" x14ac:dyDescent="0.3">
      <c r="A7909">
        <v>25716</v>
      </c>
      <c r="B7909" t="s">
        <v>14966</v>
      </c>
      <c r="C7909" s="3">
        <v>41853</v>
      </c>
      <c r="D7909" t="s">
        <v>62</v>
      </c>
      <c r="E7909">
        <v>1</v>
      </c>
      <c r="F7909" s="3">
        <f ca="1">41854+(RANDBETWEEN(1,10))</f>
        <v>41861</v>
      </c>
      <c r="G7909" t="s">
        <v>76</v>
      </c>
      <c r="H7909" t="s">
        <v>77</v>
      </c>
      <c r="I7909" t="s">
        <v>28</v>
      </c>
      <c r="J7909">
        <v>1290.31</v>
      </c>
      <c r="K7909">
        <v>0.01</v>
      </c>
      <c r="L7909">
        <v>0.56000000000000005</v>
      </c>
      <c r="M7909">
        <v>226.55500000000001</v>
      </c>
      <c r="N7909">
        <v>-245.75040000000001</v>
      </c>
      <c r="O7909" s="1" t="s">
        <v>64</v>
      </c>
      <c r="P7909" s="1" t="s">
        <v>7688</v>
      </c>
      <c r="Q7909" s="1" t="s">
        <v>7689</v>
      </c>
      <c r="R7909" s="1" t="s">
        <v>67</v>
      </c>
      <c r="S7909" s="1" t="s">
        <v>7690</v>
      </c>
      <c r="T7909" s="1" t="s">
        <v>7691</v>
      </c>
      <c r="U7909" s="2" t="s">
        <v>3031</v>
      </c>
      <c r="V7909" s="2" t="s">
        <v>83</v>
      </c>
      <c r="W7909" s="2" t="s">
        <v>84</v>
      </c>
      <c r="X7909" s="2">
        <v>1053.43</v>
      </c>
    </row>
    <row r="7910" spans="1:24" x14ac:dyDescent="0.3">
      <c r="A7910">
        <v>25717</v>
      </c>
      <c r="B7910" t="s">
        <v>14967</v>
      </c>
      <c r="C7910" s="3">
        <v>41728</v>
      </c>
      <c r="D7910" t="s">
        <v>25</v>
      </c>
      <c r="E7910">
        <v>5</v>
      </c>
      <c r="F7910" s="3">
        <f ca="1">41728+(RANDBETWEEN(1,10))</f>
        <v>41734</v>
      </c>
      <c r="G7910" t="s">
        <v>26</v>
      </c>
      <c r="H7910" t="s">
        <v>96</v>
      </c>
      <c r="I7910" t="s">
        <v>28</v>
      </c>
      <c r="J7910">
        <v>19.495000000000001</v>
      </c>
      <c r="K7910">
        <v>0.09</v>
      </c>
      <c r="L7910">
        <v>0.38</v>
      </c>
      <c r="M7910">
        <v>2.4500000000000002</v>
      </c>
      <c r="N7910">
        <v>-9.31</v>
      </c>
      <c r="O7910" s="1" t="s">
        <v>87</v>
      </c>
      <c r="P7910" s="1" t="s">
        <v>14968</v>
      </c>
      <c r="Q7910" s="1" t="s">
        <v>14969</v>
      </c>
      <c r="R7910" s="1" t="s">
        <v>90</v>
      </c>
      <c r="S7910" s="1" t="s">
        <v>14970</v>
      </c>
      <c r="T7910" s="1" t="s">
        <v>14971</v>
      </c>
      <c r="U7910" s="2" t="s">
        <v>293</v>
      </c>
      <c r="V7910" s="2" t="s">
        <v>47</v>
      </c>
      <c r="W7910" s="2" t="s">
        <v>176</v>
      </c>
      <c r="X7910" s="2">
        <v>3.99</v>
      </c>
    </row>
    <row r="7911" spans="1:24" x14ac:dyDescent="0.3">
      <c r="A7911">
        <v>25718</v>
      </c>
      <c r="B7911" t="s">
        <v>14972</v>
      </c>
      <c r="C7911" s="3">
        <v>40594</v>
      </c>
      <c r="D7911" t="s">
        <v>39</v>
      </c>
      <c r="E7911">
        <v>9</v>
      </c>
      <c r="F7911" s="3">
        <f ca="1">40596+(RANDBETWEEN(1,10))</f>
        <v>40598</v>
      </c>
      <c r="G7911" t="s">
        <v>26</v>
      </c>
      <c r="H7911" t="s">
        <v>27</v>
      </c>
      <c r="I7911" t="s">
        <v>52</v>
      </c>
      <c r="J7911">
        <v>136.11500000000001</v>
      </c>
      <c r="K7911">
        <v>0.03</v>
      </c>
      <c r="L7911">
        <v>0.6</v>
      </c>
      <c r="M7911">
        <v>24.114999999999998</v>
      </c>
      <c r="N7911">
        <v>-648.09500000000003</v>
      </c>
      <c r="O7911" s="1" t="s">
        <v>29</v>
      </c>
      <c r="P7911" s="1" t="s">
        <v>14973</v>
      </c>
      <c r="Q7911" s="1" t="s">
        <v>14974</v>
      </c>
      <c r="R7911" s="1" t="s">
        <v>460</v>
      </c>
      <c r="S7911" s="1" t="s">
        <v>14975</v>
      </c>
      <c r="T7911" s="1" t="s">
        <v>14976</v>
      </c>
      <c r="U7911" s="2" t="s">
        <v>3815</v>
      </c>
      <c r="V7911" s="2" t="s">
        <v>47</v>
      </c>
      <c r="W7911" s="2" t="s">
        <v>71</v>
      </c>
      <c r="X7911" s="2">
        <v>14.21</v>
      </c>
    </row>
    <row r="7912" spans="1:24" x14ac:dyDescent="0.3">
      <c r="A7912">
        <v>25719</v>
      </c>
      <c r="B7912" t="s">
        <v>14972</v>
      </c>
      <c r="C7912" s="3">
        <v>40594</v>
      </c>
      <c r="D7912" t="s">
        <v>39</v>
      </c>
      <c r="E7912">
        <v>12</v>
      </c>
      <c r="F7912" s="3">
        <f ca="1">40595+(RANDBETWEEN(1,10))</f>
        <v>40599</v>
      </c>
      <c r="G7912" t="s">
        <v>26</v>
      </c>
      <c r="H7912" t="s">
        <v>27</v>
      </c>
      <c r="I7912" t="s">
        <v>52</v>
      </c>
      <c r="J7912">
        <v>157.91999999999999</v>
      </c>
      <c r="K7912">
        <v>0.01</v>
      </c>
      <c r="L7912">
        <v>0.37</v>
      </c>
      <c r="M7912">
        <v>1.75</v>
      </c>
      <c r="N7912">
        <v>108.9648</v>
      </c>
      <c r="O7912" s="1" t="s">
        <v>29</v>
      </c>
      <c r="P7912" s="1" t="s">
        <v>14973</v>
      </c>
      <c r="Q7912" s="1" t="s">
        <v>14974</v>
      </c>
      <c r="R7912" s="1" t="s">
        <v>460</v>
      </c>
      <c r="S7912" s="1" t="s">
        <v>14975</v>
      </c>
      <c r="T7912" s="1" t="s">
        <v>14976</v>
      </c>
      <c r="U7912" s="2" t="s">
        <v>2907</v>
      </c>
      <c r="V7912" s="2" t="s">
        <v>47</v>
      </c>
      <c r="W7912" s="2" t="s">
        <v>203</v>
      </c>
      <c r="X7912" s="2">
        <v>13.125</v>
      </c>
    </row>
    <row r="7913" spans="1:24" x14ac:dyDescent="0.3">
      <c r="A7913">
        <v>25720</v>
      </c>
      <c r="B7913" t="s">
        <v>14972</v>
      </c>
      <c r="C7913" s="3">
        <v>40594</v>
      </c>
      <c r="D7913" t="s">
        <v>39</v>
      </c>
      <c r="E7913">
        <v>8</v>
      </c>
      <c r="F7913" s="3">
        <f ca="1">40596+(RANDBETWEEN(1,10))</f>
        <v>40606</v>
      </c>
      <c r="G7913" t="s">
        <v>26</v>
      </c>
      <c r="H7913" t="s">
        <v>63</v>
      </c>
      <c r="I7913" t="s">
        <v>52</v>
      </c>
      <c r="J7913">
        <v>316.57499999999999</v>
      </c>
      <c r="K7913">
        <v>0.02</v>
      </c>
      <c r="L7913">
        <v>0.6</v>
      </c>
      <c r="M7913">
        <v>45.64</v>
      </c>
      <c r="N7913">
        <v>-808.67499999999995</v>
      </c>
      <c r="O7913" s="1" t="s">
        <v>29</v>
      </c>
      <c r="P7913" s="1" t="s">
        <v>14973</v>
      </c>
      <c r="Q7913" s="1" t="s">
        <v>14974</v>
      </c>
      <c r="R7913" s="1" t="s">
        <v>460</v>
      </c>
      <c r="S7913" s="1" t="s">
        <v>14975</v>
      </c>
      <c r="T7913" s="1" t="s">
        <v>14976</v>
      </c>
      <c r="U7913" s="2" t="s">
        <v>13682</v>
      </c>
      <c r="V7913" s="2" t="s">
        <v>83</v>
      </c>
      <c r="W7913" s="2" t="s">
        <v>178</v>
      </c>
      <c r="X7913" s="2">
        <v>37.380000000000003</v>
      </c>
    </row>
    <row r="7914" spans="1:24" x14ac:dyDescent="0.3">
      <c r="A7914">
        <v>25721</v>
      </c>
      <c r="B7914" t="s">
        <v>14977</v>
      </c>
      <c r="C7914" s="3">
        <v>41863</v>
      </c>
      <c r="D7914" t="s">
        <v>148</v>
      </c>
      <c r="E7914">
        <v>25</v>
      </c>
      <c r="F7914" s="3">
        <f ca="1">41863+(RANDBETWEEN(1,10))</f>
        <v>41870</v>
      </c>
      <c r="G7914" t="s">
        <v>26</v>
      </c>
      <c r="H7914" t="s">
        <v>27</v>
      </c>
      <c r="I7914" t="s">
        <v>28</v>
      </c>
      <c r="J7914">
        <v>1131.97</v>
      </c>
      <c r="K7914">
        <v>0</v>
      </c>
      <c r="L7914">
        <v>0.43</v>
      </c>
      <c r="M7914">
        <v>18.059999999999999</v>
      </c>
      <c r="N7914">
        <v>778.69371999999998</v>
      </c>
      <c r="O7914" s="1" t="s">
        <v>53</v>
      </c>
      <c r="P7914" s="1" t="s">
        <v>13684</v>
      </c>
      <c r="Q7914" s="1" t="s">
        <v>13685</v>
      </c>
      <c r="R7914" s="1" t="s">
        <v>56</v>
      </c>
      <c r="S7914" s="1" t="s">
        <v>13686</v>
      </c>
      <c r="T7914" s="1" t="s">
        <v>13687</v>
      </c>
      <c r="U7914" s="2" t="s">
        <v>2445</v>
      </c>
      <c r="V7914" s="2" t="s">
        <v>83</v>
      </c>
      <c r="W7914" s="2" t="s">
        <v>178</v>
      </c>
      <c r="X7914" s="2">
        <v>44.03</v>
      </c>
    </row>
    <row r="7915" spans="1:24" x14ac:dyDescent="0.3">
      <c r="A7915">
        <v>25722</v>
      </c>
      <c r="B7915" t="s">
        <v>14978</v>
      </c>
      <c r="C7915" s="3">
        <v>41986</v>
      </c>
      <c r="D7915" t="s">
        <v>39</v>
      </c>
      <c r="E7915">
        <v>7</v>
      </c>
      <c r="F7915" s="3">
        <f ca="1">41988+(RANDBETWEEN(1,10))</f>
        <v>41998</v>
      </c>
      <c r="G7915" t="s">
        <v>26</v>
      </c>
      <c r="H7915" t="s">
        <v>27</v>
      </c>
      <c r="I7915" t="s">
        <v>86</v>
      </c>
      <c r="J7915">
        <v>94.885000000000005</v>
      </c>
      <c r="K7915">
        <v>0.05</v>
      </c>
      <c r="L7915">
        <v>0.39</v>
      </c>
      <c r="M7915">
        <v>8.75</v>
      </c>
      <c r="N7915">
        <v>-9.6902399999999993</v>
      </c>
      <c r="O7915" s="1" t="s">
        <v>87</v>
      </c>
      <c r="P7915" s="1" t="s">
        <v>4608</v>
      </c>
      <c r="Q7915" s="1" t="s">
        <v>4609</v>
      </c>
      <c r="R7915" s="1" t="s">
        <v>497</v>
      </c>
      <c r="S7915" s="1" t="s">
        <v>4610</v>
      </c>
      <c r="T7915" s="1" t="s">
        <v>4611</v>
      </c>
      <c r="U7915" s="2" t="s">
        <v>7012</v>
      </c>
      <c r="V7915" s="2" t="s">
        <v>47</v>
      </c>
      <c r="W7915" s="2" t="s">
        <v>48</v>
      </c>
      <c r="X7915" s="2">
        <v>12.914999999999999</v>
      </c>
    </row>
    <row r="7916" spans="1:24" x14ac:dyDescent="0.3">
      <c r="A7916">
        <v>25723</v>
      </c>
      <c r="B7916" t="s">
        <v>14979</v>
      </c>
      <c r="C7916" s="3">
        <v>41897</v>
      </c>
      <c r="D7916" t="s">
        <v>50</v>
      </c>
      <c r="E7916">
        <v>16</v>
      </c>
      <c r="F7916" s="3">
        <f ca="1">41899+(RANDBETWEEN(1,10))</f>
        <v>41909</v>
      </c>
      <c r="G7916" t="s">
        <v>76</v>
      </c>
      <c r="H7916" t="s">
        <v>258</v>
      </c>
      <c r="I7916" t="s">
        <v>52</v>
      </c>
      <c r="J7916">
        <v>16210.565000000001</v>
      </c>
      <c r="K7916">
        <v>0.05</v>
      </c>
      <c r="L7916">
        <v>0.66</v>
      </c>
      <c r="M7916">
        <v>124.845</v>
      </c>
      <c r="N7916">
        <v>-84.243250000000003</v>
      </c>
      <c r="O7916" s="1" t="s">
        <v>87</v>
      </c>
      <c r="P7916" s="1" t="s">
        <v>14230</v>
      </c>
      <c r="Q7916" s="1" t="s">
        <v>14231</v>
      </c>
      <c r="R7916" s="1" t="s">
        <v>90</v>
      </c>
      <c r="S7916" s="1" t="s">
        <v>2095</v>
      </c>
      <c r="T7916" s="1" t="s">
        <v>2096</v>
      </c>
      <c r="U7916" s="2" t="s">
        <v>1073</v>
      </c>
      <c r="V7916" s="2" t="s">
        <v>83</v>
      </c>
      <c r="W7916" s="2" t="s">
        <v>263</v>
      </c>
      <c r="X7916" s="2">
        <v>983.43</v>
      </c>
    </row>
    <row r="7917" spans="1:24" x14ac:dyDescent="0.3">
      <c r="A7917">
        <v>25724</v>
      </c>
      <c r="B7917" t="s">
        <v>14980</v>
      </c>
      <c r="C7917" s="3">
        <v>40565</v>
      </c>
      <c r="D7917" t="s">
        <v>148</v>
      </c>
      <c r="E7917">
        <v>12</v>
      </c>
      <c r="F7917" s="3">
        <f ca="1">40567+(RANDBETWEEN(1,10))</f>
        <v>40570</v>
      </c>
      <c r="G7917" t="s">
        <v>26</v>
      </c>
      <c r="H7917" t="s">
        <v>27</v>
      </c>
      <c r="I7917" t="s">
        <v>86</v>
      </c>
      <c r="J7917">
        <v>115.57</v>
      </c>
      <c r="K7917">
        <v>7.0000000000000007E-2</v>
      </c>
      <c r="L7917">
        <v>0.38</v>
      </c>
      <c r="M7917">
        <v>1.75</v>
      </c>
      <c r="N7917">
        <v>1545.579</v>
      </c>
      <c r="O7917" s="1" t="s">
        <v>64</v>
      </c>
      <c r="P7917" s="1" t="s">
        <v>11865</v>
      </c>
      <c r="Q7917" s="1" t="s">
        <v>11866</v>
      </c>
      <c r="R7917" s="1" t="s">
        <v>67</v>
      </c>
      <c r="S7917" s="1" t="s">
        <v>4811</v>
      </c>
      <c r="T7917" s="1" t="s">
        <v>4812</v>
      </c>
      <c r="U7917" s="2" t="s">
        <v>468</v>
      </c>
      <c r="V7917" s="2" t="s">
        <v>47</v>
      </c>
      <c r="W7917" s="2" t="s">
        <v>203</v>
      </c>
      <c r="X7917" s="2">
        <v>10.115</v>
      </c>
    </row>
    <row r="7918" spans="1:24" x14ac:dyDescent="0.3">
      <c r="A7918">
        <v>25725</v>
      </c>
      <c r="B7918" t="s">
        <v>14980</v>
      </c>
      <c r="C7918" s="3">
        <v>40565</v>
      </c>
      <c r="D7918" t="s">
        <v>148</v>
      </c>
      <c r="E7918">
        <v>10</v>
      </c>
      <c r="F7918" s="3">
        <f ca="1">40566+(RANDBETWEEN(1,10))</f>
        <v>40568</v>
      </c>
      <c r="G7918" t="s">
        <v>76</v>
      </c>
      <c r="H7918" t="s">
        <v>258</v>
      </c>
      <c r="I7918" t="s">
        <v>86</v>
      </c>
      <c r="J7918">
        <v>7955.85</v>
      </c>
      <c r="K7918">
        <v>0</v>
      </c>
      <c r="L7918">
        <v>0.68</v>
      </c>
      <c r="M7918">
        <v>101.85</v>
      </c>
      <c r="N7918">
        <v>1379.595</v>
      </c>
      <c r="O7918" s="1" t="s">
        <v>64</v>
      </c>
      <c r="P7918" s="1" t="s">
        <v>11865</v>
      </c>
      <c r="Q7918" s="1" t="s">
        <v>11866</v>
      </c>
      <c r="R7918" s="1" t="s">
        <v>67</v>
      </c>
      <c r="S7918" s="1" t="s">
        <v>4811</v>
      </c>
      <c r="T7918" s="1" t="s">
        <v>4812</v>
      </c>
      <c r="U7918" s="2" t="s">
        <v>13573</v>
      </c>
      <c r="V7918" s="2" t="s">
        <v>83</v>
      </c>
      <c r="W7918" s="2" t="s">
        <v>263</v>
      </c>
      <c r="X7918" s="2">
        <v>762.47500000000002</v>
      </c>
    </row>
    <row r="7919" spans="1:24" x14ac:dyDescent="0.3">
      <c r="A7919">
        <v>25726</v>
      </c>
      <c r="B7919" t="s">
        <v>14981</v>
      </c>
      <c r="C7919" s="3">
        <v>41356</v>
      </c>
      <c r="D7919" t="s">
        <v>50</v>
      </c>
      <c r="E7919">
        <v>6</v>
      </c>
      <c r="F7919" s="3">
        <f ca="1">41357+(RANDBETWEEN(1,10))</f>
        <v>41367</v>
      </c>
      <c r="G7919" t="s">
        <v>156</v>
      </c>
      <c r="H7919" t="s">
        <v>27</v>
      </c>
      <c r="I7919" t="s">
        <v>86</v>
      </c>
      <c r="J7919">
        <v>49.07</v>
      </c>
      <c r="K7919">
        <v>0.06</v>
      </c>
      <c r="L7919">
        <v>0.41</v>
      </c>
      <c r="M7919">
        <v>17.010000000000002</v>
      </c>
      <c r="N7919">
        <v>-225.29499999999999</v>
      </c>
      <c r="O7919" s="1" t="s">
        <v>64</v>
      </c>
      <c r="P7919" s="1" t="s">
        <v>11306</v>
      </c>
      <c r="Q7919" s="1" t="s">
        <v>11307</v>
      </c>
      <c r="R7919" s="1" t="s">
        <v>67</v>
      </c>
      <c r="S7919" s="1" t="s">
        <v>11308</v>
      </c>
      <c r="T7919" s="1" t="s">
        <v>11309</v>
      </c>
      <c r="U7919" s="2" t="s">
        <v>4017</v>
      </c>
      <c r="V7919" s="2" t="s">
        <v>83</v>
      </c>
      <c r="W7919" s="2" t="s">
        <v>178</v>
      </c>
      <c r="X7919" s="2">
        <v>6.16</v>
      </c>
    </row>
    <row r="7920" spans="1:24" x14ac:dyDescent="0.3">
      <c r="A7920">
        <v>25727</v>
      </c>
      <c r="B7920" t="s">
        <v>14981</v>
      </c>
      <c r="C7920" s="3">
        <v>41356</v>
      </c>
      <c r="D7920" t="s">
        <v>50</v>
      </c>
      <c r="E7920">
        <v>9</v>
      </c>
      <c r="F7920" s="3">
        <f ca="1">41357+(RANDBETWEEN(1,10))</f>
        <v>41362</v>
      </c>
      <c r="G7920" t="s">
        <v>26</v>
      </c>
      <c r="H7920" t="s">
        <v>27</v>
      </c>
      <c r="I7920" t="s">
        <v>86</v>
      </c>
      <c r="J7920">
        <v>298.27</v>
      </c>
      <c r="K7920">
        <v>0.08</v>
      </c>
      <c r="L7920">
        <v>0.56999999999999995</v>
      </c>
      <c r="M7920">
        <v>25.48</v>
      </c>
      <c r="N7920">
        <v>-408.31</v>
      </c>
      <c r="O7920" s="1" t="s">
        <v>87</v>
      </c>
      <c r="P7920" s="1" t="s">
        <v>14982</v>
      </c>
      <c r="Q7920" s="1" t="s">
        <v>14983</v>
      </c>
      <c r="R7920" s="1" t="s">
        <v>90</v>
      </c>
      <c r="S7920" s="1" t="s">
        <v>14984</v>
      </c>
      <c r="T7920" s="1" t="s">
        <v>14985</v>
      </c>
      <c r="U7920" s="2" t="s">
        <v>6887</v>
      </c>
      <c r="V7920" s="2" t="s">
        <v>47</v>
      </c>
      <c r="W7920" s="2" t="s">
        <v>119</v>
      </c>
      <c r="X7920" s="2">
        <v>32.83</v>
      </c>
    </row>
    <row r="7921" spans="1:24" x14ac:dyDescent="0.3">
      <c r="A7921">
        <v>25728</v>
      </c>
      <c r="B7921" t="s">
        <v>14986</v>
      </c>
      <c r="C7921" s="3">
        <v>41384</v>
      </c>
      <c r="D7921" t="s">
        <v>39</v>
      </c>
      <c r="E7921">
        <v>7</v>
      </c>
      <c r="F7921" s="3">
        <f ca="1">41386+(RANDBETWEEN(1,10))</f>
        <v>41389</v>
      </c>
      <c r="G7921" t="s">
        <v>26</v>
      </c>
      <c r="H7921" t="s">
        <v>27</v>
      </c>
      <c r="I7921" t="s">
        <v>28</v>
      </c>
      <c r="J7921">
        <v>69.265000000000001</v>
      </c>
      <c r="K7921">
        <v>7.0000000000000007E-2</v>
      </c>
      <c r="L7921">
        <v>0.36</v>
      </c>
      <c r="M7921">
        <v>3.4649999999999999</v>
      </c>
      <c r="N7921">
        <v>-934.822</v>
      </c>
      <c r="O7921" s="1" t="s">
        <v>87</v>
      </c>
      <c r="P7921" s="1" t="s">
        <v>12166</v>
      </c>
      <c r="Q7921" s="1" t="s">
        <v>12167</v>
      </c>
      <c r="R7921" s="1" t="s">
        <v>497</v>
      </c>
      <c r="S7921" s="1" t="s">
        <v>7247</v>
      </c>
      <c r="T7921" s="1" t="s">
        <v>7248</v>
      </c>
      <c r="U7921" s="2" t="s">
        <v>3527</v>
      </c>
      <c r="V7921" s="2" t="s">
        <v>47</v>
      </c>
      <c r="W7921" s="2" t="s">
        <v>203</v>
      </c>
      <c r="X7921" s="2">
        <v>10.08</v>
      </c>
    </row>
    <row r="7922" spans="1:24" x14ac:dyDescent="0.3">
      <c r="A7922">
        <v>25729</v>
      </c>
      <c r="B7922" t="s">
        <v>14987</v>
      </c>
      <c r="C7922" s="3">
        <v>41271</v>
      </c>
      <c r="D7922" t="s">
        <v>39</v>
      </c>
      <c r="E7922">
        <v>6</v>
      </c>
      <c r="F7922" s="3">
        <f ca="1">41273+(RANDBETWEEN(1,10))</f>
        <v>41279</v>
      </c>
      <c r="G7922" t="s">
        <v>26</v>
      </c>
      <c r="H7922" t="s">
        <v>27</v>
      </c>
      <c r="I7922" t="s">
        <v>52</v>
      </c>
      <c r="J7922">
        <v>3348.1</v>
      </c>
      <c r="K7922">
        <v>0.03</v>
      </c>
      <c r="L7922">
        <v>0.59</v>
      </c>
      <c r="M7922">
        <v>24.745000000000001</v>
      </c>
      <c r="N7922">
        <v>2310.1889999999999</v>
      </c>
      <c r="O7922" s="1" t="s">
        <v>64</v>
      </c>
      <c r="P7922" s="1" t="s">
        <v>14837</v>
      </c>
      <c r="Q7922" s="1" t="s">
        <v>14838</v>
      </c>
      <c r="R7922" s="1" t="s">
        <v>128</v>
      </c>
      <c r="S7922" s="1" t="s">
        <v>7972</v>
      </c>
      <c r="T7922" s="1" t="s">
        <v>7973</v>
      </c>
      <c r="U7922" s="2" t="s">
        <v>3378</v>
      </c>
      <c r="V7922" s="2" t="s">
        <v>47</v>
      </c>
      <c r="W7922" s="2" t="s">
        <v>119</v>
      </c>
      <c r="X7922" s="2">
        <v>542.71</v>
      </c>
    </row>
    <row r="7923" spans="1:24" x14ac:dyDescent="0.3">
      <c r="A7923">
        <v>25730</v>
      </c>
      <c r="B7923" t="s">
        <v>14988</v>
      </c>
      <c r="C7923" s="3">
        <v>41922</v>
      </c>
      <c r="D7923" t="s">
        <v>62</v>
      </c>
      <c r="E7923">
        <v>4</v>
      </c>
      <c r="F7923" s="3">
        <f ca="1">41923+(RANDBETWEEN(1,10))</f>
        <v>41932</v>
      </c>
      <c r="G7923" t="s">
        <v>26</v>
      </c>
      <c r="H7923" t="s">
        <v>27</v>
      </c>
      <c r="I7923" t="s">
        <v>28</v>
      </c>
      <c r="J7923">
        <v>774.34</v>
      </c>
      <c r="K7923">
        <v>0.1</v>
      </c>
      <c r="L7923">
        <v>0.68</v>
      </c>
      <c r="M7923">
        <v>22.925000000000001</v>
      </c>
      <c r="N7923">
        <v>-716.27499999999998</v>
      </c>
      <c r="O7923" s="1" t="s">
        <v>29</v>
      </c>
      <c r="P7923" s="1" t="s">
        <v>14989</v>
      </c>
      <c r="Q7923" s="1" t="s">
        <v>14990</v>
      </c>
      <c r="R7923" s="1" t="s">
        <v>32</v>
      </c>
      <c r="S7923" s="1" t="s">
        <v>13096</v>
      </c>
      <c r="T7923" s="1" t="s">
        <v>13097</v>
      </c>
      <c r="U7923" s="2" t="s">
        <v>2020</v>
      </c>
      <c r="V7923" s="2" t="s">
        <v>36</v>
      </c>
      <c r="W7923" s="2" t="s">
        <v>60</v>
      </c>
      <c r="X7923" s="2">
        <v>195.79</v>
      </c>
    </row>
    <row r="7924" spans="1:24" x14ac:dyDescent="0.3">
      <c r="A7924">
        <v>25731</v>
      </c>
      <c r="B7924" t="s">
        <v>14991</v>
      </c>
      <c r="C7924" s="3">
        <v>40553</v>
      </c>
      <c r="D7924" t="s">
        <v>62</v>
      </c>
      <c r="E7924">
        <v>8</v>
      </c>
      <c r="F7924" s="3">
        <f ca="1">40554+(RANDBETWEEN(1,10))</f>
        <v>40563</v>
      </c>
      <c r="G7924" t="s">
        <v>76</v>
      </c>
      <c r="H7924" t="s">
        <v>258</v>
      </c>
      <c r="I7924" t="s">
        <v>52</v>
      </c>
      <c r="J7924">
        <v>1930.2850000000001</v>
      </c>
      <c r="K7924">
        <v>0.05</v>
      </c>
      <c r="L7924">
        <v>0.56000000000000005</v>
      </c>
      <c r="M7924">
        <v>163.59</v>
      </c>
      <c r="N7924">
        <v>-2977.2833999999998</v>
      </c>
      <c r="O7924" s="1" t="s">
        <v>64</v>
      </c>
      <c r="P7924" s="1" t="s">
        <v>13918</v>
      </c>
      <c r="Q7924" s="1" t="s">
        <v>13919</v>
      </c>
      <c r="R7924" s="1" t="s">
        <v>67</v>
      </c>
      <c r="S7924" s="1" t="s">
        <v>13920</v>
      </c>
      <c r="T7924" s="1" t="s">
        <v>13921</v>
      </c>
      <c r="U7924" s="2" t="s">
        <v>1107</v>
      </c>
      <c r="V7924" s="2" t="s">
        <v>83</v>
      </c>
      <c r="W7924" s="2" t="s">
        <v>298</v>
      </c>
      <c r="X7924" s="2">
        <v>248.43</v>
      </c>
    </row>
    <row r="7925" spans="1:24" x14ac:dyDescent="0.3">
      <c r="A7925">
        <v>25732</v>
      </c>
      <c r="B7925" t="s">
        <v>14991</v>
      </c>
      <c r="C7925" s="3">
        <v>40553</v>
      </c>
      <c r="D7925" t="s">
        <v>62</v>
      </c>
      <c r="E7925">
        <v>12</v>
      </c>
      <c r="F7925" s="3">
        <f ca="1">40555+(RANDBETWEEN(1,10))</f>
        <v>40563</v>
      </c>
      <c r="G7925" t="s">
        <v>26</v>
      </c>
      <c r="H7925" t="s">
        <v>96</v>
      </c>
      <c r="I7925" t="s">
        <v>52</v>
      </c>
      <c r="J7925">
        <v>499.76499999999999</v>
      </c>
      <c r="K7925">
        <v>0.05</v>
      </c>
      <c r="L7925">
        <v>0.55000000000000004</v>
      </c>
      <c r="M7925">
        <v>8.26</v>
      </c>
      <c r="N7925">
        <v>344.83785</v>
      </c>
      <c r="O7925" s="1" t="s">
        <v>64</v>
      </c>
      <c r="P7925" s="1" t="s">
        <v>13918</v>
      </c>
      <c r="Q7925" s="1" t="s">
        <v>13919</v>
      </c>
      <c r="R7925" s="1" t="s">
        <v>67</v>
      </c>
      <c r="S7925" s="1" t="s">
        <v>13920</v>
      </c>
      <c r="T7925" s="1" t="s">
        <v>13921</v>
      </c>
      <c r="U7925" s="2" t="s">
        <v>2967</v>
      </c>
      <c r="V7925" s="2" t="s">
        <v>47</v>
      </c>
      <c r="W7925" s="2" t="s">
        <v>104</v>
      </c>
      <c r="X7925" s="2">
        <v>40.424999999999997</v>
      </c>
    </row>
    <row r="7926" spans="1:24" x14ac:dyDescent="0.3">
      <c r="A7926">
        <v>25733</v>
      </c>
      <c r="B7926" t="s">
        <v>14992</v>
      </c>
      <c r="C7926" s="3">
        <v>41796</v>
      </c>
      <c r="D7926" t="s">
        <v>62</v>
      </c>
      <c r="E7926">
        <v>8</v>
      </c>
      <c r="F7926" s="3">
        <f ca="1">41797+(RANDBETWEEN(1,10))</f>
        <v>41805</v>
      </c>
      <c r="G7926" t="s">
        <v>26</v>
      </c>
      <c r="H7926" t="s">
        <v>96</v>
      </c>
      <c r="I7926" t="s">
        <v>52</v>
      </c>
      <c r="J7926">
        <v>181.02</v>
      </c>
      <c r="K7926">
        <v>0.02</v>
      </c>
      <c r="L7926">
        <v>0.4</v>
      </c>
      <c r="M7926">
        <v>4.2699999999999996</v>
      </c>
      <c r="N7926">
        <v>124.9038</v>
      </c>
      <c r="O7926" s="1" t="s">
        <v>87</v>
      </c>
      <c r="P7926" s="1" t="s">
        <v>14993</v>
      </c>
      <c r="Q7926" s="1" t="s">
        <v>14994</v>
      </c>
      <c r="R7926" s="1" t="s">
        <v>90</v>
      </c>
      <c r="S7926" s="1" t="s">
        <v>14995</v>
      </c>
      <c r="T7926" s="1" t="s">
        <v>4030</v>
      </c>
      <c r="U7926" s="2" t="s">
        <v>5296</v>
      </c>
      <c r="V7926" s="2" t="s">
        <v>47</v>
      </c>
      <c r="W7926" s="2" t="s">
        <v>104</v>
      </c>
      <c r="X7926" s="2">
        <v>22.645</v>
      </c>
    </row>
    <row r="7927" spans="1:24" x14ac:dyDescent="0.3">
      <c r="A7927">
        <v>25734</v>
      </c>
      <c r="B7927" t="s">
        <v>14996</v>
      </c>
      <c r="C7927" s="3">
        <v>40700</v>
      </c>
      <c r="D7927" t="s">
        <v>62</v>
      </c>
      <c r="E7927">
        <v>15</v>
      </c>
      <c r="F7927" s="3">
        <f ca="1">40702+(RANDBETWEEN(1,10))</f>
        <v>40707</v>
      </c>
      <c r="G7927" t="s">
        <v>26</v>
      </c>
      <c r="H7927" t="s">
        <v>96</v>
      </c>
      <c r="I7927" t="s">
        <v>52</v>
      </c>
      <c r="J7927">
        <v>141.29499999999999</v>
      </c>
      <c r="K7927">
        <v>7.0000000000000007E-2</v>
      </c>
      <c r="L7927">
        <v>0.54</v>
      </c>
      <c r="M7927">
        <v>3.2549999999999999</v>
      </c>
      <c r="N7927">
        <v>13.481999999999999</v>
      </c>
      <c r="O7927" s="1" t="s">
        <v>40</v>
      </c>
      <c r="P7927" s="1" t="s">
        <v>14997</v>
      </c>
      <c r="Q7927" s="1" t="s">
        <v>14998</v>
      </c>
      <c r="R7927" s="1" t="s">
        <v>220</v>
      </c>
      <c r="S7927" s="1" t="s">
        <v>14999</v>
      </c>
      <c r="T7927" s="1" t="s">
        <v>15000</v>
      </c>
      <c r="U7927" s="2" t="s">
        <v>1476</v>
      </c>
      <c r="V7927" s="2" t="s">
        <v>47</v>
      </c>
      <c r="W7927" s="2" t="s">
        <v>104</v>
      </c>
      <c r="X7927" s="2">
        <v>9.94</v>
      </c>
    </row>
    <row r="7928" spans="1:24" x14ac:dyDescent="0.3">
      <c r="A7928">
        <v>25735</v>
      </c>
      <c r="B7928" t="s">
        <v>15001</v>
      </c>
      <c r="C7928" s="3">
        <v>40965</v>
      </c>
      <c r="D7928" t="s">
        <v>62</v>
      </c>
      <c r="E7928">
        <v>5</v>
      </c>
      <c r="F7928" s="3">
        <f ca="1">40967+(RANDBETWEEN(1,10))</f>
        <v>40977</v>
      </c>
      <c r="G7928" t="s">
        <v>76</v>
      </c>
      <c r="H7928" t="s">
        <v>258</v>
      </c>
      <c r="I7928" t="s">
        <v>28</v>
      </c>
      <c r="J7928">
        <v>283.92</v>
      </c>
      <c r="K7928">
        <v>0.05</v>
      </c>
      <c r="L7928">
        <v>0.76</v>
      </c>
      <c r="M7928">
        <v>97.125</v>
      </c>
      <c r="N7928">
        <v>40.778325000000002</v>
      </c>
      <c r="O7928" s="1" t="s">
        <v>64</v>
      </c>
      <c r="P7928" s="1" t="s">
        <v>11936</v>
      </c>
      <c r="Q7928" s="1" t="s">
        <v>11937</v>
      </c>
      <c r="R7928" s="1" t="s">
        <v>67</v>
      </c>
      <c r="S7928" s="1" t="s">
        <v>4720</v>
      </c>
      <c r="T7928" s="1" t="s">
        <v>4721</v>
      </c>
      <c r="U7928" s="2" t="s">
        <v>365</v>
      </c>
      <c r="V7928" s="2" t="s">
        <v>83</v>
      </c>
      <c r="W7928" s="2" t="s">
        <v>263</v>
      </c>
      <c r="X7928" s="2">
        <v>53.305</v>
      </c>
    </row>
    <row r="7929" spans="1:24" x14ac:dyDescent="0.3">
      <c r="A7929">
        <v>25736</v>
      </c>
      <c r="B7929" t="s">
        <v>15002</v>
      </c>
      <c r="C7929" s="3">
        <v>40928</v>
      </c>
      <c r="D7929" t="s">
        <v>148</v>
      </c>
      <c r="E7929">
        <v>5</v>
      </c>
      <c r="F7929" s="3">
        <f ca="1">40929+(RANDBETWEEN(1,10))</f>
        <v>40932</v>
      </c>
      <c r="G7929" t="s">
        <v>26</v>
      </c>
      <c r="H7929" t="s">
        <v>96</v>
      </c>
      <c r="I7929" t="s">
        <v>86</v>
      </c>
      <c r="J7929">
        <v>38.674999999999997</v>
      </c>
      <c r="K7929">
        <v>0.04</v>
      </c>
      <c r="L7929">
        <v>0.56999999999999995</v>
      </c>
      <c r="M7929">
        <v>2.4500000000000002</v>
      </c>
      <c r="N7929">
        <v>6.3308</v>
      </c>
      <c r="O7929" s="1" t="s">
        <v>29</v>
      </c>
      <c r="P7929" s="1" t="s">
        <v>10490</v>
      </c>
      <c r="Q7929" s="1" t="s">
        <v>10491</v>
      </c>
      <c r="R7929" s="1" t="s">
        <v>32</v>
      </c>
      <c r="S7929" s="1" t="s">
        <v>10492</v>
      </c>
      <c r="T7929" s="1" t="s">
        <v>10493</v>
      </c>
      <c r="U7929" s="2" t="s">
        <v>6803</v>
      </c>
      <c r="V7929" s="2" t="s">
        <v>47</v>
      </c>
      <c r="W7929" s="2" t="s">
        <v>104</v>
      </c>
      <c r="X7929" s="2">
        <v>7.35</v>
      </c>
    </row>
    <row r="7930" spans="1:24" x14ac:dyDescent="0.3">
      <c r="A7930">
        <v>25737</v>
      </c>
      <c r="B7930" t="s">
        <v>15002</v>
      </c>
      <c r="C7930" s="3">
        <v>40928</v>
      </c>
      <c r="D7930" t="s">
        <v>148</v>
      </c>
      <c r="E7930">
        <v>6</v>
      </c>
      <c r="F7930" s="3">
        <f ca="1">40930+(RANDBETWEEN(1,10))</f>
        <v>40932</v>
      </c>
      <c r="G7930" t="s">
        <v>26</v>
      </c>
      <c r="H7930" t="s">
        <v>63</v>
      </c>
      <c r="I7930" t="s">
        <v>86</v>
      </c>
      <c r="J7930">
        <v>135.625</v>
      </c>
      <c r="K7930">
        <v>7.0000000000000007E-2</v>
      </c>
      <c r="L7930">
        <v>0.6</v>
      </c>
      <c r="M7930">
        <v>171.5</v>
      </c>
      <c r="N7930">
        <v>-4711.1567999999997</v>
      </c>
      <c r="O7930" s="1" t="s">
        <v>87</v>
      </c>
      <c r="P7930" s="1" t="s">
        <v>15003</v>
      </c>
      <c r="Q7930" s="1" t="s">
        <v>15004</v>
      </c>
      <c r="R7930" s="1" t="s">
        <v>497</v>
      </c>
      <c r="S7930" s="1" t="s">
        <v>498</v>
      </c>
      <c r="T7930" s="1" t="s">
        <v>499</v>
      </c>
      <c r="U7930" s="2" t="s">
        <v>919</v>
      </c>
      <c r="V7930" s="2" t="s">
        <v>47</v>
      </c>
      <c r="W7930" s="2" t="s">
        <v>71</v>
      </c>
      <c r="X7930" s="2">
        <v>15.68</v>
      </c>
    </row>
    <row r="7931" spans="1:24" x14ac:dyDescent="0.3">
      <c r="A7931">
        <v>25738</v>
      </c>
      <c r="B7931" t="s">
        <v>15005</v>
      </c>
      <c r="C7931" s="3">
        <v>40970</v>
      </c>
      <c r="D7931" t="s">
        <v>148</v>
      </c>
      <c r="E7931">
        <v>2</v>
      </c>
      <c r="F7931" s="3">
        <f ca="1">40972+(RANDBETWEEN(1,10))</f>
        <v>40973</v>
      </c>
      <c r="G7931" t="s">
        <v>156</v>
      </c>
      <c r="H7931" t="s">
        <v>27</v>
      </c>
      <c r="I7931" t="s">
        <v>86</v>
      </c>
      <c r="J7931">
        <v>30.135000000000002</v>
      </c>
      <c r="K7931">
        <v>0.04</v>
      </c>
      <c r="L7931">
        <v>0.41</v>
      </c>
      <c r="M7931">
        <v>17.010000000000002</v>
      </c>
      <c r="N7931">
        <v>-14.455</v>
      </c>
      <c r="O7931" s="1" t="s">
        <v>64</v>
      </c>
      <c r="P7931" s="1" t="s">
        <v>11567</v>
      </c>
      <c r="Q7931" s="1" t="s">
        <v>11568</v>
      </c>
      <c r="R7931" s="1" t="s">
        <v>128</v>
      </c>
      <c r="S7931" s="1" t="s">
        <v>11569</v>
      </c>
      <c r="T7931" s="1" t="s">
        <v>11570</v>
      </c>
      <c r="U7931" s="2" t="s">
        <v>4017</v>
      </c>
      <c r="V7931" s="2" t="s">
        <v>83</v>
      </c>
      <c r="W7931" s="2" t="s">
        <v>178</v>
      </c>
      <c r="X7931" s="2">
        <v>6.16</v>
      </c>
    </row>
    <row r="7932" spans="1:24" x14ac:dyDescent="0.3">
      <c r="A7932">
        <v>25739</v>
      </c>
      <c r="B7932" t="s">
        <v>15006</v>
      </c>
      <c r="C7932" s="3">
        <v>41579</v>
      </c>
      <c r="D7932" t="s">
        <v>62</v>
      </c>
      <c r="E7932">
        <v>6</v>
      </c>
      <c r="F7932" s="3">
        <f ca="1">41580+(RANDBETWEEN(1,10))</f>
        <v>41585</v>
      </c>
      <c r="G7932" t="s">
        <v>26</v>
      </c>
      <c r="H7932" t="s">
        <v>27</v>
      </c>
      <c r="I7932" t="s">
        <v>28</v>
      </c>
      <c r="J7932">
        <v>221.58500000000001</v>
      </c>
      <c r="K7932">
        <v>0.08</v>
      </c>
      <c r="L7932">
        <v>0.6</v>
      </c>
      <c r="M7932">
        <v>33.075000000000003</v>
      </c>
      <c r="N7932">
        <v>36.743000000000002</v>
      </c>
      <c r="O7932" s="1" t="s">
        <v>40</v>
      </c>
      <c r="P7932" s="1" t="s">
        <v>15007</v>
      </c>
      <c r="Q7932" s="1" t="s">
        <v>15008</v>
      </c>
      <c r="R7932" s="1" t="s">
        <v>43</v>
      </c>
      <c r="S7932" s="1" t="s">
        <v>2453</v>
      </c>
      <c r="T7932" s="1" t="s">
        <v>2454</v>
      </c>
      <c r="U7932" s="2" t="s">
        <v>483</v>
      </c>
      <c r="V7932" s="2" t="s">
        <v>47</v>
      </c>
      <c r="W7932" s="2" t="s">
        <v>119</v>
      </c>
      <c r="X7932" s="2">
        <v>33.984999999999999</v>
      </c>
    </row>
    <row r="7933" spans="1:24" x14ac:dyDescent="0.3">
      <c r="A7933">
        <v>25740</v>
      </c>
      <c r="B7933" t="s">
        <v>15006</v>
      </c>
      <c r="C7933" s="3">
        <v>41579</v>
      </c>
      <c r="D7933" t="s">
        <v>62</v>
      </c>
      <c r="E7933">
        <v>36</v>
      </c>
      <c r="F7933" s="3">
        <f ca="1">41580+(RANDBETWEEN(1,10))</f>
        <v>41586</v>
      </c>
      <c r="G7933" t="s">
        <v>156</v>
      </c>
      <c r="H7933" t="s">
        <v>27</v>
      </c>
      <c r="I7933" t="s">
        <v>28</v>
      </c>
      <c r="J7933">
        <v>13121.57</v>
      </c>
      <c r="K7933">
        <v>0.04</v>
      </c>
      <c r="L7933">
        <v>0.59</v>
      </c>
      <c r="M7933">
        <v>26.914999999999999</v>
      </c>
      <c r="N7933">
        <v>7420.2974999999997</v>
      </c>
      <c r="O7933" s="1" t="s">
        <v>225</v>
      </c>
      <c r="P7933" s="1" t="s">
        <v>15009</v>
      </c>
      <c r="Q7933" s="1" t="s">
        <v>15010</v>
      </c>
      <c r="R7933" s="1" t="s">
        <v>228</v>
      </c>
      <c r="S7933" s="1" t="s">
        <v>15011</v>
      </c>
      <c r="T7933" s="1" t="s">
        <v>15012</v>
      </c>
      <c r="U7933" s="2" t="s">
        <v>2809</v>
      </c>
      <c r="V7933" s="2" t="s">
        <v>36</v>
      </c>
      <c r="W7933" s="2" t="s">
        <v>37</v>
      </c>
      <c r="X7933" s="2">
        <v>440.96499999999997</v>
      </c>
    </row>
    <row r="7934" spans="1:24" x14ac:dyDescent="0.3">
      <c r="A7934">
        <v>25741</v>
      </c>
      <c r="B7934" t="s">
        <v>15006</v>
      </c>
      <c r="C7934" s="3">
        <v>41579</v>
      </c>
      <c r="D7934" t="s">
        <v>62</v>
      </c>
      <c r="E7934">
        <v>7</v>
      </c>
      <c r="F7934" s="3">
        <f ca="1">41581+(RANDBETWEEN(1,10))</f>
        <v>41582</v>
      </c>
      <c r="G7934" t="s">
        <v>156</v>
      </c>
      <c r="H7934" t="s">
        <v>27</v>
      </c>
      <c r="I7934" t="s">
        <v>28</v>
      </c>
      <c r="J7934">
        <v>7050.9949999999999</v>
      </c>
      <c r="K7934">
        <v>0.05</v>
      </c>
      <c r="L7934">
        <v>0.48</v>
      </c>
      <c r="M7934">
        <v>25.13</v>
      </c>
      <c r="N7934">
        <v>80.275999999999996</v>
      </c>
      <c r="O7934" s="1" t="s">
        <v>225</v>
      </c>
      <c r="P7934" s="1" t="s">
        <v>15013</v>
      </c>
      <c r="Q7934" s="1" t="s">
        <v>15014</v>
      </c>
      <c r="R7934" s="1" t="s">
        <v>228</v>
      </c>
      <c r="S7934" s="1" t="s">
        <v>10698</v>
      </c>
      <c r="T7934" s="1" t="s">
        <v>10699</v>
      </c>
      <c r="U7934" s="2" t="s">
        <v>2057</v>
      </c>
      <c r="V7934" s="2" t="s">
        <v>36</v>
      </c>
      <c r="W7934" s="2" t="s">
        <v>60</v>
      </c>
      <c r="X7934" s="2">
        <v>1053.395</v>
      </c>
    </row>
    <row r="7935" spans="1:24" x14ac:dyDescent="0.3">
      <c r="A7935">
        <v>25742</v>
      </c>
      <c r="B7935" t="s">
        <v>15015</v>
      </c>
      <c r="C7935" s="3">
        <v>40723</v>
      </c>
      <c r="D7935" t="s">
        <v>39</v>
      </c>
      <c r="E7935">
        <v>16</v>
      </c>
      <c r="F7935" s="3">
        <f ca="1">40725+(RANDBETWEEN(1,10))</f>
        <v>40731</v>
      </c>
      <c r="G7935" t="s">
        <v>26</v>
      </c>
      <c r="H7935" t="s">
        <v>27</v>
      </c>
      <c r="I7935" t="s">
        <v>52</v>
      </c>
      <c r="J7935">
        <v>339.36</v>
      </c>
      <c r="K7935">
        <v>0.09</v>
      </c>
      <c r="L7935">
        <v>0.37</v>
      </c>
      <c r="M7935">
        <v>24.605</v>
      </c>
      <c r="N7935">
        <v>-441.72800000000001</v>
      </c>
      <c r="O7935" s="1" t="s">
        <v>53</v>
      </c>
      <c r="P7935" s="1" t="s">
        <v>13001</v>
      </c>
      <c r="Q7935" s="1" t="s">
        <v>13002</v>
      </c>
      <c r="R7935" s="1" t="s">
        <v>56</v>
      </c>
      <c r="S7935" s="1" t="s">
        <v>8347</v>
      </c>
      <c r="T7935" s="1" t="s">
        <v>8348</v>
      </c>
      <c r="U7935" s="2" t="s">
        <v>162</v>
      </c>
      <c r="V7935" s="2" t="s">
        <v>47</v>
      </c>
      <c r="W7935" s="2" t="s">
        <v>74</v>
      </c>
      <c r="X7935" s="2">
        <v>22.68</v>
      </c>
    </row>
    <row r="7936" spans="1:24" x14ac:dyDescent="0.3">
      <c r="A7936">
        <v>25743</v>
      </c>
      <c r="B7936" t="s">
        <v>15016</v>
      </c>
      <c r="C7936" s="3">
        <v>41798</v>
      </c>
      <c r="D7936" t="s">
        <v>50</v>
      </c>
      <c r="E7936">
        <v>5</v>
      </c>
      <c r="F7936" s="3">
        <f ca="1">41799+(RANDBETWEEN(1,10))</f>
        <v>41809</v>
      </c>
      <c r="G7936" t="s">
        <v>26</v>
      </c>
      <c r="H7936" t="s">
        <v>27</v>
      </c>
      <c r="I7936" t="s">
        <v>28</v>
      </c>
      <c r="J7936">
        <v>5013.05</v>
      </c>
      <c r="K7936">
        <v>0.03</v>
      </c>
      <c r="L7936">
        <v>0.56000000000000005</v>
      </c>
      <c r="M7936">
        <v>69.965000000000003</v>
      </c>
      <c r="N7936">
        <v>3264.576</v>
      </c>
      <c r="O7936" s="1" t="s">
        <v>40</v>
      </c>
      <c r="P7936" s="1" t="s">
        <v>15017</v>
      </c>
      <c r="Q7936" s="1" t="s">
        <v>15018</v>
      </c>
      <c r="R7936" s="1" t="s">
        <v>220</v>
      </c>
      <c r="S7936" s="1" t="s">
        <v>3859</v>
      </c>
      <c r="T7936" s="1" t="s">
        <v>3860</v>
      </c>
      <c r="U7936" s="2" t="s">
        <v>4972</v>
      </c>
      <c r="V7936" s="2" t="s">
        <v>47</v>
      </c>
      <c r="W7936" s="2" t="s">
        <v>71</v>
      </c>
      <c r="X7936" s="2">
        <v>1013.355</v>
      </c>
    </row>
    <row r="7937" spans="1:24" x14ac:dyDescent="0.3">
      <c r="A7937">
        <v>25744</v>
      </c>
      <c r="B7937" t="s">
        <v>15016</v>
      </c>
      <c r="C7937" s="3">
        <v>41798</v>
      </c>
      <c r="D7937" t="s">
        <v>50</v>
      </c>
      <c r="E7937">
        <v>15</v>
      </c>
      <c r="F7937" s="3">
        <f ca="1">41799+(RANDBETWEEN(1,10))</f>
        <v>41804</v>
      </c>
      <c r="G7937" t="s">
        <v>26</v>
      </c>
      <c r="H7937" t="s">
        <v>96</v>
      </c>
      <c r="I7937" t="s">
        <v>28</v>
      </c>
      <c r="J7937">
        <v>83.37</v>
      </c>
      <c r="K7937">
        <v>0.1</v>
      </c>
      <c r="L7937">
        <v>0.42</v>
      </c>
      <c r="M7937">
        <v>4.5149999999999997</v>
      </c>
      <c r="N7937">
        <v>-49.783999999999999</v>
      </c>
      <c r="O7937" s="1" t="s">
        <v>87</v>
      </c>
      <c r="P7937" s="1" t="s">
        <v>1567</v>
      </c>
      <c r="Q7937" s="1" t="s">
        <v>1568</v>
      </c>
      <c r="R7937" s="1" t="s">
        <v>646</v>
      </c>
      <c r="S7937" s="1" t="s">
        <v>1569</v>
      </c>
      <c r="T7937" s="1" t="s">
        <v>1570</v>
      </c>
      <c r="U7937" s="2" t="s">
        <v>9221</v>
      </c>
      <c r="V7937" s="2" t="s">
        <v>47</v>
      </c>
      <c r="W7937" s="2" t="s">
        <v>104</v>
      </c>
      <c r="X7937" s="2">
        <v>5.6</v>
      </c>
    </row>
    <row r="7938" spans="1:24" x14ac:dyDescent="0.3">
      <c r="A7938">
        <v>25745</v>
      </c>
      <c r="B7938" t="s">
        <v>15019</v>
      </c>
      <c r="C7938" s="3">
        <v>41714</v>
      </c>
      <c r="D7938" t="s">
        <v>39</v>
      </c>
      <c r="E7938">
        <v>8</v>
      </c>
      <c r="F7938" s="3">
        <f ca="1">41716+(RANDBETWEEN(1,10))</f>
        <v>41720</v>
      </c>
      <c r="G7938" t="s">
        <v>26</v>
      </c>
      <c r="H7938" t="s">
        <v>27</v>
      </c>
      <c r="I7938" t="s">
        <v>97</v>
      </c>
      <c r="J7938">
        <v>101.325</v>
      </c>
      <c r="K7938">
        <v>7.0000000000000007E-2</v>
      </c>
      <c r="L7938">
        <v>0.38</v>
      </c>
      <c r="M7938">
        <v>23.905000000000001</v>
      </c>
      <c r="N7938">
        <v>-585.95950000000005</v>
      </c>
      <c r="O7938" s="1" t="s">
        <v>64</v>
      </c>
      <c r="P7938" s="1" t="s">
        <v>10383</v>
      </c>
      <c r="Q7938" s="1" t="s">
        <v>10384</v>
      </c>
      <c r="R7938" s="1" t="s">
        <v>67</v>
      </c>
      <c r="S7938" s="1" t="s">
        <v>890</v>
      </c>
      <c r="T7938" s="1" t="s">
        <v>891</v>
      </c>
      <c r="U7938" s="2" t="s">
        <v>6885</v>
      </c>
      <c r="V7938" s="2" t="s">
        <v>47</v>
      </c>
      <c r="W7938" s="2" t="s">
        <v>111</v>
      </c>
      <c r="X7938" s="2">
        <v>12.32</v>
      </c>
    </row>
    <row r="7939" spans="1:24" x14ac:dyDescent="0.3">
      <c r="A7939">
        <v>25746</v>
      </c>
      <c r="B7939" t="s">
        <v>15019</v>
      </c>
      <c r="C7939" s="3">
        <v>41714</v>
      </c>
      <c r="D7939" t="s">
        <v>39</v>
      </c>
      <c r="E7939">
        <v>3</v>
      </c>
      <c r="F7939" s="3">
        <f ca="1">41716+(RANDBETWEEN(1,10))</f>
        <v>41717</v>
      </c>
      <c r="G7939" t="s">
        <v>26</v>
      </c>
      <c r="H7939" t="s">
        <v>27</v>
      </c>
      <c r="I7939" t="s">
        <v>97</v>
      </c>
      <c r="J7939">
        <v>169.785</v>
      </c>
      <c r="K7939">
        <v>0</v>
      </c>
      <c r="L7939">
        <v>0.56999999999999995</v>
      </c>
      <c r="M7939">
        <v>26.914999999999999</v>
      </c>
      <c r="N7939">
        <v>-107.485</v>
      </c>
      <c r="O7939" s="1" t="s">
        <v>64</v>
      </c>
      <c r="P7939" s="1" t="s">
        <v>10383</v>
      </c>
      <c r="Q7939" s="1" t="s">
        <v>10384</v>
      </c>
      <c r="R7939" s="1" t="s">
        <v>67</v>
      </c>
      <c r="S7939" s="1" t="s">
        <v>890</v>
      </c>
      <c r="T7939" s="1" t="s">
        <v>891</v>
      </c>
      <c r="U7939" s="2" t="s">
        <v>3304</v>
      </c>
      <c r="V7939" s="2" t="s">
        <v>47</v>
      </c>
      <c r="W7939" s="2" t="s">
        <v>119</v>
      </c>
      <c r="X7939" s="2">
        <v>52.43</v>
      </c>
    </row>
    <row r="7940" spans="1:24" x14ac:dyDescent="0.3">
      <c r="A7940">
        <v>25747</v>
      </c>
      <c r="B7940" t="s">
        <v>15020</v>
      </c>
      <c r="C7940" s="3">
        <v>41754</v>
      </c>
      <c r="D7940" t="s">
        <v>62</v>
      </c>
      <c r="E7940">
        <v>1</v>
      </c>
      <c r="F7940" s="3">
        <f ca="1">41756+(RANDBETWEEN(1,10))</f>
        <v>41764</v>
      </c>
      <c r="G7940" t="s">
        <v>26</v>
      </c>
      <c r="H7940" t="s">
        <v>27</v>
      </c>
      <c r="I7940" t="s">
        <v>97</v>
      </c>
      <c r="J7940">
        <v>88.864999999999995</v>
      </c>
      <c r="K7940">
        <v>0</v>
      </c>
      <c r="L7940">
        <v>0.39</v>
      </c>
      <c r="M7940">
        <v>28.63</v>
      </c>
      <c r="N7940">
        <v>-14.595000000000001</v>
      </c>
      <c r="O7940" s="1" t="s">
        <v>40</v>
      </c>
      <c r="P7940" s="1" t="s">
        <v>14254</v>
      </c>
      <c r="Q7940" s="1" t="s">
        <v>14255</v>
      </c>
      <c r="R7940" s="1" t="s">
        <v>220</v>
      </c>
      <c r="S7940" s="1" t="s">
        <v>959</v>
      </c>
      <c r="T7940" s="1" t="s">
        <v>960</v>
      </c>
      <c r="U7940" s="2" t="s">
        <v>4870</v>
      </c>
      <c r="V7940" s="2" t="s">
        <v>47</v>
      </c>
      <c r="W7940" s="2" t="s">
        <v>74</v>
      </c>
      <c r="X7940" s="2">
        <v>79.94</v>
      </c>
    </row>
    <row r="7941" spans="1:24" x14ac:dyDescent="0.3">
      <c r="A7941">
        <v>25748</v>
      </c>
      <c r="B7941" t="s">
        <v>15021</v>
      </c>
      <c r="C7941" s="3">
        <v>41785</v>
      </c>
      <c r="D7941" t="s">
        <v>39</v>
      </c>
      <c r="E7941">
        <v>16</v>
      </c>
      <c r="F7941" s="3">
        <f ca="1">41787+(RANDBETWEEN(1,10))</f>
        <v>41792</v>
      </c>
      <c r="G7941" t="s">
        <v>26</v>
      </c>
      <c r="H7941" t="s">
        <v>27</v>
      </c>
      <c r="I7941" t="s">
        <v>97</v>
      </c>
      <c r="J7941">
        <v>2222.71</v>
      </c>
      <c r="K7941">
        <v>0.06</v>
      </c>
      <c r="L7941">
        <v>0.56000000000000005</v>
      </c>
      <c r="M7941">
        <v>15.75</v>
      </c>
      <c r="N7941">
        <v>1.806</v>
      </c>
      <c r="O7941" s="1" t="s">
        <v>53</v>
      </c>
      <c r="P7941" s="1" t="s">
        <v>13870</v>
      </c>
      <c r="Q7941" s="1" t="s">
        <v>13871</v>
      </c>
      <c r="R7941" s="1" t="s">
        <v>100</v>
      </c>
      <c r="S7941" s="1" t="s">
        <v>13872</v>
      </c>
      <c r="T7941" s="1" t="s">
        <v>13873</v>
      </c>
      <c r="U7941" s="2" t="s">
        <v>10154</v>
      </c>
      <c r="V7941" s="2" t="s">
        <v>47</v>
      </c>
      <c r="W7941" s="2" t="s">
        <v>71</v>
      </c>
      <c r="X7941" s="2">
        <v>145.98500000000001</v>
      </c>
    </row>
    <row r="7942" spans="1:24" x14ac:dyDescent="0.3">
      <c r="A7942">
        <v>25749</v>
      </c>
      <c r="B7942" t="s">
        <v>15021</v>
      </c>
      <c r="C7942" s="3">
        <v>41785</v>
      </c>
      <c r="D7942" t="s">
        <v>39</v>
      </c>
      <c r="E7942">
        <v>4</v>
      </c>
      <c r="F7942" s="3">
        <f ca="1">41786+(RANDBETWEEN(1,10))</f>
        <v>41787</v>
      </c>
      <c r="G7942" t="s">
        <v>26</v>
      </c>
      <c r="H7942" t="s">
        <v>27</v>
      </c>
      <c r="I7942" t="s">
        <v>97</v>
      </c>
      <c r="J7942">
        <v>72.135000000000005</v>
      </c>
      <c r="K7942">
        <v>0.1</v>
      </c>
      <c r="L7942">
        <v>0.38</v>
      </c>
      <c r="M7942">
        <v>10.465</v>
      </c>
      <c r="N7942">
        <v>961.40099999999995</v>
      </c>
      <c r="O7942" s="1" t="s">
        <v>53</v>
      </c>
      <c r="P7942" s="1" t="s">
        <v>13870</v>
      </c>
      <c r="Q7942" s="1" t="s">
        <v>13871</v>
      </c>
      <c r="R7942" s="1" t="s">
        <v>100</v>
      </c>
      <c r="S7942" s="1" t="s">
        <v>13872</v>
      </c>
      <c r="T7942" s="1" t="s">
        <v>13873</v>
      </c>
      <c r="U7942" s="2" t="s">
        <v>1125</v>
      </c>
      <c r="V7942" s="2" t="s">
        <v>47</v>
      </c>
      <c r="W7942" s="2" t="s">
        <v>111</v>
      </c>
      <c r="X7942" s="2">
        <v>18.690000000000001</v>
      </c>
    </row>
    <row r="7943" spans="1:24" x14ac:dyDescent="0.3">
      <c r="A7943">
        <v>25750</v>
      </c>
      <c r="B7943" t="s">
        <v>15022</v>
      </c>
      <c r="C7943" s="3">
        <v>41910</v>
      </c>
      <c r="D7943" t="s">
        <v>148</v>
      </c>
      <c r="E7943">
        <v>8</v>
      </c>
      <c r="F7943" s="3">
        <f ca="1">41911+(RANDBETWEEN(1,10))</f>
        <v>41915</v>
      </c>
      <c r="G7943" t="s">
        <v>26</v>
      </c>
      <c r="H7943" t="s">
        <v>51</v>
      </c>
      <c r="I7943" t="s">
        <v>86</v>
      </c>
      <c r="J7943">
        <v>147.035</v>
      </c>
      <c r="K7943">
        <v>0.06</v>
      </c>
      <c r="L7943">
        <v>0.47</v>
      </c>
      <c r="M7943">
        <v>20.02</v>
      </c>
      <c r="N7943">
        <v>-109.8664</v>
      </c>
      <c r="O7943" s="1" t="s">
        <v>87</v>
      </c>
      <c r="P7943" s="1" t="s">
        <v>13487</v>
      </c>
      <c r="Q7943" s="1" t="s">
        <v>13488</v>
      </c>
      <c r="R7943" s="1" t="s">
        <v>90</v>
      </c>
      <c r="S7943" s="1" t="s">
        <v>13489</v>
      </c>
      <c r="T7943" s="1" t="s">
        <v>13490</v>
      </c>
      <c r="U7943" s="2" t="s">
        <v>5176</v>
      </c>
      <c r="V7943" s="2" t="s">
        <v>83</v>
      </c>
      <c r="W7943" s="2" t="s">
        <v>178</v>
      </c>
      <c r="X7943" s="2">
        <v>16.87</v>
      </c>
    </row>
    <row r="7944" spans="1:24" x14ac:dyDescent="0.3">
      <c r="A7944">
        <v>25751</v>
      </c>
      <c r="B7944" t="s">
        <v>15023</v>
      </c>
      <c r="C7944" s="3">
        <v>41725</v>
      </c>
      <c r="D7944" t="s">
        <v>148</v>
      </c>
      <c r="E7944">
        <v>3</v>
      </c>
      <c r="F7944" s="3">
        <f ca="1">41727+(RANDBETWEEN(1,10))</f>
        <v>41729</v>
      </c>
      <c r="G7944" t="s">
        <v>26</v>
      </c>
      <c r="H7944" t="s">
        <v>27</v>
      </c>
      <c r="I7944" t="s">
        <v>97</v>
      </c>
      <c r="J7944">
        <v>60.795000000000002</v>
      </c>
      <c r="K7944">
        <v>0.06</v>
      </c>
      <c r="L7944">
        <v>0.37</v>
      </c>
      <c r="M7944">
        <v>10.465</v>
      </c>
      <c r="N7944">
        <v>-6.44</v>
      </c>
      <c r="O7944" s="1" t="s">
        <v>29</v>
      </c>
      <c r="P7944" s="1" t="s">
        <v>15024</v>
      </c>
      <c r="Q7944" s="1" t="s">
        <v>15025</v>
      </c>
      <c r="R7944" s="1" t="s">
        <v>460</v>
      </c>
      <c r="S7944" s="1" t="s">
        <v>2313</v>
      </c>
      <c r="T7944" s="1" t="s">
        <v>2314</v>
      </c>
      <c r="U7944" s="2" t="s">
        <v>12271</v>
      </c>
      <c r="V7944" s="2" t="s">
        <v>47</v>
      </c>
      <c r="W7944" s="2" t="s">
        <v>111</v>
      </c>
      <c r="X7944" s="2">
        <v>19.53</v>
      </c>
    </row>
    <row r="7945" spans="1:24" x14ac:dyDescent="0.3">
      <c r="A7945">
        <v>25752</v>
      </c>
      <c r="B7945" t="s">
        <v>15023</v>
      </c>
      <c r="C7945" s="3">
        <v>41725</v>
      </c>
      <c r="D7945" t="s">
        <v>148</v>
      </c>
      <c r="E7945">
        <v>8</v>
      </c>
      <c r="F7945" s="3">
        <f ca="1">41726+(RANDBETWEEN(1,10))</f>
        <v>41736</v>
      </c>
      <c r="G7945" t="s">
        <v>26</v>
      </c>
      <c r="H7945" t="s">
        <v>27</v>
      </c>
      <c r="I7945" t="s">
        <v>97</v>
      </c>
      <c r="J7945">
        <v>1069.915</v>
      </c>
      <c r="K7945">
        <v>0.05</v>
      </c>
      <c r="L7945">
        <v>0.67</v>
      </c>
      <c r="M7945">
        <v>24.92</v>
      </c>
      <c r="N7945">
        <v>-92.715000000000003</v>
      </c>
      <c r="O7945" s="1" t="s">
        <v>29</v>
      </c>
      <c r="P7945" s="1" t="s">
        <v>15024</v>
      </c>
      <c r="Q7945" s="1" t="s">
        <v>15025</v>
      </c>
      <c r="R7945" s="1" t="s">
        <v>460</v>
      </c>
      <c r="S7945" s="1" t="s">
        <v>2313</v>
      </c>
      <c r="T7945" s="1" t="s">
        <v>2314</v>
      </c>
      <c r="U7945" s="2" t="s">
        <v>3979</v>
      </c>
      <c r="V7945" s="2" t="s">
        <v>36</v>
      </c>
      <c r="W7945" s="2" t="s">
        <v>60</v>
      </c>
      <c r="X7945" s="2">
        <v>139.93</v>
      </c>
    </row>
    <row r="7946" spans="1:24" x14ac:dyDescent="0.3">
      <c r="A7946">
        <v>25753</v>
      </c>
      <c r="B7946" t="s">
        <v>15023</v>
      </c>
      <c r="C7946" s="3">
        <v>41725</v>
      </c>
      <c r="D7946" t="s">
        <v>148</v>
      </c>
      <c r="E7946">
        <v>9</v>
      </c>
      <c r="F7946" s="3">
        <f ca="1">41726+(RANDBETWEEN(1,10))</f>
        <v>41736</v>
      </c>
      <c r="G7946" t="s">
        <v>26</v>
      </c>
      <c r="H7946" t="s">
        <v>27</v>
      </c>
      <c r="I7946" t="s">
        <v>97</v>
      </c>
      <c r="J7946">
        <v>3315.34</v>
      </c>
      <c r="K7946">
        <v>0.09</v>
      </c>
      <c r="L7946">
        <v>0.59</v>
      </c>
      <c r="M7946">
        <v>31.465</v>
      </c>
      <c r="N7946">
        <v>2287.5846000000001</v>
      </c>
      <c r="O7946" s="1" t="s">
        <v>29</v>
      </c>
      <c r="P7946" s="1" t="s">
        <v>15024</v>
      </c>
      <c r="Q7946" s="1" t="s">
        <v>15025</v>
      </c>
      <c r="R7946" s="1" t="s">
        <v>460</v>
      </c>
      <c r="S7946" s="1" t="s">
        <v>2313</v>
      </c>
      <c r="T7946" s="1" t="s">
        <v>2314</v>
      </c>
      <c r="U7946" s="2" t="s">
        <v>295</v>
      </c>
      <c r="V7946" s="2" t="s">
        <v>36</v>
      </c>
      <c r="W7946" s="2" t="s">
        <v>37</v>
      </c>
      <c r="X7946" s="2">
        <v>440.96499999999997</v>
      </c>
    </row>
    <row r="7947" spans="1:24" x14ac:dyDescent="0.3">
      <c r="A7947">
        <v>25754</v>
      </c>
      <c r="B7947" t="s">
        <v>15026</v>
      </c>
      <c r="C7947" s="3">
        <v>41959</v>
      </c>
      <c r="D7947" t="s">
        <v>148</v>
      </c>
      <c r="E7947">
        <v>3</v>
      </c>
      <c r="F7947" s="3">
        <f ca="1">41960+(RANDBETWEEN(1,10))</f>
        <v>41969</v>
      </c>
      <c r="G7947" t="s">
        <v>76</v>
      </c>
      <c r="H7947" t="s">
        <v>258</v>
      </c>
      <c r="I7947" t="s">
        <v>28</v>
      </c>
      <c r="J7947">
        <v>861.7</v>
      </c>
      <c r="K7947">
        <v>0.04</v>
      </c>
      <c r="L7947">
        <v>0.72</v>
      </c>
      <c r="M7947">
        <v>312.55</v>
      </c>
      <c r="N7947">
        <v>299.07584000000003</v>
      </c>
      <c r="O7947" s="1" t="s">
        <v>29</v>
      </c>
      <c r="P7947" s="1" t="s">
        <v>12660</v>
      </c>
      <c r="Q7947" s="1" t="s">
        <v>12661</v>
      </c>
      <c r="R7947" s="1" t="s">
        <v>675</v>
      </c>
      <c r="S7947" s="1" t="s">
        <v>3681</v>
      </c>
      <c r="T7947" s="1" t="s">
        <v>3682</v>
      </c>
      <c r="U7947" s="2" t="s">
        <v>407</v>
      </c>
      <c r="V7947" s="2" t="s">
        <v>83</v>
      </c>
      <c r="W7947" s="2" t="s">
        <v>263</v>
      </c>
      <c r="X7947" s="2">
        <v>248.11500000000001</v>
      </c>
    </row>
    <row r="7948" spans="1:24" x14ac:dyDescent="0.3">
      <c r="A7948">
        <v>25755</v>
      </c>
      <c r="B7948" t="s">
        <v>15027</v>
      </c>
      <c r="C7948" s="3">
        <v>41536</v>
      </c>
      <c r="D7948" t="s">
        <v>62</v>
      </c>
      <c r="E7948">
        <v>5</v>
      </c>
      <c r="F7948" s="3">
        <f ca="1">41538+(RANDBETWEEN(1,10))</f>
        <v>41548</v>
      </c>
      <c r="G7948" t="s">
        <v>156</v>
      </c>
      <c r="H7948" t="s">
        <v>27</v>
      </c>
      <c r="I7948" t="s">
        <v>28</v>
      </c>
      <c r="J7948">
        <v>1967.42</v>
      </c>
      <c r="K7948">
        <v>0.03</v>
      </c>
      <c r="L7948">
        <v>0.57999999999999996</v>
      </c>
      <c r="M7948">
        <v>26.914999999999999</v>
      </c>
      <c r="N7948">
        <v>-442.5575</v>
      </c>
      <c r="O7948" s="1" t="s">
        <v>225</v>
      </c>
      <c r="P7948" s="1" t="s">
        <v>6770</v>
      </c>
      <c r="Q7948" s="1" t="s">
        <v>6771</v>
      </c>
      <c r="R7948" s="1" t="s">
        <v>228</v>
      </c>
      <c r="S7948" s="1" t="s">
        <v>6772</v>
      </c>
      <c r="T7948" s="1" t="s">
        <v>6773</v>
      </c>
      <c r="U7948" s="2" t="s">
        <v>2511</v>
      </c>
      <c r="V7948" s="2" t="s">
        <v>36</v>
      </c>
      <c r="W7948" s="2" t="s">
        <v>37</v>
      </c>
      <c r="X7948" s="2">
        <v>440.96499999999997</v>
      </c>
    </row>
    <row r="7949" spans="1:24" x14ac:dyDescent="0.3">
      <c r="A7949">
        <v>25756</v>
      </c>
      <c r="B7949" t="s">
        <v>15028</v>
      </c>
      <c r="C7949" s="3">
        <v>41815</v>
      </c>
      <c r="D7949" t="s">
        <v>50</v>
      </c>
      <c r="E7949">
        <v>2</v>
      </c>
      <c r="F7949" s="3">
        <f ca="1">41817+(RANDBETWEEN(1,10))</f>
        <v>41822</v>
      </c>
      <c r="G7949" t="s">
        <v>156</v>
      </c>
      <c r="H7949" t="s">
        <v>27</v>
      </c>
      <c r="I7949" t="s">
        <v>86</v>
      </c>
      <c r="J7949">
        <v>101.185</v>
      </c>
      <c r="K7949">
        <v>0.08</v>
      </c>
      <c r="L7949">
        <v>0.36</v>
      </c>
      <c r="M7949">
        <v>16.8</v>
      </c>
      <c r="N7949">
        <v>3.57</v>
      </c>
      <c r="O7949" s="1" t="s">
        <v>29</v>
      </c>
      <c r="P7949" s="1" t="s">
        <v>11268</v>
      </c>
      <c r="Q7949" s="1" t="s">
        <v>11269</v>
      </c>
      <c r="R7949" s="1" t="s">
        <v>32</v>
      </c>
      <c r="S7949" s="1" t="s">
        <v>8845</v>
      </c>
      <c r="T7949" s="1" t="s">
        <v>8846</v>
      </c>
      <c r="U7949" s="2" t="s">
        <v>3188</v>
      </c>
      <c r="V7949" s="2" t="s">
        <v>47</v>
      </c>
      <c r="W7949" s="2" t="s">
        <v>48</v>
      </c>
      <c r="X7949" s="2">
        <v>38.43</v>
      </c>
    </row>
    <row r="7950" spans="1:24" x14ac:dyDescent="0.3">
      <c r="A7950">
        <v>25757</v>
      </c>
      <c r="B7950" t="s">
        <v>15028</v>
      </c>
      <c r="C7950" s="3">
        <v>41815</v>
      </c>
      <c r="D7950" t="s">
        <v>50</v>
      </c>
      <c r="E7950">
        <v>18</v>
      </c>
      <c r="F7950" s="3">
        <f ca="1">41816+(RANDBETWEEN(1,10))</f>
        <v>41819</v>
      </c>
      <c r="G7950" t="s">
        <v>26</v>
      </c>
      <c r="H7950" t="s">
        <v>51</v>
      </c>
      <c r="I7950" t="s">
        <v>86</v>
      </c>
      <c r="J7950">
        <v>700.56</v>
      </c>
      <c r="K7950">
        <v>0.09</v>
      </c>
      <c r="L7950">
        <v>0.6</v>
      </c>
      <c r="M7950">
        <v>20.335000000000001</v>
      </c>
      <c r="N7950">
        <v>-323.84800000000001</v>
      </c>
      <c r="O7950" s="1" t="s">
        <v>29</v>
      </c>
      <c r="P7950" s="1" t="s">
        <v>11268</v>
      </c>
      <c r="Q7950" s="1" t="s">
        <v>11269</v>
      </c>
      <c r="R7950" s="1" t="s">
        <v>32</v>
      </c>
      <c r="S7950" s="1" t="s">
        <v>8845</v>
      </c>
      <c r="T7950" s="1" t="s">
        <v>8846</v>
      </c>
      <c r="U7950" s="2" t="s">
        <v>1353</v>
      </c>
      <c r="V7950" s="2" t="s">
        <v>47</v>
      </c>
      <c r="W7950" s="2" t="s">
        <v>104</v>
      </c>
      <c r="X7950" s="2">
        <v>41.895000000000003</v>
      </c>
    </row>
    <row r="7951" spans="1:24" x14ac:dyDescent="0.3">
      <c r="A7951">
        <v>25758</v>
      </c>
      <c r="B7951" t="s">
        <v>15029</v>
      </c>
      <c r="C7951" s="3">
        <v>41401</v>
      </c>
      <c r="D7951" t="s">
        <v>62</v>
      </c>
      <c r="E7951">
        <v>17</v>
      </c>
      <c r="F7951" s="3">
        <f ca="1">41402+(RANDBETWEEN(1,10))</f>
        <v>41407</v>
      </c>
      <c r="G7951" t="s">
        <v>156</v>
      </c>
      <c r="H7951" t="s">
        <v>281</v>
      </c>
      <c r="I7951" t="s">
        <v>86</v>
      </c>
      <c r="J7951">
        <v>727.51</v>
      </c>
      <c r="K7951">
        <v>0.08</v>
      </c>
      <c r="L7951">
        <v>0.36</v>
      </c>
      <c r="M7951">
        <v>20.965</v>
      </c>
      <c r="N7951">
        <v>121.205</v>
      </c>
      <c r="O7951" s="1" t="s">
        <v>53</v>
      </c>
      <c r="P7951" s="1" t="s">
        <v>13640</v>
      </c>
      <c r="Q7951" s="1" t="s">
        <v>13641</v>
      </c>
      <c r="R7951" s="1" t="s">
        <v>100</v>
      </c>
      <c r="S7951" s="1" t="s">
        <v>4844</v>
      </c>
      <c r="T7951" s="1" t="s">
        <v>4845</v>
      </c>
      <c r="U7951" s="2" t="s">
        <v>3772</v>
      </c>
      <c r="V7951" s="2" t="s">
        <v>36</v>
      </c>
      <c r="W7951" s="2" t="s">
        <v>142</v>
      </c>
      <c r="X7951" s="2">
        <v>41.965000000000003</v>
      </c>
    </row>
    <row r="7952" spans="1:24" x14ac:dyDescent="0.3">
      <c r="A7952">
        <v>25759</v>
      </c>
      <c r="B7952" t="s">
        <v>15030</v>
      </c>
      <c r="C7952" s="3">
        <v>40671</v>
      </c>
      <c r="D7952" t="s">
        <v>25</v>
      </c>
      <c r="E7952">
        <v>1</v>
      </c>
      <c r="F7952" s="3">
        <f ca="1">40671+(RANDBETWEEN(1,10))</f>
        <v>40680</v>
      </c>
      <c r="G7952" t="s">
        <v>26</v>
      </c>
      <c r="H7952" t="s">
        <v>27</v>
      </c>
      <c r="I7952" t="s">
        <v>28</v>
      </c>
      <c r="J7952">
        <v>1019.9</v>
      </c>
      <c r="K7952">
        <v>0.06</v>
      </c>
      <c r="L7952">
        <v>0.48</v>
      </c>
      <c r="M7952">
        <v>25.13</v>
      </c>
      <c r="N7952">
        <v>-2554.9580000000001</v>
      </c>
      <c r="O7952" s="1" t="s">
        <v>87</v>
      </c>
      <c r="P7952" s="1" t="s">
        <v>12321</v>
      </c>
      <c r="Q7952" s="1" t="s">
        <v>12322</v>
      </c>
      <c r="R7952" s="1" t="s">
        <v>398</v>
      </c>
      <c r="S7952" s="1" t="s">
        <v>12323</v>
      </c>
      <c r="T7952" s="1" t="s">
        <v>12324</v>
      </c>
      <c r="U7952" s="2" t="s">
        <v>2057</v>
      </c>
      <c r="V7952" s="2" t="s">
        <v>36</v>
      </c>
      <c r="W7952" s="2" t="s">
        <v>60</v>
      </c>
      <c r="X7952" s="2">
        <v>1053.395</v>
      </c>
    </row>
    <row r="7953" spans="1:24" x14ac:dyDescent="0.3">
      <c r="A7953">
        <v>25760</v>
      </c>
      <c r="B7953" t="s">
        <v>15031</v>
      </c>
      <c r="C7953" s="3">
        <v>41822</v>
      </c>
      <c r="D7953" t="s">
        <v>39</v>
      </c>
      <c r="E7953">
        <v>8</v>
      </c>
      <c r="F7953" s="3">
        <f ca="1">41823+(RANDBETWEEN(1,10))</f>
        <v>41827</v>
      </c>
      <c r="G7953" t="s">
        <v>26</v>
      </c>
      <c r="H7953" t="s">
        <v>27</v>
      </c>
      <c r="I7953" t="s">
        <v>28</v>
      </c>
      <c r="J7953">
        <v>541.94000000000005</v>
      </c>
      <c r="K7953">
        <v>0.02</v>
      </c>
      <c r="L7953">
        <v>0.37</v>
      </c>
      <c r="M7953">
        <v>31.605</v>
      </c>
      <c r="N7953">
        <v>145.12288000000001</v>
      </c>
      <c r="O7953" s="1" t="s">
        <v>87</v>
      </c>
      <c r="P7953" s="1" t="s">
        <v>14268</v>
      </c>
      <c r="Q7953" s="1" t="s">
        <v>14269</v>
      </c>
      <c r="R7953" s="1" t="s">
        <v>398</v>
      </c>
      <c r="S7953" s="1" t="s">
        <v>4411</v>
      </c>
      <c r="T7953" s="1" t="s">
        <v>4412</v>
      </c>
      <c r="U7953" s="2" t="s">
        <v>482</v>
      </c>
      <c r="V7953" s="2" t="s">
        <v>47</v>
      </c>
      <c r="W7953" s="2" t="s">
        <v>74</v>
      </c>
      <c r="X7953" s="2">
        <v>66.394999999999996</v>
      </c>
    </row>
    <row r="7954" spans="1:24" x14ac:dyDescent="0.3">
      <c r="A7954">
        <v>25761</v>
      </c>
      <c r="B7954" t="s">
        <v>15032</v>
      </c>
      <c r="C7954" s="3">
        <v>40741</v>
      </c>
      <c r="D7954" t="s">
        <v>148</v>
      </c>
      <c r="E7954">
        <v>10</v>
      </c>
      <c r="F7954" s="3">
        <f ca="1">40742+(RANDBETWEEN(1,10))</f>
        <v>40747</v>
      </c>
      <c r="G7954" t="s">
        <v>26</v>
      </c>
      <c r="H7954" t="s">
        <v>27</v>
      </c>
      <c r="I7954" t="s">
        <v>86</v>
      </c>
      <c r="J7954">
        <v>194.18</v>
      </c>
      <c r="K7954">
        <v>0.05</v>
      </c>
      <c r="L7954">
        <v>0.38</v>
      </c>
      <c r="M7954">
        <v>4.8650000000000002</v>
      </c>
      <c r="N7954">
        <v>133.98419999999999</v>
      </c>
      <c r="O7954" s="1" t="s">
        <v>40</v>
      </c>
      <c r="P7954" s="1" t="s">
        <v>14105</v>
      </c>
      <c r="Q7954" s="1" t="s">
        <v>14106</v>
      </c>
      <c r="R7954" s="1" t="s">
        <v>220</v>
      </c>
      <c r="S7954" s="1" t="s">
        <v>4170</v>
      </c>
      <c r="T7954" s="1" t="s">
        <v>4171</v>
      </c>
      <c r="U7954" s="2" t="s">
        <v>641</v>
      </c>
      <c r="V7954" s="2" t="s">
        <v>47</v>
      </c>
      <c r="W7954" s="2" t="s">
        <v>48</v>
      </c>
      <c r="X7954" s="2">
        <v>19.88</v>
      </c>
    </row>
    <row r="7955" spans="1:24" x14ac:dyDescent="0.3">
      <c r="A7955">
        <v>25762</v>
      </c>
      <c r="B7955" t="s">
        <v>15033</v>
      </c>
      <c r="C7955" s="3">
        <v>40863</v>
      </c>
      <c r="D7955" t="s">
        <v>62</v>
      </c>
      <c r="E7955">
        <v>5</v>
      </c>
      <c r="F7955" s="3">
        <f ca="1">40864+(RANDBETWEEN(1,10))</f>
        <v>40870</v>
      </c>
      <c r="G7955" t="s">
        <v>26</v>
      </c>
      <c r="H7955" t="s">
        <v>27</v>
      </c>
      <c r="I7955" t="s">
        <v>86</v>
      </c>
      <c r="J7955">
        <v>356.09</v>
      </c>
      <c r="K7955">
        <v>0.04</v>
      </c>
      <c r="L7955">
        <v>0.37</v>
      </c>
      <c r="M7955">
        <v>33.39</v>
      </c>
      <c r="N7955">
        <v>10.64</v>
      </c>
      <c r="O7955" s="1" t="s">
        <v>225</v>
      </c>
      <c r="P7955" s="1" t="s">
        <v>15034</v>
      </c>
      <c r="Q7955" s="1" t="s">
        <v>15035</v>
      </c>
      <c r="R7955" s="1" t="s">
        <v>228</v>
      </c>
      <c r="S7955" s="1" t="s">
        <v>3631</v>
      </c>
      <c r="T7955" s="1" t="s">
        <v>3632</v>
      </c>
      <c r="U7955" s="2" t="s">
        <v>838</v>
      </c>
      <c r="V7955" s="2" t="s">
        <v>47</v>
      </c>
      <c r="W7955" s="2" t="s">
        <v>74</v>
      </c>
      <c r="X7955" s="2">
        <v>66.394999999999996</v>
      </c>
    </row>
    <row r="7956" spans="1:24" x14ac:dyDescent="0.3">
      <c r="A7956">
        <v>25763</v>
      </c>
      <c r="B7956" t="s">
        <v>15036</v>
      </c>
      <c r="C7956" s="3">
        <v>41959</v>
      </c>
      <c r="D7956" t="s">
        <v>62</v>
      </c>
      <c r="E7956">
        <v>44</v>
      </c>
      <c r="F7956" s="3">
        <f ca="1">41962+(RANDBETWEEN(1,10))</f>
        <v>41970</v>
      </c>
      <c r="G7956" t="s">
        <v>26</v>
      </c>
      <c r="H7956" t="s">
        <v>96</v>
      </c>
      <c r="I7956" t="s">
        <v>86</v>
      </c>
      <c r="J7956">
        <v>471.625</v>
      </c>
      <c r="K7956">
        <v>0.02</v>
      </c>
      <c r="L7956">
        <v>0.56000000000000005</v>
      </c>
      <c r="M7956">
        <v>2.4500000000000002</v>
      </c>
      <c r="N7956">
        <v>267.08528000000001</v>
      </c>
      <c r="O7956" s="1" t="s">
        <v>225</v>
      </c>
      <c r="P7956" s="1" t="s">
        <v>15034</v>
      </c>
      <c r="Q7956" s="1" t="s">
        <v>15035</v>
      </c>
      <c r="R7956" s="1" t="s">
        <v>228</v>
      </c>
      <c r="S7956" s="1" t="s">
        <v>3631</v>
      </c>
      <c r="T7956" s="1" t="s">
        <v>3632</v>
      </c>
      <c r="U7956" s="2" t="s">
        <v>443</v>
      </c>
      <c r="V7956" s="2" t="s">
        <v>47</v>
      </c>
      <c r="W7956" s="2" t="s">
        <v>104</v>
      </c>
      <c r="X7956" s="2">
        <v>10.08</v>
      </c>
    </row>
    <row r="7957" spans="1:24" x14ac:dyDescent="0.3">
      <c r="A7957">
        <v>25764</v>
      </c>
      <c r="B7957" t="s">
        <v>15033</v>
      </c>
      <c r="C7957" s="3">
        <v>40863</v>
      </c>
      <c r="D7957" t="s">
        <v>62</v>
      </c>
      <c r="E7957">
        <v>8</v>
      </c>
      <c r="F7957" s="3">
        <f ca="1">40864+(RANDBETWEEN(1,10))</f>
        <v>40871</v>
      </c>
      <c r="G7957" t="s">
        <v>26</v>
      </c>
      <c r="H7957" t="s">
        <v>51</v>
      </c>
      <c r="I7957" t="s">
        <v>86</v>
      </c>
      <c r="J7957">
        <v>295.82</v>
      </c>
      <c r="K7957">
        <v>0.09</v>
      </c>
      <c r="L7957">
        <v>0.56999999999999995</v>
      </c>
      <c r="M7957">
        <v>11.795</v>
      </c>
      <c r="N7957">
        <v>9.4710000000000001</v>
      </c>
      <c r="O7957" s="1" t="s">
        <v>225</v>
      </c>
      <c r="P7957" s="1" t="s">
        <v>15034</v>
      </c>
      <c r="Q7957" s="1" t="s">
        <v>15035</v>
      </c>
      <c r="R7957" s="1" t="s">
        <v>228</v>
      </c>
      <c r="S7957" s="1" t="s">
        <v>3631</v>
      </c>
      <c r="T7957" s="1" t="s">
        <v>3632</v>
      </c>
      <c r="U7957" s="2" t="s">
        <v>5857</v>
      </c>
      <c r="V7957" s="2" t="s">
        <v>47</v>
      </c>
      <c r="W7957" s="2" t="s">
        <v>94</v>
      </c>
      <c r="X7957" s="2">
        <v>38.43</v>
      </c>
    </row>
    <row r="7958" spans="1:24" x14ac:dyDescent="0.3">
      <c r="A7958">
        <v>25765</v>
      </c>
      <c r="B7958" t="s">
        <v>15037</v>
      </c>
      <c r="C7958" s="3">
        <v>41860</v>
      </c>
      <c r="D7958" t="s">
        <v>148</v>
      </c>
      <c r="E7958">
        <v>4</v>
      </c>
      <c r="F7958" s="3">
        <f ca="1">41860+(RANDBETWEEN(1,10))</f>
        <v>41862</v>
      </c>
      <c r="G7958" t="s">
        <v>76</v>
      </c>
      <c r="H7958" t="s">
        <v>258</v>
      </c>
      <c r="I7958" t="s">
        <v>52</v>
      </c>
      <c r="J7958">
        <v>2264.5700000000002</v>
      </c>
      <c r="K7958">
        <v>0.05</v>
      </c>
      <c r="L7958">
        <v>0.65</v>
      </c>
      <c r="M7958">
        <v>231.94499999999999</v>
      </c>
      <c r="N7958">
        <v>-479.59912000000003</v>
      </c>
      <c r="O7958" s="1" t="s">
        <v>40</v>
      </c>
      <c r="P7958" s="1" t="s">
        <v>13421</v>
      </c>
      <c r="Q7958" s="1" t="s">
        <v>13422</v>
      </c>
      <c r="R7958" s="1" t="s">
        <v>43</v>
      </c>
      <c r="S7958" s="1" t="s">
        <v>1211</v>
      </c>
      <c r="T7958" s="1" t="s">
        <v>1212</v>
      </c>
      <c r="U7958" s="2" t="s">
        <v>3398</v>
      </c>
      <c r="V7958" s="2" t="s">
        <v>83</v>
      </c>
      <c r="W7958" s="2" t="s">
        <v>298</v>
      </c>
      <c r="X7958" s="2">
        <v>528.42999999999995</v>
      </c>
    </row>
    <row r="7959" spans="1:24" x14ac:dyDescent="0.3">
      <c r="A7959">
        <v>25766</v>
      </c>
      <c r="B7959" t="s">
        <v>15037</v>
      </c>
      <c r="C7959" s="3">
        <v>41860</v>
      </c>
      <c r="D7959" t="s">
        <v>148</v>
      </c>
      <c r="E7959">
        <v>12</v>
      </c>
      <c r="F7959" s="3">
        <f ca="1">41862+(RANDBETWEEN(1,10))</f>
        <v>41871</v>
      </c>
      <c r="G7959" t="s">
        <v>26</v>
      </c>
      <c r="H7959" t="s">
        <v>27</v>
      </c>
      <c r="I7959" t="s">
        <v>52</v>
      </c>
      <c r="J7959">
        <v>716.87</v>
      </c>
      <c r="K7959">
        <v>0.04</v>
      </c>
      <c r="L7959">
        <v>0.38</v>
      </c>
      <c r="M7959">
        <v>28.454999999999998</v>
      </c>
      <c r="N7959">
        <v>122.73099999999999</v>
      </c>
      <c r="O7959" s="1" t="s">
        <v>40</v>
      </c>
      <c r="P7959" s="1" t="s">
        <v>13421</v>
      </c>
      <c r="Q7959" s="1" t="s">
        <v>13422</v>
      </c>
      <c r="R7959" s="1" t="s">
        <v>43</v>
      </c>
      <c r="S7959" s="1" t="s">
        <v>1211</v>
      </c>
      <c r="T7959" s="1" t="s">
        <v>1212</v>
      </c>
      <c r="U7959" s="2" t="s">
        <v>8130</v>
      </c>
      <c r="V7959" s="2" t="s">
        <v>47</v>
      </c>
      <c r="W7959" s="2" t="s">
        <v>48</v>
      </c>
      <c r="X7959" s="2">
        <v>59.744999999999997</v>
      </c>
    </row>
    <row r="7960" spans="1:24" x14ac:dyDescent="0.3">
      <c r="A7960">
        <v>25767</v>
      </c>
      <c r="B7960" t="s">
        <v>15038</v>
      </c>
      <c r="C7960" s="3">
        <v>41402</v>
      </c>
      <c r="D7960" t="s">
        <v>39</v>
      </c>
      <c r="E7960">
        <v>9</v>
      </c>
      <c r="F7960" s="3">
        <f ca="1">41403+(RANDBETWEEN(1,10))</f>
        <v>41408</v>
      </c>
      <c r="G7960" t="s">
        <v>26</v>
      </c>
      <c r="H7960" t="s">
        <v>51</v>
      </c>
      <c r="I7960" t="s">
        <v>52</v>
      </c>
      <c r="J7960">
        <v>574.17499999999995</v>
      </c>
      <c r="K7960">
        <v>0.02</v>
      </c>
      <c r="L7960">
        <v>0.83</v>
      </c>
      <c r="M7960">
        <v>4.375</v>
      </c>
      <c r="N7960">
        <v>-147.8015</v>
      </c>
      <c r="O7960" s="1" t="s">
        <v>53</v>
      </c>
      <c r="P7960" s="1" t="s">
        <v>15039</v>
      </c>
      <c r="Q7960" s="1" t="s">
        <v>15040</v>
      </c>
      <c r="R7960" s="1" t="s">
        <v>56</v>
      </c>
      <c r="S7960" s="1" t="s">
        <v>7052</v>
      </c>
      <c r="T7960" s="1" t="s">
        <v>7053</v>
      </c>
      <c r="U7960" s="2" t="s">
        <v>3952</v>
      </c>
      <c r="V7960" s="2" t="s">
        <v>36</v>
      </c>
      <c r="W7960" s="2" t="s">
        <v>37</v>
      </c>
      <c r="X7960" s="2">
        <v>73.465000000000003</v>
      </c>
    </row>
    <row r="7961" spans="1:24" x14ac:dyDescent="0.3">
      <c r="A7961">
        <v>25768</v>
      </c>
      <c r="B7961" t="s">
        <v>15038</v>
      </c>
      <c r="C7961" s="3">
        <v>41402</v>
      </c>
      <c r="D7961" t="s">
        <v>39</v>
      </c>
      <c r="E7961">
        <v>11</v>
      </c>
      <c r="F7961" s="3">
        <f ca="1">41403+(RANDBETWEEN(1,10))</f>
        <v>41404</v>
      </c>
      <c r="G7961" t="s">
        <v>26</v>
      </c>
      <c r="H7961" t="s">
        <v>51</v>
      </c>
      <c r="I7961" t="s">
        <v>52</v>
      </c>
      <c r="J7961">
        <v>245.245</v>
      </c>
      <c r="K7961">
        <v>0</v>
      </c>
      <c r="L7961">
        <v>0.75</v>
      </c>
      <c r="M7961">
        <v>15.33</v>
      </c>
      <c r="N7961">
        <v>-357.875</v>
      </c>
      <c r="O7961" s="1" t="s">
        <v>64</v>
      </c>
      <c r="P7961" s="1" t="s">
        <v>15041</v>
      </c>
      <c r="Q7961" s="1" t="s">
        <v>15042</v>
      </c>
      <c r="R7961" s="1" t="s">
        <v>67</v>
      </c>
      <c r="S7961" s="1" t="s">
        <v>8012</v>
      </c>
      <c r="T7961" s="1" t="s">
        <v>8013</v>
      </c>
      <c r="U7961" s="2" t="s">
        <v>1783</v>
      </c>
      <c r="V7961" s="2" t="s">
        <v>36</v>
      </c>
      <c r="W7961" s="2" t="s">
        <v>60</v>
      </c>
      <c r="X7961" s="2">
        <v>20.93</v>
      </c>
    </row>
    <row r="7962" spans="1:24" x14ac:dyDescent="0.3">
      <c r="A7962">
        <v>25769</v>
      </c>
      <c r="B7962" t="s">
        <v>15043</v>
      </c>
      <c r="C7962" s="3">
        <v>41660</v>
      </c>
      <c r="D7962" t="s">
        <v>148</v>
      </c>
      <c r="E7962">
        <v>13</v>
      </c>
      <c r="F7962" s="3">
        <f ca="1">41661+(RANDBETWEEN(1,10))</f>
        <v>41671</v>
      </c>
      <c r="G7962" t="s">
        <v>26</v>
      </c>
      <c r="H7962" t="s">
        <v>51</v>
      </c>
      <c r="I7962" t="s">
        <v>28</v>
      </c>
      <c r="J7962">
        <v>1416.415</v>
      </c>
      <c r="K7962">
        <v>0.04</v>
      </c>
      <c r="L7962">
        <v>0.56999999999999995</v>
      </c>
      <c r="M7962">
        <v>4.375</v>
      </c>
      <c r="N7962">
        <v>977.32635000000005</v>
      </c>
      <c r="O7962" s="1" t="s">
        <v>29</v>
      </c>
      <c r="P7962" s="1" t="s">
        <v>14779</v>
      </c>
      <c r="Q7962" s="1" t="s">
        <v>14780</v>
      </c>
      <c r="R7962" s="1" t="s">
        <v>32</v>
      </c>
      <c r="S7962" s="1" t="s">
        <v>7308</v>
      </c>
      <c r="T7962" s="1" t="s">
        <v>7309</v>
      </c>
      <c r="U7962" s="2" t="s">
        <v>1964</v>
      </c>
      <c r="V7962" s="2" t="s">
        <v>36</v>
      </c>
      <c r="W7962" s="2" t="s">
        <v>37</v>
      </c>
      <c r="X7962" s="2">
        <v>125.965</v>
      </c>
    </row>
    <row r="7963" spans="1:24" x14ac:dyDescent="0.3">
      <c r="A7963">
        <v>25770</v>
      </c>
      <c r="B7963" t="s">
        <v>15044</v>
      </c>
      <c r="C7963" s="3">
        <v>41348</v>
      </c>
      <c r="D7963" t="s">
        <v>25</v>
      </c>
      <c r="E7963">
        <v>14</v>
      </c>
      <c r="F7963" s="3">
        <f ca="1">41350+(RANDBETWEEN(1,10))</f>
        <v>41354</v>
      </c>
      <c r="G7963" t="s">
        <v>26</v>
      </c>
      <c r="H7963" t="s">
        <v>281</v>
      </c>
      <c r="I7963" t="s">
        <v>97</v>
      </c>
      <c r="J7963">
        <v>6229.5450000000001</v>
      </c>
      <c r="K7963">
        <v>0.03</v>
      </c>
      <c r="L7963" t="s">
        <v>182</v>
      </c>
      <c r="M7963">
        <v>44.274999999999999</v>
      </c>
      <c r="N7963">
        <v>11.654999999999999</v>
      </c>
      <c r="O7963" s="1" t="s">
        <v>87</v>
      </c>
      <c r="P7963" s="1" t="s">
        <v>12184</v>
      </c>
      <c r="Q7963" s="1" t="s">
        <v>12185</v>
      </c>
      <c r="R7963" s="1" t="s">
        <v>398</v>
      </c>
      <c r="S7963" s="1" t="s">
        <v>12186</v>
      </c>
      <c r="T7963" s="1" t="s">
        <v>12187</v>
      </c>
      <c r="U7963" s="2" t="s">
        <v>1695</v>
      </c>
      <c r="V7963" s="2" t="s">
        <v>83</v>
      </c>
      <c r="W7963" s="2" t="s">
        <v>84</v>
      </c>
      <c r="X7963" s="2">
        <v>448.84</v>
      </c>
    </row>
    <row r="7964" spans="1:24" x14ac:dyDescent="0.3">
      <c r="A7964">
        <v>25771</v>
      </c>
      <c r="B7964" t="s">
        <v>15044</v>
      </c>
      <c r="C7964" s="3">
        <v>41348</v>
      </c>
      <c r="D7964" t="s">
        <v>25</v>
      </c>
      <c r="E7964">
        <v>13</v>
      </c>
      <c r="F7964" s="3">
        <f ca="1">41355+(RANDBETWEEN(1,10))</f>
        <v>41363</v>
      </c>
      <c r="G7964" t="s">
        <v>26</v>
      </c>
      <c r="H7964" t="s">
        <v>96</v>
      </c>
      <c r="I7964" t="s">
        <v>97</v>
      </c>
      <c r="J7964">
        <v>186.97</v>
      </c>
      <c r="K7964">
        <v>0.09</v>
      </c>
      <c r="L7964">
        <v>0.56000000000000005</v>
      </c>
      <c r="M7964">
        <v>3.29</v>
      </c>
      <c r="N7964">
        <v>3528.4787999999999</v>
      </c>
      <c r="O7964" s="1" t="s">
        <v>87</v>
      </c>
      <c r="P7964" s="1" t="s">
        <v>12184</v>
      </c>
      <c r="Q7964" s="1" t="s">
        <v>12185</v>
      </c>
      <c r="R7964" s="1" t="s">
        <v>398</v>
      </c>
      <c r="S7964" s="1" t="s">
        <v>12186</v>
      </c>
      <c r="T7964" s="1" t="s">
        <v>12187</v>
      </c>
      <c r="U7964" s="2" t="s">
        <v>331</v>
      </c>
      <c r="V7964" s="2" t="s">
        <v>47</v>
      </c>
      <c r="W7964" s="2" t="s">
        <v>104</v>
      </c>
      <c r="X7964" s="2">
        <v>14.98</v>
      </c>
    </row>
    <row r="7965" spans="1:24" x14ac:dyDescent="0.3">
      <c r="A7965">
        <v>25772</v>
      </c>
      <c r="B7965" t="s">
        <v>15045</v>
      </c>
      <c r="C7965" s="3">
        <v>41917</v>
      </c>
      <c r="D7965" t="s">
        <v>62</v>
      </c>
      <c r="E7965">
        <v>25</v>
      </c>
      <c r="F7965" s="3">
        <f ca="1">41918+(RANDBETWEEN(1,10))</f>
        <v>41923</v>
      </c>
      <c r="G7965" t="s">
        <v>76</v>
      </c>
      <c r="H7965" t="s">
        <v>258</v>
      </c>
      <c r="I7965" t="s">
        <v>28</v>
      </c>
      <c r="J7965">
        <v>19266.240000000002</v>
      </c>
      <c r="K7965">
        <v>0.09</v>
      </c>
      <c r="L7965">
        <v>0.68</v>
      </c>
      <c r="M7965">
        <v>113.68</v>
      </c>
      <c r="N7965">
        <v>-65.268000000000001</v>
      </c>
      <c r="O7965" s="1" t="s">
        <v>29</v>
      </c>
      <c r="P7965" s="1" t="s">
        <v>15046</v>
      </c>
      <c r="Q7965" s="1" t="s">
        <v>15047</v>
      </c>
      <c r="R7965" s="1" t="s">
        <v>32</v>
      </c>
      <c r="S7965" s="1" t="s">
        <v>15048</v>
      </c>
      <c r="T7965" s="1" t="s">
        <v>15049</v>
      </c>
      <c r="U7965" s="2" t="s">
        <v>1081</v>
      </c>
      <c r="V7965" s="2" t="s">
        <v>83</v>
      </c>
      <c r="W7965" s="2" t="s">
        <v>263</v>
      </c>
      <c r="X7965" s="2">
        <v>796.42499999999995</v>
      </c>
    </row>
    <row r="7966" spans="1:24" x14ac:dyDescent="0.3">
      <c r="A7966">
        <v>25773</v>
      </c>
      <c r="B7966" t="s">
        <v>15050</v>
      </c>
      <c r="C7966" s="3">
        <v>41891</v>
      </c>
      <c r="D7966" t="s">
        <v>62</v>
      </c>
      <c r="E7966">
        <v>3</v>
      </c>
      <c r="F7966" s="3">
        <f ca="1">41894+(RANDBETWEEN(1,10))</f>
        <v>41900</v>
      </c>
      <c r="G7966" t="s">
        <v>26</v>
      </c>
      <c r="H7966" t="s">
        <v>96</v>
      </c>
      <c r="I7966" t="s">
        <v>28</v>
      </c>
      <c r="J7966">
        <v>30.94</v>
      </c>
      <c r="K7966">
        <v>0.08</v>
      </c>
      <c r="L7966">
        <v>0.56000000000000005</v>
      </c>
      <c r="M7966">
        <v>2.4500000000000002</v>
      </c>
      <c r="N7966">
        <v>1153.845</v>
      </c>
      <c r="O7966" s="1" t="s">
        <v>64</v>
      </c>
      <c r="P7966" s="1" t="s">
        <v>15051</v>
      </c>
      <c r="Q7966" s="1" t="s">
        <v>15052</v>
      </c>
      <c r="R7966" s="1" t="s">
        <v>67</v>
      </c>
      <c r="S7966" s="1" t="s">
        <v>4976</v>
      </c>
      <c r="T7966" s="1" t="s">
        <v>15053</v>
      </c>
      <c r="U7966" s="2" t="s">
        <v>3059</v>
      </c>
      <c r="V7966" s="2" t="s">
        <v>47</v>
      </c>
      <c r="W7966" s="2" t="s">
        <v>104</v>
      </c>
      <c r="X7966" s="2">
        <v>10.08</v>
      </c>
    </row>
    <row r="7967" spans="1:24" x14ac:dyDescent="0.3">
      <c r="A7967">
        <v>25774</v>
      </c>
      <c r="B7967" t="s">
        <v>15054</v>
      </c>
      <c r="C7967" s="3">
        <v>41568</v>
      </c>
      <c r="D7967" t="s">
        <v>25</v>
      </c>
      <c r="E7967">
        <v>20</v>
      </c>
      <c r="F7967" s="3">
        <f ca="1">41570+(RANDBETWEEN(1,10))</f>
        <v>41573</v>
      </c>
      <c r="G7967" t="s">
        <v>26</v>
      </c>
      <c r="H7967" t="s">
        <v>27</v>
      </c>
      <c r="I7967" t="s">
        <v>97</v>
      </c>
      <c r="J7967">
        <v>2149.4549999999999</v>
      </c>
      <c r="K7967">
        <v>0.1</v>
      </c>
      <c r="L7967">
        <v>0.75</v>
      </c>
      <c r="M7967">
        <v>19.25</v>
      </c>
      <c r="N7967">
        <v>-2198.14</v>
      </c>
      <c r="O7967" s="1" t="s">
        <v>87</v>
      </c>
      <c r="P7967" s="1" t="s">
        <v>4538</v>
      </c>
      <c r="Q7967" s="1" t="s">
        <v>4539</v>
      </c>
      <c r="R7967" s="1" t="s">
        <v>646</v>
      </c>
      <c r="S7967" s="1" t="s">
        <v>4444</v>
      </c>
      <c r="T7967" s="1" t="s">
        <v>4445</v>
      </c>
      <c r="U7967" s="2" t="s">
        <v>2960</v>
      </c>
      <c r="V7967" s="2" t="s">
        <v>36</v>
      </c>
      <c r="W7967" s="2" t="s">
        <v>60</v>
      </c>
      <c r="X7967" s="2">
        <v>115.43</v>
      </c>
    </row>
    <row r="7968" spans="1:24" x14ac:dyDescent="0.3">
      <c r="A7968">
        <v>25775</v>
      </c>
      <c r="B7968" t="s">
        <v>15055</v>
      </c>
      <c r="C7968" s="3">
        <v>41705</v>
      </c>
      <c r="D7968" t="s">
        <v>148</v>
      </c>
      <c r="E7968">
        <v>3</v>
      </c>
      <c r="F7968" s="3">
        <f ca="1">41706+(RANDBETWEEN(1,10))</f>
        <v>41711</v>
      </c>
      <c r="G7968" t="s">
        <v>26</v>
      </c>
      <c r="H7968" t="s">
        <v>27</v>
      </c>
      <c r="I7968" t="s">
        <v>28</v>
      </c>
      <c r="J7968">
        <v>950.46</v>
      </c>
      <c r="K7968">
        <v>0.05</v>
      </c>
      <c r="L7968">
        <v>0.56999999999999995</v>
      </c>
      <c r="M7968">
        <v>8.75</v>
      </c>
      <c r="N7968">
        <v>-411.642</v>
      </c>
      <c r="O7968" s="1" t="s">
        <v>29</v>
      </c>
      <c r="P7968" s="1" t="s">
        <v>7115</v>
      </c>
      <c r="Q7968" s="1" t="s">
        <v>7116</v>
      </c>
      <c r="R7968" s="1" t="s">
        <v>460</v>
      </c>
      <c r="S7968" s="1" t="s">
        <v>7117</v>
      </c>
      <c r="T7968" s="1" t="s">
        <v>7118</v>
      </c>
      <c r="U7968" s="2" t="s">
        <v>3011</v>
      </c>
      <c r="V7968" s="2" t="s">
        <v>36</v>
      </c>
      <c r="W7968" s="2" t="s">
        <v>37</v>
      </c>
      <c r="X7968" s="2">
        <v>388.46499999999997</v>
      </c>
    </row>
    <row r="7969" spans="1:24" x14ac:dyDescent="0.3">
      <c r="A7969">
        <v>25776</v>
      </c>
      <c r="B7969" t="s">
        <v>15055</v>
      </c>
      <c r="C7969" s="3">
        <v>41705</v>
      </c>
      <c r="D7969" t="s">
        <v>148</v>
      </c>
      <c r="E7969">
        <v>10</v>
      </c>
      <c r="F7969" s="3">
        <f ca="1">41708+(RANDBETWEEN(1,10))</f>
        <v>41718</v>
      </c>
      <c r="G7969" t="s">
        <v>26</v>
      </c>
      <c r="H7969" t="s">
        <v>51</v>
      </c>
      <c r="I7969" t="s">
        <v>28</v>
      </c>
      <c r="J7969">
        <v>708.995</v>
      </c>
      <c r="K7969">
        <v>0.01</v>
      </c>
      <c r="L7969">
        <v>0.46</v>
      </c>
      <c r="M7969">
        <v>31.465</v>
      </c>
      <c r="N7969">
        <v>405.55200000000002</v>
      </c>
      <c r="O7969" s="1" t="s">
        <v>225</v>
      </c>
      <c r="P7969" s="1" t="s">
        <v>15056</v>
      </c>
      <c r="Q7969" s="1" t="s">
        <v>15057</v>
      </c>
      <c r="R7969" s="1" t="s">
        <v>228</v>
      </c>
      <c r="S7969" s="1" t="s">
        <v>1879</v>
      </c>
      <c r="T7969" s="1" t="s">
        <v>1880</v>
      </c>
      <c r="U7969" s="2" t="s">
        <v>10613</v>
      </c>
      <c r="V7969" s="2" t="s">
        <v>83</v>
      </c>
      <c r="W7969" s="2" t="s">
        <v>178</v>
      </c>
      <c r="X7969" s="2">
        <v>70.84</v>
      </c>
    </row>
    <row r="7970" spans="1:24" x14ac:dyDescent="0.3">
      <c r="A7970">
        <v>25777</v>
      </c>
      <c r="B7970" t="s">
        <v>15055</v>
      </c>
      <c r="C7970" s="3">
        <v>41705</v>
      </c>
      <c r="D7970" t="s">
        <v>148</v>
      </c>
      <c r="E7970">
        <v>1</v>
      </c>
      <c r="F7970" s="3">
        <f ca="1">41706+(RANDBETWEEN(1,10))</f>
        <v>41713</v>
      </c>
      <c r="G7970" t="s">
        <v>26</v>
      </c>
      <c r="H7970" t="s">
        <v>27</v>
      </c>
      <c r="I7970" t="s">
        <v>28</v>
      </c>
      <c r="J7970">
        <v>139.89500000000001</v>
      </c>
      <c r="K7970">
        <v>0</v>
      </c>
      <c r="L7970">
        <v>0.67</v>
      </c>
      <c r="M7970">
        <v>69.965000000000003</v>
      </c>
      <c r="N7970">
        <v>-369.01900000000001</v>
      </c>
      <c r="O7970" s="1" t="s">
        <v>225</v>
      </c>
      <c r="P7970" s="1" t="s">
        <v>15056</v>
      </c>
      <c r="Q7970" s="1" t="s">
        <v>15057</v>
      </c>
      <c r="R7970" s="1" t="s">
        <v>228</v>
      </c>
      <c r="S7970" s="1" t="s">
        <v>1879</v>
      </c>
      <c r="T7970" s="1" t="s">
        <v>1880</v>
      </c>
      <c r="U7970" s="2" t="s">
        <v>3823</v>
      </c>
      <c r="V7970" s="2" t="s">
        <v>47</v>
      </c>
      <c r="W7970" s="2" t="s">
        <v>119</v>
      </c>
      <c r="X7970" s="2">
        <v>97.125</v>
      </c>
    </row>
    <row r="7971" spans="1:24" x14ac:dyDescent="0.3">
      <c r="A7971">
        <v>25778</v>
      </c>
      <c r="B7971" t="s">
        <v>15058</v>
      </c>
      <c r="C7971" s="3">
        <v>41239</v>
      </c>
      <c r="D7971" t="s">
        <v>148</v>
      </c>
      <c r="E7971">
        <v>29</v>
      </c>
      <c r="F7971" s="3">
        <f ca="1">41240+(RANDBETWEEN(1,10))</f>
        <v>41249</v>
      </c>
      <c r="G7971" t="s">
        <v>76</v>
      </c>
      <c r="H7971" t="s">
        <v>77</v>
      </c>
      <c r="I7971" t="s">
        <v>97</v>
      </c>
      <c r="J7971">
        <v>45234.805</v>
      </c>
      <c r="K7971">
        <v>0.05</v>
      </c>
      <c r="L7971">
        <v>0.38</v>
      </c>
      <c r="M7971">
        <v>98.49</v>
      </c>
      <c r="N7971">
        <v>31212.015449999999</v>
      </c>
      <c r="O7971" s="1" t="s">
        <v>29</v>
      </c>
      <c r="P7971" s="1" t="s">
        <v>15059</v>
      </c>
      <c r="Q7971" s="1" t="s">
        <v>15060</v>
      </c>
      <c r="R7971" s="1" t="s">
        <v>32</v>
      </c>
      <c r="S7971" s="1" t="s">
        <v>7562</v>
      </c>
      <c r="T7971" s="1" t="s">
        <v>7563</v>
      </c>
      <c r="U7971" s="2" t="s">
        <v>720</v>
      </c>
      <c r="V7971" s="2" t="s">
        <v>36</v>
      </c>
      <c r="W7971" s="2" t="s">
        <v>142</v>
      </c>
      <c r="X7971" s="2">
        <v>1753.43</v>
      </c>
    </row>
    <row r="7972" spans="1:24" x14ac:dyDescent="0.3">
      <c r="A7972">
        <v>25779</v>
      </c>
      <c r="B7972" t="s">
        <v>15061</v>
      </c>
      <c r="C7972" s="3">
        <v>41901</v>
      </c>
      <c r="D7972" t="s">
        <v>39</v>
      </c>
      <c r="E7972">
        <v>1</v>
      </c>
      <c r="F7972" s="3">
        <f ca="1">41903+(RANDBETWEEN(1,10))</f>
        <v>41908</v>
      </c>
      <c r="G7972" t="s">
        <v>26</v>
      </c>
      <c r="H7972" t="s">
        <v>51</v>
      </c>
      <c r="I7972" t="s">
        <v>97</v>
      </c>
      <c r="J7972">
        <v>30.274999999999999</v>
      </c>
      <c r="K7972">
        <v>0.04</v>
      </c>
      <c r="L7972">
        <v>0.37</v>
      </c>
      <c r="M7972">
        <v>9.9049999999999994</v>
      </c>
      <c r="N7972">
        <v>188.89500000000001</v>
      </c>
      <c r="O7972" s="1" t="s">
        <v>64</v>
      </c>
      <c r="P7972" s="1" t="s">
        <v>14066</v>
      </c>
      <c r="Q7972" s="1" t="s">
        <v>14067</v>
      </c>
      <c r="R7972" s="1" t="s">
        <v>67</v>
      </c>
      <c r="S7972" s="1" t="s">
        <v>14068</v>
      </c>
      <c r="T7972" s="1" t="s">
        <v>14069</v>
      </c>
      <c r="U7972" s="2" t="s">
        <v>7020</v>
      </c>
      <c r="V7972" s="2" t="s">
        <v>83</v>
      </c>
      <c r="W7972" s="2" t="s">
        <v>178</v>
      </c>
      <c r="X7972" s="2">
        <v>24.43</v>
      </c>
    </row>
    <row r="7973" spans="1:24" x14ac:dyDescent="0.3">
      <c r="A7973">
        <v>2578</v>
      </c>
      <c r="B7973" t="s">
        <v>15062</v>
      </c>
      <c r="C7973" s="3">
        <v>41914</v>
      </c>
      <c r="D7973" t="s">
        <v>25</v>
      </c>
      <c r="E7973">
        <v>88</v>
      </c>
      <c r="F7973" s="3">
        <f ca="1">41916+(RANDBETWEEN(1,10))</f>
        <v>41922</v>
      </c>
      <c r="G7973" t="s">
        <v>76</v>
      </c>
      <c r="H7973" t="s">
        <v>77</v>
      </c>
      <c r="I7973" t="s">
        <v>86</v>
      </c>
      <c r="J7973">
        <v>36063.055</v>
      </c>
      <c r="K7973">
        <v>0.02</v>
      </c>
      <c r="L7973">
        <v>0.71</v>
      </c>
      <c r="M7973">
        <v>105</v>
      </c>
      <c r="N7973">
        <v>442.08499999999998</v>
      </c>
      <c r="O7973" s="1" t="s">
        <v>40</v>
      </c>
      <c r="P7973" s="1" t="s">
        <v>209</v>
      </c>
      <c r="Q7973" s="1" t="s">
        <v>210</v>
      </c>
      <c r="R7973" s="1" t="s">
        <v>43</v>
      </c>
      <c r="S7973" s="1" t="s">
        <v>44</v>
      </c>
      <c r="T7973" s="1" t="s">
        <v>211</v>
      </c>
      <c r="U7973" s="2" t="s">
        <v>7057</v>
      </c>
      <c r="V7973" s="2" t="s">
        <v>83</v>
      </c>
      <c r="W7973" s="2" t="s">
        <v>84</v>
      </c>
      <c r="X7973" s="2">
        <v>388.43</v>
      </c>
    </row>
    <row r="7974" spans="1:24" x14ac:dyDescent="0.3">
      <c r="A7974">
        <v>25780</v>
      </c>
      <c r="B7974" t="s">
        <v>15063</v>
      </c>
      <c r="C7974" s="3">
        <v>41906</v>
      </c>
      <c r="D7974" t="s">
        <v>25</v>
      </c>
      <c r="E7974">
        <v>17</v>
      </c>
      <c r="F7974" s="3">
        <f ca="1">41908+(RANDBETWEEN(1,10))</f>
        <v>41912</v>
      </c>
      <c r="G7974" t="s">
        <v>26</v>
      </c>
      <c r="H7974" t="s">
        <v>27</v>
      </c>
      <c r="I7974" t="s">
        <v>97</v>
      </c>
      <c r="J7974">
        <v>6619.165</v>
      </c>
      <c r="K7974">
        <v>0.02</v>
      </c>
      <c r="L7974">
        <v>0.55000000000000004</v>
      </c>
      <c r="M7974">
        <v>31.465</v>
      </c>
      <c r="N7974">
        <v>-93.59</v>
      </c>
      <c r="O7974" s="1" t="s">
        <v>40</v>
      </c>
      <c r="P7974" s="1" t="s">
        <v>3435</v>
      </c>
      <c r="Q7974" s="1" t="s">
        <v>3436</v>
      </c>
      <c r="R7974" s="1" t="s">
        <v>43</v>
      </c>
      <c r="S7974" s="1" t="s">
        <v>3113</v>
      </c>
      <c r="T7974" s="1" t="s">
        <v>3114</v>
      </c>
      <c r="U7974" s="2" t="s">
        <v>5120</v>
      </c>
      <c r="V7974" s="2" t="s">
        <v>36</v>
      </c>
      <c r="W7974" s="2" t="s">
        <v>37</v>
      </c>
      <c r="X7974" s="2">
        <v>440.96499999999997</v>
      </c>
    </row>
    <row r="7975" spans="1:24" x14ac:dyDescent="0.3">
      <c r="A7975">
        <v>25781</v>
      </c>
      <c r="B7975" t="s">
        <v>15064</v>
      </c>
      <c r="C7975" s="3">
        <v>41835</v>
      </c>
      <c r="D7975" t="s">
        <v>39</v>
      </c>
      <c r="E7975">
        <v>18</v>
      </c>
      <c r="F7975" s="3">
        <f ca="1">41837+(RANDBETWEEN(1,10))</f>
        <v>41843</v>
      </c>
      <c r="G7975" t="s">
        <v>26</v>
      </c>
      <c r="H7975" t="s">
        <v>96</v>
      </c>
      <c r="I7975" t="s">
        <v>86</v>
      </c>
      <c r="J7975">
        <v>217</v>
      </c>
      <c r="K7975">
        <v>0.02</v>
      </c>
      <c r="L7975">
        <v>0.4</v>
      </c>
      <c r="M7975">
        <v>4.7249999999999996</v>
      </c>
      <c r="N7975">
        <v>-353.08909999999997</v>
      </c>
      <c r="O7975" s="1" t="s">
        <v>29</v>
      </c>
      <c r="P7975" s="1" t="s">
        <v>15065</v>
      </c>
      <c r="Q7975" s="1" t="s">
        <v>15066</v>
      </c>
      <c r="R7975" s="1" t="s">
        <v>32</v>
      </c>
      <c r="S7975" s="1" t="s">
        <v>5717</v>
      </c>
      <c r="T7975" s="1" t="s">
        <v>5718</v>
      </c>
      <c r="U7975" s="2" t="s">
        <v>2529</v>
      </c>
      <c r="V7975" s="2" t="s">
        <v>47</v>
      </c>
      <c r="W7975" s="2" t="s">
        <v>176</v>
      </c>
      <c r="X7975" s="2">
        <v>11.515000000000001</v>
      </c>
    </row>
    <row r="7976" spans="1:24" x14ac:dyDescent="0.3">
      <c r="A7976">
        <v>25782</v>
      </c>
      <c r="B7976" t="s">
        <v>15064</v>
      </c>
      <c r="C7976" s="3">
        <v>41835</v>
      </c>
      <c r="D7976" t="s">
        <v>39</v>
      </c>
      <c r="E7976">
        <v>8</v>
      </c>
      <c r="F7976" s="3">
        <f ca="1">41836+(RANDBETWEEN(1,10))</f>
        <v>41843</v>
      </c>
      <c r="G7976" t="s">
        <v>26</v>
      </c>
      <c r="H7976" t="s">
        <v>27</v>
      </c>
      <c r="I7976" t="s">
        <v>86</v>
      </c>
      <c r="J7976">
        <v>1458.5550000000001</v>
      </c>
      <c r="K7976">
        <v>0.02</v>
      </c>
      <c r="L7976">
        <v>0.55000000000000004</v>
      </c>
      <c r="M7976">
        <v>69.965000000000003</v>
      </c>
      <c r="N7976">
        <v>-1221.423</v>
      </c>
      <c r="O7976" s="1" t="s">
        <v>40</v>
      </c>
      <c r="P7976" s="1" t="s">
        <v>10177</v>
      </c>
      <c r="Q7976" s="1" t="s">
        <v>10178</v>
      </c>
      <c r="R7976" s="1" t="s">
        <v>220</v>
      </c>
      <c r="S7976" s="1" t="s">
        <v>10179</v>
      </c>
      <c r="T7976" s="1" t="s">
        <v>10180</v>
      </c>
      <c r="U7976" s="2" t="s">
        <v>8123</v>
      </c>
      <c r="V7976" s="2" t="s">
        <v>83</v>
      </c>
      <c r="W7976" s="2" t="s">
        <v>178</v>
      </c>
      <c r="X7976" s="2">
        <v>181.125</v>
      </c>
    </row>
    <row r="7977" spans="1:24" x14ac:dyDescent="0.3">
      <c r="A7977">
        <v>25783</v>
      </c>
      <c r="B7977" t="s">
        <v>15067</v>
      </c>
      <c r="C7977" s="3">
        <v>41358</v>
      </c>
      <c r="D7977" t="s">
        <v>62</v>
      </c>
      <c r="E7977">
        <v>7</v>
      </c>
      <c r="F7977" s="3">
        <f ca="1">41360+(RANDBETWEEN(1,10))</f>
        <v>41363</v>
      </c>
      <c r="G7977" t="s">
        <v>26</v>
      </c>
      <c r="H7977" t="s">
        <v>27</v>
      </c>
      <c r="I7977" t="s">
        <v>28</v>
      </c>
      <c r="J7977">
        <v>398.72</v>
      </c>
      <c r="K7977">
        <v>0.03</v>
      </c>
      <c r="L7977">
        <v>0.37</v>
      </c>
      <c r="M7977">
        <v>14</v>
      </c>
      <c r="N7977">
        <v>-46.29618</v>
      </c>
      <c r="O7977" s="1" t="s">
        <v>40</v>
      </c>
      <c r="P7977" s="1" t="s">
        <v>4383</v>
      </c>
      <c r="Q7977" s="1" t="s">
        <v>4384</v>
      </c>
      <c r="R7977" s="1" t="s">
        <v>43</v>
      </c>
      <c r="S7977" s="1" t="s">
        <v>4385</v>
      </c>
      <c r="T7977" s="1" t="s">
        <v>4386</v>
      </c>
      <c r="U7977" s="2" t="s">
        <v>1006</v>
      </c>
      <c r="V7977" s="2" t="s">
        <v>36</v>
      </c>
      <c r="W7977" s="2" t="s">
        <v>60</v>
      </c>
      <c r="X7977" s="2">
        <v>55.93</v>
      </c>
    </row>
    <row r="7978" spans="1:24" x14ac:dyDescent="0.3">
      <c r="A7978">
        <v>25784</v>
      </c>
      <c r="B7978" t="s">
        <v>15067</v>
      </c>
      <c r="C7978" s="3">
        <v>41358</v>
      </c>
      <c r="D7978" t="s">
        <v>62</v>
      </c>
      <c r="E7978">
        <v>6</v>
      </c>
      <c r="F7978" s="3">
        <f ca="1">41360+(RANDBETWEEN(1,10))</f>
        <v>41366</v>
      </c>
      <c r="G7978" t="s">
        <v>156</v>
      </c>
      <c r="H7978" t="s">
        <v>27</v>
      </c>
      <c r="I7978" t="s">
        <v>28</v>
      </c>
      <c r="J7978">
        <v>599.83000000000004</v>
      </c>
      <c r="K7978">
        <v>0.1</v>
      </c>
      <c r="L7978">
        <v>0.4</v>
      </c>
      <c r="M7978">
        <v>17.815000000000001</v>
      </c>
      <c r="N7978">
        <v>-577.51400000000001</v>
      </c>
      <c r="O7978" s="1" t="s">
        <v>40</v>
      </c>
      <c r="P7978" s="1" t="s">
        <v>4383</v>
      </c>
      <c r="Q7978" s="1" t="s">
        <v>4384</v>
      </c>
      <c r="R7978" s="1" t="s">
        <v>43</v>
      </c>
      <c r="S7978" s="1" t="s">
        <v>4385</v>
      </c>
      <c r="T7978" s="1" t="s">
        <v>4386</v>
      </c>
      <c r="U7978" s="2" t="s">
        <v>4417</v>
      </c>
      <c r="V7978" s="2" t="s">
        <v>47</v>
      </c>
      <c r="W7978" s="2" t="s">
        <v>74</v>
      </c>
      <c r="X7978" s="2">
        <v>108.43</v>
      </c>
    </row>
    <row r="7979" spans="1:24" x14ac:dyDescent="0.3">
      <c r="A7979">
        <v>25785</v>
      </c>
      <c r="B7979" t="s">
        <v>15067</v>
      </c>
      <c r="C7979" s="3">
        <v>41358</v>
      </c>
      <c r="D7979" t="s">
        <v>62</v>
      </c>
      <c r="E7979">
        <v>1</v>
      </c>
      <c r="F7979" s="3">
        <f ca="1">41361+(RANDBETWEEN(1,10))</f>
        <v>41369</v>
      </c>
      <c r="G7979" t="s">
        <v>26</v>
      </c>
      <c r="H7979" t="s">
        <v>27</v>
      </c>
      <c r="I7979" t="s">
        <v>28</v>
      </c>
      <c r="J7979">
        <v>284.375</v>
      </c>
      <c r="K7979">
        <v>0.03</v>
      </c>
      <c r="L7979">
        <v>0.56999999999999995</v>
      </c>
      <c r="M7979">
        <v>3.4649999999999999</v>
      </c>
      <c r="N7979">
        <v>-150.62354999999999</v>
      </c>
      <c r="O7979" s="1" t="s">
        <v>64</v>
      </c>
      <c r="P7979" s="1" t="s">
        <v>15068</v>
      </c>
      <c r="Q7979" s="1" t="s">
        <v>15069</v>
      </c>
      <c r="R7979" s="1" t="s">
        <v>128</v>
      </c>
      <c r="S7979" s="1" t="s">
        <v>1532</v>
      </c>
      <c r="T7979" s="1" t="s">
        <v>1533</v>
      </c>
      <c r="U7979" s="2" t="s">
        <v>6376</v>
      </c>
      <c r="V7979" s="2" t="s">
        <v>47</v>
      </c>
      <c r="W7979" s="2" t="s">
        <v>71</v>
      </c>
      <c r="X7979" s="2">
        <v>284.62</v>
      </c>
    </row>
    <row r="7980" spans="1:24" x14ac:dyDescent="0.3">
      <c r="A7980">
        <v>25786</v>
      </c>
      <c r="B7980" t="s">
        <v>15070</v>
      </c>
      <c r="C7980" s="3">
        <v>40576</v>
      </c>
      <c r="D7980" t="s">
        <v>39</v>
      </c>
      <c r="E7980">
        <v>12</v>
      </c>
      <c r="F7980" s="3">
        <f ca="1">40578+(RANDBETWEEN(1,10))</f>
        <v>40582</v>
      </c>
      <c r="G7980" t="s">
        <v>76</v>
      </c>
      <c r="H7980" t="s">
        <v>77</v>
      </c>
      <c r="I7980" t="s">
        <v>28</v>
      </c>
      <c r="J7980">
        <v>4901.8549999999996</v>
      </c>
      <c r="K7980">
        <v>0.09</v>
      </c>
      <c r="L7980">
        <v>0.74</v>
      </c>
      <c r="M7980">
        <v>245.7</v>
      </c>
      <c r="N7980">
        <v>-8492.9249999999993</v>
      </c>
      <c r="O7980" s="1" t="s">
        <v>87</v>
      </c>
      <c r="P7980" s="1" t="s">
        <v>15071</v>
      </c>
      <c r="Q7980" s="1" t="s">
        <v>15072</v>
      </c>
      <c r="R7980" s="1" t="s">
        <v>90</v>
      </c>
      <c r="S7980" s="1" t="s">
        <v>1330</v>
      </c>
      <c r="T7980" s="1" t="s">
        <v>1331</v>
      </c>
      <c r="U7980" s="2" t="s">
        <v>358</v>
      </c>
      <c r="V7980" s="2" t="s">
        <v>83</v>
      </c>
      <c r="W7980" s="2" t="s">
        <v>84</v>
      </c>
      <c r="X7980" s="2">
        <v>430.46499999999997</v>
      </c>
    </row>
    <row r="7981" spans="1:24" x14ac:dyDescent="0.3">
      <c r="A7981">
        <v>25787</v>
      </c>
      <c r="B7981" t="s">
        <v>15073</v>
      </c>
      <c r="C7981" s="3">
        <v>41366</v>
      </c>
      <c r="D7981" t="s">
        <v>62</v>
      </c>
      <c r="E7981">
        <v>8</v>
      </c>
      <c r="F7981" s="3">
        <f ca="1">41368+(RANDBETWEEN(1,10))</f>
        <v>41372</v>
      </c>
      <c r="G7981" t="s">
        <v>156</v>
      </c>
      <c r="H7981" t="s">
        <v>27</v>
      </c>
      <c r="I7981" t="s">
        <v>28</v>
      </c>
      <c r="J7981">
        <v>168.56</v>
      </c>
      <c r="K7981">
        <v>0.02</v>
      </c>
      <c r="L7981">
        <v>0.37</v>
      </c>
      <c r="M7981">
        <v>10.465</v>
      </c>
      <c r="N7981">
        <v>58.280250000000002</v>
      </c>
      <c r="O7981" s="1" t="s">
        <v>225</v>
      </c>
      <c r="P7981" s="1" t="s">
        <v>9021</v>
      </c>
      <c r="Q7981" s="1" t="s">
        <v>9022</v>
      </c>
      <c r="R7981" s="1" t="s">
        <v>228</v>
      </c>
      <c r="S7981" s="1" t="s">
        <v>3239</v>
      </c>
      <c r="T7981" s="1" t="s">
        <v>3240</v>
      </c>
      <c r="U7981" s="2" t="s">
        <v>1041</v>
      </c>
      <c r="V7981" s="2" t="s">
        <v>47</v>
      </c>
      <c r="W7981" s="2" t="s">
        <v>111</v>
      </c>
      <c r="X7981" s="2">
        <v>18.48</v>
      </c>
    </row>
    <row r="7982" spans="1:24" x14ac:dyDescent="0.3">
      <c r="A7982">
        <v>25788</v>
      </c>
      <c r="B7982" t="s">
        <v>15074</v>
      </c>
      <c r="C7982" s="3">
        <v>41934</v>
      </c>
      <c r="D7982" t="s">
        <v>39</v>
      </c>
      <c r="E7982">
        <v>5</v>
      </c>
      <c r="F7982" s="3">
        <f ca="1">41935+(RANDBETWEEN(1,10))</f>
        <v>41942</v>
      </c>
      <c r="G7982" t="s">
        <v>26</v>
      </c>
      <c r="H7982" t="s">
        <v>281</v>
      </c>
      <c r="I7982" t="s">
        <v>97</v>
      </c>
      <c r="J7982">
        <v>28516.355</v>
      </c>
      <c r="K7982">
        <v>7.0000000000000007E-2</v>
      </c>
      <c r="L7982">
        <v>0.81</v>
      </c>
      <c r="M7982">
        <v>85.715000000000003</v>
      </c>
      <c r="N7982">
        <v>-2686.2849999999999</v>
      </c>
      <c r="O7982" s="1" t="s">
        <v>29</v>
      </c>
      <c r="P7982" s="1" t="s">
        <v>13658</v>
      </c>
      <c r="Q7982" s="1" t="s">
        <v>13659</v>
      </c>
      <c r="R7982" s="1" t="s">
        <v>675</v>
      </c>
      <c r="S7982" s="1" t="s">
        <v>860</v>
      </c>
      <c r="T7982" s="1" t="s">
        <v>861</v>
      </c>
      <c r="U7982" s="2" t="s">
        <v>3473</v>
      </c>
      <c r="V7982" s="2" t="s">
        <v>47</v>
      </c>
      <c r="W7982" s="2" t="s">
        <v>94</v>
      </c>
      <c r="X7982" s="2">
        <v>5731.3549999999996</v>
      </c>
    </row>
    <row r="7983" spans="1:24" x14ac:dyDescent="0.3">
      <c r="A7983">
        <v>25789</v>
      </c>
      <c r="B7983" t="s">
        <v>15075</v>
      </c>
      <c r="C7983" s="3">
        <v>41567</v>
      </c>
      <c r="D7983" t="s">
        <v>62</v>
      </c>
      <c r="E7983">
        <v>11</v>
      </c>
      <c r="F7983" s="3">
        <f ca="1">41568+(RANDBETWEEN(1,10))</f>
        <v>41570</v>
      </c>
      <c r="G7983" t="s">
        <v>26</v>
      </c>
      <c r="H7983" t="s">
        <v>51</v>
      </c>
      <c r="I7983" t="s">
        <v>52</v>
      </c>
      <c r="J7983">
        <v>694.75</v>
      </c>
      <c r="K7983">
        <v>0.02</v>
      </c>
      <c r="L7983">
        <v>0.83</v>
      </c>
      <c r="M7983">
        <v>3.4649999999999999</v>
      </c>
      <c r="N7983">
        <v>-166.81896</v>
      </c>
      <c r="O7983" s="1" t="s">
        <v>29</v>
      </c>
      <c r="P7983" s="1" t="s">
        <v>8274</v>
      </c>
      <c r="Q7983" s="1" t="s">
        <v>8275</v>
      </c>
      <c r="R7983" s="1" t="s">
        <v>32</v>
      </c>
      <c r="S7983" s="1" t="s">
        <v>8276</v>
      </c>
      <c r="T7983" s="1" t="s">
        <v>8277</v>
      </c>
      <c r="U7983" s="2" t="s">
        <v>6515</v>
      </c>
      <c r="V7983" s="2" t="s">
        <v>36</v>
      </c>
      <c r="W7983" s="2" t="s">
        <v>37</v>
      </c>
      <c r="X7983" s="2">
        <v>73.465000000000003</v>
      </c>
    </row>
    <row r="7984" spans="1:24" x14ac:dyDescent="0.3">
      <c r="A7984">
        <v>2579</v>
      </c>
      <c r="B7984" t="s">
        <v>15062</v>
      </c>
      <c r="C7984" s="3">
        <v>41914</v>
      </c>
      <c r="D7984" t="s">
        <v>25</v>
      </c>
      <c r="E7984">
        <v>67</v>
      </c>
      <c r="F7984" s="3">
        <f ca="1">41916+(RANDBETWEEN(1,10))</f>
        <v>41917</v>
      </c>
      <c r="G7984" t="s">
        <v>26</v>
      </c>
      <c r="H7984" t="s">
        <v>27</v>
      </c>
      <c r="I7984" t="s">
        <v>86</v>
      </c>
      <c r="J7984">
        <v>3054.38</v>
      </c>
      <c r="K7984">
        <v>0.01</v>
      </c>
      <c r="L7984">
        <v>0.38</v>
      </c>
      <c r="M7984">
        <v>1.75</v>
      </c>
      <c r="N7984">
        <v>781.83</v>
      </c>
      <c r="O7984" s="1" t="s">
        <v>40</v>
      </c>
      <c r="P7984" s="1" t="s">
        <v>209</v>
      </c>
      <c r="Q7984" s="1" t="s">
        <v>210</v>
      </c>
      <c r="R7984" s="1" t="s">
        <v>43</v>
      </c>
      <c r="S7984" s="1" t="s">
        <v>44</v>
      </c>
      <c r="T7984" s="1" t="s">
        <v>211</v>
      </c>
      <c r="U7984" s="2" t="s">
        <v>7215</v>
      </c>
      <c r="V7984" s="2" t="s">
        <v>47</v>
      </c>
      <c r="W7984" s="2" t="s">
        <v>203</v>
      </c>
      <c r="X7984" s="2">
        <v>43.854999999999997</v>
      </c>
    </row>
    <row r="7985" spans="1:24" x14ac:dyDescent="0.3">
      <c r="A7985">
        <v>25790</v>
      </c>
      <c r="B7985" t="s">
        <v>15076</v>
      </c>
      <c r="C7985" s="3">
        <v>40724</v>
      </c>
      <c r="D7985" t="s">
        <v>50</v>
      </c>
      <c r="E7985">
        <v>11</v>
      </c>
      <c r="F7985" s="3">
        <f ca="1">40726+(RANDBETWEEN(1,10))</f>
        <v>40735</v>
      </c>
      <c r="G7985" t="s">
        <v>26</v>
      </c>
      <c r="H7985" t="s">
        <v>27</v>
      </c>
      <c r="I7985" t="s">
        <v>52</v>
      </c>
      <c r="J7985">
        <v>431.13</v>
      </c>
      <c r="K7985">
        <v>7.0000000000000007E-2</v>
      </c>
      <c r="L7985">
        <v>0.59</v>
      </c>
      <c r="M7985">
        <v>17.605</v>
      </c>
      <c r="N7985">
        <v>-570.60500000000002</v>
      </c>
      <c r="O7985" s="1" t="s">
        <v>225</v>
      </c>
      <c r="P7985" s="1" t="s">
        <v>5757</v>
      </c>
      <c r="Q7985" s="1" t="s">
        <v>5758</v>
      </c>
      <c r="R7985" s="1" t="s">
        <v>228</v>
      </c>
      <c r="S7985" s="1" t="s">
        <v>1658</v>
      </c>
      <c r="T7985" s="1" t="s">
        <v>1659</v>
      </c>
      <c r="U7985" s="2" t="s">
        <v>3292</v>
      </c>
      <c r="V7985" s="2" t="s">
        <v>47</v>
      </c>
      <c r="W7985" s="2" t="s">
        <v>119</v>
      </c>
      <c r="X7985" s="2">
        <v>39.515000000000001</v>
      </c>
    </row>
    <row r="7986" spans="1:24" x14ac:dyDescent="0.3">
      <c r="A7986">
        <v>25791</v>
      </c>
      <c r="B7986" t="s">
        <v>15077</v>
      </c>
      <c r="C7986" s="3">
        <v>41975</v>
      </c>
      <c r="D7986" t="s">
        <v>39</v>
      </c>
      <c r="E7986">
        <v>18</v>
      </c>
      <c r="F7986" s="3">
        <f ca="1">41976+(RANDBETWEEN(1,10))</f>
        <v>41984</v>
      </c>
      <c r="G7986" t="s">
        <v>76</v>
      </c>
      <c r="H7986" t="s">
        <v>77</v>
      </c>
      <c r="I7986" t="s">
        <v>86</v>
      </c>
      <c r="J7986">
        <v>30731.68</v>
      </c>
      <c r="K7986">
        <v>0.09</v>
      </c>
      <c r="L7986">
        <v>0.6</v>
      </c>
      <c r="M7986">
        <v>91</v>
      </c>
      <c r="N7986">
        <v>21204.859199999999</v>
      </c>
      <c r="O7986" s="1" t="s">
        <v>87</v>
      </c>
      <c r="P7986" s="1" t="s">
        <v>13409</v>
      </c>
      <c r="Q7986" s="1" t="s">
        <v>13410</v>
      </c>
      <c r="R7986" s="1" t="s">
        <v>398</v>
      </c>
      <c r="S7986" s="1" t="s">
        <v>13411</v>
      </c>
      <c r="T7986" s="1" t="s">
        <v>13412</v>
      </c>
      <c r="U7986" s="2" t="s">
        <v>1670</v>
      </c>
      <c r="V7986" s="2" t="s">
        <v>83</v>
      </c>
      <c r="W7986" s="2" t="s">
        <v>84</v>
      </c>
      <c r="X7986" s="2">
        <v>1753.43</v>
      </c>
    </row>
    <row r="7987" spans="1:24" x14ac:dyDescent="0.3">
      <c r="A7987">
        <v>25792</v>
      </c>
      <c r="B7987" t="s">
        <v>15077</v>
      </c>
      <c r="C7987" s="3">
        <v>41975</v>
      </c>
      <c r="D7987" t="s">
        <v>39</v>
      </c>
      <c r="E7987">
        <v>21</v>
      </c>
      <c r="F7987" s="3">
        <f ca="1">41977+(RANDBETWEEN(1,10))</f>
        <v>41981</v>
      </c>
      <c r="G7987" t="s">
        <v>76</v>
      </c>
      <c r="H7987" t="s">
        <v>258</v>
      </c>
      <c r="I7987" t="s">
        <v>86</v>
      </c>
      <c r="J7987">
        <v>34729.974999999999</v>
      </c>
      <c r="K7987">
        <v>0.01</v>
      </c>
      <c r="L7987">
        <v>0.66</v>
      </c>
      <c r="M7987">
        <v>226.065</v>
      </c>
      <c r="N7987">
        <v>-1565.9067585</v>
      </c>
      <c r="O7987" s="1" t="s">
        <v>87</v>
      </c>
      <c r="P7987" s="1" t="s">
        <v>13409</v>
      </c>
      <c r="Q7987" s="1" t="s">
        <v>13410</v>
      </c>
      <c r="R7987" s="1" t="s">
        <v>398</v>
      </c>
      <c r="S7987" s="1" t="s">
        <v>13411</v>
      </c>
      <c r="T7987" s="1" t="s">
        <v>13412</v>
      </c>
      <c r="U7987" s="2" t="s">
        <v>5148</v>
      </c>
      <c r="V7987" s="2" t="s">
        <v>83</v>
      </c>
      <c r="W7987" s="2" t="s">
        <v>263</v>
      </c>
      <c r="X7987" s="2">
        <v>1928.43</v>
      </c>
    </row>
    <row r="7988" spans="1:24" x14ac:dyDescent="0.3">
      <c r="A7988">
        <v>25793</v>
      </c>
      <c r="B7988" t="s">
        <v>15078</v>
      </c>
      <c r="C7988" s="3">
        <v>41762</v>
      </c>
      <c r="D7988" t="s">
        <v>62</v>
      </c>
      <c r="E7988">
        <v>14</v>
      </c>
      <c r="F7988" s="3">
        <f ca="1">41763+(RANDBETWEEN(1,10))</f>
        <v>41771</v>
      </c>
      <c r="G7988" t="s">
        <v>26</v>
      </c>
      <c r="H7988" t="s">
        <v>27</v>
      </c>
      <c r="I7988" t="s">
        <v>28</v>
      </c>
      <c r="J7988">
        <v>425.6</v>
      </c>
      <c r="K7988">
        <v>0.01</v>
      </c>
      <c r="L7988">
        <v>0.38</v>
      </c>
      <c r="M7988">
        <v>4.8650000000000002</v>
      </c>
      <c r="N7988">
        <v>293.66399999999999</v>
      </c>
      <c r="O7988" s="1" t="s">
        <v>87</v>
      </c>
      <c r="P7988" s="1" t="s">
        <v>6843</v>
      </c>
      <c r="Q7988" s="1" t="s">
        <v>6844</v>
      </c>
      <c r="R7988" s="1" t="s">
        <v>398</v>
      </c>
      <c r="S7988" s="1" t="s">
        <v>6845</v>
      </c>
      <c r="T7988" s="1" t="s">
        <v>6846</v>
      </c>
      <c r="U7988" s="2" t="s">
        <v>1682</v>
      </c>
      <c r="V7988" s="2" t="s">
        <v>47</v>
      </c>
      <c r="W7988" s="2" t="s">
        <v>48</v>
      </c>
      <c r="X7988" s="2">
        <v>30.59</v>
      </c>
    </row>
    <row r="7989" spans="1:24" x14ac:dyDescent="0.3">
      <c r="A7989">
        <v>25794</v>
      </c>
      <c r="B7989" t="s">
        <v>15079</v>
      </c>
      <c r="C7989" s="3">
        <v>41878</v>
      </c>
      <c r="D7989" t="s">
        <v>62</v>
      </c>
      <c r="E7989">
        <v>16</v>
      </c>
      <c r="F7989" s="3">
        <f ca="1">41880+(RANDBETWEEN(1,10))</f>
        <v>41890</v>
      </c>
      <c r="G7989" t="s">
        <v>76</v>
      </c>
      <c r="H7989" t="s">
        <v>258</v>
      </c>
      <c r="I7989" t="s">
        <v>86</v>
      </c>
      <c r="J7989">
        <v>9837.9050000000007</v>
      </c>
      <c r="K7989">
        <v>0.08</v>
      </c>
      <c r="L7989">
        <v>0.77</v>
      </c>
      <c r="M7989">
        <v>243.74</v>
      </c>
      <c r="N7989">
        <v>-6865.7388799999999</v>
      </c>
      <c r="O7989" s="1" t="s">
        <v>53</v>
      </c>
      <c r="P7989" s="1" t="s">
        <v>12654</v>
      </c>
      <c r="Q7989" s="1" t="s">
        <v>12655</v>
      </c>
      <c r="R7989" s="1" t="s">
        <v>56</v>
      </c>
      <c r="S7989" s="1" t="s">
        <v>12656</v>
      </c>
      <c r="T7989" s="1" t="s">
        <v>12657</v>
      </c>
      <c r="U7989" s="2" t="s">
        <v>1233</v>
      </c>
      <c r="V7989" s="2" t="s">
        <v>83</v>
      </c>
      <c r="W7989" s="2" t="s">
        <v>263</v>
      </c>
      <c r="X7989" s="2">
        <v>765.625</v>
      </c>
    </row>
    <row r="7990" spans="1:24" x14ac:dyDescent="0.3">
      <c r="A7990">
        <v>25795</v>
      </c>
      <c r="B7990" t="s">
        <v>15080</v>
      </c>
      <c r="C7990" s="3">
        <v>40624</v>
      </c>
      <c r="D7990" t="s">
        <v>50</v>
      </c>
      <c r="E7990">
        <v>8</v>
      </c>
      <c r="F7990" s="3">
        <f ca="1">40625+(RANDBETWEEN(1,10))</f>
        <v>40629</v>
      </c>
      <c r="G7990" t="s">
        <v>76</v>
      </c>
      <c r="H7990" t="s">
        <v>77</v>
      </c>
      <c r="I7990" t="s">
        <v>28</v>
      </c>
      <c r="J7990">
        <v>4249.1049999999996</v>
      </c>
      <c r="K7990">
        <v>0.01</v>
      </c>
      <c r="L7990">
        <v>0.56000000000000005</v>
      </c>
      <c r="M7990">
        <v>62.475000000000001</v>
      </c>
      <c r="N7990">
        <v>2931.8824500000001</v>
      </c>
      <c r="O7990" s="1" t="s">
        <v>29</v>
      </c>
      <c r="P7990" s="1" t="s">
        <v>13119</v>
      </c>
      <c r="Q7990" s="1" t="s">
        <v>13120</v>
      </c>
      <c r="R7990" s="1" t="s">
        <v>32</v>
      </c>
      <c r="S7990" s="1" t="s">
        <v>563</v>
      </c>
      <c r="T7990" s="1" t="s">
        <v>564</v>
      </c>
      <c r="U7990" s="2" t="s">
        <v>881</v>
      </c>
      <c r="V7990" s="2" t="s">
        <v>36</v>
      </c>
      <c r="W7990" s="2" t="s">
        <v>142</v>
      </c>
      <c r="X7990" s="2">
        <v>509.07499999999999</v>
      </c>
    </row>
    <row r="7991" spans="1:24" x14ac:dyDescent="0.3">
      <c r="A7991">
        <v>25796</v>
      </c>
      <c r="B7991" t="s">
        <v>15081</v>
      </c>
      <c r="C7991" s="3">
        <v>41953</v>
      </c>
      <c r="D7991" t="s">
        <v>50</v>
      </c>
      <c r="E7991">
        <v>5</v>
      </c>
      <c r="F7991" s="3">
        <f ca="1">41954+(RANDBETWEEN(1,10))</f>
        <v>41962</v>
      </c>
      <c r="G7991" t="s">
        <v>26</v>
      </c>
      <c r="H7991" t="s">
        <v>27</v>
      </c>
      <c r="I7991" t="s">
        <v>28</v>
      </c>
      <c r="J7991">
        <v>943.63499999999999</v>
      </c>
      <c r="K7991">
        <v>0.06</v>
      </c>
      <c r="L7991">
        <v>0.55000000000000004</v>
      </c>
      <c r="M7991">
        <v>69.965000000000003</v>
      </c>
      <c r="N7991">
        <v>651.10815000000002</v>
      </c>
      <c r="O7991" s="1" t="s">
        <v>40</v>
      </c>
      <c r="P7991" s="1" t="s">
        <v>11551</v>
      </c>
      <c r="Q7991" s="1" t="s">
        <v>11552</v>
      </c>
      <c r="R7991" s="1" t="s">
        <v>43</v>
      </c>
      <c r="S7991" s="1" t="s">
        <v>9511</v>
      </c>
      <c r="T7991" s="1" t="s">
        <v>9512</v>
      </c>
      <c r="U7991" s="2" t="s">
        <v>8123</v>
      </c>
      <c r="V7991" s="2" t="s">
        <v>83</v>
      </c>
      <c r="W7991" s="2" t="s">
        <v>178</v>
      </c>
      <c r="X7991" s="2">
        <v>181.125</v>
      </c>
    </row>
    <row r="7992" spans="1:24" x14ac:dyDescent="0.3">
      <c r="A7992">
        <v>25797</v>
      </c>
      <c r="B7992" t="s">
        <v>15081</v>
      </c>
      <c r="C7992" s="3">
        <v>41953</v>
      </c>
      <c r="D7992" t="s">
        <v>50</v>
      </c>
      <c r="E7992">
        <v>1</v>
      </c>
      <c r="F7992" s="3">
        <f ca="1">41955+(RANDBETWEEN(1,10))</f>
        <v>41961</v>
      </c>
      <c r="G7992" t="s">
        <v>156</v>
      </c>
      <c r="H7992" t="s">
        <v>27</v>
      </c>
      <c r="I7992" t="s">
        <v>28</v>
      </c>
      <c r="J7992">
        <v>230.125</v>
      </c>
      <c r="K7992">
        <v>0.1</v>
      </c>
      <c r="L7992">
        <v>0.59</v>
      </c>
      <c r="M7992">
        <v>13.965</v>
      </c>
      <c r="N7992">
        <v>158.78625</v>
      </c>
      <c r="O7992" s="1" t="s">
        <v>40</v>
      </c>
      <c r="P7992" s="1" t="s">
        <v>11551</v>
      </c>
      <c r="Q7992" s="1" t="s">
        <v>11552</v>
      </c>
      <c r="R7992" s="1" t="s">
        <v>43</v>
      </c>
      <c r="S7992" s="1" t="s">
        <v>9511</v>
      </c>
      <c r="T7992" s="1" t="s">
        <v>9512</v>
      </c>
      <c r="U7992" s="2" t="s">
        <v>1991</v>
      </c>
      <c r="V7992" s="2" t="s">
        <v>36</v>
      </c>
      <c r="W7992" s="2" t="s">
        <v>37</v>
      </c>
      <c r="X7992" s="2">
        <v>230.965</v>
      </c>
    </row>
    <row r="7993" spans="1:24" x14ac:dyDescent="0.3">
      <c r="A7993">
        <v>25798</v>
      </c>
      <c r="B7993" t="s">
        <v>15082</v>
      </c>
      <c r="C7993" s="3">
        <v>41708</v>
      </c>
      <c r="D7993" t="s">
        <v>62</v>
      </c>
      <c r="E7993">
        <v>7</v>
      </c>
      <c r="F7993" s="3">
        <f ca="1">41709+(RANDBETWEEN(1,10))</f>
        <v>41715</v>
      </c>
      <c r="G7993" t="s">
        <v>76</v>
      </c>
      <c r="H7993" t="s">
        <v>77</v>
      </c>
      <c r="I7993" t="s">
        <v>97</v>
      </c>
      <c r="J7993">
        <v>3838.17</v>
      </c>
      <c r="K7993">
        <v>0.08</v>
      </c>
      <c r="L7993">
        <v>0.62</v>
      </c>
      <c r="M7993">
        <v>105</v>
      </c>
      <c r="N7993">
        <v>1316.7349999999999</v>
      </c>
      <c r="O7993" s="1" t="s">
        <v>64</v>
      </c>
      <c r="P7993" s="1" t="s">
        <v>12484</v>
      </c>
      <c r="Q7993" s="1" t="s">
        <v>12485</v>
      </c>
      <c r="R7993" s="1" t="s">
        <v>128</v>
      </c>
      <c r="S7993" s="1" t="s">
        <v>939</v>
      </c>
      <c r="T7993" s="1" t="s">
        <v>940</v>
      </c>
      <c r="U7993" s="2" t="s">
        <v>2089</v>
      </c>
      <c r="V7993" s="2" t="s">
        <v>83</v>
      </c>
      <c r="W7993" s="2" t="s">
        <v>84</v>
      </c>
      <c r="X7993" s="2">
        <v>563.42999999999995</v>
      </c>
    </row>
    <row r="7994" spans="1:24" x14ac:dyDescent="0.3">
      <c r="A7994">
        <v>25799</v>
      </c>
      <c r="B7994" t="s">
        <v>15083</v>
      </c>
      <c r="C7994" s="3">
        <v>41319</v>
      </c>
      <c r="D7994" t="s">
        <v>50</v>
      </c>
      <c r="E7994">
        <v>2</v>
      </c>
      <c r="F7994" s="3">
        <f ca="1">41321+(RANDBETWEEN(1,10))</f>
        <v>41327</v>
      </c>
      <c r="G7994" t="s">
        <v>76</v>
      </c>
      <c r="H7994" t="s">
        <v>77</v>
      </c>
      <c r="I7994" t="s">
        <v>97</v>
      </c>
      <c r="J7994">
        <v>968.66</v>
      </c>
      <c r="K7994">
        <v>0</v>
      </c>
      <c r="L7994">
        <v>0.74</v>
      </c>
      <c r="M7994">
        <v>245.7</v>
      </c>
      <c r="N7994">
        <v>610.38599999999997</v>
      </c>
      <c r="O7994" s="1" t="s">
        <v>29</v>
      </c>
      <c r="P7994" s="1" t="s">
        <v>13541</v>
      </c>
      <c r="Q7994" s="1" t="s">
        <v>13542</v>
      </c>
      <c r="R7994" s="1" t="s">
        <v>32</v>
      </c>
      <c r="S7994" s="1" t="s">
        <v>13543</v>
      </c>
      <c r="T7994" s="1" t="s">
        <v>13544</v>
      </c>
      <c r="U7994" s="2" t="s">
        <v>358</v>
      </c>
      <c r="V7994" s="2" t="s">
        <v>83</v>
      </c>
      <c r="W7994" s="2" t="s">
        <v>84</v>
      </c>
      <c r="X7994" s="2">
        <v>430.46499999999997</v>
      </c>
    </row>
    <row r="7995" spans="1:24" x14ac:dyDescent="0.3">
      <c r="A7995">
        <v>25800</v>
      </c>
      <c r="B7995" t="s">
        <v>15083</v>
      </c>
      <c r="C7995" s="3">
        <v>41319</v>
      </c>
      <c r="D7995" t="s">
        <v>50</v>
      </c>
      <c r="E7995">
        <v>13</v>
      </c>
      <c r="F7995" s="3">
        <f ca="1">41321+(RANDBETWEEN(1,10))</f>
        <v>41322</v>
      </c>
      <c r="G7995" t="s">
        <v>26</v>
      </c>
      <c r="H7995" t="s">
        <v>281</v>
      </c>
      <c r="I7995" t="s">
        <v>97</v>
      </c>
      <c r="J7995">
        <v>846.68499999999995</v>
      </c>
      <c r="K7995">
        <v>0.03</v>
      </c>
      <c r="L7995">
        <v>0.57999999999999996</v>
      </c>
      <c r="M7995">
        <v>16.835000000000001</v>
      </c>
      <c r="N7995">
        <v>-276.899</v>
      </c>
      <c r="O7995" s="1" t="s">
        <v>29</v>
      </c>
      <c r="P7995" s="1" t="s">
        <v>13541</v>
      </c>
      <c r="Q7995" s="1" t="s">
        <v>13542</v>
      </c>
      <c r="R7995" s="1" t="s">
        <v>32</v>
      </c>
      <c r="S7995" s="1" t="s">
        <v>13543</v>
      </c>
      <c r="T7995" s="1" t="s">
        <v>13544</v>
      </c>
      <c r="U7995" s="2" t="s">
        <v>1890</v>
      </c>
      <c r="V7995" s="2" t="s">
        <v>36</v>
      </c>
      <c r="W7995" s="2" t="s">
        <v>37</v>
      </c>
      <c r="X7995" s="2">
        <v>73.465000000000003</v>
      </c>
    </row>
    <row r="7996" spans="1:24" x14ac:dyDescent="0.3">
      <c r="A7996">
        <v>25801</v>
      </c>
      <c r="B7996" t="s">
        <v>15084</v>
      </c>
      <c r="C7996" s="3">
        <v>41527</v>
      </c>
      <c r="D7996" t="s">
        <v>62</v>
      </c>
      <c r="E7996">
        <v>1</v>
      </c>
      <c r="F7996" s="3">
        <f ca="1">41529+(RANDBETWEEN(1,10))</f>
        <v>41538</v>
      </c>
      <c r="G7996" t="s">
        <v>76</v>
      </c>
      <c r="H7996" t="s">
        <v>77</v>
      </c>
      <c r="I7996" t="s">
        <v>52</v>
      </c>
      <c r="J7996">
        <v>438.72500000000002</v>
      </c>
      <c r="K7996">
        <v>0.03</v>
      </c>
      <c r="L7996">
        <v>0.69</v>
      </c>
      <c r="M7996">
        <v>157.5</v>
      </c>
      <c r="N7996">
        <v>-632.13499999999999</v>
      </c>
      <c r="O7996" s="1" t="s">
        <v>64</v>
      </c>
      <c r="P7996" s="1" t="s">
        <v>15085</v>
      </c>
      <c r="Q7996" s="1" t="s">
        <v>15086</v>
      </c>
      <c r="R7996" s="1" t="s">
        <v>67</v>
      </c>
      <c r="S7996" s="1" t="s">
        <v>5262</v>
      </c>
      <c r="T7996" s="1" t="s">
        <v>5263</v>
      </c>
      <c r="U7996" s="2" t="s">
        <v>11353</v>
      </c>
      <c r="V7996" s="2" t="s">
        <v>83</v>
      </c>
      <c r="W7996" s="2" t="s">
        <v>84</v>
      </c>
      <c r="X7996" s="2">
        <v>353.43</v>
      </c>
    </row>
    <row r="7997" spans="1:24" x14ac:dyDescent="0.3">
      <c r="A7997">
        <v>25802</v>
      </c>
      <c r="B7997" t="s">
        <v>15087</v>
      </c>
      <c r="C7997" s="3">
        <v>41848</v>
      </c>
      <c r="D7997" t="s">
        <v>25</v>
      </c>
      <c r="E7997">
        <v>14</v>
      </c>
      <c r="F7997" s="3">
        <f ca="1">41848+(RANDBETWEEN(1,10))</f>
        <v>41858</v>
      </c>
      <c r="G7997" t="s">
        <v>26</v>
      </c>
      <c r="H7997" t="s">
        <v>96</v>
      </c>
      <c r="I7997" t="s">
        <v>28</v>
      </c>
      <c r="J7997">
        <v>3330.46</v>
      </c>
      <c r="K7997">
        <v>0.08</v>
      </c>
      <c r="L7997">
        <v>0.78</v>
      </c>
      <c r="M7997">
        <v>131.53</v>
      </c>
      <c r="N7997">
        <v>-2631.5805599999999</v>
      </c>
      <c r="O7997" s="1" t="s">
        <v>53</v>
      </c>
      <c r="P7997" s="1" t="s">
        <v>10495</v>
      </c>
      <c r="Q7997" s="1" t="s">
        <v>10496</v>
      </c>
      <c r="R7997" s="1" t="s">
        <v>440</v>
      </c>
      <c r="S7997" s="1" t="s">
        <v>2771</v>
      </c>
      <c r="T7997" s="1" t="s">
        <v>2772</v>
      </c>
      <c r="U7997" s="2" t="s">
        <v>3541</v>
      </c>
      <c r="V7997" s="2" t="s">
        <v>83</v>
      </c>
      <c r="W7997" s="2" t="s">
        <v>178</v>
      </c>
      <c r="X7997" s="2">
        <v>247.48500000000001</v>
      </c>
    </row>
    <row r="7998" spans="1:24" x14ac:dyDescent="0.3">
      <c r="A7998">
        <v>25803</v>
      </c>
      <c r="B7998" t="s">
        <v>15088</v>
      </c>
      <c r="C7998" s="3">
        <v>41287</v>
      </c>
      <c r="D7998" t="s">
        <v>39</v>
      </c>
      <c r="E7998">
        <v>8</v>
      </c>
      <c r="F7998" s="3">
        <f ca="1">41288+(RANDBETWEEN(1,10))</f>
        <v>41290</v>
      </c>
      <c r="G7998" t="s">
        <v>156</v>
      </c>
      <c r="H7998" t="s">
        <v>63</v>
      </c>
      <c r="I7998" t="s">
        <v>28</v>
      </c>
      <c r="J7998">
        <v>2860.2</v>
      </c>
      <c r="K7998">
        <v>0.04</v>
      </c>
      <c r="L7998">
        <v>0.79</v>
      </c>
      <c r="M7998">
        <v>35.42</v>
      </c>
      <c r="N7998">
        <v>1219.3440000000001</v>
      </c>
      <c r="O7998" s="1" t="s">
        <v>87</v>
      </c>
      <c r="P7998" s="1" t="s">
        <v>15089</v>
      </c>
      <c r="Q7998" s="1" t="s">
        <v>15090</v>
      </c>
      <c r="R7998" s="1" t="s">
        <v>398</v>
      </c>
      <c r="S7998" s="1" t="s">
        <v>15091</v>
      </c>
      <c r="T7998" s="1" t="s">
        <v>15092</v>
      </c>
      <c r="U7998" s="2" t="s">
        <v>1246</v>
      </c>
      <c r="V7998" s="2" t="s">
        <v>83</v>
      </c>
      <c r="W7998" s="2" t="s">
        <v>178</v>
      </c>
      <c r="X7998" s="2">
        <v>368.51499999999999</v>
      </c>
    </row>
    <row r="7999" spans="1:24" x14ac:dyDescent="0.3">
      <c r="A7999">
        <v>25804</v>
      </c>
      <c r="B7999" t="s">
        <v>15093</v>
      </c>
      <c r="C7999" s="3">
        <v>41868</v>
      </c>
      <c r="D7999" t="s">
        <v>148</v>
      </c>
      <c r="E7999">
        <v>6</v>
      </c>
      <c r="F7999" s="3">
        <f ca="1">41868+(RANDBETWEEN(1,10))</f>
        <v>41871</v>
      </c>
      <c r="G7999" t="s">
        <v>26</v>
      </c>
      <c r="H7999" t="s">
        <v>27</v>
      </c>
      <c r="I7999" t="s">
        <v>97</v>
      </c>
      <c r="J7999">
        <v>112.7</v>
      </c>
      <c r="K7999">
        <v>0.04</v>
      </c>
      <c r="L7999">
        <v>0.38</v>
      </c>
      <c r="M7999">
        <v>17.010000000000002</v>
      </c>
      <c r="N7999">
        <v>-37.411639999999998</v>
      </c>
      <c r="O7999" s="1" t="s">
        <v>40</v>
      </c>
      <c r="P7999" s="1" t="s">
        <v>14095</v>
      </c>
      <c r="Q7999" s="1" t="s">
        <v>14096</v>
      </c>
      <c r="R7999" s="1" t="s">
        <v>220</v>
      </c>
      <c r="S7999" s="1" t="s">
        <v>707</v>
      </c>
      <c r="T7999" s="1" t="s">
        <v>708</v>
      </c>
      <c r="U7999" s="2" t="s">
        <v>727</v>
      </c>
      <c r="V7999" s="2" t="s">
        <v>47</v>
      </c>
      <c r="W7999" s="2" t="s">
        <v>74</v>
      </c>
      <c r="X7999" s="2">
        <v>17.43</v>
      </c>
    </row>
    <row r="8000" spans="1:24" x14ac:dyDescent="0.3">
      <c r="A8000">
        <v>25805</v>
      </c>
      <c r="B8000" t="s">
        <v>15094</v>
      </c>
      <c r="C8000" s="3">
        <v>41476</v>
      </c>
      <c r="D8000" t="s">
        <v>25</v>
      </c>
      <c r="E8000">
        <v>10</v>
      </c>
      <c r="F8000" s="3">
        <f ca="1">41480+(RANDBETWEEN(1,10))</f>
        <v>41490</v>
      </c>
      <c r="G8000" t="s">
        <v>76</v>
      </c>
      <c r="H8000" t="s">
        <v>258</v>
      </c>
      <c r="I8000" t="s">
        <v>97</v>
      </c>
      <c r="J8000">
        <v>5073.6350000000002</v>
      </c>
      <c r="K8000">
        <v>0.1</v>
      </c>
      <c r="L8000">
        <v>0.65</v>
      </c>
      <c r="M8000">
        <v>231.94499999999999</v>
      </c>
      <c r="N8000">
        <v>-3030.58</v>
      </c>
      <c r="O8000" s="1" t="s">
        <v>225</v>
      </c>
      <c r="P8000" s="1" t="s">
        <v>6236</v>
      </c>
      <c r="Q8000" s="1" t="s">
        <v>6237</v>
      </c>
      <c r="R8000" s="1" t="s">
        <v>391</v>
      </c>
      <c r="S8000" s="1" t="s">
        <v>1484</v>
      </c>
      <c r="T8000" s="1" t="s">
        <v>6238</v>
      </c>
      <c r="U8000" s="2" t="s">
        <v>3398</v>
      </c>
      <c r="V8000" s="2" t="s">
        <v>83</v>
      </c>
      <c r="W8000" s="2" t="s">
        <v>298</v>
      </c>
      <c r="X8000" s="2">
        <v>528.42999999999995</v>
      </c>
    </row>
    <row r="8001" spans="1:24" x14ac:dyDescent="0.3">
      <c r="A8001">
        <v>25806</v>
      </c>
      <c r="B8001" t="s">
        <v>15095</v>
      </c>
      <c r="C8001" s="3">
        <v>40744</v>
      </c>
      <c r="D8001" t="s">
        <v>50</v>
      </c>
      <c r="E8001">
        <v>9</v>
      </c>
      <c r="F8001" s="3">
        <f ca="1">40744+(RANDBETWEEN(1,10))</f>
        <v>40754</v>
      </c>
      <c r="G8001" t="s">
        <v>26</v>
      </c>
      <c r="H8001" t="s">
        <v>27</v>
      </c>
      <c r="I8001" t="s">
        <v>28</v>
      </c>
      <c r="J8001">
        <v>232.12</v>
      </c>
      <c r="K8001">
        <v>0.02</v>
      </c>
      <c r="L8001">
        <v>0.39</v>
      </c>
      <c r="M8001">
        <v>21.175000000000001</v>
      </c>
      <c r="N8001">
        <v>-232.32300000000001</v>
      </c>
      <c r="O8001" s="1" t="s">
        <v>87</v>
      </c>
      <c r="P8001" s="1" t="s">
        <v>15096</v>
      </c>
      <c r="Q8001" s="1" t="s">
        <v>15097</v>
      </c>
      <c r="R8001" s="1" t="s">
        <v>497</v>
      </c>
      <c r="S8001" s="1" t="s">
        <v>5554</v>
      </c>
      <c r="T8001" s="1" t="s">
        <v>5555</v>
      </c>
      <c r="U8001" s="2" t="s">
        <v>2669</v>
      </c>
      <c r="V8001" s="2" t="s">
        <v>47</v>
      </c>
      <c r="W8001" s="2" t="s">
        <v>111</v>
      </c>
      <c r="X8001" s="2">
        <v>24.85</v>
      </c>
    </row>
    <row r="8002" spans="1:24" x14ac:dyDescent="0.3">
      <c r="A8002">
        <v>25807</v>
      </c>
      <c r="B8002" t="s">
        <v>15098</v>
      </c>
      <c r="C8002" s="3">
        <v>40744</v>
      </c>
      <c r="D8002" t="s">
        <v>50</v>
      </c>
      <c r="E8002">
        <v>6</v>
      </c>
      <c r="F8002" s="3">
        <f ca="1">40747+(RANDBETWEEN(1,10))</f>
        <v>40748</v>
      </c>
      <c r="G8002" t="s">
        <v>26</v>
      </c>
      <c r="H8002" t="s">
        <v>27</v>
      </c>
      <c r="I8002" t="s">
        <v>52</v>
      </c>
      <c r="J8002">
        <v>133.13999999999999</v>
      </c>
      <c r="K8002">
        <v>0.05</v>
      </c>
      <c r="L8002">
        <v>0.4</v>
      </c>
      <c r="M8002">
        <v>18.760000000000002</v>
      </c>
      <c r="N8002">
        <v>4.4729999999999999</v>
      </c>
      <c r="O8002" s="1" t="s">
        <v>53</v>
      </c>
      <c r="P8002" s="1" t="s">
        <v>15099</v>
      </c>
      <c r="Q8002" s="1" t="s">
        <v>15100</v>
      </c>
      <c r="R8002" s="1" t="s">
        <v>56</v>
      </c>
      <c r="S8002" s="1" t="s">
        <v>7145</v>
      </c>
      <c r="T8002" s="1" t="s">
        <v>7146</v>
      </c>
      <c r="U8002" s="2" t="s">
        <v>1501</v>
      </c>
      <c r="V8002" s="2" t="s">
        <v>47</v>
      </c>
      <c r="W8002" s="2" t="s">
        <v>111</v>
      </c>
      <c r="X8002" s="2">
        <v>21.98</v>
      </c>
    </row>
    <row r="8003" spans="1:24" x14ac:dyDescent="0.3">
      <c r="A8003">
        <v>25808</v>
      </c>
      <c r="B8003" t="s">
        <v>15098</v>
      </c>
      <c r="C8003" s="3">
        <v>40744</v>
      </c>
      <c r="D8003" t="s">
        <v>50</v>
      </c>
      <c r="E8003">
        <v>14</v>
      </c>
      <c r="F8003" s="3">
        <f ca="1">40745+(RANDBETWEEN(1,10))</f>
        <v>40751</v>
      </c>
      <c r="G8003" t="s">
        <v>26</v>
      </c>
      <c r="H8003" t="s">
        <v>27</v>
      </c>
      <c r="I8003" t="s">
        <v>52</v>
      </c>
      <c r="J8003">
        <v>148.85499999999999</v>
      </c>
      <c r="K8003">
        <v>0.04</v>
      </c>
      <c r="L8003">
        <v>0.37</v>
      </c>
      <c r="M8003">
        <v>3.4649999999999999</v>
      </c>
      <c r="N8003">
        <v>1485.0150000000001</v>
      </c>
      <c r="O8003" s="1" t="s">
        <v>53</v>
      </c>
      <c r="P8003" s="1" t="s">
        <v>15099</v>
      </c>
      <c r="Q8003" s="1" t="s">
        <v>15100</v>
      </c>
      <c r="R8003" s="1" t="s">
        <v>56</v>
      </c>
      <c r="S8003" s="1" t="s">
        <v>7145</v>
      </c>
      <c r="T8003" s="1" t="s">
        <v>7146</v>
      </c>
      <c r="U8003" s="2" t="s">
        <v>796</v>
      </c>
      <c r="V8003" s="2" t="s">
        <v>47</v>
      </c>
      <c r="W8003" s="2" t="s">
        <v>203</v>
      </c>
      <c r="X8003" s="2">
        <v>10.78</v>
      </c>
    </row>
    <row r="8004" spans="1:24" x14ac:dyDescent="0.3">
      <c r="A8004">
        <v>25809</v>
      </c>
      <c r="B8004" t="s">
        <v>15101</v>
      </c>
      <c r="C8004" s="3">
        <v>41597</v>
      </c>
      <c r="D8004" t="s">
        <v>25</v>
      </c>
      <c r="E8004">
        <v>41</v>
      </c>
      <c r="F8004" s="3">
        <f ca="1">41604+(RANDBETWEEN(1,10))</f>
        <v>41609</v>
      </c>
      <c r="G8004" t="s">
        <v>76</v>
      </c>
      <c r="H8004" t="s">
        <v>77</v>
      </c>
      <c r="I8004" t="s">
        <v>28</v>
      </c>
      <c r="J8004">
        <v>46646.25</v>
      </c>
      <c r="K8004">
        <v>0</v>
      </c>
      <c r="L8004">
        <v>0.56000000000000005</v>
      </c>
      <c r="M8004">
        <v>92.855000000000004</v>
      </c>
      <c r="N8004">
        <v>32185.912499999999</v>
      </c>
      <c r="O8004" s="1" t="s">
        <v>29</v>
      </c>
      <c r="P8004" s="1" t="s">
        <v>11002</v>
      </c>
      <c r="Q8004" s="1" t="s">
        <v>11003</v>
      </c>
      <c r="R8004" s="1" t="s">
        <v>460</v>
      </c>
      <c r="S8004" s="1" t="s">
        <v>5492</v>
      </c>
      <c r="T8004" s="1" t="s">
        <v>5493</v>
      </c>
      <c r="U8004" s="2" t="s">
        <v>481</v>
      </c>
      <c r="V8004" s="2" t="s">
        <v>36</v>
      </c>
      <c r="W8004" s="2" t="s">
        <v>142</v>
      </c>
      <c r="X8004" s="2">
        <v>1071.49</v>
      </c>
    </row>
    <row r="8005" spans="1:24" x14ac:dyDescent="0.3">
      <c r="A8005">
        <v>2581</v>
      </c>
      <c r="B8005" t="s">
        <v>15102</v>
      </c>
      <c r="C8005" s="3">
        <v>41127</v>
      </c>
      <c r="D8005" t="s">
        <v>62</v>
      </c>
      <c r="E8005">
        <v>43</v>
      </c>
      <c r="F8005" s="3">
        <f ca="1">41130+(RANDBETWEEN(1,10))</f>
        <v>41135</v>
      </c>
      <c r="G8005" t="s">
        <v>156</v>
      </c>
      <c r="H8005" t="s">
        <v>27</v>
      </c>
      <c r="I8005" t="s">
        <v>97</v>
      </c>
      <c r="J8005">
        <v>2192.61</v>
      </c>
      <c r="K8005">
        <v>0.1</v>
      </c>
      <c r="L8005">
        <v>0.38</v>
      </c>
      <c r="M8005">
        <v>22.61</v>
      </c>
      <c r="N8005">
        <v>99.930250000000001</v>
      </c>
      <c r="O8005" s="1" t="s">
        <v>64</v>
      </c>
      <c r="P8005" s="1" t="s">
        <v>8714</v>
      </c>
      <c r="Q8005" s="1" t="s">
        <v>8715</v>
      </c>
      <c r="R8005" s="1" t="s">
        <v>128</v>
      </c>
      <c r="S8005" s="1" t="s">
        <v>129</v>
      </c>
      <c r="T8005" s="1" t="s">
        <v>8716</v>
      </c>
      <c r="U8005" s="2" t="s">
        <v>1867</v>
      </c>
      <c r="V8005" s="2" t="s">
        <v>47</v>
      </c>
      <c r="W8005" s="2" t="s">
        <v>111</v>
      </c>
      <c r="X8005" s="2">
        <v>50.68</v>
      </c>
    </row>
    <row r="8006" spans="1:24" x14ac:dyDescent="0.3">
      <c r="A8006">
        <v>25810</v>
      </c>
      <c r="B8006" t="s">
        <v>15103</v>
      </c>
      <c r="C8006" s="3">
        <v>41686</v>
      </c>
      <c r="D8006" t="s">
        <v>148</v>
      </c>
      <c r="E8006">
        <v>7</v>
      </c>
      <c r="F8006" s="3">
        <f ca="1">41687+(RANDBETWEEN(1,10))</f>
        <v>41688</v>
      </c>
      <c r="G8006" t="s">
        <v>26</v>
      </c>
      <c r="H8006" t="s">
        <v>27</v>
      </c>
      <c r="I8006" t="s">
        <v>86</v>
      </c>
      <c r="J8006">
        <v>182.73500000000001</v>
      </c>
      <c r="K8006">
        <v>0</v>
      </c>
      <c r="L8006">
        <v>0.39</v>
      </c>
      <c r="M8006">
        <v>21.175000000000001</v>
      </c>
      <c r="N8006">
        <v>-210.50749999999999</v>
      </c>
      <c r="O8006" s="1" t="s">
        <v>40</v>
      </c>
      <c r="P8006" s="1" t="s">
        <v>15104</v>
      </c>
      <c r="Q8006" s="1" t="s">
        <v>15105</v>
      </c>
      <c r="R8006" s="1" t="s">
        <v>220</v>
      </c>
      <c r="S8006" s="1" t="s">
        <v>6003</v>
      </c>
      <c r="T8006" s="1" t="s">
        <v>6004</v>
      </c>
      <c r="U8006" s="2" t="s">
        <v>2669</v>
      </c>
      <c r="V8006" s="2" t="s">
        <v>47</v>
      </c>
      <c r="W8006" s="2" t="s">
        <v>111</v>
      </c>
      <c r="X8006" s="2">
        <v>24.85</v>
      </c>
    </row>
    <row r="8007" spans="1:24" x14ac:dyDescent="0.3">
      <c r="A8007">
        <v>25811</v>
      </c>
      <c r="B8007" t="s">
        <v>15106</v>
      </c>
      <c r="C8007" s="3">
        <v>40590</v>
      </c>
      <c r="D8007" t="s">
        <v>148</v>
      </c>
      <c r="E8007">
        <v>10</v>
      </c>
      <c r="F8007" s="3">
        <f ca="1">40592+(RANDBETWEEN(1,10))</f>
        <v>40601</v>
      </c>
      <c r="G8007" t="s">
        <v>156</v>
      </c>
      <c r="H8007" t="s">
        <v>51</v>
      </c>
      <c r="I8007" t="s">
        <v>86</v>
      </c>
      <c r="J8007">
        <v>194.88</v>
      </c>
      <c r="K8007">
        <v>0.01</v>
      </c>
      <c r="L8007">
        <v>0.64</v>
      </c>
      <c r="M8007">
        <v>16.170000000000002</v>
      </c>
      <c r="N8007">
        <v>-391.02</v>
      </c>
      <c r="O8007" s="1" t="s">
        <v>40</v>
      </c>
      <c r="P8007" s="1" t="s">
        <v>15104</v>
      </c>
      <c r="Q8007" s="1" t="s">
        <v>15105</v>
      </c>
      <c r="R8007" s="1" t="s">
        <v>220</v>
      </c>
      <c r="S8007" s="1" t="s">
        <v>6003</v>
      </c>
      <c r="T8007" s="1" t="s">
        <v>6004</v>
      </c>
      <c r="U8007" s="2" t="s">
        <v>505</v>
      </c>
      <c r="V8007" s="2" t="s">
        <v>36</v>
      </c>
      <c r="W8007" s="2" t="s">
        <v>60</v>
      </c>
      <c r="X8007" s="2">
        <v>17.43</v>
      </c>
    </row>
    <row r="8008" spans="1:24" x14ac:dyDescent="0.3">
      <c r="A8008">
        <v>25812</v>
      </c>
      <c r="B8008" t="s">
        <v>15103</v>
      </c>
      <c r="C8008" s="3">
        <v>41686</v>
      </c>
      <c r="D8008" t="s">
        <v>148</v>
      </c>
      <c r="E8008">
        <v>6</v>
      </c>
      <c r="F8008" s="3">
        <f ca="1">41686+(RANDBETWEEN(1,10))</f>
        <v>41692</v>
      </c>
      <c r="G8008" t="s">
        <v>26</v>
      </c>
      <c r="H8008" t="s">
        <v>27</v>
      </c>
      <c r="I8008" t="s">
        <v>86</v>
      </c>
      <c r="J8008">
        <v>113.33</v>
      </c>
      <c r="K8008">
        <v>0.06</v>
      </c>
      <c r="L8008">
        <v>0.38</v>
      </c>
      <c r="M8008">
        <v>4.8650000000000002</v>
      </c>
      <c r="N8008">
        <v>78.197699999999998</v>
      </c>
      <c r="O8008" s="1" t="s">
        <v>87</v>
      </c>
      <c r="P8008" s="1" t="s">
        <v>11390</v>
      </c>
      <c r="Q8008" s="1" t="s">
        <v>11391</v>
      </c>
      <c r="R8008" s="1" t="s">
        <v>90</v>
      </c>
      <c r="S8008" s="1" t="s">
        <v>11392</v>
      </c>
      <c r="T8008" s="1" t="s">
        <v>11393</v>
      </c>
      <c r="U8008" s="2" t="s">
        <v>641</v>
      </c>
      <c r="V8008" s="2" t="s">
        <v>47</v>
      </c>
      <c r="W8008" s="2" t="s">
        <v>48</v>
      </c>
      <c r="X8008" s="2">
        <v>19.88</v>
      </c>
    </row>
    <row r="8009" spans="1:24" x14ac:dyDescent="0.3">
      <c r="A8009">
        <v>25813</v>
      </c>
      <c r="B8009" t="s">
        <v>15107</v>
      </c>
      <c r="C8009" s="3">
        <v>40872</v>
      </c>
      <c r="D8009" t="s">
        <v>62</v>
      </c>
      <c r="E8009">
        <v>43</v>
      </c>
      <c r="F8009" s="3">
        <f ca="1">40875+(RANDBETWEEN(1,10))</f>
        <v>40880</v>
      </c>
      <c r="G8009" t="s">
        <v>26</v>
      </c>
      <c r="H8009" t="s">
        <v>96</v>
      </c>
      <c r="I8009" t="s">
        <v>86</v>
      </c>
      <c r="J8009">
        <v>1245.72</v>
      </c>
      <c r="K8009">
        <v>0</v>
      </c>
      <c r="L8009">
        <v>0.42</v>
      </c>
      <c r="M8009">
        <v>14</v>
      </c>
      <c r="N8009">
        <v>302.53300000000002</v>
      </c>
      <c r="O8009" s="1" t="s">
        <v>53</v>
      </c>
      <c r="P8009" s="1" t="s">
        <v>15108</v>
      </c>
      <c r="Q8009" s="1" t="s">
        <v>15109</v>
      </c>
      <c r="R8009" s="1" t="s">
        <v>56</v>
      </c>
      <c r="S8009" s="1" t="s">
        <v>4536</v>
      </c>
      <c r="T8009" s="1" t="s">
        <v>897</v>
      </c>
      <c r="U8009" s="2" t="s">
        <v>2801</v>
      </c>
      <c r="V8009" s="2" t="s">
        <v>83</v>
      </c>
      <c r="W8009" s="2" t="s">
        <v>178</v>
      </c>
      <c r="X8009" s="2">
        <v>26.565000000000001</v>
      </c>
    </row>
    <row r="8010" spans="1:24" x14ac:dyDescent="0.3">
      <c r="A8010">
        <v>25814</v>
      </c>
      <c r="B8010" t="s">
        <v>15110</v>
      </c>
      <c r="C8010" s="3">
        <v>41968</v>
      </c>
      <c r="D8010" t="s">
        <v>62</v>
      </c>
      <c r="E8010">
        <v>28</v>
      </c>
      <c r="F8010" s="3">
        <f ca="1">41968+(RANDBETWEEN(1,10))</f>
        <v>41972</v>
      </c>
      <c r="G8010" t="s">
        <v>26</v>
      </c>
      <c r="H8010" t="s">
        <v>27</v>
      </c>
      <c r="I8010" t="s">
        <v>86</v>
      </c>
      <c r="J8010">
        <v>564.13</v>
      </c>
      <c r="K8010">
        <v>0.09</v>
      </c>
      <c r="L8010">
        <v>0.68</v>
      </c>
      <c r="M8010">
        <v>16.414999999999999</v>
      </c>
      <c r="N8010">
        <v>170.45504</v>
      </c>
      <c r="O8010" s="1" t="s">
        <v>53</v>
      </c>
      <c r="P8010" s="1" t="s">
        <v>15108</v>
      </c>
      <c r="Q8010" s="1" t="s">
        <v>15109</v>
      </c>
      <c r="R8010" s="1" t="s">
        <v>56</v>
      </c>
      <c r="S8010" s="1" t="s">
        <v>4536</v>
      </c>
      <c r="T8010" s="1" t="s">
        <v>897</v>
      </c>
      <c r="U8010" s="2" t="s">
        <v>2362</v>
      </c>
      <c r="V8010" s="2" t="s">
        <v>47</v>
      </c>
      <c r="W8010" s="2" t="s">
        <v>119</v>
      </c>
      <c r="X8010" s="2">
        <v>20.93</v>
      </c>
    </row>
    <row r="8011" spans="1:24" x14ac:dyDescent="0.3">
      <c r="A8011">
        <v>25815</v>
      </c>
      <c r="B8011" t="s">
        <v>15111</v>
      </c>
      <c r="C8011" s="3">
        <v>40941</v>
      </c>
      <c r="D8011" t="s">
        <v>50</v>
      </c>
      <c r="E8011">
        <v>10</v>
      </c>
      <c r="F8011" s="3">
        <f ca="1">40943+(RANDBETWEEN(1,10))</f>
        <v>40950</v>
      </c>
      <c r="G8011" t="s">
        <v>156</v>
      </c>
      <c r="H8011" t="s">
        <v>27</v>
      </c>
      <c r="I8011" t="s">
        <v>28</v>
      </c>
      <c r="J8011">
        <v>126.245</v>
      </c>
      <c r="K8011">
        <v>0.01</v>
      </c>
      <c r="L8011">
        <v>0.37</v>
      </c>
      <c r="M8011">
        <v>3.4649999999999999</v>
      </c>
      <c r="N8011">
        <v>-107.996</v>
      </c>
      <c r="O8011" s="1" t="s">
        <v>29</v>
      </c>
      <c r="P8011" s="1" t="s">
        <v>9002</v>
      </c>
      <c r="Q8011" s="1" t="s">
        <v>9003</v>
      </c>
      <c r="R8011" s="1" t="s">
        <v>32</v>
      </c>
      <c r="S8011" s="1" t="s">
        <v>1166</v>
      </c>
      <c r="T8011" s="1" t="s">
        <v>1167</v>
      </c>
      <c r="U8011" s="2" t="s">
        <v>7368</v>
      </c>
      <c r="V8011" s="2" t="s">
        <v>47</v>
      </c>
      <c r="W8011" s="2" t="s">
        <v>203</v>
      </c>
      <c r="X8011" s="2">
        <v>10.78</v>
      </c>
    </row>
    <row r="8012" spans="1:24" x14ac:dyDescent="0.3">
      <c r="A8012">
        <v>25816</v>
      </c>
      <c r="B8012" t="s">
        <v>15111</v>
      </c>
      <c r="C8012" s="3">
        <v>40941</v>
      </c>
      <c r="D8012" t="s">
        <v>50</v>
      </c>
      <c r="E8012">
        <v>5</v>
      </c>
      <c r="F8012" s="3">
        <f ca="1">40942+(RANDBETWEEN(1,10))</f>
        <v>40947</v>
      </c>
      <c r="G8012" t="s">
        <v>26</v>
      </c>
      <c r="H8012" t="s">
        <v>27</v>
      </c>
      <c r="I8012" t="s">
        <v>28</v>
      </c>
      <c r="J8012">
        <v>116.55</v>
      </c>
      <c r="K8012">
        <v>0.03</v>
      </c>
      <c r="L8012">
        <v>0.4</v>
      </c>
      <c r="M8012">
        <v>26.25</v>
      </c>
      <c r="N8012">
        <v>-57.98415</v>
      </c>
      <c r="O8012" s="1" t="s">
        <v>29</v>
      </c>
      <c r="P8012" s="1" t="s">
        <v>9002</v>
      </c>
      <c r="Q8012" s="1" t="s">
        <v>9003</v>
      </c>
      <c r="R8012" s="1" t="s">
        <v>32</v>
      </c>
      <c r="S8012" s="1" t="s">
        <v>1166</v>
      </c>
      <c r="T8012" s="1" t="s">
        <v>1167</v>
      </c>
      <c r="U8012" s="2" t="s">
        <v>6464</v>
      </c>
      <c r="V8012" s="2" t="s">
        <v>47</v>
      </c>
      <c r="W8012" s="2" t="s">
        <v>74</v>
      </c>
      <c r="X8012" s="2">
        <v>20.93</v>
      </c>
    </row>
    <row r="8013" spans="1:24" x14ac:dyDescent="0.3">
      <c r="A8013">
        <v>25817</v>
      </c>
      <c r="B8013" t="s">
        <v>15112</v>
      </c>
      <c r="C8013" s="3">
        <v>40873</v>
      </c>
      <c r="D8013" t="s">
        <v>62</v>
      </c>
      <c r="E8013">
        <v>42</v>
      </c>
      <c r="F8013" s="3">
        <f ca="1">40875+(RANDBETWEEN(1,10))</f>
        <v>40881</v>
      </c>
      <c r="G8013" t="s">
        <v>26</v>
      </c>
      <c r="H8013" t="s">
        <v>27</v>
      </c>
      <c r="I8013" t="s">
        <v>52</v>
      </c>
      <c r="J8013">
        <v>828.90499999999997</v>
      </c>
      <c r="K8013">
        <v>0.02</v>
      </c>
      <c r="L8013">
        <v>0.37</v>
      </c>
      <c r="M8013">
        <v>10.465</v>
      </c>
      <c r="N8013">
        <v>2412.6480000000001</v>
      </c>
      <c r="O8013" s="1" t="s">
        <v>29</v>
      </c>
      <c r="P8013" s="1" t="s">
        <v>14364</v>
      </c>
      <c r="Q8013" s="1" t="s">
        <v>14365</v>
      </c>
      <c r="R8013" s="1" t="s">
        <v>460</v>
      </c>
      <c r="S8013" s="1" t="s">
        <v>14366</v>
      </c>
      <c r="T8013" s="1" t="s">
        <v>5696</v>
      </c>
      <c r="U8013" s="2" t="s">
        <v>12271</v>
      </c>
      <c r="V8013" s="2" t="s">
        <v>47</v>
      </c>
      <c r="W8013" s="2" t="s">
        <v>111</v>
      </c>
      <c r="X8013" s="2">
        <v>19.53</v>
      </c>
    </row>
    <row r="8014" spans="1:24" x14ac:dyDescent="0.3">
      <c r="A8014">
        <v>25818</v>
      </c>
      <c r="B8014" t="s">
        <v>15113</v>
      </c>
      <c r="C8014" s="3">
        <v>41969</v>
      </c>
      <c r="D8014" t="s">
        <v>62</v>
      </c>
      <c r="E8014">
        <v>14</v>
      </c>
      <c r="F8014" s="3">
        <f ca="1">41970+(RANDBETWEEN(1,10))</f>
        <v>41975</v>
      </c>
      <c r="G8014" t="s">
        <v>26</v>
      </c>
      <c r="H8014" t="s">
        <v>96</v>
      </c>
      <c r="I8014" t="s">
        <v>52</v>
      </c>
      <c r="J8014">
        <v>393.71499999999997</v>
      </c>
      <c r="K8014">
        <v>0.06</v>
      </c>
      <c r="L8014">
        <v>0.35</v>
      </c>
      <c r="M8014">
        <v>4.375</v>
      </c>
      <c r="N8014">
        <v>17.745000000000001</v>
      </c>
      <c r="O8014" s="1" t="s">
        <v>29</v>
      </c>
      <c r="P8014" s="1" t="s">
        <v>14364</v>
      </c>
      <c r="Q8014" s="1" t="s">
        <v>14365</v>
      </c>
      <c r="R8014" s="1" t="s">
        <v>460</v>
      </c>
      <c r="S8014" s="1" t="s">
        <v>14366</v>
      </c>
      <c r="T8014" s="1" t="s">
        <v>5696</v>
      </c>
      <c r="U8014" s="2" t="s">
        <v>9319</v>
      </c>
      <c r="V8014" s="2" t="s">
        <v>47</v>
      </c>
      <c r="W8014" s="2" t="s">
        <v>74</v>
      </c>
      <c r="X8014" s="2">
        <v>27.93</v>
      </c>
    </row>
    <row r="8015" spans="1:24" x14ac:dyDescent="0.3">
      <c r="A8015">
        <v>25819</v>
      </c>
      <c r="B8015" t="s">
        <v>15112</v>
      </c>
      <c r="C8015" s="3">
        <v>40873</v>
      </c>
      <c r="D8015" t="s">
        <v>62</v>
      </c>
      <c r="E8015">
        <v>36</v>
      </c>
      <c r="F8015" s="3">
        <f ca="1">40874+(RANDBETWEEN(1,10))</f>
        <v>40882</v>
      </c>
      <c r="G8015" t="s">
        <v>26</v>
      </c>
      <c r="H8015" t="s">
        <v>27</v>
      </c>
      <c r="I8015" t="s">
        <v>52</v>
      </c>
      <c r="J8015">
        <v>6807.0450000000001</v>
      </c>
      <c r="K8015">
        <v>0.02</v>
      </c>
      <c r="L8015">
        <v>0.59</v>
      </c>
      <c r="M8015">
        <v>69.965000000000003</v>
      </c>
      <c r="N8015">
        <v>-117.551</v>
      </c>
      <c r="O8015" s="1" t="s">
        <v>29</v>
      </c>
      <c r="P8015" s="1" t="s">
        <v>14364</v>
      </c>
      <c r="Q8015" s="1" t="s">
        <v>14365</v>
      </c>
      <c r="R8015" s="1" t="s">
        <v>460</v>
      </c>
      <c r="S8015" s="1" t="s">
        <v>14366</v>
      </c>
      <c r="T8015" s="1" t="s">
        <v>5696</v>
      </c>
      <c r="U8015" s="2" t="s">
        <v>8463</v>
      </c>
      <c r="V8015" s="2" t="s">
        <v>47</v>
      </c>
      <c r="W8015" s="2" t="s">
        <v>119</v>
      </c>
      <c r="X8015" s="2">
        <v>189.35</v>
      </c>
    </row>
    <row r="8016" spans="1:24" x14ac:dyDescent="0.3">
      <c r="A8016">
        <v>2582</v>
      </c>
      <c r="B8016" t="s">
        <v>15102</v>
      </c>
      <c r="C8016" s="3">
        <v>41127</v>
      </c>
      <c r="D8016" t="s">
        <v>62</v>
      </c>
      <c r="E8016">
        <v>83</v>
      </c>
      <c r="F8016" s="3">
        <f ca="1">41129+(RANDBETWEEN(1,10))</f>
        <v>41132</v>
      </c>
      <c r="G8016" t="s">
        <v>26</v>
      </c>
      <c r="H8016" t="s">
        <v>63</v>
      </c>
      <c r="I8016" t="s">
        <v>97</v>
      </c>
      <c r="J8016">
        <v>30402.224999999999</v>
      </c>
      <c r="K8016">
        <v>0.03</v>
      </c>
      <c r="L8016">
        <v>0.59</v>
      </c>
      <c r="M8016">
        <v>74.41</v>
      </c>
      <c r="N8016">
        <v>2992.99</v>
      </c>
      <c r="O8016" s="1" t="s">
        <v>64</v>
      </c>
      <c r="P8016" s="1" t="s">
        <v>8714</v>
      </c>
      <c r="Q8016" s="1" t="s">
        <v>8715</v>
      </c>
      <c r="R8016" s="1" t="s">
        <v>128</v>
      </c>
      <c r="S8016" s="1" t="s">
        <v>129</v>
      </c>
      <c r="T8016" s="1" t="s">
        <v>8716</v>
      </c>
      <c r="U8016" s="2" t="s">
        <v>4456</v>
      </c>
      <c r="V8016" s="2" t="s">
        <v>83</v>
      </c>
      <c r="W8016" s="2" t="s">
        <v>178</v>
      </c>
      <c r="X8016" s="2">
        <v>358.05</v>
      </c>
    </row>
    <row r="8017" spans="1:24" x14ac:dyDescent="0.3">
      <c r="A8017">
        <v>25820</v>
      </c>
      <c r="B8017" t="s">
        <v>15114</v>
      </c>
      <c r="C8017" s="3">
        <v>40686</v>
      </c>
      <c r="D8017" t="s">
        <v>39</v>
      </c>
      <c r="E8017">
        <v>16</v>
      </c>
      <c r="F8017" s="3">
        <f ca="1">40687+(RANDBETWEEN(1,10))</f>
        <v>40688</v>
      </c>
      <c r="G8017" t="s">
        <v>26</v>
      </c>
      <c r="H8017" t="s">
        <v>27</v>
      </c>
      <c r="I8017" t="s">
        <v>28</v>
      </c>
      <c r="J8017">
        <v>2348.15</v>
      </c>
      <c r="K8017">
        <v>0.03</v>
      </c>
      <c r="L8017">
        <v>0.36</v>
      </c>
      <c r="M8017">
        <v>10.465</v>
      </c>
      <c r="N8017">
        <v>1620.2235000000001</v>
      </c>
      <c r="O8017" s="1" t="s">
        <v>29</v>
      </c>
      <c r="P8017" s="1" t="s">
        <v>12455</v>
      </c>
      <c r="Q8017" s="1" t="s">
        <v>12456</v>
      </c>
      <c r="R8017" s="1" t="s">
        <v>675</v>
      </c>
      <c r="S8017" s="1" t="s">
        <v>12457</v>
      </c>
      <c r="T8017" s="1" t="s">
        <v>12458</v>
      </c>
      <c r="U8017" s="2" t="s">
        <v>4432</v>
      </c>
      <c r="V8017" s="2" t="s">
        <v>47</v>
      </c>
      <c r="W8017" s="2" t="s">
        <v>111</v>
      </c>
      <c r="X8017" s="2">
        <v>149.80000000000001</v>
      </c>
    </row>
    <row r="8018" spans="1:24" x14ac:dyDescent="0.3">
      <c r="A8018">
        <v>25821</v>
      </c>
      <c r="B8018" t="s">
        <v>15115</v>
      </c>
      <c r="C8018" s="3">
        <v>41778</v>
      </c>
      <c r="D8018" t="s">
        <v>25</v>
      </c>
      <c r="E8018">
        <v>1</v>
      </c>
      <c r="F8018" s="3">
        <f ca="1">41785+(RANDBETWEEN(1,10))</f>
        <v>41790</v>
      </c>
      <c r="G8018" t="s">
        <v>26</v>
      </c>
      <c r="H8018" t="s">
        <v>27</v>
      </c>
      <c r="I8018" t="s">
        <v>97</v>
      </c>
      <c r="J8018">
        <v>57.05</v>
      </c>
      <c r="K8018">
        <v>0.03</v>
      </c>
      <c r="L8018">
        <v>0.56999999999999995</v>
      </c>
      <c r="M8018">
        <v>19.25</v>
      </c>
      <c r="N8018">
        <v>-71.995000000000005</v>
      </c>
      <c r="O8018" s="1" t="s">
        <v>29</v>
      </c>
      <c r="P8018" s="1" t="s">
        <v>15116</v>
      </c>
      <c r="Q8018" s="1" t="s">
        <v>15117</v>
      </c>
      <c r="R8018" s="1" t="s">
        <v>32</v>
      </c>
      <c r="S8018" s="1" t="s">
        <v>8209</v>
      </c>
      <c r="T8018" s="1" t="s">
        <v>8210</v>
      </c>
      <c r="U8018" s="2" t="s">
        <v>3384</v>
      </c>
      <c r="V8018" s="2" t="s">
        <v>47</v>
      </c>
      <c r="W8018" s="2" t="s">
        <v>119</v>
      </c>
      <c r="X8018" s="2">
        <v>47.005000000000003</v>
      </c>
    </row>
    <row r="8019" spans="1:24" x14ac:dyDescent="0.3">
      <c r="A8019">
        <v>25822</v>
      </c>
      <c r="B8019" t="s">
        <v>15115</v>
      </c>
      <c r="C8019" s="3">
        <v>41778</v>
      </c>
      <c r="D8019" t="s">
        <v>25</v>
      </c>
      <c r="E8019">
        <v>1</v>
      </c>
      <c r="F8019" s="3">
        <f ca="1">41782+(RANDBETWEEN(1,10))</f>
        <v>41787</v>
      </c>
      <c r="G8019" t="s">
        <v>26</v>
      </c>
      <c r="H8019" t="s">
        <v>27</v>
      </c>
      <c r="I8019" t="s">
        <v>97</v>
      </c>
      <c r="J8019">
        <v>614.56500000000005</v>
      </c>
      <c r="K8019">
        <v>7.0000000000000007E-2</v>
      </c>
      <c r="L8019">
        <v>0.39</v>
      </c>
      <c r="M8019">
        <v>69.965000000000003</v>
      </c>
      <c r="N8019">
        <v>-328.39974999999998</v>
      </c>
      <c r="O8019" s="1" t="s">
        <v>87</v>
      </c>
      <c r="P8019" s="1" t="s">
        <v>15118</v>
      </c>
      <c r="Q8019" s="1" t="s">
        <v>15119</v>
      </c>
      <c r="R8019" s="1" t="s">
        <v>90</v>
      </c>
      <c r="S8019" s="1" t="s">
        <v>15120</v>
      </c>
      <c r="T8019" s="1" t="s">
        <v>15121</v>
      </c>
      <c r="U8019" s="2" t="s">
        <v>3970</v>
      </c>
      <c r="V8019" s="2" t="s">
        <v>47</v>
      </c>
      <c r="W8019" s="2" t="s">
        <v>111</v>
      </c>
      <c r="X8019" s="2">
        <v>605.46500000000003</v>
      </c>
    </row>
    <row r="8020" spans="1:24" x14ac:dyDescent="0.3">
      <c r="A8020">
        <v>25823</v>
      </c>
      <c r="B8020" t="s">
        <v>15122</v>
      </c>
      <c r="C8020" s="3">
        <v>41665</v>
      </c>
      <c r="D8020" t="s">
        <v>148</v>
      </c>
      <c r="E8020">
        <v>3</v>
      </c>
      <c r="F8020" s="3">
        <f ca="1">41667+(RANDBETWEEN(1,10))</f>
        <v>41677</v>
      </c>
      <c r="G8020" t="s">
        <v>26</v>
      </c>
      <c r="H8020" t="s">
        <v>27</v>
      </c>
      <c r="I8020" t="s">
        <v>86</v>
      </c>
      <c r="J8020">
        <v>412.40499999999997</v>
      </c>
      <c r="K8020">
        <v>0.09</v>
      </c>
      <c r="L8020">
        <v>0.67</v>
      </c>
      <c r="M8020">
        <v>24.92</v>
      </c>
      <c r="N8020">
        <v>249.774</v>
      </c>
      <c r="O8020" s="1" t="s">
        <v>87</v>
      </c>
      <c r="P8020" s="1" t="s">
        <v>1316</v>
      </c>
      <c r="Q8020" s="1" t="s">
        <v>1317</v>
      </c>
      <c r="R8020" s="1" t="s">
        <v>90</v>
      </c>
      <c r="S8020" s="1" t="s">
        <v>1318</v>
      </c>
      <c r="T8020" s="1" t="s">
        <v>1319</v>
      </c>
      <c r="U8020" s="2" t="s">
        <v>3979</v>
      </c>
      <c r="V8020" s="2" t="s">
        <v>36</v>
      </c>
      <c r="W8020" s="2" t="s">
        <v>60</v>
      </c>
      <c r="X8020" s="2">
        <v>139.93</v>
      </c>
    </row>
    <row r="8021" spans="1:24" x14ac:dyDescent="0.3">
      <c r="A8021">
        <v>25824</v>
      </c>
      <c r="B8021" t="s">
        <v>15122</v>
      </c>
      <c r="C8021" s="3">
        <v>41665</v>
      </c>
      <c r="D8021" t="s">
        <v>148</v>
      </c>
      <c r="E8021">
        <v>7</v>
      </c>
      <c r="F8021" s="3">
        <f ca="1">41667+(RANDBETWEEN(1,10))</f>
        <v>41674</v>
      </c>
      <c r="G8021" t="s">
        <v>76</v>
      </c>
      <c r="H8021" t="s">
        <v>258</v>
      </c>
      <c r="I8021" t="s">
        <v>86</v>
      </c>
      <c r="J8021">
        <v>7484.8549999999996</v>
      </c>
      <c r="K8021">
        <v>0.06</v>
      </c>
      <c r="L8021">
        <v>0.74</v>
      </c>
      <c r="M8021">
        <v>299.70499999999998</v>
      </c>
      <c r="N8021">
        <v>709.82100000000003</v>
      </c>
      <c r="O8021" s="1" t="s">
        <v>87</v>
      </c>
      <c r="P8021" s="1" t="s">
        <v>1316</v>
      </c>
      <c r="Q8021" s="1" t="s">
        <v>1317</v>
      </c>
      <c r="R8021" s="1" t="s">
        <v>90</v>
      </c>
      <c r="S8021" s="1" t="s">
        <v>1318</v>
      </c>
      <c r="T8021" s="1" t="s">
        <v>1319</v>
      </c>
      <c r="U8021" s="2" t="s">
        <v>3542</v>
      </c>
      <c r="V8021" s="2" t="s">
        <v>83</v>
      </c>
      <c r="W8021" s="2" t="s">
        <v>263</v>
      </c>
      <c r="X8021" s="2">
        <v>1316.4549999999999</v>
      </c>
    </row>
    <row r="8022" spans="1:24" x14ac:dyDescent="0.3">
      <c r="A8022">
        <v>25825</v>
      </c>
      <c r="B8022" t="s">
        <v>15123</v>
      </c>
      <c r="C8022" s="3">
        <v>41822</v>
      </c>
      <c r="D8022" t="s">
        <v>50</v>
      </c>
      <c r="E8022">
        <v>15</v>
      </c>
      <c r="F8022" s="3">
        <f ca="1">41823+(RANDBETWEEN(1,10))</f>
        <v>41832</v>
      </c>
      <c r="G8022" t="s">
        <v>156</v>
      </c>
      <c r="H8022" t="s">
        <v>27</v>
      </c>
      <c r="I8022" t="s">
        <v>86</v>
      </c>
      <c r="J8022">
        <v>1003.0650000000001</v>
      </c>
      <c r="K8022">
        <v>0.08</v>
      </c>
      <c r="L8022">
        <v>0.38</v>
      </c>
      <c r="M8022">
        <v>20.895</v>
      </c>
      <c r="N8022">
        <v>692.11485000000005</v>
      </c>
      <c r="O8022" s="1" t="s">
        <v>53</v>
      </c>
      <c r="P8022" s="1" t="s">
        <v>15124</v>
      </c>
      <c r="Q8022" s="1" t="s">
        <v>15125</v>
      </c>
      <c r="R8022" s="1" t="s">
        <v>440</v>
      </c>
      <c r="S8022" s="1" t="s">
        <v>11653</v>
      </c>
      <c r="T8022" s="1" t="s">
        <v>4988</v>
      </c>
      <c r="U8022" s="2" t="s">
        <v>161</v>
      </c>
      <c r="V8022" s="2" t="s">
        <v>47</v>
      </c>
      <c r="W8022" s="2" t="s">
        <v>74</v>
      </c>
      <c r="X8022" s="2">
        <v>69.930000000000007</v>
      </c>
    </row>
    <row r="8023" spans="1:24" x14ac:dyDescent="0.3">
      <c r="A8023">
        <v>25826</v>
      </c>
      <c r="B8023" t="s">
        <v>15123</v>
      </c>
      <c r="C8023" s="3">
        <v>41822</v>
      </c>
      <c r="D8023" t="s">
        <v>50</v>
      </c>
      <c r="E8023">
        <v>6</v>
      </c>
      <c r="F8023" s="3">
        <f ca="1">41823+(RANDBETWEEN(1,10))</f>
        <v>41832</v>
      </c>
      <c r="G8023" t="s">
        <v>156</v>
      </c>
      <c r="H8023" t="s">
        <v>63</v>
      </c>
      <c r="I8023" t="s">
        <v>86</v>
      </c>
      <c r="J8023">
        <v>2064.895</v>
      </c>
      <c r="K8023">
        <v>0.05</v>
      </c>
      <c r="L8023" t="s">
        <v>182</v>
      </c>
      <c r="M8023">
        <v>122.5</v>
      </c>
      <c r="N8023">
        <v>-1496.69688</v>
      </c>
      <c r="O8023" s="1" t="s">
        <v>64</v>
      </c>
      <c r="P8023" s="1" t="s">
        <v>15126</v>
      </c>
      <c r="Q8023" s="1" t="s">
        <v>15127</v>
      </c>
      <c r="R8023" s="1" t="s">
        <v>128</v>
      </c>
      <c r="S8023" s="1" t="s">
        <v>15128</v>
      </c>
      <c r="T8023" s="1" t="s">
        <v>15129</v>
      </c>
      <c r="U8023" s="2" t="s">
        <v>186</v>
      </c>
      <c r="V8023" s="2" t="s">
        <v>47</v>
      </c>
      <c r="W8023" s="2" t="s">
        <v>119</v>
      </c>
      <c r="X8023" s="2">
        <v>335.96499999999997</v>
      </c>
    </row>
    <row r="8024" spans="1:24" x14ac:dyDescent="0.3">
      <c r="A8024">
        <v>25827</v>
      </c>
      <c r="B8024" t="s">
        <v>15130</v>
      </c>
      <c r="C8024" s="3">
        <v>41758</v>
      </c>
      <c r="D8024" t="s">
        <v>50</v>
      </c>
      <c r="E8024">
        <v>7</v>
      </c>
      <c r="F8024" s="3">
        <f ca="1">41759+(RANDBETWEEN(1,10))</f>
        <v>41766</v>
      </c>
      <c r="G8024" t="s">
        <v>26</v>
      </c>
      <c r="H8024" t="s">
        <v>27</v>
      </c>
      <c r="I8024" t="s">
        <v>28</v>
      </c>
      <c r="J8024">
        <v>2471.77</v>
      </c>
      <c r="K8024">
        <v>0.03</v>
      </c>
      <c r="L8024">
        <v>0.4</v>
      </c>
      <c r="M8024">
        <v>25.13</v>
      </c>
      <c r="N8024">
        <v>1705.5213000000001</v>
      </c>
      <c r="O8024" s="1" t="s">
        <v>87</v>
      </c>
      <c r="P8024" s="1" t="s">
        <v>15131</v>
      </c>
      <c r="Q8024" s="1" t="s">
        <v>15132</v>
      </c>
      <c r="R8024" s="1" t="s">
        <v>646</v>
      </c>
      <c r="S8024" s="1" t="s">
        <v>15133</v>
      </c>
      <c r="T8024" s="1" t="s">
        <v>15134</v>
      </c>
      <c r="U8024" s="2" t="s">
        <v>5772</v>
      </c>
      <c r="V8024" s="2" t="s">
        <v>36</v>
      </c>
      <c r="W8024" s="2" t="s">
        <v>60</v>
      </c>
      <c r="X8024" s="2">
        <v>353.43</v>
      </c>
    </row>
    <row r="8025" spans="1:24" x14ac:dyDescent="0.3">
      <c r="A8025">
        <v>25828</v>
      </c>
      <c r="B8025" t="s">
        <v>15135</v>
      </c>
      <c r="C8025" s="3">
        <v>41912</v>
      </c>
      <c r="D8025" t="s">
        <v>25</v>
      </c>
      <c r="E8025">
        <v>21</v>
      </c>
      <c r="F8025" s="3">
        <f ca="1">41914+(RANDBETWEEN(1,10))</f>
        <v>41921</v>
      </c>
      <c r="G8025" t="s">
        <v>26</v>
      </c>
      <c r="H8025" t="s">
        <v>96</v>
      </c>
      <c r="I8025" t="s">
        <v>97</v>
      </c>
      <c r="J8025">
        <v>135.27500000000001</v>
      </c>
      <c r="K8025">
        <v>0.05</v>
      </c>
      <c r="L8025">
        <v>0.4</v>
      </c>
      <c r="M8025">
        <v>3.5</v>
      </c>
      <c r="N8025">
        <v>3.2507999999999999</v>
      </c>
      <c r="O8025" s="1" t="s">
        <v>225</v>
      </c>
      <c r="P8025" s="1" t="s">
        <v>11038</v>
      </c>
      <c r="Q8025" s="1" t="s">
        <v>11039</v>
      </c>
      <c r="R8025" s="1" t="s">
        <v>228</v>
      </c>
      <c r="S8025" s="1" t="s">
        <v>11040</v>
      </c>
      <c r="T8025" s="1" t="s">
        <v>11041</v>
      </c>
      <c r="U8025" s="2" t="s">
        <v>2186</v>
      </c>
      <c r="V8025" s="2" t="s">
        <v>47</v>
      </c>
      <c r="W8025" s="2" t="s">
        <v>104</v>
      </c>
      <c r="X8025" s="2">
        <v>6.37</v>
      </c>
    </row>
    <row r="8026" spans="1:24" x14ac:dyDescent="0.3">
      <c r="A8026">
        <v>25829</v>
      </c>
      <c r="B8026" t="s">
        <v>15136</v>
      </c>
      <c r="C8026" s="3">
        <v>41916</v>
      </c>
      <c r="D8026" t="s">
        <v>148</v>
      </c>
      <c r="E8026">
        <v>19</v>
      </c>
      <c r="F8026" s="3">
        <f ca="1">41919+(RANDBETWEEN(1,10))</f>
        <v>41928</v>
      </c>
      <c r="G8026" t="s">
        <v>26</v>
      </c>
      <c r="H8026" t="s">
        <v>27</v>
      </c>
      <c r="I8026" t="s">
        <v>86</v>
      </c>
      <c r="J8026">
        <v>4186.63</v>
      </c>
      <c r="K8026">
        <v>0.08</v>
      </c>
      <c r="L8026">
        <v>0.73</v>
      </c>
      <c r="M8026">
        <v>24.08</v>
      </c>
      <c r="N8026">
        <v>664.19500000000005</v>
      </c>
      <c r="O8026" s="1" t="s">
        <v>87</v>
      </c>
      <c r="P8026" s="1" t="s">
        <v>13487</v>
      </c>
      <c r="Q8026" s="1" t="s">
        <v>13488</v>
      </c>
      <c r="R8026" s="1" t="s">
        <v>90</v>
      </c>
      <c r="S8026" s="1" t="s">
        <v>13489</v>
      </c>
      <c r="T8026" s="1" t="s">
        <v>13490</v>
      </c>
      <c r="U8026" s="2" t="s">
        <v>2091</v>
      </c>
      <c r="V8026" s="2" t="s">
        <v>47</v>
      </c>
      <c r="W8026" s="2" t="s">
        <v>119</v>
      </c>
      <c r="X8026" s="2">
        <v>227.43</v>
      </c>
    </row>
    <row r="8027" spans="1:24" x14ac:dyDescent="0.3">
      <c r="A8027">
        <v>25830</v>
      </c>
      <c r="B8027" t="s">
        <v>15137</v>
      </c>
      <c r="C8027" s="3">
        <v>41741</v>
      </c>
      <c r="D8027" t="s">
        <v>25</v>
      </c>
      <c r="E8027">
        <v>4</v>
      </c>
      <c r="F8027" s="3">
        <f ca="1">41745+(RANDBETWEEN(1,10))</f>
        <v>41746</v>
      </c>
      <c r="G8027" t="s">
        <v>156</v>
      </c>
      <c r="H8027" t="s">
        <v>27</v>
      </c>
      <c r="I8027" t="s">
        <v>97</v>
      </c>
      <c r="J8027">
        <v>97.474999999999994</v>
      </c>
      <c r="K8027">
        <v>0.08</v>
      </c>
      <c r="L8027">
        <v>0.37</v>
      </c>
      <c r="M8027">
        <v>25.795000000000002</v>
      </c>
      <c r="N8027">
        <v>-212.27500000000001</v>
      </c>
      <c r="O8027" s="1" t="s">
        <v>53</v>
      </c>
      <c r="P8027" s="1" t="s">
        <v>15138</v>
      </c>
      <c r="Q8027" s="1" t="s">
        <v>15139</v>
      </c>
      <c r="R8027" s="1" t="s">
        <v>100</v>
      </c>
      <c r="S8027" s="1" t="s">
        <v>3199</v>
      </c>
      <c r="T8027" s="1" t="s">
        <v>3200</v>
      </c>
      <c r="U8027" s="2" t="s">
        <v>2975</v>
      </c>
      <c r="V8027" s="2" t="s">
        <v>47</v>
      </c>
      <c r="W8027" s="2" t="s">
        <v>74</v>
      </c>
      <c r="X8027" s="2">
        <v>22.68</v>
      </c>
    </row>
    <row r="8028" spans="1:24" x14ac:dyDescent="0.3">
      <c r="A8028">
        <v>25831</v>
      </c>
      <c r="B8028" t="s">
        <v>15140</v>
      </c>
      <c r="C8028" s="3">
        <v>41824</v>
      </c>
      <c r="D8028" t="s">
        <v>25</v>
      </c>
      <c r="E8028">
        <v>7</v>
      </c>
      <c r="F8028" s="3">
        <f ca="1">41826+(RANDBETWEEN(1,10))</f>
        <v>41834</v>
      </c>
      <c r="G8028" t="s">
        <v>26</v>
      </c>
      <c r="H8028" t="s">
        <v>27</v>
      </c>
      <c r="I8028" t="s">
        <v>28</v>
      </c>
      <c r="J8028">
        <v>600.28499999999997</v>
      </c>
      <c r="K8028">
        <v>0.04</v>
      </c>
      <c r="L8028">
        <v>0.35</v>
      </c>
      <c r="M8028">
        <v>23.484999999999999</v>
      </c>
      <c r="N8028">
        <v>414.19664999999998</v>
      </c>
      <c r="O8028" s="1" t="s">
        <v>87</v>
      </c>
      <c r="P8028" s="1" t="s">
        <v>11870</v>
      </c>
      <c r="Q8028" s="1" t="s">
        <v>11871</v>
      </c>
      <c r="R8028" s="1" t="s">
        <v>398</v>
      </c>
      <c r="S8028" s="1" t="s">
        <v>11872</v>
      </c>
      <c r="T8028" s="1" t="s">
        <v>11873</v>
      </c>
      <c r="U8028" s="2" t="s">
        <v>5144</v>
      </c>
      <c r="V8028" s="2" t="s">
        <v>47</v>
      </c>
      <c r="W8028" s="2" t="s">
        <v>48</v>
      </c>
      <c r="X8028" s="2">
        <v>83.965000000000003</v>
      </c>
    </row>
    <row r="8029" spans="1:24" x14ac:dyDescent="0.3">
      <c r="A8029">
        <v>25832</v>
      </c>
      <c r="B8029" t="s">
        <v>15140</v>
      </c>
      <c r="C8029" s="3">
        <v>41824</v>
      </c>
      <c r="D8029" t="s">
        <v>25</v>
      </c>
      <c r="E8029">
        <v>5</v>
      </c>
      <c r="F8029" s="3">
        <f ca="1">41828+(RANDBETWEEN(1,10))</f>
        <v>41836</v>
      </c>
      <c r="G8029" t="s">
        <v>26</v>
      </c>
      <c r="H8029" t="s">
        <v>27</v>
      </c>
      <c r="I8029" t="s">
        <v>28</v>
      </c>
      <c r="J8029">
        <v>936.04</v>
      </c>
      <c r="K8029">
        <v>0.09</v>
      </c>
      <c r="L8029">
        <v>0.36</v>
      </c>
      <c r="M8029">
        <v>17.010000000000002</v>
      </c>
      <c r="N8029">
        <v>645.86760000000004</v>
      </c>
      <c r="O8029" s="1" t="s">
        <v>29</v>
      </c>
      <c r="P8029" s="1" t="s">
        <v>15141</v>
      </c>
      <c r="Q8029" s="1" t="s">
        <v>15142</v>
      </c>
      <c r="R8029" s="1" t="s">
        <v>32</v>
      </c>
      <c r="S8029" s="1" t="s">
        <v>563</v>
      </c>
      <c r="T8029" s="1" t="s">
        <v>564</v>
      </c>
      <c r="U8029" s="2" t="s">
        <v>1690</v>
      </c>
      <c r="V8029" s="2" t="s">
        <v>47</v>
      </c>
      <c r="W8029" s="2" t="s">
        <v>74</v>
      </c>
      <c r="X8029" s="2">
        <v>195.93</v>
      </c>
    </row>
    <row r="8030" spans="1:24" x14ac:dyDescent="0.3">
      <c r="A8030">
        <v>25833</v>
      </c>
      <c r="B8030" t="s">
        <v>15143</v>
      </c>
      <c r="C8030" s="3">
        <v>40728</v>
      </c>
      <c r="D8030" t="s">
        <v>25</v>
      </c>
      <c r="E8030">
        <v>3</v>
      </c>
      <c r="F8030" s="3">
        <f ca="1">40735+(RANDBETWEEN(1,10))</f>
        <v>40740</v>
      </c>
      <c r="G8030" t="s">
        <v>26</v>
      </c>
      <c r="H8030" t="s">
        <v>27</v>
      </c>
      <c r="I8030" t="s">
        <v>28</v>
      </c>
      <c r="J8030">
        <v>1747.585</v>
      </c>
      <c r="K8030">
        <v>0.05</v>
      </c>
      <c r="L8030">
        <v>0.66</v>
      </c>
      <c r="M8030">
        <v>69.965000000000003</v>
      </c>
      <c r="N8030">
        <v>123.58499999999999</v>
      </c>
      <c r="O8030" s="1" t="s">
        <v>29</v>
      </c>
      <c r="P8030" s="1" t="s">
        <v>15141</v>
      </c>
      <c r="Q8030" s="1" t="s">
        <v>15142</v>
      </c>
      <c r="R8030" s="1" t="s">
        <v>32</v>
      </c>
      <c r="S8030" s="1" t="s">
        <v>563</v>
      </c>
      <c r="T8030" s="1" t="s">
        <v>564</v>
      </c>
      <c r="U8030" s="2" t="s">
        <v>6421</v>
      </c>
      <c r="V8030" s="2" t="s">
        <v>47</v>
      </c>
      <c r="W8030" s="2" t="s">
        <v>119</v>
      </c>
      <c r="X8030" s="2">
        <v>565.42499999999995</v>
      </c>
    </row>
    <row r="8031" spans="1:24" x14ac:dyDescent="0.3">
      <c r="A8031">
        <v>25834</v>
      </c>
      <c r="B8031" t="s">
        <v>15140</v>
      </c>
      <c r="C8031" s="3">
        <v>41824</v>
      </c>
      <c r="D8031" t="s">
        <v>25</v>
      </c>
      <c r="E8031">
        <v>5</v>
      </c>
      <c r="F8031" s="3">
        <f ca="1">41826+(RANDBETWEEN(1,10))</f>
        <v>41827</v>
      </c>
      <c r="G8031" t="s">
        <v>26</v>
      </c>
      <c r="H8031" t="s">
        <v>63</v>
      </c>
      <c r="I8031" t="s">
        <v>28</v>
      </c>
      <c r="J8031">
        <v>4821.95</v>
      </c>
      <c r="K8031">
        <v>7.0000000000000007E-2</v>
      </c>
      <c r="L8031">
        <v>0.67</v>
      </c>
      <c r="M8031">
        <v>241.5</v>
      </c>
      <c r="N8031">
        <v>-1205.972712</v>
      </c>
      <c r="O8031" s="1" t="s">
        <v>29</v>
      </c>
      <c r="P8031" s="1" t="s">
        <v>15141</v>
      </c>
      <c r="Q8031" s="1" t="s">
        <v>15142</v>
      </c>
      <c r="R8031" s="1" t="s">
        <v>32</v>
      </c>
      <c r="S8031" s="1" t="s">
        <v>563</v>
      </c>
      <c r="T8031" s="1" t="s">
        <v>564</v>
      </c>
      <c r="U8031" s="2" t="s">
        <v>8267</v>
      </c>
      <c r="V8031" s="2" t="s">
        <v>83</v>
      </c>
      <c r="W8031" s="2" t="s">
        <v>263</v>
      </c>
      <c r="X8031" s="2">
        <v>1018.43</v>
      </c>
    </row>
    <row r="8032" spans="1:24" x14ac:dyDescent="0.3">
      <c r="A8032">
        <v>25835</v>
      </c>
      <c r="B8032" t="s">
        <v>15144</v>
      </c>
      <c r="C8032" s="3">
        <v>41005</v>
      </c>
      <c r="D8032" t="s">
        <v>62</v>
      </c>
      <c r="E8032">
        <v>3</v>
      </c>
      <c r="F8032" s="3">
        <f ca="1">41006+(RANDBETWEEN(1,10))</f>
        <v>41009</v>
      </c>
      <c r="G8032" t="s">
        <v>76</v>
      </c>
      <c r="H8032" t="s">
        <v>258</v>
      </c>
      <c r="I8032" t="s">
        <v>52</v>
      </c>
      <c r="J8032">
        <v>1482.4949999999999</v>
      </c>
      <c r="K8032">
        <v>0.1</v>
      </c>
      <c r="L8032">
        <v>0.7</v>
      </c>
      <c r="M8032">
        <v>56.034999999999997</v>
      </c>
      <c r="N8032">
        <v>-1277.056781</v>
      </c>
      <c r="O8032" s="1" t="s">
        <v>29</v>
      </c>
      <c r="P8032" s="1" t="s">
        <v>11296</v>
      </c>
      <c r="Q8032" s="1" t="s">
        <v>11297</v>
      </c>
      <c r="R8032" s="1" t="s">
        <v>32</v>
      </c>
      <c r="S8032" s="1" t="s">
        <v>3409</v>
      </c>
      <c r="T8032" s="1" t="s">
        <v>11298</v>
      </c>
      <c r="U8032" s="2" t="s">
        <v>342</v>
      </c>
      <c r="V8032" s="2" t="s">
        <v>83</v>
      </c>
      <c r="W8032" s="2" t="s">
        <v>263</v>
      </c>
      <c r="X8032" s="2">
        <v>528.42999999999995</v>
      </c>
    </row>
    <row r="8033" spans="1:24" x14ac:dyDescent="0.3">
      <c r="A8033">
        <v>25836</v>
      </c>
      <c r="B8033" t="s">
        <v>15145</v>
      </c>
      <c r="C8033" s="3">
        <v>41548</v>
      </c>
      <c r="D8033" t="s">
        <v>62</v>
      </c>
      <c r="E8033">
        <v>8</v>
      </c>
      <c r="F8033" s="3">
        <f ca="1">41548+(RANDBETWEEN(1,10))</f>
        <v>41553</v>
      </c>
      <c r="G8033" t="s">
        <v>26</v>
      </c>
      <c r="H8033" t="s">
        <v>27</v>
      </c>
      <c r="I8033" t="s">
        <v>86</v>
      </c>
      <c r="J8033">
        <v>180.25</v>
      </c>
      <c r="K8033">
        <v>0.1</v>
      </c>
      <c r="L8033">
        <v>0.36</v>
      </c>
      <c r="M8033">
        <v>33.880000000000003</v>
      </c>
      <c r="N8033">
        <v>-386.20260000000002</v>
      </c>
      <c r="O8033" s="1" t="s">
        <v>64</v>
      </c>
      <c r="P8033" s="1" t="s">
        <v>10139</v>
      </c>
      <c r="Q8033" s="1" t="s">
        <v>10140</v>
      </c>
      <c r="R8033" s="1" t="s">
        <v>128</v>
      </c>
      <c r="S8033" s="1" t="s">
        <v>528</v>
      </c>
      <c r="T8033" s="1" t="s">
        <v>529</v>
      </c>
      <c r="U8033" s="2" t="s">
        <v>6485</v>
      </c>
      <c r="V8033" s="2" t="s">
        <v>47</v>
      </c>
      <c r="W8033" s="2" t="s">
        <v>74</v>
      </c>
      <c r="X8033" s="2">
        <v>22.68</v>
      </c>
    </row>
    <row r="8034" spans="1:24" x14ac:dyDescent="0.3">
      <c r="A8034">
        <v>25837</v>
      </c>
      <c r="B8034" t="s">
        <v>15145</v>
      </c>
      <c r="C8034" s="3">
        <v>41548</v>
      </c>
      <c r="D8034" t="s">
        <v>62</v>
      </c>
      <c r="E8034">
        <v>10</v>
      </c>
      <c r="F8034" s="3">
        <f ca="1">41550+(RANDBETWEEN(1,10))</f>
        <v>41557</v>
      </c>
      <c r="G8034" t="s">
        <v>26</v>
      </c>
      <c r="H8034" t="s">
        <v>51</v>
      </c>
      <c r="I8034" t="s">
        <v>86</v>
      </c>
      <c r="J8034">
        <v>2500.89</v>
      </c>
      <c r="K8034">
        <v>0.06</v>
      </c>
      <c r="L8034">
        <v>0.39</v>
      </c>
      <c r="M8034">
        <v>4.375</v>
      </c>
      <c r="N8034">
        <v>1610.15778</v>
      </c>
      <c r="O8034" s="1" t="s">
        <v>64</v>
      </c>
      <c r="P8034" s="1" t="s">
        <v>10139</v>
      </c>
      <c r="Q8034" s="1" t="s">
        <v>10140</v>
      </c>
      <c r="R8034" s="1" t="s">
        <v>128</v>
      </c>
      <c r="S8034" s="1" t="s">
        <v>528</v>
      </c>
      <c r="T8034" s="1" t="s">
        <v>529</v>
      </c>
      <c r="U8034" s="2" t="s">
        <v>1978</v>
      </c>
      <c r="V8034" s="2" t="s">
        <v>36</v>
      </c>
      <c r="W8034" s="2" t="s">
        <v>37</v>
      </c>
      <c r="X8034" s="2">
        <v>300.96499999999997</v>
      </c>
    </row>
    <row r="8035" spans="1:24" x14ac:dyDescent="0.3">
      <c r="A8035">
        <v>25838</v>
      </c>
      <c r="B8035" t="s">
        <v>15146</v>
      </c>
      <c r="C8035" s="3">
        <v>41627</v>
      </c>
      <c r="D8035" t="s">
        <v>50</v>
      </c>
      <c r="E8035">
        <v>16</v>
      </c>
      <c r="F8035" s="3">
        <f ca="1">41627+(RANDBETWEEN(1,10))</f>
        <v>41632</v>
      </c>
      <c r="G8035" t="s">
        <v>26</v>
      </c>
      <c r="H8035" t="s">
        <v>281</v>
      </c>
      <c r="I8035" t="s">
        <v>28</v>
      </c>
      <c r="J8035">
        <v>5226.62</v>
      </c>
      <c r="K8035">
        <v>0.1</v>
      </c>
      <c r="L8035">
        <v>0.38</v>
      </c>
      <c r="M8035">
        <v>48.965000000000003</v>
      </c>
      <c r="N8035">
        <v>-1780.856</v>
      </c>
      <c r="O8035" s="1" t="s">
        <v>87</v>
      </c>
      <c r="P8035" s="1" t="s">
        <v>13699</v>
      </c>
      <c r="Q8035" s="1" t="s">
        <v>13700</v>
      </c>
      <c r="R8035" s="1" t="s">
        <v>90</v>
      </c>
      <c r="S8035" s="1" t="s">
        <v>609</v>
      </c>
      <c r="T8035" s="1" t="s">
        <v>610</v>
      </c>
      <c r="U8035" s="2" t="s">
        <v>8415</v>
      </c>
      <c r="V8035" s="2" t="s">
        <v>36</v>
      </c>
      <c r="W8035" s="2" t="s">
        <v>142</v>
      </c>
      <c r="X8035" s="2">
        <v>337.57499999999999</v>
      </c>
    </row>
    <row r="8036" spans="1:24" x14ac:dyDescent="0.3">
      <c r="A8036">
        <v>25839</v>
      </c>
      <c r="B8036" t="s">
        <v>15146</v>
      </c>
      <c r="C8036" s="3">
        <v>41627</v>
      </c>
      <c r="D8036" t="s">
        <v>50</v>
      </c>
      <c r="E8036">
        <v>13</v>
      </c>
      <c r="F8036" s="3">
        <f ca="1">41629+(RANDBETWEEN(1,10))</f>
        <v>41632</v>
      </c>
      <c r="G8036" t="s">
        <v>76</v>
      </c>
      <c r="H8036" t="s">
        <v>77</v>
      </c>
      <c r="I8036" t="s">
        <v>28</v>
      </c>
      <c r="J8036">
        <v>7140.35</v>
      </c>
      <c r="K8036">
        <v>0.03</v>
      </c>
      <c r="L8036">
        <v>0.55000000000000004</v>
      </c>
      <c r="M8036">
        <v>210</v>
      </c>
      <c r="N8036">
        <v>225.351</v>
      </c>
      <c r="O8036" s="1" t="s">
        <v>87</v>
      </c>
      <c r="P8036" s="1" t="s">
        <v>13699</v>
      </c>
      <c r="Q8036" s="1" t="s">
        <v>13700</v>
      </c>
      <c r="R8036" s="1" t="s">
        <v>90</v>
      </c>
      <c r="S8036" s="1" t="s">
        <v>609</v>
      </c>
      <c r="T8036" s="1" t="s">
        <v>610</v>
      </c>
      <c r="U8036" s="2" t="s">
        <v>1963</v>
      </c>
      <c r="V8036" s="2" t="s">
        <v>83</v>
      </c>
      <c r="W8036" s="2" t="s">
        <v>263</v>
      </c>
      <c r="X8036" s="2">
        <v>557.58500000000004</v>
      </c>
    </row>
    <row r="8037" spans="1:24" x14ac:dyDescent="0.3">
      <c r="A8037">
        <v>25840</v>
      </c>
      <c r="B8037" t="s">
        <v>15147</v>
      </c>
      <c r="C8037" s="3">
        <v>41603</v>
      </c>
      <c r="D8037" t="s">
        <v>25</v>
      </c>
      <c r="E8037">
        <v>20</v>
      </c>
      <c r="F8037" s="3">
        <f ca="1">41608+(RANDBETWEEN(1,10))</f>
        <v>41612</v>
      </c>
      <c r="G8037" t="s">
        <v>26</v>
      </c>
      <c r="H8037" t="s">
        <v>27</v>
      </c>
      <c r="I8037" t="s">
        <v>86</v>
      </c>
      <c r="J8037">
        <v>476.80500000000001</v>
      </c>
      <c r="K8037">
        <v>7.0000000000000007E-2</v>
      </c>
      <c r="L8037">
        <v>0.37</v>
      </c>
      <c r="M8037">
        <v>18.2</v>
      </c>
      <c r="N8037">
        <v>23.204999999999998</v>
      </c>
      <c r="O8037" s="1" t="s">
        <v>40</v>
      </c>
      <c r="P8037" s="1" t="s">
        <v>15104</v>
      </c>
      <c r="Q8037" s="1" t="s">
        <v>15105</v>
      </c>
      <c r="R8037" s="1" t="s">
        <v>220</v>
      </c>
      <c r="S8037" s="1" t="s">
        <v>6003</v>
      </c>
      <c r="T8037" s="1" t="s">
        <v>6004</v>
      </c>
      <c r="U8037" s="2" t="s">
        <v>4079</v>
      </c>
      <c r="V8037" s="2" t="s">
        <v>47</v>
      </c>
      <c r="W8037" s="2" t="s">
        <v>74</v>
      </c>
      <c r="X8037" s="2">
        <v>23.38</v>
      </c>
    </row>
    <row r="8038" spans="1:24" x14ac:dyDescent="0.3">
      <c r="A8038">
        <v>25841</v>
      </c>
      <c r="B8038" t="s">
        <v>15148</v>
      </c>
      <c r="C8038" s="3">
        <v>40845</v>
      </c>
      <c r="D8038" t="s">
        <v>148</v>
      </c>
      <c r="E8038">
        <v>18</v>
      </c>
      <c r="F8038" s="3">
        <f ca="1">40845+(RANDBETWEEN(1,10))</f>
        <v>40851</v>
      </c>
      <c r="G8038" t="s">
        <v>26</v>
      </c>
      <c r="H8038" t="s">
        <v>27</v>
      </c>
      <c r="I8038" t="s">
        <v>97</v>
      </c>
      <c r="J8038">
        <v>1796.655</v>
      </c>
      <c r="K8038">
        <v>0.02</v>
      </c>
      <c r="L8038">
        <v>0.38</v>
      </c>
      <c r="M8038">
        <v>5.2149999999999999</v>
      </c>
      <c r="N8038">
        <v>6.9720000000000004</v>
      </c>
      <c r="O8038" s="1" t="s">
        <v>87</v>
      </c>
      <c r="P8038" s="1" t="s">
        <v>12927</v>
      </c>
      <c r="Q8038" s="1" t="s">
        <v>12928</v>
      </c>
      <c r="R8038" s="1" t="s">
        <v>398</v>
      </c>
      <c r="S8038" s="1" t="s">
        <v>12929</v>
      </c>
      <c r="T8038" s="1" t="s">
        <v>12930</v>
      </c>
      <c r="U8038" s="2" t="s">
        <v>301</v>
      </c>
      <c r="V8038" s="2" t="s">
        <v>47</v>
      </c>
      <c r="W8038" s="2" t="s">
        <v>111</v>
      </c>
      <c r="X8038" s="2">
        <v>99.855000000000004</v>
      </c>
    </row>
    <row r="8039" spans="1:24" x14ac:dyDescent="0.3">
      <c r="A8039">
        <v>25842</v>
      </c>
      <c r="B8039" t="s">
        <v>15149</v>
      </c>
      <c r="C8039" s="3">
        <v>41926</v>
      </c>
      <c r="D8039" t="s">
        <v>25</v>
      </c>
      <c r="E8039">
        <v>5</v>
      </c>
      <c r="F8039" s="3">
        <f ca="1">41931+(RANDBETWEEN(1,10))</f>
        <v>41938</v>
      </c>
      <c r="G8039" t="s">
        <v>26</v>
      </c>
      <c r="H8039" t="s">
        <v>27</v>
      </c>
      <c r="I8039" t="s">
        <v>28</v>
      </c>
      <c r="J8039">
        <v>97.405000000000001</v>
      </c>
      <c r="K8039">
        <v>0.09</v>
      </c>
      <c r="L8039">
        <v>0.38</v>
      </c>
      <c r="M8039">
        <v>4.8650000000000002</v>
      </c>
      <c r="N8039">
        <v>30.87</v>
      </c>
      <c r="O8039" s="1" t="s">
        <v>29</v>
      </c>
      <c r="P8039" s="1" t="s">
        <v>12660</v>
      </c>
      <c r="Q8039" s="1" t="s">
        <v>12661</v>
      </c>
      <c r="R8039" s="1" t="s">
        <v>675</v>
      </c>
      <c r="S8039" s="1" t="s">
        <v>3681</v>
      </c>
      <c r="T8039" s="1" t="s">
        <v>3682</v>
      </c>
      <c r="U8039" s="2" t="s">
        <v>641</v>
      </c>
      <c r="V8039" s="2" t="s">
        <v>47</v>
      </c>
      <c r="W8039" s="2" t="s">
        <v>48</v>
      </c>
      <c r="X8039" s="2">
        <v>19.88</v>
      </c>
    </row>
    <row r="8040" spans="1:24" x14ac:dyDescent="0.3">
      <c r="A8040">
        <v>25843</v>
      </c>
      <c r="B8040" t="s">
        <v>15150</v>
      </c>
      <c r="C8040" s="3">
        <v>41187</v>
      </c>
      <c r="D8040" t="s">
        <v>25</v>
      </c>
      <c r="E8040">
        <v>3</v>
      </c>
      <c r="F8040" s="3">
        <f ca="1">41194+(RANDBETWEEN(1,10))</f>
        <v>41203</v>
      </c>
      <c r="G8040" t="s">
        <v>26</v>
      </c>
      <c r="H8040" t="s">
        <v>27</v>
      </c>
      <c r="I8040" t="s">
        <v>28</v>
      </c>
      <c r="J8040">
        <v>168.07</v>
      </c>
      <c r="K8040">
        <v>0.1</v>
      </c>
      <c r="L8040">
        <v>0.6</v>
      </c>
      <c r="M8040">
        <v>39.375</v>
      </c>
      <c r="N8040">
        <v>-690.99800000000005</v>
      </c>
      <c r="O8040" s="1" t="s">
        <v>225</v>
      </c>
      <c r="P8040" s="1" t="s">
        <v>15151</v>
      </c>
      <c r="Q8040" s="1" t="s">
        <v>15152</v>
      </c>
      <c r="R8040" s="1" t="s">
        <v>228</v>
      </c>
      <c r="S8040" s="1" t="s">
        <v>2988</v>
      </c>
      <c r="T8040" s="1" t="s">
        <v>2989</v>
      </c>
      <c r="U8040" s="2" t="s">
        <v>742</v>
      </c>
      <c r="V8040" s="2" t="s">
        <v>47</v>
      </c>
      <c r="W8040" s="2" t="s">
        <v>119</v>
      </c>
      <c r="X8040" s="2">
        <v>54.95</v>
      </c>
    </row>
    <row r="8041" spans="1:24" x14ac:dyDescent="0.3">
      <c r="A8041">
        <v>25844</v>
      </c>
      <c r="B8041" t="s">
        <v>15150</v>
      </c>
      <c r="C8041" s="3">
        <v>41187</v>
      </c>
      <c r="D8041" t="s">
        <v>25</v>
      </c>
      <c r="E8041">
        <v>5</v>
      </c>
      <c r="F8041" s="3">
        <f ca="1">41194+(RANDBETWEEN(1,10))</f>
        <v>41197</v>
      </c>
      <c r="G8041" t="s">
        <v>26</v>
      </c>
      <c r="H8041" t="s">
        <v>27</v>
      </c>
      <c r="I8041" t="s">
        <v>28</v>
      </c>
      <c r="J8041">
        <v>194.63499999999999</v>
      </c>
      <c r="K8041">
        <v>0.02</v>
      </c>
      <c r="L8041">
        <v>0.57999999999999996</v>
      </c>
      <c r="M8041">
        <v>13.965</v>
      </c>
      <c r="N8041">
        <v>-79.135000000000005</v>
      </c>
      <c r="O8041" s="1" t="s">
        <v>29</v>
      </c>
      <c r="P8041" s="1" t="s">
        <v>9063</v>
      </c>
      <c r="Q8041" s="1" t="s">
        <v>9064</v>
      </c>
      <c r="R8041" s="1" t="s">
        <v>460</v>
      </c>
      <c r="S8041" s="1" t="s">
        <v>9065</v>
      </c>
      <c r="T8041" s="1" t="s">
        <v>9066</v>
      </c>
      <c r="U8041" s="2" t="s">
        <v>4098</v>
      </c>
      <c r="V8041" s="2" t="s">
        <v>47</v>
      </c>
      <c r="W8041" s="2" t="s">
        <v>71</v>
      </c>
      <c r="X8041" s="2">
        <v>38.43</v>
      </c>
    </row>
    <row r="8042" spans="1:24" x14ac:dyDescent="0.3">
      <c r="A8042">
        <v>25845</v>
      </c>
      <c r="B8042" t="s">
        <v>15153</v>
      </c>
      <c r="C8042" s="3">
        <v>41839</v>
      </c>
      <c r="D8042" t="s">
        <v>50</v>
      </c>
      <c r="E8042">
        <v>1</v>
      </c>
      <c r="F8042" s="3">
        <f ca="1">41841+(RANDBETWEEN(1,10))</f>
        <v>41850</v>
      </c>
      <c r="G8042" t="s">
        <v>26</v>
      </c>
      <c r="H8042" t="s">
        <v>281</v>
      </c>
      <c r="I8042" t="s">
        <v>28</v>
      </c>
      <c r="J8042">
        <v>75.075000000000003</v>
      </c>
      <c r="K8042">
        <v>0.01</v>
      </c>
      <c r="L8042">
        <v>0.52</v>
      </c>
      <c r="M8042">
        <v>23.625</v>
      </c>
      <c r="N8042">
        <v>-23.046240000000001</v>
      </c>
      <c r="O8042" s="1" t="s">
        <v>87</v>
      </c>
      <c r="P8042" s="1" t="s">
        <v>12477</v>
      </c>
      <c r="Q8042" s="1" t="s">
        <v>12478</v>
      </c>
      <c r="R8042" s="1" t="s">
        <v>398</v>
      </c>
      <c r="S8042" s="1" t="s">
        <v>2629</v>
      </c>
      <c r="T8042" s="1" t="s">
        <v>2630</v>
      </c>
      <c r="U8042" s="2" t="s">
        <v>1196</v>
      </c>
      <c r="V8042" s="2" t="s">
        <v>47</v>
      </c>
      <c r="W8042" s="2" t="s">
        <v>71</v>
      </c>
      <c r="X8042" s="2">
        <v>50.47</v>
      </c>
    </row>
    <row r="8043" spans="1:24" x14ac:dyDescent="0.3">
      <c r="A8043">
        <v>25846</v>
      </c>
      <c r="B8043" t="s">
        <v>15154</v>
      </c>
      <c r="C8043" s="3">
        <v>41109</v>
      </c>
      <c r="D8043" t="s">
        <v>50</v>
      </c>
      <c r="E8043">
        <v>13</v>
      </c>
      <c r="F8043" s="3">
        <f ca="1">41112+(RANDBETWEEN(1,10))</f>
        <v>41122</v>
      </c>
      <c r="G8043" t="s">
        <v>26</v>
      </c>
      <c r="H8043" t="s">
        <v>27</v>
      </c>
      <c r="I8043" t="s">
        <v>28</v>
      </c>
      <c r="J8043">
        <v>5529.4049999999997</v>
      </c>
      <c r="K8043">
        <v>0.08</v>
      </c>
      <c r="L8043">
        <v>0.37</v>
      </c>
      <c r="M8043">
        <v>69.965000000000003</v>
      </c>
      <c r="N8043">
        <v>3815.2894500000002</v>
      </c>
      <c r="O8043" s="1" t="s">
        <v>87</v>
      </c>
      <c r="P8043" s="1" t="s">
        <v>12477</v>
      </c>
      <c r="Q8043" s="1" t="s">
        <v>12478</v>
      </c>
      <c r="R8043" s="1" t="s">
        <v>398</v>
      </c>
      <c r="S8043" s="1" t="s">
        <v>2629</v>
      </c>
      <c r="T8043" s="1" t="s">
        <v>2630</v>
      </c>
      <c r="U8043" s="2" t="s">
        <v>274</v>
      </c>
      <c r="V8043" s="2" t="s">
        <v>47</v>
      </c>
      <c r="W8043" s="2" t="s">
        <v>111</v>
      </c>
      <c r="X8043" s="2">
        <v>430.46499999999997</v>
      </c>
    </row>
    <row r="8044" spans="1:24" x14ac:dyDescent="0.3">
      <c r="A8044">
        <v>25847</v>
      </c>
      <c r="B8044" t="s">
        <v>15155</v>
      </c>
      <c r="C8044" s="3">
        <v>41269</v>
      </c>
      <c r="D8044" t="s">
        <v>39</v>
      </c>
      <c r="E8044">
        <v>11</v>
      </c>
      <c r="F8044" s="3">
        <f ca="1">41271+(RANDBETWEEN(1,10))</f>
        <v>41277</v>
      </c>
      <c r="G8044" t="s">
        <v>26</v>
      </c>
      <c r="H8044" t="s">
        <v>27</v>
      </c>
      <c r="I8044" t="s">
        <v>28</v>
      </c>
      <c r="J8044">
        <v>3741.8850000000002</v>
      </c>
      <c r="K8044">
        <v>7.0000000000000007E-2</v>
      </c>
      <c r="L8044">
        <v>0.57999999999999996</v>
      </c>
      <c r="M8044">
        <v>20.72</v>
      </c>
      <c r="N8044">
        <v>-2652.5268000000001</v>
      </c>
      <c r="O8044" s="1" t="s">
        <v>29</v>
      </c>
      <c r="P8044" s="1" t="s">
        <v>14364</v>
      </c>
      <c r="Q8044" s="1" t="s">
        <v>14365</v>
      </c>
      <c r="R8044" s="1" t="s">
        <v>460</v>
      </c>
      <c r="S8044" s="1" t="s">
        <v>14366</v>
      </c>
      <c r="T8044" s="1" t="s">
        <v>5696</v>
      </c>
      <c r="U8044" s="2">
        <v>8890</v>
      </c>
      <c r="V8044" s="2" t="s">
        <v>36</v>
      </c>
      <c r="W8044" s="2" t="s">
        <v>37</v>
      </c>
      <c r="X8044" s="2">
        <v>405.96499999999997</v>
      </c>
    </row>
    <row r="8045" spans="1:24" x14ac:dyDescent="0.3">
      <c r="A8045">
        <v>25848</v>
      </c>
      <c r="B8045" t="s">
        <v>15156</v>
      </c>
      <c r="C8045" s="3">
        <v>41120</v>
      </c>
      <c r="D8045" t="s">
        <v>148</v>
      </c>
      <c r="E8045">
        <v>12</v>
      </c>
      <c r="F8045" s="3">
        <f ca="1">41120+(RANDBETWEEN(1,10))</f>
        <v>41124</v>
      </c>
      <c r="G8045" t="s">
        <v>26</v>
      </c>
      <c r="H8045" t="s">
        <v>51</v>
      </c>
      <c r="I8045" t="s">
        <v>86</v>
      </c>
      <c r="J8045">
        <v>924.21</v>
      </c>
      <c r="K8045">
        <v>0.08</v>
      </c>
      <c r="L8045">
        <v>0.56999999999999995</v>
      </c>
      <c r="M8045">
        <v>31.465</v>
      </c>
      <c r="N8045">
        <v>-173.81</v>
      </c>
      <c r="O8045" s="1" t="s">
        <v>40</v>
      </c>
      <c r="P8045" s="1" t="s">
        <v>11291</v>
      </c>
      <c r="Q8045" s="1" t="s">
        <v>11292</v>
      </c>
      <c r="R8045" s="1" t="s">
        <v>220</v>
      </c>
      <c r="S8045" s="1" t="s">
        <v>11293</v>
      </c>
      <c r="T8045" s="1" t="s">
        <v>11294</v>
      </c>
      <c r="U8045" s="2" t="s">
        <v>246</v>
      </c>
      <c r="V8045" s="2" t="s">
        <v>47</v>
      </c>
      <c r="W8045" s="2" t="s">
        <v>104</v>
      </c>
      <c r="X8045" s="2">
        <v>80.465000000000003</v>
      </c>
    </row>
    <row r="8046" spans="1:24" x14ac:dyDescent="0.3">
      <c r="A8046">
        <v>25849</v>
      </c>
      <c r="B8046" t="s">
        <v>15156</v>
      </c>
      <c r="C8046" s="3">
        <v>41120</v>
      </c>
      <c r="D8046" t="s">
        <v>148</v>
      </c>
      <c r="E8046">
        <v>6</v>
      </c>
      <c r="F8046" s="3">
        <f ca="1">41121+(RANDBETWEEN(1,10))</f>
        <v>41127</v>
      </c>
      <c r="G8046" t="s">
        <v>76</v>
      </c>
      <c r="H8046" t="s">
        <v>258</v>
      </c>
      <c r="I8046" t="s">
        <v>86</v>
      </c>
      <c r="J8046">
        <v>726.42499999999995</v>
      </c>
      <c r="K8046">
        <v>0.1</v>
      </c>
      <c r="L8046">
        <v>0.67</v>
      </c>
      <c r="M8046">
        <v>163.065</v>
      </c>
      <c r="N8046">
        <v>118.961325</v>
      </c>
      <c r="O8046" s="1" t="s">
        <v>29</v>
      </c>
      <c r="P8046" s="1" t="s">
        <v>15157</v>
      </c>
      <c r="Q8046" s="1" t="s">
        <v>15158</v>
      </c>
      <c r="R8046" s="1" t="s">
        <v>675</v>
      </c>
      <c r="S8046" s="1" t="s">
        <v>7438</v>
      </c>
      <c r="T8046" s="1" t="s">
        <v>7439</v>
      </c>
      <c r="U8046" s="2" t="s">
        <v>4100</v>
      </c>
      <c r="V8046" s="2" t="s">
        <v>83</v>
      </c>
      <c r="W8046" s="2" t="s">
        <v>263</v>
      </c>
      <c r="X8046" s="2">
        <v>155.505</v>
      </c>
    </row>
    <row r="8047" spans="1:24" x14ac:dyDescent="0.3">
      <c r="A8047">
        <v>25850</v>
      </c>
      <c r="B8047" t="s">
        <v>15159</v>
      </c>
      <c r="C8047" s="3">
        <v>41607</v>
      </c>
      <c r="D8047" t="s">
        <v>148</v>
      </c>
      <c r="E8047">
        <v>11</v>
      </c>
      <c r="F8047" s="3">
        <f ca="1">41609+(RANDBETWEEN(1,10))</f>
        <v>41611</v>
      </c>
      <c r="G8047" t="s">
        <v>26</v>
      </c>
      <c r="H8047" t="s">
        <v>51</v>
      </c>
      <c r="I8047" t="s">
        <v>28</v>
      </c>
      <c r="J8047">
        <v>728.7</v>
      </c>
      <c r="K8047">
        <v>0.08</v>
      </c>
      <c r="L8047">
        <v>0.47</v>
      </c>
      <c r="M8047">
        <v>31.465</v>
      </c>
      <c r="N8047">
        <v>402.94099999999997</v>
      </c>
      <c r="O8047" s="1" t="s">
        <v>29</v>
      </c>
      <c r="P8047" s="1" t="s">
        <v>12287</v>
      </c>
      <c r="Q8047" s="1" t="s">
        <v>12288</v>
      </c>
      <c r="R8047" s="1" t="s">
        <v>32</v>
      </c>
      <c r="S8047" s="1" t="s">
        <v>3788</v>
      </c>
      <c r="T8047" s="1" t="s">
        <v>3789</v>
      </c>
      <c r="U8047" s="2" t="s">
        <v>8051</v>
      </c>
      <c r="V8047" s="2" t="s">
        <v>83</v>
      </c>
      <c r="W8047" s="2" t="s">
        <v>178</v>
      </c>
      <c r="X8047" s="2">
        <v>65.45</v>
      </c>
    </row>
    <row r="8048" spans="1:24" x14ac:dyDescent="0.3">
      <c r="A8048">
        <v>25851</v>
      </c>
      <c r="B8048" t="s">
        <v>15159</v>
      </c>
      <c r="C8048" s="3">
        <v>41607</v>
      </c>
      <c r="D8048" t="s">
        <v>148</v>
      </c>
      <c r="E8048">
        <v>21</v>
      </c>
      <c r="F8048" s="3">
        <f ca="1">41609+(RANDBETWEEN(1,10))</f>
        <v>41611</v>
      </c>
      <c r="G8048" t="s">
        <v>26</v>
      </c>
      <c r="H8048" t="s">
        <v>96</v>
      </c>
      <c r="I8048" t="s">
        <v>28</v>
      </c>
      <c r="J8048">
        <v>123.095</v>
      </c>
      <c r="K8048">
        <v>0.05</v>
      </c>
      <c r="L8048">
        <v>0.59</v>
      </c>
      <c r="M8048">
        <v>5.4950000000000001</v>
      </c>
      <c r="N8048">
        <v>17.864000000000001</v>
      </c>
      <c r="O8048" s="1" t="s">
        <v>29</v>
      </c>
      <c r="P8048" s="1" t="s">
        <v>12287</v>
      </c>
      <c r="Q8048" s="1" t="s">
        <v>12288</v>
      </c>
      <c r="R8048" s="1" t="s">
        <v>32</v>
      </c>
      <c r="S8048" s="1" t="s">
        <v>3788</v>
      </c>
      <c r="T8048" s="1" t="s">
        <v>3789</v>
      </c>
      <c r="U8048" s="2" t="s">
        <v>2439</v>
      </c>
      <c r="V8048" s="2" t="s">
        <v>47</v>
      </c>
      <c r="W8048" s="2" t="s">
        <v>104</v>
      </c>
      <c r="X8048" s="2">
        <v>5.88</v>
      </c>
    </row>
    <row r="8049" spans="1:24" x14ac:dyDescent="0.3">
      <c r="A8049">
        <v>25852</v>
      </c>
      <c r="B8049" t="s">
        <v>15160</v>
      </c>
      <c r="C8049" s="3">
        <v>41226</v>
      </c>
      <c r="D8049" t="s">
        <v>148</v>
      </c>
      <c r="E8049">
        <v>7</v>
      </c>
      <c r="F8049" s="3">
        <f ca="1">41228+(RANDBETWEEN(1,10))</f>
        <v>41238</v>
      </c>
      <c r="G8049" t="s">
        <v>76</v>
      </c>
      <c r="H8049" t="s">
        <v>258</v>
      </c>
      <c r="I8049" t="s">
        <v>28</v>
      </c>
      <c r="J8049">
        <v>3426.395</v>
      </c>
      <c r="K8049">
        <v>0.04</v>
      </c>
      <c r="L8049">
        <v>0.77</v>
      </c>
      <c r="M8049">
        <v>126.315</v>
      </c>
      <c r="N8049">
        <v>224.21</v>
      </c>
      <c r="O8049" s="1" t="s">
        <v>64</v>
      </c>
      <c r="P8049" s="1" t="s">
        <v>15161</v>
      </c>
      <c r="Q8049" s="1" t="s">
        <v>15162</v>
      </c>
      <c r="R8049" s="1" t="s">
        <v>128</v>
      </c>
      <c r="S8049" s="1" t="s">
        <v>1461</v>
      </c>
      <c r="T8049" s="1" t="s">
        <v>1462</v>
      </c>
      <c r="U8049" s="2" t="s">
        <v>3136</v>
      </c>
      <c r="V8049" s="2" t="s">
        <v>83</v>
      </c>
      <c r="W8049" s="2" t="s">
        <v>298</v>
      </c>
      <c r="X8049" s="2">
        <v>493.43</v>
      </c>
    </row>
    <row r="8050" spans="1:24" x14ac:dyDescent="0.3">
      <c r="A8050">
        <v>25853</v>
      </c>
      <c r="B8050" t="s">
        <v>15160</v>
      </c>
      <c r="C8050" s="3">
        <v>41226</v>
      </c>
      <c r="D8050" t="s">
        <v>148</v>
      </c>
      <c r="E8050">
        <v>41</v>
      </c>
      <c r="F8050" s="3">
        <f ca="1">41227+(RANDBETWEEN(1,10))</f>
        <v>41234</v>
      </c>
      <c r="G8050" t="s">
        <v>26</v>
      </c>
      <c r="H8050" t="s">
        <v>96</v>
      </c>
      <c r="I8050" t="s">
        <v>28</v>
      </c>
      <c r="J8050">
        <v>238.42</v>
      </c>
      <c r="K8050">
        <v>0.1</v>
      </c>
      <c r="L8050">
        <v>0.49</v>
      </c>
      <c r="M8050">
        <v>5.46</v>
      </c>
      <c r="N8050">
        <v>28.923999999999999</v>
      </c>
      <c r="O8050" s="1" t="s">
        <v>64</v>
      </c>
      <c r="P8050" s="1" t="s">
        <v>15161</v>
      </c>
      <c r="Q8050" s="1" t="s">
        <v>15162</v>
      </c>
      <c r="R8050" s="1" t="s">
        <v>128</v>
      </c>
      <c r="S8050" s="1" t="s">
        <v>1461</v>
      </c>
      <c r="T8050" s="1" t="s">
        <v>1462</v>
      </c>
      <c r="U8050" s="2" t="s">
        <v>12838</v>
      </c>
      <c r="V8050" s="2" t="s">
        <v>47</v>
      </c>
      <c r="W8050" s="2" t="s">
        <v>176</v>
      </c>
      <c r="X8050" s="2">
        <v>6.335</v>
      </c>
    </row>
    <row r="8051" spans="1:24" x14ac:dyDescent="0.3">
      <c r="A8051">
        <v>25854</v>
      </c>
      <c r="B8051" t="s">
        <v>15163</v>
      </c>
      <c r="C8051" s="3">
        <v>41743</v>
      </c>
      <c r="D8051" t="s">
        <v>39</v>
      </c>
      <c r="E8051">
        <v>10</v>
      </c>
      <c r="F8051" s="3">
        <f ca="1">41745+(RANDBETWEEN(1,10))</f>
        <v>41750</v>
      </c>
      <c r="G8051" t="s">
        <v>156</v>
      </c>
      <c r="H8051" t="s">
        <v>27</v>
      </c>
      <c r="I8051" t="s">
        <v>97</v>
      </c>
      <c r="J8051">
        <v>1385.4749999999999</v>
      </c>
      <c r="K8051">
        <v>0.02</v>
      </c>
      <c r="L8051">
        <v>0.55000000000000004</v>
      </c>
      <c r="M8051">
        <v>35.875</v>
      </c>
      <c r="N8051">
        <v>15612.407999999999</v>
      </c>
      <c r="O8051" s="1" t="s">
        <v>29</v>
      </c>
      <c r="P8051" s="1" t="s">
        <v>13541</v>
      </c>
      <c r="Q8051" s="1" t="s">
        <v>13542</v>
      </c>
      <c r="R8051" s="1" t="s">
        <v>32</v>
      </c>
      <c r="S8051" s="1" t="s">
        <v>13543</v>
      </c>
      <c r="T8051" s="1" t="s">
        <v>13544</v>
      </c>
      <c r="U8051" s="2" t="s">
        <v>6152</v>
      </c>
      <c r="V8051" s="2" t="s">
        <v>36</v>
      </c>
      <c r="W8051" s="2" t="s">
        <v>60</v>
      </c>
      <c r="X8051" s="2">
        <v>139.965</v>
      </c>
    </row>
    <row r="8052" spans="1:24" x14ac:dyDescent="0.3">
      <c r="A8052">
        <v>25855</v>
      </c>
      <c r="B8052" t="s">
        <v>15164</v>
      </c>
      <c r="C8052" s="3">
        <v>41389</v>
      </c>
      <c r="D8052" t="s">
        <v>50</v>
      </c>
      <c r="E8052">
        <v>8</v>
      </c>
      <c r="F8052" s="3">
        <f ca="1">41391+(RANDBETWEEN(1,10))</f>
        <v>41401</v>
      </c>
      <c r="G8052" t="s">
        <v>76</v>
      </c>
      <c r="H8052" t="s">
        <v>77</v>
      </c>
      <c r="I8052" t="s">
        <v>28</v>
      </c>
      <c r="J8052">
        <v>4869.9350000000004</v>
      </c>
      <c r="K8052">
        <v>0.09</v>
      </c>
      <c r="L8052">
        <v>0.69</v>
      </c>
      <c r="M8052">
        <v>105</v>
      </c>
      <c r="N8052">
        <v>733.39</v>
      </c>
      <c r="O8052" s="1" t="s">
        <v>53</v>
      </c>
      <c r="P8052" s="1" t="s">
        <v>12669</v>
      </c>
      <c r="Q8052" s="1" t="s">
        <v>12670</v>
      </c>
      <c r="R8052" s="1" t="s">
        <v>56</v>
      </c>
      <c r="S8052" s="1" t="s">
        <v>159</v>
      </c>
      <c r="T8052" s="1" t="s">
        <v>12671</v>
      </c>
      <c r="U8052" s="2" t="s">
        <v>5090</v>
      </c>
      <c r="V8052" s="2" t="s">
        <v>83</v>
      </c>
      <c r="W8052" s="2" t="s">
        <v>84</v>
      </c>
      <c r="X8052" s="2">
        <v>633.42999999999995</v>
      </c>
    </row>
    <row r="8053" spans="1:24" x14ac:dyDescent="0.3">
      <c r="A8053">
        <v>25856</v>
      </c>
      <c r="B8053" t="s">
        <v>15165</v>
      </c>
      <c r="C8053" s="3">
        <v>40766</v>
      </c>
      <c r="D8053" t="s">
        <v>50</v>
      </c>
      <c r="E8053">
        <v>1</v>
      </c>
      <c r="F8053" s="3">
        <f ca="1">40768+(RANDBETWEEN(1,10))</f>
        <v>40769</v>
      </c>
      <c r="G8053" t="s">
        <v>26</v>
      </c>
      <c r="H8053" t="s">
        <v>96</v>
      </c>
      <c r="I8053" t="s">
        <v>97</v>
      </c>
      <c r="J8053">
        <v>139.89500000000001</v>
      </c>
      <c r="K8053">
        <v>0.03</v>
      </c>
      <c r="L8053">
        <v>0.38</v>
      </c>
      <c r="M8053">
        <v>17.78</v>
      </c>
      <c r="N8053">
        <v>-26.3354</v>
      </c>
      <c r="O8053" s="1" t="s">
        <v>87</v>
      </c>
      <c r="P8053" s="1" t="s">
        <v>15166</v>
      </c>
      <c r="Q8053" s="1" t="s">
        <v>15167</v>
      </c>
      <c r="R8053" s="1" t="s">
        <v>398</v>
      </c>
      <c r="S8053" s="1" t="s">
        <v>2867</v>
      </c>
      <c r="T8053" s="1" t="s">
        <v>2868</v>
      </c>
      <c r="U8053" s="2" t="s">
        <v>2638</v>
      </c>
      <c r="V8053" s="2" t="s">
        <v>47</v>
      </c>
      <c r="W8053" s="2" t="s">
        <v>74</v>
      </c>
      <c r="X8053" s="2">
        <v>132.79</v>
      </c>
    </row>
    <row r="8054" spans="1:24" x14ac:dyDescent="0.3">
      <c r="A8054">
        <v>25857</v>
      </c>
      <c r="B8054" t="s">
        <v>15168</v>
      </c>
      <c r="C8054" s="3">
        <v>41125</v>
      </c>
      <c r="D8054" t="s">
        <v>62</v>
      </c>
      <c r="E8054">
        <v>20</v>
      </c>
      <c r="F8054" s="3">
        <f ca="1">41127+(RANDBETWEEN(1,10))</f>
        <v>41129</v>
      </c>
      <c r="G8054" t="s">
        <v>26</v>
      </c>
      <c r="H8054" t="s">
        <v>281</v>
      </c>
      <c r="I8054" t="s">
        <v>52</v>
      </c>
      <c r="J8054">
        <v>957.74</v>
      </c>
      <c r="K8054">
        <v>0.08</v>
      </c>
      <c r="L8054">
        <v>0.52</v>
      </c>
      <c r="M8054">
        <v>23.625</v>
      </c>
      <c r="N8054">
        <v>-98.898799999999994</v>
      </c>
      <c r="O8054" s="1" t="s">
        <v>87</v>
      </c>
      <c r="P8054" s="1" t="s">
        <v>15169</v>
      </c>
      <c r="Q8054" s="1" t="s">
        <v>15170</v>
      </c>
      <c r="R8054" s="1" t="s">
        <v>398</v>
      </c>
      <c r="S8054" s="1" t="s">
        <v>15171</v>
      </c>
      <c r="T8054" s="1" t="s">
        <v>15172</v>
      </c>
      <c r="U8054" s="2" t="s">
        <v>1196</v>
      </c>
      <c r="V8054" s="2" t="s">
        <v>47</v>
      </c>
      <c r="W8054" s="2" t="s">
        <v>71</v>
      </c>
      <c r="X8054" s="2">
        <v>50.47</v>
      </c>
    </row>
    <row r="8055" spans="1:24" x14ac:dyDescent="0.3">
      <c r="A8055">
        <v>25858</v>
      </c>
      <c r="B8055" t="s">
        <v>15173</v>
      </c>
      <c r="C8055" s="3">
        <v>41855</v>
      </c>
      <c r="D8055" t="s">
        <v>62</v>
      </c>
      <c r="E8055">
        <v>1</v>
      </c>
      <c r="F8055" s="3">
        <f ca="1">41856+(RANDBETWEEN(1,10))</f>
        <v>41860</v>
      </c>
      <c r="G8055" t="s">
        <v>76</v>
      </c>
      <c r="H8055" t="s">
        <v>77</v>
      </c>
      <c r="I8055" t="s">
        <v>52</v>
      </c>
      <c r="J8055">
        <v>497.84</v>
      </c>
      <c r="K8055">
        <v>0.08</v>
      </c>
      <c r="L8055">
        <v>0.61</v>
      </c>
      <c r="M8055">
        <v>147</v>
      </c>
      <c r="N8055">
        <v>-92.289959999999994</v>
      </c>
      <c r="O8055" s="1" t="s">
        <v>64</v>
      </c>
      <c r="P8055" s="1" t="s">
        <v>15174</v>
      </c>
      <c r="Q8055" s="1" t="s">
        <v>15175</v>
      </c>
      <c r="R8055" s="1" t="s">
        <v>128</v>
      </c>
      <c r="S8055" s="1" t="s">
        <v>15176</v>
      </c>
      <c r="T8055" s="1" t="s">
        <v>15177</v>
      </c>
      <c r="U8055" s="2" t="s">
        <v>10308</v>
      </c>
      <c r="V8055" s="2" t="s">
        <v>83</v>
      </c>
      <c r="W8055" s="2" t="s">
        <v>84</v>
      </c>
      <c r="X8055" s="2">
        <v>353.11500000000001</v>
      </c>
    </row>
    <row r="8056" spans="1:24" x14ac:dyDescent="0.3">
      <c r="A8056">
        <v>25859</v>
      </c>
      <c r="B8056" t="s">
        <v>15178</v>
      </c>
      <c r="C8056" s="3">
        <v>40674</v>
      </c>
      <c r="D8056" t="s">
        <v>39</v>
      </c>
      <c r="E8056">
        <v>4</v>
      </c>
      <c r="F8056" s="3">
        <f ca="1">40676+(RANDBETWEEN(1,10))</f>
        <v>40680</v>
      </c>
      <c r="G8056" t="s">
        <v>156</v>
      </c>
      <c r="H8056" t="s">
        <v>51</v>
      </c>
      <c r="I8056" t="s">
        <v>52</v>
      </c>
      <c r="J8056">
        <v>36.435000000000002</v>
      </c>
      <c r="K8056">
        <v>0.09</v>
      </c>
      <c r="L8056">
        <v>0.53</v>
      </c>
      <c r="M8056">
        <v>14.28</v>
      </c>
      <c r="N8056">
        <v>2128.9169999999999</v>
      </c>
      <c r="O8056" s="1" t="s">
        <v>53</v>
      </c>
      <c r="P8056" s="1" t="s">
        <v>15099</v>
      </c>
      <c r="Q8056" s="1" t="s">
        <v>15100</v>
      </c>
      <c r="R8056" s="1" t="s">
        <v>56</v>
      </c>
      <c r="S8056" s="1" t="s">
        <v>7145</v>
      </c>
      <c r="T8056" s="1" t="s">
        <v>7146</v>
      </c>
      <c r="U8056" s="2" t="s">
        <v>2747</v>
      </c>
      <c r="V8056" s="2" t="s">
        <v>83</v>
      </c>
      <c r="W8056" s="2" t="s">
        <v>178</v>
      </c>
      <c r="X8056" s="2">
        <v>6.09</v>
      </c>
    </row>
    <row r="8057" spans="1:24" x14ac:dyDescent="0.3">
      <c r="A8057">
        <v>25860</v>
      </c>
      <c r="B8057" t="s">
        <v>15178</v>
      </c>
      <c r="C8057" s="3">
        <v>40674</v>
      </c>
      <c r="D8057" t="s">
        <v>39</v>
      </c>
      <c r="E8057">
        <v>16</v>
      </c>
      <c r="F8057" s="3">
        <f ca="1">40674+(RANDBETWEEN(1,10))</f>
        <v>40675</v>
      </c>
      <c r="G8057" t="s">
        <v>76</v>
      </c>
      <c r="H8057" t="s">
        <v>258</v>
      </c>
      <c r="I8057" t="s">
        <v>52</v>
      </c>
      <c r="J8057">
        <v>9973.74</v>
      </c>
      <c r="K8057">
        <v>0.08</v>
      </c>
      <c r="L8057">
        <v>0.68</v>
      </c>
      <c r="M8057">
        <v>113.68</v>
      </c>
      <c r="N8057">
        <v>-1995.5935999999999</v>
      </c>
      <c r="O8057" s="1" t="s">
        <v>53</v>
      </c>
      <c r="P8057" s="1" t="s">
        <v>15099</v>
      </c>
      <c r="Q8057" s="1" t="s">
        <v>15100</v>
      </c>
      <c r="R8057" s="1" t="s">
        <v>56</v>
      </c>
      <c r="S8057" s="1" t="s">
        <v>7145</v>
      </c>
      <c r="T8057" s="1" t="s">
        <v>7146</v>
      </c>
      <c r="U8057" s="2" t="s">
        <v>1081</v>
      </c>
      <c r="V8057" s="2" t="s">
        <v>83</v>
      </c>
      <c r="W8057" s="2" t="s">
        <v>263</v>
      </c>
      <c r="X8057" s="2">
        <v>796.42499999999995</v>
      </c>
    </row>
    <row r="8058" spans="1:24" x14ac:dyDescent="0.3">
      <c r="A8058">
        <v>25861</v>
      </c>
      <c r="B8058" t="s">
        <v>15179</v>
      </c>
      <c r="C8058" s="3">
        <v>41937</v>
      </c>
      <c r="D8058" t="s">
        <v>148</v>
      </c>
      <c r="E8058">
        <v>18</v>
      </c>
      <c r="F8058" s="3">
        <f ca="1">41939+(RANDBETWEEN(1,10))</f>
        <v>41948</v>
      </c>
      <c r="G8058" t="s">
        <v>26</v>
      </c>
      <c r="H8058" t="s">
        <v>27</v>
      </c>
      <c r="I8058" t="s">
        <v>97</v>
      </c>
      <c r="J8058">
        <v>259.315</v>
      </c>
      <c r="K8058">
        <v>0.01</v>
      </c>
      <c r="L8058">
        <v>0.36</v>
      </c>
      <c r="M8058">
        <v>19.04</v>
      </c>
      <c r="N8058">
        <v>-410.42925000000002</v>
      </c>
      <c r="O8058" s="1" t="s">
        <v>29</v>
      </c>
      <c r="P8058" s="1" t="s">
        <v>14127</v>
      </c>
      <c r="Q8058" s="1" t="s">
        <v>14128</v>
      </c>
      <c r="R8058" s="1" t="s">
        <v>460</v>
      </c>
      <c r="S8058" s="1" t="s">
        <v>14129</v>
      </c>
      <c r="T8058" s="1" t="s">
        <v>14130</v>
      </c>
      <c r="U8058" s="2" t="s">
        <v>2432</v>
      </c>
      <c r="V8058" s="2" t="s">
        <v>47</v>
      </c>
      <c r="W8058" s="2" t="s">
        <v>111</v>
      </c>
      <c r="X8058" s="2">
        <v>13.335000000000001</v>
      </c>
    </row>
    <row r="8059" spans="1:24" x14ac:dyDescent="0.3">
      <c r="A8059">
        <v>25862</v>
      </c>
      <c r="B8059" t="s">
        <v>15179</v>
      </c>
      <c r="C8059" s="3">
        <v>41937</v>
      </c>
      <c r="D8059" t="s">
        <v>148</v>
      </c>
      <c r="E8059">
        <v>17</v>
      </c>
      <c r="F8059" s="3">
        <f ca="1">41938+(RANDBETWEEN(1,10))</f>
        <v>41942</v>
      </c>
      <c r="G8059" t="s">
        <v>76</v>
      </c>
      <c r="H8059" t="s">
        <v>77</v>
      </c>
      <c r="I8059" t="s">
        <v>97</v>
      </c>
      <c r="J8059">
        <v>5959.73</v>
      </c>
      <c r="K8059">
        <v>0.01</v>
      </c>
      <c r="L8059">
        <v>0.56999999999999995</v>
      </c>
      <c r="M8059">
        <v>260.22500000000002</v>
      </c>
      <c r="N8059">
        <v>-3905.9650000000001</v>
      </c>
      <c r="O8059" s="1" t="s">
        <v>29</v>
      </c>
      <c r="P8059" s="1" t="s">
        <v>14127</v>
      </c>
      <c r="Q8059" s="1" t="s">
        <v>14128</v>
      </c>
      <c r="R8059" s="1" t="s">
        <v>460</v>
      </c>
      <c r="S8059" s="1" t="s">
        <v>14129</v>
      </c>
      <c r="T8059" s="1" t="s">
        <v>14130</v>
      </c>
      <c r="U8059" s="2" t="s">
        <v>1560</v>
      </c>
      <c r="V8059" s="2" t="s">
        <v>83</v>
      </c>
      <c r="W8059" s="2" t="s">
        <v>84</v>
      </c>
      <c r="X8059" s="2">
        <v>335.82499999999999</v>
      </c>
    </row>
    <row r="8060" spans="1:24" x14ac:dyDescent="0.3">
      <c r="A8060">
        <v>25863</v>
      </c>
      <c r="B8060" t="s">
        <v>15179</v>
      </c>
      <c r="C8060" s="3">
        <v>41937</v>
      </c>
      <c r="D8060" t="s">
        <v>148</v>
      </c>
      <c r="E8060">
        <v>24</v>
      </c>
      <c r="F8060" s="3">
        <f ca="1">41937+(RANDBETWEEN(1,10))</f>
        <v>41940</v>
      </c>
      <c r="G8060" t="s">
        <v>26</v>
      </c>
      <c r="H8060" t="s">
        <v>96</v>
      </c>
      <c r="I8060" t="s">
        <v>97</v>
      </c>
      <c r="J8060">
        <v>619.53499999999997</v>
      </c>
      <c r="K8060">
        <v>0.1</v>
      </c>
      <c r="L8060">
        <v>0.4</v>
      </c>
      <c r="M8060">
        <v>9.8699999999999992</v>
      </c>
      <c r="N8060">
        <v>170.065</v>
      </c>
      <c r="O8060" s="1" t="s">
        <v>29</v>
      </c>
      <c r="P8060" s="1" t="s">
        <v>14127</v>
      </c>
      <c r="Q8060" s="1" t="s">
        <v>14128</v>
      </c>
      <c r="R8060" s="1" t="s">
        <v>460</v>
      </c>
      <c r="S8060" s="1" t="s">
        <v>14129</v>
      </c>
      <c r="T8060" s="1" t="s">
        <v>14130</v>
      </c>
      <c r="U8060" s="2" t="s">
        <v>8331</v>
      </c>
      <c r="V8060" s="2" t="s">
        <v>47</v>
      </c>
      <c r="W8060" s="2" t="s">
        <v>176</v>
      </c>
      <c r="X8060" s="2">
        <v>27.614999999999998</v>
      </c>
    </row>
    <row r="8061" spans="1:24" x14ac:dyDescent="0.3">
      <c r="A8061">
        <v>25864</v>
      </c>
      <c r="B8061" t="s">
        <v>15179</v>
      </c>
      <c r="C8061" s="3">
        <v>41937</v>
      </c>
      <c r="D8061" t="s">
        <v>148</v>
      </c>
      <c r="E8061">
        <v>5</v>
      </c>
      <c r="F8061" s="3">
        <f ca="1">41938+(RANDBETWEEN(1,10))</f>
        <v>41943</v>
      </c>
      <c r="G8061" t="s">
        <v>76</v>
      </c>
      <c r="H8061" t="s">
        <v>258</v>
      </c>
      <c r="I8061" t="s">
        <v>97</v>
      </c>
      <c r="J8061">
        <v>1753.92</v>
      </c>
      <c r="K8061">
        <v>0.04</v>
      </c>
      <c r="L8061">
        <v>0.63</v>
      </c>
      <c r="M8061">
        <v>181.79</v>
      </c>
      <c r="N8061">
        <v>-536.38199999999995</v>
      </c>
      <c r="O8061" s="1" t="s">
        <v>29</v>
      </c>
      <c r="P8061" s="1" t="s">
        <v>14127</v>
      </c>
      <c r="Q8061" s="1" t="s">
        <v>14128</v>
      </c>
      <c r="R8061" s="1" t="s">
        <v>460</v>
      </c>
      <c r="S8061" s="1" t="s">
        <v>14129</v>
      </c>
      <c r="T8061" s="1" t="s">
        <v>14130</v>
      </c>
      <c r="U8061" s="2" t="s">
        <v>360</v>
      </c>
      <c r="V8061" s="2" t="s">
        <v>83</v>
      </c>
      <c r="W8061" s="2" t="s">
        <v>263</v>
      </c>
      <c r="X8061" s="2">
        <v>435.71499999999997</v>
      </c>
    </row>
    <row r="8062" spans="1:24" x14ac:dyDescent="0.3">
      <c r="A8062">
        <v>25865</v>
      </c>
      <c r="B8062" t="s">
        <v>15180</v>
      </c>
      <c r="C8062" s="3">
        <v>41526</v>
      </c>
      <c r="D8062" t="s">
        <v>148</v>
      </c>
      <c r="E8062">
        <v>24</v>
      </c>
      <c r="F8062" s="3">
        <f ca="1">41527+(RANDBETWEEN(1,10))</f>
        <v>41530</v>
      </c>
      <c r="G8062" t="s">
        <v>156</v>
      </c>
      <c r="H8062" t="s">
        <v>281</v>
      </c>
      <c r="I8062" t="s">
        <v>97</v>
      </c>
      <c r="J8062">
        <v>456.505</v>
      </c>
      <c r="K8062">
        <v>0.03</v>
      </c>
      <c r="L8062">
        <v>0.54</v>
      </c>
      <c r="M8062">
        <v>19.984999999999999</v>
      </c>
      <c r="N8062">
        <v>-472.71</v>
      </c>
      <c r="O8062" s="1" t="s">
        <v>40</v>
      </c>
      <c r="P8062" s="1" t="s">
        <v>13026</v>
      </c>
      <c r="Q8062" s="1" t="s">
        <v>13027</v>
      </c>
      <c r="R8062" s="1" t="s">
        <v>220</v>
      </c>
      <c r="S8062" s="1" t="s">
        <v>828</v>
      </c>
      <c r="T8062" s="1" t="s">
        <v>829</v>
      </c>
      <c r="U8062" s="2" t="s">
        <v>948</v>
      </c>
      <c r="V8062" s="2" t="s">
        <v>83</v>
      </c>
      <c r="W8062" s="2" t="s">
        <v>178</v>
      </c>
      <c r="X8062" s="2">
        <v>17.395</v>
      </c>
    </row>
    <row r="8063" spans="1:24" x14ac:dyDescent="0.3">
      <c r="A8063">
        <v>25866</v>
      </c>
      <c r="B8063" t="s">
        <v>15181</v>
      </c>
      <c r="C8063" s="3">
        <v>41866</v>
      </c>
      <c r="D8063" t="s">
        <v>50</v>
      </c>
      <c r="E8063">
        <v>17</v>
      </c>
      <c r="F8063" s="3">
        <f ca="1">41867+(RANDBETWEEN(1,10))</f>
        <v>41868</v>
      </c>
      <c r="G8063" t="s">
        <v>26</v>
      </c>
      <c r="H8063" t="s">
        <v>27</v>
      </c>
      <c r="I8063" t="s">
        <v>28</v>
      </c>
      <c r="J8063">
        <v>391.58</v>
      </c>
      <c r="K8063">
        <v>0.03</v>
      </c>
      <c r="L8063">
        <v>0.37</v>
      </c>
      <c r="M8063">
        <v>27.684999999999999</v>
      </c>
      <c r="N8063">
        <v>-207.25543999999999</v>
      </c>
      <c r="O8063" s="1" t="s">
        <v>64</v>
      </c>
      <c r="P8063" s="1" t="s">
        <v>15182</v>
      </c>
      <c r="Q8063" s="1" t="s">
        <v>15183</v>
      </c>
      <c r="R8063" s="1" t="s">
        <v>67</v>
      </c>
      <c r="S8063" s="1" t="s">
        <v>3767</v>
      </c>
      <c r="T8063" s="1" t="s">
        <v>3768</v>
      </c>
      <c r="U8063" s="2" t="s">
        <v>387</v>
      </c>
      <c r="V8063" s="2" t="s">
        <v>47</v>
      </c>
      <c r="W8063" s="2" t="s">
        <v>74</v>
      </c>
      <c r="X8063" s="2">
        <v>22.68</v>
      </c>
    </row>
    <row r="8064" spans="1:24" x14ac:dyDescent="0.3">
      <c r="A8064">
        <v>25867</v>
      </c>
      <c r="B8064" t="s">
        <v>15184</v>
      </c>
      <c r="C8064" s="3">
        <v>41697</v>
      </c>
      <c r="D8064" t="s">
        <v>62</v>
      </c>
      <c r="E8064">
        <v>11</v>
      </c>
      <c r="F8064" s="3">
        <f ca="1">41699+(RANDBETWEEN(1,10))</f>
        <v>41703</v>
      </c>
      <c r="G8064" t="s">
        <v>76</v>
      </c>
      <c r="H8064" t="s">
        <v>258</v>
      </c>
      <c r="I8064" t="s">
        <v>52</v>
      </c>
      <c r="J8064">
        <v>15119.545</v>
      </c>
      <c r="K8064">
        <v>0.02</v>
      </c>
      <c r="L8064">
        <v>0.74</v>
      </c>
      <c r="M8064">
        <v>299.70499999999998</v>
      </c>
      <c r="N8064">
        <v>1693.825</v>
      </c>
      <c r="O8064" s="1" t="s">
        <v>87</v>
      </c>
      <c r="P8064" s="1" t="s">
        <v>6735</v>
      </c>
      <c r="Q8064" s="1" t="s">
        <v>6736</v>
      </c>
      <c r="R8064" s="1" t="s">
        <v>398</v>
      </c>
      <c r="S8064" s="1" t="s">
        <v>3402</v>
      </c>
      <c r="T8064" s="1" t="s">
        <v>3403</v>
      </c>
      <c r="U8064" s="2" t="s">
        <v>3542</v>
      </c>
      <c r="V8064" s="2" t="s">
        <v>83</v>
      </c>
      <c r="W8064" s="2" t="s">
        <v>263</v>
      </c>
      <c r="X8064" s="2">
        <v>1316.4549999999999</v>
      </c>
    </row>
    <row r="8065" spans="1:24" x14ac:dyDescent="0.3">
      <c r="A8065">
        <v>25868</v>
      </c>
      <c r="B8065" t="s">
        <v>15185</v>
      </c>
      <c r="C8065" s="3">
        <v>41090</v>
      </c>
      <c r="D8065" t="s">
        <v>50</v>
      </c>
      <c r="E8065">
        <v>14</v>
      </c>
      <c r="F8065" s="3">
        <f ca="1">41090+(RANDBETWEEN(1,10))</f>
        <v>41100</v>
      </c>
      <c r="G8065" t="s">
        <v>26</v>
      </c>
      <c r="H8065" t="s">
        <v>27</v>
      </c>
      <c r="I8065" t="s">
        <v>86</v>
      </c>
      <c r="J8065">
        <v>1705.655</v>
      </c>
      <c r="K8065">
        <v>0.06</v>
      </c>
      <c r="L8065">
        <v>0.4</v>
      </c>
      <c r="M8065">
        <v>51.52</v>
      </c>
      <c r="N8065">
        <v>589.47</v>
      </c>
      <c r="O8065" s="1" t="s">
        <v>40</v>
      </c>
      <c r="P8065" s="1" t="s">
        <v>11226</v>
      </c>
      <c r="Q8065" s="1" t="s">
        <v>11227</v>
      </c>
      <c r="R8065" s="1" t="s">
        <v>43</v>
      </c>
      <c r="S8065" s="1" t="s">
        <v>44</v>
      </c>
      <c r="T8065" s="1" t="s">
        <v>11228</v>
      </c>
      <c r="U8065" s="2" t="s">
        <v>5698</v>
      </c>
      <c r="V8065" s="2" t="s">
        <v>47</v>
      </c>
      <c r="W8065" s="2" t="s">
        <v>48</v>
      </c>
      <c r="X8065" s="2">
        <v>125.61499999999999</v>
      </c>
    </row>
    <row r="8066" spans="1:24" x14ac:dyDescent="0.3">
      <c r="A8066">
        <v>25869</v>
      </c>
      <c r="B8066" t="s">
        <v>15185</v>
      </c>
      <c r="C8066" s="3">
        <v>41090</v>
      </c>
      <c r="D8066" t="s">
        <v>50</v>
      </c>
      <c r="E8066">
        <v>15</v>
      </c>
      <c r="F8066" s="3">
        <f ca="1">41092+(RANDBETWEEN(1,10))</f>
        <v>41102</v>
      </c>
      <c r="G8066" t="s">
        <v>156</v>
      </c>
      <c r="H8066" t="s">
        <v>27</v>
      </c>
      <c r="I8066" t="s">
        <v>86</v>
      </c>
      <c r="J8066">
        <v>787.99</v>
      </c>
      <c r="K8066">
        <v>7.0000000000000007E-2</v>
      </c>
      <c r="L8066">
        <v>0.38</v>
      </c>
      <c r="M8066">
        <v>4.8650000000000002</v>
      </c>
      <c r="N8066">
        <v>543.71310000000005</v>
      </c>
      <c r="O8066" s="1" t="s">
        <v>87</v>
      </c>
      <c r="P8066" s="1" t="s">
        <v>15186</v>
      </c>
      <c r="Q8066" s="1" t="s">
        <v>15187</v>
      </c>
      <c r="R8066" s="1" t="s">
        <v>398</v>
      </c>
      <c r="S8066" s="1" t="s">
        <v>2964</v>
      </c>
      <c r="T8066" s="1" t="s">
        <v>2965</v>
      </c>
      <c r="U8066" s="2" t="s">
        <v>2327</v>
      </c>
      <c r="V8066" s="2" t="s">
        <v>47</v>
      </c>
      <c r="W8066" s="2" t="s">
        <v>48</v>
      </c>
      <c r="X8066" s="2">
        <v>54.494999999999997</v>
      </c>
    </row>
    <row r="8067" spans="1:24" x14ac:dyDescent="0.3">
      <c r="A8067">
        <v>25870</v>
      </c>
      <c r="B8067" t="s">
        <v>15188</v>
      </c>
      <c r="C8067" s="3">
        <v>41899</v>
      </c>
      <c r="D8067" t="s">
        <v>50</v>
      </c>
      <c r="E8067">
        <v>12</v>
      </c>
      <c r="F8067" s="3">
        <f ca="1">41901+(RANDBETWEEN(1,10))</f>
        <v>41906</v>
      </c>
      <c r="G8067" t="s">
        <v>76</v>
      </c>
      <c r="H8067" t="s">
        <v>258</v>
      </c>
      <c r="I8067" t="s">
        <v>28</v>
      </c>
      <c r="J8067">
        <v>21043.014999999999</v>
      </c>
      <c r="K8067">
        <v>0.06</v>
      </c>
      <c r="L8067">
        <v>0.59</v>
      </c>
      <c r="M8067">
        <v>58.204999999999998</v>
      </c>
      <c r="N8067">
        <v>7068.0708000000004</v>
      </c>
      <c r="O8067" s="1" t="s">
        <v>87</v>
      </c>
      <c r="P8067" s="1" t="s">
        <v>15189</v>
      </c>
      <c r="Q8067" s="1" t="s">
        <v>15190</v>
      </c>
      <c r="R8067" s="1" t="s">
        <v>398</v>
      </c>
      <c r="S8067" s="1" t="s">
        <v>12195</v>
      </c>
      <c r="T8067" s="1" t="s">
        <v>12196</v>
      </c>
      <c r="U8067" s="2" t="s">
        <v>10060</v>
      </c>
      <c r="V8067" s="2" t="s">
        <v>36</v>
      </c>
      <c r="W8067" s="2" t="s">
        <v>142</v>
      </c>
      <c r="X8067" s="2">
        <v>1811.18</v>
      </c>
    </row>
    <row r="8068" spans="1:24" x14ac:dyDescent="0.3">
      <c r="A8068">
        <v>25871</v>
      </c>
      <c r="B8068" t="s">
        <v>15188</v>
      </c>
      <c r="C8068" s="3">
        <v>41899</v>
      </c>
      <c r="D8068" t="s">
        <v>50</v>
      </c>
      <c r="E8068">
        <v>13</v>
      </c>
      <c r="F8068" s="3">
        <f ca="1">41899+(RANDBETWEEN(1,10))</f>
        <v>41906</v>
      </c>
      <c r="G8068" t="s">
        <v>26</v>
      </c>
      <c r="H8068" t="s">
        <v>96</v>
      </c>
      <c r="I8068" t="s">
        <v>28</v>
      </c>
      <c r="J8068">
        <v>686.80499999999995</v>
      </c>
      <c r="K8068">
        <v>0.04</v>
      </c>
      <c r="L8068">
        <v>0.39</v>
      </c>
      <c r="M8068">
        <v>6.8949999999999996</v>
      </c>
      <c r="N8068">
        <v>473.89544999999998</v>
      </c>
      <c r="O8068" s="1" t="s">
        <v>87</v>
      </c>
      <c r="P8068" s="1" t="s">
        <v>15189</v>
      </c>
      <c r="Q8068" s="1" t="s">
        <v>15190</v>
      </c>
      <c r="R8068" s="1" t="s">
        <v>398</v>
      </c>
      <c r="S8068" s="1" t="s">
        <v>12195</v>
      </c>
      <c r="T8068" s="1" t="s">
        <v>12196</v>
      </c>
      <c r="U8068" s="2" t="s">
        <v>372</v>
      </c>
      <c r="V8068" s="2" t="s">
        <v>47</v>
      </c>
      <c r="W8068" s="2" t="s">
        <v>74</v>
      </c>
      <c r="X8068" s="2">
        <v>52.64</v>
      </c>
    </row>
    <row r="8069" spans="1:24" x14ac:dyDescent="0.3">
      <c r="A8069">
        <v>25872</v>
      </c>
      <c r="B8069" t="s">
        <v>15188</v>
      </c>
      <c r="C8069" s="3">
        <v>41899</v>
      </c>
      <c r="D8069" t="s">
        <v>50</v>
      </c>
      <c r="E8069">
        <v>25</v>
      </c>
      <c r="F8069" s="3">
        <f ca="1">41900+(RANDBETWEEN(1,10))</f>
        <v>41903</v>
      </c>
      <c r="G8069" t="s">
        <v>26</v>
      </c>
      <c r="H8069" t="s">
        <v>27</v>
      </c>
      <c r="I8069" t="s">
        <v>28</v>
      </c>
      <c r="J8069">
        <v>2235.3449999999998</v>
      </c>
      <c r="K8069">
        <v>0.06</v>
      </c>
      <c r="L8069">
        <v>0.66</v>
      </c>
      <c r="M8069">
        <v>30.765000000000001</v>
      </c>
      <c r="N8069">
        <v>-120.0094</v>
      </c>
      <c r="O8069" s="1" t="s">
        <v>87</v>
      </c>
      <c r="P8069" s="1" t="s">
        <v>15189</v>
      </c>
      <c r="Q8069" s="1" t="s">
        <v>15190</v>
      </c>
      <c r="R8069" s="1" t="s">
        <v>398</v>
      </c>
      <c r="S8069" s="1" t="s">
        <v>12195</v>
      </c>
      <c r="T8069" s="1" t="s">
        <v>12196</v>
      </c>
      <c r="U8069" s="2" t="s">
        <v>5412</v>
      </c>
      <c r="V8069" s="2" t="s">
        <v>47</v>
      </c>
      <c r="W8069" s="2" t="s">
        <v>119</v>
      </c>
      <c r="X8069" s="2">
        <v>87.43</v>
      </c>
    </row>
    <row r="8070" spans="1:24" x14ac:dyDescent="0.3">
      <c r="A8070">
        <v>25873</v>
      </c>
      <c r="B8070" t="s">
        <v>15191</v>
      </c>
      <c r="C8070" s="3">
        <v>40913</v>
      </c>
      <c r="D8070" t="s">
        <v>50</v>
      </c>
      <c r="E8070">
        <v>9</v>
      </c>
      <c r="F8070" s="3">
        <f ca="1">40913+(RANDBETWEEN(1,10))</f>
        <v>40923</v>
      </c>
      <c r="G8070" t="s">
        <v>26</v>
      </c>
      <c r="H8070" t="s">
        <v>63</v>
      </c>
      <c r="I8070" t="s">
        <v>97</v>
      </c>
      <c r="J8070">
        <v>651.10500000000002</v>
      </c>
      <c r="K8070">
        <v>0.04</v>
      </c>
      <c r="L8070">
        <v>0.6</v>
      </c>
      <c r="M8070">
        <v>39.094999999999999</v>
      </c>
      <c r="N8070">
        <v>-194.47540000000001</v>
      </c>
      <c r="O8070" s="1" t="s">
        <v>29</v>
      </c>
      <c r="P8070" s="1" t="s">
        <v>14127</v>
      </c>
      <c r="Q8070" s="1" t="s">
        <v>14128</v>
      </c>
      <c r="R8070" s="1" t="s">
        <v>460</v>
      </c>
      <c r="S8070" s="1" t="s">
        <v>14129</v>
      </c>
      <c r="T8070" s="1" t="s">
        <v>14130</v>
      </c>
      <c r="U8070" s="2" t="s">
        <v>7243</v>
      </c>
      <c r="V8070" s="2" t="s">
        <v>83</v>
      </c>
      <c r="W8070" s="2" t="s">
        <v>178</v>
      </c>
      <c r="X8070" s="2">
        <v>69.965000000000003</v>
      </c>
    </row>
    <row r="8071" spans="1:24" x14ac:dyDescent="0.3">
      <c r="A8071">
        <v>25874</v>
      </c>
      <c r="B8071" t="s">
        <v>15191</v>
      </c>
      <c r="C8071" s="3">
        <v>40913</v>
      </c>
      <c r="D8071" t="s">
        <v>50</v>
      </c>
      <c r="E8071">
        <v>11</v>
      </c>
      <c r="F8071" s="3">
        <f ca="1">40914+(RANDBETWEEN(1,10))</f>
        <v>40919</v>
      </c>
      <c r="G8071" t="s">
        <v>26</v>
      </c>
      <c r="H8071" t="s">
        <v>27</v>
      </c>
      <c r="I8071" t="s">
        <v>97</v>
      </c>
      <c r="J8071">
        <v>623.55999999999995</v>
      </c>
      <c r="K8071">
        <v>0.06</v>
      </c>
      <c r="L8071">
        <v>0.57999999999999996</v>
      </c>
      <c r="M8071">
        <v>21.875</v>
      </c>
      <c r="N8071">
        <v>-120.3048</v>
      </c>
      <c r="O8071" s="1" t="s">
        <v>29</v>
      </c>
      <c r="P8071" s="1" t="s">
        <v>14127</v>
      </c>
      <c r="Q8071" s="1" t="s">
        <v>14128</v>
      </c>
      <c r="R8071" s="1" t="s">
        <v>460</v>
      </c>
      <c r="S8071" s="1" t="s">
        <v>14129</v>
      </c>
      <c r="T8071" s="1" t="s">
        <v>14130</v>
      </c>
      <c r="U8071" s="2" t="s">
        <v>306</v>
      </c>
      <c r="V8071" s="2" t="s">
        <v>47</v>
      </c>
      <c r="W8071" s="2" t="s">
        <v>119</v>
      </c>
      <c r="X8071" s="2">
        <v>59.185000000000002</v>
      </c>
    </row>
    <row r="8072" spans="1:24" x14ac:dyDescent="0.3">
      <c r="A8072">
        <v>25875</v>
      </c>
      <c r="B8072" t="s">
        <v>15192</v>
      </c>
      <c r="C8072" s="3">
        <v>41015</v>
      </c>
      <c r="D8072" t="s">
        <v>62</v>
      </c>
      <c r="E8072">
        <v>6</v>
      </c>
      <c r="F8072" s="3">
        <f ca="1">41017+(RANDBETWEEN(1,10))</f>
        <v>41026</v>
      </c>
      <c r="G8072" t="s">
        <v>26</v>
      </c>
      <c r="H8072" t="s">
        <v>27</v>
      </c>
      <c r="I8072" t="s">
        <v>52</v>
      </c>
      <c r="J8072">
        <v>118.895</v>
      </c>
      <c r="K8072">
        <v>0.1</v>
      </c>
      <c r="L8072">
        <v>0.4</v>
      </c>
      <c r="M8072">
        <v>19.565000000000001</v>
      </c>
      <c r="N8072">
        <v>-263.87900000000002</v>
      </c>
      <c r="O8072" s="1" t="s">
        <v>40</v>
      </c>
      <c r="P8072" s="1" t="s">
        <v>10396</v>
      </c>
      <c r="Q8072" s="1" t="s">
        <v>10397</v>
      </c>
      <c r="R8072" s="1" t="s">
        <v>220</v>
      </c>
      <c r="S8072" s="1" t="s">
        <v>1511</v>
      </c>
      <c r="T8072" s="1" t="s">
        <v>1512</v>
      </c>
      <c r="U8072" s="2" t="s">
        <v>3005</v>
      </c>
      <c r="V8072" s="2" t="s">
        <v>47</v>
      </c>
      <c r="W8072" s="2" t="s">
        <v>111</v>
      </c>
      <c r="X8072" s="2">
        <v>20.3</v>
      </c>
    </row>
    <row r="8073" spans="1:24" x14ac:dyDescent="0.3">
      <c r="A8073">
        <v>25876</v>
      </c>
      <c r="B8073" t="s">
        <v>15193</v>
      </c>
      <c r="C8073" s="3">
        <v>41547</v>
      </c>
      <c r="D8073" t="s">
        <v>148</v>
      </c>
      <c r="E8073">
        <v>13</v>
      </c>
      <c r="F8073" s="3">
        <f ca="1">41549+(RANDBETWEEN(1,10))</f>
        <v>41555</v>
      </c>
      <c r="G8073" t="s">
        <v>26</v>
      </c>
      <c r="H8073" t="s">
        <v>51</v>
      </c>
      <c r="I8073" t="s">
        <v>86</v>
      </c>
      <c r="J8073">
        <v>1399.72</v>
      </c>
      <c r="K8073">
        <v>0.08</v>
      </c>
      <c r="L8073">
        <v>0.64</v>
      </c>
      <c r="M8073">
        <v>12.6</v>
      </c>
      <c r="N8073">
        <v>-153.517</v>
      </c>
      <c r="O8073" s="1" t="s">
        <v>64</v>
      </c>
      <c r="P8073" s="1" t="s">
        <v>15194</v>
      </c>
      <c r="Q8073" s="1" t="s">
        <v>15195</v>
      </c>
      <c r="R8073" s="1" t="s">
        <v>67</v>
      </c>
      <c r="S8073" s="1" t="s">
        <v>6440</v>
      </c>
      <c r="T8073" s="1" t="s">
        <v>15196</v>
      </c>
      <c r="U8073" s="2" t="s">
        <v>3560</v>
      </c>
      <c r="V8073" s="2" t="s">
        <v>36</v>
      </c>
      <c r="W8073" s="2" t="s">
        <v>60</v>
      </c>
      <c r="X8073" s="2">
        <v>108.88500000000001</v>
      </c>
    </row>
    <row r="8074" spans="1:24" x14ac:dyDescent="0.3">
      <c r="A8074">
        <v>25877</v>
      </c>
      <c r="B8074" t="s">
        <v>15193</v>
      </c>
      <c r="C8074" s="3">
        <v>41547</v>
      </c>
      <c r="D8074" t="s">
        <v>148</v>
      </c>
      <c r="E8074">
        <v>8</v>
      </c>
      <c r="F8074" s="3">
        <f ca="1">41549+(RANDBETWEEN(1,10))</f>
        <v>41552</v>
      </c>
      <c r="G8074" t="s">
        <v>26</v>
      </c>
      <c r="H8074" t="s">
        <v>27</v>
      </c>
      <c r="I8074" t="s">
        <v>86</v>
      </c>
      <c r="J8074">
        <v>2955.9949999999999</v>
      </c>
      <c r="K8074">
        <v>7.0000000000000007E-2</v>
      </c>
      <c r="L8074">
        <v>0.56999999999999995</v>
      </c>
      <c r="M8074">
        <v>28.28</v>
      </c>
      <c r="N8074">
        <v>-347.16500000000002</v>
      </c>
      <c r="O8074" s="1" t="s">
        <v>64</v>
      </c>
      <c r="P8074" s="1" t="s">
        <v>15194</v>
      </c>
      <c r="Q8074" s="1" t="s">
        <v>15195</v>
      </c>
      <c r="R8074" s="1" t="s">
        <v>67</v>
      </c>
      <c r="S8074" s="1" t="s">
        <v>6440</v>
      </c>
      <c r="T8074" s="1" t="s">
        <v>15196</v>
      </c>
      <c r="U8074" s="2" t="s">
        <v>1547</v>
      </c>
      <c r="V8074" s="2" t="s">
        <v>36</v>
      </c>
      <c r="W8074" s="2" t="s">
        <v>37</v>
      </c>
      <c r="X8074" s="2">
        <v>440.96499999999997</v>
      </c>
    </row>
    <row r="8075" spans="1:24" x14ac:dyDescent="0.3">
      <c r="A8075">
        <v>25878</v>
      </c>
      <c r="B8075" t="s">
        <v>15197</v>
      </c>
      <c r="C8075" s="3">
        <v>40919</v>
      </c>
      <c r="D8075" t="s">
        <v>148</v>
      </c>
      <c r="E8075">
        <v>11</v>
      </c>
      <c r="F8075" s="3">
        <f ca="1">40920+(RANDBETWEEN(1,10))</f>
        <v>40922</v>
      </c>
      <c r="G8075" t="s">
        <v>26</v>
      </c>
      <c r="H8075" t="s">
        <v>27</v>
      </c>
      <c r="I8075" t="s">
        <v>86</v>
      </c>
      <c r="J8075">
        <v>1620.1849999999999</v>
      </c>
      <c r="K8075">
        <v>0.05</v>
      </c>
      <c r="L8075">
        <v>0.36</v>
      </c>
      <c r="M8075">
        <v>61.18</v>
      </c>
      <c r="N8075">
        <v>881.94960000000003</v>
      </c>
      <c r="O8075" s="1" t="s">
        <v>64</v>
      </c>
      <c r="P8075" s="1" t="s">
        <v>11567</v>
      </c>
      <c r="Q8075" s="1" t="s">
        <v>11568</v>
      </c>
      <c r="R8075" s="1" t="s">
        <v>128</v>
      </c>
      <c r="S8075" s="1" t="s">
        <v>11569</v>
      </c>
      <c r="T8075" s="1" t="s">
        <v>11570</v>
      </c>
      <c r="U8075" s="2" t="s">
        <v>1688</v>
      </c>
      <c r="V8075" s="2" t="s">
        <v>47</v>
      </c>
      <c r="W8075" s="2" t="s">
        <v>74</v>
      </c>
      <c r="X8075" s="2">
        <v>143.465</v>
      </c>
    </row>
    <row r="8076" spans="1:24" x14ac:dyDescent="0.3">
      <c r="A8076">
        <v>25879</v>
      </c>
      <c r="B8076" t="s">
        <v>15197</v>
      </c>
      <c r="C8076" s="3">
        <v>40919</v>
      </c>
      <c r="D8076" t="s">
        <v>148</v>
      </c>
      <c r="E8076">
        <v>3</v>
      </c>
      <c r="F8076" s="3">
        <f ca="1">40921+(RANDBETWEEN(1,10))</f>
        <v>40931</v>
      </c>
      <c r="G8076" t="s">
        <v>76</v>
      </c>
      <c r="H8076" t="s">
        <v>77</v>
      </c>
      <c r="I8076" t="s">
        <v>86</v>
      </c>
      <c r="J8076">
        <v>2065.6999999999998</v>
      </c>
      <c r="K8076">
        <v>0.01</v>
      </c>
      <c r="L8076">
        <v>0.56999999999999995</v>
      </c>
      <c r="M8076">
        <v>193.34</v>
      </c>
      <c r="N8076">
        <v>158.8818</v>
      </c>
      <c r="O8076" s="1" t="s">
        <v>29</v>
      </c>
      <c r="P8076" s="1" t="s">
        <v>15198</v>
      </c>
      <c r="Q8076" s="1" t="s">
        <v>15199</v>
      </c>
      <c r="R8076" s="1" t="s">
        <v>32</v>
      </c>
      <c r="S8076" s="1" t="s">
        <v>2087</v>
      </c>
      <c r="T8076" s="1" t="s">
        <v>2088</v>
      </c>
      <c r="U8076" s="2" t="s">
        <v>4544</v>
      </c>
      <c r="V8076" s="2" t="s">
        <v>47</v>
      </c>
      <c r="W8076" s="2" t="s">
        <v>71</v>
      </c>
      <c r="X8076" s="2">
        <v>633.42999999999995</v>
      </c>
    </row>
    <row r="8077" spans="1:24" x14ac:dyDescent="0.3">
      <c r="A8077">
        <v>25880</v>
      </c>
      <c r="B8077" t="s">
        <v>15197</v>
      </c>
      <c r="C8077" s="3">
        <v>40919</v>
      </c>
      <c r="D8077" t="s">
        <v>148</v>
      </c>
      <c r="E8077">
        <v>12</v>
      </c>
      <c r="F8077" s="3">
        <f ca="1">40920+(RANDBETWEEN(1,10))</f>
        <v>40925</v>
      </c>
      <c r="G8077" t="s">
        <v>156</v>
      </c>
      <c r="H8077" t="s">
        <v>27</v>
      </c>
      <c r="I8077" t="s">
        <v>86</v>
      </c>
      <c r="J8077">
        <v>1140.895</v>
      </c>
      <c r="K8077">
        <v>0.08</v>
      </c>
      <c r="L8077">
        <v>0.42</v>
      </c>
      <c r="M8077">
        <v>29.925000000000001</v>
      </c>
      <c r="N8077">
        <v>787.21754999999996</v>
      </c>
      <c r="O8077" s="1" t="s">
        <v>29</v>
      </c>
      <c r="P8077" s="1" t="s">
        <v>15198</v>
      </c>
      <c r="Q8077" s="1" t="s">
        <v>15199</v>
      </c>
      <c r="R8077" s="1" t="s">
        <v>32</v>
      </c>
      <c r="S8077" s="1" t="s">
        <v>2087</v>
      </c>
      <c r="T8077" s="1" t="s">
        <v>2088</v>
      </c>
      <c r="U8077" s="2" t="s">
        <v>2535</v>
      </c>
      <c r="V8077" s="2" t="s">
        <v>83</v>
      </c>
      <c r="W8077" s="2" t="s">
        <v>178</v>
      </c>
      <c r="X8077" s="2">
        <v>102.13</v>
      </c>
    </row>
    <row r="8078" spans="1:24" x14ac:dyDescent="0.3">
      <c r="A8078">
        <v>25881</v>
      </c>
      <c r="B8078" t="s">
        <v>15200</v>
      </c>
      <c r="C8078" s="3">
        <v>41699</v>
      </c>
      <c r="D8078" t="s">
        <v>50</v>
      </c>
      <c r="E8078">
        <v>1</v>
      </c>
      <c r="F8078" s="3">
        <f ca="1">41701+(RANDBETWEEN(1,10))</f>
        <v>41705</v>
      </c>
      <c r="G8078" t="s">
        <v>26</v>
      </c>
      <c r="H8078" t="s">
        <v>27</v>
      </c>
      <c r="I8078" t="s">
        <v>52</v>
      </c>
      <c r="J8078">
        <v>40.950000000000003</v>
      </c>
      <c r="K8078">
        <v>0</v>
      </c>
      <c r="L8078">
        <v>0.41</v>
      </c>
      <c r="M8078">
        <v>19.495000000000001</v>
      </c>
      <c r="N8078">
        <v>-28.21</v>
      </c>
      <c r="O8078" s="1" t="s">
        <v>87</v>
      </c>
      <c r="P8078" s="1" t="s">
        <v>15201</v>
      </c>
      <c r="Q8078" s="1" t="s">
        <v>15202</v>
      </c>
      <c r="R8078" s="1" t="s">
        <v>497</v>
      </c>
      <c r="S8078" s="1" t="s">
        <v>2702</v>
      </c>
      <c r="T8078" s="1" t="s">
        <v>2703</v>
      </c>
      <c r="U8078" s="2" t="s">
        <v>10299</v>
      </c>
      <c r="V8078" s="2" t="s">
        <v>83</v>
      </c>
      <c r="W8078" s="2" t="s">
        <v>178</v>
      </c>
      <c r="X8078" s="2">
        <v>20.614999999999998</v>
      </c>
    </row>
    <row r="8079" spans="1:24" x14ac:dyDescent="0.3">
      <c r="A8079">
        <v>25882</v>
      </c>
      <c r="B8079" t="s">
        <v>15203</v>
      </c>
      <c r="C8079" s="3">
        <v>41851</v>
      </c>
      <c r="D8079" t="s">
        <v>62</v>
      </c>
      <c r="E8079">
        <v>16</v>
      </c>
      <c r="F8079" s="3">
        <f ca="1">41852+(RANDBETWEEN(1,10))</f>
        <v>41860</v>
      </c>
      <c r="G8079" t="s">
        <v>26</v>
      </c>
      <c r="H8079" t="s">
        <v>63</v>
      </c>
      <c r="I8079" t="s">
        <v>86</v>
      </c>
      <c r="J8079">
        <v>306.45999999999998</v>
      </c>
      <c r="K8079">
        <v>0.04</v>
      </c>
      <c r="L8079">
        <v>0.6</v>
      </c>
      <c r="M8079">
        <v>171.5</v>
      </c>
      <c r="N8079">
        <v>-6933.4708799999999</v>
      </c>
      <c r="O8079" s="1" t="s">
        <v>225</v>
      </c>
      <c r="P8079" s="1" t="s">
        <v>7751</v>
      </c>
      <c r="Q8079" s="1" t="s">
        <v>7752</v>
      </c>
      <c r="R8079" s="1" t="s">
        <v>228</v>
      </c>
      <c r="S8079" s="1" t="s">
        <v>7753</v>
      </c>
      <c r="T8079" s="1" t="s">
        <v>7754</v>
      </c>
      <c r="U8079" s="2" t="s">
        <v>919</v>
      </c>
      <c r="V8079" s="2" t="s">
        <v>47</v>
      </c>
      <c r="W8079" s="2" t="s">
        <v>71</v>
      </c>
      <c r="X8079" s="2">
        <v>15.68</v>
      </c>
    </row>
    <row r="8080" spans="1:24" x14ac:dyDescent="0.3">
      <c r="A8080">
        <v>25883</v>
      </c>
      <c r="B8080" t="s">
        <v>15203</v>
      </c>
      <c r="C8080" s="3">
        <v>41851</v>
      </c>
      <c r="D8080" t="s">
        <v>62</v>
      </c>
      <c r="E8080">
        <v>10</v>
      </c>
      <c r="F8080" s="3">
        <f ca="1">41853+(RANDBETWEEN(1,10))</f>
        <v>41855</v>
      </c>
      <c r="G8080" t="s">
        <v>76</v>
      </c>
      <c r="H8080" t="s">
        <v>258</v>
      </c>
      <c r="I8080" t="s">
        <v>86</v>
      </c>
      <c r="J8080">
        <v>7409.5349999999999</v>
      </c>
      <c r="K8080">
        <v>0.08</v>
      </c>
      <c r="L8080">
        <v>0.77</v>
      </c>
      <c r="M8080">
        <v>243.74</v>
      </c>
      <c r="N8080">
        <v>-1687.460775</v>
      </c>
      <c r="O8080" s="1" t="s">
        <v>225</v>
      </c>
      <c r="P8080" s="1" t="s">
        <v>7751</v>
      </c>
      <c r="Q8080" s="1" t="s">
        <v>7752</v>
      </c>
      <c r="R8080" s="1" t="s">
        <v>228</v>
      </c>
      <c r="S8080" s="1" t="s">
        <v>7753</v>
      </c>
      <c r="T8080" s="1" t="s">
        <v>7754</v>
      </c>
      <c r="U8080" s="2" t="s">
        <v>1233</v>
      </c>
      <c r="V8080" s="2" t="s">
        <v>83</v>
      </c>
      <c r="W8080" s="2" t="s">
        <v>263</v>
      </c>
      <c r="X8080" s="2">
        <v>765.625</v>
      </c>
    </row>
    <row r="8081" spans="1:24" x14ac:dyDescent="0.3">
      <c r="A8081">
        <v>25884</v>
      </c>
      <c r="B8081" t="s">
        <v>15204</v>
      </c>
      <c r="C8081" s="3">
        <v>41414</v>
      </c>
      <c r="D8081" t="s">
        <v>148</v>
      </c>
      <c r="E8081">
        <v>13</v>
      </c>
      <c r="F8081" s="3">
        <f ca="1">41416+(RANDBETWEEN(1,10))</f>
        <v>41423</v>
      </c>
      <c r="G8081" t="s">
        <v>156</v>
      </c>
      <c r="H8081" t="s">
        <v>27</v>
      </c>
      <c r="I8081" t="s">
        <v>86</v>
      </c>
      <c r="J8081">
        <v>182.21</v>
      </c>
      <c r="K8081">
        <v>0.1</v>
      </c>
      <c r="L8081">
        <v>0.37</v>
      </c>
      <c r="M8081">
        <v>24.535</v>
      </c>
      <c r="N8081">
        <v>-40.177549999999997</v>
      </c>
      <c r="O8081" s="1" t="s">
        <v>53</v>
      </c>
      <c r="P8081" s="1" t="s">
        <v>8039</v>
      </c>
      <c r="Q8081" s="1" t="s">
        <v>8040</v>
      </c>
      <c r="R8081" s="1" t="s">
        <v>440</v>
      </c>
      <c r="S8081" s="1" t="s">
        <v>2892</v>
      </c>
      <c r="T8081" s="1" t="s">
        <v>2893</v>
      </c>
      <c r="U8081" s="2" t="s">
        <v>2043</v>
      </c>
      <c r="V8081" s="2" t="s">
        <v>47</v>
      </c>
      <c r="W8081" s="2" t="s">
        <v>111</v>
      </c>
      <c r="X8081" s="2">
        <v>13.615</v>
      </c>
    </row>
    <row r="8082" spans="1:24" x14ac:dyDescent="0.3">
      <c r="A8082">
        <v>25885</v>
      </c>
      <c r="B8082" t="s">
        <v>15204</v>
      </c>
      <c r="C8082" s="3">
        <v>41414</v>
      </c>
      <c r="D8082" t="s">
        <v>148</v>
      </c>
      <c r="E8082">
        <v>4</v>
      </c>
      <c r="F8082" s="3">
        <f ca="1">41416+(RANDBETWEEN(1,10))</f>
        <v>41426</v>
      </c>
      <c r="G8082" t="s">
        <v>26</v>
      </c>
      <c r="H8082" t="s">
        <v>27</v>
      </c>
      <c r="I8082" t="s">
        <v>86</v>
      </c>
      <c r="J8082">
        <v>104.93</v>
      </c>
      <c r="K8082">
        <v>0.08</v>
      </c>
      <c r="L8082">
        <v>0.37</v>
      </c>
      <c r="M8082">
        <v>35.174999999999997</v>
      </c>
      <c r="N8082">
        <v>-91.972999999999999</v>
      </c>
      <c r="O8082" s="1" t="s">
        <v>53</v>
      </c>
      <c r="P8082" s="1" t="s">
        <v>8039</v>
      </c>
      <c r="Q8082" s="1" t="s">
        <v>8040</v>
      </c>
      <c r="R8082" s="1" t="s">
        <v>440</v>
      </c>
      <c r="S8082" s="1" t="s">
        <v>2892</v>
      </c>
      <c r="T8082" s="1" t="s">
        <v>2893</v>
      </c>
      <c r="U8082" s="2" t="s">
        <v>635</v>
      </c>
      <c r="V8082" s="2" t="s">
        <v>47</v>
      </c>
      <c r="W8082" s="2" t="s">
        <v>74</v>
      </c>
      <c r="X8082" s="2">
        <v>22.68</v>
      </c>
    </row>
    <row r="8083" spans="1:24" x14ac:dyDescent="0.3">
      <c r="A8083">
        <v>25886</v>
      </c>
      <c r="B8083" t="s">
        <v>15205</v>
      </c>
      <c r="C8083" s="3">
        <v>41741</v>
      </c>
      <c r="D8083" t="s">
        <v>62</v>
      </c>
      <c r="E8083">
        <v>12</v>
      </c>
      <c r="F8083" s="3">
        <f ca="1">41742+(RANDBETWEEN(1,10))</f>
        <v>41751</v>
      </c>
      <c r="G8083" t="s">
        <v>26</v>
      </c>
      <c r="H8083" t="s">
        <v>27</v>
      </c>
      <c r="I8083" t="s">
        <v>28</v>
      </c>
      <c r="J8083">
        <v>1442.14</v>
      </c>
      <c r="K8083">
        <v>0.09</v>
      </c>
      <c r="L8083">
        <v>0.56999999999999995</v>
      </c>
      <c r="M8083">
        <v>28.77</v>
      </c>
      <c r="N8083">
        <v>793.66</v>
      </c>
      <c r="O8083" s="1" t="s">
        <v>87</v>
      </c>
      <c r="P8083" s="1" t="s">
        <v>13409</v>
      </c>
      <c r="Q8083" s="1" t="s">
        <v>13410</v>
      </c>
      <c r="R8083" s="1" t="s">
        <v>398</v>
      </c>
      <c r="S8083" s="1" t="s">
        <v>13411</v>
      </c>
      <c r="T8083" s="1" t="s">
        <v>13412</v>
      </c>
      <c r="U8083" s="2" t="s">
        <v>2001</v>
      </c>
      <c r="V8083" s="2" t="s">
        <v>47</v>
      </c>
      <c r="W8083" s="2" t="s">
        <v>119</v>
      </c>
      <c r="X8083" s="2">
        <v>121.66</v>
      </c>
    </row>
    <row r="8084" spans="1:24" x14ac:dyDescent="0.3">
      <c r="A8084">
        <v>25887</v>
      </c>
      <c r="B8084" t="s">
        <v>15206</v>
      </c>
      <c r="C8084" s="3">
        <v>41479</v>
      </c>
      <c r="D8084" t="s">
        <v>25</v>
      </c>
      <c r="E8084">
        <v>5</v>
      </c>
      <c r="F8084" s="3">
        <f ca="1">41483+(RANDBETWEEN(1,10))</f>
        <v>41492</v>
      </c>
      <c r="G8084" t="s">
        <v>26</v>
      </c>
      <c r="H8084" t="s">
        <v>27</v>
      </c>
      <c r="I8084" t="s">
        <v>52</v>
      </c>
      <c r="J8084">
        <v>653.45000000000005</v>
      </c>
      <c r="K8084">
        <v>0.09</v>
      </c>
      <c r="L8084">
        <v>0.56000000000000005</v>
      </c>
      <c r="M8084">
        <v>15.75</v>
      </c>
      <c r="N8084">
        <v>379.05</v>
      </c>
      <c r="O8084" s="1" t="s">
        <v>87</v>
      </c>
      <c r="P8084" s="1" t="s">
        <v>13389</v>
      </c>
      <c r="Q8084" s="1" t="s">
        <v>13390</v>
      </c>
      <c r="R8084" s="1" t="s">
        <v>398</v>
      </c>
      <c r="S8084" s="1" t="s">
        <v>13391</v>
      </c>
      <c r="T8084" s="1" t="s">
        <v>13392</v>
      </c>
      <c r="U8084" s="2" t="s">
        <v>9186</v>
      </c>
      <c r="V8084" s="2" t="s">
        <v>47</v>
      </c>
      <c r="W8084" s="2" t="s">
        <v>71</v>
      </c>
      <c r="X8084" s="2">
        <v>133.21</v>
      </c>
    </row>
    <row r="8085" spans="1:24" x14ac:dyDescent="0.3">
      <c r="A8085">
        <v>25888</v>
      </c>
      <c r="B8085" t="s">
        <v>15206</v>
      </c>
      <c r="C8085" s="3">
        <v>41479</v>
      </c>
      <c r="D8085" t="s">
        <v>25</v>
      </c>
      <c r="E8085">
        <v>9</v>
      </c>
      <c r="F8085" s="3">
        <f ca="1">41481+(RANDBETWEEN(1,10))</f>
        <v>41482</v>
      </c>
      <c r="G8085" t="s">
        <v>26</v>
      </c>
      <c r="H8085" t="s">
        <v>96</v>
      </c>
      <c r="I8085" t="s">
        <v>52</v>
      </c>
      <c r="J8085">
        <v>160.19499999999999</v>
      </c>
      <c r="K8085">
        <v>7.0000000000000007E-2</v>
      </c>
      <c r="L8085">
        <v>0.51</v>
      </c>
      <c r="M8085">
        <v>7.1050000000000004</v>
      </c>
      <c r="N8085">
        <v>77.875</v>
      </c>
      <c r="O8085" s="1" t="s">
        <v>87</v>
      </c>
      <c r="P8085" s="1" t="s">
        <v>13389</v>
      </c>
      <c r="Q8085" s="1" t="s">
        <v>13390</v>
      </c>
      <c r="R8085" s="1" t="s">
        <v>398</v>
      </c>
      <c r="S8085" s="1" t="s">
        <v>13391</v>
      </c>
      <c r="T8085" s="1" t="s">
        <v>13392</v>
      </c>
      <c r="U8085" s="2" t="s">
        <v>3434</v>
      </c>
      <c r="V8085" s="2" t="s">
        <v>83</v>
      </c>
      <c r="W8085" s="2" t="s">
        <v>178</v>
      </c>
      <c r="X8085" s="2">
        <v>17.78</v>
      </c>
    </row>
    <row r="8086" spans="1:24" x14ac:dyDescent="0.3">
      <c r="A8086">
        <v>25889</v>
      </c>
      <c r="B8086" t="s">
        <v>15206</v>
      </c>
      <c r="C8086" s="3">
        <v>41479</v>
      </c>
      <c r="D8086" t="s">
        <v>25</v>
      </c>
      <c r="E8086">
        <v>7</v>
      </c>
      <c r="F8086" s="3">
        <f ca="1">41484+(RANDBETWEEN(1,10))</f>
        <v>41489</v>
      </c>
      <c r="G8086" t="s">
        <v>26</v>
      </c>
      <c r="H8086" t="s">
        <v>27</v>
      </c>
      <c r="I8086" t="s">
        <v>52</v>
      </c>
      <c r="J8086">
        <v>2676.2049999999999</v>
      </c>
      <c r="K8086">
        <v>0</v>
      </c>
      <c r="L8086">
        <v>0.56999999999999995</v>
      </c>
      <c r="M8086">
        <v>31.465</v>
      </c>
      <c r="N8086">
        <v>1321.6769999999999</v>
      </c>
      <c r="O8086" s="1" t="s">
        <v>87</v>
      </c>
      <c r="P8086" s="1" t="s">
        <v>13389</v>
      </c>
      <c r="Q8086" s="1" t="s">
        <v>13390</v>
      </c>
      <c r="R8086" s="1" t="s">
        <v>398</v>
      </c>
      <c r="S8086" s="1" t="s">
        <v>13391</v>
      </c>
      <c r="T8086" s="1" t="s">
        <v>13392</v>
      </c>
      <c r="U8086" s="2" t="s">
        <v>5713</v>
      </c>
      <c r="V8086" s="2" t="s">
        <v>36</v>
      </c>
      <c r="W8086" s="2" t="s">
        <v>37</v>
      </c>
      <c r="X8086" s="2">
        <v>440.96499999999997</v>
      </c>
    </row>
    <row r="8087" spans="1:24" x14ac:dyDescent="0.3">
      <c r="A8087">
        <v>25890</v>
      </c>
      <c r="B8087" t="s">
        <v>15206</v>
      </c>
      <c r="C8087" s="3">
        <v>41479</v>
      </c>
      <c r="D8087" t="s">
        <v>25</v>
      </c>
      <c r="E8087">
        <v>16</v>
      </c>
      <c r="F8087" s="3">
        <f ca="1">41481+(RANDBETWEEN(1,10))</f>
        <v>41484</v>
      </c>
      <c r="G8087" t="s">
        <v>26</v>
      </c>
      <c r="H8087" t="s">
        <v>27</v>
      </c>
      <c r="I8087" t="s">
        <v>52</v>
      </c>
      <c r="J8087">
        <v>5994.73</v>
      </c>
      <c r="K8087">
        <v>0.02</v>
      </c>
      <c r="L8087">
        <v>0.56999999999999995</v>
      </c>
      <c r="M8087">
        <v>28.28</v>
      </c>
      <c r="N8087">
        <v>4136.3636999999999</v>
      </c>
      <c r="O8087" s="1" t="s">
        <v>87</v>
      </c>
      <c r="P8087" s="1" t="s">
        <v>13389</v>
      </c>
      <c r="Q8087" s="1" t="s">
        <v>13390</v>
      </c>
      <c r="R8087" s="1" t="s">
        <v>398</v>
      </c>
      <c r="S8087" s="1" t="s">
        <v>13391</v>
      </c>
      <c r="T8087" s="1" t="s">
        <v>13392</v>
      </c>
      <c r="U8087" s="2" t="s">
        <v>566</v>
      </c>
      <c r="V8087" s="2" t="s">
        <v>36</v>
      </c>
      <c r="W8087" s="2" t="s">
        <v>37</v>
      </c>
      <c r="X8087" s="2">
        <v>440.96499999999997</v>
      </c>
    </row>
    <row r="8088" spans="1:24" x14ac:dyDescent="0.3">
      <c r="A8088">
        <v>25891</v>
      </c>
      <c r="B8088" t="s">
        <v>15207</v>
      </c>
      <c r="C8088" s="3">
        <v>41633</v>
      </c>
      <c r="D8088" t="s">
        <v>50</v>
      </c>
      <c r="E8088">
        <v>21</v>
      </c>
      <c r="F8088" s="3">
        <f ca="1">41634+(RANDBETWEEN(1,10))</f>
        <v>41642</v>
      </c>
      <c r="G8088" t="s">
        <v>156</v>
      </c>
      <c r="H8088" t="s">
        <v>27</v>
      </c>
      <c r="I8088" t="s">
        <v>28</v>
      </c>
      <c r="J8088">
        <v>306.21499999999997</v>
      </c>
      <c r="K8088">
        <v>0</v>
      </c>
      <c r="L8088">
        <v>0.38</v>
      </c>
      <c r="M8088">
        <v>1.75</v>
      </c>
      <c r="N8088">
        <v>-122.2795</v>
      </c>
      <c r="O8088" s="1" t="s">
        <v>53</v>
      </c>
      <c r="P8088" s="1" t="s">
        <v>12644</v>
      </c>
      <c r="Q8088" s="1" t="s">
        <v>12645</v>
      </c>
      <c r="R8088" s="1" t="s">
        <v>100</v>
      </c>
      <c r="S8088" s="1" t="s">
        <v>12646</v>
      </c>
      <c r="T8088" s="1" t="s">
        <v>12647</v>
      </c>
      <c r="U8088" s="2" t="s">
        <v>702</v>
      </c>
      <c r="V8088" s="2" t="s">
        <v>47</v>
      </c>
      <c r="W8088" s="2" t="s">
        <v>203</v>
      </c>
      <c r="X8088" s="2">
        <v>12.914999999999999</v>
      </c>
    </row>
    <row r="8089" spans="1:24" x14ac:dyDescent="0.3">
      <c r="A8089">
        <v>25892</v>
      </c>
      <c r="B8089" t="s">
        <v>15207</v>
      </c>
      <c r="C8089" s="3">
        <v>41633</v>
      </c>
      <c r="D8089" t="s">
        <v>50</v>
      </c>
      <c r="E8089">
        <v>2</v>
      </c>
      <c r="F8089" s="3">
        <f ca="1">41634+(RANDBETWEEN(1,10))</f>
        <v>41641</v>
      </c>
      <c r="G8089" t="s">
        <v>26</v>
      </c>
      <c r="H8089" t="s">
        <v>27</v>
      </c>
      <c r="I8089" t="s">
        <v>28</v>
      </c>
      <c r="J8089">
        <v>2816.9749999999999</v>
      </c>
      <c r="K8089">
        <v>0.04</v>
      </c>
      <c r="L8089">
        <v>0.57999999999999996</v>
      </c>
      <c r="M8089">
        <v>69.965000000000003</v>
      </c>
      <c r="N8089">
        <v>-303.21935000000002</v>
      </c>
      <c r="O8089" s="1" t="s">
        <v>53</v>
      </c>
      <c r="P8089" s="1" t="s">
        <v>12644</v>
      </c>
      <c r="Q8089" s="1" t="s">
        <v>12645</v>
      </c>
      <c r="R8089" s="1" t="s">
        <v>100</v>
      </c>
      <c r="S8089" s="1" t="s">
        <v>12646</v>
      </c>
      <c r="T8089" s="1" t="s">
        <v>12647</v>
      </c>
      <c r="U8089" s="2" t="s">
        <v>3569</v>
      </c>
      <c r="V8089" s="2" t="s">
        <v>47</v>
      </c>
      <c r="W8089" s="2" t="s">
        <v>119</v>
      </c>
      <c r="X8089" s="2">
        <v>1467.165</v>
      </c>
    </row>
    <row r="8090" spans="1:24" x14ac:dyDescent="0.3">
      <c r="A8090">
        <v>25893</v>
      </c>
      <c r="B8090" t="s">
        <v>15208</v>
      </c>
      <c r="C8090" s="3">
        <v>40588</v>
      </c>
      <c r="D8090" t="s">
        <v>50</v>
      </c>
      <c r="E8090">
        <v>9</v>
      </c>
      <c r="F8090" s="3">
        <f ca="1">40589+(RANDBETWEEN(1,10))</f>
        <v>40593</v>
      </c>
      <c r="G8090" t="s">
        <v>76</v>
      </c>
      <c r="H8090" t="s">
        <v>258</v>
      </c>
      <c r="I8090" t="s">
        <v>52</v>
      </c>
      <c r="J8090">
        <v>6194.6850000000004</v>
      </c>
      <c r="K8090">
        <v>0</v>
      </c>
      <c r="L8090">
        <v>0.61</v>
      </c>
      <c r="M8090">
        <v>207.34</v>
      </c>
      <c r="N8090">
        <v>4172.1400000000003</v>
      </c>
      <c r="O8090" s="1" t="s">
        <v>64</v>
      </c>
      <c r="P8090" s="1" t="s">
        <v>14464</v>
      </c>
      <c r="Q8090" s="1" t="s">
        <v>14465</v>
      </c>
      <c r="R8090" s="1" t="s">
        <v>67</v>
      </c>
      <c r="S8090" s="1" t="s">
        <v>2158</v>
      </c>
      <c r="T8090" s="1" t="s">
        <v>2159</v>
      </c>
      <c r="U8090" s="2" t="s">
        <v>8709</v>
      </c>
      <c r="V8090" s="2" t="s">
        <v>83</v>
      </c>
      <c r="W8090" s="2" t="s">
        <v>263</v>
      </c>
      <c r="X8090" s="2">
        <v>829.39499999999998</v>
      </c>
    </row>
    <row r="8091" spans="1:24" x14ac:dyDescent="0.3">
      <c r="A8091">
        <v>25894</v>
      </c>
      <c r="B8091" t="s">
        <v>15209</v>
      </c>
      <c r="C8091" s="3">
        <v>41740</v>
      </c>
      <c r="D8091" t="s">
        <v>62</v>
      </c>
      <c r="E8091">
        <v>1</v>
      </c>
      <c r="F8091" s="3">
        <f ca="1">41741+(RANDBETWEEN(1,10))</f>
        <v>41749</v>
      </c>
      <c r="G8091" t="s">
        <v>76</v>
      </c>
      <c r="H8091" t="s">
        <v>77</v>
      </c>
      <c r="I8091" t="s">
        <v>28</v>
      </c>
      <c r="J8091">
        <v>9550.2749999999996</v>
      </c>
      <c r="K8091">
        <v>0</v>
      </c>
      <c r="L8091">
        <v>0.56999999999999995</v>
      </c>
      <c r="M8091">
        <v>103.95</v>
      </c>
      <c r="N8091">
        <v>-19503.377250000001</v>
      </c>
      <c r="O8091" s="1" t="s">
        <v>29</v>
      </c>
      <c r="P8091" s="1" t="s">
        <v>13154</v>
      </c>
      <c r="Q8091" s="1" t="s">
        <v>13155</v>
      </c>
      <c r="R8091" s="1" t="s">
        <v>32</v>
      </c>
      <c r="S8091" s="1" t="s">
        <v>1895</v>
      </c>
      <c r="T8091" s="1" t="s">
        <v>1896</v>
      </c>
      <c r="U8091" s="2" t="s">
        <v>2100</v>
      </c>
      <c r="V8091" s="2" t="s">
        <v>36</v>
      </c>
      <c r="W8091" s="2" t="s">
        <v>142</v>
      </c>
      <c r="X8091" s="2">
        <v>8925.49</v>
      </c>
    </row>
    <row r="8092" spans="1:24" x14ac:dyDescent="0.3">
      <c r="A8092">
        <v>25895</v>
      </c>
      <c r="B8092" t="s">
        <v>15210</v>
      </c>
      <c r="C8092" s="3">
        <v>40593</v>
      </c>
      <c r="D8092" t="s">
        <v>39</v>
      </c>
      <c r="E8092">
        <v>9</v>
      </c>
      <c r="F8092" s="3">
        <f ca="1">40593+(RANDBETWEEN(1,10))</f>
        <v>40597</v>
      </c>
      <c r="G8092" t="s">
        <v>26</v>
      </c>
      <c r="H8092" t="s">
        <v>27</v>
      </c>
      <c r="I8092" t="s">
        <v>86</v>
      </c>
      <c r="J8092">
        <v>135.03</v>
      </c>
      <c r="K8092">
        <v>0.05</v>
      </c>
      <c r="L8092">
        <v>0.4</v>
      </c>
      <c r="M8092">
        <v>18.094999999999999</v>
      </c>
      <c r="N8092">
        <v>-365.995</v>
      </c>
      <c r="O8092" s="1" t="s">
        <v>87</v>
      </c>
      <c r="P8092" s="1" t="s">
        <v>13137</v>
      </c>
      <c r="Q8092" s="1" t="s">
        <v>13138</v>
      </c>
      <c r="R8092" s="1" t="s">
        <v>398</v>
      </c>
      <c r="S8092" s="1" t="s">
        <v>10476</v>
      </c>
      <c r="T8092" s="1" t="s">
        <v>10477</v>
      </c>
      <c r="U8092" s="2" t="s">
        <v>7083</v>
      </c>
      <c r="V8092" s="2" t="s">
        <v>47</v>
      </c>
      <c r="W8092" s="2" t="s">
        <v>74</v>
      </c>
      <c r="X8092" s="2">
        <v>14.98</v>
      </c>
    </row>
    <row r="8093" spans="1:24" x14ac:dyDescent="0.3">
      <c r="A8093">
        <v>25896</v>
      </c>
      <c r="B8093" t="s">
        <v>15211</v>
      </c>
      <c r="C8093" s="3">
        <v>41599</v>
      </c>
      <c r="D8093" t="s">
        <v>50</v>
      </c>
      <c r="E8093">
        <v>5</v>
      </c>
      <c r="F8093" s="3">
        <f ca="1">41600+(RANDBETWEEN(1,10))</f>
        <v>41604</v>
      </c>
      <c r="G8093" t="s">
        <v>26</v>
      </c>
      <c r="H8093" t="s">
        <v>27</v>
      </c>
      <c r="I8093" t="s">
        <v>86</v>
      </c>
      <c r="J8093">
        <v>515.02499999999998</v>
      </c>
      <c r="K8093">
        <v>0.1</v>
      </c>
      <c r="L8093">
        <v>0.35</v>
      </c>
      <c r="M8093">
        <v>10.465</v>
      </c>
      <c r="N8093">
        <v>218.21029999999999</v>
      </c>
      <c r="O8093" s="1" t="s">
        <v>29</v>
      </c>
      <c r="P8093" s="1" t="s">
        <v>15212</v>
      </c>
      <c r="Q8093" s="1" t="s">
        <v>15213</v>
      </c>
      <c r="R8093" s="1" t="s">
        <v>32</v>
      </c>
      <c r="S8093" s="1" t="s">
        <v>2273</v>
      </c>
      <c r="T8093" s="1" t="s">
        <v>2274</v>
      </c>
      <c r="U8093" s="2" t="s">
        <v>4393</v>
      </c>
      <c r="V8093" s="2" t="s">
        <v>47</v>
      </c>
      <c r="W8093" s="2" t="s">
        <v>111</v>
      </c>
      <c r="X8093" s="2">
        <v>106.96</v>
      </c>
    </row>
    <row r="8094" spans="1:24" x14ac:dyDescent="0.3">
      <c r="A8094">
        <v>25897</v>
      </c>
      <c r="B8094" t="s">
        <v>15211</v>
      </c>
      <c r="C8094" s="3">
        <v>41599</v>
      </c>
      <c r="D8094" t="s">
        <v>50</v>
      </c>
      <c r="E8094">
        <v>13</v>
      </c>
      <c r="F8094" s="3">
        <f ca="1">41600+(RANDBETWEEN(1,10))</f>
        <v>41607</v>
      </c>
      <c r="G8094" t="s">
        <v>26</v>
      </c>
      <c r="H8094" t="s">
        <v>27</v>
      </c>
      <c r="I8094" t="s">
        <v>86</v>
      </c>
      <c r="J8094">
        <v>3402.91</v>
      </c>
      <c r="K8094">
        <v>0</v>
      </c>
      <c r="L8094">
        <v>0.67</v>
      </c>
      <c r="M8094">
        <v>42.49</v>
      </c>
      <c r="N8094">
        <v>121.562</v>
      </c>
      <c r="O8094" s="1" t="s">
        <v>29</v>
      </c>
      <c r="P8094" s="1" t="s">
        <v>15212</v>
      </c>
      <c r="Q8094" s="1" t="s">
        <v>15213</v>
      </c>
      <c r="R8094" s="1" t="s">
        <v>32</v>
      </c>
      <c r="S8094" s="1" t="s">
        <v>2273</v>
      </c>
      <c r="T8094" s="1" t="s">
        <v>2274</v>
      </c>
      <c r="U8094" s="2" t="s">
        <v>1651</v>
      </c>
      <c r="V8094" s="2" t="s">
        <v>36</v>
      </c>
      <c r="W8094" s="2" t="s">
        <v>60</v>
      </c>
      <c r="X8094" s="2">
        <v>258.93</v>
      </c>
    </row>
    <row r="8095" spans="1:24" x14ac:dyDescent="0.3">
      <c r="A8095">
        <v>25898</v>
      </c>
      <c r="B8095" t="s">
        <v>15214</v>
      </c>
      <c r="C8095" s="3">
        <v>41787</v>
      </c>
      <c r="D8095" t="s">
        <v>62</v>
      </c>
      <c r="E8095">
        <v>4</v>
      </c>
      <c r="F8095" s="3">
        <f ca="1">41788+(RANDBETWEEN(1,10))</f>
        <v>41797</v>
      </c>
      <c r="G8095" t="s">
        <v>26</v>
      </c>
      <c r="H8095" t="s">
        <v>27</v>
      </c>
      <c r="I8095" t="s">
        <v>28</v>
      </c>
      <c r="J8095">
        <v>93.694999999999993</v>
      </c>
      <c r="K8095">
        <v>0.03</v>
      </c>
      <c r="L8095">
        <v>0.4</v>
      </c>
      <c r="M8095">
        <v>18.725000000000001</v>
      </c>
      <c r="N8095">
        <v>-82.25</v>
      </c>
      <c r="O8095" s="1" t="s">
        <v>87</v>
      </c>
      <c r="P8095" s="1" t="s">
        <v>12193</v>
      </c>
      <c r="Q8095" s="1" t="s">
        <v>12194</v>
      </c>
      <c r="R8095" s="1" t="s">
        <v>398</v>
      </c>
      <c r="S8095" s="1" t="s">
        <v>12195</v>
      </c>
      <c r="T8095" s="1" t="s">
        <v>12196</v>
      </c>
      <c r="U8095" s="2" t="s">
        <v>2740</v>
      </c>
      <c r="V8095" s="2" t="s">
        <v>47</v>
      </c>
      <c r="W8095" s="2" t="s">
        <v>74</v>
      </c>
      <c r="X8095" s="2">
        <v>20.93</v>
      </c>
    </row>
    <row r="8096" spans="1:24" x14ac:dyDescent="0.3">
      <c r="A8096">
        <v>25899</v>
      </c>
      <c r="B8096" t="s">
        <v>15215</v>
      </c>
      <c r="C8096" s="3">
        <v>41681</v>
      </c>
      <c r="D8096" t="s">
        <v>25</v>
      </c>
      <c r="E8096">
        <v>1</v>
      </c>
      <c r="F8096" s="3">
        <f ca="1">41688+(RANDBETWEEN(1,10))</f>
        <v>41698</v>
      </c>
      <c r="G8096" t="s">
        <v>26</v>
      </c>
      <c r="H8096" t="s">
        <v>27</v>
      </c>
      <c r="I8096" t="s">
        <v>28</v>
      </c>
      <c r="J8096">
        <v>128.345</v>
      </c>
      <c r="K8096">
        <v>0.02</v>
      </c>
      <c r="L8096">
        <v>0.37</v>
      </c>
      <c r="M8096">
        <v>40.704999999999998</v>
      </c>
      <c r="N8096">
        <v>-85.491</v>
      </c>
      <c r="O8096" s="1" t="s">
        <v>87</v>
      </c>
      <c r="P8096" s="1" t="s">
        <v>15189</v>
      </c>
      <c r="Q8096" s="1" t="s">
        <v>15190</v>
      </c>
      <c r="R8096" s="1" t="s">
        <v>398</v>
      </c>
      <c r="S8096" s="1" t="s">
        <v>12195</v>
      </c>
      <c r="T8096" s="1" t="s">
        <v>12196</v>
      </c>
      <c r="U8096" s="2" t="s">
        <v>4541</v>
      </c>
      <c r="V8096" s="2" t="s">
        <v>47</v>
      </c>
      <c r="W8096" s="2" t="s">
        <v>111</v>
      </c>
      <c r="X8096" s="2">
        <v>108.43</v>
      </c>
    </row>
    <row r="8097" spans="1:24" x14ac:dyDescent="0.3">
      <c r="A8097">
        <v>25900</v>
      </c>
      <c r="B8097" t="s">
        <v>15215</v>
      </c>
      <c r="C8097" s="3">
        <v>41681</v>
      </c>
      <c r="D8097" t="s">
        <v>25</v>
      </c>
      <c r="E8097">
        <v>9</v>
      </c>
      <c r="F8097" s="3">
        <f ca="1">41688+(RANDBETWEEN(1,10))</f>
        <v>41692</v>
      </c>
      <c r="G8097" t="s">
        <v>26</v>
      </c>
      <c r="H8097" t="s">
        <v>27</v>
      </c>
      <c r="I8097" t="s">
        <v>28</v>
      </c>
      <c r="J8097">
        <v>168.21</v>
      </c>
      <c r="K8097">
        <v>0.02</v>
      </c>
      <c r="L8097">
        <v>0.38</v>
      </c>
      <c r="M8097">
        <v>26.39</v>
      </c>
      <c r="N8097">
        <v>-536.20000000000005</v>
      </c>
      <c r="O8097" s="1" t="s">
        <v>87</v>
      </c>
      <c r="P8097" s="1" t="s">
        <v>15189</v>
      </c>
      <c r="Q8097" s="1" t="s">
        <v>15190</v>
      </c>
      <c r="R8097" s="1" t="s">
        <v>398</v>
      </c>
      <c r="S8097" s="1" t="s">
        <v>12195</v>
      </c>
      <c r="T8097" s="1" t="s">
        <v>12196</v>
      </c>
      <c r="U8097" s="2" t="s">
        <v>9298</v>
      </c>
      <c r="V8097" s="2" t="s">
        <v>47</v>
      </c>
      <c r="W8097" s="2" t="s">
        <v>74</v>
      </c>
      <c r="X8097" s="2">
        <v>17.43</v>
      </c>
    </row>
    <row r="8098" spans="1:24" x14ac:dyDescent="0.3">
      <c r="A8098">
        <v>25901</v>
      </c>
      <c r="B8098" t="s">
        <v>15216</v>
      </c>
      <c r="C8098" s="3">
        <v>41421</v>
      </c>
      <c r="D8098" t="s">
        <v>148</v>
      </c>
      <c r="E8098">
        <v>7</v>
      </c>
      <c r="F8098" s="3">
        <f ca="1">41423+(RANDBETWEEN(1,10))</f>
        <v>41430</v>
      </c>
      <c r="G8098" t="s">
        <v>76</v>
      </c>
      <c r="H8098" t="s">
        <v>258</v>
      </c>
      <c r="I8098" t="s">
        <v>86</v>
      </c>
      <c r="J8098">
        <v>1411.655</v>
      </c>
      <c r="K8098">
        <v>0.1</v>
      </c>
      <c r="L8098">
        <v>0.61</v>
      </c>
      <c r="M8098">
        <v>128.13499999999999</v>
      </c>
      <c r="N8098">
        <v>-1267.1400000000001</v>
      </c>
      <c r="O8098" s="1" t="s">
        <v>29</v>
      </c>
      <c r="P8098" s="1" t="s">
        <v>15217</v>
      </c>
      <c r="Q8098" s="1" t="s">
        <v>15218</v>
      </c>
      <c r="R8098" s="1" t="s">
        <v>32</v>
      </c>
      <c r="S8098" s="1" t="s">
        <v>6074</v>
      </c>
      <c r="T8098" s="1" t="s">
        <v>6075</v>
      </c>
      <c r="U8098" s="2" t="s">
        <v>4050</v>
      </c>
      <c r="V8098" s="2" t="s">
        <v>83</v>
      </c>
      <c r="W8098" s="2" t="s">
        <v>298</v>
      </c>
      <c r="X8098" s="2">
        <v>203.49</v>
      </c>
    </row>
    <row r="8099" spans="1:24" x14ac:dyDescent="0.3">
      <c r="A8099">
        <v>25902</v>
      </c>
      <c r="B8099" t="s">
        <v>15216</v>
      </c>
      <c r="C8099" s="3">
        <v>41421</v>
      </c>
      <c r="D8099" t="s">
        <v>148</v>
      </c>
      <c r="E8099">
        <v>7</v>
      </c>
      <c r="F8099" s="3">
        <f ca="1">41422+(RANDBETWEEN(1,10))</f>
        <v>41427</v>
      </c>
      <c r="G8099" t="s">
        <v>156</v>
      </c>
      <c r="H8099" t="s">
        <v>27</v>
      </c>
      <c r="I8099" t="s">
        <v>86</v>
      </c>
      <c r="J8099">
        <v>172.34</v>
      </c>
      <c r="K8099">
        <v>0.08</v>
      </c>
      <c r="L8099">
        <v>0.39</v>
      </c>
      <c r="M8099">
        <v>1.75</v>
      </c>
      <c r="N8099">
        <v>118.91459999999999</v>
      </c>
      <c r="O8099" s="1" t="s">
        <v>64</v>
      </c>
      <c r="P8099" s="1" t="s">
        <v>15219</v>
      </c>
      <c r="Q8099" s="1" t="s">
        <v>15220</v>
      </c>
      <c r="R8099" s="1" t="s">
        <v>128</v>
      </c>
      <c r="S8099" s="1" t="s">
        <v>15221</v>
      </c>
      <c r="T8099" s="1" t="s">
        <v>15222</v>
      </c>
      <c r="U8099" s="2" t="s">
        <v>2675</v>
      </c>
      <c r="V8099" s="2" t="s">
        <v>47</v>
      </c>
      <c r="W8099" s="2" t="s">
        <v>203</v>
      </c>
      <c r="X8099" s="2">
        <v>22.05</v>
      </c>
    </row>
    <row r="8100" spans="1:24" x14ac:dyDescent="0.3">
      <c r="A8100">
        <v>25903</v>
      </c>
      <c r="B8100" t="s">
        <v>15223</v>
      </c>
      <c r="C8100" s="3">
        <v>41854</v>
      </c>
      <c r="D8100" t="s">
        <v>148</v>
      </c>
      <c r="E8100">
        <v>3</v>
      </c>
      <c r="F8100" s="3">
        <f ca="1">41855+(RANDBETWEEN(1,10))</f>
        <v>41859</v>
      </c>
      <c r="G8100" t="s">
        <v>26</v>
      </c>
      <c r="H8100" t="s">
        <v>27</v>
      </c>
      <c r="I8100" t="s">
        <v>28</v>
      </c>
      <c r="J8100">
        <v>48.825000000000003</v>
      </c>
      <c r="K8100">
        <v>0.08</v>
      </c>
      <c r="L8100">
        <v>0.38</v>
      </c>
      <c r="M8100">
        <v>18.41</v>
      </c>
      <c r="N8100">
        <v>-148.22499999999999</v>
      </c>
      <c r="O8100" s="1" t="s">
        <v>40</v>
      </c>
      <c r="P8100" s="1" t="s">
        <v>12530</v>
      </c>
      <c r="Q8100" s="1" t="s">
        <v>12531</v>
      </c>
      <c r="R8100" s="1" t="s">
        <v>43</v>
      </c>
      <c r="S8100" s="1" t="s">
        <v>794</v>
      </c>
      <c r="T8100" s="1" t="s">
        <v>795</v>
      </c>
      <c r="U8100" s="2" t="s">
        <v>1287</v>
      </c>
      <c r="V8100" s="2" t="s">
        <v>47</v>
      </c>
      <c r="W8100" s="2" t="s">
        <v>111</v>
      </c>
      <c r="X8100" s="2">
        <v>13.93</v>
      </c>
    </row>
    <row r="8101" spans="1:24" x14ac:dyDescent="0.3">
      <c r="A8101">
        <v>25904</v>
      </c>
      <c r="B8101" t="s">
        <v>15224</v>
      </c>
      <c r="C8101" s="3">
        <v>40758</v>
      </c>
      <c r="D8101" t="s">
        <v>148</v>
      </c>
      <c r="E8101">
        <v>11</v>
      </c>
      <c r="F8101" s="3">
        <f ca="1">40760+(RANDBETWEEN(1,10))</f>
        <v>40766</v>
      </c>
      <c r="G8101" t="s">
        <v>26</v>
      </c>
      <c r="H8101" t="s">
        <v>27</v>
      </c>
      <c r="I8101" t="s">
        <v>28</v>
      </c>
      <c r="J8101">
        <v>4108.16</v>
      </c>
      <c r="K8101">
        <v>0.06</v>
      </c>
      <c r="L8101">
        <v>0.6</v>
      </c>
      <c r="M8101">
        <v>8.75</v>
      </c>
      <c r="N8101">
        <v>1407.231</v>
      </c>
      <c r="O8101" s="1" t="s">
        <v>40</v>
      </c>
      <c r="P8101" s="1" t="s">
        <v>12530</v>
      </c>
      <c r="Q8101" s="1" t="s">
        <v>12531</v>
      </c>
      <c r="R8101" s="1" t="s">
        <v>43</v>
      </c>
      <c r="S8101" s="1" t="s">
        <v>794</v>
      </c>
      <c r="T8101" s="1" t="s">
        <v>795</v>
      </c>
      <c r="U8101" s="2" t="s">
        <v>4222</v>
      </c>
      <c r="V8101" s="2" t="s">
        <v>36</v>
      </c>
      <c r="W8101" s="2" t="s">
        <v>37</v>
      </c>
      <c r="X8101" s="2">
        <v>440.96499999999997</v>
      </c>
    </row>
    <row r="8102" spans="1:24" x14ac:dyDescent="0.3">
      <c r="A8102">
        <v>25905</v>
      </c>
      <c r="B8102" t="s">
        <v>15225</v>
      </c>
      <c r="C8102" s="3">
        <v>41887</v>
      </c>
      <c r="D8102" t="s">
        <v>148</v>
      </c>
      <c r="E8102">
        <v>4</v>
      </c>
      <c r="F8102" s="3">
        <f ca="1">41889+(RANDBETWEEN(1,10))</f>
        <v>41890</v>
      </c>
      <c r="G8102" t="s">
        <v>76</v>
      </c>
      <c r="H8102" t="s">
        <v>258</v>
      </c>
      <c r="I8102" t="s">
        <v>86</v>
      </c>
      <c r="J8102">
        <v>2678.06</v>
      </c>
      <c r="K8102">
        <v>0.03</v>
      </c>
      <c r="L8102">
        <v>0.77</v>
      </c>
      <c r="M8102">
        <v>243.74</v>
      </c>
      <c r="N8102">
        <v>87.507000000000005</v>
      </c>
      <c r="O8102" s="1" t="s">
        <v>64</v>
      </c>
      <c r="P8102" s="1" t="s">
        <v>15068</v>
      </c>
      <c r="Q8102" s="1" t="s">
        <v>15069</v>
      </c>
      <c r="R8102" s="1" t="s">
        <v>128</v>
      </c>
      <c r="S8102" s="1" t="s">
        <v>1532</v>
      </c>
      <c r="T8102" s="1" t="s">
        <v>1533</v>
      </c>
      <c r="U8102" s="2" t="s">
        <v>1233</v>
      </c>
      <c r="V8102" s="2" t="s">
        <v>83</v>
      </c>
      <c r="W8102" s="2" t="s">
        <v>263</v>
      </c>
      <c r="X8102" s="2">
        <v>765.625</v>
      </c>
    </row>
    <row r="8103" spans="1:24" x14ac:dyDescent="0.3">
      <c r="A8103">
        <v>25906</v>
      </c>
      <c r="B8103" t="s">
        <v>15226</v>
      </c>
      <c r="C8103" s="3">
        <v>41372</v>
      </c>
      <c r="D8103" t="s">
        <v>50</v>
      </c>
      <c r="E8103">
        <v>10</v>
      </c>
      <c r="F8103" s="3">
        <f ca="1">41374+(RANDBETWEEN(1,10))</f>
        <v>41383</v>
      </c>
      <c r="G8103" t="s">
        <v>156</v>
      </c>
      <c r="H8103" t="s">
        <v>51</v>
      </c>
      <c r="I8103" t="s">
        <v>97</v>
      </c>
      <c r="J8103">
        <v>779.24</v>
      </c>
      <c r="K8103">
        <v>0.03</v>
      </c>
      <c r="L8103">
        <v>0.41</v>
      </c>
      <c r="M8103">
        <v>17.78</v>
      </c>
      <c r="N8103">
        <v>537.67560000000003</v>
      </c>
      <c r="O8103" s="1" t="s">
        <v>225</v>
      </c>
      <c r="P8103" s="1" t="s">
        <v>11460</v>
      </c>
      <c r="Q8103" s="1" t="s">
        <v>11461</v>
      </c>
      <c r="R8103" s="1" t="s">
        <v>228</v>
      </c>
      <c r="S8103" s="1" t="s">
        <v>11462</v>
      </c>
      <c r="T8103" s="1" t="s">
        <v>11463</v>
      </c>
      <c r="U8103" s="2" t="s">
        <v>3475</v>
      </c>
      <c r="V8103" s="2" t="s">
        <v>83</v>
      </c>
      <c r="W8103" s="2" t="s">
        <v>178</v>
      </c>
      <c r="X8103" s="2">
        <v>77.805000000000007</v>
      </c>
    </row>
    <row r="8104" spans="1:24" x14ac:dyDescent="0.3">
      <c r="A8104">
        <v>25907</v>
      </c>
      <c r="B8104" t="s">
        <v>15226</v>
      </c>
      <c r="C8104" s="3">
        <v>41372</v>
      </c>
      <c r="D8104" t="s">
        <v>50</v>
      </c>
      <c r="E8104">
        <v>2</v>
      </c>
      <c r="F8104" s="3">
        <f ca="1">41373+(RANDBETWEEN(1,10))</f>
        <v>41374</v>
      </c>
      <c r="G8104" t="s">
        <v>26</v>
      </c>
      <c r="H8104" t="s">
        <v>27</v>
      </c>
      <c r="I8104" t="s">
        <v>97</v>
      </c>
      <c r="J8104">
        <v>411.11</v>
      </c>
      <c r="K8104">
        <v>0</v>
      </c>
      <c r="L8104">
        <v>0.56000000000000005</v>
      </c>
      <c r="M8104">
        <v>31.465</v>
      </c>
      <c r="N8104">
        <v>-557.32600000000002</v>
      </c>
      <c r="O8104" s="1" t="s">
        <v>225</v>
      </c>
      <c r="P8104" s="1" t="s">
        <v>11460</v>
      </c>
      <c r="Q8104" s="1" t="s">
        <v>11461</v>
      </c>
      <c r="R8104" s="1" t="s">
        <v>228</v>
      </c>
      <c r="S8104" s="1" t="s">
        <v>11462</v>
      </c>
      <c r="T8104" s="1" t="s">
        <v>11463</v>
      </c>
      <c r="U8104" s="2" t="s">
        <v>164</v>
      </c>
      <c r="V8104" s="2" t="s">
        <v>36</v>
      </c>
      <c r="W8104" s="2" t="s">
        <v>37</v>
      </c>
      <c r="X8104" s="2">
        <v>230.965</v>
      </c>
    </row>
    <row r="8105" spans="1:24" x14ac:dyDescent="0.3">
      <c r="A8105">
        <v>25908</v>
      </c>
      <c r="B8105" t="s">
        <v>15226</v>
      </c>
      <c r="C8105" s="3">
        <v>41372</v>
      </c>
      <c r="D8105" t="s">
        <v>50</v>
      </c>
      <c r="E8105">
        <v>9</v>
      </c>
      <c r="F8105" s="3">
        <f ca="1">41375+(RANDBETWEEN(1,10))</f>
        <v>41381</v>
      </c>
      <c r="G8105" t="s">
        <v>26</v>
      </c>
      <c r="H8105" t="s">
        <v>27</v>
      </c>
      <c r="I8105" t="s">
        <v>97</v>
      </c>
      <c r="J8105">
        <v>618.30999999999995</v>
      </c>
      <c r="K8105">
        <v>0.09</v>
      </c>
      <c r="L8105">
        <v>0.38</v>
      </c>
      <c r="M8105">
        <v>20.195</v>
      </c>
      <c r="N8105">
        <v>426.63389999999998</v>
      </c>
      <c r="O8105" s="1" t="s">
        <v>29</v>
      </c>
      <c r="P8105" s="1" t="s">
        <v>15227</v>
      </c>
      <c r="Q8105" s="1" t="s">
        <v>15228</v>
      </c>
      <c r="R8105" s="1" t="s">
        <v>460</v>
      </c>
      <c r="S8105" s="1" t="s">
        <v>1773</v>
      </c>
      <c r="T8105" s="1" t="s">
        <v>1774</v>
      </c>
      <c r="U8105" s="2" t="s">
        <v>5065</v>
      </c>
      <c r="V8105" s="2" t="s">
        <v>47</v>
      </c>
      <c r="W8105" s="2" t="s">
        <v>74</v>
      </c>
      <c r="X8105" s="2">
        <v>69.930000000000007</v>
      </c>
    </row>
    <row r="8106" spans="1:24" x14ac:dyDescent="0.3">
      <c r="A8106">
        <v>25909</v>
      </c>
      <c r="B8106" t="s">
        <v>15229</v>
      </c>
      <c r="C8106" s="3">
        <v>41580</v>
      </c>
      <c r="D8106" t="s">
        <v>62</v>
      </c>
      <c r="E8106">
        <v>26</v>
      </c>
      <c r="F8106" s="3">
        <f ca="1">41581+(RANDBETWEEN(1,10))</f>
        <v>41587</v>
      </c>
      <c r="G8106" t="s">
        <v>76</v>
      </c>
      <c r="H8106" t="s">
        <v>258</v>
      </c>
      <c r="I8106" t="s">
        <v>86</v>
      </c>
      <c r="J8106">
        <v>22741.145</v>
      </c>
      <c r="K8106">
        <v>0.02</v>
      </c>
      <c r="L8106">
        <v>0.76</v>
      </c>
      <c r="M8106">
        <v>189.42</v>
      </c>
      <c r="N8106">
        <v>5379.759</v>
      </c>
      <c r="O8106" s="1" t="s">
        <v>87</v>
      </c>
      <c r="P8106" s="1" t="s">
        <v>14968</v>
      </c>
      <c r="Q8106" s="1" t="s">
        <v>14969</v>
      </c>
      <c r="R8106" s="1" t="s">
        <v>90</v>
      </c>
      <c r="S8106" s="1" t="s">
        <v>14970</v>
      </c>
      <c r="T8106" s="1" t="s">
        <v>14971</v>
      </c>
      <c r="U8106" s="2" t="s">
        <v>1007</v>
      </c>
      <c r="V8106" s="2" t="s">
        <v>83</v>
      </c>
      <c r="W8106" s="2" t="s">
        <v>263</v>
      </c>
      <c r="X8106" s="2">
        <v>1036.6300000000001</v>
      </c>
    </row>
    <row r="8107" spans="1:24" x14ac:dyDescent="0.3">
      <c r="A8107">
        <v>25910</v>
      </c>
      <c r="B8107" t="s">
        <v>15229</v>
      </c>
      <c r="C8107" s="3">
        <v>41580</v>
      </c>
      <c r="D8107" t="s">
        <v>62</v>
      </c>
      <c r="E8107">
        <v>16</v>
      </c>
      <c r="F8107" s="3">
        <f ca="1">41582+(RANDBETWEEN(1,10))</f>
        <v>41590</v>
      </c>
      <c r="G8107" t="s">
        <v>76</v>
      </c>
      <c r="H8107" t="s">
        <v>258</v>
      </c>
      <c r="I8107" t="s">
        <v>86</v>
      </c>
      <c r="J8107">
        <v>3342.92</v>
      </c>
      <c r="K8107">
        <v>0.08</v>
      </c>
      <c r="L8107">
        <v>0.61</v>
      </c>
      <c r="M8107">
        <v>128.13499999999999</v>
      </c>
      <c r="N8107">
        <v>246.05699999999999</v>
      </c>
      <c r="O8107" s="1" t="s">
        <v>87</v>
      </c>
      <c r="P8107" s="1" t="s">
        <v>15230</v>
      </c>
      <c r="Q8107" s="1" t="s">
        <v>15231</v>
      </c>
      <c r="R8107" s="1" t="s">
        <v>497</v>
      </c>
      <c r="S8107" s="1" t="s">
        <v>682</v>
      </c>
      <c r="T8107" s="1" t="s">
        <v>683</v>
      </c>
      <c r="U8107" s="2" t="s">
        <v>4050</v>
      </c>
      <c r="V8107" s="2" t="s">
        <v>83</v>
      </c>
      <c r="W8107" s="2" t="s">
        <v>298</v>
      </c>
      <c r="X8107" s="2">
        <v>203.49</v>
      </c>
    </row>
    <row r="8108" spans="1:24" x14ac:dyDescent="0.3">
      <c r="A8108">
        <v>25911</v>
      </c>
      <c r="B8108" t="s">
        <v>15232</v>
      </c>
      <c r="C8108" s="3">
        <v>41500</v>
      </c>
      <c r="D8108" t="s">
        <v>50</v>
      </c>
      <c r="E8108">
        <v>4</v>
      </c>
      <c r="F8108" s="3">
        <f ca="1">41500+(RANDBETWEEN(1,10))</f>
        <v>41501</v>
      </c>
      <c r="G8108" t="s">
        <v>26</v>
      </c>
      <c r="H8108" t="s">
        <v>27</v>
      </c>
      <c r="I8108" t="s">
        <v>52</v>
      </c>
      <c r="J8108">
        <v>113.645</v>
      </c>
      <c r="K8108">
        <v>0.1</v>
      </c>
      <c r="L8108">
        <v>0.4</v>
      </c>
      <c r="M8108">
        <v>16.87</v>
      </c>
      <c r="N8108">
        <v>-30.994599999999998</v>
      </c>
      <c r="O8108" s="1" t="s">
        <v>40</v>
      </c>
      <c r="P8108" s="1" t="s">
        <v>5886</v>
      </c>
      <c r="Q8108" s="1" t="s">
        <v>5887</v>
      </c>
      <c r="R8108" s="1" t="s">
        <v>220</v>
      </c>
      <c r="S8108" s="1" t="s">
        <v>5888</v>
      </c>
      <c r="T8108" s="1" t="s">
        <v>5889</v>
      </c>
      <c r="U8108" s="2" t="s">
        <v>1488</v>
      </c>
      <c r="V8108" s="2" t="s">
        <v>47</v>
      </c>
      <c r="W8108" s="2" t="s">
        <v>74</v>
      </c>
      <c r="X8108" s="2">
        <v>29.19</v>
      </c>
    </row>
    <row r="8109" spans="1:24" x14ac:dyDescent="0.3">
      <c r="A8109">
        <v>25912</v>
      </c>
      <c r="B8109" t="s">
        <v>15232</v>
      </c>
      <c r="C8109" s="3">
        <v>41500</v>
      </c>
      <c r="D8109" t="s">
        <v>50</v>
      </c>
      <c r="E8109">
        <v>22</v>
      </c>
      <c r="F8109" s="3">
        <f ca="1">41502+(RANDBETWEEN(1,10))</f>
        <v>41511</v>
      </c>
      <c r="G8109" t="s">
        <v>76</v>
      </c>
      <c r="H8109" t="s">
        <v>77</v>
      </c>
      <c r="I8109" t="s">
        <v>52</v>
      </c>
      <c r="J8109">
        <v>1663.0250000000001</v>
      </c>
      <c r="K8109">
        <v>0.1</v>
      </c>
      <c r="L8109">
        <v>0.78</v>
      </c>
      <c r="M8109">
        <v>185.60499999999999</v>
      </c>
      <c r="N8109">
        <v>-3827.5509999999999</v>
      </c>
      <c r="O8109" s="1" t="s">
        <v>29</v>
      </c>
      <c r="P8109" s="1" t="s">
        <v>15233</v>
      </c>
      <c r="Q8109" s="1" t="s">
        <v>15234</v>
      </c>
      <c r="R8109" s="1" t="s">
        <v>32</v>
      </c>
      <c r="S8109" s="1" t="s">
        <v>2291</v>
      </c>
      <c r="T8109" s="1" t="s">
        <v>2292</v>
      </c>
      <c r="U8109" s="2" t="s">
        <v>583</v>
      </c>
      <c r="V8109" s="2" t="s">
        <v>47</v>
      </c>
      <c r="W8109" s="2" t="s">
        <v>119</v>
      </c>
      <c r="X8109" s="2">
        <v>73.430000000000007</v>
      </c>
    </row>
    <row r="8110" spans="1:24" x14ac:dyDescent="0.3">
      <c r="A8110">
        <v>25913</v>
      </c>
      <c r="B8110" t="s">
        <v>15232</v>
      </c>
      <c r="C8110" s="3">
        <v>41500</v>
      </c>
      <c r="D8110" t="s">
        <v>50</v>
      </c>
      <c r="E8110">
        <v>14</v>
      </c>
      <c r="F8110" s="3">
        <f ca="1">41502+(RANDBETWEEN(1,10))</f>
        <v>41510</v>
      </c>
      <c r="G8110" t="s">
        <v>76</v>
      </c>
      <c r="H8110" t="s">
        <v>258</v>
      </c>
      <c r="I8110" t="s">
        <v>52</v>
      </c>
      <c r="J8110">
        <v>13724.27</v>
      </c>
      <c r="K8110">
        <v>0.05</v>
      </c>
      <c r="L8110">
        <v>0.78</v>
      </c>
      <c r="M8110">
        <v>216.16</v>
      </c>
      <c r="N8110">
        <v>-1261.6793189</v>
      </c>
      <c r="O8110" s="1" t="s">
        <v>29</v>
      </c>
      <c r="P8110" s="1" t="s">
        <v>15233</v>
      </c>
      <c r="Q8110" s="1" t="s">
        <v>15234</v>
      </c>
      <c r="R8110" s="1" t="s">
        <v>32</v>
      </c>
      <c r="S8110" s="1" t="s">
        <v>2291</v>
      </c>
      <c r="T8110" s="1" t="s">
        <v>2292</v>
      </c>
      <c r="U8110" s="2" t="s">
        <v>3683</v>
      </c>
      <c r="V8110" s="2" t="s">
        <v>83</v>
      </c>
      <c r="W8110" s="2" t="s">
        <v>263</v>
      </c>
      <c r="X8110" s="2">
        <v>1003.975</v>
      </c>
    </row>
    <row r="8111" spans="1:24" x14ac:dyDescent="0.3">
      <c r="A8111">
        <v>25914</v>
      </c>
      <c r="B8111" t="s">
        <v>15235</v>
      </c>
      <c r="C8111" s="3">
        <v>40582</v>
      </c>
      <c r="D8111" t="s">
        <v>39</v>
      </c>
      <c r="E8111">
        <v>5</v>
      </c>
      <c r="F8111" s="3">
        <f ca="1">40585+(RANDBETWEEN(1,10))</f>
        <v>40595</v>
      </c>
      <c r="G8111" t="s">
        <v>156</v>
      </c>
      <c r="H8111" t="s">
        <v>281</v>
      </c>
      <c r="I8111" t="s">
        <v>52</v>
      </c>
      <c r="J8111">
        <v>1772.75</v>
      </c>
      <c r="K8111">
        <v>0.1</v>
      </c>
      <c r="L8111">
        <v>0.65</v>
      </c>
      <c r="M8111">
        <v>48.965000000000003</v>
      </c>
      <c r="N8111">
        <v>1223.1975</v>
      </c>
      <c r="O8111" s="1" t="s">
        <v>225</v>
      </c>
      <c r="P8111" s="1" t="s">
        <v>13370</v>
      </c>
      <c r="Q8111" s="1" t="s">
        <v>13371</v>
      </c>
      <c r="R8111" s="1" t="s">
        <v>391</v>
      </c>
      <c r="S8111" s="1" t="s">
        <v>7660</v>
      </c>
      <c r="T8111" s="1" t="s">
        <v>7661</v>
      </c>
      <c r="U8111" s="2" t="s">
        <v>3518</v>
      </c>
      <c r="V8111" s="2" t="s">
        <v>83</v>
      </c>
      <c r="W8111" s="2" t="s">
        <v>178</v>
      </c>
      <c r="X8111" s="2">
        <v>370.93</v>
      </c>
    </row>
    <row r="8112" spans="1:24" x14ac:dyDescent="0.3">
      <c r="A8112">
        <v>25915</v>
      </c>
      <c r="B8112" t="s">
        <v>15236</v>
      </c>
      <c r="C8112" s="3">
        <v>40706</v>
      </c>
      <c r="D8112" t="s">
        <v>25</v>
      </c>
      <c r="E8112">
        <v>9</v>
      </c>
      <c r="F8112" s="3">
        <f ca="1">40710+(RANDBETWEEN(1,10))</f>
        <v>40715</v>
      </c>
      <c r="G8112" t="s">
        <v>26</v>
      </c>
      <c r="H8112" t="s">
        <v>63</v>
      </c>
      <c r="I8112" t="s">
        <v>86</v>
      </c>
      <c r="J8112">
        <v>3292.24</v>
      </c>
      <c r="K8112">
        <v>0.04</v>
      </c>
      <c r="L8112">
        <v>0.79</v>
      </c>
      <c r="M8112">
        <v>35.42</v>
      </c>
      <c r="N8112">
        <v>2062.1579999999999</v>
      </c>
      <c r="O8112" s="1" t="s">
        <v>29</v>
      </c>
      <c r="P8112" s="1" t="s">
        <v>15237</v>
      </c>
      <c r="Q8112" s="1" t="s">
        <v>15238</v>
      </c>
      <c r="R8112" s="1" t="s">
        <v>32</v>
      </c>
      <c r="S8112" s="1" t="s">
        <v>3140</v>
      </c>
      <c r="T8112" s="1" t="s">
        <v>3141</v>
      </c>
      <c r="U8112" s="2" t="s">
        <v>1246</v>
      </c>
      <c r="V8112" s="2" t="s">
        <v>83</v>
      </c>
      <c r="W8112" s="2" t="s">
        <v>178</v>
      </c>
      <c r="X8112" s="2">
        <v>368.51499999999999</v>
      </c>
    </row>
    <row r="8113" spans="1:24" x14ac:dyDescent="0.3">
      <c r="A8113">
        <v>25916</v>
      </c>
      <c r="B8113" t="s">
        <v>15236</v>
      </c>
      <c r="C8113" s="3">
        <v>40706</v>
      </c>
      <c r="D8113" t="s">
        <v>25</v>
      </c>
      <c r="E8113">
        <v>18</v>
      </c>
      <c r="F8113" s="3">
        <f ca="1">40708+(RANDBETWEEN(1,10))</f>
        <v>40711</v>
      </c>
      <c r="G8113" t="s">
        <v>76</v>
      </c>
      <c r="H8113" t="s">
        <v>258</v>
      </c>
      <c r="I8113" t="s">
        <v>86</v>
      </c>
      <c r="J8113">
        <v>1537.4449999999999</v>
      </c>
      <c r="K8113">
        <v>7.0000000000000007E-2</v>
      </c>
      <c r="L8113">
        <v>0.65</v>
      </c>
      <c r="M8113">
        <v>159.285</v>
      </c>
      <c r="N8113">
        <v>-4602.4719999999998</v>
      </c>
      <c r="O8113" s="1" t="s">
        <v>29</v>
      </c>
      <c r="P8113" s="1" t="s">
        <v>15237</v>
      </c>
      <c r="Q8113" s="1" t="s">
        <v>15238</v>
      </c>
      <c r="R8113" s="1" t="s">
        <v>32</v>
      </c>
      <c r="S8113" s="1" t="s">
        <v>3140</v>
      </c>
      <c r="T8113" s="1" t="s">
        <v>3141</v>
      </c>
      <c r="U8113" s="2" t="s">
        <v>1566</v>
      </c>
      <c r="V8113" s="2" t="s">
        <v>83</v>
      </c>
      <c r="W8113" s="2" t="s">
        <v>263</v>
      </c>
      <c r="X8113" s="2">
        <v>111.16</v>
      </c>
    </row>
    <row r="8114" spans="1:24" x14ac:dyDescent="0.3">
      <c r="A8114">
        <v>25917</v>
      </c>
      <c r="B8114" t="s">
        <v>15236</v>
      </c>
      <c r="C8114" s="3">
        <v>40706</v>
      </c>
      <c r="D8114" t="s">
        <v>25</v>
      </c>
      <c r="E8114">
        <v>14</v>
      </c>
      <c r="F8114" s="3">
        <f ca="1">40706+(RANDBETWEEN(1,10))</f>
        <v>40714</v>
      </c>
      <c r="G8114" t="s">
        <v>76</v>
      </c>
      <c r="H8114" t="s">
        <v>258</v>
      </c>
      <c r="I8114" t="s">
        <v>86</v>
      </c>
      <c r="J8114">
        <v>6235.81</v>
      </c>
      <c r="K8114">
        <v>0.04</v>
      </c>
      <c r="L8114">
        <v>0.69</v>
      </c>
      <c r="M8114">
        <v>191.59</v>
      </c>
      <c r="N8114">
        <v>-2533.2440000000001</v>
      </c>
      <c r="O8114" s="1" t="s">
        <v>40</v>
      </c>
      <c r="P8114" s="1" t="s">
        <v>12313</v>
      </c>
      <c r="Q8114" s="1" t="s">
        <v>12314</v>
      </c>
      <c r="R8114" s="1" t="s">
        <v>43</v>
      </c>
      <c r="S8114" s="1" t="s">
        <v>12315</v>
      </c>
      <c r="T8114" s="1" t="s">
        <v>12316</v>
      </c>
      <c r="U8114" s="2" t="s">
        <v>493</v>
      </c>
      <c r="V8114" s="2" t="s">
        <v>83</v>
      </c>
      <c r="W8114" s="2" t="s">
        <v>298</v>
      </c>
      <c r="X8114" s="2">
        <v>458.43</v>
      </c>
    </row>
    <row r="8115" spans="1:24" x14ac:dyDescent="0.3">
      <c r="A8115">
        <v>25918</v>
      </c>
      <c r="B8115" t="s">
        <v>15239</v>
      </c>
      <c r="C8115" s="3">
        <v>40865</v>
      </c>
      <c r="D8115" t="s">
        <v>62</v>
      </c>
      <c r="E8115">
        <v>20</v>
      </c>
      <c r="F8115" s="3">
        <f ca="1">40867+(RANDBETWEEN(1,10))</f>
        <v>40869</v>
      </c>
      <c r="G8115" t="s">
        <v>26</v>
      </c>
      <c r="H8115" t="s">
        <v>96</v>
      </c>
      <c r="I8115" t="s">
        <v>52</v>
      </c>
      <c r="J8115">
        <v>128.52000000000001</v>
      </c>
      <c r="K8115">
        <v>0.1</v>
      </c>
      <c r="L8115">
        <v>0.83</v>
      </c>
      <c r="M8115">
        <v>2.66</v>
      </c>
      <c r="N8115">
        <v>-141.512</v>
      </c>
      <c r="O8115" s="1" t="s">
        <v>29</v>
      </c>
      <c r="P8115" s="1" t="s">
        <v>14281</v>
      </c>
      <c r="Q8115" s="1" t="s">
        <v>14282</v>
      </c>
      <c r="R8115" s="1" t="s">
        <v>32</v>
      </c>
      <c r="S8115" s="1" t="s">
        <v>4868</v>
      </c>
      <c r="T8115" s="1" t="s">
        <v>4869</v>
      </c>
      <c r="U8115" s="2" t="s">
        <v>4457</v>
      </c>
      <c r="V8115" s="2" t="s">
        <v>47</v>
      </c>
      <c r="W8115" s="2" t="s">
        <v>176</v>
      </c>
      <c r="X8115" s="2">
        <v>6.6150000000000002</v>
      </c>
    </row>
    <row r="8116" spans="1:24" x14ac:dyDescent="0.3">
      <c r="A8116">
        <v>25919</v>
      </c>
      <c r="B8116" t="s">
        <v>15240</v>
      </c>
      <c r="C8116" s="3">
        <v>41705</v>
      </c>
      <c r="D8116" t="s">
        <v>148</v>
      </c>
      <c r="E8116">
        <v>5</v>
      </c>
      <c r="F8116" s="3">
        <f ca="1">41705+(RANDBETWEEN(1,10))</f>
        <v>41708</v>
      </c>
      <c r="G8116" t="s">
        <v>156</v>
      </c>
      <c r="H8116" t="s">
        <v>27</v>
      </c>
      <c r="I8116" t="s">
        <v>52</v>
      </c>
      <c r="J8116">
        <v>750.71500000000003</v>
      </c>
      <c r="K8116">
        <v>0.08</v>
      </c>
      <c r="L8116">
        <v>0.64</v>
      </c>
      <c r="M8116">
        <v>14</v>
      </c>
      <c r="N8116">
        <v>181.47499999999999</v>
      </c>
      <c r="O8116" s="1" t="s">
        <v>87</v>
      </c>
      <c r="P8116" s="1" t="s">
        <v>14643</v>
      </c>
      <c r="Q8116" s="1" t="s">
        <v>14644</v>
      </c>
      <c r="R8116" s="1" t="s">
        <v>497</v>
      </c>
      <c r="S8116" s="1" t="s">
        <v>3296</v>
      </c>
      <c r="T8116" s="1" t="s">
        <v>3297</v>
      </c>
      <c r="U8116" s="2" t="s">
        <v>4657</v>
      </c>
      <c r="V8116" s="2" t="s">
        <v>36</v>
      </c>
      <c r="W8116" s="2" t="s">
        <v>60</v>
      </c>
      <c r="X8116" s="2">
        <v>151.27000000000001</v>
      </c>
    </row>
    <row r="8117" spans="1:24" x14ac:dyDescent="0.3">
      <c r="A8117">
        <v>25920</v>
      </c>
      <c r="B8117" t="s">
        <v>15241</v>
      </c>
      <c r="C8117" s="3">
        <v>40746</v>
      </c>
      <c r="D8117" t="s">
        <v>39</v>
      </c>
      <c r="E8117">
        <v>11</v>
      </c>
      <c r="F8117" s="3">
        <f ca="1">40746+(RANDBETWEEN(1,10))</f>
        <v>40751</v>
      </c>
      <c r="G8117" t="s">
        <v>26</v>
      </c>
      <c r="H8117" t="s">
        <v>27</v>
      </c>
      <c r="I8117" t="s">
        <v>52</v>
      </c>
      <c r="J8117">
        <v>4061.47</v>
      </c>
      <c r="K8117">
        <v>0</v>
      </c>
      <c r="L8117">
        <v>0.57999999999999996</v>
      </c>
      <c r="M8117">
        <v>20.72</v>
      </c>
      <c r="N8117">
        <v>-58.701999999999998</v>
      </c>
      <c r="O8117" s="1" t="s">
        <v>87</v>
      </c>
      <c r="P8117" s="1" t="s">
        <v>14820</v>
      </c>
      <c r="Q8117" s="1" t="s">
        <v>14821</v>
      </c>
      <c r="R8117" s="1" t="s">
        <v>497</v>
      </c>
      <c r="S8117" s="1" t="s">
        <v>11171</v>
      </c>
      <c r="T8117" s="1" t="s">
        <v>11172</v>
      </c>
      <c r="U8117" s="2">
        <v>8890</v>
      </c>
      <c r="V8117" s="2" t="s">
        <v>36</v>
      </c>
      <c r="W8117" s="2" t="s">
        <v>37</v>
      </c>
      <c r="X8117" s="2">
        <v>405.96499999999997</v>
      </c>
    </row>
    <row r="8118" spans="1:24" x14ac:dyDescent="0.3">
      <c r="A8118">
        <v>25921</v>
      </c>
      <c r="B8118" t="s">
        <v>15242</v>
      </c>
      <c r="C8118" s="3">
        <v>41511</v>
      </c>
      <c r="D8118" t="s">
        <v>39</v>
      </c>
      <c r="E8118">
        <v>1</v>
      </c>
      <c r="F8118" s="3">
        <f ca="1">41512+(RANDBETWEEN(1,10))</f>
        <v>41517</v>
      </c>
      <c r="G8118" t="s">
        <v>26</v>
      </c>
      <c r="H8118" t="s">
        <v>27</v>
      </c>
      <c r="I8118" t="s">
        <v>28</v>
      </c>
      <c r="J8118">
        <v>51.31</v>
      </c>
      <c r="K8118">
        <v>0</v>
      </c>
      <c r="L8118">
        <v>0.36</v>
      </c>
      <c r="M8118">
        <v>19.004999999999999</v>
      </c>
      <c r="N8118">
        <v>-23.259599999999999</v>
      </c>
      <c r="O8118" s="1" t="s">
        <v>40</v>
      </c>
      <c r="P8118" s="1" t="s">
        <v>13747</v>
      </c>
      <c r="Q8118" s="1" t="s">
        <v>13748</v>
      </c>
      <c r="R8118" s="1" t="s">
        <v>220</v>
      </c>
      <c r="S8118" s="1" t="s">
        <v>4304</v>
      </c>
      <c r="T8118" s="1" t="s">
        <v>4305</v>
      </c>
      <c r="U8118" s="2" t="s">
        <v>3430</v>
      </c>
      <c r="V8118" s="2" t="s">
        <v>47</v>
      </c>
      <c r="W8118" s="2" t="s">
        <v>74</v>
      </c>
      <c r="X8118" s="2">
        <v>40.18</v>
      </c>
    </row>
    <row r="8119" spans="1:24" x14ac:dyDescent="0.3">
      <c r="A8119">
        <v>25922</v>
      </c>
      <c r="B8119" t="s">
        <v>15242</v>
      </c>
      <c r="C8119" s="3">
        <v>41511</v>
      </c>
      <c r="D8119" t="s">
        <v>39</v>
      </c>
      <c r="E8119">
        <v>5</v>
      </c>
      <c r="F8119" s="3">
        <f ca="1">41512+(RANDBETWEEN(1,10))</f>
        <v>41516</v>
      </c>
      <c r="G8119" t="s">
        <v>26</v>
      </c>
      <c r="H8119" t="s">
        <v>27</v>
      </c>
      <c r="I8119" t="s">
        <v>28</v>
      </c>
      <c r="J8119">
        <v>127.68</v>
      </c>
      <c r="K8119">
        <v>0.06</v>
      </c>
      <c r="L8119">
        <v>0.37</v>
      </c>
      <c r="M8119">
        <v>19.809999999999999</v>
      </c>
      <c r="N8119">
        <v>-41.040999999999997</v>
      </c>
      <c r="O8119" s="1" t="s">
        <v>40</v>
      </c>
      <c r="P8119" s="1" t="s">
        <v>13747</v>
      </c>
      <c r="Q8119" s="1" t="s">
        <v>13748</v>
      </c>
      <c r="R8119" s="1" t="s">
        <v>220</v>
      </c>
      <c r="S8119" s="1" t="s">
        <v>4304</v>
      </c>
      <c r="T8119" s="1" t="s">
        <v>4305</v>
      </c>
      <c r="U8119" s="2" t="s">
        <v>1796</v>
      </c>
      <c r="V8119" s="2" t="s">
        <v>47</v>
      </c>
      <c r="W8119" s="2" t="s">
        <v>74</v>
      </c>
      <c r="X8119" s="2">
        <v>23.38</v>
      </c>
    </row>
    <row r="8120" spans="1:24" x14ac:dyDescent="0.3">
      <c r="A8120">
        <v>25923</v>
      </c>
      <c r="B8120" t="s">
        <v>15243</v>
      </c>
      <c r="C8120" s="3">
        <v>41971</v>
      </c>
      <c r="D8120" t="s">
        <v>50</v>
      </c>
      <c r="E8120">
        <v>32</v>
      </c>
      <c r="F8120" s="3">
        <f ca="1">41973+(RANDBETWEEN(1,10))</f>
        <v>41982</v>
      </c>
      <c r="G8120" t="s">
        <v>26</v>
      </c>
      <c r="H8120" t="s">
        <v>96</v>
      </c>
      <c r="I8120" t="s">
        <v>97</v>
      </c>
      <c r="J8120">
        <v>255.39500000000001</v>
      </c>
      <c r="K8120">
        <v>0.02</v>
      </c>
      <c r="L8120">
        <v>0.38</v>
      </c>
      <c r="M8120">
        <v>3.5</v>
      </c>
      <c r="N8120">
        <v>-217.21700000000001</v>
      </c>
      <c r="O8120" s="1" t="s">
        <v>87</v>
      </c>
      <c r="P8120" s="1" t="s">
        <v>15244</v>
      </c>
      <c r="Q8120" s="1" t="s">
        <v>15245</v>
      </c>
      <c r="R8120" s="1" t="s">
        <v>646</v>
      </c>
      <c r="S8120" s="1" t="s">
        <v>647</v>
      </c>
      <c r="T8120" s="1" t="s">
        <v>648</v>
      </c>
      <c r="U8120" s="2" t="s">
        <v>671</v>
      </c>
      <c r="V8120" s="2" t="s">
        <v>47</v>
      </c>
      <c r="W8120" s="2" t="s">
        <v>104</v>
      </c>
      <c r="X8120" s="2">
        <v>7.7350000000000003</v>
      </c>
    </row>
    <row r="8121" spans="1:24" x14ac:dyDescent="0.3">
      <c r="A8121">
        <v>25924</v>
      </c>
      <c r="B8121" t="s">
        <v>15246</v>
      </c>
      <c r="C8121" s="3">
        <v>41645</v>
      </c>
      <c r="D8121" t="s">
        <v>25</v>
      </c>
      <c r="E8121">
        <v>13</v>
      </c>
      <c r="F8121" s="3">
        <f ca="1">41645+(RANDBETWEEN(1,10))</f>
        <v>41650</v>
      </c>
      <c r="G8121" t="s">
        <v>26</v>
      </c>
      <c r="H8121" t="s">
        <v>27</v>
      </c>
      <c r="I8121" t="s">
        <v>97</v>
      </c>
      <c r="J8121">
        <v>1467.375</v>
      </c>
      <c r="K8121">
        <v>0.02</v>
      </c>
      <c r="L8121">
        <v>0.4</v>
      </c>
      <c r="M8121">
        <v>59.78</v>
      </c>
      <c r="N8121">
        <v>175.0812</v>
      </c>
      <c r="O8121" s="1" t="s">
        <v>53</v>
      </c>
      <c r="P8121" s="1" t="s">
        <v>9865</v>
      </c>
      <c r="Q8121" s="1" t="s">
        <v>9866</v>
      </c>
      <c r="R8121" s="1" t="s">
        <v>56</v>
      </c>
      <c r="S8121" s="1" t="s">
        <v>9867</v>
      </c>
      <c r="T8121" s="1" t="s">
        <v>9868</v>
      </c>
      <c r="U8121" s="2" t="s">
        <v>6956</v>
      </c>
      <c r="V8121" s="2" t="s">
        <v>47</v>
      </c>
      <c r="W8121" s="2" t="s">
        <v>74</v>
      </c>
      <c r="X8121" s="2">
        <v>108.43</v>
      </c>
    </row>
    <row r="8122" spans="1:24" x14ac:dyDescent="0.3">
      <c r="A8122">
        <v>25925</v>
      </c>
      <c r="B8122" t="s">
        <v>15246</v>
      </c>
      <c r="C8122" s="3">
        <v>41645</v>
      </c>
      <c r="D8122" t="s">
        <v>25</v>
      </c>
      <c r="E8122">
        <v>12</v>
      </c>
      <c r="F8122" s="3">
        <f ca="1">41647+(RANDBETWEEN(1,10))</f>
        <v>41652</v>
      </c>
      <c r="G8122" t="s">
        <v>76</v>
      </c>
      <c r="H8122" t="s">
        <v>258</v>
      </c>
      <c r="I8122" t="s">
        <v>97</v>
      </c>
      <c r="J8122">
        <v>14729.365</v>
      </c>
      <c r="K8122">
        <v>7.0000000000000007E-2</v>
      </c>
      <c r="L8122">
        <v>0.62</v>
      </c>
      <c r="M8122">
        <v>140.66499999999999</v>
      </c>
      <c r="N8122">
        <v>8718.3361999999997</v>
      </c>
      <c r="O8122" s="1" t="s">
        <v>53</v>
      </c>
      <c r="P8122" s="1" t="s">
        <v>9865</v>
      </c>
      <c r="Q8122" s="1" t="s">
        <v>9866</v>
      </c>
      <c r="R8122" s="1" t="s">
        <v>56</v>
      </c>
      <c r="S8122" s="1" t="s">
        <v>9867</v>
      </c>
      <c r="T8122" s="1" t="s">
        <v>9868</v>
      </c>
      <c r="U8122" s="2" t="s">
        <v>3482</v>
      </c>
      <c r="V8122" s="2" t="s">
        <v>83</v>
      </c>
      <c r="W8122" s="2" t="s">
        <v>263</v>
      </c>
      <c r="X8122" s="2">
        <v>1218.7349999999999</v>
      </c>
    </row>
    <row r="8123" spans="1:24" x14ac:dyDescent="0.3">
      <c r="A8123">
        <v>25926</v>
      </c>
      <c r="B8123" t="s">
        <v>15247</v>
      </c>
      <c r="C8123" s="3">
        <v>41048</v>
      </c>
      <c r="D8123" t="s">
        <v>62</v>
      </c>
      <c r="E8123">
        <v>15</v>
      </c>
      <c r="F8123" s="3">
        <f ca="1">41049+(RANDBETWEEN(1,10))</f>
        <v>41058</v>
      </c>
      <c r="G8123" t="s">
        <v>26</v>
      </c>
      <c r="H8123" t="s">
        <v>27</v>
      </c>
      <c r="I8123" t="s">
        <v>97</v>
      </c>
      <c r="J8123">
        <v>5451.39</v>
      </c>
      <c r="K8123">
        <v>0.04</v>
      </c>
      <c r="L8123">
        <v>0.6</v>
      </c>
      <c r="M8123">
        <v>8.75</v>
      </c>
      <c r="N8123">
        <v>3706.7939999999999</v>
      </c>
      <c r="O8123" s="1" t="s">
        <v>40</v>
      </c>
      <c r="P8123" s="1" t="s">
        <v>13147</v>
      </c>
      <c r="Q8123" s="1" t="s">
        <v>13148</v>
      </c>
      <c r="R8123" s="1" t="s">
        <v>220</v>
      </c>
      <c r="S8123" s="1" t="s">
        <v>13149</v>
      </c>
      <c r="T8123" s="1" t="s">
        <v>13150</v>
      </c>
      <c r="U8123" s="2" t="s">
        <v>4222</v>
      </c>
      <c r="V8123" s="2" t="s">
        <v>36</v>
      </c>
      <c r="W8123" s="2" t="s">
        <v>37</v>
      </c>
      <c r="X8123" s="2">
        <v>440.96499999999997</v>
      </c>
    </row>
    <row r="8124" spans="1:24" x14ac:dyDescent="0.3">
      <c r="A8124">
        <v>25927</v>
      </c>
      <c r="B8124" t="s">
        <v>15248</v>
      </c>
      <c r="C8124" s="3">
        <v>41489</v>
      </c>
      <c r="D8124" t="s">
        <v>148</v>
      </c>
      <c r="E8124">
        <v>20</v>
      </c>
      <c r="F8124" s="3">
        <f ca="1">41490+(RANDBETWEEN(1,10))</f>
        <v>41492</v>
      </c>
      <c r="G8124" t="s">
        <v>26</v>
      </c>
      <c r="H8124" t="s">
        <v>27</v>
      </c>
      <c r="I8124" t="s">
        <v>97</v>
      </c>
      <c r="J8124">
        <v>712.84500000000003</v>
      </c>
      <c r="K8124">
        <v>0.02</v>
      </c>
      <c r="L8124">
        <v>0.56999999999999995</v>
      </c>
      <c r="M8124">
        <v>43.82</v>
      </c>
      <c r="N8124">
        <v>-224.17500000000001</v>
      </c>
      <c r="O8124" s="1" t="s">
        <v>40</v>
      </c>
      <c r="P8124" s="1" t="s">
        <v>14565</v>
      </c>
      <c r="Q8124" s="1" t="s">
        <v>14566</v>
      </c>
      <c r="R8124" s="1" t="s">
        <v>43</v>
      </c>
      <c r="S8124" s="1" t="s">
        <v>14567</v>
      </c>
      <c r="T8124" s="1" t="s">
        <v>14568</v>
      </c>
      <c r="U8124" s="2" t="s">
        <v>8087</v>
      </c>
      <c r="V8124" s="2" t="s">
        <v>83</v>
      </c>
      <c r="W8124" s="2" t="s">
        <v>178</v>
      </c>
      <c r="X8124" s="2">
        <v>34.93</v>
      </c>
    </row>
    <row r="8125" spans="1:24" x14ac:dyDescent="0.3">
      <c r="A8125">
        <v>25928</v>
      </c>
      <c r="B8125" t="s">
        <v>15249</v>
      </c>
      <c r="C8125" s="3">
        <v>41771</v>
      </c>
      <c r="D8125" t="s">
        <v>39</v>
      </c>
      <c r="E8125">
        <v>11</v>
      </c>
      <c r="F8125" s="3">
        <f ca="1">41772+(RANDBETWEEN(1,10))</f>
        <v>41773</v>
      </c>
      <c r="G8125" t="s">
        <v>26</v>
      </c>
      <c r="H8125" t="s">
        <v>96</v>
      </c>
      <c r="I8125" t="s">
        <v>52</v>
      </c>
      <c r="J8125">
        <v>1282.19</v>
      </c>
      <c r="K8125">
        <v>0.1</v>
      </c>
      <c r="L8125">
        <v>0.41</v>
      </c>
      <c r="M8125">
        <v>48.615000000000002</v>
      </c>
      <c r="N8125">
        <v>271.07499999999999</v>
      </c>
      <c r="O8125" s="1" t="s">
        <v>87</v>
      </c>
      <c r="P8125" s="1" t="s">
        <v>6878</v>
      </c>
      <c r="Q8125" s="1" t="s">
        <v>6879</v>
      </c>
      <c r="R8125" s="1" t="s">
        <v>90</v>
      </c>
      <c r="S8125" s="1" t="s">
        <v>6880</v>
      </c>
      <c r="T8125" s="1" t="s">
        <v>6231</v>
      </c>
      <c r="U8125" s="2" t="s">
        <v>530</v>
      </c>
      <c r="V8125" s="2" t="s">
        <v>47</v>
      </c>
      <c r="W8125" s="2" t="s">
        <v>104</v>
      </c>
      <c r="X8125" s="2">
        <v>127.925</v>
      </c>
    </row>
    <row r="8126" spans="1:24" x14ac:dyDescent="0.3">
      <c r="A8126">
        <v>25929</v>
      </c>
      <c r="B8126" t="s">
        <v>15249</v>
      </c>
      <c r="C8126" s="3">
        <v>41771</v>
      </c>
      <c r="D8126" t="s">
        <v>39</v>
      </c>
      <c r="E8126">
        <v>3</v>
      </c>
      <c r="F8126" s="3">
        <f ca="1">41773+(RANDBETWEEN(1,10))</f>
        <v>41774</v>
      </c>
      <c r="G8126" t="s">
        <v>76</v>
      </c>
      <c r="H8126" t="s">
        <v>77</v>
      </c>
      <c r="I8126" t="s">
        <v>52</v>
      </c>
      <c r="J8126">
        <v>779.17</v>
      </c>
      <c r="K8126">
        <v>0.02</v>
      </c>
      <c r="L8126">
        <v>0.56000000000000005</v>
      </c>
      <c r="M8126">
        <v>210</v>
      </c>
      <c r="N8126">
        <v>228.36397500000001</v>
      </c>
      <c r="O8126" s="1" t="s">
        <v>225</v>
      </c>
      <c r="P8126" s="1" t="s">
        <v>15250</v>
      </c>
      <c r="Q8126" s="1" t="s">
        <v>15251</v>
      </c>
      <c r="R8126" s="1" t="s">
        <v>391</v>
      </c>
      <c r="S8126" s="1" t="s">
        <v>2558</v>
      </c>
      <c r="T8126" s="1" t="s">
        <v>2559</v>
      </c>
      <c r="U8126" s="2" t="s">
        <v>14330</v>
      </c>
      <c r="V8126" s="2" t="s">
        <v>83</v>
      </c>
      <c r="W8126" s="2" t="s">
        <v>263</v>
      </c>
      <c r="X8126" s="2">
        <v>298.51499999999999</v>
      </c>
    </row>
    <row r="8127" spans="1:24" x14ac:dyDescent="0.3">
      <c r="A8127">
        <v>25930</v>
      </c>
      <c r="B8127" t="s">
        <v>15249</v>
      </c>
      <c r="C8127" s="3">
        <v>41771</v>
      </c>
      <c r="D8127" t="s">
        <v>39</v>
      </c>
      <c r="E8127">
        <v>15</v>
      </c>
      <c r="F8127" s="3">
        <f ca="1">41773+(RANDBETWEEN(1,10))</f>
        <v>41776</v>
      </c>
      <c r="G8127" t="s">
        <v>26</v>
      </c>
      <c r="H8127" t="s">
        <v>27</v>
      </c>
      <c r="I8127" t="s">
        <v>52</v>
      </c>
      <c r="J8127">
        <v>2844.7649999999999</v>
      </c>
      <c r="K8127">
        <v>0.1</v>
      </c>
      <c r="L8127">
        <v>0.6</v>
      </c>
      <c r="M8127">
        <v>31.465</v>
      </c>
      <c r="N8127">
        <v>1110.1859999999999</v>
      </c>
      <c r="O8127" s="1" t="s">
        <v>225</v>
      </c>
      <c r="P8127" s="1" t="s">
        <v>15250</v>
      </c>
      <c r="Q8127" s="1" t="s">
        <v>15251</v>
      </c>
      <c r="R8127" s="1" t="s">
        <v>391</v>
      </c>
      <c r="S8127" s="1" t="s">
        <v>2558</v>
      </c>
      <c r="T8127" s="1" t="s">
        <v>2559</v>
      </c>
      <c r="U8127" s="2" t="s">
        <v>8372</v>
      </c>
      <c r="V8127" s="2" t="s">
        <v>36</v>
      </c>
      <c r="W8127" s="2" t="s">
        <v>37</v>
      </c>
      <c r="X8127" s="2">
        <v>230.965</v>
      </c>
    </row>
    <row r="8128" spans="1:24" x14ac:dyDescent="0.3">
      <c r="A8128">
        <v>25931</v>
      </c>
      <c r="B8128" t="s">
        <v>15252</v>
      </c>
      <c r="C8128" s="3">
        <v>41937</v>
      </c>
      <c r="D8128" t="s">
        <v>62</v>
      </c>
      <c r="E8128">
        <v>20</v>
      </c>
      <c r="F8128" s="3">
        <f ca="1">41938+(RANDBETWEEN(1,10))</f>
        <v>41941</v>
      </c>
      <c r="G8128" t="s">
        <v>26</v>
      </c>
      <c r="H8128" t="s">
        <v>27</v>
      </c>
      <c r="I8128" t="s">
        <v>52</v>
      </c>
      <c r="J8128">
        <v>370.58</v>
      </c>
      <c r="K8128">
        <v>0.08</v>
      </c>
      <c r="L8128">
        <v>0.4</v>
      </c>
      <c r="M8128">
        <v>19.809999999999999</v>
      </c>
      <c r="N8128">
        <v>-375.2</v>
      </c>
      <c r="O8128" s="1" t="s">
        <v>40</v>
      </c>
      <c r="P8128" s="1" t="s">
        <v>5592</v>
      </c>
      <c r="Q8128" s="1" t="s">
        <v>5593</v>
      </c>
      <c r="R8128" s="1" t="s">
        <v>43</v>
      </c>
      <c r="S8128" s="1" t="s">
        <v>1414</v>
      </c>
      <c r="T8128" s="1" t="s">
        <v>1415</v>
      </c>
      <c r="U8128" s="2" t="s">
        <v>9988</v>
      </c>
      <c r="V8128" s="2" t="s">
        <v>47</v>
      </c>
      <c r="W8128" s="2" t="s">
        <v>74</v>
      </c>
      <c r="X8128" s="2">
        <v>18.48</v>
      </c>
    </row>
    <row r="8129" spans="1:24" x14ac:dyDescent="0.3">
      <c r="A8129">
        <v>25932</v>
      </c>
      <c r="B8129" t="s">
        <v>15253</v>
      </c>
      <c r="C8129" s="3">
        <v>40644</v>
      </c>
      <c r="D8129" t="s">
        <v>39</v>
      </c>
      <c r="E8129">
        <v>9</v>
      </c>
      <c r="F8129" s="3">
        <f ca="1">40645+(RANDBETWEEN(1,10))</f>
        <v>40651</v>
      </c>
      <c r="G8129" t="s">
        <v>26</v>
      </c>
      <c r="H8129" t="s">
        <v>51</v>
      </c>
      <c r="I8129" t="s">
        <v>28</v>
      </c>
      <c r="J8129">
        <v>387.48500000000001</v>
      </c>
      <c r="K8129">
        <v>0</v>
      </c>
      <c r="L8129">
        <v>0.55000000000000004</v>
      </c>
      <c r="M8129">
        <v>9.9749999999999996</v>
      </c>
      <c r="N8129">
        <v>267.36464999999998</v>
      </c>
      <c r="O8129" s="1" t="s">
        <v>40</v>
      </c>
      <c r="P8129" s="1" t="s">
        <v>15254</v>
      </c>
      <c r="Q8129" s="1" t="s">
        <v>15255</v>
      </c>
      <c r="R8129" s="1" t="s">
        <v>43</v>
      </c>
      <c r="S8129" s="1" t="s">
        <v>4499</v>
      </c>
      <c r="T8129" s="1" t="s">
        <v>4500</v>
      </c>
      <c r="U8129" s="2" t="s">
        <v>3256</v>
      </c>
      <c r="V8129" s="2" t="s">
        <v>83</v>
      </c>
      <c r="W8129" s="2" t="s">
        <v>178</v>
      </c>
      <c r="X8129" s="2">
        <v>42.77</v>
      </c>
    </row>
    <row r="8130" spans="1:24" x14ac:dyDescent="0.3">
      <c r="A8130">
        <v>25933</v>
      </c>
      <c r="B8130" t="s">
        <v>15256</v>
      </c>
      <c r="C8130" s="3">
        <v>40857</v>
      </c>
      <c r="D8130" t="s">
        <v>39</v>
      </c>
      <c r="E8130">
        <v>6</v>
      </c>
      <c r="F8130" s="3">
        <f ca="1">40858+(RANDBETWEEN(1,10))</f>
        <v>40860</v>
      </c>
      <c r="G8130" t="s">
        <v>26</v>
      </c>
      <c r="H8130" t="s">
        <v>27</v>
      </c>
      <c r="I8130" t="s">
        <v>52</v>
      </c>
      <c r="J8130">
        <v>2264.7449999999999</v>
      </c>
      <c r="K8130">
        <v>0</v>
      </c>
      <c r="L8130">
        <v>0.52</v>
      </c>
      <c r="M8130">
        <v>69.965000000000003</v>
      </c>
      <c r="N8130">
        <v>90.698369999999997</v>
      </c>
      <c r="O8130" s="1" t="s">
        <v>40</v>
      </c>
      <c r="P8130" s="1" t="s">
        <v>14513</v>
      </c>
      <c r="Q8130" s="1" t="s">
        <v>14514</v>
      </c>
      <c r="R8130" s="1" t="s">
        <v>43</v>
      </c>
      <c r="S8130" s="1" t="s">
        <v>2543</v>
      </c>
      <c r="T8130" s="1" t="s">
        <v>2544</v>
      </c>
      <c r="U8130" s="2" t="s">
        <v>4088</v>
      </c>
      <c r="V8130" s="2" t="s">
        <v>36</v>
      </c>
      <c r="W8130" s="2" t="s">
        <v>142</v>
      </c>
      <c r="X8130" s="2">
        <v>349.96499999999997</v>
      </c>
    </row>
    <row r="8131" spans="1:24" x14ac:dyDescent="0.3">
      <c r="A8131">
        <v>25934</v>
      </c>
      <c r="B8131" t="s">
        <v>15257</v>
      </c>
      <c r="C8131" s="3">
        <v>41975</v>
      </c>
      <c r="D8131" t="s">
        <v>50</v>
      </c>
      <c r="E8131">
        <v>18</v>
      </c>
      <c r="F8131" s="3">
        <f ca="1">41975+(RANDBETWEEN(1,10))</f>
        <v>41978</v>
      </c>
      <c r="G8131" t="s">
        <v>76</v>
      </c>
      <c r="H8131" t="s">
        <v>258</v>
      </c>
      <c r="I8131" t="s">
        <v>28</v>
      </c>
      <c r="J8131">
        <v>17510.990000000002</v>
      </c>
      <c r="K8131">
        <v>0.1</v>
      </c>
      <c r="L8131">
        <v>0.78</v>
      </c>
      <c r="M8131">
        <v>216.16</v>
      </c>
      <c r="N8131">
        <v>-894.908952</v>
      </c>
      <c r="O8131" s="1" t="s">
        <v>29</v>
      </c>
      <c r="P8131" s="1" t="s">
        <v>7154</v>
      </c>
      <c r="Q8131" s="1" t="s">
        <v>7155</v>
      </c>
      <c r="R8131" s="1" t="s">
        <v>32</v>
      </c>
      <c r="S8131" s="1" t="s">
        <v>7156</v>
      </c>
      <c r="T8131" s="1" t="s">
        <v>7157</v>
      </c>
      <c r="U8131" s="2" t="s">
        <v>3683</v>
      </c>
      <c r="V8131" s="2" t="s">
        <v>83</v>
      </c>
      <c r="W8131" s="2" t="s">
        <v>263</v>
      </c>
      <c r="X8131" s="2">
        <v>1003.975</v>
      </c>
    </row>
    <row r="8132" spans="1:24" x14ac:dyDescent="0.3">
      <c r="A8132">
        <v>25935</v>
      </c>
      <c r="B8132" t="s">
        <v>15257</v>
      </c>
      <c r="C8132" s="3">
        <v>41975</v>
      </c>
      <c r="D8132" t="s">
        <v>50</v>
      </c>
      <c r="E8132">
        <v>18</v>
      </c>
      <c r="F8132" s="3">
        <f ca="1">41978+(RANDBETWEEN(1,10))</f>
        <v>41981</v>
      </c>
      <c r="G8132" t="s">
        <v>26</v>
      </c>
      <c r="H8132" t="s">
        <v>27</v>
      </c>
      <c r="I8132" t="s">
        <v>28</v>
      </c>
      <c r="J8132">
        <v>712.56500000000005</v>
      </c>
      <c r="K8132">
        <v>0.04</v>
      </c>
      <c r="L8132">
        <v>0.35</v>
      </c>
      <c r="M8132">
        <v>24.395</v>
      </c>
      <c r="N8132">
        <v>-15.076320000000001</v>
      </c>
      <c r="O8132" s="1" t="s">
        <v>29</v>
      </c>
      <c r="P8132" s="1" t="s">
        <v>15258</v>
      </c>
      <c r="Q8132" s="1" t="s">
        <v>15259</v>
      </c>
      <c r="R8132" s="1" t="s">
        <v>460</v>
      </c>
      <c r="S8132" s="1" t="s">
        <v>5492</v>
      </c>
      <c r="T8132" s="1" t="s">
        <v>5493</v>
      </c>
      <c r="U8132" s="2" t="s">
        <v>2886</v>
      </c>
      <c r="V8132" s="2" t="s">
        <v>47</v>
      </c>
      <c r="W8132" s="2" t="s">
        <v>48</v>
      </c>
      <c r="X8132" s="2">
        <v>40.53</v>
      </c>
    </row>
    <row r="8133" spans="1:24" x14ac:dyDescent="0.3">
      <c r="A8133">
        <v>25936</v>
      </c>
      <c r="B8133" t="s">
        <v>15260</v>
      </c>
      <c r="C8133" s="3">
        <v>41770</v>
      </c>
      <c r="D8133" t="s">
        <v>50</v>
      </c>
      <c r="E8133">
        <v>11</v>
      </c>
      <c r="F8133" s="3">
        <f ca="1">41771+(RANDBETWEEN(1,10))</f>
        <v>41774</v>
      </c>
      <c r="G8133" t="s">
        <v>26</v>
      </c>
      <c r="H8133" t="s">
        <v>27</v>
      </c>
      <c r="I8133" t="s">
        <v>52</v>
      </c>
      <c r="J8133">
        <v>543.34</v>
      </c>
      <c r="K8133">
        <v>0.02</v>
      </c>
      <c r="L8133">
        <v>0.56999999999999995</v>
      </c>
      <c r="M8133">
        <v>19.25</v>
      </c>
      <c r="N8133">
        <v>19.984999999999999</v>
      </c>
      <c r="O8133" s="1" t="s">
        <v>40</v>
      </c>
      <c r="P8133" s="1" t="s">
        <v>5891</v>
      </c>
      <c r="Q8133" s="1" t="s">
        <v>5892</v>
      </c>
      <c r="R8133" s="1" t="s">
        <v>43</v>
      </c>
      <c r="S8133" s="1" t="s">
        <v>5893</v>
      </c>
      <c r="T8133" s="1" t="s">
        <v>5894</v>
      </c>
      <c r="U8133" s="2" t="s">
        <v>3384</v>
      </c>
      <c r="V8133" s="2" t="s">
        <v>47</v>
      </c>
      <c r="W8133" s="2" t="s">
        <v>119</v>
      </c>
      <c r="X8133" s="2">
        <v>47.005000000000003</v>
      </c>
    </row>
    <row r="8134" spans="1:24" x14ac:dyDescent="0.3">
      <c r="A8134">
        <v>25937</v>
      </c>
      <c r="B8134" t="s">
        <v>15260</v>
      </c>
      <c r="C8134" s="3">
        <v>41770</v>
      </c>
      <c r="D8134" t="s">
        <v>50</v>
      </c>
      <c r="E8134">
        <v>5</v>
      </c>
      <c r="F8134" s="3">
        <f ca="1">41771+(RANDBETWEEN(1,10))</f>
        <v>41781</v>
      </c>
      <c r="G8134" t="s">
        <v>26</v>
      </c>
      <c r="H8134" t="s">
        <v>27</v>
      </c>
      <c r="I8134" t="s">
        <v>52</v>
      </c>
      <c r="J8134">
        <v>912.1</v>
      </c>
      <c r="K8134">
        <v>0.08</v>
      </c>
      <c r="L8134">
        <v>0.59</v>
      </c>
      <c r="M8134">
        <v>13.965</v>
      </c>
      <c r="N8134">
        <v>-137.2525</v>
      </c>
      <c r="O8134" s="1" t="s">
        <v>40</v>
      </c>
      <c r="P8134" s="1" t="s">
        <v>5891</v>
      </c>
      <c r="Q8134" s="1" t="s">
        <v>5892</v>
      </c>
      <c r="R8134" s="1" t="s">
        <v>43</v>
      </c>
      <c r="S8134" s="1" t="s">
        <v>5893</v>
      </c>
      <c r="T8134" s="1" t="s">
        <v>5894</v>
      </c>
      <c r="U8134" s="2" t="s">
        <v>1991</v>
      </c>
      <c r="V8134" s="2" t="s">
        <v>36</v>
      </c>
      <c r="W8134" s="2" t="s">
        <v>37</v>
      </c>
      <c r="X8134" s="2">
        <v>230.965</v>
      </c>
    </row>
    <row r="8135" spans="1:24" x14ac:dyDescent="0.3">
      <c r="A8135">
        <v>25938</v>
      </c>
      <c r="B8135" t="s">
        <v>15260</v>
      </c>
      <c r="C8135" s="3">
        <v>41770</v>
      </c>
      <c r="D8135" t="s">
        <v>50</v>
      </c>
      <c r="E8135">
        <v>2</v>
      </c>
      <c r="F8135" s="3">
        <f ca="1">41772+(RANDBETWEEN(1,10))</f>
        <v>41775</v>
      </c>
      <c r="G8135" t="s">
        <v>26</v>
      </c>
      <c r="H8135" t="s">
        <v>27</v>
      </c>
      <c r="I8135" t="s">
        <v>52</v>
      </c>
      <c r="J8135">
        <v>213.08</v>
      </c>
      <c r="K8135">
        <v>0.08</v>
      </c>
      <c r="L8135">
        <v>0.64</v>
      </c>
      <c r="M8135">
        <v>22.75</v>
      </c>
      <c r="N8135">
        <v>-347.34</v>
      </c>
      <c r="O8135" s="1" t="s">
        <v>87</v>
      </c>
      <c r="P8135" s="1" t="s">
        <v>15261</v>
      </c>
      <c r="Q8135" s="1" t="s">
        <v>15262</v>
      </c>
      <c r="R8135" s="1" t="s">
        <v>398</v>
      </c>
      <c r="S8135" s="1" t="s">
        <v>12201</v>
      </c>
      <c r="T8135" s="1" t="s">
        <v>12202</v>
      </c>
      <c r="U8135" s="2" t="s">
        <v>2033</v>
      </c>
      <c r="V8135" s="2" t="s">
        <v>36</v>
      </c>
      <c r="W8135" s="2" t="s">
        <v>60</v>
      </c>
      <c r="X8135" s="2">
        <v>108.43</v>
      </c>
    </row>
    <row r="8136" spans="1:24" x14ac:dyDescent="0.3">
      <c r="A8136">
        <v>25939</v>
      </c>
      <c r="B8136" t="s">
        <v>15263</v>
      </c>
      <c r="C8136" s="3">
        <v>41040</v>
      </c>
      <c r="D8136" t="s">
        <v>50</v>
      </c>
      <c r="E8136">
        <v>8</v>
      </c>
      <c r="F8136" s="3">
        <f ca="1">41042+(RANDBETWEEN(1,10))</f>
        <v>41047</v>
      </c>
      <c r="G8136" t="s">
        <v>26</v>
      </c>
      <c r="H8136" t="s">
        <v>51</v>
      </c>
      <c r="I8136" t="s">
        <v>52</v>
      </c>
      <c r="J8136">
        <v>981.57500000000005</v>
      </c>
      <c r="K8136">
        <v>0.01</v>
      </c>
      <c r="L8136">
        <v>0.43</v>
      </c>
      <c r="M8136">
        <v>6.9649999999999999</v>
      </c>
      <c r="N8136">
        <v>677.28674999999998</v>
      </c>
      <c r="O8136" s="1" t="s">
        <v>87</v>
      </c>
      <c r="P8136" s="1" t="s">
        <v>15261</v>
      </c>
      <c r="Q8136" s="1" t="s">
        <v>15262</v>
      </c>
      <c r="R8136" s="1" t="s">
        <v>398</v>
      </c>
      <c r="S8136" s="1" t="s">
        <v>12201</v>
      </c>
      <c r="T8136" s="1" t="s">
        <v>12202</v>
      </c>
      <c r="U8136" s="2" t="s">
        <v>2995</v>
      </c>
      <c r="V8136" s="2" t="s">
        <v>36</v>
      </c>
      <c r="W8136" s="2" t="s">
        <v>60</v>
      </c>
      <c r="X8136" s="2">
        <v>123.935</v>
      </c>
    </row>
    <row r="8137" spans="1:24" x14ac:dyDescent="0.3">
      <c r="A8137">
        <v>25940</v>
      </c>
      <c r="B8137" t="s">
        <v>15264</v>
      </c>
      <c r="C8137" s="3">
        <v>41311</v>
      </c>
      <c r="D8137" t="s">
        <v>25</v>
      </c>
      <c r="E8137">
        <v>7</v>
      </c>
      <c r="F8137" s="3">
        <f ca="1">41316+(RANDBETWEEN(1,10))</f>
        <v>41318</v>
      </c>
      <c r="G8137" t="s">
        <v>26</v>
      </c>
      <c r="H8137" t="s">
        <v>27</v>
      </c>
      <c r="I8137" t="s">
        <v>52</v>
      </c>
      <c r="J8137">
        <v>1253.875</v>
      </c>
      <c r="K8137">
        <v>0.01</v>
      </c>
      <c r="L8137">
        <v>0.37</v>
      </c>
      <c r="M8137">
        <v>25.305</v>
      </c>
      <c r="N8137">
        <v>865.17375000000004</v>
      </c>
      <c r="O8137" s="1" t="s">
        <v>29</v>
      </c>
      <c r="P8137" s="1" t="s">
        <v>14510</v>
      </c>
      <c r="Q8137" s="1" t="s">
        <v>14511</v>
      </c>
      <c r="R8137" s="1" t="s">
        <v>460</v>
      </c>
      <c r="S8137" s="1" t="s">
        <v>7600</v>
      </c>
      <c r="T8137" s="1" t="s">
        <v>7601</v>
      </c>
      <c r="U8137" s="2" t="s">
        <v>2593</v>
      </c>
      <c r="V8137" s="2" t="s">
        <v>47</v>
      </c>
      <c r="W8137" s="2" t="s">
        <v>74</v>
      </c>
      <c r="X8137" s="2">
        <v>168.14</v>
      </c>
    </row>
    <row r="8138" spans="1:24" x14ac:dyDescent="0.3">
      <c r="A8138">
        <v>25941</v>
      </c>
      <c r="B8138" t="s">
        <v>15265</v>
      </c>
      <c r="C8138" s="3">
        <v>41928</v>
      </c>
      <c r="D8138" t="s">
        <v>25</v>
      </c>
      <c r="E8138">
        <v>3</v>
      </c>
      <c r="F8138" s="3">
        <f ca="1">41930+(RANDBETWEEN(1,10))</f>
        <v>41938</v>
      </c>
      <c r="G8138" t="s">
        <v>26</v>
      </c>
      <c r="H8138" t="s">
        <v>27</v>
      </c>
      <c r="I8138" t="s">
        <v>52</v>
      </c>
      <c r="J8138">
        <v>60.024999999999999</v>
      </c>
      <c r="K8138">
        <v>0.05</v>
      </c>
      <c r="L8138">
        <v>0.37</v>
      </c>
      <c r="M8138">
        <v>10.465</v>
      </c>
      <c r="N8138">
        <v>-23.86825</v>
      </c>
      <c r="O8138" s="1" t="s">
        <v>53</v>
      </c>
      <c r="P8138" s="1" t="s">
        <v>9410</v>
      </c>
      <c r="Q8138" s="1" t="s">
        <v>9411</v>
      </c>
      <c r="R8138" s="1" t="s">
        <v>56</v>
      </c>
      <c r="S8138" s="1" t="s">
        <v>9412</v>
      </c>
      <c r="T8138" s="1" t="s">
        <v>9413</v>
      </c>
      <c r="U8138" s="2" t="s">
        <v>1041</v>
      </c>
      <c r="V8138" s="2" t="s">
        <v>47</v>
      </c>
      <c r="W8138" s="2" t="s">
        <v>111</v>
      </c>
      <c r="X8138" s="2">
        <v>18.48</v>
      </c>
    </row>
    <row r="8139" spans="1:24" x14ac:dyDescent="0.3">
      <c r="A8139">
        <v>25942</v>
      </c>
      <c r="B8139" t="s">
        <v>15265</v>
      </c>
      <c r="C8139" s="3">
        <v>41928</v>
      </c>
      <c r="D8139" t="s">
        <v>25</v>
      </c>
      <c r="E8139">
        <v>15</v>
      </c>
      <c r="F8139" s="3">
        <f ca="1">41932+(RANDBETWEEN(1,10))</f>
        <v>41941</v>
      </c>
      <c r="G8139" t="s">
        <v>26</v>
      </c>
      <c r="H8139" t="s">
        <v>281</v>
      </c>
      <c r="I8139" t="s">
        <v>52</v>
      </c>
      <c r="J8139">
        <v>42572.635000000002</v>
      </c>
      <c r="K8139">
        <v>0.09</v>
      </c>
      <c r="L8139">
        <v>0.83</v>
      </c>
      <c r="M8139">
        <v>85.715000000000003</v>
      </c>
      <c r="N8139">
        <v>3831.59</v>
      </c>
      <c r="O8139" s="1" t="s">
        <v>29</v>
      </c>
      <c r="P8139" s="1" t="s">
        <v>15266</v>
      </c>
      <c r="Q8139" s="1" t="s">
        <v>15267</v>
      </c>
      <c r="R8139" s="1" t="s">
        <v>460</v>
      </c>
      <c r="S8139" s="1" t="s">
        <v>4234</v>
      </c>
      <c r="T8139" s="1" t="s">
        <v>4235</v>
      </c>
      <c r="U8139" s="2" t="s">
        <v>13962</v>
      </c>
      <c r="V8139" s="2" t="s">
        <v>47</v>
      </c>
      <c r="W8139" s="2" t="s">
        <v>94</v>
      </c>
      <c r="X8139" s="2">
        <v>2914.835</v>
      </c>
    </row>
    <row r="8140" spans="1:24" x14ac:dyDescent="0.3">
      <c r="A8140">
        <v>25943</v>
      </c>
      <c r="B8140" t="s">
        <v>15268</v>
      </c>
      <c r="C8140" s="3">
        <v>41928</v>
      </c>
      <c r="D8140" t="s">
        <v>62</v>
      </c>
      <c r="E8140">
        <v>17</v>
      </c>
      <c r="F8140" s="3">
        <f ca="1">41935+(RANDBETWEEN(1,10))</f>
        <v>41943</v>
      </c>
      <c r="G8140" t="s">
        <v>26</v>
      </c>
      <c r="H8140" t="s">
        <v>96</v>
      </c>
      <c r="I8140" t="s">
        <v>52</v>
      </c>
      <c r="J8140">
        <v>1193.99</v>
      </c>
      <c r="K8140">
        <v>0.01</v>
      </c>
      <c r="L8140">
        <v>0.43</v>
      </c>
      <c r="M8140">
        <v>12.67</v>
      </c>
      <c r="N8140">
        <v>823.85310000000004</v>
      </c>
      <c r="O8140" s="1" t="s">
        <v>87</v>
      </c>
      <c r="P8140" s="1" t="s">
        <v>15269</v>
      </c>
      <c r="Q8140" s="1" t="s">
        <v>15270</v>
      </c>
      <c r="R8140" s="1" t="s">
        <v>90</v>
      </c>
      <c r="S8140" s="1" t="s">
        <v>1200</v>
      </c>
      <c r="T8140" s="1" t="s">
        <v>1201</v>
      </c>
      <c r="U8140" s="2" t="s">
        <v>5482</v>
      </c>
      <c r="V8140" s="2" t="s">
        <v>83</v>
      </c>
      <c r="W8140" s="2" t="s">
        <v>178</v>
      </c>
      <c r="X8140" s="2">
        <v>65.94</v>
      </c>
    </row>
    <row r="8141" spans="1:24" x14ac:dyDescent="0.3">
      <c r="A8141">
        <v>25944</v>
      </c>
      <c r="B8141" t="s">
        <v>15271</v>
      </c>
      <c r="C8141" s="3">
        <v>41447</v>
      </c>
      <c r="D8141" t="s">
        <v>148</v>
      </c>
      <c r="E8141">
        <v>9</v>
      </c>
      <c r="F8141" s="3">
        <f ca="1">41450+(RANDBETWEEN(1,10))</f>
        <v>41458</v>
      </c>
      <c r="G8141" t="s">
        <v>156</v>
      </c>
      <c r="H8141" t="s">
        <v>51</v>
      </c>
      <c r="I8141" t="s">
        <v>28</v>
      </c>
      <c r="J8141">
        <v>717.99</v>
      </c>
      <c r="K8141">
        <v>0.06</v>
      </c>
      <c r="L8141">
        <v>0.41</v>
      </c>
      <c r="M8141">
        <v>31.465</v>
      </c>
      <c r="N8141">
        <v>225.76050000000001</v>
      </c>
      <c r="O8141" s="1" t="s">
        <v>64</v>
      </c>
      <c r="P8141" s="1" t="s">
        <v>3595</v>
      </c>
      <c r="Q8141" s="1" t="s">
        <v>3596</v>
      </c>
      <c r="R8141" s="1" t="s">
        <v>67</v>
      </c>
      <c r="S8141" s="1" t="s">
        <v>3597</v>
      </c>
      <c r="T8141" s="1" t="s">
        <v>3598</v>
      </c>
      <c r="U8141" s="2" t="s">
        <v>2188</v>
      </c>
      <c r="V8141" s="2" t="s">
        <v>83</v>
      </c>
      <c r="W8141" s="2" t="s">
        <v>178</v>
      </c>
      <c r="X8141" s="2">
        <v>77.805000000000007</v>
      </c>
    </row>
    <row r="8142" spans="1:24" x14ac:dyDescent="0.3">
      <c r="A8142">
        <v>25945</v>
      </c>
      <c r="B8142" t="s">
        <v>15272</v>
      </c>
      <c r="C8142" s="3">
        <v>41482</v>
      </c>
      <c r="D8142" t="s">
        <v>62</v>
      </c>
      <c r="E8142">
        <v>12</v>
      </c>
      <c r="F8142" s="3">
        <f ca="1">41484+(RANDBETWEEN(1,10))</f>
        <v>41494</v>
      </c>
      <c r="G8142" t="s">
        <v>26</v>
      </c>
      <c r="H8142" t="s">
        <v>96</v>
      </c>
      <c r="I8142" t="s">
        <v>28</v>
      </c>
      <c r="J8142">
        <v>126.455</v>
      </c>
      <c r="K8142">
        <v>0.02</v>
      </c>
      <c r="L8142">
        <v>0.56000000000000005</v>
      </c>
      <c r="M8142">
        <v>2.4500000000000002</v>
      </c>
      <c r="N8142">
        <v>70.209999999999994</v>
      </c>
      <c r="O8142" s="1" t="s">
        <v>87</v>
      </c>
      <c r="P8142" s="1" t="s">
        <v>15273</v>
      </c>
      <c r="Q8142" s="1" t="s">
        <v>15274</v>
      </c>
      <c r="R8142" s="1" t="s">
        <v>646</v>
      </c>
      <c r="S8142" s="1" t="s">
        <v>15275</v>
      </c>
      <c r="T8142" s="1" t="s">
        <v>4332</v>
      </c>
      <c r="U8142" s="2" t="s">
        <v>1393</v>
      </c>
      <c r="V8142" s="2" t="s">
        <v>47</v>
      </c>
      <c r="W8142" s="2" t="s">
        <v>104</v>
      </c>
      <c r="X8142" s="2">
        <v>10.08</v>
      </c>
    </row>
    <row r="8143" spans="1:24" x14ac:dyDescent="0.3">
      <c r="A8143">
        <v>25946</v>
      </c>
      <c r="B8143" t="s">
        <v>15272</v>
      </c>
      <c r="C8143" s="3">
        <v>41482</v>
      </c>
      <c r="D8143" t="s">
        <v>62</v>
      </c>
      <c r="E8143">
        <v>4</v>
      </c>
      <c r="F8143" s="3">
        <f ca="1">41483+(RANDBETWEEN(1,10))</f>
        <v>41484</v>
      </c>
      <c r="G8143" t="s">
        <v>76</v>
      </c>
      <c r="H8143" t="s">
        <v>77</v>
      </c>
      <c r="I8143" t="s">
        <v>28</v>
      </c>
      <c r="J8143">
        <v>1299.865</v>
      </c>
      <c r="K8143">
        <v>0.03</v>
      </c>
      <c r="L8143">
        <v>0.36</v>
      </c>
      <c r="M8143">
        <v>49</v>
      </c>
      <c r="N8143">
        <v>823.9</v>
      </c>
      <c r="O8143" s="1" t="s">
        <v>64</v>
      </c>
      <c r="P8143" s="1" t="s">
        <v>15276</v>
      </c>
      <c r="Q8143" s="1" t="s">
        <v>15277</v>
      </c>
      <c r="R8143" s="1" t="s">
        <v>128</v>
      </c>
      <c r="S8143" s="1" t="s">
        <v>6068</v>
      </c>
      <c r="T8143" s="1" t="s">
        <v>6069</v>
      </c>
      <c r="U8143" s="2" t="s">
        <v>2449</v>
      </c>
      <c r="V8143" s="2" t="s">
        <v>36</v>
      </c>
      <c r="W8143" s="2" t="s">
        <v>142</v>
      </c>
      <c r="X8143" s="2">
        <v>318.39499999999998</v>
      </c>
    </row>
    <row r="8144" spans="1:24" x14ac:dyDescent="0.3">
      <c r="A8144">
        <v>25947</v>
      </c>
      <c r="B8144" t="s">
        <v>15278</v>
      </c>
      <c r="C8144" s="3">
        <v>41242</v>
      </c>
      <c r="D8144" t="s">
        <v>148</v>
      </c>
      <c r="E8144">
        <v>9</v>
      </c>
      <c r="F8144" s="3">
        <f ca="1">41244+(RANDBETWEEN(1,10))</f>
        <v>41253</v>
      </c>
      <c r="G8144" t="s">
        <v>26</v>
      </c>
      <c r="H8144" t="s">
        <v>96</v>
      </c>
      <c r="I8144" t="s">
        <v>52</v>
      </c>
      <c r="J8144">
        <v>1304.6600000000001</v>
      </c>
      <c r="K8144">
        <v>0.02</v>
      </c>
      <c r="L8144">
        <v>0.67</v>
      </c>
      <c r="M8144">
        <v>48.965000000000003</v>
      </c>
      <c r="N8144">
        <v>754.75400000000002</v>
      </c>
      <c r="O8144" s="1" t="s">
        <v>225</v>
      </c>
      <c r="P8144" s="1" t="s">
        <v>12028</v>
      </c>
      <c r="Q8144" s="1" t="s">
        <v>12029</v>
      </c>
      <c r="R8144" s="1" t="s">
        <v>228</v>
      </c>
      <c r="S8144" s="1" t="s">
        <v>466</v>
      </c>
      <c r="T8144" s="1" t="s">
        <v>467</v>
      </c>
      <c r="U8144" s="2" t="s">
        <v>3873</v>
      </c>
      <c r="V8144" s="2" t="s">
        <v>83</v>
      </c>
      <c r="W8144" s="2" t="s">
        <v>178</v>
      </c>
      <c r="X8144" s="2">
        <v>132.755</v>
      </c>
    </row>
    <row r="8145" spans="1:24" x14ac:dyDescent="0.3">
      <c r="A8145">
        <v>25948</v>
      </c>
      <c r="B8145" t="s">
        <v>15279</v>
      </c>
      <c r="C8145" s="3">
        <v>41788</v>
      </c>
      <c r="D8145" t="s">
        <v>39</v>
      </c>
      <c r="E8145">
        <v>16</v>
      </c>
      <c r="F8145" s="3">
        <f ca="1">41789+(RANDBETWEEN(1,10))</f>
        <v>41798</v>
      </c>
      <c r="G8145" t="s">
        <v>26</v>
      </c>
      <c r="H8145" t="s">
        <v>96</v>
      </c>
      <c r="I8145" t="s">
        <v>97</v>
      </c>
      <c r="J8145">
        <v>87.57</v>
      </c>
      <c r="K8145">
        <v>0.09</v>
      </c>
      <c r="L8145">
        <v>0.35</v>
      </c>
      <c r="M8145">
        <v>3.5</v>
      </c>
      <c r="N8145">
        <v>-15.96</v>
      </c>
      <c r="O8145" s="1" t="s">
        <v>87</v>
      </c>
      <c r="P8145" s="1" t="s">
        <v>2842</v>
      </c>
      <c r="Q8145" s="1" t="s">
        <v>2843</v>
      </c>
      <c r="R8145" s="1" t="s">
        <v>398</v>
      </c>
      <c r="S8145" s="1" t="s">
        <v>2733</v>
      </c>
      <c r="T8145" s="1" t="s">
        <v>2844</v>
      </c>
      <c r="U8145" s="2" t="s">
        <v>6252</v>
      </c>
      <c r="V8145" s="2" t="s">
        <v>47</v>
      </c>
      <c r="W8145" s="2" t="s">
        <v>104</v>
      </c>
      <c r="X8145" s="2">
        <v>5.88</v>
      </c>
    </row>
    <row r="8146" spans="1:24" x14ac:dyDescent="0.3">
      <c r="A8146">
        <v>25949</v>
      </c>
      <c r="B8146" t="s">
        <v>15280</v>
      </c>
      <c r="C8146" s="3">
        <v>40887</v>
      </c>
      <c r="D8146" t="s">
        <v>50</v>
      </c>
      <c r="E8146">
        <v>19</v>
      </c>
      <c r="F8146" s="3">
        <f ca="1">40887+(RANDBETWEEN(1,10))</f>
        <v>40895</v>
      </c>
      <c r="G8146" t="s">
        <v>26</v>
      </c>
      <c r="H8146" t="s">
        <v>27</v>
      </c>
      <c r="I8146" t="s">
        <v>86</v>
      </c>
      <c r="J8146">
        <v>408.8</v>
      </c>
      <c r="K8146">
        <v>0.1</v>
      </c>
      <c r="L8146">
        <v>0.37</v>
      </c>
      <c r="M8146">
        <v>20.65</v>
      </c>
      <c r="N8146">
        <v>-180.7225</v>
      </c>
      <c r="O8146" s="1" t="s">
        <v>29</v>
      </c>
      <c r="P8146" s="1" t="s">
        <v>14295</v>
      </c>
      <c r="Q8146" s="1" t="s">
        <v>14296</v>
      </c>
      <c r="R8146" s="1" t="s">
        <v>32</v>
      </c>
      <c r="S8146" s="1" t="s">
        <v>14297</v>
      </c>
      <c r="T8146" s="1" t="s">
        <v>14298</v>
      </c>
      <c r="U8146" s="2" t="s">
        <v>797</v>
      </c>
      <c r="V8146" s="2" t="s">
        <v>47</v>
      </c>
      <c r="W8146" s="2" t="s">
        <v>74</v>
      </c>
      <c r="X8146" s="2">
        <v>22.68</v>
      </c>
    </row>
    <row r="8147" spans="1:24" x14ac:dyDescent="0.3">
      <c r="A8147">
        <v>25950</v>
      </c>
      <c r="B8147" t="s">
        <v>15281</v>
      </c>
      <c r="C8147" s="3">
        <v>41360</v>
      </c>
      <c r="D8147" t="s">
        <v>62</v>
      </c>
      <c r="E8147">
        <v>11</v>
      </c>
      <c r="F8147" s="3">
        <f ca="1">41362+(RANDBETWEEN(1,10))</f>
        <v>41365</v>
      </c>
      <c r="G8147" t="s">
        <v>26</v>
      </c>
      <c r="H8147" t="s">
        <v>27</v>
      </c>
      <c r="I8147" t="s">
        <v>97</v>
      </c>
      <c r="J8147">
        <v>128.13499999999999</v>
      </c>
      <c r="K8147">
        <v>0.1</v>
      </c>
      <c r="L8147">
        <v>0.4</v>
      </c>
      <c r="M8147">
        <v>21.945</v>
      </c>
      <c r="N8147">
        <v>-1086.72396</v>
      </c>
      <c r="O8147" s="1" t="s">
        <v>87</v>
      </c>
      <c r="P8147" s="1" t="s">
        <v>13964</v>
      </c>
      <c r="Q8147" s="1" t="s">
        <v>13965</v>
      </c>
      <c r="R8147" s="1" t="s">
        <v>398</v>
      </c>
      <c r="S8147" s="1" t="s">
        <v>771</v>
      </c>
      <c r="T8147" s="1" t="s">
        <v>772</v>
      </c>
      <c r="U8147" s="2" t="s">
        <v>1887</v>
      </c>
      <c r="V8147" s="2" t="s">
        <v>47</v>
      </c>
      <c r="W8147" s="2" t="s">
        <v>111</v>
      </c>
      <c r="X8147" s="2">
        <v>11.76</v>
      </c>
    </row>
    <row r="8148" spans="1:24" x14ac:dyDescent="0.3">
      <c r="A8148">
        <v>25951</v>
      </c>
      <c r="B8148" t="s">
        <v>15281</v>
      </c>
      <c r="C8148" s="3">
        <v>41360</v>
      </c>
      <c r="D8148" t="s">
        <v>62</v>
      </c>
      <c r="E8148">
        <v>7</v>
      </c>
      <c r="F8148" s="3">
        <f ca="1">41361+(RANDBETWEEN(1,10))</f>
        <v>41367</v>
      </c>
      <c r="G8148" t="s">
        <v>26</v>
      </c>
      <c r="H8148" t="s">
        <v>27</v>
      </c>
      <c r="I8148" t="s">
        <v>97</v>
      </c>
      <c r="J8148">
        <v>124.355</v>
      </c>
      <c r="K8148">
        <v>0.05</v>
      </c>
      <c r="L8148">
        <v>0.38</v>
      </c>
      <c r="M8148">
        <v>17.010000000000002</v>
      </c>
      <c r="N8148">
        <v>790.58699999999999</v>
      </c>
      <c r="O8148" s="1" t="s">
        <v>87</v>
      </c>
      <c r="P8148" s="1" t="s">
        <v>13964</v>
      </c>
      <c r="Q8148" s="1" t="s">
        <v>13965</v>
      </c>
      <c r="R8148" s="1" t="s">
        <v>398</v>
      </c>
      <c r="S8148" s="1" t="s">
        <v>771</v>
      </c>
      <c r="T8148" s="1" t="s">
        <v>772</v>
      </c>
      <c r="U8148" s="2" t="s">
        <v>727</v>
      </c>
      <c r="V8148" s="2" t="s">
        <v>47</v>
      </c>
      <c r="W8148" s="2" t="s">
        <v>74</v>
      </c>
      <c r="X8148" s="2">
        <v>17.43</v>
      </c>
    </row>
    <row r="8149" spans="1:24" x14ac:dyDescent="0.3">
      <c r="A8149">
        <v>25952</v>
      </c>
      <c r="B8149" t="s">
        <v>15282</v>
      </c>
      <c r="C8149" s="3">
        <v>41795</v>
      </c>
      <c r="D8149" t="s">
        <v>39</v>
      </c>
      <c r="E8149">
        <v>14</v>
      </c>
      <c r="F8149" s="3">
        <f ca="1">41796+(RANDBETWEEN(1,10))</f>
        <v>41803</v>
      </c>
      <c r="G8149" t="s">
        <v>76</v>
      </c>
      <c r="H8149" t="s">
        <v>77</v>
      </c>
      <c r="I8149" t="s">
        <v>86</v>
      </c>
      <c r="J8149">
        <v>19023.724999999999</v>
      </c>
      <c r="K8149">
        <v>0.01</v>
      </c>
      <c r="L8149">
        <v>0.65</v>
      </c>
      <c r="M8149">
        <v>346.5</v>
      </c>
      <c r="N8149">
        <v>-118.629</v>
      </c>
      <c r="O8149" s="1" t="s">
        <v>87</v>
      </c>
      <c r="P8149" s="1" t="s">
        <v>12775</v>
      </c>
      <c r="Q8149" s="1" t="s">
        <v>12776</v>
      </c>
      <c r="R8149" s="1" t="s">
        <v>90</v>
      </c>
      <c r="S8149" s="1" t="s">
        <v>3603</v>
      </c>
      <c r="T8149" s="1" t="s">
        <v>3604</v>
      </c>
      <c r="U8149" s="2" t="s">
        <v>1540</v>
      </c>
      <c r="V8149" s="2" t="s">
        <v>47</v>
      </c>
      <c r="W8149" s="2" t="s">
        <v>119</v>
      </c>
      <c r="X8149" s="2">
        <v>1298.43</v>
      </c>
    </row>
    <row r="8150" spans="1:24" x14ac:dyDescent="0.3">
      <c r="A8150">
        <v>25953</v>
      </c>
      <c r="B8150" t="s">
        <v>15283</v>
      </c>
      <c r="C8150" s="3">
        <v>40654</v>
      </c>
      <c r="D8150" t="s">
        <v>39</v>
      </c>
      <c r="E8150">
        <v>1</v>
      </c>
      <c r="F8150" s="3">
        <f ca="1">40656+(RANDBETWEEN(1,10))</f>
        <v>40657</v>
      </c>
      <c r="G8150" t="s">
        <v>26</v>
      </c>
      <c r="H8150" t="s">
        <v>27</v>
      </c>
      <c r="I8150" t="s">
        <v>52</v>
      </c>
      <c r="J8150">
        <v>164.64</v>
      </c>
      <c r="K8150">
        <v>0.06</v>
      </c>
      <c r="L8150">
        <v>0.56000000000000005</v>
      </c>
      <c r="M8150">
        <v>16.170000000000002</v>
      </c>
      <c r="N8150">
        <v>-86.204999999999998</v>
      </c>
      <c r="O8150" s="1" t="s">
        <v>87</v>
      </c>
      <c r="P8150" s="1" t="s">
        <v>10931</v>
      </c>
      <c r="Q8150" s="1" t="s">
        <v>10932</v>
      </c>
      <c r="R8150" s="1" t="s">
        <v>90</v>
      </c>
      <c r="S8150" s="1" t="s">
        <v>700</v>
      </c>
      <c r="T8150" s="1" t="s">
        <v>701</v>
      </c>
      <c r="U8150" s="2" t="s">
        <v>5674</v>
      </c>
      <c r="V8150" s="2" t="s">
        <v>47</v>
      </c>
      <c r="W8150" s="2" t="s">
        <v>71</v>
      </c>
      <c r="X8150" s="2">
        <v>150.43</v>
      </c>
    </row>
    <row r="8151" spans="1:24" x14ac:dyDescent="0.3">
      <c r="A8151">
        <v>25954</v>
      </c>
      <c r="B8151" t="s">
        <v>15284</v>
      </c>
      <c r="C8151" s="3">
        <v>41395</v>
      </c>
      <c r="D8151" t="s">
        <v>39</v>
      </c>
      <c r="E8151">
        <v>9</v>
      </c>
      <c r="F8151" s="3">
        <f ca="1">41397+(RANDBETWEEN(1,10))</f>
        <v>41406</v>
      </c>
      <c r="G8151" t="s">
        <v>76</v>
      </c>
      <c r="H8151" t="s">
        <v>258</v>
      </c>
      <c r="I8151" t="s">
        <v>28</v>
      </c>
      <c r="J8151">
        <v>2721.145</v>
      </c>
      <c r="K8151">
        <v>0</v>
      </c>
      <c r="L8151">
        <v>0.4</v>
      </c>
      <c r="M8151">
        <v>105.21</v>
      </c>
      <c r="N8151">
        <v>709.55499999999995</v>
      </c>
      <c r="O8151" s="1" t="s">
        <v>53</v>
      </c>
      <c r="P8151" s="1" t="s">
        <v>10495</v>
      </c>
      <c r="Q8151" s="1" t="s">
        <v>10496</v>
      </c>
      <c r="R8151" s="1" t="s">
        <v>440</v>
      </c>
      <c r="S8151" s="1" t="s">
        <v>2771</v>
      </c>
      <c r="T8151" s="1" t="s">
        <v>2772</v>
      </c>
      <c r="U8151" s="2" t="s">
        <v>286</v>
      </c>
      <c r="V8151" s="2" t="s">
        <v>36</v>
      </c>
      <c r="W8151" s="2" t="s">
        <v>142</v>
      </c>
      <c r="X8151" s="2">
        <v>283.39499999999998</v>
      </c>
    </row>
    <row r="8152" spans="1:24" x14ac:dyDescent="0.3">
      <c r="A8152">
        <v>25955</v>
      </c>
      <c r="B8152" t="s">
        <v>15284</v>
      </c>
      <c r="C8152" s="3">
        <v>41395</v>
      </c>
      <c r="D8152" t="s">
        <v>39</v>
      </c>
      <c r="E8152">
        <v>13</v>
      </c>
      <c r="F8152" s="3">
        <f ca="1">41396+(RANDBETWEEN(1,10))</f>
        <v>41401</v>
      </c>
      <c r="G8152" t="s">
        <v>26</v>
      </c>
      <c r="H8152" t="s">
        <v>27</v>
      </c>
      <c r="I8152" t="s">
        <v>28</v>
      </c>
      <c r="J8152">
        <v>283.36</v>
      </c>
      <c r="K8152">
        <v>0.09</v>
      </c>
      <c r="L8152">
        <v>0.37</v>
      </c>
      <c r="M8152">
        <v>24.605</v>
      </c>
      <c r="N8152">
        <v>-414.92500000000001</v>
      </c>
      <c r="O8152" s="1" t="s">
        <v>53</v>
      </c>
      <c r="P8152" s="1" t="s">
        <v>10495</v>
      </c>
      <c r="Q8152" s="1" t="s">
        <v>10496</v>
      </c>
      <c r="R8152" s="1" t="s">
        <v>440</v>
      </c>
      <c r="S8152" s="1" t="s">
        <v>2771</v>
      </c>
      <c r="T8152" s="1" t="s">
        <v>2772</v>
      </c>
      <c r="U8152" s="2" t="s">
        <v>162</v>
      </c>
      <c r="V8152" s="2" t="s">
        <v>47</v>
      </c>
      <c r="W8152" s="2" t="s">
        <v>74</v>
      </c>
      <c r="X8152" s="2">
        <v>22.68</v>
      </c>
    </row>
    <row r="8153" spans="1:24" x14ac:dyDescent="0.3">
      <c r="A8153">
        <v>25956</v>
      </c>
      <c r="B8153" t="s">
        <v>15285</v>
      </c>
      <c r="C8153" s="3">
        <v>40959</v>
      </c>
      <c r="D8153" t="s">
        <v>50</v>
      </c>
      <c r="E8153">
        <v>1</v>
      </c>
      <c r="F8153" s="3">
        <f ca="1">40959+(RANDBETWEEN(1,10))</f>
        <v>40962</v>
      </c>
      <c r="G8153" t="s">
        <v>26</v>
      </c>
      <c r="H8153" t="s">
        <v>96</v>
      </c>
      <c r="I8153" t="s">
        <v>97</v>
      </c>
      <c r="J8153">
        <v>38.29</v>
      </c>
      <c r="K8153">
        <v>0.1</v>
      </c>
      <c r="L8153">
        <v>0.52</v>
      </c>
      <c r="M8153">
        <v>7.875</v>
      </c>
      <c r="N8153">
        <v>-19686.32085</v>
      </c>
      <c r="O8153" s="1" t="s">
        <v>40</v>
      </c>
      <c r="P8153" s="1" t="s">
        <v>15286</v>
      </c>
      <c r="Q8153" s="1" t="s">
        <v>15287</v>
      </c>
      <c r="R8153" s="1" t="s">
        <v>43</v>
      </c>
      <c r="S8153" s="1" t="s">
        <v>2049</v>
      </c>
      <c r="T8153" s="1" t="s">
        <v>2050</v>
      </c>
      <c r="U8153" s="2" t="s">
        <v>419</v>
      </c>
      <c r="V8153" s="2" t="s">
        <v>47</v>
      </c>
      <c r="W8153" s="2" t="s">
        <v>104</v>
      </c>
      <c r="X8153" s="2">
        <v>31.885000000000002</v>
      </c>
    </row>
    <row r="8154" spans="1:24" x14ac:dyDescent="0.3">
      <c r="A8154">
        <v>25957</v>
      </c>
      <c r="B8154" t="s">
        <v>15288</v>
      </c>
      <c r="C8154" s="3">
        <v>41257</v>
      </c>
      <c r="D8154" t="s">
        <v>25</v>
      </c>
      <c r="E8154">
        <v>5</v>
      </c>
      <c r="F8154" s="3">
        <f ca="1">41261+(RANDBETWEEN(1,10))</f>
        <v>41265</v>
      </c>
      <c r="G8154" t="s">
        <v>76</v>
      </c>
      <c r="H8154" t="s">
        <v>77</v>
      </c>
      <c r="I8154" t="s">
        <v>52</v>
      </c>
      <c r="J8154">
        <v>1689.5550000000001</v>
      </c>
      <c r="K8154">
        <v>0.03</v>
      </c>
      <c r="L8154">
        <v>0.61</v>
      </c>
      <c r="M8154">
        <v>105</v>
      </c>
      <c r="N8154">
        <v>-125.09</v>
      </c>
      <c r="O8154" s="1" t="s">
        <v>87</v>
      </c>
      <c r="P8154" s="1" t="s">
        <v>13806</v>
      </c>
      <c r="Q8154" s="1" t="s">
        <v>13807</v>
      </c>
      <c r="R8154" s="1" t="s">
        <v>90</v>
      </c>
      <c r="S8154" s="1" t="s">
        <v>13808</v>
      </c>
      <c r="T8154" s="1" t="s">
        <v>13809</v>
      </c>
      <c r="U8154" s="2" t="s">
        <v>1790</v>
      </c>
      <c r="V8154" s="2" t="s">
        <v>83</v>
      </c>
      <c r="W8154" s="2" t="s">
        <v>84</v>
      </c>
      <c r="X8154" s="2">
        <v>318.43</v>
      </c>
    </row>
    <row r="8155" spans="1:24" x14ac:dyDescent="0.3">
      <c r="A8155">
        <v>25958</v>
      </c>
      <c r="B8155" t="s">
        <v>15289</v>
      </c>
      <c r="C8155" s="3">
        <v>41484</v>
      </c>
      <c r="D8155" t="s">
        <v>62</v>
      </c>
      <c r="E8155">
        <v>15</v>
      </c>
      <c r="F8155" s="3">
        <f ca="1">41485+(RANDBETWEEN(1,10))</f>
        <v>41490</v>
      </c>
      <c r="G8155" t="s">
        <v>26</v>
      </c>
      <c r="H8155" t="s">
        <v>27</v>
      </c>
      <c r="I8155" t="s">
        <v>28</v>
      </c>
      <c r="J8155">
        <v>5162.01</v>
      </c>
      <c r="K8155">
        <v>0.09</v>
      </c>
      <c r="L8155">
        <v>0.4</v>
      </c>
      <c r="M8155">
        <v>25.13</v>
      </c>
      <c r="N8155">
        <v>1278.69</v>
      </c>
      <c r="O8155" s="1" t="s">
        <v>29</v>
      </c>
      <c r="P8155" s="1" t="s">
        <v>10111</v>
      </c>
      <c r="Q8155" s="1" t="s">
        <v>10112</v>
      </c>
      <c r="R8155" s="1" t="s">
        <v>460</v>
      </c>
      <c r="S8155" s="1" t="s">
        <v>1753</v>
      </c>
      <c r="T8155" s="1" t="s">
        <v>1437</v>
      </c>
      <c r="U8155" s="2" t="s">
        <v>5772</v>
      </c>
      <c r="V8155" s="2" t="s">
        <v>36</v>
      </c>
      <c r="W8155" s="2" t="s">
        <v>60</v>
      </c>
      <c r="X8155" s="2">
        <v>353.43</v>
      </c>
    </row>
    <row r="8156" spans="1:24" x14ac:dyDescent="0.3">
      <c r="A8156">
        <v>25959</v>
      </c>
      <c r="B8156" t="s">
        <v>15290</v>
      </c>
      <c r="C8156" s="3">
        <v>41611</v>
      </c>
      <c r="D8156" t="s">
        <v>25</v>
      </c>
      <c r="E8156">
        <v>17</v>
      </c>
      <c r="F8156" s="3">
        <f ca="1">41618+(RANDBETWEEN(1,10))</f>
        <v>41622</v>
      </c>
      <c r="G8156" t="s">
        <v>26</v>
      </c>
      <c r="H8156" t="s">
        <v>27</v>
      </c>
      <c r="I8156" t="s">
        <v>28</v>
      </c>
      <c r="J8156">
        <v>3407.9850000000001</v>
      </c>
      <c r="K8156">
        <v>0.03</v>
      </c>
      <c r="L8156">
        <v>0.55000000000000004</v>
      </c>
      <c r="M8156">
        <v>20.72</v>
      </c>
      <c r="N8156">
        <v>2351.50965</v>
      </c>
      <c r="O8156" s="1" t="s">
        <v>29</v>
      </c>
      <c r="P8156" s="1" t="s">
        <v>15212</v>
      </c>
      <c r="Q8156" s="1" t="s">
        <v>15213</v>
      </c>
      <c r="R8156" s="1" t="s">
        <v>32</v>
      </c>
      <c r="S8156" s="1" t="s">
        <v>2273</v>
      </c>
      <c r="T8156" s="1" t="s">
        <v>2274</v>
      </c>
      <c r="U8156" s="2">
        <v>252</v>
      </c>
      <c r="V8156" s="2" t="s">
        <v>36</v>
      </c>
      <c r="W8156" s="2" t="s">
        <v>37</v>
      </c>
      <c r="X8156" s="2">
        <v>230.965</v>
      </c>
    </row>
    <row r="8157" spans="1:24" x14ac:dyDescent="0.3">
      <c r="A8157">
        <v>25960</v>
      </c>
      <c r="B8157" t="s">
        <v>15291</v>
      </c>
      <c r="C8157" s="3">
        <v>41113</v>
      </c>
      <c r="D8157" t="s">
        <v>25</v>
      </c>
      <c r="E8157">
        <v>3</v>
      </c>
      <c r="F8157" s="3">
        <f ca="1">41115+(RANDBETWEEN(1,10))</f>
        <v>41118</v>
      </c>
      <c r="G8157" t="s">
        <v>26</v>
      </c>
      <c r="H8157" t="s">
        <v>27</v>
      </c>
      <c r="I8157" t="s">
        <v>52</v>
      </c>
      <c r="J8157">
        <v>884.31</v>
      </c>
      <c r="K8157">
        <v>0</v>
      </c>
      <c r="L8157">
        <v>0.59</v>
      </c>
      <c r="M8157">
        <v>15.75</v>
      </c>
      <c r="N8157">
        <v>551.07500000000005</v>
      </c>
      <c r="O8157" s="1" t="s">
        <v>87</v>
      </c>
      <c r="P8157" s="1" t="s">
        <v>14940</v>
      </c>
      <c r="Q8157" s="1" t="s">
        <v>14941</v>
      </c>
      <c r="R8157" s="1" t="s">
        <v>398</v>
      </c>
      <c r="S8157" s="1" t="s">
        <v>3402</v>
      </c>
      <c r="T8157" s="1" t="s">
        <v>3403</v>
      </c>
      <c r="U8157" s="2" t="s">
        <v>136</v>
      </c>
      <c r="V8157" s="2" t="s">
        <v>47</v>
      </c>
      <c r="W8157" s="2" t="s">
        <v>71</v>
      </c>
      <c r="X8157" s="2">
        <v>283.43</v>
      </c>
    </row>
    <row r="8158" spans="1:24" x14ac:dyDescent="0.3">
      <c r="A8158">
        <v>25961</v>
      </c>
      <c r="B8158" t="s">
        <v>15292</v>
      </c>
      <c r="C8158" s="3">
        <v>41604</v>
      </c>
      <c r="D8158" t="s">
        <v>50</v>
      </c>
      <c r="E8158">
        <v>14</v>
      </c>
      <c r="F8158" s="3">
        <f ca="1">41606+(RANDBETWEEN(1,10))</f>
        <v>41613</v>
      </c>
      <c r="G8158" t="s">
        <v>26</v>
      </c>
      <c r="H8158" t="s">
        <v>96</v>
      </c>
      <c r="I8158" t="s">
        <v>86</v>
      </c>
      <c r="J8158">
        <v>166.35499999999999</v>
      </c>
      <c r="K8158">
        <v>0.09</v>
      </c>
      <c r="L8158">
        <v>0.37</v>
      </c>
      <c r="M8158">
        <v>2.4500000000000002</v>
      </c>
      <c r="N8158">
        <v>114.78494999999999</v>
      </c>
      <c r="O8158" s="1" t="s">
        <v>87</v>
      </c>
      <c r="P8158" s="1" t="s">
        <v>15293</v>
      </c>
      <c r="Q8158" s="1" t="s">
        <v>15294</v>
      </c>
      <c r="R8158" s="1" t="s">
        <v>646</v>
      </c>
      <c r="S8158" s="1" t="s">
        <v>15295</v>
      </c>
      <c r="T8158" s="1" t="s">
        <v>719</v>
      </c>
      <c r="U8158" s="2" t="s">
        <v>15296</v>
      </c>
      <c r="V8158" s="2" t="s">
        <v>47</v>
      </c>
      <c r="W8158" s="2" t="s">
        <v>176</v>
      </c>
      <c r="X8158" s="2">
        <v>11.935</v>
      </c>
    </row>
    <row r="8159" spans="1:24" x14ac:dyDescent="0.3">
      <c r="A8159">
        <v>25962</v>
      </c>
      <c r="B8159" t="s">
        <v>15297</v>
      </c>
      <c r="C8159" s="3">
        <v>40797</v>
      </c>
      <c r="D8159" t="s">
        <v>62</v>
      </c>
      <c r="E8159">
        <v>16</v>
      </c>
      <c r="F8159" s="3">
        <f ca="1">40799+(RANDBETWEEN(1,10))</f>
        <v>40804</v>
      </c>
      <c r="G8159" t="s">
        <v>26</v>
      </c>
      <c r="H8159" t="s">
        <v>96</v>
      </c>
      <c r="I8159" t="s">
        <v>28</v>
      </c>
      <c r="J8159">
        <v>156.625</v>
      </c>
      <c r="K8159">
        <v>0</v>
      </c>
      <c r="L8159">
        <v>0.57999999999999996</v>
      </c>
      <c r="M8159">
        <v>8.4</v>
      </c>
      <c r="N8159">
        <v>-158.23500000000001</v>
      </c>
      <c r="O8159" s="1" t="s">
        <v>225</v>
      </c>
      <c r="P8159" s="1" t="s">
        <v>15298</v>
      </c>
      <c r="Q8159" s="1" t="s">
        <v>15299</v>
      </c>
      <c r="R8159" s="1" t="s">
        <v>228</v>
      </c>
      <c r="S8159" s="1" t="s">
        <v>15300</v>
      </c>
      <c r="T8159" s="1" t="s">
        <v>15301</v>
      </c>
      <c r="U8159" s="2" t="s">
        <v>6328</v>
      </c>
      <c r="V8159" s="2" t="s">
        <v>47</v>
      </c>
      <c r="W8159" s="2" t="s">
        <v>104</v>
      </c>
      <c r="X8159" s="2">
        <v>9.1</v>
      </c>
    </row>
    <row r="8160" spans="1:24" x14ac:dyDescent="0.3">
      <c r="A8160">
        <v>25963</v>
      </c>
      <c r="B8160" t="s">
        <v>15302</v>
      </c>
      <c r="C8160" s="3">
        <v>41543</v>
      </c>
      <c r="D8160" t="s">
        <v>39</v>
      </c>
      <c r="E8160">
        <v>11</v>
      </c>
      <c r="F8160" s="3">
        <f ca="1">41545+(RANDBETWEEN(1,10))</f>
        <v>41552</v>
      </c>
      <c r="G8160" t="s">
        <v>26</v>
      </c>
      <c r="H8160" t="s">
        <v>51</v>
      </c>
      <c r="I8160" t="s">
        <v>97</v>
      </c>
      <c r="J8160">
        <v>360.29</v>
      </c>
      <c r="K8160">
        <v>0.08</v>
      </c>
      <c r="L8160">
        <v>0.43</v>
      </c>
      <c r="M8160">
        <v>6.9649999999999999</v>
      </c>
      <c r="N8160">
        <v>72.38</v>
      </c>
      <c r="O8160" s="1" t="s">
        <v>87</v>
      </c>
      <c r="P8160" s="1" t="s">
        <v>15166</v>
      </c>
      <c r="Q8160" s="1" t="s">
        <v>15167</v>
      </c>
      <c r="R8160" s="1" t="s">
        <v>398</v>
      </c>
      <c r="S8160" s="1" t="s">
        <v>2867</v>
      </c>
      <c r="T8160" s="1" t="s">
        <v>2868</v>
      </c>
      <c r="U8160" s="2" t="s">
        <v>237</v>
      </c>
      <c r="V8160" s="2" t="s">
        <v>36</v>
      </c>
      <c r="W8160" s="2" t="s">
        <v>60</v>
      </c>
      <c r="X8160" s="2">
        <v>34.229999999999997</v>
      </c>
    </row>
    <row r="8161" spans="1:24" x14ac:dyDescent="0.3">
      <c r="A8161">
        <v>25964</v>
      </c>
      <c r="B8161" t="s">
        <v>15303</v>
      </c>
      <c r="C8161" s="3">
        <v>41868</v>
      </c>
      <c r="D8161" t="s">
        <v>25</v>
      </c>
      <c r="E8161">
        <v>5</v>
      </c>
      <c r="F8161" s="3">
        <f ca="1">41868+(RANDBETWEEN(1,10))</f>
        <v>41869</v>
      </c>
      <c r="G8161" t="s">
        <v>26</v>
      </c>
      <c r="H8161" t="s">
        <v>63</v>
      </c>
      <c r="I8161" t="s">
        <v>97</v>
      </c>
      <c r="J8161">
        <v>1728.1949999999999</v>
      </c>
      <c r="K8161">
        <v>7.0000000000000007E-2</v>
      </c>
      <c r="L8161">
        <v>0.82</v>
      </c>
      <c r="M8161">
        <v>122.5</v>
      </c>
      <c r="N8161">
        <v>-588.91056000000003</v>
      </c>
      <c r="O8161" s="1" t="s">
        <v>29</v>
      </c>
      <c r="P8161" s="1" t="s">
        <v>13470</v>
      </c>
      <c r="Q8161" s="1" t="s">
        <v>13471</v>
      </c>
      <c r="R8161" s="1" t="s">
        <v>32</v>
      </c>
      <c r="S8161" s="1" t="s">
        <v>13472</v>
      </c>
      <c r="T8161" s="1" t="s">
        <v>1896</v>
      </c>
      <c r="U8161" s="2" t="s">
        <v>4513</v>
      </c>
      <c r="V8161" s="2" t="s">
        <v>47</v>
      </c>
      <c r="W8161" s="2" t="s">
        <v>119</v>
      </c>
      <c r="X8161" s="2">
        <v>354.935</v>
      </c>
    </row>
    <row r="8162" spans="1:24" x14ac:dyDescent="0.3">
      <c r="A8162">
        <v>25965</v>
      </c>
      <c r="B8162" t="s">
        <v>15303</v>
      </c>
      <c r="C8162" s="3">
        <v>41868</v>
      </c>
      <c r="D8162" t="s">
        <v>25</v>
      </c>
      <c r="E8162">
        <v>24</v>
      </c>
      <c r="F8162" s="3">
        <f ca="1">41875+(RANDBETWEEN(1,10))</f>
        <v>41877</v>
      </c>
      <c r="G8162" t="s">
        <v>26</v>
      </c>
      <c r="H8162" t="s">
        <v>96</v>
      </c>
      <c r="I8162" t="s">
        <v>97</v>
      </c>
      <c r="J8162">
        <v>408.03</v>
      </c>
      <c r="K8162">
        <v>0.03</v>
      </c>
      <c r="L8162">
        <v>0.8</v>
      </c>
      <c r="M8162">
        <v>2.4500000000000002</v>
      </c>
      <c r="N8162">
        <v>49.037239999999997</v>
      </c>
      <c r="O8162" s="1" t="s">
        <v>53</v>
      </c>
      <c r="P8162" s="1" t="s">
        <v>15304</v>
      </c>
      <c r="Q8162" s="1" t="s">
        <v>15305</v>
      </c>
      <c r="R8162" s="1" t="s">
        <v>56</v>
      </c>
      <c r="S8162" s="1" t="s">
        <v>1821</v>
      </c>
      <c r="T8162" s="1" t="s">
        <v>15306</v>
      </c>
      <c r="U8162" s="2" t="s">
        <v>1308</v>
      </c>
      <c r="V8162" s="2" t="s">
        <v>47</v>
      </c>
      <c r="W8162" s="2" t="s">
        <v>176</v>
      </c>
      <c r="X8162" s="2">
        <v>16.484999999999999</v>
      </c>
    </row>
    <row r="8163" spans="1:24" x14ac:dyDescent="0.3">
      <c r="A8163">
        <v>25966</v>
      </c>
      <c r="B8163" t="s">
        <v>15307</v>
      </c>
      <c r="C8163" s="3">
        <v>40942</v>
      </c>
      <c r="D8163" t="s">
        <v>39</v>
      </c>
      <c r="E8163">
        <v>9</v>
      </c>
      <c r="F8163" s="3">
        <f ca="1">40944+(RANDBETWEEN(1,10))</f>
        <v>40950</v>
      </c>
      <c r="G8163" t="s">
        <v>26</v>
      </c>
      <c r="H8163" t="s">
        <v>281</v>
      </c>
      <c r="I8163" t="s">
        <v>86</v>
      </c>
      <c r="J8163">
        <v>215.32</v>
      </c>
      <c r="K8163">
        <v>0.05</v>
      </c>
      <c r="L8163">
        <v>0.6</v>
      </c>
      <c r="M8163">
        <v>17.605</v>
      </c>
      <c r="N8163">
        <v>-387.07900000000001</v>
      </c>
      <c r="O8163" s="1" t="s">
        <v>40</v>
      </c>
      <c r="P8163" s="1" t="s">
        <v>15308</v>
      </c>
      <c r="Q8163" s="1" t="s">
        <v>15309</v>
      </c>
      <c r="R8163" s="1" t="s">
        <v>220</v>
      </c>
      <c r="S8163" s="1" t="s">
        <v>15310</v>
      </c>
      <c r="T8163" s="1" t="s">
        <v>15311</v>
      </c>
      <c r="U8163" s="2" t="s">
        <v>408</v>
      </c>
      <c r="V8163" s="2" t="s">
        <v>36</v>
      </c>
      <c r="W8163" s="2" t="s">
        <v>37</v>
      </c>
      <c r="X8163" s="2">
        <v>27.965</v>
      </c>
    </row>
    <row r="8164" spans="1:24" x14ac:dyDescent="0.3">
      <c r="A8164">
        <v>25967</v>
      </c>
      <c r="B8164" t="s">
        <v>15312</v>
      </c>
      <c r="C8164" s="3">
        <v>41857</v>
      </c>
      <c r="D8164" t="s">
        <v>39</v>
      </c>
      <c r="E8164">
        <v>24</v>
      </c>
      <c r="F8164" s="3">
        <f ca="1">41859+(RANDBETWEEN(1,10))</f>
        <v>41862</v>
      </c>
      <c r="G8164" t="s">
        <v>156</v>
      </c>
      <c r="H8164" t="s">
        <v>27</v>
      </c>
      <c r="I8164" t="s">
        <v>86</v>
      </c>
      <c r="J8164">
        <v>4873.4350000000004</v>
      </c>
      <c r="K8164">
        <v>0.01</v>
      </c>
      <c r="L8164">
        <v>0.59</v>
      </c>
      <c r="M8164">
        <v>14.7</v>
      </c>
      <c r="N8164">
        <v>5219.634</v>
      </c>
      <c r="O8164" s="1" t="s">
        <v>29</v>
      </c>
      <c r="P8164" s="1" t="s">
        <v>13673</v>
      </c>
      <c r="Q8164" s="1" t="s">
        <v>13674</v>
      </c>
      <c r="R8164" s="1" t="s">
        <v>460</v>
      </c>
      <c r="S8164" s="1" t="s">
        <v>13675</v>
      </c>
      <c r="T8164" s="1" t="s">
        <v>13676</v>
      </c>
      <c r="U8164" s="2">
        <v>5170</v>
      </c>
      <c r="V8164" s="2" t="s">
        <v>36</v>
      </c>
      <c r="W8164" s="2" t="s">
        <v>37</v>
      </c>
      <c r="X8164" s="2">
        <v>230.965</v>
      </c>
    </row>
    <row r="8165" spans="1:24" x14ac:dyDescent="0.3">
      <c r="A8165">
        <v>25968</v>
      </c>
      <c r="B8165" t="s">
        <v>15313</v>
      </c>
      <c r="C8165" s="3">
        <v>41700</v>
      </c>
      <c r="D8165" t="s">
        <v>25</v>
      </c>
      <c r="E8165">
        <v>4</v>
      </c>
      <c r="F8165" s="3">
        <f ca="1">41707+(RANDBETWEEN(1,10))</f>
        <v>41714</v>
      </c>
      <c r="G8165" t="s">
        <v>156</v>
      </c>
      <c r="H8165" t="s">
        <v>27</v>
      </c>
      <c r="I8165" t="s">
        <v>97</v>
      </c>
      <c r="J8165">
        <v>1139.67</v>
      </c>
      <c r="K8165">
        <v>0.05</v>
      </c>
      <c r="L8165">
        <v>0.45</v>
      </c>
      <c r="M8165">
        <v>21.454999999999998</v>
      </c>
      <c r="N8165">
        <v>786.3723</v>
      </c>
      <c r="O8165" s="1" t="s">
        <v>40</v>
      </c>
      <c r="P8165" s="1" t="s">
        <v>1536</v>
      </c>
      <c r="Q8165" s="1" t="s">
        <v>1537</v>
      </c>
      <c r="R8165" s="1" t="s">
        <v>43</v>
      </c>
      <c r="S8165" s="1" t="s">
        <v>1538</v>
      </c>
      <c r="T8165" s="1" t="s">
        <v>1539</v>
      </c>
      <c r="U8165" s="2" t="s">
        <v>3335</v>
      </c>
      <c r="V8165" s="2" t="s">
        <v>36</v>
      </c>
      <c r="W8165" s="2" t="s">
        <v>60</v>
      </c>
      <c r="X8165" s="2">
        <v>290.85000000000002</v>
      </c>
    </row>
    <row r="8166" spans="1:24" x14ac:dyDescent="0.3">
      <c r="A8166">
        <v>25969</v>
      </c>
      <c r="B8166" t="s">
        <v>15314</v>
      </c>
      <c r="C8166" s="3">
        <v>41017</v>
      </c>
      <c r="D8166" t="s">
        <v>50</v>
      </c>
      <c r="E8166">
        <v>3</v>
      </c>
      <c r="F8166" s="3">
        <f ca="1">41017+(RANDBETWEEN(1,10))</f>
        <v>41022</v>
      </c>
      <c r="G8166" t="s">
        <v>26</v>
      </c>
      <c r="H8166" t="s">
        <v>27</v>
      </c>
      <c r="I8166" t="s">
        <v>28</v>
      </c>
      <c r="J8166">
        <v>331.20499999999998</v>
      </c>
      <c r="K8166">
        <v>0.1</v>
      </c>
      <c r="L8166">
        <v>0.4</v>
      </c>
      <c r="M8166">
        <v>59.78</v>
      </c>
      <c r="N8166">
        <v>-144.41</v>
      </c>
      <c r="O8166" s="1" t="s">
        <v>40</v>
      </c>
      <c r="P8166" s="1" t="s">
        <v>6622</v>
      </c>
      <c r="Q8166" s="1" t="s">
        <v>6623</v>
      </c>
      <c r="R8166" s="1" t="s">
        <v>43</v>
      </c>
      <c r="S8166" s="1" t="s">
        <v>6624</v>
      </c>
      <c r="T8166" s="1" t="s">
        <v>6625</v>
      </c>
      <c r="U8166" s="2" t="s">
        <v>6956</v>
      </c>
      <c r="V8166" s="2" t="s">
        <v>47</v>
      </c>
      <c r="W8166" s="2" t="s">
        <v>74</v>
      </c>
      <c r="X8166" s="2">
        <v>108.43</v>
      </c>
    </row>
    <row r="8167" spans="1:24" x14ac:dyDescent="0.3">
      <c r="A8167">
        <v>25970</v>
      </c>
      <c r="B8167" t="s">
        <v>15315</v>
      </c>
      <c r="C8167" s="3">
        <v>40831</v>
      </c>
      <c r="D8167" t="s">
        <v>148</v>
      </c>
      <c r="E8167">
        <v>12</v>
      </c>
      <c r="F8167" s="3">
        <f ca="1">40833+(RANDBETWEEN(1,10))</f>
        <v>40842</v>
      </c>
      <c r="G8167" t="s">
        <v>156</v>
      </c>
      <c r="H8167" t="s">
        <v>27</v>
      </c>
      <c r="I8167" t="s">
        <v>28</v>
      </c>
      <c r="J8167">
        <v>245.10499999999999</v>
      </c>
      <c r="K8167">
        <v>0.08</v>
      </c>
      <c r="L8167">
        <v>0.39</v>
      </c>
      <c r="M8167">
        <v>17.535</v>
      </c>
      <c r="N8167">
        <v>-215.69814</v>
      </c>
      <c r="O8167" s="1" t="s">
        <v>225</v>
      </c>
      <c r="P8167" s="1" t="s">
        <v>14630</v>
      </c>
      <c r="Q8167" s="1" t="s">
        <v>14631</v>
      </c>
      <c r="R8167" s="1" t="s">
        <v>391</v>
      </c>
      <c r="S8167" s="1" t="s">
        <v>713</v>
      </c>
      <c r="T8167" s="1" t="s">
        <v>14632</v>
      </c>
      <c r="U8167" s="2" t="s">
        <v>2422</v>
      </c>
      <c r="V8167" s="2" t="s">
        <v>47</v>
      </c>
      <c r="W8167" s="2" t="s">
        <v>111</v>
      </c>
      <c r="X8167" s="2">
        <v>20.09</v>
      </c>
    </row>
    <row r="8168" spans="1:24" x14ac:dyDescent="0.3">
      <c r="A8168">
        <v>25971</v>
      </c>
      <c r="B8168" t="s">
        <v>15316</v>
      </c>
      <c r="C8168" s="3">
        <v>41816</v>
      </c>
      <c r="D8168" t="s">
        <v>148</v>
      </c>
      <c r="E8168">
        <v>3</v>
      </c>
      <c r="F8168" s="3">
        <f ca="1">41818+(RANDBETWEEN(1,10))</f>
        <v>41823</v>
      </c>
      <c r="G8168" t="s">
        <v>26</v>
      </c>
      <c r="H8168" t="s">
        <v>27</v>
      </c>
      <c r="I8168" t="s">
        <v>28</v>
      </c>
      <c r="J8168">
        <v>93.31</v>
      </c>
      <c r="K8168">
        <v>0.03</v>
      </c>
      <c r="L8168">
        <v>0.39</v>
      </c>
      <c r="M8168">
        <v>10.465</v>
      </c>
      <c r="N8168">
        <v>9.6033000000000008</v>
      </c>
      <c r="O8168" s="1" t="s">
        <v>40</v>
      </c>
      <c r="P8168" s="1" t="s">
        <v>3229</v>
      </c>
      <c r="Q8168" s="1" t="s">
        <v>3230</v>
      </c>
      <c r="R8168" s="1" t="s">
        <v>43</v>
      </c>
      <c r="S8168" s="1" t="s">
        <v>454</v>
      </c>
      <c r="T8168" s="1" t="s">
        <v>455</v>
      </c>
      <c r="U8168" s="2" t="s">
        <v>618</v>
      </c>
      <c r="V8168" s="2" t="s">
        <v>47</v>
      </c>
      <c r="W8168" s="2" t="s">
        <v>111</v>
      </c>
      <c r="X8168" s="2">
        <v>30.414999999999999</v>
      </c>
    </row>
    <row r="8169" spans="1:24" x14ac:dyDescent="0.3">
      <c r="A8169">
        <v>25972</v>
      </c>
      <c r="B8169" t="s">
        <v>15317</v>
      </c>
      <c r="C8169" s="3">
        <v>41341</v>
      </c>
      <c r="D8169" t="s">
        <v>62</v>
      </c>
      <c r="E8169">
        <v>5</v>
      </c>
      <c r="F8169" s="3">
        <f ca="1">41342+(RANDBETWEEN(1,10))</f>
        <v>41351</v>
      </c>
      <c r="G8169" t="s">
        <v>26</v>
      </c>
      <c r="H8169" t="s">
        <v>27</v>
      </c>
      <c r="I8169" t="s">
        <v>52</v>
      </c>
      <c r="J8169">
        <v>76.44</v>
      </c>
      <c r="K8169">
        <v>0.01</v>
      </c>
      <c r="L8169">
        <v>0.38</v>
      </c>
      <c r="M8169">
        <v>18.41</v>
      </c>
      <c r="N8169">
        <v>-196.58099999999999</v>
      </c>
      <c r="O8169" s="1" t="s">
        <v>40</v>
      </c>
      <c r="P8169" s="1" t="s">
        <v>1849</v>
      </c>
      <c r="Q8169" s="1" t="s">
        <v>1850</v>
      </c>
      <c r="R8169" s="1" t="s">
        <v>43</v>
      </c>
      <c r="S8169" s="1" t="s">
        <v>1851</v>
      </c>
      <c r="T8169" s="1" t="s">
        <v>1852</v>
      </c>
      <c r="U8169" s="2" t="s">
        <v>1287</v>
      </c>
      <c r="V8169" s="2" t="s">
        <v>47</v>
      </c>
      <c r="W8169" s="2" t="s">
        <v>111</v>
      </c>
      <c r="X8169" s="2">
        <v>13.93</v>
      </c>
    </row>
    <row r="8170" spans="1:24" x14ac:dyDescent="0.3">
      <c r="A8170">
        <v>25973</v>
      </c>
      <c r="B8170" t="s">
        <v>15317</v>
      </c>
      <c r="C8170" s="3">
        <v>41341</v>
      </c>
      <c r="D8170" t="s">
        <v>62</v>
      </c>
      <c r="E8170">
        <v>1</v>
      </c>
      <c r="F8170" s="3">
        <f ca="1">41342+(RANDBETWEEN(1,10))</f>
        <v>41343</v>
      </c>
      <c r="G8170" t="s">
        <v>26</v>
      </c>
      <c r="H8170" t="s">
        <v>27</v>
      </c>
      <c r="I8170" t="s">
        <v>52</v>
      </c>
      <c r="J8170">
        <v>20.335000000000001</v>
      </c>
      <c r="K8170">
        <v>0.09</v>
      </c>
      <c r="L8170">
        <v>0.4</v>
      </c>
      <c r="M8170">
        <v>23.52</v>
      </c>
      <c r="N8170">
        <v>-66.709999999999994</v>
      </c>
      <c r="O8170" s="1" t="s">
        <v>64</v>
      </c>
      <c r="P8170" s="1" t="s">
        <v>15318</v>
      </c>
      <c r="Q8170" s="1" t="s">
        <v>15319</v>
      </c>
      <c r="R8170" s="1" t="s">
        <v>67</v>
      </c>
      <c r="S8170" s="1" t="s">
        <v>10443</v>
      </c>
      <c r="T8170" s="1" t="s">
        <v>10444</v>
      </c>
      <c r="U8170" s="2" t="s">
        <v>2298</v>
      </c>
      <c r="V8170" s="2" t="s">
        <v>47</v>
      </c>
      <c r="W8170" s="2" t="s">
        <v>74</v>
      </c>
      <c r="X8170" s="2">
        <v>14.98</v>
      </c>
    </row>
    <row r="8171" spans="1:24" x14ac:dyDescent="0.3">
      <c r="A8171">
        <v>25974</v>
      </c>
      <c r="B8171" t="s">
        <v>15320</v>
      </c>
      <c r="C8171" s="3">
        <v>41951</v>
      </c>
      <c r="D8171" t="s">
        <v>25</v>
      </c>
      <c r="E8171">
        <v>26</v>
      </c>
      <c r="F8171" s="3">
        <f ca="1">41958+(RANDBETWEEN(1,10))</f>
        <v>41965</v>
      </c>
      <c r="G8171" t="s">
        <v>76</v>
      </c>
      <c r="H8171" t="s">
        <v>258</v>
      </c>
      <c r="I8171" t="s">
        <v>28</v>
      </c>
      <c r="J8171">
        <v>6858.2849999999999</v>
      </c>
      <c r="K8171">
        <v>0.01</v>
      </c>
      <c r="L8171">
        <v>0.72</v>
      </c>
      <c r="M8171">
        <v>312.55</v>
      </c>
      <c r="N8171">
        <v>4705.1364359999998</v>
      </c>
      <c r="O8171" s="1" t="s">
        <v>87</v>
      </c>
      <c r="P8171" s="1" t="s">
        <v>15293</v>
      </c>
      <c r="Q8171" s="1" t="s">
        <v>15294</v>
      </c>
      <c r="R8171" s="1" t="s">
        <v>646</v>
      </c>
      <c r="S8171" s="1" t="s">
        <v>15295</v>
      </c>
      <c r="T8171" s="1" t="s">
        <v>719</v>
      </c>
      <c r="U8171" s="2" t="s">
        <v>407</v>
      </c>
      <c r="V8171" s="2" t="s">
        <v>83</v>
      </c>
      <c r="W8171" s="2" t="s">
        <v>263</v>
      </c>
      <c r="X8171" s="2">
        <v>248.11500000000001</v>
      </c>
    </row>
    <row r="8172" spans="1:24" x14ac:dyDescent="0.3">
      <c r="A8172">
        <v>25975</v>
      </c>
      <c r="B8172" t="s">
        <v>15321</v>
      </c>
      <c r="C8172" s="3">
        <v>41768</v>
      </c>
      <c r="D8172" t="s">
        <v>148</v>
      </c>
      <c r="E8172">
        <v>9</v>
      </c>
      <c r="F8172" s="3">
        <f ca="1">41768+(RANDBETWEEN(1,10))</f>
        <v>41772</v>
      </c>
      <c r="G8172" t="s">
        <v>156</v>
      </c>
      <c r="H8172" t="s">
        <v>27</v>
      </c>
      <c r="I8172" t="s">
        <v>28</v>
      </c>
      <c r="J8172">
        <v>231.10499999999999</v>
      </c>
      <c r="K8172">
        <v>0</v>
      </c>
      <c r="L8172">
        <v>0.36</v>
      </c>
      <c r="M8172">
        <v>18.445</v>
      </c>
      <c r="N8172">
        <v>-134.70099999999999</v>
      </c>
      <c r="O8172" s="1" t="s">
        <v>29</v>
      </c>
      <c r="P8172" s="1" t="s">
        <v>15046</v>
      </c>
      <c r="Q8172" s="1" t="s">
        <v>15047</v>
      </c>
      <c r="R8172" s="1" t="s">
        <v>32</v>
      </c>
      <c r="S8172" s="1" t="s">
        <v>15048</v>
      </c>
      <c r="T8172" s="1" t="s">
        <v>15049</v>
      </c>
      <c r="U8172" s="2" t="s">
        <v>588</v>
      </c>
      <c r="V8172" s="2" t="s">
        <v>47</v>
      </c>
      <c r="W8172" s="2" t="s">
        <v>111</v>
      </c>
      <c r="X8172" s="2">
        <v>22.89</v>
      </c>
    </row>
    <row r="8173" spans="1:24" x14ac:dyDescent="0.3">
      <c r="A8173">
        <v>25976</v>
      </c>
      <c r="B8173" t="s">
        <v>15321</v>
      </c>
      <c r="C8173" s="3">
        <v>41768</v>
      </c>
      <c r="D8173" t="s">
        <v>148</v>
      </c>
      <c r="E8173">
        <v>9</v>
      </c>
      <c r="F8173" s="3">
        <f ca="1">41769+(RANDBETWEEN(1,10))</f>
        <v>41770</v>
      </c>
      <c r="G8173" t="s">
        <v>26</v>
      </c>
      <c r="H8173" t="s">
        <v>27</v>
      </c>
      <c r="I8173" t="s">
        <v>28</v>
      </c>
      <c r="J8173">
        <v>1142.2249999999999</v>
      </c>
      <c r="K8173">
        <v>7.0000000000000007E-2</v>
      </c>
      <c r="L8173">
        <v>0.75</v>
      </c>
      <c r="M8173">
        <v>31.57</v>
      </c>
      <c r="N8173">
        <v>50.274000000000001</v>
      </c>
      <c r="O8173" s="1" t="s">
        <v>29</v>
      </c>
      <c r="P8173" s="1" t="s">
        <v>15046</v>
      </c>
      <c r="Q8173" s="1" t="s">
        <v>15047</v>
      </c>
      <c r="R8173" s="1" t="s">
        <v>32</v>
      </c>
      <c r="S8173" s="1" t="s">
        <v>15048</v>
      </c>
      <c r="T8173" s="1" t="s">
        <v>15049</v>
      </c>
      <c r="U8173" s="2" t="s">
        <v>6246</v>
      </c>
      <c r="V8173" s="2" t="s">
        <v>36</v>
      </c>
      <c r="W8173" s="2" t="s">
        <v>60</v>
      </c>
      <c r="X8173" s="2">
        <v>125.19499999999999</v>
      </c>
    </row>
    <row r="8174" spans="1:24" x14ac:dyDescent="0.3">
      <c r="A8174">
        <v>25977</v>
      </c>
      <c r="B8174" t="s">
        <v>15322</v>
      </c>
      <c r="C8174" s="3">
        <v>41426</v>
      </c>
      <c r="D8174" t="s">
        <v>148</v>
      </c>
      <c r="E8174">
        <v>21</v>
      </c>
      <c r="F8174" s="3">
        <f ca="1">41428+(RANDBETWEEN(1,10))</f>
        <v>41438</v>
      </c>
      <c r="G8174" t="s">
        <v>26</v>
      </c>
      <c r="H8174" t="s">
        <v>27</v>
      </c>
      <c r="I8174" t="s">
        <v>28</v>
      </c>
      <c r="J8174">
        <v>311.815</v>
      </c>
      <c r="K8174">
        <v>0.01</v>
      </c>
      <c r="L8174">
        <v>0.38</v>
      </c>
      <c r="M8174">
        <v>18.41</v>
      </c>
      <c r="N8174">
        <v>21.021000000000001</v>
      </c>
      <c r="O8174" s="1" t="s">
        <v>87</v>
      </c>
      <c r="P8174" s="1" t="s">
        <v>12321</v>
      </c>
      <c r="Q8174" s="1" t="s">
        <v>12322</v>
      </c>
      <c r="R8174" s="1" t="s">
        <v>398</v>
      </c>
      <c r="S8174" s="1" t="s">
        <v>12323</v>
      </c>
      <c r="T8174" s="1" t="s">
        <v>12324</v>
      </c>
      <c r="U8174" s="2" t="s">
        <v>1287</v>
      </c>
      <c r="V8174" s="2" t="s">
        <v>47</v>
      </c>
      <c r="W8174" s="2" t="s">
        <v>111</v>
      </c>
      <c r="X8174" s="2">
        <v>13.93</v>
      </c>
    </row>
    <row r="8175" spans="1:24" x14ac:dyDescent="0.3">
      <c r="A8175">
        <v>25978</v>
      </c>
      <c r="B8175" t="s">
        <v>15322</v>
      </c>
      <c r="C8175" s="3">
        <v>41426</v>
      </c>
      <c r="D8175" t="s">
        <v>148</v>
      </c>
      <c r="E8175">
        <v>10</v>
      </c>
      <c r="F8175" s="3">
        <f ca="1">41428+(RANDBETWEEN(1,10))</f>
        <v>41431</v>
      </c>
      <c r="G8175" t="s">
        <v>26</v>
      </c>
      <c r="H8175" t="s">
        <v>27</v>
      </c>
      <c r="I8175" t="s">
        <v>28</v>
      </c>
      <c r="J8175">
        <v>3437.77</v>
      </c>
      <c r="K8175">
        <v>0.03</v>
      </c>
      <c r="L8175">
        <v>0.36</v>
      </c>
      <c r="M8175">
        <v>1.7150000000000001</v>
      </c>
      <c r="N8175">
        <v>475.44</v>
      </c>
      <c r="O8175" s="1" t="s">
        <v>87</v>
      </c>
      <c r="P8175" s="1" t="s">
        <v>12321</v>
      </c>
      <c r="Q8175" s="1" t="s">
        <v>12322</v>
      </c>
      <c r="R8175" s="1" t="s">
        <v>398</v>
      </c>
      <c r="S8175" s="1" t="s">
        <v>12323</v>
      </c>
      <c r="T8175" s="1" t="s">
        <v>12324</v>
      </c>
      <c r="U8175" s="2" t="s">
        <v>12278</v>
      </c>
      <c r="V8175" s="2" t="s">
        <v>47</v>
      </c>
      <c r="W8175" s="2" t="s">
        <v>203</v>
      </c>
      <c r="X8175" s="2">
        <v>344.08499999999998</v>
      </c>
    </row>
    <row r="8176" spans="1:24" x14ac:dyDescent="0.3">
      <c r="A8176">
        <v>25979</v>
      </c>
      <c r="B8176" t="s">
        <v>15323</v>
      </c>
      <c r="C8176" s="3">
        <v>40877</v>
      </c>
      <c r="D8176" t="s">
        <v>25</v>
      </c>
      <c r="E8176">
        <v>18</v>
      </c>
      <c r="F8176" s="3">
        <f ca="1">40884+(RANDBETWEEN(1,10))</f>
        <v>40893</v>
      </c>
      <c r="G8176" t="s">
        <v>26</v>
      </c>
      <c r="H8176" t="s">
        <v>27</v>
      </c>
      <c r="I8176" t="s">
        <v>86</v>
      </c>
      <c r="J8176">
        <v>1412.355</v>
      </c>
      <c r="K8176">
        <v>0.04</v>
      </c>
      <c r="L8176">
        <v>0.38</v>
      </c>
      <c r="M8176">
        <v>52.85</v>
      </c>
      <c r="N8176">
        <v>56.076300000000003</v>
      </c>
      <c r="O8176" s="1" t="s">
        <v>40</v>
      </c>
      <c r="P8176" s="1" t="s">
        <v>15308</v>
      </c>
      <c r="Q8176" s="1" t="s">
        <v>15309</v>
      </c>
      <c r="R8176" s="1" t="s">
        <v>220</v>
      </c>
      <c r="S8176" s="1" t="s">
        <v>15310</v>
      </c>
      <c r="T8176" s="1" t="s">
        <v>15311</v>
      </c>
      <c r="U8176" s="2" t="s">
        <v>2602</v>
      </c>
      <c r="V8176" s="2" t="s">
        <v>47</v>
      </c>
      <c r="W8176" s="2" t="s">
        <v>111</v>
      </c>
      <c r="X8176" s="2">
        <v>78.33</v>
      </c>
    </row>
    <row r="8177" spans="1:24" x14ac:dyDescent="0.3">
      <c r="A8177">
        <v>25980</v>
      </c>
      <c r="B8177" t="s">
        <v>15324</v>
      </c>
      <c r="C8177" s="3">
        <v>41973</v>
      </c>
      <c r="D8177" t="s">
        <v>25</v>
      </c>
      <c r="E8177">
        <v>5</v>
      </c>
      <c r="F8177" s="3">
        <f ca="1">41973+(RANDBETWEEN(1,10))</f>
        <v>41981</v>
      </c>
      <c r="G8177" t="s">
        <v>26</v>
      </c>
      <c r="H8177" t="s">
        <v>27</v>
      </c>
      <c r="I8177" t="s">
        <v>86</v>
      </c>
      <c r="J8177">
        <v>106.645</v>
      </c>
      <c r="K8177">
        <v>7.0000000000000007E-2</v>
      </c>
      <c r="L8177">
        <v>0.39</v>
      </c>
      <c r="M8177">
        <v>1.75</v>
      </c>
      <c r="N8177">
        <v>53.641280000000002</v>
      </c>
      <c r="O8177" s="1" t="s">
        <v>40</v>
      </c>
      <c r="P8177" s="1" t="s">
        <v>15308</v>
      </c>
      <c r="Q8177" s="1" t="s">
        <v>15309</v>
      </c>
      <c r="R8177" s="1" t="s">
        <v>220</v>
      </c>
      <c r="S8177" s="1" t="s">
        <v>15310</v>
      </c>
      <c r="T8177" s="1" t="s">
        <v>15311</v>
      </c>
      <c r="U8177" s="2" t="s">
        <v>2675</v>
      </c>
      <c r="V8177" s="2" t="s">
        <v>47</v>
      </c>
      <c r="W8177" s="2" t="s">
        <v>203</v>
      </c>
      <c r="X8177" s="2">
        <v>22.05</v>
      </c>
    </row>
    <row r="8178" spans="1:24" x14ac:dyDescent="0.3">
      <c r="A8178">
        <v>25981</v>
      </c>
      <c r="B8178" t="s">
        <v>15323</v>
      </c>
      <c r="C8178" s="3">
        <v>40877</v>
      </c>
      <c r="D8178" t="s">
        <v>25</v>
      </c>
      <c r="E8178">
        <v>3</v>
      </c>
      <c r="F8178" s="3">
        <f ca="1">40879+(RANDBETWEEN(1,10))</f>
        <v>40885</v>
      </c>
      <c r="G8178" t="s">
        <v>26</v>
      </c>
      <c r="H8178" t="s">
        <v>27</v>
      </c>
      <c r="I8178" t="s">
        <v>86</v>
      </c>
      <c r="J8178">
        <v>193.095</v>
      </c>
      <c r="K8178">
        <v>0.06</v>
      </c>
      <c r="L8178">
        <v>0.54</v>
      </c>
      <c r="M8178">
        <v>17.605</v>
      </c>
      <c r="N8178">
        <v>133.23554999999999</v>
      </c>
      <c r="O8178" s="1" t="s">
        <v>40</v>
      </c>
      <c r="P8178" s="1" t="s">
        <v>15308</v>
      </c>
      <c r="Q8178" s="1" t="s">
        <v>15309</v>
      </c>
      <c r="R8178" s="1" t="s">
        <v>220</v>
      </c>
      <c r="S8178" s="1" t="s">
        <v>15310</v>
      </c>
      <c r="T8178" s="1" t="s">
        <v>15311</v>
      </c>
      <c r="U8178" s="2" t="s">
        <v>3463</v>
      </c>
      <c r="V8178" s="2" t="s">
        <v>83</v>
      </c>
      <c r="W8178" s="2" t="s">
        <v>178</v>
      </c>
      <c r="X8178" s="2">
        <v>62.23</v>
      </c>
    </row>
    <row r="8179" spans="1:24" x14ac:dyDescent="0.3">
      <c r="A8179">
        <v>25982</v>
      </c>
      <c r="B8179" t="s">
        <v>15325</v>
      </c>
      <c r="C8179" s="3">
        <v>41427</v>
      </c>
      <c r="D8179" t="s">
        <v>148</v>
      </c>
      <c r="E8179">
        <v>11</v>
      </c>
      <c r="F8179" s="3">
        <f ca="1">41427+(RANDBETWEEN(1,10))</f>
        <v>41436</v>
      </c>
      <c r="G8179" t="s">
        <v>26</v>
      </c>
      <c r="H8179" t="s">
        <v>27</v>
      </c>
      <c r="I8179" t="s">
        <v>86</v>
      </c>
      <c r="J8179">
        <v>257.32</v>
      </c>
      <c r="K8179">
        <v>0.06</v>
      </c>
      <c r="L8179">
        <v>0.37</v>
      </c>
      <c r="M8179">
        <v>26.215</v>
      </c>
      <c r="N8179">
        <v>-269.52800000000002</v>
      </c>
      <c r="O8179" s="1" t="s">
        <v>40</v>
      </c>
      <c r="P8179" s="1" t="s">
        <v>9476</v>
      </c>
      <c r="Q8179" s="1" t="s">
        <v>9477</v>
      </c>
      <c r="R8179" s="1" t="s">
        <v>220</v>
      </c>
      <c r="S8179" s="1" t="s">
        <v>1544</v>
      </c>
      <c r="T8179" s="1" t="s">
        <v>1545</v>
      </c>
      <c r="U8179" s="2" t="s">
        <v>2916</v>
      </c>
      <c r="V8179" s="2" t="s">
        <v>47</v>
      </c>
      <c r="W8179" s="2" t="s">
        <v>74</v>
      </c>
      <c r="X8179" s="2">
        <v>22.68</v>
      </c>
    </row>
    <row r="8180" spans="1:24" x14ac:dyDescent="0.3">
      <c r="A8180">
        <v>25983</v>
      </c>
      <c r="B8180" t="s">
        <v>15325</v>
      </c>
      <c r="C8180" s="3">
        <v>41427</v>
      </c>
      <c r="D8180" t="s">
        <v>148</v>
      </c>
      <c r="E8180">
        <v>9</v>
      </c>
      <c r="F8180" s="3">
        <f ca="1">41429+(RANDBETWEEN(1,10))</f>
        <v>41430</v>
      </c>
      <c r="G8180" t="s">
        <v>26</v>
      </c>
      <c r="H8180" t="s">
        <v>96</v>
      </c>
      <c r="I8180" t="s">
        <v>86</v>
      </c>
      <c r="J8180">
        <v>58.975000000000001</v>
      </c>
      <c r="K8180">
        <v>7.0000000000000007E-2</v>
      </c>
      <c r="L8180">
        <v>0.5</v>
      </c>
      <c r="M8180">
        <v>2.7650000000000001</v>
      </c>
      <c r="N8180">
        <v>-1.792</v>
      </c>
      <c r="O8180" s="1" t="s">
        <v>40</v>
      </c>
      <c r="P8180" s="1" t="s">
        <v>9476</v>
      </c>
      <c r="Q8180" s="1" t="s">
        <v>9477</v>
      </c>
      <c r="R8180" s="1" t="s">
        <v>220</v>
      </c>
      <c r="S8180" s="1" t="s">
        <v>1544</v>
      </c>
      <c r="T8180" s="1" t="s">
        <v>1545</v>
      </c>
      <c r="U8180" s="2" t="s">
        <v>12428</v>
      </c>
      <c r="V8180" s="2" t="s">
        <v>47</v>
      </c>
      <c r="W8180" s="2" t="s">
        <v>176</v>
      </c>
      <c r="X8180" s="2">
        <v>6.58</v>
      </c>
    </row>
    <row r="8181" spans="1:24" x14ac:dyDescent="0.3">
      <c r="A8181">
        <v>25984</v>
      </c>
      <c r="B8181" t="s">
        <v>15326</v>
      </c>
      <c r="C8181" s="3">
        <v>41578</v>
      </c>
      <c r="D8181" t="s">
        <v>148</v>
      </c>
      <c r="E8181">
        <v>3</v>
      </c>
      <c r="F8181" s="3">
        <f ca="1">41579+(RANDBETWEEN(1,10))</f>
        <v>41586</v>
      </c>
      <c r="G8181" t="s">
        <v>156</v>
      </c>
      <c r="H8181" t="s">
        <v>96</v>
      </c>
      <c r="I8181" t="s">
        <v>97</v>
      </c>
      <c r="J8181">
        <v>26.004999999999999</v>
      </c>
      <c r="K8181">
        <v>0.05</v>
      </c>
      <c r="L8181">
        <v>0.81</v>
      </c>
      <c r="M8181">
        <v>3.57</v>
      </c>
      <c r="N8181">
        <v>-10.546200000000001</v>
      </c>
      <c r="O8181" s="1" t="s">
        <v>29</v>
      </c>
      <c r="P8181" s="1" t="s">
        <v>15327</v>
      </c>
      <c r="Q8181" s="1" t="s">
        <v>15328</v>
      </c>
      <c r="R8181" s="1" t="s">
        <v>32</v>
      </c>
      <c r="S8181" s="1" t="s">
        <v>1369</v>
      </c>
      <c r="T8181" s="1" t="s">
        <v>1370</v>
      </c>
      <c r="U8181" s="2" t="s">
        <v>15329</v>
      </c>
      <c r="V8181" s="2" t="s">
        <v>47</v>
      </c>
      <c r="W8181" s="2" t="s">
        <v>176</v>
      </c>
      <c r="X8181" s="2">
        <v>5.88</v>
      </c>
    </row>
    <row r="8182" spans="1:24" x14ac:dyDescent="0.3">
      <c r="A8182">
        <v>25985</v>
      </c>
      <c r="B8182" t="s">
        <v>15330</v>
      </c>
      <c r="C8182" s="3">
        <v>41030</v>
      </c>
      <c r="D8182" t="s">
        <v>62</v>
      </c>
      <c r="E8182">
        <v>11</v>
      </c>
      <c r="F8182" s="3">
        <f ca="1">41031+(RANDBETWEEN(1,10))</f>
        <v>41033</v>
      </c>
      <c r="G8182" t="s">
        <v>26</v>
      </c>
      <c r="H8182" t="s">
        <v>27</v>
      </c>
      <c r="I8182" t="s">
        <v>52</v>
      </c>
      <c r="J8182">
        <v>3744.72</v>
      </c>
      <c r="K8182">
        <v>0.03</v>
      </c>
      <c r="L8182">
        <v>0.56999999999999995</v>
      </c>
      <c r="M8182">
        <v>31.465</v>
      </c>
      <c r="N8182">
        <v>2104.6725000000001</v>
      </c>
      <c r="O8182" s="1" t="s">
        <v>40</v>
      </c>
      <c r="P8182" s="1" t="s">
        <v>10470</v>
      </c>
      <c r="Q8182" s="1" t="s">
        <v>10471</v>
      </c>
      <c r="R8182" s="1" t="s">
        <v>220</v>
      </c>
      <c r="S8182" s="1" t="s">
        <v>6003</v>
      </c>
      <c r="T8182" s="1" t="s">
        <v>6004</v>
      </c>
      <c r="U8182" s="2" t="s">
        <v>2356</v>
      </c>
      <c r="V8182" s="2" t="s">
        <v>36</v>
      </c>
      <c r="W8182" s="2" t="s">
        <v>37</v>
      </c>
      <c r="X8182" s="2">
        <v>388.46499999999997</v>
      </c>
    </row>
    <row r="8183" spans="1:24" x14ac:dyDescent="0.3">
      <c r="A8183">
        <v>25986</v>
      </c>
      <c r="B8183" t="s">
        <v>15331</v>
      </c>
      <c r="C8183" s="3">
        <v>41761</v>
      </c>
      <c r="D8183" t="s">
        <v>25</v>
      </c>
      <c r="E8183">
        <v>1</v>
      </c>
      <c r="F8183" s="3">
        <f ca="1">41768+(RANDBETWEEN(1,10))</f>
        <v>41770</v>
      </c>
      <c r="G8183" t="s">
        <v>26</v>
      </c>
      <c r="H8183" t="s">
        <v>27</v>
      </c>
      <c r="I8183" t="s">
        <v>86</v>
      </c>
      <c r="J8183">
        <v>22.12</v>
      </c>
      <c r="K8183">
        <v>0.05</v>
      </c>
      <c r="L8183">
        <v>0.38</v>
      </c>
      <c r="M8183">
        <v>10.465</v>
      </c>
      <c r="N8183">
        <v>-27.24925</v>
      </c>
      <c r="O8183" s="1" t="s">
        <v>87</v>
      </c>
      <c r="P8183" s="1" t="s">
        <v>14028</v>
      </c>
      <c r="Q8183" s="1" t="s">
        <v>14029</v>
      </c>
      <c r="R8183" s="1" t="s">
        <v>398</v>
      </c>
      <c r="S8183" s="1" t="s">
        <v>3531</v>
      </c>
      <c r="T8183" s="1" t="s">
        <v>3532</v>
      </c>
      <c r="U8183" s="2" t="s">
        <v>1125</v>
      </c>
      <c r="V8183" s="2" t="s">
        <v>47</v>
      </c>
      <c r="W8183" s="2" t="s">
        <v>111</v>
      </c>
      <c r="X8183" s="2">
        <v>18.690000000000001</v>
      </c>
    </row>
    <row r="8184" spans="1:24" x14ac:dyDescent="0.3">
      <c r="A8184">
        <v>25987</v>
      </c>
      <c r="B8184" t="s">
        <v>15331</v>
      </c>
      <c r="C8184" s="3">
        <v>41761</v>
      </c>
      <c r="D8184" t="s">
        <v>25</v>
      </c>
      <c r="E8184">
        <v>15</v>
      </c>
      <c r="F8184" s="3">
        <f ca="1">41768+(RANDBETWEEN(1,10))</f>
        <v>41774</v>
      </c>
      <c r="G8184" t="s">
        <v>26</v>
      </c>
      <c r="H8184" t="s">
        <v>27</v>
      </c>
      <c r="I8184" t="s">
        <v>86</v>
      </c>
      <c r="J8184">
        <v>831.77499999999998</v>
      </c>
      <c r="K8184">
        <v>0</v>
      </c>
      <c r="L8184">
        <v>0.59</v>
      </c>
      <c r="M8184">
        <v>18.934999999999999</v>
      </c>
      <c r="N8184">
        <v>111.755</v>
      </c>
      <c r="O8184" s="1" t="s">
        <v>87</v>
      </c>
      <c r="P8184" s="1" t="s">
        <v>14028</v>
      </c>
      <c r="Q8184" s="1" t="s">
        <v>14029</v>
      </c>
      <c r="R8184" s="1" t="s">
        <v>398</v>
      </c>
      <c r="S8184" s="1" t="s">
        <v>3531</v>
      </c>
      <c r="T8184" s="1" t="s">
        <v>3532</v>
      </c>
      <c r="U8184" s="2" t="s">
        <v>2098</v>
      </c>
      <c r="V8184" s="2" t="s">
        <v>47</v>
      </c>
      <c r="W8184" s="2" t="s">
        <v>119</v>
      </c>
      <c r="X8184" s="2">
        <v>53.97</v>
      </c>
    </row>
    <row r="8185" spans="1:24" x14ac:dyDescent="0.3">
      <c r="A8185">
        <v>25988</v>
      </c>
      <c r="B8185" t="s">
        <v>15332</v>
      </c>
      <c r="C8185" s="3">
        <v>41356</v>
      </c>
      <c r="D8185" t="s">
        <v>148</v>
      </c>
      <c r="E8185">
        <v>10</v>
      </c>
      <c r="F8185" s="3">
        <f ca="1">41359+(RANDBETWEEN(1,10))</f>
        <v>41360</v>
      </c>
      <c r="G8185" t="s">
        <v>26</v>
      </c>
      <c r="H8185" t="s">
        <v>27</v>
      </c>
      <c r="I8185" t="s">
        <v>28</v>
      </c>
      <c r="J8185">
        <v>241.15</v>
      </c>
      <c r="K8185">
        <v>0.01</v>
      </c>
      <c r="L8185">
        <v>0.37</v>
      </c>
      <c r="M8185">
        <v>19.18</v>
      </c>
      <c r="N8185">
        <v>-641.70399999999995</v>
      </c>
      <c r="O8185" s="1" t="s">
        <v>64</v>
      </c>
      <c r="P8185" s="1" t="s">
        <v>13503</v>
      </c>
      <c r="Q8185" s="1" t="s">
        <v>13504</v>
      </c>
      <c r="R8185" s="1" t="s">
        <v>128</v>
      </c>
      <c r="S8185" s="1" t="s">
        <v>13505</v>
      </c>
      <c r="T8185" s="1" t="s">
        <v>13506</v>
      </c>
      <c r="U8185" s="2" t="s">
        <v>5054</v>
      </c>
      <c r="V8185" s="2" t="s">
        <v>47</v>
      </c>
      <c r="W8185" s="2" t="s">
        <v>111</v>
      </c>
      <c r="X8185" s="2">
        <v>23.835000000000001</v>
      </c>
    </row>
    <row r="8186" spans="1:24" x14ac:dyDescent="0.3">
      <c r="A8186">
        <v>25989</v>
      </c>
      <c r="B8186" t="s">
        <v>15333</v>
      </c>
      <c r="C8186" s="3">
        <v>41594</v>
      </c>
      <c r="D8186" t="s">
        <v>50</v>
      </c>
      <c r="E8186">
        <v>36</v>
      </c>
      <c r="F8186" s="3">
        <f ca="1">41596+(RANDBETWEEN(1,10))</f>
        <v>41606</v>
      </c>
      <c r="G8186" t="s">
        <v>26</v>
      </c>
      <c r="H8186" t="s">
        <v>27</v>
      </c>
      <c r="I8186" t="s">
        <v>52</v>
      </c>
      <c r="J8186">
        <v>597.73</v>
      </c>
      <c r="K8186">
        <v>7.0000000000000007E-2</v>
      </c>
      <c r="L8186">
        <v>0.36</v>
      </c>
      <c r="M8186">
        <v>16.52</v>
      </c>
      <c r="N8186">
        <v>58.981999999999999</v>
      </c>
      <c r="O8186" s="1" t="s">
        <v>87</v>
      </c>
      <c r="P8186" s="1" t="s">
        <v>10908</v>
      </c>
      <c r="Q8186" s="1" t="s">
        <v>10909</v>
      </c>
      <c r="R8186" s="1" t="s">
        <v>398</v>
      </c>
      <c r="S8186" s="1" t="s">
        <v>7505</v>
      </c>
      <c r="T8186" s="1" t="s">
        <v>7506</v>
      </c>
      <c r="U8186" s="2" t="s">
        <v>904</v>
      </c>
      <c r="V8186" s="2" t="s">
        <v>47</v>
      </c>
      <c r="W8186" s="2" t="s">
        <v>74</v>
      </c>
      <c r="X8186" s="2">
        <v>17.43</v>
      </c>
    </row>
    <row r="8187" spans="1:24" x14ac:dyDescent="0.3">
      <c r="A8187">
        <v>25990</v>
      </c>
      <c r="B8187" t="s">
        <v>15333</v>
      </c>
      <c r="C8187" s="3">
        <v>41594</v>
      </c>
      <c r="D8187" t="s">
        <v>50</v>
      </c>
      <c r="E8187">
        <v>3</v>
      </c>
      <c r="F8187" s="3">
        <f ca="1">41596+(RANDBETWEEN(1,10))</f>
        <v>41603</v>
      </c>
      <c r="G8187" t="s">
        <v>26</v>
      </c>
      <c r="H8187" t="s">
        <v>27</v>
      </c>
      <c r="I8187" t="s">
        <v>52</v>
      </c>
      <c r="J8187">
        <v>1766.345</v>
      </c>
      <c r="K8187">
        <v>0.01</v>
      </c>
      <c r="L8187">
        <v>0.56000000000000005</v>
      </c>
      <c r="M8187">
        <v>14.7</v>
      </c>
      <c r="N8187">
        <v>560.62159999999994</v>
      </c>
      <c r="O8187" s="1" t="s">
        <v>87</v>
      </c>
      <c r="P8187" s="1" t="s">
        <v>10908</v>
      </c>
      <c r="Q8187" s="1" t="s">
        <v>10909</v>
      </c>
      <c r="R8187" s="1" t="s">
        <v>398</v>
      </c>
      <c r="S8187" s="1" t="s">
        <v>7505</v>
      </c>
      <c r="T8187" s="1" t="s">
        <v>7506</v>
      </c>
      <c r="U8187" s="2" t="s">
        <v>3784</v>
      </c>
      <c r="V8187" s="2" t="s">
        <v>36</v>
      </c>
      <c r="W8187" s="2" t="s">
        <v>37</v>
      </c>
      <c r="X8187" s="2">
        <v>685.96500000000003</v>
      </c>
    </row>
    <row r="8188" spans="1:24" x14ac:dyDescent="0.3">
      <c r="A8188">
        <v>25991</v>
      </c>
      <c r="B8188" t="s">
        <v>15334</v>
      </c>
      <c r="C8188" s="3">
        <v>41063</v>
      </c>
      <c r="D8188" t="s">
        <v>148</v>
      </c>
      <c r="E8188">
        <v>7</v>
      </c>
      <c r="F8188" s="3">
        <f ca="1">41065+(RANDBETWEEN(1,10))</f>
        <v>41069</v>
      </c>
      <c r="G8188" t="s">
        <v>26</v>
      </c>
      <c r="H8188" t="s">
        <v>27</v>
      </c>
      <c r="I8188" t="s">
        <v>52</v>
      </c>
      <c r="J8188">
        <v>78.680000000000007</v>
      </c>
      <c r="K8188">
        <v>0</v>
      </c>
      <c r="L8188">
        <v>0.36</v>
      </c>
      <c r="M8188">
        <v>19.04</v>
      </c>
      <c r="N8188">
        <v>-198.89940000000001</v>
      </c>
      <c r="O8188" s="1" t="s">
        <v>64</v>
      </c>
      <c r="P8188" s="1" t="s">
        <v>9953</v>
      </c>
      <c r="Q8188" s="1" t="s">
        <v>9954</v>
      </c>
      <c r="R8188" s="1" t="s">
        <v>128</v>
      </c>
      <c r="S8188" s="1" t="s">
        <v>1552</v>
      </c>
      <c r="T8188" s="1" t="s">
        <v>1553</v>
      </c>
      <c r="U8188" s="2" t="s">
        <v>1853</v>
      </c>
      <c r="V8188" s="2" t="s">
        <v>47</v>
      </c>
      <c r="W8188" s="2" t="s">
        <v>111</v>
      </c>
      <c r="X8188" s="2">
        <v>9.94</v>
      </c>
    </row>
    <row r="8189" spans="1:24" x14ac:dyDescent="0.3">
      <c r="A8189">
        <v>25992</v>
      </c>
      <c r="B8189" t="s">
        <v>15335</v>
      </c>
      <c r="C8189" s="3">
        <v>41793</v>
      </c>
      <c r="D8189" t="s">
        <v>148</v>
      </c>
      <c r="E8189">
        <v>12</v>
      </c>
      <c r="F8189" s="3">
        <f ca="1">41795+(RANDBETWEEN(1,10))</f>
        <v>41799</v>
      </c>
      <c r="G8189" t="s">
        <v>26</v>
      </c>
      <c r="H8189" t="s">
        <v>27</v>
      </c>
      <c r="I8189" t="s">
        <v>52</v>
      </c>
      <c r="J8189">
        <v>1190.595</v>
      </c>
      <c r="K8189">
        <v>0.08</v>
      </c>
      <c r="L8189">
        <v>0.38</v>
      </c>
      <c r="M8189">
        <v>5.2149999999999999</v>
      </c>
      <c r="N8189">
        <v>821.51054999999997</v>
      </c>
      <c r="O8189" s="1" t="s">
        <v>64</v>
      </c>
      <c r="P8189" s="1" t="s">
        <v>9953</v>
      </c>
      <c r="Q8189" s="1" t="s">
        <v>9954</v>
      </c>
      <c r="R8189" s="1" t="s">
        <v>128</v>
      </c>
      <c r="S8189" s="1" t="s">
        <v>1552</v>
      </c>
      <c r="T8189" s="1" t="s">
        <v>1553</v>
      </c>
      <c r="U8189" s="2" t="s">
        <v>301</v>
      </c>
      <c r="V8189" s="2" t="s">
        <v>47</v>
      </c>
      <c r="W8189" s="2" t="s">
        <v>111</v>
      </c>
      <c r="X8189" s="2">
        <v>99.855000000000004</v>
      </c>
    </row>
    <row r="8190" spans="1:24" x14ac:dyDescent="0.3">
      <c r="A8190">
        <v>25993</v>
      </c>
      <c r="B8190" t="s">
        <v>15336</v>
      </c>
      <c r="C8190" s="3">
        <v>40955</v>
      </c>
      <c r="D8190" t="s">
        <v>25</v>
      </c>
      <c r="E8190">
        <v>3</v>
      </c>
      <c r="F8190" s="3">
        <f ca="1">40957+(RANDBETWEEN(1,10))</f>
        <v>40965</v>
      </c>
      <c r="G8190" t="s">
        <v>26</v>
      </c>
      <c r="H8190" t="s">
        <v>27</v>
      </c>
      <c r="I8190" t="s">
        <v>52</v>
      </c>
      <c r="J8190">
        <v>594.09</v>
      </c>
      <c r="K8190">
        <v>0</v>
      </c>
      <c r="L8190">
        <v>0.37</v>
      </c>
      <c r="M8190">
        <v>50.05</v>
      </c>
      <c r="N8190">
        <v>409.9221</v>
      </c>
      <c r="O8190" s="1" t="s">
        <v>53</v>
      </c>
      <c r="P8190" s="1" t="s">
        <v>5100</v>
      </c>
      <c r="Q8190" s="1" t="s">
        <v>5101</v>
      </c>
      <c r="R8190" s="1" t="s">
        <v>440</v>
      </c>
      <c r="S8190" s="1" t="s">
        <v>3428</v>
      </c>
      <c r="T8190" s="1" t="s">
        <v>3429</v>
      </c>
      <c r="U8190" s="2" t="s">
        <v>1168</v>
      </c>
      <c r="V8190" s="2" t="s">
        <v>47</v>
      </c>
      <c r="W8190" s="2" t="s">
        <v>74</v>
      </c>
      <c r="X8190" s="2">
        <v>194.18</v>
      </c>
    </row>
    <row r="8191" spans="1:24" x14ac:dyDescent="0.3">
      <c r="A8191">
        <v>25994</v>
      </c>
      <c r="B8191" t="s">
        <v>15337</v>
      </c>
      <c r="C8191" s="3">
        <v>41885</v>
      </c>
      <c r="D8191" t="s">
        <v>25</v>
      </c>
      <c r="E8191">
        <v>3</v>
      </c>
      <c r="F8191" s="3">
        <f ca="1">41885+(RANDBETWEEN(1,10))</f>
        <v>41890</v>
      </c>
      <c r="G8191" t="s">
        <v>26</v>
      </c>
      <c r="H8191" t="s">
        <v>27</v>
      </c>
      <c r="I8191" t="s">
        <v>97</v>
      </c>
      <c r="J8191">
        <v>40.075000000000003</v>
      </c>
      <c r="K8191">
        <v>0.08</v>
      </c>
      <c r="L8191">
        <v>0.38</v>
      </c>
      <c r="M8191">
        <v>5.2149999999999999</v>
      </c>
      <c r="N8191">
        <v>-8.5539299999999994</v>
      </c>
      <c r="O8191" s="1" t="s">
        <v>53</v>
      </c>
      <c r="P8191" s="1" t="s">
        <v>4550</v>
      </c>
      <c r="Q8191" s="1" t="s">
        <v>4551</v>
      </c>
      <c r="R8191" s="1" t="s">
        <v>440</v>
      </c>
      <c r="S8191" s="1" t="s">
        <v>4552</v>
      </c>
      <c r="T8191" s="1" t="s">
        <v>4553</v>
      </c>
      <c r="U8191" s="2" t="s">
        <v>1763</v>
      </c>
      <c r="V8191" s="2" t="s">
        <v>47</v>
      </c>
      <c r="W8191" s="2" t="s">
        <v>111</v>
      </c>
      <c r="X8191" s="2">
        <v>13.3</v>
      </c>
    </row>
    <row r="8192" spans="1:24" x14ac:dyDescent="0.3">
      <c r="A8192">
        <v>25995</v>
      </c>
      <c r="B8192" t="s">
        <v>15337</v>
      </c>
      <c r="C8192" s="3">
        <v>41885</v>
      </c>
      <c r="D8192" t="s">
        <v>25</v>
      </c>
      <c r="E8192">
        <v>9</v>
      </c>
      <c r="F8192" s="3">
        <f ca="1">41892+(RANDBETWEEN(1,10))</f>
        <v>41902</v>
      </c>
      <c r="G8192" t="s">
        <v>26</v>
      </c>
      <c r="H8192" t="s">
        <v>27</v>
      </c>
      <c r="I8192" t="s">
        <v>97</v>
      </c>
      <c r="J8192">
        <v>475.755</v>
      </c>
      <c r="K8192">
        <v>0.03</v>
      </c>
      <c r="L8192">
        <v>0.38</v>
      </c>
      <c r="M8192">
        <v>4.8650000000000002</v>
      </c>
      <c r="N8192">
        <v>328.27095000000003</v>
      </c>
      <c r="O8192" s="1" t="s">
        <v>53</v>
      </c>
      <c r="P8192" s="1" t="s">
        <v>4550</v>
      </c>
      <c r="Q8192" s="1" t="s">
        <v>4551</v>
      </c>
      <c r="R8192" s="1" t="s">
        <v>440</v>
      </c>
      <c r="S8192" s="1" t="s">
        <v>4552</v>
      </c>
      <c r="T8192" s="1" t="s">
        <v>4553</v>
      </c>
      <c r="U8192" s="2" t="s">
        <v>2327</v>
      </c>
      <c r="V8192" s="2" t="s">
        <v>47</v>
      </c>
      <c r="W8192" s="2" t="s">
        <v>48</v>
      </c>
      <c r="X8192" s="2">
        <v>54.494999999999997</v>
      </c>
    </row>
    <row r="8193" spans="1:24" x14ac:dyDescent="0.3">
      <c r="A8193">
        <v>25996</v>
      </c>
      <c r="B8193" t="s">
        <v>15338</v>
      </c>
      <c r="C8193" s="3">
        <v>40689</v>
      </c>
      <c r="D8193" t="s">
        <v>62</v>
      </c>
      <c r="E8193">
        <v>3</v>
      </c>
      <c r="F8193" s="3">
        <f ca="1">40691+(RANDBETWEEN(1,10))</f>
        <v>40693</v>
      </c>
      <c r="G8193" t="s">
        <v>26</v>
      </c>
      <c r="H8193" t="s">
        <v>281</v>
      </c>
      <c r="I8193" t="s">
        <v>28</v>
      </c>
      <c r="J8193">
        <v>123.72499999999999</v>
      </c>
      <c r="K8193">
        <v>0.02</v>
      </c>
      <c r="L8193">
        <v>0.42</v>
      </c>
      <c r="M8193">
        <v>21.42</v>
      </c>
      <c r="N8193">
        <v>-50.82</v>
      </c>
      <c r="O8193" s="1" t="s">
        <v>87</v>
      </c>
      <c r="P8193" s="1" t="s">
        <v>13487</v>
      </c>
      <c r="Q8193" s="1" t="s">
        <v>13488</v>
      </c>
      <c r="R8193" s="1" t="s">
        <v>90</v>
      </c>
      <c r="S8193" s="1" t="s">
        <v>13489</v>
      </c>
      <c r="T8193" s="1" t="s">
        <v>13490</v>
      </c>
      <c r="U8193" s="2" t="s">
        <v>3147</v>
      </c>
      <c r="V8193" s="2" t="s">
        <v>47</v>
      </c>
      <c r="W8193" s="2" t="s">
        <v>71</v>
      </c>
      <c r="X8193" s="2">
        <v>39.655000000000001</v>
      </c>
    </row>
    <row r="8194" spans="1:24" x14ac:dyDescent="0.3">
      <c r="A8194">
        <v>25997</v>
      </c>
      <c r="B8194" t="s">
        <v>15338</v>
      </c>
      <c r="C8194" s="3">
        <v>40689</v>
      </c>
      <c r="D8194" t="s">
        <v>62</v>
      </c>
      <c r="E8194">
        <v>16</v>
      </c>
      <c r="F8194" s="3">
        <f ca="1">40690+(RANDBETWEEN(1,10))</f>
        <v>40696</v>
      </c>
      <c r="G8194" t="s">
        <v>26</v>
      </c>
      <c r="H8194" t="s">
        <v>27</v>
      </c>
      <c r="I8194" t="s">
        <v>28</v>
      </c>
      <c r="J8194">
        <v>868.73500000000001</v>
      </c>
      <c r="K8194">
        <v>0.01</v>
      </c>
      <c r="L8194">
        <v>0.38</v>
      </c>
      <c r="M8194">
        <v>4.8650000000000002</v>
      </c>
      <c r="N8194">
        <v>599.42714999999998</v>
      </c>
      <c r="O8194" s="1" t="s">
        <v>87</v>
      </c>
      <c r="P8194" s="1" t="s">
        <v>13487</v>
      </c>
      <c r="Q8194" s="1" t="s">
        <v>13488</v>
      </c>
      <c r="R8194" s="1" t="s">
        <v>90</v>
      </c>
      <c r="S8194" s="1" t="s">
        <v>13489</v>
      </c>
      <c r="T8194" s="1" t="s">
        <v>13490</v>
      </c>
      <c r="U8194" s="2" t="s">
        <v>2854</v>
      </c>
      <c r="V8194" s="2" t="s">
        <v>47</v>
      </c>
      <c r="W8194" s="2" t="s">
        <v>48</v>
      </c>
      <c r="X8194" s="2">
        <v>54.844999999999999</v>
      </c>
    </row>
    <row r="8195" spans="1:24" x14ac:dyDescent="0.3">
      <c r="A8195">
        <v>25998</v>
      </c>
      <c r="B8195" t="s">
        <v>15339</v>
      </c>
      <c r="C8195" s="3">
        <v>41807</v>
      </c>
      <c r="D8195" t="s">
        <v>62</v>
      </c>
      <c r="E8195">
        <v>9</v>
      </c>
      <c r="F8195" s="3">
        <f ca="1">41808+(RANDBETWEEN(1,10))</f>
        <v>41816</v>
      </c>
      <c r="G8195" t="s">
        <v>26</v>
      </c>
      <c r="H8195" t="s">
        <v>27</v>
      </c>
      <c r="I8195" t="s">
        <v>52</v>
      </c>
      <c r="J8195">
        <v>213.01</v>
      </c>
      <c r="K8195">
        <v>0.05</v>
      </c>
      <c r="L8195">
        <v>0.36</v>
      </c>
      <c r="M8195">
        <v>33.880000000000003</v>
      </c>
      <c r="N8195">
        <v>-374.44400000000002</v>
      </c>
      <c r="O8195" s="1" t="s">
        <v>64</v>
      </c>
      <c r="P8195" s="1" t="s">
        <v>8419</v>
      </c>
      <c r="Q8195" s="1" t="s">
        <v>8420</v>
      </c>
      <c r="R8195" s="1" t="s">
        <v>67</v>
      </c>
      <c r="S8195" s="1" t="s">
        <v>1449</v>
      </c>
      <c r="T8195" s="1" t="s">
        <v>1450</v>
      </c>
      <c r="U8195" s="2" t="s">
        <v>6485</v>
      </c>
      <c r="V8195" s="2" t="s">
        <v>47</v>
      </c>
      <c r="W8195" s="2" t="s">
        <v>74</v>
      </c>
      <c r="X8195" s="2">
        <v>22.68</v>
      </c>
    </row>
    <row r="8196" spans="1:24" x14ac:dyDescent="0.3">
      <c r="A8196">
        <v>25999</v>
      </c>
      <c r="B8196" t="s">
        <v>15340</v>
      </c>
      <c r="C8196" s="3">
        <v>40711</v>
      </c>
      <c r="D8196" t="s">
        <v>62</v>
      </c>
      <c r="E8196">
        <v>6</v>
      </c>
      <c r="F8196" s="3">
        <f ca="1">40712+(RANDBETWEEN(1,10))</f>
        <v>40715</v>
      </c>
      <c r="G8196" t="s">
        <v>156</v>
      </c>
      <c r="H8196" t="s">
        <v>27</v>
      </c>
      <c r="I8196" t="s">
        <v>52</v>
      </c>
      <c r="J8196">
        <v>702.90499999999997</v>
      </c>
      <c r="K8196">
        <v>0.04</v>
      </c>
      <c r="L8196">
        <v>0.6</v>
      </c>
      <c r="M8196">
        <v>17.850000000000001</v>
      </c>
      <c r="N8196">
        <v>255.44399999999999</v>
      </c>
      <c r="O8196" s="1" t="s">
        <v>64</v>
      </c>
      <c r="P8196" s="1" t="s">
        <v>8419</v>
      </c>
      <c r="Q8196" s="1" t="s">
        <v>8420</v>
      </c>
      <c r="R8196" s="1" t="s">
        <v>67</v>
      </c>
      <c r="S8196" s="1" t="s">
        <v>1449</v>
      </c>
      <c r="T8196" s="1" t="s">
        <v>1450</v>
      </c>
      <c r="U8196" s="2" t="s">
        <v>7451</v>
      </c>
      <c r="V8196" s="2" t="s">
        <v>47</v>
      </c>
      <c r="W8196" s="2" t="s">
        <v>119</v>
      </c>
      <c r="X8196" s="2">
        <v>118.61499999999999</v>
      </c>
    </row>
    <row r="8197" spans="1:24" x14ac:dyDescent="0.3">
      <c r="A8197">
        <v>26000</v>
      </c>
      <c r="B8197" t="s">
        <v>15341</v>
      </c>
      <c r="C8197" s="3">
        <v>41696</v>
      </c>
      <c r="D8197" t="s">
        <v>62</v>
      </c>
      <c r="E8197">
        <v>5</v>
      </c>
      <c r="F8197" s="3">
        <f ca="1">41699+(RANDBETWEEN(1,10))</f>
        <v>41704</v>
      </c>
      <c r="G8197" t="s">
        <v>26</v>
      </c>
      <c r="H8197" t="s">
        <v>27</v>
      </c>
      <c r="I8197" t="s">
        <v>28</v>
      </c>
      <c r="J8197">
        <v>197.92500000000001</v>
      </c>
      <c r="K8197">
        <v>0.01</v>
      </c>
      <c r="L8197">
        <v>0.57999999999999996</v>
      </c>
      <c r="M8197">
        <v>13.965</v>
      </c>
      <c r="N8197">
        <v>397.488</v>
      </c>
      <c r="O8197" s="1" t="s">
        <v>53</v>
      </c>
      <c r="P8197" s="1" t="s">
        <v>15342</v>
      </c>
      <c r="Q8197" s="1" t="s">
        <v>15343</v>
      </c>
      <c r="R8197" s="1" t="s">
        <v>440</v>
      </c>
      <c r="S8197" s="1" t="s">
        <v>1244</v>
      </c>
      <c r="T8197" s="1" t="s">
        <v>1245</v>
      </c>
      <c r="U8197" s="2" t="s">
        <v>4098</v>
      </c>
      <c r="V8197" s="2" t="s">
        <v>47</v>
      </c>
      <c r="W8197" s="2" t="s">
        <v>71</v>
      </c>
      <c r="X8197" s="2">
        <v>38.43</v>
      </c>
    </row>
    <row r="8198" spans="1:24" x14ac:dyDescent="0.3">
      <c r="A8198">
        <v>26001</v>
      </c>
      <c r="B8198" t="s">
        <v>15344</v>
      </c>
      <c r="C8198" s="3">
        <v>40951</v>
      </c>
      <c r="D8198" t="s">
        <v>62</v>
      </c>
      <c r="E8198">
        <v>4</v>
      </c>
      <c r="F8198" s="3">
        <f ca="1">40952+(RANDBETWEEN(1,10))</f>
        <v>40953</v>
      </c>
      <c r="G8198" t="s">
        <v>76</v>
      </c>
      <c r="H8198" t="s">
        <v>77</v>
      </c>
      <c r="I8198" t="s">
        <v>28</v>
      </c>
      <c r="J8198">
        <v>3805.62</v>
      </c>
      <c r="K8198">
        <v>0.09</v>
      </c>
      <c r="L8198">
        <v>0.78</v>
      </c>
      <c r="M8198">
        <v>199.5</v>
      </c>
      <c r="N8198">
        <v>-2224.7750000000001</v>
      </c>
      <c r="O8198" s="1" t="s">
        <v>87</v>
      </c>
      <c r="P8198" s="1" t="s">
        <v>15345</v>
      </c>
      <c r="Q8198" s="1" t="s">
        <v>15346</v>
      </c>
      <c r="R8198" s="1" t="s">
        <v>90</v>
      </c>
      <c r="S8198" s="1" t="s">
        <v>2642</v>
      </c>
      <c r="T8198" s="1" t="s">
        <v>2643</v>
      </c>
      <c r="U8198" s="2" t="s">
        <v>3811</v>
      </c>
      <c r="V8198" s="2" t="s">
        <v>83</v>
      </c>
      <c r="W8198" s="2" t="s">
        <v>84</v>
      </c>
      <c r="X8198" s="2">
        <v>983.43</v>
      </c>
    </row>
    <row r="8199" spans="1:24" x14ac:dyDescent="0.3">
      <c r="A8199">
        <v>26002</v>
      </c>
      <c r="B8199" t="s">
        <v>15344</v>
      </c>
      <c r="C8199" s="3">
        <v>40951</v>
      </c>
      <c r="D8199" t="s">
        <v>62</v>
      </c>
      <c r="E8199">
        <v>11</v>
      </c>
      <c r="F8199" s="3">
        <f ca="1">40951+(RANDBETWEEN(1,10))</f>
        <v>40958</v>
      </c>
      <c r="G8199" t="s">
        <v>26</v>
      </c>
      <c r="H8199" t="s">
        <v>27</v>
      </c>
      <c r="I8199" t="s">
        <v>28</v>
      </c>
      <c r="J8199">
        <v>421.85500000000002</v>
      </c>
      <c r="K8199">
        <v>0.01</v>
      </c>
      <c r="L8199">
        <v>0.4</v>
      </c>
      <c r="M8199">
        <v>40.564999999999998</v>
      </c>
      <c r="N8199">
        <v>-750.36500000000001</v>
      </c>
      <c r="O8199" s="1" t="s">
        <v>87</v>
      </c>
      <c r="P8199" s="1" t="s">
        <v>15345</v>
      </c>
      <c r="Q8199" s="1" t="s">
        <v>15346</v>
      </c>
      <c r="R8199" s="1" t="s">
        <v>90</v>
      </c>
      <c r="S8199" s="1" t="s">
        <v>2642</v>
      </c>
      <c r="T8199" s="1" t="s">
        <v>2643</v>
      </c>
      <c r="U8199" s="2" t="s">
        <v>4430</v>
      </c>
      <c r="V8199" s="2" t="s">
        <v>47</v>
      </c>
      <c r="W8199" s="2" t="s">
        <v>74</v>
      </c>
      <c r="X8199" s="2">
        <v>34.965000000000003</v>
      </c>
    </row>
    <row r="8200" spans="1:24" x14ac:dyDescent="0.3">
      <c r="A8200">
        <v>26003</v>
      </c>
      <c r="B8200" t="s">
        <v>15347</v>
      </c>
      <c r="C8200" s="3">
        <v>41417</v>
      </c>
      <c r="D8200" t="s">
        <v>148</v>
      </c>
      <c r="E8200">
        <v>11</v>
      </c>
      <c r="F8200" s="3">
        <f ca="1">41419+(RANDBETWEEN(1,10))</f>
        <v>41426</v>
      </c>
      <c r="G8200" t="s">
        <v>26</v>
      </c>
      <c r="H8200" t="s">
        <v>63</v>
      </c>
      <c r="I8200" t="s">
        <v>28</v>
      </c>
      <c r="J8200">
        <v>1871.135</v>
      </c>
      <c r="K8200">
        <v>0.06</v>
      </c>
      <c r="L8200">
        <v>0.56999999999999995</v>
      </c>
      <c r="M8200">
        <v>35.875</v>
      </c>
      <c r="N8200">
        <v>1291.0831499999999</v>
      </c>
      <c r="O8200" s="1" t="s">
        <v>40</v>
      </c>
      <c r="P8200" s="1" t="s">
        <v>12020</v>
      </c>
      <c r="Q8200" s="1" t="s">
        <v>12021</v>
      </c>
      <c r="R8200" s="1" t="s">
        <v>220</v>
      </c>
      <c r="S8200" s="1" t="s">
        <v>4765</v>
      </c>
      <c r="T8200" s="1" t="s">
        <v>4766</v>
      </c>
      <c r="U8200" s="2" t="s">
        <v>4011</v>
      </c>
      <c r="V8200" s="2" t="s">
        <v>83</v>
      </c>
      <c r="W8200" s="2" t="s">
        <v>178</v>
      </c>
      <c r="X8200" s="2">
        <v>172.69</v>
      </c>
    </row>
    <row r="8201" spans="1:24" x14ac:dyDescent="0.3">
      <c r="A8201">
        <v>26004</v>
      </c>
      <c r="B8201" t="s">
        <v>15348</v>
      </c>
      <c r="C8201" s="3">
        <v>41057</v>
      </c>
      <c r="D8201" t="s">
        <v>148</v>
      </c>
      <c r="E8201">
        <v>17</v>
      </c>
      <c r="F8201" s="3">
        <f ca="1">41057+(RANDBETWEEN(1,10))</f>
        <v>41058</v>
      </c>
      <c r="G8201" t="s">
        <v>26</v>
      </c>
      <c r="H8201" t="s">
        <v>27</v>
      </c>
      <c r="I8201" t="s">
        <v>86</v>
      </c>
      <c r="J8201">
        <v>2544.64</v>
      </c>
      <c r="K8201">
        <v>0.02</v>
      </c>
      <c r="L8201">
        <v>0.54</v>
      </c>
      <c r="M8201">
        <v>31.395</v>
      </c>
      <c r="N8201">
        <v>1385.4749999999999</v>
      </c>
      <c r="O8201" s="1" t="s">
        <v>40</v>
      </c>
      <c r="P8201" s="1" t="s">
        <v>11274</v>
      </c>
      <c r="Q8201" s="1" t="s">
        <v>11275</v>
      </c>
      <c r="R8201" s="1" t="s">
        <v>43</v>
      </c>
      <c r="S8201" s="1" t="s">
        <v>5596</v>
      </c>
      <c r="T8201" s="1" t="s">
        <v>5597</v>
      </c>
      <c r="U8201" s="2" t="s">
        <v>14649</v>
      </c>
      <c r="V8201" s="2" t="s">
        <v>36</v>
      </c>
      <c r="W8201" s="2" t="s">
        <v>142</v>
      </c>
      <c r="X8201" s="2">
        <v>143.465</v>
      </c>
    </row>
    <row r="8202" spans="1:24" x14ac:dyDescent="0.3">
      <c r="A8202">
        <v>26005</v>
      </c>
      <c r="B8202" t="s">
        <v>15349</v>
      </c>
      <c r="C8202" s="3">
        <v>41787</v>
      </c>
      <c r="D8202" t="s">
        <v>148</v>
      </c>
      <c r="E8202">
        <v>12</v>
      </c>
      <c r="F8202" s="3">
        <f ca="1">41788+(RANDBETWEEN(1,10))</f>
        <v>41789</v>
      </c>
      <c r="G8202" t="s">
        <v>26</v>
      </c>
      <c r="H8202" t="s">
        <v>51</v>
      </c>
      <c r="I8202" t="s">
        <v>86</v>
      </c>
      <c r="J8202">
        <v>723.87</v>
      </c>
      <c r="K8202">
        <v>0.09</v>
      </c>
      <c r="L8202">
        <v>0.46</v>
      </c>
      <c r="M8202">
        <v>6.9649999999999999</v>
      </c>
      <c r="N8202">
        <v>499.47030000000001</v>
      </c>
      <c r="O8202" s="1" t="s">
        <v>40</v>
      </c>
      <c r="P8202" s="1" t="s">
        <v>15350</v>
      </c>
      <c r="Q8202" s="1" t="s">
        <v>15351</v>
      </c>
      <c r="R8202" s="1" t="s">
        <v>43</v>
      </c>
      <c r="S8202" s="1" t="s">
        <v>5786</v>
      </c>
      <c r="T8202" s="1" t="s">
        <v>5787</v>
      </c>
      <c r="U8202" s="2" t="s">
        <v>8044</v>
      </c>
      <c r="V8202" s="2" t="s">
        <v>36</v>
      </c>
      <c r="W8202" s="2" t="s">
        <v>60</v>
      </c>
      <c r="X8202" s="2">
        <v>61.18</v>
      </c>
    </row>
    <row r="8203" spans="1:24" x14ac:dyDescent="0.3">
      <c r="A8203">
        <v>26006</v>
      </c>
      <c r="B8203" t="s">
        <v>15352</v>
      </c>
      <c r="C8203" s="3">
        <v>41119</v>
      </c>
      <c r="D8203" t="s">
        <v>39</v>
      </c>
      <c r="E8203">
        <v>14</v>
      </c>
      <c r="F8203" s="3">
        <f ca="1">41119+(RANDBETWEEN(1,10))</f>
        <v>41121</v>
      </c>
      <c r="G8203" t="s">
        <v>76</v>
      </c>
      <c r="H8203" t="s">
        <v>77</v>
      </c>
      <c r="I8203" t="s">
        <v>28</v>
      </c>
      <c r="J8203">
        <v>13549.235000000001</v>
      </c>
      <c r="K8203">
        <v>0.03</v>
      </c>
      <c r="L8203">
        <v>0.78</v>
      </c>
      <c r="M8203">
        <v>199.5</v>
      </c>
      <c r="N8203">
        <v>-1910.37</v>
      </c>
      <c r="O8203" s="1" t="s">
        <v>53</v>
      </c>
      <c r="P8203" s="1" t="s">
        <v>14588</v>
      </c>
      <c r="Q8203" s="1" t="s">
        <v>14589</v>
      </c>
      <c r="R8203" s="1" t="s">
        <v>56</v>
      </c>
      <c r="S8203" s="1" t="s">
        <v>14590</v>
      </c>
      <c r="T8203" s="1" t="s">
        <v>14591</v>
      </c>
      <c r="U8203" s="2" t="s">
        <v>3811</v>
      </c>
      <c r="V8203" s="2" t="s">
        <v>83</v>
      </c>
      <c r="W8203" s="2" t="s">
        <v>84</v>
      </c>
      <c r="X8203" s="2">
        <v>983.43</v>
      </c>
    </row>
    <row r="8204" spans="1:24" x14ac:dyDescent="0.3">
      <c r="A8204">
        <v>26007</v>
      </c>
      <c r="B8204" t="s">
        <v>15352</v>
      </c>
      <c r="C8204" s="3">
        <v>41119</v>
      </c>
      <c r="D8204" t="s">
        <v>39</v>
      </c>
      <c r="E8204">
        <v>14</v>
      </c>
      <c r="F8204" s="3">
        <f ca="1">41121+(RANDBETWEEN(1,10))</f>
        <v>41122</v>
      </c>
      <c r="G8204" t="s">
        <v>26</v>
      </c>
      <c r="H8204" t="s">
        <v>96</v>
      </c>
      <c r="I8204" t="s">
        <v>28</v>
      </c>
      <c r="J8204">
        <v>112.07</v>
      </c>
      <c r="K8204">
        <v>0.03</v>
      </c>
      <c r="L8204">
        <v>0.41</v>
      </c>
      <c r="M8204">
        <v>4.2</v>
      </c>
      <c r="N8204">
        <v>15.68</v>
      </c>
      <c r="O8204" s="1" t="s">
        <v>40</v>
      </c>
      <c r="P8204" s="1" t="s">
        <v>15353</v>
      </c>
      <c r="Q8204" s="1" t="s">
        <v>15354</v>
      </c>
      <c r="R8204" s="1" t="s">
        <v>43</v>
      </c>
      <c r="S8204" s="1" t="s">
        <v>6894</v>
      </c>
      <c r="T8204" s="1" t="s">
        <v>6895</v>
      </c>
      <c r="U8204" s="2" t="s">
        <v>15355</v>
      </c>
      <c r="V8204" s="2" t="s">
        <v>47</v>
      </c>
      <c r="W8204" s="2" t="s">
        <v>104</v>
      </c>
      <c r="X8204" s="2">
        <v>7.7</v>
      </c>
    </row>
    <row r="8205" spans="1:24" x14ac:dyDescent="0.3">
      <c r="A8205">
        <v>26008</v>
      </c>
      <c r="B8205" t="s">
        <v>15356</v>
      </c>
      <c r="C8205" s="3">
        <v>41295</v>
      </c>
      <c r="D8205" t="s">
        <v>148</v>
      </c>
      <c r="E8205">
        <v>10</v>
      </c>
      <c r="F8205" s="3">
        <f ca="1">41297+(RANDBETWEEN(1,10))</f>
        <v>41301</v>
      </c>
      <c r="G8205" t="s">
        <v>26</v>
      </c>
      <c r="H8205" t="s">
        <v>51</v>
      </c>
      <c r="I8205" t="s">
        <v>52</v>
      </c>
      <c r="J8205">
        <v>422.24</v>
      </c>
      <c r="K8205">
        <v>0.06</v>
      </c>
      <c r="L8205">
        <v>0.57999999999999996</v>
      </c>
      <c r="M8205">
        <v>27.824999999999999</v>
      </c>
      <c r="N8205">
        <v>-503.52679999999998</v>
      </c>
      <c r="O8205" s="1" t="s">
        <v>64</v>
      </c>
      <c r="P8205" s="1" t="s">
        <v>15357</v>
      </c>
      <c r="Q8205" s="1" t="s">
        <v>15358</v>
      </c>
      <c r="R8205" s="1" t="s">
        <v>128</v>
      </c>
      <c r="S8205" s="1" t="s">
        <v>503</v>
      </c>
      <c r="T8205" s="1" t="s">
        <v>504</v>
      </c>
      <c r="U8205" s="2" t="s">
        <v>248</v>
      </c>
      <c r="V8205" s="2" t="s">
        <v>47</v>
      </c>
      <c r="W8205" s="2" t="s">
        <v>104</v>
      </c>
      <c r="X8205" s="2">
        <v>40.81</v>
      </c>
    </row>
    <row r="8206" spans="1:24" x14ac:dyDescent="0.3">
      <c r="A8206">
        <v>26009</v>
      </c>
      <c r="B8206" t="s">
        <v>15359</v>
      </c>
      <c r="C8206" s="3">
        <v>41927</v>
      </c>
      <c r="D8206" t="s">
        <v>62</v>
      </c>
      <c r="E8206">
        <v>18</v>
      </c>
      <c r="F8206" s="3">
        <f ca="1">41929+(RANDBETWEEN(1,10))</f>
        <v>41930</v>
      </c>
      <c r="G8206" t="s">
        <v>26</v>
      </c>
      <c r="H8206" t="s">
        <v>27</v>
      </c>
      <c r="I8206" t="s">
        <v>28</v>
      </c>
      <c r="J8206">
        <v>310.38</v>
      </c>
      <c r="K8206">
        <v>0.04</v>
      </c>
      <c r="L8206">
        <v>0.37</v>
      </c>
      <c r="M8206">
        <v>17.324999999999999</v>
      </c>
      <c r="N8206">
        <v>-295.47525000000002</v>
      </c>
      <c r="O8206" s="1" t="s">
        <v>40</v>
      </c>
      <c r="P8206" s="1" t="s">
        <v>12883</v>
      </c>
      <c r="Q8206" s="1" t="s">
        <v>12884</v>
      </c>
      <c r="R8206" s="1" t="s">
        <v>43</v>
      </c>
      <c r="S8206" s="1" t="s">
        <v>2753</v>
      </c>
      <c r="T8206" s="1" t="s">
        <v>2754</v>
      </c>
      <c r="U8206" s="2" t="s">
        <v>5209</v>
      </c>
      <c r="V8206" s="2" t="s">
        <v>47</v>
      </c>
      <c r="W8206" s="2" t="s">
        <v>111</v>
      </c>
      <c r="X8206" s="2">
        <v>17.43</v>
      </c>
    </row>
    <row r="8207" spans="1:24" x14ac:dyDescent="0.3">
      <c r="A8207">
        <v>2601</v>
      </c>
      <c r="B8207" t="s">
        <v>15360</v>
      </c>
      <c r="C8207" s="3">
        <v>41349</v>
      </c>
      <c r="D8207" t="s">
        <v>39</v>
      </c>
      <c r="E8207">
        <v>56</v>
      </c>
      <c r="F8207" s="3">
        <f ca="1">41351+(RANDBETWEEN(1,10))</f>
        <v>41357</v>
      </c>
      <c r="G8207" t="s">
        <v>26</v>
      </c>
      <c r="H8207" t="s">
        <v>27</v>
      </c>
      <c r="I8207" t="s">
        <v>86</v>
      </c>
      <c r="J8207">
        <v>6108.06</v>
      </c>
      <c r="K8207">
        <v>0</v>
      </c>
      <c r="L8207">
        <v>0.4</v>
      </c>
      <c r="M8207">
        <v>32.130000000000003</v>
      </c>
      <c r="N8207">
        <v>979.31889999999999</v>
      </c>
      <c r="O8207" s="1" t="s">
        <v>64</v>
      </c>
      <c r="P8207" s="1" t="s">
        <v>15361</v>
      </c>
      <c r="Q8207" s="1" t="s">
        <v>15362</v>
      </c>
      <c r="R8207" s="1" t="s">
        <v>67</v>
      </c>
      <c r="S8207" s="1" t="s">
        <v>254</v>
      </c>
      <c r="T8207" s="1" t="s">
        <v>8189</v>
      </c>
      <c r="U8207" s="2" t="s">
        <v>7249</v>
      </c>
      <c r="V8207" s="2" t="s">
        <v>47</v>
      </c>
      <c r="W8207" s="2" t="s">
        <v>74</v>
      </c>
      <c r="X8207" s="2">
        <v>108.43</v>
      </c>
    </row>
    <row r="8208" spans="1:24" x14ac:dyDescent="0.3">
      <c r="A8208">
        <v>26010</v>
      </c>
      <c r="B8208" t="s">
        <v>15363</v>
      </c>
      <c r="C8208" s="3">
        <v>41110</v>
      </c>
      <c r="D8208" t="s">
        <v>39</v>
      </c>
      <c r="E8208">
        <v>9</v>
      </c>
      <c r="F8208" s="3">
        <f ca="1">41111+(RANDBETWEEN(1,10))</f>
        <v>41116</v>
      </c>
      <c r="G8208" t="s">
        <v>26</v>
      </c>
      <c r="H8208" t="s">
        <v>281</v>
      </c>
      <c r="I8208" t="s">
        <v>97</v>
      </c>
      <c r="J8208">
        <v>1864.1</v>
      </c>
      <c r="K8208">
        <v>0.05</v>
      </c>
      <c r="L8208">
        <v>0.64</v>
      </c>
      <c r="M8208">
        <v>42.805</v>
      </c>
      <c r="N8208">
        <v>1278.375</v>
      </c>
      <c r="O8208" s="1" t="s">
        <v>53</v>
      </c>
      <c r="P8208" s="1" t="s">
        <v>15364</v>
      </c>
      <c r="Q8208" s="1" t="s">
        <v>15365</v>
      </c>
      <c r="R8208" s="1" t="s">
        <v>56</v>
      </c>
      <c r="S8208" s="1" t="s">
        <v>15366</v>
      </c>
      <c r="T8208" s="1" t="s">
        <v>15367</v>
      </c>
      <c r="U8208" s="2" t="s">
        <v>2775</v>
      </c>
      <c r="V8208" s="2" t="s">
        <v>83</v>
      </c>
      <c r="W8208" s="2" t="s">
        <v>178</v>
      </c>
      <c r="X8208" s="2">
        <v>212.27500000000001</v>
      </c>
    </row>
    <row r="8209" spans="1:24" x14ac:dyDescent="0.3">
      <c r="A8209">
        <v>26011</v>
      </c>
      <c r="B8209" t="s">
        <v>15368</v>
      </c>
      <c r="C8209" s="3">
        <v>40548</v>
      </c>
      <c r="D8209" t="s">
        <v>62</v>
      </c>
      <c r="E8209">
        <v>11</v>
      </c>
      <c r="F8209" s="3">
        <f ca="1">40549+(RANDBETWEEN(1,10))</f>
        <v>40558</v>
      </c>
      <c r="G8209" t="s">
        <v>26</v>
      </c>
      <c r="H8209" t="s">
        <v>77</v>
      </c>
      <c r="I8209" t="s">
        <v>52</v>
      </c>
      <c r="J8209">
        <v>69.894999999999996</v>
      </c>
      <c r="K8209">
        <v>0.08</v>
      </c>
      <c r="L8209">
        <v>0.57999999999999996</v>
      </c>
      <c r="M8209">
        <v>2.625</v>
      </c>
      <c r="N8209">
        <v>4.6284000000000001</v>
      </c>
      <c r="O8209" s="1" t="s">
        <v>53</v>
      </c>
      <c r="P8209" s="1" t="s">
        <v>14489</v>
      </c>
      <c r="Q8209" s="1" t="s">
        <v>14490</v>
      </c>
      <c r="R8209" s="1" t="s">
        <v>440</v>
      </c>
      <c r="S8209" s="1" t="s">
        <v>14491</v>
      </c>
      <c r="T8209" s="1" t="s">
        <v>14492</v>
      </c>
      <c r="U8209" s="2" t="s">
        <v>8686</v>
      </c>
      <c r="V8209" s="2" t="s">
        <v>83</v>
      </c>
      <c r="W8209" s="2" t="s">
        <v>84</v>
      </c>
      <c r="X8209" s="2">
        <v>6.335</v>
      </c>
    </row>
    <row r="8210" spans="1:24" x14ac:dyDescent="0.3">
      <c r="A8210">
        <v>26012</v>
      </c>
      <c r="B8210" t="s">
        <v>15369</v>
      </c>
      <c r="C8210" s="3">
        <v>41644</v>
      </c>
      <c r="D8210" t="s">
        <v>62</v>
      </c>
      <c r="E8210">
        <v>8</v>
      </c>
      <c r="F8210" s="3">
        <f ca="1">41646+(RANDBETWEEN(1,10))</f>
        <v>41650</v>
      </c>
      <c r="G8210" t="s">
        <v>76</v>
      </c>
      <c r="H8210" t="s">
        <v>77</v>
      </c>
      <c r="I8210" t="s">
        <v>52</v>
      </c>
      <c r="J8210">
        <v>631.01499999999999</v>
      </c>
      <c r="K8210">
        <v>0.06</v>
      </c>
      <c r="L8210">
        <v>0.64</v>
      </c>
      <c r="M8210">
        <v>185.60499999999999</v>
      </c>
      <c r="N8210">
        <v>-5897.6260000000002</v>
      </c>
      <c r="O8210" s="1" t="s">
        <v>53</v>
      </c>
      <c r="P8210" s="1" t="s">
        <v>14489</v>
      </c>
      <c r="Q8210" s="1" t="s">
        <v>14490</v>
      </c>
      <c r="R8210" s="1" t="s">
        <v>440</v>
      </c>
      <c r="S8210" s="1" t="s">
        <v>14491</v>
      </c>
      <c r="T8210" s="1" t="s">
        <v>14492</v>
      </c>
      <c r="U8210" s="2" t="s">
        <v>207</v>
      </c>
      <c r="V8210" s="2" t="s">
        <v>83</v>
      </c>
      <c r="W8210" s="2" t="s">
        <v>84</v>
      </c>
      <c r="X8210" s="2">
        <v>73.430000000000007</v>
      </c>
    </row>
    <row r="8211" spans="1:24" x14ac:dyDescent="0.3">
      <c r="A8211">
        <v>26013</v>
      </c>
      <c r="B8211" t="s">
        <v>15369</v>
      </c>
      <c r="C8211" s="3">
        <v>41644</v>
      </c>
      <c r="D8211" t="s">
        <v>62</v>
      </c>
      <c r="E8211">
        <v>13</v>
      </c>
      <c r="F8211" s="3">
        <f ca="1">41644+(RANDBETWEEN(1,10))</f>
        <v>41654</v>
      </c>
      <c r="G8211" t="s">
        <v>26</v>
      </c>
      <c r="H8211" t="s">
        <v>63</v>
      </c>
      <c r="I8211" t="s">
        <v>52</v>
      </c>
      <c r="J8211">
        <v>11977.63</v>
      </c>
      <c r="K8211">
        <v>7.0000000000000007E-2</v>
      </c>
      <c r="L8211">
        <v>0.6</v>
      </c>
      <c r="M8211">
        <v>122.5</v>
      </c>
      <c r="N8211">
        <v>-1454.9416000000001</v>
      </c>
      <c r="O8211" s="1" t="s">
        <v>53</v>
      </c>
      <c r="P8211" s="1" t="s">
        <v>14489</v>
      </c>
      <c r="Q8211" s="1" t="s">
        <v>14490</v>
      </c>
      <c r="R8211" s="1" t="s">
        <v>440</v>
      </c>
      <c r="S8211" s="1" t="s">
        <v>14491</v>
      </c>
      <c r="T8211" s="1" t="s">
        <v>14492</v>
      </c>
      <c r="U8211" s="2" t="s">
        <v>7243</v>
      </c>
      <c r="V8211" s="2" t="s">
        <v>83</v>
      </c>
      <c r="W8211" s="2" t="s">
        <v>178</v>
      </c>
      <c r="X8211" s="2">
        <v>978.18</v>
      </c>
    </row>
    <row r="8212" spans="1:24" x14ac:dyDescent="0.3">
      <c r="A8212">
        <v>26014</v>
      </c>
      <c r="B8212" t="s">
        <v>15369</v>
      </c>
      <c r="C8212" s="3">
        <v>41644</v>
      </c>
      <c r="D8212" t="s">
        <v>62</v>
      </c>
      <c r="E8212">
        <v>13</v>
      </c>
      <c r="F8212" s="3">
        <f ca="1">41645+(RANDBETWEEN(1,10))</f>
        <v>41655</v>
      </c>
      <c r="G8212" t="s">
        <v>26</v>
      </c>
      <c r="H8212" t="s">
        <v>258</v>
      </c>
      <c r="I8212" t="s">
        <v>52</v>
      </c>
      <c r="J8212">
        <v>223.125</v>
      </c>
      <c r="K8212">
        <v>0.08</v>
      </c>
      <c r="L8212">
        <v>0.7</v>
      </c>
      <c r="M8212">
        <v>19.88</v>
      </c>
      <c r="N8212">
        <v>-603.93595500000004</v>
      </c>
      <c r="O8212" s="1" t="s">
        <v>53</v>
      </c>
      <c r="P8212" s="1" t="s">
        <v>14489</v>
      </c>
      <c r="Q8212" s="1" t="s">
        <v>14490</v>
      </c>
      <c r="R8212" s="1" t="s">
        <v>440</v>
      </c>
      <c r="S8212" s="1" t="s">
        <v>14491</v>
      </c>
      <c r="T8212" s="1" t="s">
        <v>14492</v>
      </c>
      <c r="U8212" s="2" t="s">
        <v>342</v>
      </c>
      <c r="V8212" s="2" t="s">
        <v>83</v>
      </c>
      <c r="W8212" s="2" t="s">
        <v>263</v>
      </c>
      <c r="X8212" s="2">
        <v>17.184999999999999</v>
      </c>
    </row>
    <row r="8213" spans="1:24" x14ac:dyDescent="0.3">
      <c r="A8213">
        <v>26015</v>
      </c>
      <c r="B8213" t="s">
        <v>15368</v>
      </c>
      <c r="C8213" s="3">
        <v>40548</v>
      </c>
      <c r="D8213" t="s">
        <v>62</v>
      </c>
      <c r="E8213">
        <v>6</v>
      </c>
      <c r="F8213" s="3">
        <f ca="1">40548+(RANDBETWEEN(1,10))</f>
        <v>40555</v>
      </c>
      <c r="G8213" t="s">
        <v>26</v>
      </c>
      <c r="H8213" t="s">
        <v>27</v>
      </c>
      <c r="I8213" t="s">
        <v>52</v>
      </c>
      <c r="J8213">
        <v>2310.105</v>
      </c>
      <c r="K8213">
        <v>0.04</v>
      </c>
      <c r="L8213">
        <v>0.55000000000000004</v>
      </c>
      <c r="M8213">
        <v>18.41</v>
      </c>
      <c r="N8213">
        <v>1593.97245</v>
      </c>
      <c r="O8213" s="1" t="s">
        <v>53</v>
      </c>
      <c r="P8213" s="1" t="s">
        <v>14489</v>
      </c>
      <c r="Q8213" s="1" t="s">
        <v>14490</v>
      </c>
      <c r="R8213" s="1" t="s">
        <v>440</v>
      </c>
      <c r="S8213" s="1" t="s">
        <v>14491</v>
      </c>
      <c r="T8213" s="1" t="s">
        <v>14492</v>
      </c>
      <c r="U8213" s="2">
        <v>232</v>
      </c>
      <c r="V8213" s="2" t="s">
        <v>36</v>
      </c>
      <c r="W8213" s="2" t="s">
        <v>37</v>
      </c>
      <c r="X8213" s="2">
        <v>440.96499999999997</v>
      </c>
    </row>
    <row r="8214" spans="1:24" x14ac:dyDescent="0.3">
      <c r="A8214">
        <v>26016</v>
      </c>
      <c r="B8214" t="s">
        <v>15370</v>
      </c>
      <c r="C8214" s="3">
        <v>41670</v>
      </c>
      <c r="D8214" t="s">
        <v>148</v>
      </c>
      <c r="E8214">
        <v>12</v>
      </c>
      <c r="F8214" s="3">
        <f ca="1">41671+(RANDBETWEEN(1,10))</f>
        <v>41678</v>
      </c>
      <c r="G8214" t="s">
        <v>156</v>
      </c>
      <c r="H8214" t="s">
        <v>27</v>
      </c>
      <c r="I8214" t="s">
        <v>28</v>
      </c>
      <c r="J8214">
        <v>286.23</v>
      </c>
      <c r="K8214">
        <v>0.03</v>
      </c>
      <c r="L8214">
        <v>0.37</v>
      </c>
      <c r="M8214">
        <v>35.174999999999997</v>
      </c>
      <c r="N8214">
        <v>1708.329</v>
      </c>
      <c r="O8214" s="1" t="s">
        <v>53</v>
      </c>
      <c r="P8214" s="1" t="s">
        <v>12644</v>
      </c>
      <c r="Q8214" s="1" t="s">
        <v>12645</v>
      </c>
      <c r="R8214" s="1" t="s">
        <v>100</v>
      </c>
      <c r="S8214" s="1" t="s">
        <v>12646</v>
      </c>
      <c r="T8214" s="1" t="s">
        <v>12647</v>
      </c>
      <c r="U8214" s="2" t="s">
        <v>635</v>
      </c>
      <c r="V8214" s="2" t="s">
        <v>47</v>
      </c>
      <c r="W8214" s="2" t="s">
        <v>74</v>
      </c>
      <c r="X8214" s="2">
        <v>22.68</v>
      </c>
    </row>
    <row r="8215" spans="1:24" x14ac:dyDescent="0.3">
      <c r="A8215">
        <v>26017</v>
      </c>
      <c r="B8215" t="s">
        <v>15371</v>
      </c>
      <c r="C8215" s="3">
        <v>41749</v>
      </c>
      <c r="D8215" t="s">
        <v>39</v>
      </c>
      <c r="E8215">
        <v>7</v>
      </c>
      <c r="F8215" s="3">
        <f ca="1">41749+(RANDBETWEEN(1,10))</f>
        <v>41752</v>
      </c>
      <c r="G8215" t="s">
        <v>26</v>
      </c>
      <c r="H8215" t="s">
        <v>27</v>
      </c>
      <c r="I8215" t="s">
        <v>28</v>
      </c>
      <c r="J8215">
        <v>529.27</v>
      </c>
      <c r="K8215">
        <v>7.0000000000000007E-2</v>
      </c>
      <c r="L8215">
        <v>0.38</v>
      </c>
      <c r="M8215">
        <v>52.85</v>
      </c>
      <c r="N8215">
        <v>-389.66025000000002</v>
      </c>
      <c r="O8215" s="1" t="s">
        <v>64</v>
      </c>
      <c r="P8215" s="1" t="s">
        <v>15372</v>
      </c>
      <c r="Q8215" s="1" t="s">
        <v>15373</v>
      </c>
      <c r="R8215" s="1" t="s">
        <v>128</v>
      </c>
      <c r="S8215" s="1" t="s">
        <v>3169</v>
      </c>
      <c r="T8215" s="1" t="s">
        <v>3170</v>
      </c>
      <c r="U8215" s="2" t="s">
        <v>2602</v>
      </c>
      <c r="V8215" s="2" t="s">
        <v>47</v>
      </c>
      <c r="W8215" s="2" t="s">
        <v>111</v>
      </c>
      <c r="X8215" s="2">
        <v>78.33</v>
      </c>
    </row>
    <row r="8216" spans="1:24" x14ac:dyDescent="0.3">
      <c r="A8216">
        <v>26018</v>
      </c>
      <c r="B8216" t="s">
        <v>15374</v>
      </c>
      <c r="C8216" s="3">
        <v>41019</v>
      </c>
      <c r="D8216" t="s">
        <v>39</v>
      </c>
      <c r="E8216">
        <v>5</v>
      </c>
      <c r="F8216" s="3">
        <f ca="1">41021+(RANDBETWEEN(1,10))</f>
        <v>41022</v>
      </c>
      <c r="G8216" t="s">
        <v>76</v>
      </c>
      <c r="H8216" t="s">
        <v>258</v>
      </c>
      <c r="I8216" t="s">
        <v>28</v>
      </c>
      <c r="J8216">
        <v>1705.4449999999999</v>
      </c>
      <c r="K8216">
        <v>0.09</v>
      </c>
      <c r="L8216">
        <v>0.62</v>
      </c>
      <c r="M8216">
        <v>125.44</v>
      </c>
      <c r="N8216">
        <v>-772.94</v>
      </c>
      <c r="O8216" s="1" t="s">
        <v>64</v>
      </c>
      <c r="P8216" s="1" t="s">
        <v>15372</v>
      </c>
      <c r="Q8216" s="1" t="s">
        <v>15373</v>
      </c>
      <c r="R8216" s="1" t="s">
        <v>128</v>
      </c>
      <c r="S8216" s="1" t="s">
        <v>3169</v>
      </c>
      <c r="T8216" s="1" t="s">
        <v>3170</v>
      </c>
      <c r="U8216" s="2" t="s">
        <v>1271</v>
      </c>
      <c r="V8216" s="2" t="s">
        <v>83</v>
      </c>
      <c r="W8216" s="2" t="s">
        <v>298</v>
      </c>
      <c r="X8216" s="2">
        <v>353.43</v>
      </c>
    </row>
    <row r="8217" spans="1:24" x14ac:dyDescent="0.3">
      <c r="A8217">
        <v>26019</v>
      </c>
      <c r="B8217" t="s">
        <v>15375</v>
      </c>
      <c r="C8217" s="3">
        <v>41575</v>
      </c>
      <c r="D8217" t="s">
        <v>50</v>
      </c>
      <c r="E8217">
        <v>5</v>
      </c>
      <c r="F8217" s="3">
        <f ca="1">41576+(RANDBETWEEN(1,10))</f>
        <v>41581</v>
      </c>
      <c r="G8217" t="s">
        <v>26</v>
      </c>
      <c r="H8217" t="s">
        <v>51</v>
      </c>
      <c r="I8217" t="s">
        <v>28</v>
      </c>
      <c r="J8217">
        <v>751.1</v>
      </c>
      <c r="K8217">
        <v>0.03</v>
      </c>
      <c r="L8217">
        <v>0.42</v>
      </c>
      <c r="M8217">
        <v>6.9649999999999999</v>
      </c>
      <c r="N8217">
        <v>-536.14329999999995</v>
      </c>
      <c r="O8217" s="1" t="s">
        <v>29</v>
      </c>
      <c r="P8217" s="1" t="s">
        <v>10618</v>
      </c>
      <c r="Q8217" s="1" t="s">
        <v>10619</v>
      </c>
      <c r="R8217" s="1" t="s">
        <v>32</v>
      </c>
      <c r="S8217" s="1" t="s">
        <v>3101</v>
      </c>
      <c r="T8217" s="1" t="s">
        <v>3102</v>
      </c>
      <c r="U8217" s="2" t="s">
        <v>1997</v>
      </c>
      <c r="V8217" s="2" t="s">
        <v>36</v>
      </c>
      <c r="W8217" s="2" t="s">
        <v>60</v>
      </c>
      <c r="X8217" s="2">
        <v>143.39500000000001</v>
      </c>
    </row>
    <row r="8218" spans="1:24" x14ac:dyDescent="0.3">
      <c r="A8218">
        <v>2602</v>
      </c>
      <c r="B8218" t="s">
        <v>15376</v>
      </c>
      <c r="C8218" s="3">
        <v>41681</v>
      </c>
      <c r="D8218" t="s">
        <v>39</v>
      </c>
      <c r="E8218">
        <v>7</v>
      </c>
      <c r="F8218" s="3">
        <f ca="1">41683+(RANDBETWEEN(1,10))</f>
        <v>41692</v>
      </c>
      <c r="G8218" t="s">
        <v>76</v>
      </c>
      <c r="H8218" t="s">
        <v>77</v>
      </c>
      <c r="I8218" t="s">
        <v>52</v>
      </c>
      <c r="J8218">
        <v>46388.754999999997</v>
      </c>
      <c r="K8218">
        <v>0.01</v>
      </c>
      <c r="L8218">
        <v>0.55000000000000004</v>
      </c>
      <c r="M8218">
        <v>51.45</v>
      </c>
      <c r="N8218">
        <v>-5588.6103000000003</v>
      </c>
      <c r="O8218" s="1" t="s">
        <v>64</v>
      </c>
      <c r="P8218" s="1" t="s">
        <v>328</v>
      </c>
      <c r="Q8218" s="1" t="s">
        <v>329</v>
      </c>
      <c r="R8218" s="1" t="s">
        <v>128</v>
      </c>
      <c r="S8218" s="1" t="s">
        <v>129</v>
      </c>
      <c r="T8218" s="1" t="s">
        <v>330</v>
      </c>
      <c r="U8218" s="2" t="s">
        <v>1855</v>
      </c>
      <c r="V8218" s="2" t="s">
        <v>36</v>
      </c>
      <c r="W8218" s="2" t="s">
        <v>142</v>
      </c>
      <c r="X8218" s="2">
        <v>7127.68</v>
      </c>
    </row>
    <row r="8219" spans="1:24" x14ac:dyDescent="0.3">
      <c r="A8219">
        <v>26020</v>
      </c>
      <c r="B8219" t="s">
        <v>15377</v>
      </c>
      <c r="C8219" s="3">
        <v>41194</v>
      </c>
      <c r="D8219" t="s">
        <v>25</v>
      </c>
      <c r="E8219">
        <v>10</v>
      </c>
      <c r="F8219" s="3">
        <f ca="1">41198+(RANDBETWEEN(1,10))</f>
        <v>41208</v>
      </c>
      <c r="G8219" t="s">
        <v>156</v>
      </c>
      <c r="H8219" t="s">
        <v>96</v>
      </c>
      <c r="I8219" t="s">
        <v>97</v>
      </c>
      <c r="J8219">
        <v>1346.45</v>
      </c>
      <c r="K8219">
        <v>0.04</v>
      </c>
      <c r="L8219">
        <v>0.38</v>
      </c>
      <c r="M8219">
        <v>17.78</v>
      </c>
      <c r="N8219">
        <v>929.05050000000006</v>
      </c>
      <c r="O8219" s="1" t="s">
        <v>87</v>
      </c>
      <c r="P8219" s="1" t="s">
        <v>14955</v>
      </c>
      <c r="Q8219" s="1" t="s">
        <v>14956</v>
      </c>
      <c r="R8219" s="1" t="s">
        <v>646</v>
      </c>
      <c r="S8219" s="1" t="s">
        <v>2982</v>
      </c>
      <c r="T8219" s="1" t="s">
        <v>2686</v>
      </c>
      <c r="U8219" s="2" t="s">
        <v>2638</v>
      </c>
      <c r="V8219" s="2" t="s">
        <v>47</v>
      </c>
      <c r="W8219" s="2" t="s">
        <v>74</v>
      </c>
      <c r="X8219" s="2">
        <v>132.79</v>
      </c>
    </row>
    <row r="8220" spans="1:24" x14ac:dyDescent="0.3">
      <c r="A8220">
        <v>26021</v>
      </c>
      <c r="B8220" t="s">
        <v>15377</v>
      </c>
      <c r="C8220" s="3">
        <v>41194</v>
      </c>
      <c r="D8220" t="s">
        <v>25</v>
      </c>
      <c r="E8220">
        <v>12</v>
      </c>
      <c r="F8220" s="3">
        <f ca="1">41201+(RANDBETWEEN(1,10))</f>
        <v>41211</v>
      </c>
      <c r="G8220" t="s">
        <v>26</v>
      </c>
      <c r="H8220" t="s">
        <v>27</v>
      </c>
      <c r="I8220" t="s">
        <v>97</v>
      </c>
      <c r="J8220">
        <v>3192.63</v>
      </c>
      <c r="K8220">
        <v>0</v>
      </c>
      <c r="L8220">
        <v>0.57999999999999996</v>
      </c>
      <c r="M8220">
        <v>9.7650000000000006</v>
      </c>
      <c r="N8220">
        <v>1524.2030999999999</v>
      </c>
      <c r="O8220" s="1" t="s">
        <v>87</v>
      </c>
      <c r="P8220" s="1" t="s">
        <v>14955</v>
      </c>
      <c r="Q8220" s="1" t="s">
        <v>14956</v>
      </c>
      <c r="R8220" s="1" t="s">
        <v>646</v>
      </c>
      <c r="S8220" s="1" t="s">
        <v>2982</v>
      </c>
      <c r="T8220" s="1" t="s">
        <v>2686</v>
      </c>
      <c r="U8220" s="2">
        <v>6340</v>
      </c>
      <c r="V8220" s="2" t="s">
        <v>36</v>
      </c>
      <c r="W8220" s="2" t="s">
        <v>37</v>
      </c>
      <c r="X8220" s="2">
        <v>300.96499999999997</v>
      </c>
    </row>
    <row r="8221" spans="1:24" x14ac:dyDescent="0.3">
      <c r="A8221">
        <v>26022</v>
      </c>
      <c r="B8221" t="s">
        <v>15378</v>
      </c>
      <c r="C8221" s="3">
        <v>41649</v>
      </c>
      <c r="D8221" t="s">
        <v>148</v>
      </c>
      <c r="E8221">
        <v>9</v>
      </c>
      <c r="F8221" s="3">
        <f ca="1">41651+(RANDBETWEEN(1,10))</f>
        <v>41661</v>
      </c>
      <c r="G8221" t="s">
        <v>26</v>
      </c>
      <c r="H8221" t="s">
        <v>27</v>
      </c>
      <c r="I8221" t="s">
        <v>86</v>
      </c>
      <c r="J8221">
        <v>151.58500000000001</v>
      </c>
      <c r="K8221">
        <v>0.02</v>
      </c>
      <c r="L8221">
        <v>0.36</v>
      </c>
      <c r="M8221">
        <v>1.75</v>
      </c>
      <c r="N8221">
        <v>104.59365</v>
      </c>
      <c r="O8221" s="1" t="s">
        <v>29</v>
      </c>
      <c r="P8221" s="1" t="s">
        <v>14651</v>
      </c>
      <c r="Q8221" s="1" t="s">
        <v>14652</v>
      </c>
      <c r="R8221" s="1" t="s">
        <v>460</v>
      </c>
      <c r="S8221" s="1" t="s">
        <v>3422</v>
      </c>
      <c r="T8221" s="1" t="s">
        <v>3423</v>
      </c>
      <c r="U8221" s="2" t="s">
        <v>2281</v>
      </c>
      <c r="V8221" s="2" t="s">
        <v>47</v>
      </c>
      <c r="W8221" s="2" t="s">
        <v>203</v>
      </c>
      <c r="X8221" s="2">
        <v>17.184999999999999</v>
      </c>
    </row>
    <row r="8222" spans="1:24" x14ac:dyDescent="0.3">
      <c r="A8222">
        <v>26023</v>
      </c>
      <c r="B8222" t="s">
        <v>15379</v>
      </c>
      <c r="C8222" s="3">
        <v>40918</v>
      </c>
      <c r="D8222" t="s">
        <v>148</v>
      </c>
      <c r="E8222">
        <v>3</v>
      </c>
      <c r="F8222" s="3">
        <f ca="1">40920+(RANDBETWEEN(1,10))</f>
        <v>40930</v>
      </c>
      <c r="G8222" t="s">
        <v>26</v>
      </c>
      <c r="H8222" t="s">
        <v>27</v>
      </c>
      <c r="I8222" t="s">
        <v>86</v>
      </c>
      <c r="J8222">
        <v>69.194999999999993</v>
      </c>
      <c r="K8222">
        <v>0.1</v>
      </c>
      <c r="L8222">
        <v>0.37</v>
      </c>
      <c r="M8222">
        <v>24.22</v>
      </c>
      <c r="N8222">
        <v>-203.98</v>
      </c>
      <c r="O8222" s="1" t="s">
        <v>29</v>
      </c>
      <c r="P8222" s="1" t="s">
        <v>14651</v>
      </c>
      <c r="Q8222" s="1" t="s">
        <v>14652</v>
      </c>
      <c r="R8222" s="1" t="s">
        <v>460</v>
      </c>
      <c r="S8222" s="1" t="s">
        <v>3422</v>
      </c>
      <c r="T8222" s="1" t="s">
        <v>3423</v>
      </c>
      <c r="U8222" s="2" t="s">
        <v>2561</v>
      </c>
      <c r="V8222" s="2" t="s">
        <v>47</v>
      </c>
      <c r="W8222" s="2" t="s">
        <v>74</v>
      </c>
      <c r="X8222" s="2">
        <v>23.38</v>
      </c>
    </row>
    <row r="8223" spans="1:24" x14ac:dyDescent="0.3">
      <c r="A8223">
        <v>26024</v>
      </c>
      <c r="B8223" t="s">
        <v>15380</v>
      </c>
      <c r="C8223" s="3">
        <v>41176</v>
      </c>
      <c r="D8223" t="s">
        <v>39</v>
      </c>
      <c r="E8223">
        <v>21</v>
      </c>
      <c r="F8223" s="3">
        <f ca="1">41178+(RANDBETWEEN(1,10))</f>
        <v>41179</v>
      </c>
      <c r="G8223" t="s">
        <v>26</v>
      </c>
      <c r="H8223" t="s">
        <v>281</v>
      </c>
      <c r="I8223" t="s">
        <v>28</v>
      </c>
      <c r="J8223">
        <v>1657.74</v>
      </c>
      <c r="K8223">
        <v>0.1</v>
      </c>
      <c r="L8223">
        <v>0.56000000000000005</v>
      </c>
      <c r="M8223">
        <v>30.065000000000001</v>
      </c>
      <c r="N8223">
        <v>-248.59450000000001</v>
      </c>
      <c r="O8223" s="1" t="s">
        <v>53</v>
      </c>
      <c r="P8223" s="1" t="s">
        <v>14206</v>
      </c>
      <c r="Q8223" s="1" t="s">
        <v>14207</v>
      </c>
      <c r="R8223" s="1" t="s">
        <v>56</v>
      </c>
      <c r="S8223" s="1" t="s">
        <v>14208</v>
      </c>
      <c r="T8223" s="1" t="s">
        <v>14209</v>
      </c>
      <c r="U8223" s="2" t="s">
        <v>5362</v>
      </c>
      <c r="V8223" s="2" t="s">
        <v>36</v>
      </c>
      <c r="W8223" s="2" t="s">
        <v>37</v>
      </c>
      <c r="X8223" s="2">
        <v>101.465</v>
      </c>
    </row>
    <row r="8224" spans="1:24" x14ac:dyDescent="0.3">
      <c r="A8224">
        <v>26025</v>
      </c>
      <c r="B8224" t="s">
        <v>15381</v>
      </c>
      <c r="C8224" s="3">
        <v>41419</v>
      </c>
      <c r="D8224" t="s">
        <v>39</v>
      </c>
      <c r="E8224">
        <v>13</v>
      </c>
      <c r="F8224" s="3">
        <f ca="1">41420+(RANDBETWEEN(1,10))</f>
        <v>41424</v>
      </c>
      <c r="G8224" t="s">
        <v>26</v>
      </c>
      <c r="H8224" t="s">
        <v>27</v>
      </c>
      <c r="I8224" t="s">
        <v>86</v>
      </c>
      <c r="J8224">
        <v>193.9</v>
      </c>
      <c r="K8224">
        <v>0.09</v>
      </c>
      <c r="L8224">
        <v>0.4</v>
      </c>
      <c r="M8224">
        <v>19.88</v>
      </c>
      <c r="N8224">
        <v>-391.54500000000002</v>
      </c>
      <c r="O8224" s="1" t="s">
        <v>53</v>
      </c>
      <c r="P8224" s="1" t="s">
        <v>7797</v>
      </c>
      <c r="Q8224" s="1" t="s">
        <v>7798</v>
      </c>
      <c r="R8224" s="1" t="s">
        <v>56</v>
      </c>
      <c r="S8224" s="1" t="s">
        <v>7799</v>
      </c>
      <c r="T8224" s="1" t="s">
        <v>7800</v>
      </c>
      <c r="U8224" s="2" t="s">
        <v>5040</v>
      </c>
      <c r="V8224" s="2" t="s">
        <v>47</v>
      </c>
      <c r="W8224" s="2" t="s">
        <v>74</v>
      </c>
      <c r="X8224" s="2">
        <v>14.98</v>
      </c>
    </row>
    <row r="8225" spans="1:24" x14ac:dyDescent="0.3">
      <c r="A8225">
        <v>26026</v>
      </c>
      <c r="B8225" t="s">
        <v>15381</v>
      </c>
      <c r="C8225" s="3">
        <v>41419</v>
      </c>
      <c r="D8225" t="s">
        <v>39</v>
      </c>
      <c r="E8225">
        <v>20</v>
      </c>
      <c r="F8225" s="3">
        <f ca="1">41420+(RANDBETWEEN(1,10))</f>
        <v>41424</v>
      </c>
      <c r="G8225" t="s">
        <v>26</v>
      </c>
      <c r="H8225" t="s">
        <v>27</v>
      </c>
      <c r="I8225" t="s">
        <v>86</v>
      </c>
      <c r="J8225">
        <v>6821.7449999999999</v>
      </c>
      <c r="K8225">
        <v>0.09</v>
      </c>
      <c r="L8225">
        <v>0.59</v>
      </c>
      <c r="M8225">
        <v>30.8</v>
      </c>
      <c r="N8225">
        <v>2979.585</v>
      </c>
      <c r="O8225" s="1" t="s">
        <v>53</v>
      </c>
      <c r="P8225" s="1" t="s">
        <v>7797</v>
      </c>
      <c r="Q8225" s="1" t="s">
        <v>7798</v>
      </c>
      <c r="R8225" s="1" t="s">
        <v>56</v>
      </c>
      <c r="S8225" s="1" t="s">
        <v>7799</v>
      </c>
      <c r="T8225" s="1" t="s">
        <v>7800</v>
      </c>
      <c r="U8225" s="2" t="s">
        <v>1548</v>
      </c>
      <c r="V8225" s="2" t="s">
        <v>36</v>
      </c>
      <c r="W8225" s="2" t="s">
        <v>37</v>
      </c>
      <c r="X8225" s="2">
        <v>440.96499999999997</v>
      </c>
    </row>
    <row r="8226" spans="1:24" x14ac:dyDescent="0.3">
      <c r="A8226">
        <v>26027</v>
      </c>
      <c r="B8226" t="s">
        <v>15382</v>
      </c>
      <c r="C8226" s="3">
        <v>41444</v>
      </c>
      <c r="D8226" t="s">
        <v>62</v>
      </c>
      <c r="E8226">
        <v>18</v>
      </c>
      <c r="F8226" s="3">
        <f ca="1">41446+(RANDBETWEEN(1,10))</f>
        <v>41456</v>
      </c>
      <c r="G8226" t="s">
        <v>26</v>
      </c>
      <c r="H8226" t="s">
        <v>51</v>
      </c>
      <c r="I8226" t="s">
        <v>86</v>
      </c>
      <c r="J8226">
        <v>633.88499999999999</v>
      </c>
      <c r="K8226">
        <v>7.0000000000000007E-2</v>
      </c>
      <c r="L8226">
        <v>0.52</v>
      </c>
      <c r="M8226">
        <v>27.79</v>
      </c>
      <c r="N8226">
        <v>-471.464</v>
      </c>
      <c r="O8226" s="1" t="s">
        <v>29</v>
      </c>
      <c r="P8226" s="1" t="s">
        <v>10708</v>
      </c>
      <c r="Q8226" s="1" t="s">
        <v>10709</v>
      </c>
      <c r="R8226" s="1" t="s">
        <v>32</v>
      </c>
      <c r="S8226" s="1" t="s">
        <v>4180</v>
      </c>
      <c r="T8226" s="1" t="s">
        <v>4181</v>
      </c>
      <c r="U8226" s="2" t="s">
        <v>7715</v>
      </c>
      <c r="V8226" s="2" t="s">
        <v>83</v>
      </c>
      <c r="W8226" s="2" t="s">
        <v>178</v>
      </c>
      <c r="X8226" s="2">
        <v>36.82</v>
      </c>
    </row>
    <row r="8227" spans="1:24" x14ac:dyDescent="0.3">
      <c r="A8227">
        <v>26028</v>
      </c>
      <c r="B8227" t="s">
        <v>15382</v>
      </c>
      <c r="C8227" s="3">
        <v>41444</v>
      </c>
      <c r="D8227" t="s">
        <v>62</v>
      </c>
      <c r="E8227">
        <v>2</v>
      </c>
      <c r="F8227" s="3">
        <f ca="1">41444+(RANDBETWEEN(1,10))</f>
        <v>41451</v>
      </c>
      <c r="G8227" t="s">
        <v>26</v>
      </c>
      <c r="H8227" t="s">
        <v>27</v>
      </c>
      <c r="I8227" t="s">
        <v>86</v>
      </c>
      <c r="J8227">
        <v>381.36</v>
      </c>
      <c r="K8227">
        <v>7.0000000000000007E-2</v>
      </c>
      <c r="L8227">
        <v>0.56999999999999995</v>
      </c>
      <c r="M8227">
        <v>18.585000000000001</v>
      </c>
      <c r="N8227">
        <v>-624.99360000000001</v>
      </c>
      <c r="O8227" s="1" t="s">
        <v>29</v>
      </c>
      <c r="P8227" s="1" t="s">
        <v>10708</v>
      </c>
      <c r="Q8227" s="1" t="s">
        <v>10709</v>
      </c>
      <c r="R8227" s="1" t="s">
        <v>32</v>
      </c>
      <c r="S8227" s="1" t="s">
        <v>4180</v>
      </c>
      <c r="T8227" s="1" t="s">
        <v>4181</v>
      </c>
      <c r="U8227" s="2">
        <v>3390</v>
      </c>
      <c r="V8227" s="2" t="s">
        <v>36</v>
      </c>
      <c r="W8227" s="2" t="s">
        <v>37</v>
      </c>
      <c r="X8227" s="2">
        <v>230.965</v>
      </c>
    </row>
    <row r="8228" spans="1:24" x14ac:dyDescent="0.3">
      <c r="A8228">
        <v>26029</v>
      </c>
      <c r="B8228" t="s">
        <v>15383</v>
      </c>
      <c r="C8228" s="3">
        <v>42001</v>
      </c>
      <c r="D8228" t="s">
        <v>50</v>
      </c>
      <c r="E8228">
        <v>5</v>
      </c>
      <c r="F8228" s="3">
        <f ca="1">42002+(RANDBETWEEN(1,10))</f>
        <v>42010</v>
      </c>
      <c r="G8228" t="s">
        <v>26</v>
      </c>
      <c r="H8228" t="s">
        <v>51</v>
      </c>
      <c r="I8228" t="s">
        <v>86</v>
      </c>
      <c r="J8228">
        <v>517.755</v>
      </c>
      <c r="K8228">
        <v>0.02</v>
      </c>
      <c r="L8228">
        <v>0.5</v>
      </c>
      <c r="M8228">
        <v>6.9649999999999999</v>
      </c>
      <c r="N8228">
        <v>-6.7031999999999998</v>
      </c>
      <c r="O8228" s="1" t="s">
        <v>64</v>
      </c>
      <c r="P8228" s="1" t="s">
        <v>15384</v>
      </c>
      <c r="Q8228" s="1" t="s">
        <v>15385</v>
      </c>
      <c r="R8228" s="1" t="s">
        <v>67</v>
      </c>
      <c r="S8228" s="1" t="s">
        <v>694</v>
      </c>
      <c r="T8228" s="1" t="s">
        <v>695</v>
      </c>
      <c r="U8228" s="2" t="s">
        <v>124</v>
      </c>
      <c r="V8228" s="2" t="s">
        <v>36</v>
      </c>
      <c r="W8228" s="2" t="s">
        <v>60</v>
      </c>
      <c r="X8228" s="2">
        <v>104.61499999999999</v>
      </c>
    </row>
    <row r="8229" spans="1:24" x14ac:dyDescent="0.3">
      <c r="A8229">
        <v>26030</v>
      </c>
      <c r="B8229" t="s">
        <v>15383</v>
      </c>
      <c r="C8229" s="3">
        <v>42001</v>
      </c>
      <c r="D8229" t="s">
        <v>50</v>
      </c>
      <c r="E8229">
        <v>5</v>
      </c>
      <c r="F8229" s="3">
        <f ca="1">42001+(RANDBETWEEN(1,10))</f>
        <v>42011</v>
      </c>
      <c r="G8229" t="s">
        <v>156</v>
      </c>
      <c r="H8229" t="s">
        <v>96</v>
      </c>
      <c r="I8229" t="s">
        <v>86</v>
      </c>
      <c r="J8229">
        <v>67.27</v>
      </c>
      <c r="K8229">
        <v>0.01</v>
      </c>
      <c r="L8229">
        <v>0.56000000000000005</v>
      </c>
      <c r="M8229">
        <v>13.895</v>
      </c>
      <c r="N8229">
        <v>-30.799440000000001</v>
      </c>
      <c r="O8229" s="1" t="s">
        <v>64</v>
      </c>
      <c r="P8229" s="1" t="s">
        <v>15384</v>
      </c>
      <c r="Q8229" s="1" t="s">
        <v>15385</v>
      </c>
      <c r="R8229" s="1" t="s">
        <v>67</v>
      </c>
      <c r="S8229" s="1" t="s">
        <v>694</v>
      </c>
      <c r="T8229" s="1" t="s">
        <v>695</v>
      </c>
      <c r="U8229" s="2" t="s">
        <v>4166</v>
      </c>
      <c r="V8229" s="2" t="s">
        <v>47</v>
      </c>
      <c r="W8229" s="2" t="s">
        <v>104</v>
      </c>
      <c r="X8229" s="2">
        <v>11.48</v>
      </c>
    </row>
    <row r="8230" spans="1:24" x14ac:dyDescent="0.3">
      <c r="A8230">
        <v>26031</v>
      </c>
      <c r="B8230" t="s">
        <v>15386</v>
      </c>
      <c r="C8230" s="3">
        <v>41567</v>
      </c>
      <c r="D8230" t="s">
        <v>25</v>
      </c>
      <c r="E8230">
        <v>1</v>
      </c>
      <c r="F8230" s="3">
        <f ca="1">41571+(RANDBETWEEN(1,10))</f>
        <v>41575</v>
      </c>
      <c r="G8230" t="s">
        <v>76</v>
      </c>
      <c r="H8230" t="s">
        <v>258</v>
      </c>
      <c r="I8230" t="s">
        <v>52</v>
      </c>
      <c r="J8230">
        <v>636.86</v>
      </c>
      <c r="K8230">
        <v>0.05</v>
      </c>
      <c r="L8230">
        <v>0.64</v>
      </c>
      <c r="M8230">
        <v>182.7</v>
      </c>
      <c r="N8230">
        <v>-359.25119999999998</v>
      </c>
      <c r="O8230" s="1" t="s">
        <v>87</v>
      </c>
      <c r="P8230" s="1" t="s">
        <v>14570</v>
      </c>
      <c r="Q8230" s="1" t="s">
        <v>14571</v>
      </c>
      <c r="R8230" s="1" t="s">
        <v>90</v>
      </c>
      <c r="S8230" s="1" t="s">
        <v>1492</v>
      </c>
      <c r="T8230" s="1" t="s">
        <v>1493</v>
      </c>
      <c r="U8230" s="2" t="s">
        <v>1775</v>
      </c>
      <c r="V8230" s="2" t="s">
        <v>83</v>
      </c>
      <c r="W8230" s="2" t="s">
        <v>263</v>
      </c>
      <c r="X8230" s="2">
        <v>744.1</v>
      </c>
    </row>
    <row r="8231" spans="1:24" x14ac:dyDescent="0.3">
      <c r="A8231">
        <v>26032</v>
      </c>
      <c r="B8231" t="s">
        <v>15387</v>
      </c>
      <c r="C8231" s="3">
        <v>40762</v>
      </c>
      <c r="D8231" t="s">
        <v>39</v>
      </c>
      <c r="E8231">
        <v>6</v>
      </c>
      <c r="F8231" s="3">
        <f ca="1">40763+(RANDBETWEEN(1,10))</f>
        <v>40767</v>
      </c>
      <c r="G8231" t="s">
        <v>26</v>
      </c>
      <c r="H8231" t="s">
        <v>27</v>
      </c>
      <c r="I8231" t="s">
        <v>52</v>
      </c>
      <c r="J8231">
        <v>832.3</v>
      </c>
      <c r="K8231">
        <v>0.1</v>
      </c>
      <c r="L8231">
        <v>0.35</v>
      </c>
      <c r="M8231">
        <v>10.465</v>
      </c>
      <c r="N8231">
        <v>574.28700000000003</v>
      </c>
      <c r="O8231" s="1" t="s">
        <v>87</v>
      </c>
      <c r="P8231" s="1" t="s">
        <v>6735</v>
      </c>
      <c r="Q8231" s="1" t="s">
        <v>6736</v>
      </c>
      <c r="R8231" s="1" t="s">
        <v>398</v>
      </c>
      <c r="S8231" s="1" t="s">
        <v>3402</v>
      </c>
      <c r="T8231" s="1" t="s">
        <v>3403</v>
      </c>
      <c r="U8231" s="2" t="s">
        <v>4761</v>
      </c>
      <c r="V8231" s="2" t="s">
        <v>47</v>
      </c>
      <c r="W8231" s="2" t="s">
        <v>111</v>
      </c>
      <c r="X8231" s="2">
        <v>146.79</v>
      </c>
    </row>
    <row r="8232" spans="1:24" x14ac:dyDescent="0.3">
      <c r="A8232">
        <v>26033</v>
      </c>
      <c r="B8232" t="s">
        <v>15388</v>
      </c>
      <c r="C8232" s="3">
        <v>41858</v>
      </c>
      <c r="D8232" t="s">
        <v>39</v>
      </c>
      <c r="E8232">
        <v>11</v>
      </c>
      <c r="F8232" s="3">
        <f ca="1">41858+(RANDBETWEEN(1,10))</f>
        <v>41865</v>
      </c>
      <c r="G8232" t="s">
        <v>26</v>
      </c>
      <c r="H8232" t="s">
        <v>96</v>
      </c>
      <c r="I8232" t="s">
        <v>52</v>
      </c>
      <c r="J8232">
        <v>72.905000000000001</v>
      </c>
      <c r="K8232">
        <v>0.06</v>
      </c>
      <c r="L8232">
        <v>0.83</v>
      </c>
      <c r="M8232">
        <v>2.4500000000000002</v>
      </c>
      <c r="N8232">
        <v>-20.568239999999999</v>
      </c>
      <c r="O8232" s="1" t="s">
        <v>87</v>
      </c>
      <c r="P8232" s="1" t="s">
        <v>6735</v>
      </c>
      <c r="Q8232" s="1" t="s">
        <v>6736</v>
      </c>
      <c r="R8232" s="1" t="s">
        <v>398</v>
      </c>
      <c r="S8232" s="1" t="s">
        <v>3402</v>
      </c>
      <c r="T8232" s="1" t="s">
        <v>3403</v>
      </c>
      <c r="U8232" s="2" t="s">
        <v>3928</v>
      </c>
      <c r="V8232" s="2" t="s">
        <v>47</v>
      </c>
      <c r="W8232" s="2" t="s">
        <v>176</v>
      </c>
      <c r="X8232" s="2">
        <v>6.93</v>
      </c>
    </row>
    <row r="8233" spans="1:24" x14ac:dyDescent="0.3">
      <c r="A8233">
        <v>26034</v>
      </c>
      <c r="B8233" t="s">
        <v>15389</v>
      </c>
      <c r="C8233" s="3">
        <v>40625</v>
      </c>
      <c r="D8233" t="s">
        <v>148</v>
      </c>
      <c r="E8233">
        <v>6</v>
      </c>
      <c r="F8233" s="3">
        <f ca="1">40627+(RANDBETWEEN(1,10))</f>
        <v>40636</v>
      </c>
      <c r="G8233" t="s">
        <v>26</v>
      </c>
      <c r="H8233" t="s">
        <v>27</v>
      </c>
      <c r="I8233" t="s">
        <v>52</v>
      </c>
      <c r="J8233">
        <v>89.075000000000003</v>
      </c>
      <c r="K8233">
        <v>0.09</v>
      </c>
      <c r="L8233">
        <v>0.35</v>
      </c>
      <c r="M8233">
        <v>5.2149999999999999</v>
      </c>
      <c r="N8233">
        <v>59.143000000000001</v>
      </c>
      <c r="O8233" s="1" t="s">
        <v>64</v>
      </c>
      <c r="P8233" s="1" t="s">
        <v>8751</v>
      </c>
      <c r="Q8233" s="1" t="s">
        <v>8752</v>
      </c>
      <c r="R8233" s="1" t="s">
        <v>128</v>
      </c>
      <c r="S8233" s="1" t="s">
        <v>8753</v>
      </c>
      <c r="T8233" s="1" t="s">
        <v>8754</v>
      </c>
      <c r="U8233" s="2" t="s">
        <v>5253</v>
      </c>
      <c r="V8233" s="2" t="s">
        <v>47</v>
      </c>
      <c r="W8233" s="2" t="s">
        <v>111</v>
      </c>
      <c r="X8233" s="2">
        <v>15.925000000000001</v>
      </c>
    </row>
    <row r="8234" spans="1:24" x14ac:dyDescent="0.3">
      <c r="A8234">
        <v>26035</v>
      </c>
      <c r="B8234" t="s">
        <v>15389</v>
      </c>
      <c r="C8234" s="3">
        <v>40625</v>
      </c>
      <c r="D8234" t="s">
        <v>148</v>
      </c>
      <c r="E8234">
        <v>11</v>
      </c>
      <c r="F8234" s="3">
        <f ca="1">40627+(RANDBETWEEN(1,10))</f>
        <v>40629</v>
      </c>
      <c r="G8234" t="s">
        <v>156</v>
      </c>
      <c r="H8234" t="s">
        <v>27</v>
      </c>
      <c r="I8234" t="s">
        <v>52</v>
      </c>
      <c r="J8234">
        <v>387.52</v>
      </c>
      <c r="K8234">
        <v>7.0000000000000007E-2</v>
      </c>
      <c r="L8234">
        <v>0.35</v>
      </c>
      <c r="M8234">
        <v>20.16</v>
      </c>
      <c r="N8234">
        <v>70.489999999999995</v>
      </c>
      <c r="O8234" s="1" t="s">
        <v>53</v>
      </c>
      <c r="P8234" s="1" t="s">
        <v>15390</v>
      </c>
      <c r="Q8234" s="1" t="s">
        <v>15391</v>
      </c>
      <c r="R8234" s="1" t="s">
        <v>440</v>
      </c>
      <c r="S8234" s="1" t="s">
        <v>2249</v>
      </c>
      <c r="T8234" s="1" t="s">
        <v>2250</v>
      </c>
      <c r="U8234" s="2" t="s">
        <v>2681</v>
      </c>
      <c r="V8234" s="2" t="s">
        <v>47</v>
      </c>
      <c r="W8234" s="2" t="s">
        <v>48</v>
      </c>
      <c r="X8234" s="2">
        <v>34.229999999999997</v>
      </c>
    </row>
    <row r="8235" spans="1:24" x14ac:dyDescent="0.3">
      <c r="A8235">
        <v>26036</v>
      </c>
      <c r="B8235" t="s">
        <v>15392</v>
      </c>
      <c r="C8235" s="3">
        <v>41963</v>
      </c>
      <c r="D8235" t="s">
        <v>50</v>
      </c>
      <c r="E8235">
        <v>1</v>
      </c>
      <c r="F8235" s="3">
        <f ca="1">41964+(RANDBETWEEN(1,10))</f>
        <v>41968</v>
      </c>
      <c r="G8235" t="s">
        <v>26</v>
      </c>
      <c r="H8235" t="s">
        <v>27</v>
      </c>
      <c r="I8235" t="s">
        <v>86</v>
      </c>
      <c r="J8235">
        <v>318.08</v>
      </c>
      <c r="K8235">
        <v>0.1</v>
      </c>
      <c r="L8235">
        <v>0.4</v>
      </c>
      <c r="M8235">
        <v>25.13</v>
      </c>
      <c r="N8235">
        <v>219.4752</v>
      </c>
      <c r="O8235" s="1" t="s">
        <v>40</v>
      </c>
      <c r="P8235" s="1" t="s">
        <v>14105</v>
      </c>
      <c r="Q8235" s="1" t="s">
        <v>14106</v>
      </c>
      <c r="R8235" s="1" t="s">
        <v>220</v>
      </c>
      <c r="S8235" s="1" t="s">
        <v>4170</v>
      </c>
      <c r="T8235" s="1" t="s">
        <v>4171</v>
      </c>
      <c r="U8235" s="2" t="s">
        <v>5772</v>
      </c>
      <c r="V8235" s="2" t="s">
        <v>36</v>
      </c>
      <c r="W8235" s="2" t="s">
        <v>60</v>
      </c>
      <c r="X8235" s="2">
        <v>353.43</v>
      </c>
    </row>
    <row r="8236" spans="1:24" x14ac:dyDescent="0.3">
      <c r="A8236">
        <v>26037</v>
      </c>
      <c r="B8236" t="s">
        <v>15393</v>
      </c>
      <c r="C8236" s="3">
        <v>40867</v>
      </c>
      <c r="D8236" t="s">
        <v>50</v>
      </c>
      <c r="E8236">
        <v>29</v>
      </c>
      <c r="F8236" s="3">
        <f ca="1">40868+(RANDBETWEEN(1,10))</f>
        <v>40878</v>
      </c>
      <c r="G8236" t="s">
        <v>26</v>
      </c>
      <c r="H8236" t="s">
        <v>27</v>
      </c>
      <c r="I8236" t="s">
        <v>86</v>
      </c>
      <c r="J8236">
        <v>18617.724999999999</v>
      </c>
      <c r="K8236">
        <v>0.03</v>
      </c>
      <c r="L8236">
        <v>0.57999999999999996</v>
      </c>
      <c r="M8236">
        <v>10.5</v>
      </c>
      <c r="N8236">
        <v>12846.230250000001</v>
      </c>
      <c r="O8236" s="1" t="s">
        <v>40</v>
      </c>
      <c r="P8236" s="1" t="s">
        <v>14105</v>
      </c>
      <c r="Q8236" s="1" t="s">
        <v>14106</v>
      </c>
      <c r="R8236" s="1" t="s">
        <v>220</v>
      </c>
      <c r="S8236" s="1" t="s">
        <v>4170</v>
      </c>
      <c r="T8236" s="1" t="s">
        <v>4171</v>
      </c>
      <c r="U8236" s="2">
        <v>6185</v>
      </c>
      <c r="V8236" s="2" t="s">
        <v>36</v>
      </c>
      <c r="W8236" s="2" t="s">
        <v>37</v>
      </c>
      <c r="X8236" s="2">
        <v>720.96500000000003</v>
      </c>
    </row>
    <row r="8237" spans="1:24" x14ac:dyDescent="0.3">
      <c r="A8237">
        <v>26038</v>
      </c>
      <c r="B8237" t="s">
        <v>15394</v>
      </c>
      <c r="C8237" s="3">
        <v>40737</v>
      </c>
      <c r="D8237" t="s">
        <v>25</v>
      </c>
      <c r="E8237">
        <v>10</v>
      </c>
      <c r="F8237" s="3">
        <f ca="1">40737+(RANDBETWEEN(1,10))</f>
        <v>40744</v>
      </c>
      <c r="G8237" t="s">
        <v>26</v>
      </c>
      <c r="H8237" t="s">
        <v>281</v>
      </c>
      <c r="I8237" t="s">
        <v>52</v>
      </c>
      <c r="J8237">
        <v>230.09</v>
      </c>
      <c r="K8237">
        <v>0.06</v>
      </c>
      <c r="L8237">
        <v>0.6</v>
      </c>
      <c r="M8237">
        <v>17.605</v>
      </c>
      <c r="N8237">
        <v>-427.46550000000002</v>
      </c>
      <c r="O8237" s="1" t="s">
        <v>87</v>
      </c>
      <c r="P8237" s="1" t="s">
        <v>13389</v>
      </c>
      <c r="Q8237" s="1" t="s">
        <v>13390</v>
      </c>
      <c r="R8237" s="1" t="s">
        <v>398</v>
      </c>
      <c r="S8237" s="1" t="s">
        <v>13391</v>
      </c>
      <c r="T8237" s="1" t="s">
        <v>13392</v>
      </c>
      <c r="U8237" s="2" t="s">
        <v>408</v>
      </c>
      <c r="V8237" s="2" t="s">
        <v>36</v>
      </c>
      <c r="W8237" s="2" t="s">
        <v>37</v>
      </c>
      <c r="X8237" s="2">
        <v>27.965</v>
      </c>
    </row>
    <row r="8238" spans="1:24" x14ac:dyDescent="0.3">
      <c r="A8238">
        <v>26039</v>
      </c>
      <c r="B8238" t="s">
        <v>15395</v>
      </c>
      <c r="C8238" s="3">
        <v>40626</v>
      </c>
      <c r="D8238" t="s">
        <v>148</v>
      </c>
      <c r="E8238">
        <v>2</v>
      </c>
      <c r="F8238" s="3">
        <f ca="1">40627+(RANDBETWEEN(1,10))</f>
        <v>40637</v>
      </c>
      <c r="G8238" t="s">
        <v>26</v>
      </c>
      <c r="H8238" t="s">
        <v>27</v>
      </c>
      <c r="I8238" t="s">
        <v>52</v>
      </c>
      <c r="J8238">
        <v>118.44</v>
      </c>
      <c r="K8238">
        <v>0.02</v>
      </c>
      <c r="L8238">
        <v>0.59</v>
      </c>
      <c r="M8238">
        <v>18.934999999999999</v>
      </c>
      <c r="N8238">
        <v>-57.295000000000002</v>
      </c>
      <c r="O8238" s="1" t="s">
        <v>64</v>
      </c>
      <c r="P8238" s="1" t="s">
        <v>15396</v>
      </c>
      <c r="Q8238" s="1" t="s">
        <v>15397</v>
      </c>
      <c r="R8238" s="1" t="s">
        <v>67</v>
      </c>
      <c r="S8238" s="1" t="s">
        <v>434</v>
      </c>
      <c r="T8238" s="1" t="s">
        <v>435</v>
      </c>
      <c r="U8238" s="2" t="s">
        <v>2098</v>
      </c>
      <c r="V8238" s="2" t="s">
        <v>47</v>
      </c>
      <c r="W8238" s="2" t="s">
        <v>119</v>
      </c>
      <c r="X8238" s="2">
        <v>53.97</v>
      </c>
    </row>
    <row r="8239" spans="1:24" x14ac:dyDescent="0.3">
      <c r="A8239">
        <v>26040</v>
      </c>
      <c r="B8239" t="s">
        <v>15398</v>
      </c>
      <c r="C8239" s="3">
        <v>41113</v>
      </c>
      <c r="D8239" t="s">
        <v>25</v>
      </c>
      <c r="E8239">
        <v>4</v>
      </c>
      <c r="F8239" s="3">
        <f ca="1">41120+(RANDBETWEEN(1,10))</f>
        <v>41124</v>
      </c>
      <c r="G8239" t="s">
        <v>156</v>
      </c>
      <c r="H8239" t="s">
        <v>27</v>
      </c>
      <c r="I8239" t="s">
        <v>97</v>
      </c>
      <c r="J8239">
        <v>1366.4349999999999</v>
      </c>
      <c r="K8239">
        <v>0.04</v>
      </c>
      <c r="L8239">
        <v>0.57999999999999996</v>
      </c>
      <c r="M8239">
        <v>8.75</v>
      </c>
      <c r="N8239">
        <v>-151.38200000000001</v>
      </c>
      <c r="O8239" s="1" t="s">
        <v>53</v>
      </c>
      <c r="P8239" s="1" t="s">
        <v>7284</v>
      </c>
      <c r="Q8239" s="1" t="s">
        <v>7285</v>
      </c>
      <c r="R8239" s="1" t="s">
        <v>440</v>
      </c>
      <c r="S8239" s="1" t="s">
        <v>7286</v>
      </c>
      <c r="T8239" s="1" t="s">
        <v>2516</v>
      </c>
      <c r="U8239" s="2" t="s">
        <v>8074</v>
      </c>
      <c r="V8239" s="2" t="s">
        <v>36</v>
      </c>
      <c r="W8239" s="2" t="s">
        <v>37</v>
      </c>
      <c r="X8239" s="2">
        <v>405.96499999999997</v>
      </c>
    </row>
    <row r="8240" spans="1:24" x14ac:dyDescent="0.3">
      <c r="A8240">
        <v>26041</v>
      </c>
      <c r="B8240" t="s">
        <v>15399</v>
      </c>
      <c r="C8240" s="3">
        <v>41408</v>
      </c>
      <c r="D8240" t="s">
        <v>62</v>
      </c>
      <c r="E8240">
        <v>9</v>
      </c>
      <c r="F8240" s="3">
        <f ca="1">41409+(RANDBETWEEN(1,10))</f>
        <v>41414</v>
      </c>
      <c r="G8240" t="s">
        <v>26</v>
      </c>
      <c r="H8240" t="s">
        <v>27</v>
      </c>
      <c r="I8240" t="s">
        <v>52</v>
      </c>
      <c r="J8240">
        <v>234.85</v>
      </c>
      <c r="K8240">
        <v>0.09</v>
      </c>
      <c r="L8240">
        <v>0.35</v>
      </c>
      <c r="M8240">
        <v>21.56</v>
      </c>
      <c r="N8240">
        <v>-196.37975</v>
      </c>
      <c r="O8240" s="1" t="s">
        <v>29</v>
      </c>
      <c r="P8240" s="1" t="s">
        <v>4419</v>
      </c>
      <c r="Q8240" s="1" t="s">
        <v>4420</v>
      </c>
      <c r="R8240" s="1" t="s">
        <v>32</v>
      </c>
      <c r="S8240" s="1" t="s">
        <v>4421</v>
      </c>
      <c r="T8240" s="1" t="s">
        <v>4422</v>
      </c>
      <c r="U8240" s="2" t="s">
        <v>3717</v>
      </c>
      <c r="V8240" s="2" t="s">
        <v>47</v>
      </c>
      <c r="W8240" s="2" t="s">
        <v>111</v>
      </c>
      <c r="X8240" s="2">
        <v>26.88</v>
      </c>
    </row>
    <row r="8241" spans="1:24" x14ac:dyDescent="0.3">
      <c r="A8241">
        <v>26042</v>
      </c>
      <c r="B8241" t="s">
        <v>15400</v>
      </c>
      <c r="C8241" s="3">
        <v>41459</v>
      </c>
      <c r="D8241" t="s">
        <v>50</v>
      </c>
      <c r="E8241">
        <v>13</v>
      </c>
      <c r="F8241" s="3">
        <f ca="1">41459+(RANDBETWEEN(1,10))</f>
        <v>41467</v>
      </c>
      <c r="G8241" t="s">
        <v>26</v>
      </c>
      <c r="H8241" t="s">
        <v>51</v>
      </c>
      <c r="I8241" t="s">
        <v>28</v>
      </c>
      <c r="J8241">
        <v>368.51499999999999</v>
      </c>
      <c r="K8241">
        <v>0.09</v>
      </c>
      <c r="L8241">
        <v>0.61</v>
      </c>
      <c r="M8241">
        <v>12.67</v>
      </c>
      <c r="N8241">
        <v>-211.4</v>
      </c>
      <c r="O8241" s="1" t="s">
        <v>40</v>
      </c>
      <c r="P8241" s="1" t="s">
        <v>11853</v>
      </c>
      <c r="Q8241" s="1" t="s">
        <v>11854</v>
      </c>
      <c r="R8241" s="1" t="s">
        <v>220</v>
      </c>
      <c r="S8241" s="1" t="s">
        <v>11855</v>
      </c>
      <c r="T8241" s="1" t="s">
        <v>11856</v>
      </c>
      <c r="U8241" s="2" t="s">
        <v>1117</v>
      </c>
      <c r="V8241" s="2" t="s">
        <v>36</v>
      </c>
      <c r="W8241" s="2" t="s">
        <v>60</v>
      </c>
      <c r="X8241" s="2">
        <v>29.61</v>
      </c>
    </row>
    <row r="8242" spans="1:24" x14ac:dyDescent="0.3">
      <c r="A8242">
        <v>26043</v>
      </c>
      <c r="B8242" t="s">
        <v>15400</v>
      </c>
      <c r="C8242" s="3">
        <v>41459</v>
      </c>
      <c r="D8242" t="s">
        <v>50</v>
      </c>
      <c r="E8242">
        <v>3</v>
      </c>
      <c r="F8242" s="3">
        <f ca="1">41462+(RANDBETWEEN(1,10))</f>
        <v>41471</v>
      </c>
      <c r="G8242" t="s">
        <v>26</v>
      </c>
      <c r="H8242" t="s">
        <v>27</v>
      </c>
      <c r="I8242" t="s">
        <v>28</v>
      </c>
      <c r="J8242">
        <v>338.76499999999999</v>
      </c>
      <c r="K8242">
        <v>0.06</v>
      </c>
      <c r="L8242">
        <v>0.79</v>
      </c>
      <c r="M8242">
        <v>22.75</v>
      </c>
      <c r="N8242">
        <v>-397.6</v>
      </c>
      <c r="O8242" s="1" t="s">
        <v>40</v>
      </c>
      <c r="P8242" s="1" t="s">
        <v>11853</v>
      </c>
      <c r="Q8242" s="1" t="s">
        <v>11854</v>
      </c>
      <c r="R8242" s="1" t="s">
        <v>220</v>
      </c>
      <c r="S8242" s="1" t="s">
        <v>11855</v>
      </c>
      <c r="T8242" s="1" t="s">
        <v>11856</v>
      </c>
      <c r="U8242" s="2" t="s">
        <v>4252</v>
      </c>
      <c r="V8242" s="2" t="s">
        <v>36</v>
      </c>
      <c r="W8242" s="2" t="s">
        <v>60</v>
      </c>
      <c r="X8242" s="2">
        <v>108.43</v>
      </c>
    </row>
    <row r="8243" spans="1:24" x14ac:dyDescent="0.3">
      <c r="A8243">
        <v>26044</v>
      </c>
      <c r="B8243" t="s">
        <v>15401</v>
      </c>
      <c r="C8243" s="3">
        <v>41186</v>
      </c>
      <c r="D8243" t="s">
        <v>25</v>
      </c>
      <c r="E8243">
        <v>14</v>
      </c>
      <c r="F8243" s="3">
        <f ca="1">41193+(RANDBETWEEN(1,10))</f>
        <v>41202</v>
      </c>
      <c r="G8243" t="s">
        <v>26</v>
      </c>
      <c r="H8243" t="s">
        <v>27</v>
      </c>
      <c r="I8243" t="s">
        <v>97</v>
      </c>
      <c r="J8243">
        <v>255.815</v>
      </c>
      <c r="K8243">
        <v>0.04</v>
      </c>
      <c r="L8243">
        <v>0.36</v>
      </c>
      <c r="M8243">
        <v>19.88</v>
      </c>
      <c r="N8243">
        <v>-1941.2085</v>
      </c>
      <c r="O8243" s="1" t="s">
        <v>40</v>
      </c>
      <c r="P8243" s="1" t="s">
        <v>14565</v>
      </c>
      <c r="Q8243" s="1" t="s">
        <v>14566</v>
      </c>
      <c r="R8243" s="1" t="s">
        <v>43</v>
      </c>
      <c r="S8243" s="1" t="s">
        <v>14567</v>
      </c>
      <c r="T8243" s="1" t="s">
        <v>14568</v>
      </c>
      <c r="U8243" s="2" t="s">
        <v>4013</v>
      </c>
      <c r="V8243" s="2" t="s">
        <v>47</v>
      </c>
      <c r="W8243" s="2" t="s">
        <v>111</v>
      </c>
      <c r="X8243" s="2">
        <v>17.184999999999999</v>
      </c>
    </row>
    <row r="8244" spans="1:24" x14ac:dyDescent="0.3">
      <c r="A8244">
        <v>26045</v>
      </c>
      <c r="B8244" t="s">
        <v>15401</v>
      </c>
      <c r="C8244" s="3">
        <v>41186</v>
      </c>
      <c r="D8244" t="s">
        <v>25</v>
      </c>
      <c r="E8244">
        <v>15</v>
      </c>
      <c r="F8244" s="3">
        <f ca="1">41186+(RANDBETWEEN(1,10))</f>
        <v>41196</v>
      </c>
      <c r="G8244" t="s">
        <v>26</v>
      </c>
      <c r="H8244" t="s">
        <v>27</v>
      </c>
      <c r="I8244" t="s">
        <v>97</v>
      </c>
      <c r="J8244">
        <v>856.8</v>
      </c>
      <c r="K8244">
        <v>0.06</v>
      </c>
      <c r="L8244">
        <v>0.37</v>
      </c>
      <c r="M8244">
        <v>46.13</v>
      </c>
      <c r="N8244">
        <v>-6.5170000000000003</v>
      </c>
      <c r="O8244" s="1" t="s">
        <v>40</v>
      </c>
      <c r="P8244" s="1" t="s">
        <v>14565</v>
      </c>
      <c r="Q8244" s="1" t="s">
        <v>14566</v>
      </c>
      <c r="R8244" s="1" t="s">
        <v>43</v>
      </c>
      <c r="S8244" s="1" t="s">
        <v>14567</v>
      </c>
      <c r="T8244" s="1" t="s">
        <v>14568</v>
      </c>
      <c r="U8244" s="2" t="s">
        <v>197</v>
      </c>
      <c r="V8244" s="2" t="s">
        <v>47</v>
      </c>
      <c r="W8244" s="2" t="s">
        <v>111</v>
      </c>
      <c r="X8244" s="2">
        <v>55.965000000000003</v>
      </c>
    </row>
    <row r="8245" spans="1:24" x14ac:dyDescent="0.3">
      <c r="A8245">
        <v>26046</v>
      </c>
      <c r="B8245" t="s">
        <v>15401</v>
      </c>
      <c r="C8245" s="3">
        <v>41186</v>
      </c>
      <c r="D8245" t="s">
        <v>25</v>
      </c>
      <c r="E8245">
        <v>22</v>
      </c>
      <c r="F8245" s="3">
        <f ca="1">41186+(RANDBETWEEN(1,10))</f>
        <v>41190</v>
      </c>
      <c r="G8245" t="s">
        <v>26</v>
      </c>
      <c r="H8245" t="s">
        <v>27</v>
      </c>
      <c r="I8245" t="s">
        <v>97</v>
      </c>
      <c r="J8245">
        <v>496.72</v>
      </c>
      <c r="K8245">
        <v>0.04</v>
      </c>
      <c r="L8245">
        <v>0.36</v>
      </c>
      <c r="M8245">
        <v>18.445</v>
      </c>
      <c r="N8245">
        <v>17676.8907</v>
      </c>
      <c r="O8245" s="1" t="s">
        <v>40</v>
      </c>
      <c r="P8245" s="1" t="s">
        <v>14565</v>
      </c>
      <c r="Q8245" s="1" t="s">
        <v>14566</v>
      </c>
      <c r="R8245" s="1" t="s">
        <v>43</v>
      </c>
      <c r="S8245" s="1" t="s">
        <v>14567</v>
      </c>
      <c r="T8245" s="1" t="s">
        <v>14568</v>
      </c>
      <c r="U8245" s="2" t="s">
        <v>588</v>
      </c>
      <c r="V8245" s="2" t="s">
        <v>47</v>
      </c>
      <c r="W8245" s="2" t="s">
        <v>111</v>
      </c>
      <c r="X8245" s="2">
        <v>22.89</v>
      </c>
    </row>
    <row r="8246" spans="1:24" x14ac:dyDescent="0.3">
      <c r="A8246">
        <v>26047</v>
      </c>
      <c r="B8246" t="s">
        <v>15402</v>
      </c>
      <c r="C8246" s="3">
        <v>41916</v>
      </c>
      <c r="D8246" t="s">
        <v>25</v>
      </c>
      <c r="E8246">
        <v>13</v>
      </c>
      <c r="F8246" s="3">
        <f ca="1">41918+(RANDBETWEEN(1,10))</f>
        <v>41925</v>
      </c>
      <c r="G8246" t="s">
        <v>26</v>
      </c>
      <c r="H8246" t="s">
        <v>27</v>
      </c>
      <c r="I8246" t="s">
        <v>97</v>
      </c>
      <c r="J8246">
        <v>288.85500000000002</v>
      </c>
      <c r="K8246">
        <v>0.09</v>
      </c>
      <c r="L8246">
        <v>0.37</v>
      </c>
      <c r="M8246">
        <v>23.1</v>
      </c>
      <c r="N8246">
        <v>-115.88500000000001</v>
      </c>
      <c r="O8246" s="1" t="s">
        <v>40</v>
      </c>
      <c r="P8246" s="1" t="s">
        <v>14565</v>
      </c>
      <c r="Q8246" s="1" t="s">
        <v>14566</v>
      </c>
      <c r="R8246" s="1" t="s">
        <v>43</v>
      </c>
      <c r="S8246" s="1" t="s">
        <v>14567</v>
      </c>
      <c r="T8246" s="1" t="s">
        <v>14568</v>
      </c>
      <c r="U8246" s="2" t="s">
        <v>241</v>
      </c>
      <c r="V8246" s="2" t="s">
        <v>47</v>
      </c>
      <c r="W8246" s="2" t="s">
        <v>74</v>
      </c>
      <c r="X8246" s="2">
        <v>22.68</v>
      </c>
    </row>
    <row r="8247" spans="1:24" x14ac:dyDescent="0.3">
      <c r="A8247">
        <v>26048</v>
      </c>
      <c r="B8247" t="s">
        <v>15403</v>
      </c>
      <c r="C8247" s="3">
        <v>40618</v>
      </c>
      <c r="D8247" t="s">
        <v>39</v>
      </c>
      <c r="E8247">
        <v>5</v>
      </c>
      <c r="F8247" s="3">
        <f ca="1">40619+(RANDBETWEEN(1,10))</f>
        <v>40622</v>
      </c>
      <c r="G8247" t="s">
        <v>76</v>
      </c>
      <c r="H8247" t="s">
        <v>77</v>
      </c>
      <c r="I8247" t="s">
        <v>86</v>
      </c>
      <c r="J8247">
        <v>1182.51</v>
      </c>
      <c r="K8247">
        <v>0.08</v>
      </c>
      <c r="L8247">
        <v>0.41</v>
      </c>
      <c r="M8247">
        <v>210</v>
      </c>
      <c r="N8247">
        <v>-1926.5050000000001</v>
      </c>
      <c r="O8247" s="1" t="s">
        <v>29</v>
      </c>
      <c r="P8247" s="1" t="s">
        <v>11268</v>
      </c>
      <c r="Q8247" s="1" t="s">
        <v>11269</v>
      </c>
      <c r="R8247" s="1" t="s">
        <v>32</v>
      </c>
      <c r="S8247" s="1" t="s">
        <v>8845</v>
      </c>
      <c r="T8247" s="1" t="s">
        <v>8846</v>
      </c>
      <c r="U8247" s="2" t="s">
        <v>287</v>
      </c>
      <c r="V8247" s="2" t="s">
        <v>47</v>
      </c>
      <c r="W8247" s="2" t="s">
        <v>71</v>
      </c>
      <c r="X8247" s="2">
        <v>240.83500000000001</v>
      </c>
    </row>
    <row r="8248" spans="1:24" x14ac:dyDescent="0.3">
      <c r="A8248">
        <v>26049</v>
      </c>
      <c r="B8248" t="s">
        <v>15403</v>
      </c>
      <c r="C8248" s="3">
        <v>40618</v>
      </c>
      <c r="D8248" t="s">
        <v>39</v>
      </c>
      <c r="E8248">
        <v>4</v>
      </c>
      <c r="F8248" s="3">
        <f ca="1">40620+(RANDBETWEEN(1,10))</f>
        <v>40621</v>
      </c>
      <c r="G8248" t="s">
        <v>26</v>
      </c>
      <c r="H8248" t="s">
        <v>51</v>
      </c>
      <c r="I8248" t="s">
        <v>86</v>
      </c>
      <c r="J8248">
        <v>294.73500000000001</v>
      </c>
      <c r="K8248">
        <v>0.04</v>
      </c>
      <c r="L8248">
        <v>0.59</v>
      </c>
      <c r="M8248">
        <v>31.465</v>
      </c>
      <c r="N8248">
        <v>-182.42</v>
      </c>
      <c r="O8248" s="1" t="s">
        <v>29</v>
      </c>
      <c r="P8248" s="1" t="s">
        <v>11268</v>
      </c>
      <c r="Q8248" s="1" t="s">
        <v>11269</v>
      </c>
      <c r="R8248" s="1" t="s">
        <v>32</v>
      </c>
      <c r="S8248" s="1" t="s">
        <v>8845</v>
      </c>
      <c r="T8248" s="1" t="s">
        <v>8846</v>
      </c>
      <c r="U8248" s="2" t="s">
        <v>2789</v>
      </c>
      <c r="V8248" s="2" t="s">
        <v>47</v>
      </c>
      <c r="W8248" s="2" t="s">
        <v>104</v>
      </c>
      <c r="X8248" s="2">
        <v>74.83</v>
      </c>
    </row>
    <row r="8249" spans="1:24" x14ac:dyDescent="0.3">
      <c r="A8249">
        <v>26050</v>
      </c>
      <c r="B8249" t="s">
        <v>15404</v>
      </c>
      <c r="C8249" s="3">
        <v>41178</v>
      </c>
      <c r="D8249" t="s">
        <v>39</v>
      </c>
      <c r="E8249">
        <v>23</v>
      </c>
      <c r="F8249" s="3">
        <f ca="1">41180+(RANDBETWEEN(1,10))</f>
        <v>41184</v>
      </c>
      <c r="G8249" t="s">
        <v>26</v>
      </c>
      <c r="H8249" t="s">
        <v>27</v>
      </c>
      <c r="I8249" t="s">
        <v>97</v>
      </c>
      <c r="J8249">
        <v>1200.22</v>
      </c>
      <c r="K8249">
        <v>0.02</v>
      </c>
      <c r="L8249">
        <v>0.57999999999999996</v>
      </c>
      <c r="M8249">
        <v>12.25</v>
      </c>
      <c r="N8249">
        <v>-121.863</v>
      </c>
      <c r="O8249" s="1" t="s">
        <v>87</v>
      </c>
      <c r="P8249" s="1" t="s">
        <v>15405</v>
      </c>
      <c r="Q8249" s="1" t="s">
        <v>15406</v>
      </c>
      <c r="R8249" s="1" t="s">
        <v>90</v>
      </c>
      <c r="S8249" s="1" t="s">
        <v>1318</v>
      </c>
      <c r="T8249" s="1" t="s">
        <v>1319</v>
      </c>
      <c r="U8249" s="2" t="s">
        <v>2871</v>
      </c>
      <c r="V8249" s="2" t="s">
        <v>47</v>
      </c>
      <c r="W8249" s="2" t="s">
        <v>71</v>
      </c>
      <c r="X8249" s="2">
        <v>50.96</v>
      </c>
    </row>
    <row r="8250" spans="1:24" x14ac:dyDescent="0.3">
      <c r="A8250">
        <v>26051</v>
      </c>
      <c r="B8250" t="s">
        <v>15404</v>
      </c>
      <c r="C8250" s="3">
        <v>41178</v>
      </c>
      <c r="D8250" t="s">
        <v>39</v>
      </c>
      <c r="E8250">
        <v>20</v>
      </c>
      <c r="F8250" s="3">
        <f ca="1">41179+(RANDBETWEEN(1,10))</f>
        <v>41183</v>
      </c>
      <c r="G8250" t="s">
        <v>26</v>
      </c>
      <c r="H8250" t="s">
        <v>27</v>
      </c>
      <c r="I8250" t="s">
        <v>97</v>
      </c>
      <c r="J8250">
        <v>4801.2299999999996</v>
      </c>
      <c r="K8250">
        <v>0.08</v>
      </c>
      <c r="L8250">
        <v>0.35</v>
      </c>
      <c r="M8250">
        <v>8.75</v>
      </c>
      <c r="N8250">
        <v>-1958.383</v>
      </c>
      <c r="O8250" s="1" t="s">
        <v>87</v>
      </c>
      <c r="P8250" s="1" t="s">
        <v>15405</v>
      </c>
      <c r="Q8250" s="1" t="s">
        <v>15406</v>
      </c>
      <c r="R8250" s="1" t="s">
        <v>90</v>
      </c>
      <c r="S8250" s="1" t="s">
        <v>1318</v>
      </c>
      <c r="T8250" s="1" t="s">
        <v>1319</v>
      </c>
      <c r="U8250" s="2" t="s">
        <v>8893</v>
      </c>
      <c r="V8250" s="2" t="s">
        <v>36</v>
      </c>
      <c r="W8250" s="2" t="s">
        <v>37</v>
      </c>
      <c r="X8250" s="2">
        <v>300.96499999999997</v>
      </c>
    </row>
    <row r="8251" spans="1:24" x14ac:dyDescent="0.3">
      <c r="A8251">
        <v>26052</v>
      </c>
      <c r="B8251" t="s">
        <v>15407</v>
      </c>
      <c r="C8251" s="3">
        <v>41915</v>
      </c>
      <c r="D8251" t="s">
        <v>62</v>
      </c>
      <c r="E8251">
        <v>19</v>
      </c>
      <c r="F8251" s="3">
        <f ca="1">41916+(RANDBETWEEN(1,10))</f>
        <v>41922</v>
      </c>
      <c r="G8251" t="s">
        <v>26</v>
      </c>
      <c r="H8251" t="s">
        <v>96</v>
      </c>
      <c r="I8251" t="s">
        <v>97</v>
      </c>
      <c r="J8251">
        <v>117.355</v>
      </c>
      <c r="K8251">
        <v>0.1</v>
      </c>
      <c r="L8251">
        <v>0.5</v>
      </c>
      <c r="M8251">
        <v>2.7650000000000001</v>
      </c>
      <c r="N8251">
        <v>-72.297049999999999</v>
      </c>
      <c r="O8251" s="1" t="s">
        <v>64</v>
      </c>
      <c r="P8251" s="1" t="s">
        <v>10329</v>
      </c>
      <c r="Q8251" s="1" t="s">
        <v>10330</v>
      </c>
      <c r="R8251" s="1" t="s">
        <v>128</v>
      </c>
      <c r="S8251" s="1" t="s">
        <v>10331</v>
      </c>
      <c r="T8251" s="1" t="s">
        <v>10332</v>
      </c>
      <c r="U8251" s="2" t="s">
        <v>12428</v>
      </c>
      <c r="V8251" s="2" t="s">
        <v>47</v>
      </c>
      <c r="W8251" s="2" t="s">
        <v>176</v>
      </c>
      <c r="X8251" s="2">
        <v>6.58</v>
      </c>
    </row>
    <row r="8252" spans="1:24" x14ac:dyDescent="0.3">
      <c r="A8252">
        <v>26053</v>
      </c>
      <c r="B8252" t="s">
        <v>15408</v>
      </c>
      <c r="C8252" s="3">
        <v>41348</v>
      </c>
      <c r="D8252" t="s">
        <v>39</v>
      </c>
      <c r="E8252">
        <v>10</v>
      </c>
      <c r="F8252" s="3">
        <f ca="1">41349+(RANDBETWEEN(1,10))</f>
        <v>41355</v>
      </c>
      <c r="G8252" t="s">
        <v>26</v>
      </c>
      <c r="H8252" t="s">
        <v>27</v>
      </c>
      <c r="I8252" t="s">
        <v>28</v>
      </c>
      <c r="J8252">
        <v>124.985</v>
      </c>
      <c r="K8252">
        <v>7.0000000000000007E-2</v>
      </c>
      <c r="L8252">
        <v>0.37</v>
      </c>
      <c r="M8252">
        <v>1.75</v>
      </c>
      <c r="N8252">
        <v>86.239649999999997</v>
      </c>
      <c r="O8252" s="1" t="s">
        <v>87</v>
      </c>
      <c r="P8252" s="1" t="s">
        <v>13855</v>
      </c>
      <c r="Q8252" s="1" t="s">
        <v>13856</v>
      </c>
      <c r="R8252" s="1" t="s">
        <v>90</v>
      </c>
      <c r="S8252" s="1" t="s">
        <v>1630</v>
      </c>
      <c r="T8252" s="1" t="s">
        <v>1631</v>
      </c>
      <c r="U8252" s="2" t="s">
        <v>5635</v>
      </c>
      <c r="V8252" s="2" t="s">
        <v>47</v>
      </c>
      <c r="W8252" s="2" t="s">
        <v>203</v>
      </c>
      <c r="X8252" s="2">
        <v>13.125</v>
      </c>
    </row>
    <row r="8253" spans="1:24" x14ac:dyDescent="0.3">
      <c r="A8253">
        <v>26054</v>
      </c>
      <c r="B8253" t="s">
        <v>15409</v>
      </c>
      <c r="C8253" s="3">
        <v>40759</v>
      </c>
      <c r="D8253" t="s">
        <v>50</v>
      </c>
      <c r="E8253">
        <v>20</v>
      </c>
      <c r="F8253" s="3">
        <f ca="1">40762+(RANDBETWEEN(1,10))</f>
        <v>40771</v>
      </c>
      <c r="G8253" t="s">
        <v>26</v>
      </c>
      <c r="H8253" t="s">
        <v>27</v>
      </c>
      <c r="I8253" t="s">
        <v>52</v>
      </c>
      <c r="J8253">
        <v>568.71500000000003</v>
      </c>
      <c r="K8253">
        <v>0.01</v>
      </c>
      <c r="L8253">
        <v>0.36</v>
      </c>
      <c r="M8253">
        <v>4.8650000000000002</v>
      </c>
      <c r="N8253">
        <v>392.41334999999998</v>
      </c>
      <c r="O8253" s="1" t="s">
        <v>29</v>
      </c>
      <c r="P8253" s="1" t="s">
        <v>8274</v>
      </c>
      <c r="Q8253" s="1" t="s">
        <v>8275</v>
      </c>
      <c r="R8253" s="1" t="s">
        <v>32</v>
      </c>
      <c r="S8253" s="1" t="s">
        <v>8276</v>
      </c>
      <c r="T8253" s="1" t="s">
        <v>8277</v>
      </c>
      <c r="U8253" s="2" t="s">
        <v>5969</v>
      </c>
      <c r="V8253" s="2" t="s">
        <v>47</v>
      </c>
      <c r="W8253" s="2" t="s">
        <v>48</v>
      </c>
      <c r="X8253" s="2">
        <v>26.74</v>
      </c>
    </row>
    <row r="8254" spans="1:24" x14ac:dyDescent="0.3">
      <c r="A8254">
        <v>26055</v>
      </c>
      <c r="B8254" t="s">
        <v>15410</v>
      </c>
      <c r="C8254" s="3">
        <v>40587</v>
      </c>
      <c r="D8254" t="s">
        <v>148</v>
      </c>
      <c r="E8254">
        <v>12</v>
      </c>
      <c r="F8254" s="3">
        <f ca="1">40587+(RANDBETWEEN(1,10))</f>
        <v>40597</v>
      </c>
      <c r="G8254" t="s">
        <v>26</v>
      </c>
      <c r="H8254" t="s">
        <v>27</v>
      </c>
      <c r="I8254" t="s">
        <v>28</v>
      </c>
      <c r="J8254">
        <v>290.99</v>
      </c>
      <c r="K8254">
        <v>0.1</v>
      </c>
      <c r="L8254">
        <v>0.35</v>
      </c>
      <c r="M8254">
        <v>19.145</v>
      </c>
      <c r="N8254">
        <v>585.66899999999998</v>
      </c>
      <c r="O8254" s="1" t="s">
        <v>87</v>
      </c>
      <c r="P8254" s="1" t="s">
        <v>15411</v>
      </c>
      <c r="Q8254" s="1" t="s">
        <v>15412</v>
      </c>
      <c r="R8254" s="1" t="s">
        <v>398</v>
      </c>
      <c r="S8254" s="1" t="s">
        <v>3282</v>
      </c>
      <c r="T8254" s="1" t="s">
        <v>3283</v>
      </c>
      <c r="U8254" s="2" t="s">
        <v>5381</v>
      </c>
      <c r="V8254" s="2" t="s">
        <v>47</v>
      </c>
      <c r="W8254" s="2" t="s">
        <v>74</v>
      </c>
      <c r="X8254" s="2">
        <v>25.48</v>
      </c>
    </row>
    <row r="8255" spans="1:24" x14ac:dyDescent="0.3">
      <c r="A8255">
        <v>26056</v>
      </c>
      <c r="B8255" t="s">
        <v>15413</v>
      </c>
      <c r="C8255" s="3">
        <v>41816</v>
      </c>
      <c r="D8255" t="s">
        <v>62</v>
      </c>
      <c r="E8255">
        <v>4</v>
      </c>
      <c r="F8255" s="3">
        <f ca="1">41819+(RANDBETWEEN(1,10))</f>
        <v>41829</v>
      </c>
      <c r="G8255" t="s">
        <v>26</v>
      </c>
      <c r="H8255" t="s">
        <v>27</v>
      </c>
      <c r="I8255" t="s">
        <v>28</v>
      </c>
      <c r="J8255">
        <v>217.63</v>
      </c>
      <c r="K8255">
        <v>0.03</v>
      </c>
      <c r="L8255">
        <v>0.39</v>
      </c>
      <c r="M8255">
        <v>29.4</v>
      </c>
      <c r="N8255">
        <v>-55.094200000000001</v>
      </c>
      <c r="O8255" s="1" t="s">
        <v>87</v>
      </c>
      <c r="P8255" s="1" t="s">
        <v>12778</v>
      </c>
      <c r="Q8255" s="1" t="s">
        <v>12779</v>
      </c>
      <c r="R8255" s="1" t="s">
        <v>90</v>
      </c>
      <c r="S8255" s="1" t="s">
        <v>12780</v>
      </c>
      <c r="T8255" s="1" t="s">
        <v>12781</v>
      </c>
      <c r="U8255" s="2" t="s">
        <v>110</v>
      </c>
      <c r="V8255" s="2" t="s">
        <v>47</v>
      </c>
      <c r="W8255" s="2" t="s">
        <v>111</v>
      </c>
      <c r="X8255" s="2">
        <v>52.534999999999997</v>
      </c>
    </row>
    <row r="8256" spans="1:24" x14ac:dyDescent="0.3">
      <c r="A8256">
        <v>26057</v>
      </c>
      <c r="B8256" t="s">
        <v>15414</v>
      </c>
      <c r="C8256" s="3">
        <v>40595</v>
      </c>
      <c r="D8256" t="s">
        <v>25</v>
      </c>
      <c r="E8256">
        <v>10</v>
      </c>
      <c r="F8256" s="3">
        <f ca="1">40595+(RANDBETWEEN(1,10))</f>
        <v>40597</v>
      </c>
      <c r="G8256" t="s">
        <v>156</v>
      </c>
      <c r="H8256" t="s">
        <v>27</v>
      </c>
      <c r="I8256" t="s">
        <v>97</v>
      </c>
      <c r="J8256">
        <v>178.95500000000001</v>
      </c>
      <c r="K8256">
        <v>0.1</v>
      </c>
      <c r="L8256">
        <v>0.36</v>
      </c>
      <c r="M8256">
        <v>1.75</v>
      </c>
      <c r="N8256">
        <v>123.47895</v>
      </c>
      <c r="O8256" s="1" t="s">
        <v>40</v>
      </c>
      <c r="P8256" s="1" t="s">
        <v>950</v>
      </c>
      <c r="Q8256" s="1" t="s">
        <v>951</v>
      </c>
      <c r="R8256" s="1" t="s">
        <v>43</v>
      </c>
      <c r="S8256" s="1" t="s">
        <v>952</v>
      </c>
      <c r="T8256" s="1" t="s">
        <v>953</v>
      </c>
      <c r="U8256" s="2" t="s">
        <v>1158</v>
      </c>
      <c r="V8256" s="2" t="s">
        <v>47</v>
      </c>
      <c r="W8256" s="2" t="s">
        <v>203</v>
      </c>
      <c r="X8256" s="2">
        <v>17.184999999999999</v>
      </c>
    </row>
    <row r="8257" spans="1:24" x14ac:dyDescent="0.3">
      <c r="A8257">
        <v>26058</v>
      </c>
      <c r="B8257" t="s">
        <v>15415</v>
      </c>
      <c r="C8257" s="3">
        <v>41691</v>
      </c>
      <c r="D8257" t="s">
        <v>25</v>
      </c>
      <c r="E8257">
        <v>3</v>
      </c>
      <c r="F8257" s="3">
        <f ca="1">41696+(RANDBETWEEN(1,10))</f>
        <v>41699</v>
      </c>
      <c r="G8257" t="s">
        <v>76</v>
      </c>
      <c r="H8257" t="s">
        <v>258</v>
      </c>
      <c r="I8257" t="s">
        <v>97</v>
      </c>
      <c r="J8257">
        <v>2644.4250000000002</v>
      </c>
      <c r="K8257">
        <v>0.09</v>
      </c>
      <c r="L8257">
        <v>0.61</v>
      </c>
      <c r="M8257">
        <v>233.345</v>
      </c>
      <c r="N8257">
        <v>-709.0335</v>
      </c>
      <c r="O8257" s="1" t="s">
        <v>87</v>
      </c>
      <c r="P8257" s="1" t="s">
        <v>15416</v>
      </c>
      <c r="Q8257" s="1" t="s">
        <v>15417</v>
      </c>
      <c r="R8257" s="1" t="s">
        <v>90</v>
      </c>
      <c r="S8257" s="1" t="s">
        <v>2405</v>
      </c>
      <c r="T8257" s="1" t="s">
        <v>2406</v>
      </c>
      <c r="U8257" s="2" t="s">
        <v>4031</v>
      </c>
      <c r="V8257" s="2" t="s">
        <v>83</v>
      </c>
      <c r="W8257" s="2" t="s">
        <v>263</v>
      </c>
      <c r="X8257" s="2">
        <v>908.98500000000001</v>
      </c>
    </row>
    <row r="8258" spans="1:24" x14ac:dyDescent="0.3">
      <c r="A8258">
        <v>26059</v>
      </c>
      <c r="B8258" t="s">
        <v>15418</v>
      </c>
      <c r="C8258" s="3">
        <v>41618</v>
      </c>
      <c r="D8258" t="s">
        <v>50</v>
      </c>
      <c r="E8258">
        <v>3</v>
      </c>
      <c r="F8258" s="3">
        <f ca="1">41618+(RANDBETWEEN(1,10))</f>
        <v>41619</v>
      </c>
      <c r="G8258" t="s">
        <v>26</v>
      </c>
      <c r="H8258" t="s">
        <v>27</v>
      </c>
      <c r="I8258" t="s">
        <v>28</v>
      </c>
      <c r="J8258">
        <v>84.105000000000004</v>
      </c>
      <c r="K8258">
        <v>0.01</v>
      </c>
      <c r="L8258">
        <v>0.37</v>
      </c>
      <c r="M8258">
        <v>18.2</v>
      </c>
      <c r="N8258">
        <v>-634.88859000000002</v>
      </c>
      <c r="O8258" s="1" t="s">
        <v>64</v>
      </c>
      <c r="P8258" s="1" t="s">
        <v>9074</v>
      </c>
      <c r="Q8258" s="1" t="s">
        <v>9075</v>
      </c>
      <c r="R8258" s="1" t="s">
        <v>67</v>
      </c>
      <c r="S8258" s="1" t="s">
        <v>411</v>
      </c>
      <c r="T8258" s="1" t="s">
        <v>412</v>
      </c>
      <c r="U8258" s="2" t="s">
        <v>4079</v>
      </c>
      <c r="V8258" s="2" t="s">
        <v>47</v>
      </c>
      <c r="W8258" s="2" t="s">
        <v>74</v>
      </c>
      <c r="X8258" s="2">
        <v>23.38</v>
      </c>
    </row>
    <row r="8259" spans="1:24" x14ac:dyDescent="0.3">
      <c r="A8259">
        <v>26060</v>
      </c>
      <c r="B8259" t="s">
        <v>15419</v>
      </c>
      <c r="C8259" s="3">
        <v>40822</v>
      </c>
      <c r="D8259" t="s">
        <v>62</v>
      </c>
      <c r="E8259">
        <v>14</v>
      </c>
      <c r="F8259" s="3">
        <f ca="1">40823+(RANDBETWEEN(1,10))</f>
        <v>40831</v>
      </c>
      <c r="G8259" t="s">
        <v>26</v>
      </c>
      <c r="H8259" t="s">
        <v>27</v>
      </c>
      <c r="I8259" t="s">
        <v>28</v>
      </c>
      <c r="J8259">
        <v>150.78</v>
      </c>
      <c r="K8259">
        <v>0.01</v>
      </c>
      <c r="L8259">
        <v>0.38</v>
      </c>
      <c r="M8259">
        <v>1.75</v>
      </c>
      <c r="N8259">
        <v>104.0382</v>
      </c>
      <c r="O8259" s="1" t="s">
        <v>53</v>
      </c>
      <c r="P8259" s="1" t="s">
        <v>8552</v>
      </c>
      <c r="Q8259" s="1" t="s">
        <v>8553</v>
      </c>
      <c r="R8259" s="1" t="s">
        <v>100</v>
      </c>
      <c r="S8259" s="1" t="s">
        <v>8554</v>
      </c>
      <c r="T8259" s="1" t="s">
        <v>8555</v>
      </c>
      <c r="U8259" s="2" t="s">
        <v>468</v>
      </c>
      <c r="V8259" s="2" t="s">
        <v>47</v>
      </c>
      <c r="W8259" s="2" t="s">
        <v>203</v>
      </c>
      <c r="X8259" s="2">
        <v>10.115</v>
      </c>
    </row>
    <row r="8260" spans="1:24" x14ac:dyDescent="0.3">
      <c r="A8260">
        <v>26061</v>
      </c>
      <c r="B8260" t="s">
        <v>15419</v>
      </c>
      <c r="C8260" s="3">
        <v>40822</v>
      </c>
      <c r="D8260" t="s">
        <v>62</v>
      </c>
      <c r="E8260">
        <v>5</v>
      </c>
      <c r="F8260" s="3">
        <f ca="1">40824+(RANDBETWEEN(1,10))</f>
        <v>40834</v>
      </c>
      <c r="G8260" t="s">
        <v>26</v>
      </c>
      <c r="H8260" t="s">
        <v>51</v>
      </c>
      <c r="I8260" t="s">
        <v>28</v>
      </c>
      <c r="J8260">
        <v>906.255</v>
      </c>
      <c r="K8260">
        <v>0</v>
      </c>
      <c r="L8260">
        <v>0.8</v>
      </c>
      <c r="M8260">
        <v>17.5</v>
      </c>
      <c r="N8260">
        <v>-654.88499999999999</v>
      </c>
      <c r="O8260" s="1" t="s">
        <v>53</v>
      </c>
      <c r="P8260" s="1" t="s">
        <v>8552</v>
      </c>
      <c r="Q8260" s="1" t="s">
        <v>8553</v>
      </c>
      <c r="R8260" s="1" t="s">
        <v>100</v>
      </c>
      <c r="S8260" s="1" t="s">
        <v>8554</v>
      </c>
      <c r="T8260" s="1" t="s">
        <v>8555</v>
      </c>
      <c r="U8260" s="2" t="s">
        <v>2876</v>
      </c>
      <c r="V8260" s="2" t="s">
        <v>36</v>
      </c>
      <c r="W8260" s="2" t="s">
        <v>37</v>
      </c>
      <c r="X8260" s="2">
        <v>195.965</v>
      </c>
    </row>
    <row r="8261" spans="1:24" x14ac:dyDescent="0.3">
      <c r="A8261">
        <v>26062</v>
      </c>
      <c r="B8261" t="s">
        <v>15420</v>
      </c>
      <c r="C8261" s="3">
        <v>41900</v>
      </c>
      <c r="D8261" t="s">
        <v>148</v>
      </c>
      <c r="E8261">
        <v>7</v>
      </c>
      <c r="F8261" s="3">
        <f ca="1">41901+(RANDBETWEEN(1,10))</f>
        <v>41905</v>
      </c>
      <c r="G8261" t="s">
        <v>156</v>
      </c>
      <c r="H8261" t="s">
        <v>27</v>
      </c>
      <c r="I8261" t="s">
        <v>97</v>
      </c>
      <c r="J8261">
        <v>143.95500000000001</v>
      </c>
      <c r="K8261">
        <v>0.03</v>
      </c>
      <c r="L8261">
        <v>0.39</v>
      </c>
      <c r="M8261">
        <v>18.34</v>
      </c>
      <c r="N8261">
        <v>-353.92700000000002</v>
      </c>
      <c r="O8261" s="1" t="s">
        <v>53</v>
      </c>
      <c r="P8261" s="1" t="s">
        <v>13870</v>
      </c>
      <c r="Q8261" s="1" t="s">
        <v>13871</v>
      </c>
      <c r="R8261" s="1" t="s">
        <v>100</v>
      </c>
      <c r="S8261" s="1" t="s">
        <v>13872</v>
      </c>
      <c r="T8261" s="1" t="s">
        <v>13873</v>
      </c>
      <c r="U8261" s="2" t="s">
        <v>112</v>
      </c>
      <c r="V8261" s="2" t="s">
        <v>47</v>
      </c>
      <c r="W8261" s="2" t="s">
        <v>111</v>
      </c>
      <c r="X8261" s="2">
        <v>16.87</v>
      </c>
    </row>
    <row r="8262" spans="1:24" x14ac:dyDescent="0.3">
      <c r="A8262">
        <v>26063</v>
      </c>
      <c r="B8262" t="s">
        <v>15420</v>
      </c>
      <c r="C8262" s="3">
        <v>41900</v>
      </c>
      <c r="D8262" t="s">
        <v>148</v>
      </c>
      <c r="E8262">
        <v>15</v>
      </c>
      <c r="F8262" s="3">
        <f ca="1">41901+(RANDBETWEEN(1,10))</f>
        <v>41908</v>
      </c>
      <c r="G8262" t="s">
        <v>26</v>
      </c>
      <c r="H8262" t="s">
        <v>27</v>
      </c>
      <c r="I8262" t="s">
        <v>97</v>
      </c>
      <c r="J8262">
        <v>5338.0249999999996</v>
      </c>
      <c r="K8262">
        <v>0.05</v>
      </c>
      <c r="L8262">
        <v>0.46</v>
      </c>
      <c r="M8262">
        <v>25.13</v>
      </c>
      <c r="N8262">
        <v>271.59300000000002</v>
      </c>
      <c r="O8262" s="1" t="s">
        <v>53</v>
      </c>
      <c r="P8262" s="1" t="s">
        <v>13870</v>
      </c>
      <c r="Q8262" s="1" t="s">
        <v>13871</v>
      </c>
      <c r="R8262" s="1" t="s">
        <v>100</v>
      </c>
      <c r="S8262" s="1" t="s">
        <v>13872</v>
      </c>
      <c r="T8262" s="1" t="s">
        <v>13873</v>
      </c>
      <c r="U8262" s="2" t="s">
        <v>8699</v>
      </c>
      <c r="V8262" s="2" t="s">
        <v>36</v>
      </c>
      <c r="W8262" s="2" t="s">
        <v>60</v>
      </c>
      <c r="X8262" s="2">
        <v>353.39499999999998</v>
      </c>
    </row>
    <row r="8263" spans="1:24" x14ac:dyDescent="0.3">
      <c r="A8263">
        <v>26064</v>
      </c>
      <c r="B8263" t="s">
        <v>15420</v>
      </c>
      <c r="C8263" s="3">
        <v>41900</v>
      </c>
      <c r="D8263" t="s">
        <v>148</v>
      </c>
      <c r="E8263">
        <v>2</v>
      </c>
      <c r="F8263" s="3">
        <f ca="1">41900+(RANDBETWEEN(1,10))</f>
        <v>41901</v>
      </c>
      <c r="G8263" t="s">
        <v>26</v>
      </c>
      <c r="H8263" t="s">
        <v>96</v>
      </c>
      <c r="I8263" t="s">
        <v>97</v>
      </c>
      <c r="J8263">
        <v>32.094999999999999</v>
      </c>
      <c r="K8263">
        <v>0.09</v>
      </c>
      <c r="L8263">
        <v>0.35</v>
      </c>
      <c r="M8263">
        <v>10.395</v>
      </c>
      <c r="N8263">
        <v>148.00800000000001</v>
      </c>
      <c r="O8263" s="1" t="s">
        <v>53</v>
      </c>
      <c r="P8263" s="1" t="s">
        <v>13870</v>
      </c>
      <c r="Q8263" s="1" t="s">
        <v>13871</v>
      </c>
      <c r="R8263" s="1" t="s">
        <v>100</v>
      </c>
      <c r="S8263" s="1" t="s">
        <v>13872</v>
      </c>
      <c r="T8263" s="1" t="s">
        <v>13873</v>
      </c>
      <c r="U8263" s="2" t="s">
        <v>3164</v>
      </c>
      <c r="V8263" s="2" t="s">
        <v>47</v>
      </c>
      <c r="W8263" s="2" t="s">
        <v>74</v>
      </c>
      <c r="X8263" s="2">
        <v>13.93</v>
      </c>
    </row>
    <row r="8264" spans="1:24" x14ac:dyDescent="0.3">
      <c r="A8264">
        <v>26065</v>
      </c>
      <c r="B8264" t="s">
        <v>15421</v>
      </c>
      <c r="C8264" s="3">
        <v>40959</v>
      </c>
      <c r="D8264" t="s">
        <v>62</v>
      </c>
      <c r="E8264">
        <v>10</v>
      </c>
      <c r="F8264" s="3">
        <f ca="1">40961+(RANDBETWEEN(1,10))</f>
        <v>40967</v>
      </c>
      <c r="G8264" t="s">
        <v>26</v>
      </c>
      <c r="H8264" t="s">
        <v>27</v>
      </c>
      <c r="I8264" t="s">
        <v>86</v>
      </c>
      <c r="J8264">
        <v>1199.17</v>
      </c>
      <c r="K8264">
        <v>0.08</v>
      </c>
      <c r="L8264">
        <v>0.55000000000000004</v>
      </c>
      <c r="M8264">
        <v>69.965000000000003</v>
      </c>
      <c r="N8264">
        <v>-856.20500000000004</v>
      </c>
      <c r="O8264" s="1" t="s">
        <v>53</v>
      </c>
      <c r="P8264" s="1" t="s">
        <v>10423</v>
      </c>
      <c r="Q8264" s="1" t="s">
        <v>10424</v>
      </c>
      <c r="R8264" s="1" t="s">
        <v>56</v>
      </c>
      <c r="S8264" s="1" t="s">
        <v>10425</v>
      </c>
      <c r="T8264" s="1" t="s">
        <v>10426</v>
      </c>
      <c r="U8264" s="2" t="s">
        <v>3861</v>
      </c>
      <c r="V8264" s="2" t="s">
        <v>83</v>
      </c>
      <c r="W8264" s="2" t="s">
        <v>178</v>
      </c>
      <c r="X8264" s="2">
        <v>118.93</v>
      </c>
    </row>
    <row r="8265" spans="1:24" x14ac:dyDescent="0.3">
      <c r="A8265">
        <v>26066</v>
      </c>
      <c r="B8265" t="s">
        <v>15422</v>
      </c>
      <c r="C8265" s="3">
        <v>40777</v>
      </c>
      <c r="D8265" t="s">
        <v>39</v>
      </c>
      <c r="E8265">
        <v>10</v>
      </c>
      <c r="F8265" s="3">
        <f ca="1">40779+(RANDBETWEEN(1,10))</f>
        <v>40784</v>
      </c>
      <c r="G8265" t="s">
        <v>26</v>
      </c>
      <c r="H8265" t="s">
        <v>27</v>
      </c>
      <c r="I8265" t="s">
        <v>28</v>
      </c>
      <c r="J8265">
        <v>1911.7349999999999</v>
      </c>
      <c r="K8265">
        <v>0.04</v>
      </c>
      <c r="L8265">
        <v>0.37</v>
      </c>
      <c r="M8265">
        <v>23.765000000000001</v>
      </c>
      <c r="N8265">
        <v>1319.0971500000001</v>
      </c>
      <c r="O8265" s="1" t="s">
        <v>53</v>
      </c>
      <c r="P8265" s="1" t="s">
        <v>15423</v>
      </c>
      <c r="Q8265" s="1" t="s">
        <v>15424</v>
      </c>
      <c r="R8265" s="1" t="s">
        <v>56</v>
      </c>
      <c r="S8265" s="1" t="s">
        <v>5961</v>
      </c>
      <c r="T8265" s="1" t="s">
        <v>5962</v>
      </c>
      <c r="U8265" s="2" t="s">
        <v>4840</v>
      </c>
      <c r="V8265" s="2" t="s">
        <v>47</v>
      </c>
      <c r="W8265" s="2" t="s">
        <v>74</v>
      </c>
      <c r="X8265" s="2">
        <v>194.18</v>
      </c>
    </row>
    <row r="8266" spans="1:24" x14ac:dyDescent="0.3">
      <c r="A8266">
        <v>26067</v>
      </c>
      <c r="B8266" t="s">
        <v>15425</v>
      </c>
      <c r="C8266" s="3">
        <v>41077</v>
      </c>
      <c r="D8266" t="s">
        <v>50</v>
      </c>
      <c r="E8266">
        <v>14</v>
      </c>
      <c r="F8266" s="3">
        <f ca="1">41079+(RANDBETWEEN(1,10))</f>
        <v>41085</v>
      </c>
      <c r="G8266" t="s">
        <v>26</v>
      </c>
      <c r="H8266" t="s">
        <v>27</v>
      </c>
      <c r="I8266" t="s">
        <v>86</v>
      </c>
      <c r="J8266">
        <v>764.05</v>
      </c>
      <c r="K8266">
        <v>7.0000000000000007E-2</v>
      </c>
      <c r="L8266">
        <v>0.38</v>
      </c>
      <c r="M8266">
        <v>4.8650000000000002</v>
      </c>
      <c r="N8266">
        <v>1226.7055499999999</v>
      </c>
      <c r="O8266" s="1" t="s">
        <v>40</v>
      </c>
      <c r="P8266" s="1" t="s">
        <v>15426</v>
      </c>
      <c r="Q8266" s="1" t="s">
        <v>15427</v>
      </c>
      <c r="R8266" s="1" t="s">
        <v>43</v>
      </c>
      <c r="S8266" s="1" t="s">
        <v>6671</v>
      </c>
      <c r="T8266" s="1" t="s">
        <v>6672</v>
      </c>
      <c r="U8266" s="2" t="s">
        <v>2854</v>
      </c>
      <c r="V8266" s="2" t="s">
        <v>47</v>
      </c>
      <c r="W8266" s="2" t="s">
        <v>48</v>
      </c>
      <c r="X8266" s="2">
        <v>54.844999999999999</v>
      </c>
    </row>
    <row r="8267" spans="1:24" x14ac:dyDescent="0.3">
      <c r="A8267">
        <v>26068</v>
      </c>
      <c r="B8267" t="s">
        <v>15428</v>
      </c>
      <c r="C8267" s="3">
        <v>41910</v>
      </c>
      <c r="D8267" t="s">
        <v>39</v>
      </c>
      <c r="E8267">
        <v>14</v>
      </c>
      <c r="F8267" s="3">
        <f ca="1">41912+(RANDBETWEEN(1,10))</f>
        <v>41915</v>
      </c>
      <c r="G8267" t="s">
        <v>76</v>
      </c>
      <c r="H8267" t="s">
        <v>258</v>
      </c>
      <c r="I8267" t="s">
        <v>28</v>
      </c>
      <c r="J8267">
        <v>3308.48</v>
      </c>
      <c r="K8267">
        <v>0.09</v>
      </c>
      <c r="L8267">
        <v>0.6</v>
      </c>
      <c r="M8267">
        <v>93.59</v>
      </c>
      <c r="N8267">
        <v>-614.3116</v>
      </c>
      <c r="O8267" s="1" t="s">
        <v>225</v>
      </c>
      <c r="P8267" s="1" t="s">
        <v>9405</v>
      </c>
      <c r="Q8267" s="1" t="s">
        <v>9406</v>
      </c>
      <c r="R8267" s="1" t="s">
        <v>228</v>
      </c>
      <c r="S8267" s="1" t="s">
        <v>9407</v>
      </c>
      <c r="T8267" s="1" t="s">
        <v>1880</v>
      </c>
      <c r="U8267" s="2" t="s">
        <v>3851</v>
      </c>
      <c r="V8267" s="2" t="s">
        <v>83</v>
      </c>
      <c r="W8267" s="2" t="s">
        <v>298</v>
      </c>
      <c r="X8267" s="2">
        <v>248.43</v>
      </c>
    </row>
    <row r="8268" spans="1:24" x14ac:dyDescent="0.3">
      <c r="A8268">
        <v>26069</v>
      </c>
      <c r="B8268" t="s">
        <v>15428</v>
      </c>
      <c r="C8268" s="3">
        <v>41910</v>
      </c>
      <c r="D8268" t="s">
        <v>39</v>
      </c>
      <c r="E8268">
        <v>8</v>
      </c>
      <c r="F8268" s="3">
        <f ca="1">41912+(RANDBETWEEN(1,10))</f>
        <v>41920</v>
      </c>
      <c r="G8268" t="s">
        <v>26</v>
      </c>
      <c r="H8268" t="s">
        <v>27</v>
      </c>
      <c r="I8268" t="s">
        <v>28</v>
      </c>
      <c r="J8268">
        <v>1260.42</v>
      </c>
      <c r="K8268">
        <v>0.1</v>
      </c>
      <c r="L8268">
        <v>0.37</v>
      </c>
      <c r="M8268">
        <v>25.305</v>
      </c>
      <c r="N8268">
        <v>771.42240000000004</v>
      </c>
      <c r="O8268" s="1" t="s">
        <v>29</v>
      </c>
      <c r="P8268" s="1" t="s">
        <v>15429</v>
      </c>
      <c r="Q8268" s="1" t="s">
        <v>15430</v>
      </c>
      <c r="R8268" s="1" t="s">
        <v>32</v>
      </c>
      <c r="S8268" s="1" t="s">
        <v>3276</v>
      </c>
      <c r="T8268" s="1" t="s">
        <v>3277</v>
      </c>
      <c r="U8268" s="2" t="s">
        <v>2593</v>
      </c>
      <c r="V8268" s="2" t="s">
        <v>47</v>
      </c>
      <c r="W8268" s="2" t="s">
        <v>74</v>
      </c>
      <c r="X8268" s="2">
        <v>168.14</v>
      </c>
    </row>
    <row r="8269" spans="1:24" x14ac:dyDescent="0.3">
      <c r="A8269">
        <v>26070</v>
      </c>
      <c r="B8269" t="s">
        <v>15431</v>
      </c>
      <c r="C8269" s="3">
        <v>41467</v>
      </c>
      <c r="D8269" t="s">
        <v>148</v>
      </c>
      <c r="E8269">
        <v>10</v>
      </c>
      <c r="F8269" s="3">
        <f ca="1">41469+(RANDBETWEEN(1,10))</f>
        <v>41479</v>
      </c>
      <c r="G8269" t="s">
        <v>26</v>
      </c>
      <c r="H8269" t="s">
        <v>51</v>
      </c>
      <c r="I8269" t="s">
        <v>97</v>
      </c>
      <c r="J8269">
        <v>162.26</v>
      </c>
      <c r="K8269">
        <v>0.1</v>
      </c>
      <c r="L8269">
        <v>0.64</v>
      </c>
      <c r="M8269">
        <v>16.170000000000002</v>
      </c>
      <c r="N8269">
        <v>-420.14</v>
      </c>
      <c r="O8269" s="1" t="s">
        <v>53</v>
      </c>
      <c r="P8269" s="1" t="s">
        <v>14624</v>
      </c>
      <c r="Q8269" s="1" t="s">
        <v>14625</v>
      </c>
      <c r="R8269" s="1" t="s">
        <v>100</v>
      </c>
      <c r="S8269" s="1" t="s">
        <v>14626</v>
      </c>
      <c r="T8269" s="1" t="s">
        <v>14627</v>
      </c>
      <c r="U8269" s="2" t="s">
        <v>505</v>
      </c>
      <c r="V8269" s="2" t="s">
        <v>36</v>
      </c>
      <c r="W8269" s="2" t="s">
        <v>60</v>
      </c>
      <c r="X8269" s="2">
        <v>17.43</v>
      </c>
    </row>
    <row r="8270" spans="1:24" x14ac:dyDescent="0.3">
      <c r="A8270">
        <v>26071</v>
      </c>
      <c r="B8270" t="s">
        <v>15431</v>
      </c>
      <c r="C8270" s="3">
        <v>41467</v>
      </c>
      <c r="D8270" t="s">
        <v>148</v>
      </c>
      <c r="E8270">
        <v>3</v>
      </c>
      <c r="F8270" s="3">
        <f ca="1">41468+(RANDBETWEEN(1,10))</f>
        <v>41472</v>
      </c>
      <c r="G8270" t="s">
        <v>26</v>
      </c>
      <c r="H8270" t="s">
        <v>96</v>
      </c>
      <c r="I8270" t="s">
        <v>97</v>
      </c>
      <c r="J8270">
        <v>87.814999999999998</v>
      </c>
      <c r="K8270">
        <v>0</v>
      </c>
      <c r="L8270">
        <v>0.36</v>
      </c>
      <c r="M8270">
        <v>20.405000000000001</v>
      </c>
      <c r="N8270">
        <v>-60.27</v>
      </c>
      <c r="O8270" s="1" t="s">
        <v>53</v>
      </c>
      <c r="P8270" s="1" t="s">
        <v>14624</v>
      </c>
      <c r="Q8270" s="1" t="s">
        <v>14625</v>
      </c>
      <c r="R8270" s="1" t="s">
        <v>100</v>
      </c>
      <c r="S8270" s="1" t="s">
        <v>14626</v>
      </c>
      <c r="T8270" s="1" t="s">
        <v>14627</v>
      </c>
      <c r="U8270" s="2" t="s">
        <v>605</v>
      </c>
      <c r="V8270" s="2" t="s">
        <v>47</v>
      </c>
      <c r="W8270" s="2" t="s">
        <v>74</v>
      </c>
      <c r="X8270" s="2">
        <v>26.74</v>
      </c>
    </row>
    <row r="8271" spans="1:24" x14ac:dyDescent="0.3">
      <c r="A8271">
        <v>26072</v>
      </c>
      <c r="B8271" t="s">
        <v>15432</v>
      </c>
      <c r="C8271" s="3">
        <v>41843</v>
      </c>
      <c r="D8271" t="s">
        <v>62</v>
      </c>
      <c r="E8271">
        <v>7</v>
      </c>
      <c r="F8271" s="3">
        <f ca="1">41844+(RANDBETWEEN(1,10))</f>
        <v>41845</v>
      </c>
      <c r="G8271" t="s">
        <v>76</v>
      </c>
      <c r="H8271" t="s">
        <v>77</v>
      </c>
      <c r="I8271" t="s">
        <v>52</v>
      </c>
      <c r="J8271">
        <v>571.30499999999995</v>
      </c>
      <c r="K8271">
        <v>7.0000000000000007E-2</v>
      </c>
      <c r="L8271">
        <v>0.62</v>
      </c>
      <c r="M8271">
        <v>54.88</v>
      </c>
      <c r="N8271">
        <v>-404.887</v>
      </c>
      <c r="O8271" s="1" t="s">
        <v>87</v>
      </c>
      <c r="P8271" s="1" t="s">
        <v>4135</v>
      </c>
      <c r="Q8271" s="1" t="s">
        <v>4136</v>
      </c>
      <c r="R8271" s="1" t="s">
        <v>646</v>
      </c>
      <c r="S8271" s="1" t="s">
        <v>933</v>
      </c>
      <c r="T8271" s="1" t="s">
        <v>934</v>
      </c>
      <c r="U8271" s="2" t="s">
        <v>7937</v>
      </c>
      <c r="V8271" s="2" t="s">
        <v>83</v>
      </c>
      <c r="W8271" s="2" t="s">
        <v>178</v>
      </c>
      <c r="X8271" s="2">
        <v>83.965000000000003</v>
      </c>
    </row>
    <row r="8272" spans="1:24" x14ac:dyDescent="0.3">
      <c r="A8272">
        <v>26073</v>
      </c>
      <c r="B8272" t="s">
        <v>15433</v>
      </c>
      <c r="C8272" s="3">
        <v>41954</v>
      </c>
      <c r="D8272" t="s">
        <v>62</v>
      </c>
      <c r="E8272">
        <v>29</v>
      </c>
      <c r="F8272" s="3">
        <f ca="1">41956+(RANDBETWEEN(1,10))</f>
        <v>41959</v>
      </c>
      <c r="G8272" t="s">
        <v>26</v>
      </c>
      <c r="H8272" t="s">
        <v>27</v>
      </c>
      <c r="I8272" t="s">
        <v>86</v>
      </c>
      <c r="J8272">
        <v>5969.8450000000003</v>
      </c>
      <c r="K8272">
        <v>0.05</v>
      </c>
      <c r="L8272">
        <v>0.39</v>
      </c>
      <c r="M8272">
        <v>36.015000000000001</v>
      </c>
      <c r="N8272">
        <v>4119.1930499999999</v>
      </c>
      <c r="O8272" s="1" t="s">
        <v>225</v>
      </c>
      <c r="P8272" s="1" t="s">
        <v>15434</v>
      </c>
      <c r="Q8272" s="1" t="s">
        <v>15435</v>
      </c>
      <c r="R8272" s="1" t="s">
        <v>391</v>
      </c>
      <c r="S8272" s="1" t="s">
        <v>8048</v>
      </c>
      <c r="T8272" s="1" t="s">
        <v>8049</v>
      </c>
      <c r="U8272" s="2" t="s">
        <v>4193</v>
      </c>
      <c r="V8272" s="2" t="s">
        <v>47</v>
      </c>
      <c r="W8272" s="2" t="s">
        <v>111</v>
      </c>
      <c r="X8272" s="2">
        <v>209.23</v>
      </c>
    </row>
    <row r="8273" spans="1:24" x14ac:dyDescent="0.3">
      <c r="A8273">
        <v>26074</v>
      </c>
      <c r="B8273" t="s">
        <v>15433</v>
      </c>
      <c r="C8273" s="3">
        <v>41954</v>
      </c>
      <c r="D8273" t="s">
        <v>62</v>
      </c>
      <c r="E8273">
        <v>40</v>
      </c>
      <c r="F8273" s="3">
        <f ca="1">41956+(RANDBETWEEN(1,10))</f>
        <v>41963</v>
      </c>
      <c r="G8273" t="s">
        <v>26</v>
      </c>
      <c r="H8273" t="s">
        <v>27</v>
      </c>
      <c r="I8273" t="s">
        <v>86</v>
      </c>
      <c r="J8273">
        <v>594.82500000000005</v>
      </c>
      <c r="K8273">
        <v>0.05</v>
      </c>
      <c r="L8273">
        <v>0.39</v>
      </c>
      <c r="M8273">
        <v>1.75</v>
      </c>
      <c r="N8273">
        <v>410.42925000000002</v>
      </c>
      <c r="O8273" s="1" t="s">
        <v>225</v>
      </c>
      <c r="P8273" s="1" t="s">
        <v>15434</v>
      </c>
      <c r="Q8273" s="1" t="s">
        <v>15435</v>
      </c>
      <c r="R8273" s="1" t="s">
        <v>391</v>
      </c>
      <c r="S8273" s="1" t="s">
        <v>8048</v>
      </c>
      <c r="T8273" s="1" t="s">
        <v>8049</v>
      </c>
      <c r="U8273" s="2" t="s">
        <v>1889</v>
      </c>
      <c r="V8273" s="2" t="s">
        <v>47</v>
      </c>
      <c r="W8273" s="2" t="s">
        <v>203</v>
      </c>
      <c r="X8273" s="2">
        <v>14.455</v>
      </c>
    </row>
    <row r="8274" spans="1:24" x14ac:dyDescent="0.3">
      <c r="A8274">
        <v>26075</v>
      </c>
      <c r="B8274" t="s">
        <v>15433</v>
      </c>
      <c r="C8274" s="3">
        <v>41954</v>
      </c>
      <c r="D8274" t="s">
        <v>62</v>
      </c>
      <c r="E8274">
        <v>11</v>
      </c>
      <c r="F8274" s="3">
        <f ca="1">41956+(RANDBETWEEN(1,10))</f>
        <v>41958</v>
      </c>
      <c r="G8274" t="s">
        <v>26</v>
      </c>
      <c r="H8274" t="s">
        <v>27</v>
      </c>
      <c r="I8274" t="s">
        <v>86</v>
      </c>
      <c r="J8274">
        <v>1306.4449999999999</v>
      </c>
      <c r="K8274">
        <v>0.01</v>
      </c>
      <c r="L8274">
        <v>0.4</v>
      </c>
      <c r="M8274">
        <v>59.78</v>
      </c>
      <c r="N8274">
        <v>13.67408</v>
      </c>
      <c r="O8274" s="1" t="s">
        <v>225</v>
      </c>
      <c r="P8274" s="1" t="s">
        <v>15434</v>
      </c>
      <c r="Q8274" s="1" t="s">
        <v>15435</v>
      </c>
      <c r="R8274" s="1" t="s">
        <v>391</v>
      </c>
      <c r="S8274" s="1" t="s">
        <v>8048</v>
      </c>
      <c r="T8274" s="1" t="s">
        <v>8049</v>
      </c>
      <c r="U8274" s="2" t="s">
        <v>6956</v>
      </c>
      <c r="V8274" s="2" t="s">
        <v>47</v>
      </c>
      <c r="W8274" s="2" t="s">
        <v>74</v>
      </c>
      <c r="X8274" s="2">
        <v>108.43</v>
      </c>
    </row>
    <row r="8275" spans="1:24" x14ac:dyDescent="0.3">
      <c r="A8275">
        <v>26076</v>
      </c>
      <c r="B8275" t="s">
        <v>15436</v>
      </c>
      <c r="C8275" s="3">
        <v>41776</v>
      </c>
      <c r="D8275" t="s">
        <v>25</v>
      </c>
      <c r="E8275">
        <v>14</v>
      </c>
      <c r="F8275" s="3">
        <f ca="1">41785+(RANDBETWEEN(1,10))</f>
        <v>41793</v>
      </c>
      <c r="G8275" t="s">
        <v>26</v>
      </c>
      <c r="H8275" t="s">
        <v>27</v>
      </c>
      <c r="I8275" t="s">
        <v>52</v>
      </c>
      <c r="J8275">
        <v>148.54</v>
      </c>
      <c r="K8275">
        <v>0.02</v>
      </c>
      <c r="L8275">
        <v>0.36</v>
      </c>
      <c r="M8275">
        <v>1.75</v>
      </c>
      <c r="N8275">
        <v>1088.808</v>
      </c>
      <c r="O8275" s="1" t="s">
        <v>29</v>
      </c>
      <c r="P8275" s="1" t="s">
        <v>15437</v>
      </c>
      <c r="Q8275" s="1" t="s">
        <v>15438</v>
      </c>
      <c r="R8275" s="1" t="s">
        <v>32</v>
      </c>
      <c r="S8275" s="1" t="s">
        <v>10586</v>
      </c>
      <c r="T8275" s="1" t="s">
        <v>10587</v>
      </c>
      <c r="U8275" s="2" t="s">
        <v>10639</v>
      </c>
      <c r="V8275" s="2" t="s">
        <v>47</v>
      </c>
      <c r="W8275" s="2" t="s">
        <v>203</v>
      </c>
      <c r="X8275" s="2">
        <v>10.08</v>
      </c>
    </row>
    <row r="8276" spans="1:24" x14ac:dyDescent="0.3">
      <c r="A8276">
        <v>26077</v>
      </c>
      <c r="B8276" t="s">
        <v>15439</v>
      </c>
      <c r="C8276" s="3">
        <v>41642</v>
      </c>
      <c r="D8276" t="s">
        <v>50</v>
      </c>
      <c r="E8276">
        <v>10</v>
      </c>
      <c r="F8276" s="3">
        <f ca="1">41643+(RANDBETWEEN(1,10))</f>
        <v>41650</v>
      </c>
      <c r="G8276" t="s">
        <v>26</v>
      </c>
      <c r="H8276" t="s">
        <v>51</v>
      </c>
      <c r="I8276" t="s">
        <v>52</v>
      </c>
      <c r="J8276">
        <v>278.565</v>
      </c>
      <c r="K8276">
        <v>0.08</v>
      </c>
      <c r="L8276">
        <v>0.61</v>
      </c>
      <c r="M8276">
        <v>12.67</v>
      </c>
      <c r="N8276">
        <v>-278.80160000000001</v>
      </c>
      <c r="O8276" s="1" t="s">
        <v>53</v>
      </c>
      <c r="P8276" s="1" t="s">
        <v>14489</v>
      </c>
      <c r="Q8276" s="1" t="s">
        <v>14490</v>
      </c>
      <c r="R8276" s="1" t="s">
        <v>440</v>
      </c>
      <c r="S8276" s="1" t="s">
        <v>14491</v>
      </c>
      <c r="T8276" s="1" t="s">
        <v>14492</v>
      </c>
      <c r="U8276" s="2" t="s">
        <v>1117</v>
      </c>
      <c r="V8276" s="2" t="s">
        <v>36</v>
      </c>
      <c r="W8276" s="2" t="s">
        <v>60</v>
      </c>
      <c r="X8276" s="2">
        <v>29.61</v>
      </c>
    </row>
    <row r="8277" spans="1:24" x14ac:dyDescent="0.3">
      <c r="A8277">
        <v>26078</v>
      </c>
      <c r="B8277" t="s">
        <v>15440</v>
      </c>
      <c r="C8277" s="3">
        <v>41311</v>
      </c>
      <c r="D8277" t="s">
        <v>39</v>
      </c>
      <c r="E8277">
        <v>3</v>
      </c>
      <c r="F8277" s="3">
        <f ca="1">41312+(RANDBETWEEN(1,10))</f>
        <v>41322</v>
      </c>
      <c r="G8277" t="s">
        <v>156</v>
      </c>
      <c r="H8277" t="s">
        <v>51</v>
      </c>
      <c r="I8277" t="s">
        <v>28</v>
      </c>
      <c r="J8277">
        <v>307.23</v>
      </c>
      <c r="K8277">
        <v>0.09</v>
      </c>
      <c r="L8277">
        <v>0.44</v>
      </c>
      <c r="M8277">
        <v>13.72</v>
      </c>
      <c r="N8277">
        <v>211.98869999999999</v>
      </c>
      <c r="O8277" s="1" t="s">
        <v>87</v>
      </c>
      <c r="P8277" s="1" t="s">
        <v>9442</v>
      </c>
      <c r="Q8277" s="1" t="s">
        <v>9443</v>
      </c>
      <c r="R8277" s="1" t="s">
        <v>646</v>
      </c>
      <c r="S8277" s="1" t="s">
        <v>6191</v>
      </c>
      <c r="T8277" s="1" t="s">
        <v>6192</v>
      </c>
      <c r="U8277" s="2" t="s">
        <v>449</v>
      </c>
      <c r="V8277" s="2" t="s">
        <v>83</v>
      </c>
      <c r="W8277" s="2" t="s">
        <v>178</v>
      </c>
      <c r="X8277" s="2">
        <v>108.255</v>
      </c>
    </row>
    <row r="8278" spans="1:24" x14ac:dyDescent="0.3">
      <c r="A8278">
        <v>26079</v>
      </c>
      <c r="B8278" t="s">
        <v>15441</v>
      </c>
      <c r="C8278" s="3">
        <v>41751</v>
      </c>
      <c r="D8278" t="s">
        <v>25</v>
      </c>
      <c r="E8278">
        <v>9</v>
      </c>
      <c r="F8278" s="3">
        <f ca="1">41756+(RANDBETWEEN(1,10))</f>
        <v>41766</v>
      </c>
      <c r="G8278" t="s">
        <v>76</v>
      </c>
      <c r="H8278" t="s">
        <v>258</v>
      </c>
      <c r="I8278" t="s">
        <v>52</v>
      </c>
      <c r="J8278">
        <v>5166.5600000000004</v>
      </c>
      <c r="K8278">
        <v>0.09</v>
      </c>
      <c r="L8278">
        <v>0.68</v>
      </c>
      <c r="M8278">
        <v>101.85</v>
      </c>
      <c r="N8278">
        <v>-1842.6733325</v>
      </c>
      <c r="O8278" s="1" t="s">
        <v>29</v>
      </c>
      <c r="P8278" s="1" t="s">
        <v>15442</v>
      </c>
      <c r="Q8278" s="1" t="s">
        <v>15443</v>
      </c>
      <c r="R8278" s="1" t="s">
        <v>675</v>
      </c>
      <c r="S8278" s="1" t="s">
        <v>1324</v>
      </c>
      <c r="T8278" s="1" t="s">
        <v>1325</v>
      </c>
      <c r="U8278" s="2" t="s">
        <v>13573</v>
      </c>
      <c r="V8278" s="2" t="s">
        <v>83</v>
      </c>
      <c r="W8278" s="2" t="s">
        <v>263</v>
      </c>
      <c r="X8278" s="2">
        <v>762.47500000000002</v>
      </c>
    </row>
    <row r="8279" spans="1:24" x14ac:dyDescent="0.3">
      <c r="A8279">
        <v>26080</v>
      </c>
      <c r="B8279" t="s">
        <v>15441</v>
      </c>
      <c r="C8279" s="3">
        <v>41751</v>
      </c>
      <c r="D8279" t="s">
        <v>25</v>
      </c>
      <c r="E8279">
        <v>12</v>
      </c>
      <c r="F8279" s="3">
        <f ca="1">41753+(RANDBETWEEN(1,10))</f>
        <v>41755</v>
      </c>
      <c r="G8279" t="s">
        <v>26</v>
      </c>
      <c r="H8279" t="s">
        <v>27</v>
      </c>
      <c r="I8279" t="s">
        <v>52</v>
      </c>
      <c r="J8279">
        <v>488.95</v>
      </c>
      <c r="K8279">
        <v>7.0000000000000007E-2</v>
      </c>
      <c r="L8279">
        <v>0.36</v>
      </c>
      <c r="M8279">
        <v>19.004999999999999</v>
      </c>
      <c r="N8279">
        <v>276.11500000000001</v>
      </c>
      <c r="O8279" s="1" t="s">
        <v>225</v>
      </c>
      <c r="P8279" s="1" t="s">
        <v>15444</v>
      </c>
      <c r="Q8279" s="1" t="s">
        <v>15445</v>
      </c>
      <c r="R8279" s="1" t="s">
        <v>228</v>
      </c>
      <c r="S8279" s="1" t="s">
        <v>15446</v>
      </c>
      <c r="T8279" s="1" t="s">
        <v>15447</v>
      </c>
      <c r="U8279" s="2" t="s">
        <v>3430</v>
      </c>
      <c r="V8279" s="2" t="s">
        <v>47</v>
      </c>
      <c r="W8279" s="2" t="s">
        <v>74</v>
      </c>
      <c r="X8279" s="2">
        <v>40.18</v>
      </c>
    </row>
    <row r="8280" spans="1:24" x14ac:dyDescent="0.3">
      <c r="A8280">
        <v>26081</v>
      </c>
      <c r="B8280" t="s">
        <v>15441</v>
      </c>
      <c r="C8280" s="3">
        <v>41751</v>
      </c>
      <c r="D8280" t="s">
        <v>25</v>
      </c>
      <c r="E8280">
        <v>12</v>
      </c>
      <c r="F8280" s="3">
        <f ca="1">41753+(RANDBETWEEN(1,10))</f>
        <v>41755</v>
      </c>
      <c r="G8280" t="s">
        <v>26</v>
      </c>
      <c r="H8280" t="s">
        <v>51</v>
      </c>
      <c r="I8280" t="s">
        <v>52</v>
      </c>
      <c r="J8280">
        <v>85.784999999999997</v>
      </c>
      <c r="K8280">
        <v>0.08</v>
      </c>
      <c r="L8280">
        <v>0.55000000000000004</v>
      </c>
      <c r="M8280">
        <v>8.9600000000000009</v>
      </c>
      <c r="N8280">
        <v>-299.52999999999997</v>
      </c>
      <c r="O8280" s="1" t="s">
        <v>53</v>
      </c>
      <c r="P8280" s="1" t="s">
        <v>15448</v>
      </c>
      <c r="Q8280" s="1" t="s">
        <v>15449</v>
      </c>
      <c r="R8280" s="1" t="s">
        <v>440</v>
      </c>
      <c r="S8280" s="1" t="s">
        <v>12494</v>
      </c>
      <c r="T8280" s="1" t="s">
        <v>12495</v>
      </c>
      <c r="U8280" s="2" t="s">
        <v>401</v>
      </c>
      <c r="V8280" s="2" t="s">
        <v>47</v>
      </c>
      <c r="W8280" s="2" t="s">
        <v>94</v>
      </c>
      <c r="X8280" s="2">
        <v>7.28</v>
      </c>
    </row>
    <row r="8281" spans="1:24" x14ac:dyDescent="0.3">
      <c r="A8281">
        <v>26082</v>
      </c>
      <c r="B8281" t="s">
        <v>15450</v>
      </c>
      <c r="C8281" s="3">
        <v>41111</v>
      </c>
      <c r="D8281" t="s">
        <v>62</v>
      </c>
      <c r="E8281">
        <v>7</v>
      </c>
      <c r="F8281" s="3">
        <f ca="1">41111+(RANDBETWEEN(1,10))</f>
        <v>41114</v>
      </c>
      <c r="G8281" t="s">
        <v>26</v>
      </c>
      <c r="H8281" t="s">
        <v>63</v>
      </c>
      <c r="I8281" t="s">
        <v>52</v>
      </c>
      <c r="J8281">
        <v>2286.165</v>
      </c>
      <c r="K8281">
        <v>0.04</v>
      </c>
      <c r="L8281">
        <v>0.56000000000000005</v>
      </c>
      <c r="M8281">
        <v>63.454999999999998</v>
      </c>
      <c r="N8281">
        <v>1156.75</v>
      </c>
      <c r="O8281" s="1" t="s">
        <v>40</v>
      </c>
      <c r="P8281" s="1" t="s">
        <v>14105</v>
      </c>
      <c r="Q8281" s="1" t="s">
        <v>14106</v>
      </c>
      <c r="R8281" s="1" t="s">
        <v>220</v>
      </c>
      <c r="S8281" s="1" t="s">
        <v>4170</v>
      </c>
      <c r="T8281" s="1" t="s">
        <v>4171</v>
      </c>
      <c r="U8281" s="2" t="s">
        <v>10141</v>
      </c>
      <c r="V8281" s="2" t="s">
        <v>83</v>
      </c>
      <c r="W8281" s="2" t="s">
        <v>178</v>
      </c>
      <c r="X8281" s="2">
        <v>334.11</v>
      </c>
    </row>
    <row r="8282" spans="1:24" x14ac:dyDescent="0.3">
      <c r="A8282">
        <v>26083</v>
      </c>
      <c r="B8282" t="s">
        <v>15451</v>
      </c>
      <c r="C8282" s="3">
        <v>40685</v>
      </c>
      <c r="D8282" t="s">
        <v>50</v>
      </c>
      <c r="E8282">
        <v>16</v>
      </c>
      <c r="F8282" s="3">
        <f ca="1">40688+(RANDBETWEEN(1,10))</f>
        <v>40696</v>
      </c>
      <c r="G8282" t="s">
        <v>26</v>
      </c>
      <c r="H8282" t="s">
        <v>51</v>
      </c>
      <c r="I8282" t="s">
        <v>86</v>
      </c>
      <c r="J8282">
        <v>1500.9749999999999</v>
      </c>
      <c r="K8282">
        <v>0.03</v>
      </c>
      <c r="L8282">
        <v>0.56999999999999995</v>
      </c>
      <c r="M8282">
        <v>14.28</v>
      </c>
      <c r="N8282">
        <v>1035.67275</v>
      </c>
      <c r="O8282" s="1" t="s">
        <v>87</v>
      </c>
      <c r="P8282" s="1" t="s">
        <v>15186</v>
      </c>
      <c r="Q8282" s="1" t="s">
        <v>15187</v>
      </c>
      <c r="R8282" s="1" t="s">
        <v>398</v>
      </c>
      <c r="S8282" s="1" t="s">
        <v>2964</v>
      </c>
      <c r="T8282" s="1" t="s">
        <v>2965</v>
      </c>
      <c r="U8282" s="2" t="s">
        <v>12507</v>
      </c>
      <c r="V8282" s="2" t="s">
        <v>47</v>
      </c>
      <c r="W8282" s="2" t="s">
        <v>104</v>
      </c>
      <c r="X8282" s="2">
        <v>90.93</v>
      </c>
    </row>
    <row r="8283" spans="1:24" x14ac:dyDescent="0.3">
      <c r="A8283">
        <v>26084</v>
      </c>
      <c r="B8283" t="s">
        <v>15451</v>
      </c>
      <c r="C8283" s="3">
        <v>40685</v>
      </c>
      <c r="D8283" t="s">
        <v>50</v>
      </c>
      <c r="E8283">
        <v>16</v>
      </c>
      <c r="F8283" s="3">
        <f ca="1">40685+(RANDBETWEEN(1,10))</f>
        <v>40693</v>
      </c>
      <c r="G8283" t="s">
        <v>76</v>
      </c>
      <c r="H8283" t="s">
        <v>77</v>
      </c>
      <c r="I8283" t="s">
        <v>86</v>
      </c>
      <c r="J8283">
        <v>1198.8900000000001</v>
      </c>
      <c r="K8283">
        <v>0.1</v>
      </c>
      <c r="L8283">
        <v>0.78</v>
      </c>
      <c r="M8283">
        <v>185.60499999999999</v>
      </c>
      <c r="N8283">
        <v>-7389.76</v>
      </c>
      <c r="O8283" s="1" t="s">
        <v>87</v>
      </c>
      <c r="P8283" s="1" t="s">
        <v>15186</v>
      </c>
      <c r="Q8283" s="1" t="s">
        <v>15187</v>
      </c>
      <c r="R8283" s="1" t="s">
        <v>398</v>
      </c>
      <c r="S8283" s="1" t="s">
        <v>2964</v>
      </c>
      <c r="T8283" s="1" t="s">
        <v>2965</v>
      </c>
      <c r="U8283" s="2" t="s">
        <v>583</v>
      </c>
      <c r="V8283" s="2" t="s">
        <v>47</v>
      </c>
      <c r="W8283" s="2" t="s">
        <v>119</v>
      </c>
      <c r="X8283" s="2">
        <v>73.430000000000007</v>
      </c>
    </row>
    <row r="8284" spans="1:24" x14ac:dyDescent="0.3">
      <c r="A8284">
        <v>26085</v>
      </c>
      <c r="B8284" t="s">
        <v>15452</v>
      </c>
      <c r="C8284" s="3">
        <v>41129</v>
      </c>
      <c r="D8284" t="s">
        <v>62</v>
      </c>
      <c r="E8284">
        <v>18</v>
      </c>
      <c r="F8284" s="3">
        <f ca="1">41130+(RANDBETWEEN(1,10))</f>
        <v>41131</v>
      </c>
      <c r="G8284" t="s">
        <v>26</v>
      </c>
      <c r="H8284" t="s">
        <v>27</v>
      </c>
      <c r="I8284" t="s">
        <v>52</v>
      </c>
      <c r="J8284">
        <v>2770.6350000000002</v>
      </c>
      <c r="K8284">
        <v>0</v>
      </c>
      <c r="L8284">
        <v>0.56999999999999995</v>
      </c>
      <c r="M8284">
        <v>18.655000000000001</v>
      </c>
      <c r="N8284">
        <v>1911.7381499999999</v>
      </c>
      <c r="O8284" s="1" t="s">
        <v>40</v>
      </c>
      <c r="P8284" s="1" t="s">
        <v>4515</v>
      </c>
      <c r="Q8284" s="1" t="s">
        <v>4516</v>
      </c>
      <c r="R8284" s="1" t="s">
        <v>220</v>
      </c>
      <c r="S8284" s="1" t="s">
        <v>4517</v>
      </c>
      <c r="T8284" s="1" t="s">
        <v>4518</v>
      </c>
      <c r="U8284" s="2" t="s">
        <v>1712</v>
      </c>
      <c r="V8284" s="2" t="s">
        <v>47</v>
      </c>
      <c r="W8284" s="2" t="s">
        <v>71</v>
      </c>
      <c r="X8284" s="2">
        <v>143.43</v>
      </c>
    </row>
    <row r="8285" spans="1:24" x14ac:dyDescent="0.3">
      <c r="A8285">
        <v>26086</v>
      </c>
      <c r="B8285" t="s">
        <v>15453</v>
      </c>
      <c r="C8285" s="3">
        <v>41950</v>
      </c>
      <c r="D8285" t="s">
        <v>50</v>
      </c>
      <c r="E8285">
        <v>5</v>
      </c>
      <c r="F8285" s="3">
        <f ca="1">41951+(RANDBETWEEN(1,10))</f>
        <v>41953</v>
      </c>
      <c r="G8285" t="s">
        <v>26</v>
      </c>
      <c r="H8285" t="s">
        <v>27</v>
      </c>
      <c r="I8285" t="s">
        <v>52</v>
      </c>
      <c r="J8285">
        <v>66.430000000000007</v>
      </c>
      <c r="K8285">
        <v>0.01</v>
      </c>
      <c r="L8285">
        <v>0.37</v>
      </c>
      <c r="M8285">
        <v>1.75</v>
      </c>
      <c r="N8285">
        <v>34.151040000000002</v>
      </c>
      <c r="O8285" s="1" t="s">
        <v>29</v>
      </c>
      <c r="P8285" s="1" t="s">
        <v>13618</v>
      </c>
      <c r="Q8285" s="1" t="s">
        <v>13619</v>
      </c>
      <c r="R8285" s="1" t="s">
        <v>32</v>
      </c>
      <c r="S8285" s="1" t="s">
        <v>1051</v>
      </c>
      <c r="T8285" s="1" t="s">
        <v>1052</v>
      </c>
      <c r="U8285" s="2" t="s">
        <v>2907</v>
      </c>
      <c r="V8285" s="2" t="s">
        <v>47</v>
      </c>
      <c r="W8285" s="2" t="s">
        <v>203</v>
      </c>
      <c r="X8285" s="2">
        <v>13.125</v>
      </c>
    </row>
    <row r="8286" spans="1:24" x14ac:dyDescent="0.3">
      <c r="A8286">
        <v>26087</v>
      </c>
      <c r="B8286" t="s">
        <v>15454</v>
      </c>
      <c r="C8286" s="3">
        <v>41645</v>
      </c>
      <c r="D8286" t="s">
        <v>62</v>
      </c>
      <c r="E8286">
        <v>3</v>
      </c>
      <c r="F8286" s="3">
        <f ca="1">41646+(RANDBETWEEN(1,10))</f>
        <v>41648</v>
      </c>
      <c r="G8286" t="s">
        <v>26</v>
      </c>
      <c r="H8286" t="s">
        <v>27</v>
      </c>
      <c r="I8286" t="s">
        <v>97</v>
      </c>
      <c r="J8286">
        <v>90.3</v>
      </c>
      <c r="K8286">
        <v>0.05</v>
      </c>
      <c r="L8286">
        <v>0.57999999999999996</v>
      </c>
      <c r="M8286">
        <v>32.305</v>
      </c>
      <c r="N8286">
        <v>-437.07510000000002</v>
      </c>
      <c r="O8286" s="1" t="s">
        <v>64</v>
      </c>
      <c r="P8286" s="1" t="s">
        <v>15455</v>
      </c>
      <c r="Q8286" s="1" t="s">
        <v>15456</v>
      </c>
      <c r="R8286" s="1" t="s">
        <v>67</v>
      </c>
      <c r="S8286" s="1" t="s">
        <v>1873</v>
      </c>
      <c r="T8286" s="1" t="s">
        <v>1874</v>
      </c>
      <c r="U8286" s="2" t="s">
        <v>4333</v>
      </c>
      <c r="V8286" s="2" t="s">
        <v>47</v>
      </c>
      <c r="W8286" s="2" t="s">
        <v>71</v>
      </c>
      <c r="X8286" s="2">
        <v>27.195</v>
      </c>
    </row>
    <row r="8287" spans="1:24" x14ac:dyDescent="0.3">
      <c r="A8287">
        <v>26088</v>
      </c>
      <c r="B8287" t="s">
        <v>15454</v>
      </c>
      <c r="C8287" s="3">
        <v>41645</v>
      </c>
      <c r="D8287" t="s">
        <v>62</v>
      </c>
      <c r="E8287">
        <v>4</v>
      </c>
      <c r="F8287" s="3">
        <f ca="1">41647+(RANDBETWEEN(1,10))</f>
        <v>41648</v>
      </c>
      <c r="G8287" t="s">
        <v>26</v>
      </c>
      <c r="H8287" t="s">
        <v>27</v>
      </c>
      <c r="I8287" t="s">
        <v>97</v>
      </c>
      <c r="J8287">
        <v>5174.9949999999999</v>
      </c>
      <c r="K8287">
        <v>0.04</v>
      </c>
      <c r="L8287">
        <v>0.56999999999999995</v>
      </c>
      <c r="M8287">
        <v>69.965000000000003</v>
      </c>
      <c r="N8287">
        <v>175.48650000000001</v>
      </c>
      <c r="O8287" s="1" t="s">
        <v>64</v>
      </c>
      <c r="P8287" s="1" t="s">
        <v>15455</v>
      </c>
      <c r="Q8287" s="1" t="s">
        <v>15456</v>
      </c>
      <c r="R8287" s="1" t="s">
        <v>67</v>
      </c>
      <c r="S8287" s="1" t="s">
        <v>1873</v>
      </c>
      <c r="T8287" s="1" t="s">
        <v>1874</v>
      </c>
      <c r="U8287" s="2" t="s">
        <v>572</v>
      </c>
      <c r="V8287" s="2" t="s">
        <v>47</v>
      </c>
      <c r="W8287" s="2" t="s">
        <v>71</v>
      </c>
      <c r="X8287" s="2">
        <v>1271.375</v>
      </c>
    </row>
    <row r="8288" spans="1:24" x14ac:dyDescent="0.3">
      <c r="A8288">
        <v>26089</v>
      </c>
      <c r="B8288" t="s">
        <v>15457</v>
      </c>
      <c r="C8288" s="3">
        <v>41953</v>
      </c>
      <c r="D8288" t="s">
        <v>25</v>
      </c>
      <c r="E8288">
        <v>42</v>
      </c>
      <c r="F8288" s="3">
        <f ca="1">41958+(RANDBETWEEN(1,10))</f>
        <v>41964</v>
      </c>
      <c r="G8288" t="s">
        <v>26</v>
      </c>
      <c r="H8288" t="s">
        <v>51</v>
      </c>
      <c r="I8288" t="s">
        <v>28</v>
      </c>
      <c r="J8288">
        <v>5810.8050000000003</v>
      </c>
      <c r="K8288">
        <v>0.09</v>
      </c>
      <c r="L8288">
        <v>0.44</v>
      </c>
      <c r="M8288">
        <v>6.9649999999999999</v>
      </c>
      <c r="N8288">
        <v>4009.4554499999999</v>
      </c>
      <c r="O8288" s="1" t="s">
        <v>53</v>
      </c>
      <c r="P8288" s="1" t="s">
        <v>8356</v>
      </c>
      <c r="Q8288" s="1" t="s">
        <v>8357</v>
      </c>
      <c r="R8288" s="1" t="s">
        <v>56</v>
      </c>
      <c r="S8288" s="1" t="s">
        <v>8358</v>
      </c>
      <c r="T8288" s="1" t="s">
        <v>8359</v>
      </c>
      <c r="U8288" s="2" t="s">
        <v>1469</v>
      </c>
      <c r="V8288" s="2" t="s">
        <v>36</v>
      </c>
      <c r="W8288" s="2" t="s">
        <v>60</v>
      </c>
      <c r="X8288" s="2">
        <v>143.43</v>
      </c>
    </row>
    <row r="8289" spans="1:24" x14ac:dyDescent="0.3">
      <c r="A8289">
        <v>26090</v>
      </c>
      <c r="B8289" t="s">
        <v>15457</v>
      </c>
      <c r="C8289" s="3">
        <v>41953</v>
      </c>
      <c r="D8289" t="s">
        <v>25</v>
      </c>
      <c r="E8289">
        <v>32</v>
      </c>
      <c r="F8289" s="3">
        <f ca="1">41957+(RANDBETWEEN(1,10))</f>
        <v>41964</v>
      </c>
      <c r="G8289" t="s">
        <v>26</v>
      </c>
      <c r="H8289" t="s">
        <v>27</v>
      </c>
      <c r="I8289" t="s">
        <v>28</v>
      </c>
      <c r="J8289">
        <v>6722.59</v>
      </c>
      <c r="K8289">
        <v>0.08</v>
      </c>
      <c r="L8289">
        <v>0.38</v>
      </c>
      <c r="M8289">
        <v>69.965000000000003</v>
      </c>
      <c r="N8289">
        <v>4182.8124799999996</v>
      </c>
      <c r="O8289" s="1" t="s">
        <v>53</v>
      </c>
      <c r="P8289" s="1" t="s">
        <v>8356</v>
      </c>
      <c r="Q8289" s="1" t="s">
        <v>8357</v>
      </c>
      <c r="R8289" s="1" t="s">
        <v>56</v>
      </c>
      <c r="S8289" s="1" t="s">
        <v>8358</v>
      </c>
      <c r="T8289" s="1" t="s">
        <v>8359</v>
      </c>
      <c r="U8289" s="2" t="s">
        <v>3909</v>
      </c>
      <c r="V8289" s="2" t="s">
        <v>47</v>
      </c>
      <c r="W8289" s="2" t="s">
        <v>48</v>
      </c>
      <c r="X8289" s="2">
        <v>213.43</v>
      </c>
    </row>
    <row r="8290" spans="1:24" x14ac:dyDescent="0.3">
      <c r="A8290">
        <v>26091</v>
      </c>
      <c r="B8290" t="s">
        <v>15457</v>
      </c>
      <c r="C8290" s="3">
        <v>41953</v>
      </c>
      <c r="D8290" t="s">
        <v>25</v>
      </c>
      <c r="E8290">
        <v>18</v>
      </c>
      <c r="F8290" s="3">
        <f ca="1">41955+(RANDBETWEEN(1,10))</f>
        <v>41959</v>
      </c>
      <c r="G8290" t="s">
        <v>26</v>
      </c>
      <c r="H8290" t="s">
        <v>27</v>
      </c>
      <c r="I8290" t="s">
        <v>28</v>
      </c>
      <c r="J8290">
        <v>138.42500000000001</v>
      </c>
      <c r="K8290">
        <v>0.09</v>
      </c>
      <c r="L8290">
        <v>0.43</v>
      </c>
      <c r="M8290">
        <v>18.655000000000001</v>
      </c>
      <c r="N8290">
        <v>95.513249999999999</v>
      </c>
      <c r="O8290" s="1" t="s">
        <v>53</v>
      </c>
      <c r="P8290" s="1" t="s">
        <v>8356</v>
      </c>
      <c r="Q8290" s="1" t="s">
        <v>8357</v>
      </c>
      <c r="R8290" s="1" t="s">
        <v>56</v>
      </c>
      <c r="S8290" s="1" t="s">
        <v>8358</v>
      </c>
      <c r="T8290" s="1" t="s">
        <v>8359</v>
      </c>
      <c r="U8290" s="2" t="s">
        <v>2500</v>
      </c>
      <c r="V8290" s="2" t="s">
        <v>83</v>
      </c>
      <c r="W8290" s="2" t="s">
        <v>178</v>
      </c>
      <c r="X8290" s="2">
        <v>7.28</v>
      </c>
    </row>
    <row r="8291" spans="1:24" x14ac:dyDescent="0.3">
      <c r="A8291">
        <v>26092</v>
      </c>
      <c r="B8291" t="s">
        <v>15458</v>
      </c>
      <c r="C8291" s="3">
        <v>41590</v>
      </c>
      <c r="D8291" t="s">
        <v>148</v>
      </c>
      <c r="E8291">
        <v>32</v>
      </c>
      <c r="F8291" s="3">
        <f ca="1">41590+(RANDBETWEEN(1,10))</f>
        <v>41594</v>
      </c>
      <c r="G8291" t="s">
        <v>26</v>
      </c>
      <c r="H8291" t="s">
        <v>51</v>
      </c>
      <c r="I8291" t="s">
        <v>28</v>
      </c>
      <c r="J8291">
        <v>5324.2</v>
      </c>
      <c r="K8291">
        <v>0.04</v>
      </c>
      <c r="L8291">
        <v>0.71</v>
      </c>
      <c r="M8291">
        <v>12.635</v>
      </c>
      <c r="N8291">
        <v>1038.345</v>
      </c>
      <c r="O8291" s="1" t="s">
        <v>225</v>
      </c>
      <c r="P8291" s="1" t="s">
        <v>15298</v>
      </c>
      <c r="Q8291" s="1" t="s">
        <v>15299</v>
      </c>
      <c r="R8291" s="1" t="s">
        <v>228</v>
      </c>
      <c r="S8291" s="1" t="s">
        <v>15300</v>
      </c>
      <c r="T8291" s="1" t="s">
        <v>15301</v>
      </c>
      <c r="U8291" s="2" t="s">
        <v>267</v>
      </c>
      <c r="V8291" s="2" t="s">
        <v>36</v>
      </c>
      <c r="W8291" s="2" t="s">
        <v>60</v>
      </c>
      <c r="X8291" s="2">
        <v>167.93</v>
      </c>
    </row>
    <row r="8292" spans="1:24" x14ac:dyDescent="0.3">
      <c r="A8292">
        <v>26093</v>
      </c>
      <c r="B8292" t="s">
        <v>15459</v>
      </c>
      <c r="C8292" s="3">
        <v>40802</v>
      </c>
      <c r="D8292" t="s">
        <v>39</v>
      </c>
      <c r="E8292">
        <v>12</v>
      </c>
      <c r="F8292" s="3">
        <f ca="1">40804+(RANDBETWEEN(1,10))</f>
        <v>40814</v>
      </c>
      <c r="G8292" t="s">
        <v>26</v>
      </c>
      <c r="H8292" t="s">
        <v>27</v>
      </c>
      <c r="I8292" t="s">
        <v>86</v>
      </c>
      <c r="J8292">
        <v>177.905</v>
      </c>
      <c r="K8292">
        <v>0.05</v>
      </c>
      <c r="L8292">
        <v>0.35</v>
      </c>
      <c r="M8292">
        <v>18.934999999999999</v>
      </c>
      <c r="N8292">
        <v>-312.2595</v>
      </c>
      <c r="O8292" s="1" t="s">
        <v>40</v>
      </c>
      <c r="P8292" s="1" t="s">
        <v>13628</v>
      </c>
      <c r="Q8292" s="1" t="s">
        <v>13629</v>
      </c>
      <c r="R8292" s="1" t="s">
        <v>43</v>
      </c>
      <c r="S8292" s="1" t="s">
        <v>13630</v>
      </c>
      <c r="T8292" s="1" t="s">
        <v>13631</v>
      </c>
      <c r="U8292" s="2" t="s">
        <v>231</v>
      </c>
      <c r="V8292" s="2" t="s">
        <v>47</v>
      </c>
      <c r="W8292" s="2" t="s">
        <v>111</v>
      </c>
      <c r="X8292" s="2">
        <v>14.84</v>
      </c>
    </row>
    <row r="8293" spans="1:24" x14ac:dyDescent="0.3">
      <c r="A8293">
        <v>26094</v>
      </c>
      <c r="B8293" t="s">
        <v>15460</v>
      </c>
      <c r="C8293" s="3">
        <v>41898</v>
      </c>
      <c r="D8293" t="s">
        <v>39</v>
      </c>
      <c r="E8293">
        <v>14</v>
      </c>
      <c r="F8293" s="3">
        <f ca="1">41900+(RANDBETWEEN(1,10))</f>
        <v>41909</v>
      </c>
      <c r="G8293" t="s">
        <v>26</v>
      </c>
      <c r="H8293" t="s">
        <v>27</v>
      </c>
      <c r="I8293" t="s">
        <v>86</v>
      </c>
      <c r="J8293">
        <v>823.72500000000002</v>
      </c>
      <c r="K8293">
        <v>0.1</v>
      </c>
      <c r="L8293">
        <v>0.35</v>
      </c>
      <c r="M8293">
        <v>43.365000000000002</v>
      </c>
      <c r="N8293">
        <v>-241.69319999999999</v>
      </c>
      <c r="O8293" s="1" t="s">
        <v>40</v>
      </c>
      <c r="P8293" s="1" t="s">
        <v>13628</v>
      </c>
      <c r="Q8293" s="1" t="s">
        <v>13629</v>
      </c>
      <c r="R8293" s="1" t="s">
        <v>43</v>
      </c>
      <c r="S8293" s="1" t="s">
        <v>13630</v>
      </c>
      <c r="T8293" s="1" t="s">
        <v>13631</v>
      </c>
      <c r="U8293" s="2" t="s">
        <v>46</v>
      </c>
      <c r="V8293" s="2" t="s">
        <v>47</v>
      </c>
      <c r="W8293" s="2" t="s">
        <v>48</v>
      </c>
      <c r="X8293" s="2">
        <v>59.43</v>
      </c>
    </row>
    <row r="8294" spans="1:24" x14ac:dyDescent="0.3">
      <c r="A8294">
        <v>26095</v>
      </c>
      <c r="B8294" t="s">
        <v>15461</v>
      </c>
      <c r="C8294" s="3">
        <v>41467</v>
      </c>
      <c r="D8294" t="s">
        <v>50</v>
      </c>
      <c r="E8294">
        <v>13</v>
      </c>
      <c r="F8294" s="3">
        <f ca="1">41469+(RANDBETWEEN(1,10))</f>
        <v>41478</v>
      </c>
      <c r="G8294" t="s">
        <v>26</v>
      </c>
      <c r="H8294" t="s">
        <v>96</v>
      </c>
      <c r="I8294" t="s">
        <v>28</v>
      </c>
      <c r="J8294">
        <v>329.42</v>
      </c>
      <c r="K8294">
        <v>0.06</v>
      </c>
      <c r="L8294">
        <v>0.42</v>
      </c>
      <c r="M8294">
        <v>14</v>
      </c>
      <c r="N8294">
        <v>60.024999999999999</v>
      </c>
      <c r="O8294" s="1" t="s">
        <v>225</v>
      </c>
      <c r="P8294" s="1" t="s">
        <v>13414</v>
      </c>
      <c r="Q8294" s="1" t="s">
        <v>13415</v>
      </c>
      <c r="R8294" s="1" t="s">
        <v>228</v>
      </c>
      <c r="S8294" s="1" t="s">
        <v>13416</v>
      </c>
      <c r="T8294" s="1" t="s">
        <v>13417</v>
      </c>
      <c r="U8294" s="2" t="s">
        <v>2801</v>
      </c>
      <c r="V8294" s="2" t="s">
        <v>83</v>
      </c>
      <c r="W8294" s="2" t="s">
        <v>178</v>
      </c>
      <c r="X8294" s="2">
        <v>26.565000000000001</v>
      </c>
    </row>
    <row r="8295" spans="1:24" x14ac:dyDescent="0.3">
      <c r="A8295">
        <v>26096</v>
      </c>
      <c r="B8295" t="s">
        <v>15461</v>
      </c>
      <c r="C8295" s="3">
        <v>41467</v>
      </c>
      <c r="D8295" t="s">
        <v>50</v>
      </c>
      <c r="E8295">
        <v>11</v>
      </c>
      <c r="F8295" s="3">
        <f ca="1">41469+(RANDBETWEEN(1,10))</f>
        <v>41471</v>
      </c>
      <c r="G8295" t="s">
        <v>26</v>
      </c>
      <c r="H8295" t="s">
        <v>96</v>
      </c>
      <c r="I8295" t="s">
        <v>28</v>
      </c>
      <c r="J8295">
        <v>115.88500000000001</v>
      </c>
      <c r="K8295">
        <v>0.01</v>
      </c>
      <c r="L8295">
        <v>0.56999999999999995</v>
      </c>
      <c r="M8295">
        <v>7.1050000000000004</v>
      </c>
      <c r="N8295">
        <v>-106.36499999999999</v>
      </c>
      <c r="O8295" s="1" t="s">
        <v>225</v>
      </c>
      <c r="P8295" s="1" t="s">
        <v>13414</v>
      </c>
      <c r="Q8295" s="1" t="s">
        <v>13415</v>
      </c>
      <c r="R8295" s="1" t="s">
        <v>228</v>
      </c>
      <c r="S8295" s="1" t="s">
        <v>13416</v>
      </c>
      <c r="T8295" s="1" t="s">
        <v>13417</v>
      </c>
      <c r="U8295" s="2" t="s">
        <v>7905</v>
      </c>
      <c r="V8295" s="2" t="s">
        <v>47</v>
      </c>
      <c r="W8295" s="2" t="s">
        <v>104</v>
      </c>
      <c r="X8295" s="2">
        <v>10.43</v>
      </c>
    </row>
    <row r="8296" spans="1:24" x14ac:dyDescent="0.3">
      <c r="A8296">
        <v>26097</v>
      </c>
      <c r="B8296" t="s">
        <v>15462</v>
      </c>
      <c r="C8296" s="3">
        <v>41759</v>
      </c>
      <c r="D8296" t="s">
        <v>39</v>
      </c>
      <c r="E8296">
        <v>4</v>
      </c>
      <c r="F8296" s="3">
        <f ca="1">41762+(RANDBETWEEN(1,10))</f>
        <v>41765</v>
      </c>
      <c r="G8296" t="s">
        <v>26</v>
      </c>
      <c r="H8296" t="s">
        <v>27</v>
      </c>
      <c r="I8296" t="s">
        <v>52</v>
      </c>
      <c r="J8296">
        <v>426.58</v>
      </c>
      <c r="K8296">
        <v>0.05</v>
      </c>
      <c r="L8296">
        <v>0.39</v>
      </c>
      <c r="M8296">
        <v>69.965000000000003</v>
      </c>
      <c r="N8296">
        <v>-298.62</v>
      </c>
      <c r="O8296" s="1" t="s">
        <v>87</v>
      </c>
      <c r="P8296" s="1" t="s">
        <v>15463</v>
      </c>
      <c r="Q8296" s="1" t="s">
        <v>15464</v>
      </c>
      <c r="R8296" s="1" t="s">
        <v>90</v>
      </c>
      <c r="S8296" s="1" t="s">
        <v>5410</v>
      </c>
      <c r="T8296" s="1" t="s">
        <v>5411</v>
      </c>
      <c r="U8296" s="2" t="s">
        <v>2749</v>
      </c>
      <c r="V8296" s="2" t="s">
        <v>47</v>
      </c>
      <c r="W8296" s="2" t="s">
        <v>203</v>
      </c>
      <c r="X8296" s="2">
        <v>106.855</v>
      </c>
    </row>
    <row r="8297" spans="1:24" x14ac:dyDescent="0.3">
      <c r="A8297">
        <v>26098</v>
      </c>
      <c r="B8297" t="s">
        <v>15465</v>
      </c>
      <c r="C8297" s="3">
        <v>41740</v>
      </c>
      <c r="D8297" t="s">
        <v>62</v>
      </c>
      <c r="E8297">
        <v>9</v>
      </c>
      <c r="F8297" s="3">
        <f ca="1">41742+(RANDBETWEEN(1,10))</f>
        <v>41747</v>
      </c>
      <c r="G8297" t="s">
        <v>26</v>
      </c>
      <c r="H8297" t="s">
        <v>27</v>
      </c>
      <c r="I8297" t="s">
        <v>28</v>
      </c>
      <c r="J8297">
        <v>3125.64</v>
      </c>
      <c r="K8297">
        <v>0.01</v>
      </c>
      <c r="L8297">
        <v>0.56999999999999995</v>
      </c>
      <c r="M8297">
        <v>31.465</v>
      </c>
      <c r="N8297">
        <v>10884.384</v>
      </c>
      <c r="O8297" s="1" t="s">
        <v>40</v>
      </c>
      <c r="P8297" s="1" t="s">
        <v>9658</v>
      </c>
      <c r="Q8297" s="1" t="s">
        <v>9659</v>
      </c>
      <c r="R8297" s="1" t="s">
        <v>43</v>
      </c>
      <c r="S8297" s="1" t="s">
        <v>2030</v>
      </c>
      <c r="T8297" s="1" t="s">
        <v>2031</v>
      </c>
      <c r="U8297" s="2" t="s">
        <v>2356</v>
      </c>
      <c r="V8297" s="2" t="s">
        <v>36</v>
      </c>
      <c r="W8297" s="2" t="s">
        <v>37</v>
      </c>
      <c r="X8297" s="2">
        <v>388.46499999999997</v>
      </c>
    </row>
    <row r="8298" spans="1:24" x14ac:dyDescent="0.3">
      <c r="A8298">
        <v>26099</v>
      </c>
      <c r="B8298" t="s">
        <v>15466</v>
      </c>
      <c r="C8298" s="3">
        <v>40750</v>
      </c>
      <c r="D8298" t="s">
        <v>25</v>
      </c>
      <c r="E8298">
        <v>5</v>
      </c>
      <c r="F8298" s="3">
        <f ca="1">40752+(RANDBETWEEN(1,10))</f>
        <v>40761</v>
      </c>
      <c r="G8298" t="s">
        <v>26</v>
      </c>
      <c r="H8298" t="s">
        <v>27</v>
      </c>
      <c r="I8298" t="s">
        <v>97</v>
      </c>
      <c r="J8298">
        <v>97.16</v>
      </c>
      <c r="K8298">
        <v>0.02</v>
      </c>
      <c r="L8298">
        <v>0.36</v>
      </c>
      <c r="M8298">
        <v>21.245000000000001</v>
      </c>
      <c r="N8298">
        <v>-164.22</v>
      </c>
      <c r="O8298" s="1" t="s">
        <v>53</v>
      </c>
      <c r="P8298" s="1" t="s">
        <v>13127</v>
      </c>
      <c r="Q8298" s="1" t="s">
        <v>13128</v>
      </c>
      <c r="R8298" s="1" t="s">
        <v>440</v>
      </c>
      <c r="S8298" s="1" t="s">
        <v>13129</v>
      </c>
      <c r="T8298" s="1" t="s">
        <v>13130</v>
      </c>
      <c r="U8298" s="2" t="s">
        <v>250</v>
      </c>
      <c r="V8298" s="2" t="s">
        <v>47</v>
      </c>
      <c r="W8298" s="2" t="s">
        <v>74</v>
      </c>
      <c r="X8298" s="2">
        <v>17.43</v>
      </c>
    </row>
    <row r="8299" spans="1:24" x14ac:dyDescent="0.3">
      <c r="A8299">
        <v>26100</v>
      </c>
      <c r="B8299" t="s">
        <v>15467</v>
      </c>
      <c r="C8299" s="3">
        <v>41897</v>
      </c>
      <c r="D8299" t="s">
        <v>39</v>
      </c>
      <c r="E8299">
        <v>11</v>
      </c>
      <c r="F8299" s="3">
        <f ca="1">41898+(RANDBETWEEN(1,10))</f>
        <v>41907</v>
      </c>
      <c r="G8299" t="s">
        <v>76</v>
      </c>
      <c r="H8299" t="s">
        <v>258</v>
      </c>
      <c r="I8299" t="s">
        <v>86</v>
      </c>
      <c r="J8299">
        <v>5872.8249999999998</v>
      </c>
      <c r="K8299">
        <v>0.01</v>
      </c>
      <c r="L8299">
        <v>0.77</v>
      </c>
      <c r="M8299">
        <v>126.315</v>
      </c>
      <c r="N8299">
        <v>2229.3809999999999</v>
      </c>
      <c r="O8299" s="1" t="s">
        <v>29</v>
      </c>
      <c r="P8299" s="1" t="s">
        <v>13515</v>
      </c>
      <c r="Q8299" s="1" t="s">
        <v>13516</v>
      </c>
      <c r="R8299" s="1" t="s">
        <v>32</v>
      </c>
      <c r="S8299" s="1" t="s">
        <v>4995</v>
      </c>
      <c r="T8299" s="1" t="s">
        <v>4996</v>
      </c>
      <c r="U8299" s="2" t="s">
        <v>3136</v>
      </c>
      <c r="V8299" s="2" t="s">
        <v>83</v>
      </c>
      <c r="W8299" s="2" t="s">
        <v>298</v>
      </c>
      <c r="X8299" s="2">
        <v>493.43</v>
      </c>
    </row>
    <row r="8300" spans="1:24" x14ac:dyDescent="0.3">
      <c r="A8300">
        <v>26101</v>
      </c>
      <c r="B8300" t="s">
        <v>15468</v>
      </c>
      <c r="C8300" s="3">
        <v>41517</v>
      </c>
      <c r="D8300" t="s">
        <v>39</v>
      </c>
      <c r="E8300">
        <v>12</v>
      </c>
      <c r="F8300" s="3">
        <f ca="1">41519+(RANDBETWEEN(1,10))</f>
        <v>41524</v>
      </c>
      <c r="G8300" t="s">
        <v>76</v>
      </c>
      <c r="H8300" t="s">
        <v>77</v>
      </c>
      <c r="I8300" t="s">
        <v>52</v>
      </c>
      <c r="J8300">
        <v>20736.345000000001</v>
      </c>
      <c r="K8300">
        <v>0.02</v>
      </c>
      <c r="L8300">
        <v>0.37</v>
      </c>
      <c r="M8300">
        <v>242.55</v>
      </c>
      <c r="N8300">
        <v>-74.039000000000001</v>
      </c>
      <c r="O8300" s="1" t="s">
        <v>87</v>
      </c>
      <c r="P8300" s="1" t="s">
        <v>9721</v>
      </c>
      <c r="Q8300" s="1" t="s">
        <v>9722</v>
      </c>
      <c r="R8300" s="1" t="s">
        <v>646</v>
      </c>
      <c r="S8300" s="1" t="s">
        <v>9723</v>
      </c>
      <c r="T8300" s="1" t="s">
        <v>9724</v>
      </c>
      <c r="U8300" s="2" t="s">
        <v>5361</v>
      </c>
      <c r="V8300" s="2" t="s">
        <v>36</v>
      </c>
      <c r="W8300" s="2" t="s">
        <v>142</v>
      </c>
      <c r="X8300" s="2">
        <v>1753.395</v>
      </c>
    </row>
    <row r="8301" spans="1:24" x14ac:dyDescent="0.3">
      <c r="A8301">
        <v>26102</v>
      </c>
      <c r="B8301" t="s">
        <v>15469</v>
      </c>
      <c r="C8301" s="3">
        <v>40726</v>
      </c>
      <c r="D8301" t="s">
        <v>148</v>
      </c>
      <c r="E8301">
        <v>7</v>
      </c>
      <c r="F8301" s="3">
        <f ca="1">40728+(RANDBETWEEN(1,10))</f>
        <v>40731</v>
      </c>
      <c r="G8301" t="s">
        <v>76</v>
      </c>
      <c r="H8301" t="s">
        <v>258</v>
      </c>
      <c r="I8301" t="s">
        <v>97</v>
      </c>
      <c r="J8301">
        <v>2504.4250000000002</v>
      </c>
      <c r="K8301">
        <v>0.05</v>
      </c>
      <c r="L8301">
        <v>0.62</v>
      </c>
      <c r="M8301">
        <v>125.44</v>
      </c>
      <c r="N8301">
        <v>-389.9</v>
      </c>
      <c r="O8301" s="1" t="s">
        <v>64</v>
      </c>
      <c r="P8301" s="1" t="s">
        <v>11200</v>
      </c>
      <c r="Q8301" s="1" t="s">
        <v>11201</v>
      </c>
      <c r="R8301" s="1" t="s">
        <v>128</v>
      </c>
      <c r="S8301" s="1" t="s">
        <v>11202</v>
      </c>
      <c r="T8301" s="1" t="s">
        <v>11203</v>
      </c>
      <c r="U8301" s="2" t="s">
        <v>1271</v>
      </c>
      <c r="V8301" s="2" t="s">
        <v>83</v>
      </c>
      <c r="W8301" s="2" t="s">
        <v>298</v>
      </c>
      <c r="X8301" s="2">
        <v>353.43</v>
      </c>
    </row>
    <row r="8302" spans="1:24" x14ac:dyDescent="0.3">
      <c r="A8302">
        <v>26103</v>
      </c>
      <c r="B8302" t="s">
        <v>15469</v>
      </c>
      <c r="C8302" s="3">
        <v>40726</v>
      </c>
      <c r="D8302" t="s">
        <v>148</v>
      </c>
      <c r="E8302">
        <v>9</v>
      </c>
      <c r="F8302" s="3">
        <f ca="1">40727+(RANDBETWEEN(1,10))</f>
        <v>40735</v>
      </c>
      <c r="G8302" t="s">
        <v>26</v>
      </c>
      <c r="H8302" t="s">
        <v>27</v>
      </c>
      <c r="I8302" t="s">
        <v>97</v>
      </c>
      <c r="J8302">
        <v>159.70500000000001</v>
      </c>
      <c r="K8302">
        <v>0.02</v>
      </c>
      <c r="L8302">
        <v>0.38</v>
      </c>
      <c r="M8302">
        <v>19.215</v>
      </c>
      <c r="N8302">
        <v>-269.60500000000002</v>
      </c>
      <c r="O8302" s="1" t="s">
        <v>64</v>
      </c>
      <c r="P8302" s="1" t="s">
        <v>11200</v>
      </c>
      <c r="Q8302" s="1" t="s">
        <v>11201</v>
      </c>
      <c r="R8302" s="1" t="s">
        <v>128</v>
      </c>
      <c r="S8302" s="1" t="s">
        <v>11202</v>
      </c>
      <c r="T8302" s="1" t="s">
        <v>11203</v>
      </c>
      <c r="U8302" s="2" t="s">
        <v>236</v>
      </c>
      <c r="V8302" s="2" t="s">
        <v>47</v>
      </c>
      <c r="W8302" s="2" t="s">
        <v>74</v>
      </c>
      <c r="X8302" s="2">
        <v>17.43</v>
      </c>
    </row>
    <row r="8303" spans="1:24" x14ac:dyDescent="0.3">
      <c r="A8303">
        <v>26104</v>
      </c>
      <c r="B8303" t="s">
        <v>15470</v>
      </c>
      <c r="C8303" s="3">
        <v>40586</v>
      </c>
      <c r="D8303" t="s">
        <v>148</v>
      </c>
      <c r="E8303">
        <v>4</v>
      </c>
      <c r="F8303" s="3">
        <f ca="1">40587+(RANDBETWEEN(1,10))</f>
        <v>40594</v>
      </c>
      <c r="G8303" t="s">
        <v>26</v>
      </c>
      <c r="H8303" t="s">
        <v>27</v>
      </c>
      <c r="I8303" t="s">
        <v>97</v>
      </c>
      <c r="J8303">
        <v>104.965</v>
      </c>
      <c r="K8303">
        <v>0.06</v>
      </c>
      <c r="L8303">
        <v>0.39</v>
      </c>
      <c r="M8303">
        <v>21.175000000000001</v>
      </c>
      <c r="N8303">
        <v>-147.59674999999999</v>
      </c>
      <c r="O8303" s="1" t="s">
        <v>29</v>
      </c>
      <c r="P8303" s="1" t="s">
        <v>15327</v>
      </c>
      <c r="Q8303" s="1" t="s">
        <v>15328</v>
      </c>
      <c r="R8303" s="1" t="s">
        <v>32</v>
      </c>
      <c r="S8303" s="1" t="s">
        <v>1369</v>
      </c>
      <c r="T8303" s="1" t="s">
        <v>1370</v>
      </c>
      <c r="U8303" s="2" t="s">
        <v>2669</v>
      </c>
      <c r="V8303" s="2" t="s">
        <v>47</v>
      </c>
      <c r="W8303" s="2" t="s">
        <v>111</v>
      </c>
      <c r="X8303" s="2">
        <v>24.85</v>
      </c>
    </row>
    <row r="8304" spans="1:24" x14ac:dyDescent="0.3">
      <c r="A8304">
        <v>26105</v>
      </c>
      <c r="B8304" t="s">
        <v>15471</v>
      </c>
      <c r="C8304" s="3">
        <v>41682</v>
      </c>
      <c r="D8304" t="s">
        <v>148</v>
      </c>
      <c r="E8304">
        <v>8</v>
      </c>
      <c r="F8304" s="3">
        <f ca="1">41683+(RANDBETWEEN(1,10))</f>
        <v>41692</v>
      </c>
      <c r="G8304" t="s">
        <v>26</v>
      </c>
      <c r="H8304" t="s">
        <v>96</v>
      </c>
      <c r="I8304" t="s">
        <v>97</v>
      </c>
      <c r="J8304">
        <v>83.265000000000001</v>
      </c>
      <c r="K8304">
        <v>0.02</v>
      </c>
      <c r="L8304">
        <v>0.59</v>
      </c>
      <c r="M8304">
        <v>3.395</v>
      </c>
      <c r="N8304">
        <v>19.95</v>
      </c>
      <c r="O8304" s="1" t="s">
        <v>29</v>
      </c>
      <c r="P8304" s="1" t="s">
        <v>15327</v>
      </c>
      <c r="Q8304" s="1" t="s">
        <v>15328</v>
      </c>
      <c r="R8304" s="1" t="s">
        <v>32</v>
      </c>
      <c r="S8304" s="1" t="s">
        <v>1369</v>
      </c>
      <c r="T8304" s="1" t="s">
        <v>1370</v>
      </c>
      <c r="U8304" s="2" t="s">
        <v>4579</v>
      </c>
      <c r="V8304" s="2" t="s">
        <v>47</v>
      </c>
      <c r="W8304" s="2" t="s">
        <v>104</v>
      </c>
      <c r="X8304" s="2">
        <v>9.73</v>
      </c>
    </row>
    <row r="8305" spans="1:24" x14ac:dyDescent="0.3">
      <c r="A8305">
        <v>26106</v>
      </c>
      <c r="B8305" t="s">
        <v>15472</v>
      </c>
      <c r="C8305" s="3">
        <v>41030</v>
      </c>
      <c r="D8305" t="s">
        <v>39</v>
      </c>
      <c r="E8305">
        <v>7</v>
      </c>
      <c r="F8305" s="3">
        <f ca="1">41030+(RANDBETWEEN(1,10))</f>
        <v>41035</v>
      </c>
      <c r="G8305" t="s">
        <v>26</v>
      </c>
      <c r="H8305" t="s">
        <v>51</v>
      </c>
      <c r="I8305" t="s">
        <v>86</v>
      </c>
      <c r="J8305">
        <v>428.68</v>
      </c>
      <c r="K8305">
        <v>0.1</v>
      </c>
      <c r="L8305">
        <v>0.39</v>
      </c>
      <c r="M8305">
        <v>13.195</v>
      </c>
      <c r="N8305">
        <v>295.78919999999999</v>
      </c>
      <c r="O8305" s="1" t="s">
        <v>87</v>
      </c>
      <c r="P8305" s="1" t="s">
        <v>15473</v>
      </c>
      <c r="Q8305" s="1" t="s">
        <v>15474</v>
      </c>
      <c r="R8305" s="1" t="s">
        <v>90</v>
      </c>
      <c r="S8305" s="1" t="s">
        <v>15475</v>
      </c>
      <c r="T8305" s="1" t="s">
        <v>15476</v>
      </c>
      <c r="U8305" s="2" t="s">
        <v>6197</v>
      </c>
      <c r="V8305" s="2" t="s">
        <v>83</v>
      </c>
      <c r="W8305" s="2" t="s">
        <v>178</v>
      </c>
      <c r="X8305" s="2">
        <v>65.275000000000006</v>
      </c>
    </row>
    <row r="8306" spans="1:24" x14ac:dyDescent="0.3">
      <c r="A8306">
        <v>26107</v>
      </c>
      <c r="B8306" t="s">
        <v>15477</v>
      </c>
      <c r="C8306" s="3">
        <v>41937</v>
      </c>
      <c r="D8306" t="s">
        <v>148</v>
      </c>
      <c r="E8306">
        <v>21</v>
      </c>
      <c r="F8306" s="3">
        <f ca="1">41939+(RANDBETWEEN(1,10))</f>
        <v>41946</v>
      </c>
      <c r="G8306" t="s">
        <v>26</v>
      </c>
      <c r="H8306" t="s">
        <v>27</v>
      </c>
      <c r="I8306" t="s">
        <v>86</v>
      </c>
      <c r="J8306">
        <v>220.78</v>
      </c>
      <c r="K8306">
        <v>0</v>
      </c>
      <c r="L8306">
        <v>0.36</v>
      </c>
      <c r="M8306">
        <v>5.2149999999999999</v>
      </c>
      <c r="N8306">
        <v>39.627000000000002</v>
      </c>
      <c r="O8306" s="1" t="s">
        <v>87</v>
      </c>
      <c r="P8306" s="1" t="s">
        <v>15473</v>
      </c>
      <c r="Q8306" s="1" t="s">
        <v>15474</v>
      </c>
      <c r="R8306" s="1" t="s">
        <v>90</v>
      </c>
      <c r="S8306" s="1" t="s">
        <v>15475</v>
      </c>
      <c r="T8306" s="1" t="s">
        <v>15476</v>
      </c>
      <c r="U8306" s="2" t="s">
        <v>2339</v>
      </c>
      <c r="V8306" s="2" t="s">
        <v>47</v>
      </c>
      <c r="W8306" s="2" t="s">
        <v>111</v>
      </c>
      <c r="X8306" s="2">
        <v>10.08</v>
      </c>
    </row>
    <row r="8307" spans="1:24" x14ac:dyDescent="0.3">
      <c r="A8307">
        <v>26108</v>
      </c>
      <c r="B8307" t="s">
        <v>15478</v>
      </c>
      <c r="C8307" s="3">
        <v>41006</v>
      </c>
      <c r="D8307" t="s">
        <v>25</v>
      </c>
      <c r="E8307">
        <v>10</v>
      </c>
      <c r="F8307" s="3">
        <f ca="1">41010+(RANDBETWEEN(1,10))</f>
        <v>41015</v>
      </c>
      <c r="G8307" t="s">
        <v>26</v>
      </c>
      <c r="H8307" t="s">
        <v>96</v>
      </c>
      <c r="I8307" t="s">
        <v>52</v>
      </c>
      <c r="J8307">
        <v>649.11</v>
      </c>
      <c r="K8307">
        <v>0.01</v>
      </c>
      <c r="L8307">
        <v>0.56999999999999995</v>
      </c>
      <c r="M8307">
        <v>3.4649999999999999</v>
      </c>
      <c r="N8307">
        <v>447.88589999999999</v>
      </c>
      <c r="O8307" s="1" t="s">
        <v>29</v>
      </c>
      <c r="P8307" s="1" t="s">
        <v>14510</v>
      </c>
      <c r="Q8307" s="1" t="s">
        <v>14511</v>
      </c>
      <c r="R8307" s="1" t="s">
        <v>460</v>
      </c>
      <c r="S8307" s="1" t="s">
        <v>7600</v>
      </c>
      <c r="T8307" s="1" t="s">
        <v>7601</v>
      </c>
      <c r="U8307" s="2" t="s">
        <v>5426</v>
      </c>
      <c r="V8307" s="2" t="s">
        <v>36</v>
      </c>
      <c r="W8307" s="2" t="s">
        <v>37</v>
      </c>
      <c r="X8307" s="2">
        <v>73.465000000000003</v>
      </c>
    </row>
    <row r="8308" spans="1:24" x14ac:dyDescent="0.3">
      <c r="A8308">
        <v>26109</v>
      </c>
      <c r="B8308" t="s">
        <v>15479</v>
      </c>
      <c r="C8308" s="3">
        <v>40600</v>
      </c>
      <c r="D8308" t="s">
        <v>62</v>
      </c>
      <c r="E8308">
        <v>4</v>
      </c>
      <c r="F8308" s="3">
        <f ca="1">40602+(RANDBETWEEN(1,10))</f>
        <v>40611</v>
      </c>
      <c r="G8308" t="s">
        <v>26</v>
      </c>
      <c r="H8308" t="s">
        <v>27</v>
      </c>
      <c r="I8308" t="s">
        <v>97</v>
      </c>
      <c r="J8308">
        <v>749.49</v>
      </c>
      <c r="K8308">
        <v>0.08</v>
      </c>
      <c r="L8308">
        <v>0.37</v>
      </c>
      <c r="M8308">
        <v>23.765000000000001</v>
      </c>
      <c r="N8308">
        <v>517.1481</v>
      </c>
      <c r="O8308" s="1" t="s">
        <v>64</v>
      </c>
      <c r="P8308" s="1" t="s">
        <v>15480</v>
      </c>
      <c r="Q8308" s="1" t="s">
        <v>15481</v>
      </c>
      <c r="R8308" s="1" t="s">
        <v>67</v>
      </c>
      <c r="S8308" s="1" t="s">
        <v>1161</v>
      </c>
      <c r="T8308" s="1" t="s">
        <v>1162</v>
      </c>
      <c r="U8308" s="2" t="s">
        <v>4840</v>
      </c>
      <c r="V8308" s="2" t="s">
        <v>47</v>
      </c>
      <c r="W8308" s="2" t="s">
        <v>74</v>
      </c>
      <c r="X8308" s="2">
        <v>194.18</v>
      </c>
    </row>
    <row r="8309" spans="1:24" x14ac:dyDescent="0.3">
      <c r="A8309">
        <v>26110</v>
      </c>
      <c r="B8309" t="s">
        <v>15482</v>
      </c>
      <c r="C8309" s="3">
        <v>41260</v>
      </c>
      <c r="D8309" t="s">
        <v>148</v>
      </c>
      <c r="E8309">
        <v>8</v>
      </c>
      <c r="F8309" s="3">
        <f ca="1">41260+(RANDBETWEEN(1,10))</f>
        <v>41270</v>
      </c>
      <c r="G8309" t="s">
        <v>26</v>
      </c>
      <c r="H8309" t="s">
        <v>27</v>
      </c>
      <c r="I8309" t="s">
        <v>97</v>
      </c>
      <c r="J8309">
        <v>1539.895</v>
      </c>
      <c r="K8309">
        <v>0.08</v>
      </c>
      <c r="L8309">
        <v>0.55000000000000004</v>
      </c>
      <c r="M8309">
        <v>20.72</v>
      </c>
      <c r="N8309">
        <v>247.25925000000001</v>
      </c>
      <c r="O8309" s="1" t="s">
        <v>40</v>
      </c>
      <c r="P8309" s="1" t="s">
        <v>14334</v>
      </c>
      <c r="Q8309" s="1" t="s">
        <v>14335</v>
      </c>
      <c r="R8309" s="1" t="s">
        <v>220</v>
      </c>
      <c r="S8309" s="1" t="s">
        <v>6387</v>
      </c>
      <c r="T8309" s="1" t="s">
        <v>6388</v>
      </c>
      <c r="U8309" s="2">
        <v>252</v>
      </c>
      <c r="V8309" s="2" t="s">
        <v>36</v>
      </c>
      <c r="W8309" s="2" t="s">
        <v>37</v>
      </c>
      <c r="X8309" s="2">
        <v>230.965</v>
      </c>
    </row>
    <row r="8310" spans="1:24" x14ac:dyDescent="0.3">
      <c r="A8310">
        <v>26111</v>
      </c>
      <c r="B8310" t="s">
        <v>15483</v>
      </c>
      <c r="C8310" s="3">
        <v>41732</v>
      </c>
      <c r="D8310" t="s">
        <v>25</v>
      </c>
      <c r="E8310">
        <v>12</v>
      </c>
      <c r="F8310" s="3">
        <f ca="1">41734+(RANDBETWEEN(1,10))</f>
        <v>41741</v>
      </c>
      <c r="G8310" t="s">
        <v>76</v>
      </c>
      <c r="H8310" t="s">
        <v>77</v>
      </c>
      <c r="I8310" t="s">
        <v>97</v>
      </c>
      <c r="J8310">
        <v>11958.38</v>
      </c>
      <c r="K8310">
        <v>0.09</v>
      </c>
      <c r="L8310">
        <v>0.56000000000000005</v>
      </c>
      <c r="M8310">
        <v>92.855000000000004</v>
      </c>
      <c r="N8310">
        <v>8251.2821999999996</v>
      </c>
      <c r="O8310" s="1" t="s">
        <v>53</v>
      </c>
      <c r="P8310" s="1" t="s">
        <v>15484</v>
      </c>
      <c r="Q8310" s="1" t="s">
        <v>15485</v>
      </c>
      <c r="R8310" s="1" t="s">
        <v>56</v>
      </c>
      <c r="S8310" s="1" t="s">
        <v>5986</v>
      </c>
      <c r="T8310" s="1" t="s">
        <v>5987</v>
      </c>
      <c r="U8310" s="2" t="s">
        <v>481</v>
      </c>
      <c r="V8310" s="2" t="s">
        <v>36</v>
      </c>
      <c r="W8310" s="2" t="s">
        <v>142</v>
      </c>
      <c r="X8310" s="2">
        <v>1071.49</v>
      </c>
    </row>
    <row r="8311" spans="1:24" x14ac:dyDescent="0.3">
      <c r="A8311">
        <v>26112</v>
      </c>
      <c r="B8311" t="s">
        <v>15486</v>
      </c>
      <c r="C8311" s="3">
        <v>41139</v>
      </c>
      <c r="D8311" t="s">
        <v>148</v>
      </c>
      <c r="E8311">
        <v>4</v>
      </c>
      <c r="F8311" s="3">
        <f ca="1">41139+(RANDBETWEEN(1,10))</f>
        <v>41147</v>
      </c>
      <c r="G8311" t="s">
        <v>26</v>
      </c>
      <c r="H8311" t="s">
        <v>51</v>
      </c>
      <c r="I8311" t="s">
        <v>52</v>
      </c>
      <c r="J8311">
        <v>79.17</v>
      </c>
      <c r="K8311">
        <v>0.01</v>
      </c>
      <c r="L8311">
        <v>0.64</v>
      </c>
      <c r="M8311">
        <v>16.170000000000002</v>
      </c>
      <c r="N8311">
        <v>61.582500000000003</v>
      </c>
      <c r="O8311" s="1" t="s">
        <v>53</v>
      </c>
      <c r="P8311" s="1" t="s">
        <v>13180</v>
      </c>
      <c r="Q8311" s="1" t="s">
        <v>13181</v>
      </c>
      <c r="R8311" s="1" t="s">
        <v>56</v>
      </c>
      <c r="S8311" s="1" t="s">
        <v>13182</v>
      </c>
      <c r="T8311" s="1" t="s">
        <v>13183</v>
      </c>
      <c r="U8311" s="2" t="s">
        <v>505</v>
      </c>
      <c r="V8311" s="2" t="s">
        <v>36</v>
      </c>
      <c r="W8311" s="2" t="s">
        <v>60</v>
      </c>
      <c r="X8311" s="2">
        <v>17.43</v>
      </c>
    </row>
    <row r="8312" spans="1:24" x14ac:dyDescent="0.3">
      <c r="A8312">
        <v>26113</v>
      </c>
      <c r="B8312" t="s">
        <v>15486</v>
      </c>
      <c r="C8312" s="3">
        <v>41139</v>
      </c>
      <c r="D8312" t="s">
        <v>148</v>
      </c>
      <c r="E8312">
        <v>3</v>
      </c>
      <c r="F8312" s="3">
        <f ca="1">41141+(RANDBETWEEN(1,10))</f>
        <v>41144</v>
      </c>
      <c r="G8312" t="s">
        <v>26</v>
      </c>
      <c r="H8312" t="s">
        <v>51</v>
      </c>
      <c r="I8312" t="s">
        <v>52</v>
      </c>
      <c r="J8312">
        <v>222.07499999999999</v>
      </c>
      <c r="K8312">
        <v>0.08</v>
      </c>
      <c r="L8312">
        <v>0.59</v>
      </c>
      <c r="M8312">
        <v>31.465</v>
      </c>
      <c r="N8312">
        <v>-473.04599999999999</v>
      </c>
      <c r="O8312" s="1" t="s">
        <v>53</v>
      </c>
      <c r="P8312" s="1" t="s">
        <v>13180</v>
      </c>
      <c r="Q8312" s="1" t="s">
        <v>13181</v>
      </c>
      <c r="R8312" s="1" t="s">
        <v>56</v>
      </c>
      <c r="S8312" s="1" t="s">
        <v>13182</v>
      </c>
      <c r="T8312" s="1" t="s">
        <v>13183</v>
      </c>
      <c r="U8312" s="2" t="s">
        <v>2789</v>
      </c>
      <c r="V8312" s="2" t="s">
        <v>47</v>
      </c>
      <c r="W8312" s="2" t="s">
        <v>104</v>
      </c>
      <c r="X8312" s="2">
        <v>74.83</v>
      </c>
    </row>
    <row r="8313" spans="1:24" x14ac:dyDescent="0.3">
      <c r="A8313">
        <v>26114</v>
      </c>
      <c r="B8313" t="s">
        <v>15487</v>
      </c>
      <c r="C8313" s="3">
        <v>41313</v>
      </c>
      <c r="D8313" t="s">
        <v>62</v>
      </c>
      <c r="E8313">
        <v>14</v>
      </c>
      <c r="F8313" s="3">
        <f ca="1">41313+(RANDBETWEEN(1,10))</f>
        <v>41316</v>
      </c>
      <c r="G8313" t="s">
        <v>26</v>
      </c>
      <c r="H8313" t="s">
        <v>51</v>
      </c>
      <c r="I8313" t="s">
        <v>28</v>
      </c>
      <c r="J8313">
        <v>336.38499999999999</v>
      </c>
      <c r="K8313">
        <v>0.04</v>
      </c>
      <c r="L8313">
        <v>0.57999999999999996</v>
      </c>
      <c r="M8313">
        <v>29.295000000000002</v>
      </c>
      <c r="N8313">
        <v>-1005.48</v>
      </c>
      <c r="O8313" s="1" t="s">
        <v>29</v>
      </c>
      <c r="P8313" s="1" t="s">
        <v>14833</v>
      </c>
      <c r="Q8313" s="1" t="s">
        <v>14834</v>
      </c>
      <c r="R8313" s="1" t="s">
        <v>460</v>
      </c>
      <c r="S8313" s="1" t="s">
        <v>854</v>
      </c>
      <c r="T8313" s="1" t="s">
        <v>14835</v>
      </c>
      <c r="U8313" s="2" t="s">
        <v>3635</v>
      </c>
      <c r="V8313" s="2" t="s">
        <v>47</v>
      </c>
      <c r="W8313" s="2" t="s">
        <v>94</v>
      </c>
      <c r="X8313" s="2">
        <v>23.94</v>
      </c>
    </row>
    <row r="8314" spans="1:24" x14ac:dyDescent="0.3">
      <c r="A8314">
        <v>26115</v>
      </c>
      <c r="B8314" t="s">
        <v>15488</v>
      </c>
      <c r="C8314" s="3">
        <v>41698</v>
      </c>
      <c r="D8314" t="s">
        <v>62</v>
      </c>
      <c r="E8314">
        <v>12</v>
      </c>
      <c r="F8314" s="3">
        <f ca="1">41699+(RANDBETWEEN(1,10))</f>
        <v>41709</v>
      </c>
      <c r="G8314" t="s">
        <v>156</v>
      </c>
      <c r="H8314" t="s">
        <v>27</v>
      </c>
      <c r="I8314" t="s">
        <v>52</v>
      </c>
      <c r="J8314">
        <v>1296.365</v>
      </c>
      <c r="K8314">
        <v>7.0000000000000007E-2</v>
      </c>
      <c r="L8314">
        <v>0.4</v>
      </c>
      <c r="M8314">
        <v>30.59</v>
      </c>
      <c r="N8314">
        <v>1806.462</v>
      </c>
      <c r="O8314" s="1" t="s">
        <v>64</v>
      </c>
      <c r="P8314" s="1" t="s">
        <v>8629</v>
      </c>
      <c r="Q8314" s="1" t="s">
        <v>8630</v>
      </c>
      <c r="R8314" s="1" t="s">
        <v>128</v>
      </c>
      <c r="S8314" s="1" t="s">
        <v>4685</v>
      </c>
      <c r="T8314" s="1" t="s">
        <v>4686</v>
      </c>
      <c r="U8314" s="2" t="s">
        <v>1346</v>
      </c>
      <c r="V8314" s="2" t="s">
        <v>47</v>
      </c>
      <c r="W8314" s="2" t="s">
        <v>74</v>
      </c>
      <c r="X8314" s="2">
        <v>108.43</v>
      </c>
    </row>
    <row r="8315" spans="1:24" x14ac:dyDescent="0.3">
      <c r="A8315">
        <v>26116</v>
      </c>
      <c r="B8315" t="s">
        <v>15489</v>
      </c>
      <c r="C8315" s="3">
        <v>41638</v>
      </c>
      <c r="D8315" t="s">
        <v>148</v>
      </c>
      <c r="E8315">
        <v>20</v>
      </c>
      <c r="F8315" s="3">
        <f ca="1">41639+(RANDBETWEEN(1,10))</f>
        <v>41645</v>
      </c>
      <c r="G8315" t="s">
        <v>26</v>
      </c>
      <c r="H8315" t="s">
        <v>96</v>
      </c>
      <c r="I8315" t="s">
        <v>52</v>
      </c>
      <c r="J8315">
        <v>419.755</v>
      </c>
      <c r="K8315">
        <v>0.04</v>
      </c>
      <c r="L8315">
        <v>0.54</v>
      </c>
      <c r="M8315">
        <v>11.795</v>
      </c>
      <c r="N8315">
        <v>-56.104999999999997</v>
      </c>
      <c r="O8315" s="1" t="s">
        <v>87</v>
      </c>
      <c r="P8315" s="1" t="s">
        <v>7029</v>
      </c>
      <c r="Q8315" s="1" t="s">
        <v>7030</v>
      </c>
      <c r="R8315" s="1" t="s">
        <v>497</v>
      </c>
      <c r="S8315" s="1" t="s">
        <v>5030</v>
      </c>
      <c r="T8315" s="1" t="s">
        <v>5031</v>
      </c>
      <c r="U8315" s="2" t="s">
        <v>665</v>
      </c>
      <c r="V8315" s="2" t="s">
        <v>47</v>
      </c>
      <c r="W8315" s="2" t="s">
        <v>176</v>
      </c>
      <c r="X8315" s="2">
        <v>20.335000000000001</v>
      </c>
    </row>
    <row r="8316" spans="1:24" x14ac:dyDescent="0.3">
      <c r="A8316">
        <v>26117</v>
      </c>
      <c r="B8316" t="s">
        <v>15489</v>
      </c>
      <c r="C8316" s="3">
        <v>41638</v>
      </c>
      <c r="D8316" t="s">
        <v>148</v>
      </c>
      <c r="E8316">
        <v>24</v>
      </c>
      <c r="F8316" s="3">
        <f ca="1">41639+(RANDBETWEEN(1,10))</f>
        <v>41648</v>
      </c>
      <c r="G8316" t="s">
        <v>156</v>
      </c>
      <c r="H8316" t="s">
        <v>27</v>
      </c>
      <c r="I8316" t="s">
        <v>52</v>
      </c>
      <c r="J8316">
        <v>2222.15</v>
      </c>
      <c r="K8316">
        <v>0.08</v>
      </c>
      <c r="L8316">
        <v>0.75</v>
      </c>
      <c r="M8316">
        <v>20.614999999999998</v>
      </c>
      <c r="N8316">
        <v>-114.3275</v>
      </c>
      <c r="O8316" s="1" t="s">
        <v>53</v>
      </c>
      <c r="P8316" s="1" t="s">
        <v>4705</v>
      </c>
      <c r="Q8316" s="1" t="s">
        <v>4706</v>
      </c>
      <c r="R8316" s="1" t="s">
        <v>100</v>
      </c>
      <c r="S8316" s="1" t="s">
        <v>4707</v>
      </c>
      <c r="T8316" s="1" t="s">
        <v>4708</v>
      </c>
      <c r="U8316" s="2" t="s">
        <v>4016</v>
      </c>
      <c r="V8316" s="2" t="s">
        <v>36</v>
      </c>
      <c r="W8316" s="2" t="s">
        <v>60</v>
      </c>
      <c r="X8316" s="2">
        <v>92.084999999999994</v>
      </c>
    </row>
    <row r="8317" spans="1:24" x14ac:dyDescent="0.3">
      <c r="A8317">
        <v>26118</v>
      </c>
      <c r="B8317" t="s">
        <v>15490</v>
      </c>
      <c r="C8317" s="3">
        <v>41914</v>
      </c>
      <c r="D8317" t="s">
        <v>39</v>
      </c>
      <c r="E8317">
        <v>3</v>
      </c>
      <c r="F8317" s="3">
        <f ca="1">41915+(RANDBETWEEN(1,10))</f>
        <v>41923</v>
      </c>
      <c r="G8317" t="s">
        <v>156</v>
      </c>
      <c r="H8317" t="s">
        <v>27</v>
      </c>
      <c r="I8317" t="s">
        <v>97</v>
      </c>
      <c r="J8317">
        <v>337.75</v>
      </c>
      <c r="K8317">
        <v>7.0000000000000007E-2</v>
      </c>
      <c r="L8317">
        <v>0.74</v>
      </c>
      <c r="M8317">
        <v>14</v>
      </c>
      <c r="N8317">
        <v>4050.1943999999999</v>
      </c>
      <c r="O8317" s="1" t="s">
        <v>64</v>
      </c>
      <c r="P8317" s="1" t="s">
        <v>14066</v>
      </c>
      <c r="Q8317" s="1" t="s">
        <v>14067</v>
      </c>
      <c r="R8317" s="1" t="s">
        <v>67</v>
      </c>
      <c r="S8317" s="1" t="s">
        <v>14068</v>
      </c>
      <c r="T8317" s="1" t="s">
        <v>14069</v>
      </c>
      <c r="U8317" s="2" t="s">
        <v>2704</v>
      </c>
      <c r="V8317" s="2" t="s">
        <v>36</v>
      </c>
      <c r="W8317" s="2" t="s">
        <v>60</v>
      </c>
      <c r="X8317" s="2">
        <v>108.395</v>
      </c>
    </row>
    <row r="8318" spans="1:24" x14ac:dyDescent="0.3">
      <c r="A8318">
        <v>26119</v>
      </c>
      <c r="B8318" t="s">
        <v>15490</v>
      </c>
      <c r="C8318" s="3">
        <v>41914</v>
      </c>
      <c r="D8318" t="s">
        <v>39</v>
      </c>
      <c r="E8318">
        <v>11</v>
      </c>
      <c r="F8318" s="3">
        <f ca="1">41916+(RANDBETWEEN(1,10))</f>
        <v>41923</v>
      </c>
      <c r="G8318" t="s">
        <v>26</v>
      </c>
      <c r="H8318" t="s">
        <v>63</v>
      </c>
      <c r="I8318" t="s">
        <v>97</v>
      </c>
      <c r="J8318">
        <v>22771.595000000001</v>
      </c>
      <c r="K8318">
        <v>7.0000000000000007E-2</v>
      </c>
      <c r="L8318">
        <v>0.37</v>
      </c>
      <c r="M8318">
        <v>85.715000000000003</v>
      </c>
      <c r="N8318">
        <v>1.722</v>
      </c>
      <c r="O8318" s="1" t="s">
        <v>87</v>
      </c>
      <c r="P8318" s="1" t="s">
        <v>15491</v>
      </c>
      <c r="Q8318" s="1" t="s">
        <v>15492</v>
      </c>
      <c r="R8318" s="1" t="s">
        <v>90</v>
      </c>
      <c r="S8318" s="1" t="s">
        <v>946</v>
      </c>
      <c r="T8318" s="1" t="s">
        <v>947</v>
      </c>
      <c r="U8318" s="2" t="s">
        <v>1737</v>
      </c>
      <c r="V8318" s="2" t="s">
        <v>36</v>
      </c>
      <c r="W8318" s="2" t="s">
        <v>1327</v>
      </c>
      <c r="X8318" s="2">
        <v>2099.9650000000001</v>
      </c>
    </row>
    <row r="8319" spans="1:24" x14ac:dyDescent="0.3">
      <c r="A8319">
        <v>26120</v>
      </c>
      <c r="B8319" t="s">
        <v>15493</v>
      </c>
      <c r="C8319" s="3">
        <v>41941</v>
      </c>
      <c r="D8319" t="s">
        <v>39</v>
      </c>
      <c r="E8319">
        <v>7</v>
      </c>
      <c r="F8319" s="3">
        <f ca="1">41941+(RANDBETWEEN(1,10))</f>
        <v>41946</v>
      </c>
      <c r="G8319" t="s">
        <v>26</v>
      </c>
      <c r="H8319" t="s">
        <v>27</v>
      </c>
      <c r="I8319" t="s">
        <v>86</v>
      </c>
      <c r="J8319">
        <v>349.89499999999998</v>
      </c>
      <c r="K8319">
        <v>0.1</v>
      </c>
      <c r="L8319">
        <v>0.43</v>
      </c>
      <c r="M8319">
        <v>46.62</v>
      </c>
      <c r="N8319">
        <v>-368.65499999999997</v>
      </c>
      <c r="O8319" s="1" t="s">
        <v>53</v>
      </c>
      <c r="P8319" s="1" t="s">
        <v>15494</v>
      </c>
      <c r="Q8319" s="1" t="s">
        <v>15495</v>
      </c>
      <c r="R8319" s="1" t="s">
        <v>100</v>
      </c>
      <c r="S8319" s="1" t="s">
        <v>1734</v>
      </c>
      <c r="T8319" s="1" t="s">
        <v>1735</v>
      </c>
      <c r="U8319" s="2" t="s">
        <v>1840</v>
      </c>
      <c r="V8319" s="2" t="s">
        <v>47</v>
      </c>
      <c r="W8319" s="2" t="s">
        <v>71</v>
      </c>
      <c r="X8319" s="2">
        <v>51.835000000000001</v>
      </c>
    </row>
    <row r="8320" spans="1:24" x14ac:dyDescent="0.3">
      <c r="A8320">
        <v>26121</v>
      </c>
      <c r="B8320" t="s">
        <v>15496</v>
      </c>
      <c r="C8320" s="3">
        <v>41718</v>
      </c>
      <c r="D8320" t="s">
        <v>39</v>
      </c>
      <c r="E8320">
        <v>2</v>
      </c>
      <c r="F8320" s="3">
        <f ca="1">41720+(RANDBETWEEN(1,10))</f>
        <v>41723</v>
      </c>
      <c r="G8320" t="s">
        <v>26</v>
      </c>
      <c r="H8320" t="s">
        <v>27</v>
      </c>
      <c r="I8320" t="s">
        <v>28</v>
      </c>
      <c r="J8320">
        <v>299.35500000000002</v>
      </c>
      <c r="K8320">
        <v>0</v>
      </c>
      <c r="L8320">
        <v>0.67</v>
      </c>
      <c r="M8320">
        <v>24.92</v>
      </c>
      <c r="N8320">
        <v>-373.66</v>
      </c>
      <c r="O8320" s="1" t="s">
        <v>64</v>
      </c>
      <c r="P8320" s="1" t="s">
        <v>11848</v>
      </c>
      <c r="Q8320" s="1" t="s">
        <v>11849</v>
      </c>
      <c r="R8320" s="1" t="s">
        <v>67</v>
      </c>
      <c r="S8320" s="1" t="s">
        <v>11850</v>
      </c>
      <c r="T8320" s="1" t="s">
        <v>11851</v>
      </c>
      <c r="U8320" s="2" t="s">
        <v>3979</v>
      </c>
      <c r="V8320" s="2" t="s">
        <v>36</v>
      </c>
      <c r="W8320" s="2" t="s">
        <v>60</v>
      </c>
      <c r="X8320" s="2">
        <v>139.93</v>
      </c>
    </row>
    <row r="8321" spans="1:24" x14ac:dyDescent="0.3">
      <c r="A8321">
        <v>26122</v>
      </c>
      <c r="B8321" t="s">
        <v>15497</v>
      </c>
      <c r="C8321" s="3">
        <v>40916</v>
      </c>
      <c r="D8321" t="s">
        <v>148</v>
      </c>
      <c r="E8321">
        <v>11</v>
      </c>
      <c r="F8321" s="3">
        <f ca="1">40918+(RANDBETWEEN(1,10))</f>
        <v>40923</v>
      </c>
      <c r="G8321" t="s">
        <v>26</v>
      </c>
      <c r="H8321" t="s">
        <v>27</v>
      </c>
      <c r="I8321" t="s">
        <v>97</v>
      </c>
      <c r="J8321">
        <v>263.76</v>
      </c>
      <c r="K8321">
        <v>0.02</v>
      </c>
      <c r="L8321">
        <v>0.37</v>
      </c>
      <c r="M8321">
        <v>25.55</v>
      </c>
      <c r="N8321">
        <v>-167.041</v>
      </c>
      <c r="O8321" s="1" t="s">
        <v>87</v>
      </c>
      <c r="P8321" s="1" t="s">
        <v>2364</v>
      </c>
      <c r="Q8321" s="1" t="s">
        <v>2365</v>
      </c>
      <c r="R8321" s="1" t="s">
        <v>90</v>
      </c>
      <c r="S8321" s="1" t="s">
        <v>2366</v>
      </c>
      <c r="T8321" s="1" t="s">
        <v>2367</v>
      </c>
      <c r="U8321" s="2" t="s">
        <v>6901</v>
      </c>
      <c r="V8321" s="2" t="s">
        <v>47</v>
      </c>
      <c r="W8321" s="2" t="s">
        <v>74</v>
      </c>
      <c r="X8321" s="2">
        <v>23.38</v>
      </c>
    </row>
    <row r="8322" spans="1:24" x14ac:dyDescent="0.3">
      <c r="A8322">
        <v>26123</v>
      </c>
      <c r="B8322" t="s">
        <v>15498</v>
      </c>
      <c r="C8322" s="3">
        <v>41278</v>
      </c>
      <c r="D8322" t="s">
        <v>39</v>
      </c>
      <c r="E8322">
        <v>7</v>
      </c>
      <c r="F8322" s="3">
        <f ca="1">41278+(RANDBETWEEN(1,10))</f>
        <v>41285</v>
      </c>
      <c r="G8322" t="s">
        <v>26</v>
      </c>
      <c r="H8322" t="s">
        <v>27</v>
      </c>
      <c r="I8322" t="s">
        <v>52</v>
      </c>
      <c r="J8322">
        <v>57.854999999999997</v>
      </c>
      <c r="K8322">
        <v>0.04</v>
      </c>
      <c r="L8322">
        <v>0.43</v>
      </c>
      <c r="M8322">
        <v>18.655000000000001</v>
      </c>
      <c r="N8322">
        <v>-399.75740000000002</v>
      </c>
      <c r="O8322" s="1" t="s">
        <v>40</v>
      </c>
      <c r="P8322" s="1" t="s">
        <v>10470</v>
      </c>
      <c r="Q8322" s="1" t="s">
        <v>10471</v>
      </c>
      <c r="R8322" s="1" t="s">
        <v>220</v>
      </c>
      <c r="S8322" s="1" t="s">
        <v>6003</v>
      </c>
      <c r="T8322" s="1" t="s">
        <v>6004</v>
      </c>
      <c r="U8322" s="2" t="s">
        <v>2500</v>
      </c>
      <c r="V8322" s="2" t="s">
        <v>83</v>
      </c>
      <c r="W8322" s="2" t="s">
        <v>178</v>
      </c>
      <c r="X8322" s="2">
        <v>7.28</v>
      </c>
    </row>
    <row r="8323" spans="1:24" x14ac:dyDescent="0.3">
      <c r="A8323">
        <v>26124</v>
      </c>
      <c r="B8323" t="s">
        <v>15499</v>
      </c>
      <c r="C8323" s="3">
        <v>41574</v>
      </c>
      <c r="D8323" t="s">
        <v>62</v>
      </c>
      <c r="E8323">
        <v>13</v>
      </c>
      <c r="F8323" s="3">
        <f ca="1">41576+(RANDBETWEEN(1,10))</f>
        <v>41584</v>
      </c>
      <c r="G8323" t="s">
        <v>26</v>
      </c>
      <c r="H8323" t="s">
        <v>27</v>
      </c>
      <c r="I8323" t="s">
        <v>52</v>
      </c>
      <c r="J8323">
        <v>365.05</v>
      </c>
      <c r="K8323">
        <v>0</v>
      </c>
      <c r="L8323">
        <v>0.56000000000000005</v>
      </c>
      <c r="M8323">
        <v>18.234999999999999</v>
      </c>
      <c r="N8323">
        <v>-213.381</v>
      </c>
      <c r="O8323" s="1" t="s">
        <v>87</v>
      </c>
      <c r="P8323" s="1" t="s">
        <v>15500</v>
      </c>
      <c r="Q8323" s="1" t="s">
        <v>15501</v>
      </c>
      <c r="R8323" s="1" t="s">
        <v>398</v>
      </c>
      <c r="S8323" s="1" t="s">
        <v>3260</v>
      </c>
      <c r="T8323" s="1" t="s">
        <v>3261</v>
      </c>
      <c r="U8323" s="2" t="s">
        <v>256</v>
      </c>
      <c r="V8323" s="2" t="s">
        <v>83</v>
      </c>
      <c r="W8323" s="2" t="s">
        <v>178</v>
      </c>
      <c r="X8323" s="2">
        <v>25.83</v>
      </c>
    </row>
    <row r="8324" spans="1:24" x14ac:dyDescent="0.3">
      <c r="A8324">
        <v>26125</v>
      </c>
      <c r="B8324" t="s">
        <v>15502</v>
      </c>
      <c r="C8324" s="3">
        <v>41870</v>
      </c>
      <c r="D8324" t="s">
        <v>148</v>
      </c>
      <c r="E8324">
        <v>2</v>
      </c>
      <c r="F8324" s="3">
        <f ca="1">41870+(RANDBETWEEN(1,10))</f>
        <v>41879</v>
      </c>
      <c r="G8324" t="s">
        <v>26</v>
      </c>
      <c r="H8324" t="s">
        <v>27</v>
      </c>
      <c r="I8324" t="s">
        <v>86</v>
      </c>
      <c r="J8324">
        <v>50.295000000000002</v>
      </c>
      <c r="K8324">
        <v>0.09</v>
      </c>
      <c r="L8324">
        <v>0.38</v>
      </c>
      <c r="M8324">
        <v>1.7150000000000001</v>
      </c>
      <c r="N8324">
        <v>-4.25908</v>
      </c>
      <c r="O8324" s="1" t="s">
        <v>225</v>
      </c>
      <c r="P8324" s="1" t="s">
        <v>14721</v>
      </c>
      <c r="Q8324" s="1" t="s">
        <v>14722</v>
      </c>
      <c r="R8324" s="1" t="s">
        <v>228</v>
      </c>
      <c r="S8324" s="1" t="s">
        <v>13416</v>
      </c>
      <c r="T8324" s="1" t="s">
        <v>13417</v>
      </c>
      <c r="U8324" s="2" t="s">
        <v>1897</v>
      </c>
      <c r="V8324" s="2" t="s">
        <v>47</v>
      </c>
      <c r="W8324" s="2" t="s">
        <v>203</v>
      </c>
      <c r="X8324" s="2">
        <v>25.585000000000001</v>
      </c>
    </row>
    <row r="8325" spans="1:24" x14ac:dyDescent="0.3">
      <c r="A8325">
        <v>26126</v>
      </c>
      <c r="B8325" t="s">
        <v>15502</v>
      </c>
      <c r="C8325" s="3">
        <v>41870</v>
      </c>
      <c r="D8325" t="s">
        <v>148</v>
      </c>
      <c r="E8325">
        <v>18</v>
      </c>
      <c r="F8325" s="3">
        <f ca="1">41872+(RANDBETWEEN(1,10))</f>
        <v>41879</v>
      </c>
      <c r="G8325" t="s">
        <v>26</v>
      </c>
      <c r="H8325" t="s">
        <v>96</v>
      </c>
      <c r="I8325" t="s">
        <v>86</v>
      </c>
      <c r="J8325">
        <v>465.78</v>
      </c>
      <c r="K8325">
        <v>0.03</v>
      </c>
      <c r="L8325">
        <v>0.37</v>
      </c>
      <c r="M8325">
        <v>6.1950000000000003</v>
      </c>
      <c r="N8325">
        <v>321.38819999999998</v>
      </c>
      <c r="O8325" s="1" t="s">
        <v>225</v>
      </c>
      <c r="P8325" s="1" t="s">
        <v>14721</v>
      </c>
      <c r="Q8325" s="1" t="s">
        <v>14722</v>
      </c>
      <c r="R8325" s="1" t="s">
        <v>228</v>
      </c>
      <c r="S8325" s="1" t="s">
        <v>13416</v>
      </c>
      <c r="T8325" s="1" t="s">
        <v>13417</v>
      </c>
      <c r="U8325" s="2" t="s">
        <v>5351</v>
      </c>
      <c r="V8325" s="2" t="s">
        <v>47</v>
      </c>
      <c r="W8325" s="2" t="s">
        <v>74</v>
      </c>
      <c r="X8325" s="2">
        <v>25.48</v>
      </c>
    </row>
    <row r="8326" spans="1:24" x14ac:dyDescent="0.3">
      <c r="A8326">
        <v>26127</v>
      </c>
      <c r="B8326" t="s">
        <v>15503</v>
      </c>
      <c r="C8326" s="3">
        <v>41343</v>
      </c>
      <c r="D8326" t="s">
        <v>148</v>
      </c>
      <c r="E8326">
        <v>8</v>
      </c>
      <c r="F8326" s="3">
        <f ca="1">41344+(RANDBETWEEN(1,10))</f>
        <v>41353</v>
      </c>
      <c r="G8326" t="s">
        <v>26</v>
      </c>
      <c r="H8326" t="s">
        <v>27</v>
      </c>
      <c r="I8326" t="s">
        <v>28</v>
      </c>
      <c r="J8326">
        <v>160.33500000000001</v>
      </c>
      <c r="K8326">
        <v>0.04</v>
      </c>
      <c r="L8326">
        <v>0.39</v>
      </c>
      <c r="M8326">
        <v>24.43</v>
      </c>
      <c r="N8326">
        <v>1756.6605</v>
      </c>
      <c r="O8326" s="1" t="s">
        <v>53</v>
      </c>
      <c r="P8326" s="1" t="s">
        <v>13180</v>
      </c>
      <c r="Q8326" s="1" t="s">
        <v>13181</v>
      </c>
      <c r="R8326" s="1" t="s">
        <v>56</v>
      </c>
      <c r="S8326" s="1" t="s">
        <v>13182</v>
      </c>
      <c r="T8326" s="1" t="s">
        <v>13183</v>
      </c>
      <c r="U8326" s="2" t="s">
        <v>4859</v>
      </c>
      <c r="V8326" s="2" t="s">
        <v>47</v>
      </c>
      <c r="W8326" s="2" t="s">
        <v>111</v>
      </c>
      <c r="X8326" s="2">
        <v>19.355</v>
      </c>
    </row>
    <row r="8327" spans="1:24" x14ac:dyDescent="0.3">
      <c r="A8327">
        <v>26128</v>
      </c>
      <c r="B8327" t="s">
        <v>15503</v>
      </c>
      <c r="C8327" s="3">
        <v>41343</v>
      </c>
      <c r="D8327" t="s">
        <v>148</v>
      </c>
      <c r="E8327">
        <v>9</v>
      </c>
      <c r="F8327" s="3">
        <f ca="1">41344+(RANDBETWEEN(1,10))</f>
        <v>41352</v>
      </c>
      <c r="G8327" t="s">
        <v>26</v>
      </c>
      <c r="H8327" t="s">
        <v>27</v>
      </c>
      <c r="I8327" t="s">
        <v>28</v>
      </c>
      <c r="J8327">
        <v>1664.635</v>
      </c>
      <c r="K8327">
        <v>0.1</v>
      </c>
      <c r="L8327">
        <v>0.36</v>
      </c>
      <c r="M8327">
        <v>48.58</v>
      </c>
      <c r="N8327">
        <v>2614.1010000000001</v>
      </c>
      <c r="O8327" s="1" t="s">
        <v>53</v>
      </c>
      <c r="P8327" s="1" t="s">
        <v>13180</v>
      </c>
      <c r="Q8327" s="1" t="s">
        <v>13181</v>
      </c>
      <c r="R8327" s="1" t="s">
        <v>56</v>
      </c>
      <c r="S8327" s="1" t="s">
        <v>13182</v>
      </c>
      <c r="T8327" s="1" t="s">
        <v>13183</v>
      </c>
      <c r="U8327" s="2" t="s">
        <v>3437</v>
      </c>
      <c r="V8327" s="2" t="s">
        <v>47</v>
      </c>
      <c r="W8327" s="2" t="s">
        <v>74</v>
      </c>
      <c r="X8327" s="2">
        <v>195.93</v>
      </c>
    </row>
    <row r="8328" spans="1:24" x14ac:dyDescent="0.3">
      <c r="A8328">
        <v>26129</v>
      </c>
      <c r="B8328" t="s">
        <v>15504</v>
      </c>
      <c r="C8328" s="3">
        <v>41671</v>
      </c>
      <c r="D8328" t="s">
        <v>39</v>
      </c>
      <c r="E8328">
        <v>12</v>
      </c>
      <c r="F8328" s="3">
        <f ca="1">41673+(RANDBETWEEN(1,10))</f>
        <v>41676</v>
      </c>
      <c r="G8328" t="s">
        <v>26</v>
      </c>
      <c r="H8328" t="s">
        <v>27</v>
      </c>
      <c r="I8328" t="s">
        <v>86</v>
      </c>
      <c r="J8328">
        <v>317.38</v>
      </c>
      <c r="K8328">
        <v>7.0000000000000007E-2</v>
      </c>
      <c r="L8328">
        <v>0.35</v>
      </c>
      <c r="M8328">
        <v>21.56</v>
      </c>
      <c r="N8328">
        <v>-311.33375000000001</v>
      </c>
      <c r="O8328" s="1" t="s">
        <v>64</v>
      </c>
      <c r="P8328" s="1" t="s">
        <v>12877</v>
      </c>
      <c r="Q8328" s="1" t="s">
        <v>12878</v>
      </c>
      <c r="R8328" s="1" t="s">
        <v>67</v>
      </c>
      <c r="S8328" s="1" t="s">
        <v>12879</v>
      </c>
      <c r="T8328" s="1" t="s">
        <v>12880</v>
      </c>
      <c r="U8328" s="2" t="s">
        <v>3717</v>
      </c>
      <c r="V8328" s="2" t="s">
        <v>47</v>
      </c>
      <c r="W8328" s="2" t="s">
        <v>111</v>
      </c>
      <c r="X8328" s="2">
        <v>26.88</v>
      </c>
    </row>
    <row r="8329" spans="1:24" x14ac:dyDescent="0.3">
      <c r="A8329">
        <v>26130</v>
      </c>
      <c r="B8329" t="s">
        <v>15504</v>
      </c>
      <c r="C8329" s="3">
        <v>41671</v>
      </c>
      <c r="D8329" t="s">
        <v>39</v>
      </c>
      <c r="E8329">
        <v>3</v>
      </c>
      <c r="F8329" s="3">
        <f ca="1">41673+(RANDBETWEEN(1,10))</f>
        <v>41678</v>
      </c>
      <c r="G8329" t="s">
        <v>156</v>
      </c>
      <c r="H8329" t="s">
        <v>27</v>
      </c>
      <c r="I8329" t="s">
        <v>86</v>
      </c>
      <c r="J8329">
        <v>1817.55</v>
      </c>
      <c r="K8329">
        <v>0.05</v>
      </c>
      <c r="L8329">
        <v>0.59</v>
      </c>
      <c r="M8329">
        <v>14.7</v>
      </c>
      <c r="N8329">
        <v>-133.24850000000001</v>
      </c>
      <c r="O8329" s="1" t="s">
        <v>64</v>
      </c>
      <c r="P8329" s="1" t="s">
        <v>12877</v>
      </c>
      <c r="Q8329" s="1" t="s">
        <v>12878</v>
      </c>
      <c r="R8329" s="1" t="s">
        <v>67</v>
      </c>
      <c r="S8329" s="1" t="s">
        <v>12879</v>
      </c>
      <c r="T8329" s="1" t="s">
        <v>12880</v>
      </c>
      <c r="U8329" s="2" t="s">
        <v>2133</v>
      </c>
      <c r="V8329" s="2" t="s">
        <v>36</v>
      </c>
      <c r="W8329" s="2" t="s">
        <v>37</v>
      </c>
      <c r="X8329" s="2">
        <v>703.46500000000003</v>
      </c>
    </row>
    <row r="8330" spans="1:24" x14ac:dyDescent="0.3">
      <c r="A8330">
        <v>26131</v>
      </c>
      <c r="B8330" t="s">
        <v>15505</v>
      </c>
      <c r="C8330" s="3">
        <v>41726</v>
      </c>
      <c r="D8330" t="s">
        <v>62</v>
      </c>
      <c r="E8330">
        <v>2</v>
      </c>
      <c r="F8330" s="3">
        <f ca="1">41727+(RANDBETWEEN(1,10))</f>
        <v>41736</v>
      </c>
      <c r="G8330" t="s">
        <v>76</v>
      </c>
      <c r="H8330" t="s">
        <v>77</v>
      </c>
      <c r="I8330" t="s">
        <v>86</v>
      </c>
      <c r="J8330">
        <v>200.41</v>
      </c>
      <c r="K8330">
        <v>0.01</v>
      </c>
      <c r="L8330">
        <v>0.6</v>
      </c>
      <c r="M8330">
        <v>50.26</v>
      </c>
      <c r="N8330">
        <v>115.31100000000001</v>
      </c>
      <c r="O8330" s="1" t="s">
        <v>53</v>
      </c>
      <c r="P8330" s="1" t="s">
        <v>12654</v>
      </c>
      <c r="Q8330" s="1" t="s">
        <v>12655</v>
      </c>
      <c r="R8330" s="1" t="s">
        <v>56</v>
      </c>
      <c r="S8330" s="1" t="s">
        <v>12656</v>
      </c>
      <c r="T8330" s="1" t="s">
        <v>12657</v>
      </c>
      <c r="U8330" s="2" t="s">
        <v>4583</v>
      </c>
      <c r="V8330" s="2" t="s">
        <v>83</v>
      </c>
      <c r="W8330" s="2" t="s">
        <v>84</v>
      </c>
      <c r="X8330" s="2">
        <v>90.93</v>
      </c>
    </row>
    <row r="8331" spans="1:24" x14ac:dyDescent="0.3">
      <c r="A8331">
        <v>26132</v>
      </c>
      <c r="B8331" t="s">
        <v>15506</v>
      </c>
      <c r="C8331" s="3">
        <v>41325</v>
      </c>
      <c r="D8331" t="s">
        <v>62</v>
      </c>
      <c r="E8331">
        <v>12</v>
      </c>
      <c r="F8331" s="3">
        <f ca="1">41326+(RANDBETWEEN(1,10))</f>
        <v>41336</v>
      </c>
      <c r="G8331" t="s">
        <v>26</v>
      </c>
      <c r="H8331" t="s">
        <v>96</v>
      </c>
      <c r="I8331" t="s">
        <v>28</v>
      </c>
      <c r="J8331">
        <v>134.85499999999999</v>
      </c>
      <c r="K8331">
        <v>0.04</v>
      </c>
      <c r="L8331">
        <v>0.84</v>
      </c>
      <c r="M8331">
        <v>6.72</v>
      </c>
      <c r="N8331">
        <v>-219.94</v>
      </c>
      <c r="O8331" s="1" t="s">
        <v>225</v>
      </c>
      <c r="P8331" s="1" t="s">
        <v>10463</v>
      </c>
      <c r="Q8331" s="1" t="s">
        <v>10464</v>
      </c>
      <c r="R8331" s="1" t="s">
        <v>228</v>
      </c>
      <c r="S8331" s="1" t="s">
        <v>10465</v>
      </c>
      <c r="T8331" s="1" t="s">
        <v>10466</v>
      </c>
      <c r="U8331" s="2" t="s">
        <v>524</v>
      </c>
      <c r="V8331" s="2" t="s">
        <v>47</v>
      </c>
      <c r="W8331" s="2" t="s">
        <v>94</v>
      </c>
      <c r="X8331" s="2">
        <v>10.99</v>
      </c>
    </row>
    <row r="8332" spans="1:24" x14ac:dyDescent="0.3">
      <c r="A8332">
        <v>26133</v>
      </c>
      <c r="B8332" t="s">
        <v>15507</v>
      </c>
      <c r="C8332" s="3">
        <v>41989</v>
      </c>
      <c r="D8332" t="s">
        <v>25</v>
      </c>
      <c r="E8332">
        <v>15</v>
      </c>
      <c r="F8332" s="3">
        <f ca="1">41996+(RANDBETWEEN(1,10))</f>
        <v>42005</v>
      </c>
      <c r="G8332" t="s">
        <v>26</v>
      </c>
      <c r="H8332" t="s">
        <v>27</v>
      </c>
      <c r="I8332" t="s">
        <v>86</v>
      </c>
      <c r="J8332">
        <v>1409.135</v>
      </c>
      <c r="K8332">
        <v>0.01</v>
      </c>
      <c r="L8332">
        <v>0.39</v>
      </c>
      <c r="M8332">
        <v>20.51</v>
      </c>
      <c r="N8332">
        <v>972.30314999999996</v>
      </c>
      <c r="O8332" s="1" t="s">
        <v>40</v>
      </c>
      <c r="P8332" s="1" t="s">
        <v>15508</v>
      </c>
      <c r="Q8332" s="1" t="s">
        <v>15509</v>
      </c>
      <c r="R8332" s="1" t="s">
        <v>43</v>
      </c>
      <c r="S8332" s="1" t="s">
        <v>952</v>
      </c>
      <c r="T8332" s="1" t="s">
        <v>953</v>
      </c>
      <c r="U8332" s="2" t="s">
        <v>5644</v>
      </c>
      <c r="V8332" s="2" t="s">
        <v>47</v>
      </c>
      <c r="W8332" s="2" t="s">
        <v>74</v>
      </c>
      <c r="X8332" s="2">
        <v>92.33</v>
      </c>
    </row>
    <row r="8333" spans="1:24" x14ac:dyDescent="0.3">
      <c r="A8333">
        <v>26134</v>
      </c>
      <c r="B8333" t="s">
        <v>15510</v>
      </c>
      <c r="C8333" s="3">
        <v>41775</v>
      </c>
      <c r="D8333" t="s">
        <v>148</v>
      </c>
      <c r="E8333">
        <v>11</v>
      </c>
      <c r="F8333" s="3">
        <f ca="1">41775+(RANDBETWEEN(1,10))</f>
        <v>41778</v>
      </c>
      <c r="G8333" t="s">
        <v>156</v>
      </c>
      <c r="H8333" t="s">
        <v>281</v>
      </c>
      <c r="I8333" t="s">
        <v>28</v>
      </c>
      <c r="J8333">
        <v>237.405</v>
      </c>
      <c r="K8333">
        <v>0</v>
      </c>
      <c r="L8333">
        <v>0.74</v>
      </c>
      <c r="M8333">
        <v>4.2</v>
      </c>
      <c r="N8333">
        <v>161.73500000000001</v>
      </c>
      <c r="O8333" s="1" t="s">
        <v>40</v>
      </c>
      <c r="P8333" s="1" t="s">
        <v>15511</v>
      </c>
      <c r="Q8333" s="1" t="s">
        <v>15512</v>
      </c>
      <c r="R8333" s="1" t="s">
        <v>220</v>
      </c>
      <c r="S8333" s="1" t="s">
        <v>828</v>
      </c>
      <c r="T8333" s="1" t="s">
        <v>829</v>
      </c>
      <c r="U8333" s="2" t="s">
        <v>3131</v>
      </c>
      <c r="V8333" s="2" t="s">
        <v>83</v>
      </c>
      <c r="W8333" s="2" t="s">
        <v>178</v>
      </c>
      <c r="X8333" s="2">
        <v>20.440000000000001</v>
      </c>
    </row>
    <row r="8334" spans="1:24" x14ac:dyDescent="0.3">
      <c r="A8334">
        <v>26135</v>
      </c>
      <c r="B8334" t="s">
        <v>15513</v>
      </c>
      <c r="C8334" s="3">
        <v>40681</v>
      </c>
      <c r="D8334" t="s">
        <v>39</v>
      </c>
      <c r="E8334">
        <v>15</v>
      </c>
      <c r="F8334" s="3">
        <f ca="1">40681+(RANDBETWEEN(1,10))</f>
        <v>40687</v>
      </c>
      <c r="G8334" t="s">
        <v>26</v>
      </c>
      <c r="H8334" t="s">
        <v>27</v>
      </c>
      <c r="I8334" t="s">
        <v>86</v>
      </c>
      <c r="J8334">
        <v>602.77</v>
      </c>
      <c r="K8334">
        <v>0.04</v>
      </c>
      <c r="L8334">
        <v>0.57999999999999996</v>
      </c>
      <c r="M8334">
        <v>13.965</v>
      </c>
      <c r="N8334">
        <v>1683.6120000000001</v>
      </c>
      <c r="O8334" s="1" t="s">
        <v>40</v>
      </c>
      <c r="P8334" s="1" t="s">
        <v>14350</v>
      </c>
      <c r="Q8334" s="1" t="s">
        <v>14351</v>
      </c>
      <c r="R8334" s="1" t="s">
        <v>43</v>
      </c>
      <c r="S8334" s="1" t="s">
        <v>14352</v>
      </c>
      <c r="T8334" s="1" t="s">
        <v>14353</v>
      </c>
      <c r="U8334" s="2" t="s">
        <v>4098</v>
      </c>
      <c r="V8334" s="2" t="s">
        <v>47</v>
      </c>
      <c r="W8334" s="2" t="s">
        <v>71</v>
      </c>
      <c r="X8334" s="2">
        <v>38.43</v>
      </c>
    </row>
    <row r="8335" spans="1:24" x14ac:dyDescent="0.3">
      <c r="A8335">
        <v>26136</v>
      </c>
      <c r="B8335" t="s">
        <v>15514</v>
      </c>
      <c r="C8335" s="3">
        <v>41036</v>
      </c>
      <c r="D8335" t="s">
        <v>62</v>
      </c>
      <c r="E8335">
        <v>9</v>
      </c>
      <c r="F8335" s="3">
        <f ca="1">41036+(RANDBETWEEN(1,10))</f>
        <v>41042</v>
      </c>
      <c r="G8335" t="s">
        <v>26</v>
      </c>
      <c r="H8335" t="s">
        <v>27</v>
      </c>
      <c r="I8335" t="s">
        <v>28</v>
      </c>
      <c r="J8335">
        <v>79.239999999999995</v>
      </c>
      <c r="K8335">
        <v>0.03</v>
      </c>
      <c r="L8335">
        <v>0.37</v>
      </c>
      <c r="M8335">
        <v>21.175000000000001</v>
      </c>
      <c r="N8335">
        <v>-418.68049999999999</v>
      </c>
      <c r="O8335" s="1" t="s">
        <v>53</v>
      </c>
      <c r="P8335" s="1" t="s">
        <v>14540</v>
      </c>
      <c r="Q8335" s="1" t="s">
        <v>14541</v>
      </c>
      <c r="R8335" s="1" t="s">
        <v>56</v>
      </c>
      <c r="S8335" s="1" t="s">
        <v>1149</v>
      </c>
      <c r="T8335" s="1" t="s">
        <v>1150</v>
      </c>
      <c r="U8335" s="2" t="s">
        <v>1376</v>
      </c>
      <c r="V8335" s="2" t="s">
        <v>47</v>
      </c>
      <c r="W8335" s="2" t="s">
        <v>111</v>
      </c>
      <c r="X8335" s="2">
        <v>7.56</v>
      </c>
    </row>
    <row r="8336" spans="1:24" x14ac:dyDescent="0.3">
      <c r="A8336">
        <v>26137</v>
      </c>
      <c r="B8336" t="s">
        <v>15515</v>
      </c>
      <c r="C8336" s="3">
        <v>40815</v>
      </c>
      <c r="D8336" t="s">
        <v>39</v>
      </c>
      <c r="E8336">
        <v>15</v>
      </c>
      <c r="F8336" s="3">
        <f ca="1">40815+(RANDBETWEEN(1,10))</f>
        <v>40821</v>
      </c>
      <c r="G8336" t="s">
        <v>26</v>
      </c>
      <c r="H8336" t="s">
        <v>27</v>
      </c>
      <c r="I8336" t="s">
        <v>97</v>
      </c>
      <c r="J8336">
        <v>336.45499999999998</v>
      </c>
      <c r="K8336">
        <v>0.1</v>
      </c>
      <c r="L8336">
        <v>0.35</v>
      </c>
      <c r="M8336">
        <v>10.465</v>
      </c>
      <c r="N8336">
        <v>63.516249999999999</v>
      </c>
      <c r="O8336" s="1" t="s">
        <v>53</v>
      </c>
      <c r="P8336" s="1" t="s">
        <v>12901</v>
      </c>
      <c r="Q8336" s="1" t="s">
        <v>12902</v>
      </c>
      <c r="R8336" s="1" t="s">
        <v>56</v>
      </c>
      <c r="S8336" s="1" t="s">
        <v>12903</v>
      </c>
      <c r="T8336" s="1" t="s">
        <v>12904</v>
      </c>
      <c r="U8336" s="2" t="s">
        <v>4681</v>
      </c>
      <c r="V8336" s="2" t="s">
        <v>47</v>
      </c>
      <c r="W8336" s="2" t="s">
        <v>111</v>
      </c>
      <c r="X8336" s="2">
        <v>23.625</v>
      </c>
    </row>
    <row r="8337" spans="1:24" x14ac:dyDescent="0.3">
      <c r="A8337">
        <v>26138</v>
      </c>
      <c r="B8337" t="s">
        <v>15516</v>
      </c>
      <c r="C8337" s="3">
        <v>41911</v>
      </c>
      <c r="D8337" t="s">
        <v>39</v>
      </c>
      <c r="E8337">
        <v>20</v>
      </c>
      <c r="F8337" s="3">
        <f ca="1">41911+(RANDBETWEEN(1,10))</f>
        <v>41920</v>
      </c>
      <c r="G8337" t="s">
        <v>156</v>
      </c>
      <c r="H8337" t="s">
        <v>27</v>
      </c>
      <c r="I8337" t="s">
        <v>97</v>
      </c>
      <c r="J8337">
        <v>10317.825000000001</v>
      </c>
      <c r="K8337">
        <v>0.02</v>
      </c>
      <c r="L8337">
        <v>0.56000000000000005</v>
      </c>
      <c r="M8337">
        <v>69.965000000000003</v>
      </c>
      <c r="N8337">
        <v>5729.3459999999995</v>
      </c>
      <c r="O8337" s="1" t="s">
        <v>53</v>
      </c>
      <c r="P8337" s="1" t="s">
        <v>12901</v>
      </c>
      <c r="Q8337" s="1" t="s">
        <v>12902</v>
      </c>
      <c r="R8337" s="1" t="s">
        <v>56</v>
      </c>
      <c r="S8337" s="1" t="s">
        <v>12903</v>
      </c>
      <c r="T8337" s="1" t="s">
        <v>12904</v>
      </c>
      <c r="U8337" s="2" t="s">
        <v>3048</v>
      </c>
      <c r="V8337" s="2" t="s">
        <v>47</v>
      </c>
      <c r="W8337" s="2" t="s">
        <v>119</v>
      </c>
      <c r="X8337" s="2">
        <v>500.01</v>
      </c>
    </row>
    <row r="8338" spans="1:24" x14ac:dyDescent="0.3">
      <c r="A8338">
        <v>26139</v>
      </c>
      <c r="B8338" t="s">
        <v>15517</v>
      </c>
      <c r="C8338" s="3">
        <v>41522</v>
      </c>
      <c r="D8338" t="s">
        <v>148</v>
      </c>
      <c r="E8338">
        <v>1</v>
      </c>
      <c r="F8338" s="3">
        <f ca="1">41523+(RANDBETWEEN(1,10))</f>
        <v>41527</v>
      </c>
      <c r="G8338" t="s">
        <v>26</v>
      </c>
      <c r="H8338" t="s">
        <v>27</v>
      </c>
      <c r="I8338" t="s">
        <v>86</v>
      </c>
      <c r="J8338">
        <v>46.06</v>
      </c>
      <c r="K8338">
        <v>0.1</v>
      </c>
      <c r="L8338">
        <v>0.35</v>
      </c>
      <c r="M8338">
        <v>20.02</v>
      </c>
      <c r="N8338">
        <v>-45.465000000000003</v>
      </c>
      <c r="O8338" s="1" t="s">
        <v>87</v>
      </c>
      <c r="P8338" s="1" t="s">
        <v>1302</v>
      </c>
      <c r="Q8338" s="1" t="s">
        <v>1303</v>
      </c>
      <c r="R8338" s="1" t="s">
        <v>497</v>
      </c>
      <c r="S8338" s="1" t="s">
        <v>1304</v>
      </c>
      <c r="T8338" s="1" t="s">
        <v>1305</v>
      </c>
      <c r="U8338" s="2" t="s">
        <v>2886</v>
      </c>
      <c r="V8338" s="2" t="s">
        <v>47</v>
      </c>
      <c r="W8338" s="2" t="s">
        <v>48</v>
      </c>
      <c r="X8338" s="2">
        <v>40.53</v>
      </c>
    </row>
    <row r="8339" spans="1:24" x14ac:dyDescent="0.3">
      <c r="A8339">
        <v>26140</v>
      </c>
      <c r="B8339" t="s">
        <v>15518</v>
      </c>
      <c r="C8339" s="3">
        <v>41919</v>
      </c>
      <c r="D8339" t="s">
        <v>50</v>
      </c>
      <c r="E8339">
        <v>3</v>
      </c>
      <c r="F8339" s="3">
        <f ca="1">41921+(RANDBETWEEN(1,10))</f>
        <v>41930</v>
      </c>
      <c r="G8339" t="s">
        <v>26</v>
      </c>
      <c r="H8339" t="s">
        <v>27</v>
      </c>
      <c r="I8339" t="s">
        <v>28</v>
      </c>
      <c r="J8339">
        <v>76.510000000000005</v>
      </c>
      <c r="K8339">
        <v>0.04</v>
      </c>
      <c r="L8339">
        <v>0.36</v>
      </c>
      <c r="M8339">
        <v>25.024999999999999</v>
      </c>
      <c r="N8339">
        <v>-300.66399999999999</v>
      </c>
      <c r="O8339" s="1" t="s">
        <v>29</v>
      </c>
      <c r="P8339" s="1" t="s">
        <v>15519</v>
      </c>
      <c r="Q8339" s="1" t="s">
        <v>15520</v>
      </c>
      <c r="R8339" s="1" t="s">
        <v>675</v>
      </c>
      <c r="S8339" s="1" t="s">
        <v>1922</v>
      </c>
      <c r="T8339" s="1" t="s">
        <v>1923</v>
      </c>
      <c r="U8339" s="2" t="s">
        <v>1746</v>
      </c>
      <c r="V8339" s="2" t="s">
        <v>47</v>
      </c>
      <c r="W8339" s="2" t="s">
        <v>74</v>
      </c>
      <c r="X8339" s="2">
        <v>20.93</v>
      </c>
    </row>
    <row r="8340" spans="1:24" x14ac:dyDescent="0.3">
      <c r="A8340">
        <v>26141</v>
      </c>
      <c r="B8340" t="s">
        <v>15521</v>
      </c>
      <c r="C8340" s="3">
        <v>40594</v>
      </c>
      <c r="D8340" t="s">
        <v>39</v>
      </c>
      <c r="E8340">
        <v>6</v>
      </c>
      <c r="F8340" s="3">
        <f ca="1">40596+(RANDBETWEEN(1,10))</f>
        <v>40597</v>
      </c>
      <c r="G8340" t="s">
        <v>156</v>
      </c>
      <c r="H8340" t="s">
        <v>51</v>
      </c>
      <c r="I8340" t="s">
        <v>28</v>
      </c>
      <c r="J8340">
        <v>419.23</v>
      </c>
      <c r="K8340">
        <v>0.05</v>
      </c>
      <c r="L8340">
        <v>0.44</v>
      </c>
      <c r="M8340">
        <v>21.524999999999999</v>
      </c>
      <c r="N8340">
        <v>-7466.473</v>
      </c>
      <c r="O8340" s="1" t="s">
        <v>87</v>
      </c>
      <c r="P8340" s="1" t="s">
        <v>12772</v>
      </c>
      <c r="Q8340" s="1" t="s">
        <v>12773</v>
      </c>
      <c r="R8340" s="1" t="s">
        <v>398</v>
      </c>
      <c r="S8340" s="1" t="s">
        <v>1968</v>
      </c>
      <c r="T8340" s="1" t="s">
        <v>1969</v>
      </c>
      <c r="U8340" s="2" t="s">
        <v>3649</v>
      </c>
      <c r="V8340" s="2" t="s">
        <v>83</v>
      </c>
      <c r="W8340" s="2" t="s">
        <v>178</v>
      </c>
      <c r="X8340" s="2">
        <v>67.305000000000007</v>
      </c>
    </row>
    <row r="8341" spans="1:24" x14ac:dyDescent="0.3">
      <c r="A8341">
        <v>26142</v>
      </c>
      <c r="B8341" t="s">
        <v>15522</v>
      </c>
      <c r="C8341" s="3">
        <v>41979</v>
      </c>
      <c r="D8341" t="s">
        <v>148</v>
      </c>
      <c r="E8341">
        <v>19</v>
      </c>
      <c r="F8341" s="3">
        <f ca="1">41980+(RANDBETWEEN(1,10))</f>
        <v>41990</v>
      </c>
      <c r="G8341" t="s">
        <v>26</v>
      </c>
      <c r="H8341" t="s">
        <v>27</v>
      </c>
      <c r="I8341" t="s">
        <v>97</v>
      </c>
      <c r="J8341">
        <v>252.07</v>
      </c>
      <c r="K8341">
        <v>0.03</v>
      </c>
      <c r="L8341">
        <v>0.37</v>
      </c>
      <c r="M8341">
        <v>19.145</v>
      </c>
      <c r="N8341">
        <v>-164.07316800000001</v>
      </c>
      <c r="O8341" s="1" t="s">
        <v>40</v>
      </c>
      <c r="P8341" s="1" t="s">
        <v>14536</v>
      </c>
      <c r="Q8341" s="1" t="s">
        <v>14537</v>
      </c>
      <c r="R8341" s="1" t="s">
        <v>43</v>
      </c>
      <c r="S8341" s="1" t="s">
        <v>5142</v>
      </c>
      <c r="T8341" s="1" t="s">
        <v>5143</v>
      </c>
      <c r="U8341" s="2" t="s">
        <v>879</v>
      </c>
      <c r="V8341" s="2" t="s">
        <v>47</v>
      </c>
      <c r="W8341" s="2" t="s">
        <v>111</v>
      </c>
      <c r="X8341" s="2">
        <v>12.53</v>
      </c>
    </row>
    <row r="8342" spans="1:24" x14ac:dyDescent="0.3">
      <c r="A8342">
        <v>26143</v>
      </c>
      <c r="B8342" t="s">
        <v>15523</v>
      </c>
      <c r="C8342" s="3">
        <v>41159</v>
      </c>
      <c r="D8342" t="s">
        <v>62</v>
      </c>
      <c r="E8342">
        <v>16</v>
      </c>
      <c r="F8342" s="3">
        <f ca="1">41160+(RANDBETWEEN(1,10))</f>
        <v>41161</v>
      </c>
      <c r="G8342" t="s">
        <v>26</v>
      </c>
      <c r="H8342" t="s">
        <v>96</v>
      </c>
      <c r="I8342" t="s">
        <v>97</v>
      </c>
      <c r="J8342">
        <v>228.2</v>
      </c>
      <c r="K8342">
        <v>0.01</v>
      </c>
      <c r="L8342">
        <v>0.37</v>
      </c>
      <c r="M8342">
        <v>4.55</v>
      </c>
      <c r="N8342">
        <v>-150.626</v>
      </c>
      <c r="O8342" s="1" t="s">
        <v>64</v>
      </c>
      <c r="P8342" s="1" t="s">
        <v>15455</v>
      </c>
      <c r="Q8342" s="1" t="s">
        <v>15456</v>
      </c>
      <c r="R8342" s="1" t="s">
        <v>67</v>
      </c>
      <c r="S8342" s="1" t="s">
        <v>1873</v>
      </c>
      <c r="T8342" s="1" t="s">
        <v>1874</v>
      </c>
      <c r="U8342" s="2" t="s">
        <v>2823</v>
      </c>
      <c r="V8342" s="2" t="s">
        <v>47</v>
      </c>
      <c r="W8342" s="2" t="s">
        <v>74</v>
      </c>
      <c r="X8342" s="2">
        <v>14</v>
      </c>
    </row>
    <row r="8343" spans="1:24" x14ac:dyDescent="0.3">
      <c r="A8343">
        <v>26144</v>
      </c>
      <c r="B8343" t="s">
        <v>15523</v>
      </c>
      <c r="C8343" s="3">
        <v>41159</v>
      </c>
      <c r="D8343" t="s">
        <v>62</v>
      </c>
      <c r="E8343">
        <v>16</v>
      </c>
      <c r="F8343" s="3">
        <f ca="1">41160+(RANDBETWEEN(1,10))</f>
        <v>41168</v>
      </c>
      <c r="G8343" t="s">
        <v>26</v>
      </c>
      <c r="H8343" t="s">
        <v>96</v>
      </c>
      <c r="I8343" t="s">
        <v>97</v>
      </c>
      <c r="J8343">
        <v>740.32</v>
      </c>
      <c r="K8343">
        <v>0.05</v>
      </c>
      <c r="L8343">
        <v>0.82</v>
      </c>
      <c r="M8343">
        <v>16.065000000000001</v>
      </c>
      <c r="N8343">
        <v>526.40700000000004</v>
      </c>
      <c r="O8343" s="1" t="s">
        <v>64</v>
      </c>
      <c r="P8343" s="1" t="s">
        <v>15455</v>
      </c>
      <c r="Q8343" s="1" t="s">
        <v>15456</v>
      </c>
      <c r="R8343" s="1" t="s">
        <v>67</v>
      </c>
      <c r="S8343" s="1" t="s">
        <v>1873</v>
      </c>
      <c r="T8343" s="1" t="s">
        <v>1874</v>
      </c>
      <c r="U8343" s="2" t="s">
        <v>5077</v>
      </c>
      <c r="V8343" s="2" t="s">
        <v>47</v>
      </c>
      <c r="W8343" s="2" t="s">
        <v>94</v>
      </c>
      <c r="X8343" s="2">
        <v>45.08</v>
      </c>
    </row>
    <row r="8344" spans="1:24" x14ac:dyDescent="0.3">
      <c r="A8344">
        <v>26145</v>
      </c>
      <c r="B8344" t="s">
        <v>15524</v>
      </c>
      <c r="C8344" s="3">
        <v>41540</v>
      </c>
      <c r="D8344" t="s">
        <v>50</v>
      </c>
      <c r="E8344">
        <v>4</v>
      </c>
      <c r="F8344" s="3">
        <f ca="1">41540+(RANDBETWEEN(1,10))</f>
        <v>41550</v>
      </c>
      <c r="G8344" t="s">
        <v>26</v>
      </c>
      <c r="H8344" t="s">
        <v>27</v>
      </c>
      <c r="I8344" t="s">
        <v>97</v>
      </c>
      <c r="J8344">
        <v>1852.9349999999999</v>
      </c>
      <c r="K8344">
        <v>0.02</v>
      </c>
      <c r="L8344">
        <v>0.55000000000000004</v>
      </c>
      <c r="M8344">
        <v>3.4649999999999999</v>
      </c>
      <c r="N8344">
        <v>741.05499999999995</v>
      </c>
      <c r="O8344" s="1" t="s">
        <v>40</v>
      </c>
      <c r="P8344" s="1" t="s">
        <v>13609</v>
      </c>
      <c r="Q8344" s="1" t="s">
        <v>13610</v>
      </c>
      <c r="R8344" s="1" t="s">
        <v>220</v>
      </c>
      <c r="S8344" s="1" t="s">
        <v>13611</v>
      </c>
      <c r="T8344" s="1" t="s">
        <v>13612</v>
      </c>
      <c r="U8344" s="2" t="s">
        <v>3125</v>
      </c>
      <c r="V8344" s="2" t="s">
        <v>47</v>
      </c>
      <c r="W8344" s="2" t="s">
        <v>71</v>
      </c>
      <c r="X8344" s="2">
        <v>458.92</v>
      </c>
    </row>
    <row r="8345" spans="1:24" x14ac:dyDescent="0.3">
      <c r="A8345">
        <v>26146</v>
      </c>
      <c r="B8345" t="s">
        <v>15524</v>
      </c>
      <c r="C8345" s="3">
        <v>41540</v>
      </c>
      <c r="D8345" t="s">
        <v>50</v>
      </c>
      <c r="E8345">
        <v>7</v>
      </c>
      <c r="F8345" s="3">
        <f ca="1">41542+(RANDBETWEEN(1,10))</f>
        <v>41543</v>
      </c>
      <c r="G8345" t="s">
        <v>26</v>
      </c>
      <c r="H8345" t="s">
        <v>27</v>
      </c>
      <c r="I8345" t="s">
        <v>97</v>
      </c>
      <c r="J8345">
        <v>161.13999999999999</v>
      </c>
      <c r="K8345">
        <v>0.09</v>
      </c>
      <c r="L8345">
        <v>0.37</v>
      </c>
      <c r="M8345">
        <v>27.51</v>
      </c>
      <c r="N8345">
        <v>-225.75</v>
      </c>
      <c r="O8345" s="1" t="s">
        <v>40</v>
      </c>
      <c r="P8345" s="1" t="s">
        <v>13609</v>
      </c>
      <c r="Q8345" s="1" t="s">
        <v>13610</v>
      </c>
      <c r="R8345" s="1" t="s">
        <v>220</v>
      </c>
      <c r="S8345" s="1" t="s">
        <v>13611</v>
      </c>
      <c r="T8345" s="1" t="s">
        <v>13612</v>
      </c>
      <c r="U8345" s="2" t="s">
        <v>2667</v>
      </c>
      <c r="V8345" s="2" t="s">
        <v>47</v>
      </c>
      <c r="W8345" s="2" t="s">
        <v>74</v>
      </c>
      <c r="X8345" s="2">
        <v>22.68</v>
      </c>
    </row>
    <row r="8346" spans="1:24" x14ac:dyDescent="0.3">
      <c r="A8346">
        <v>26147</v>
      </c>
      <c r="B8346" t="s">
        <v>15525</v>
      </c>
      <c r="C8346" s="3">
        <v>41080</v>
      </c>
      <c r="D8346" t="s">
        <v>39</v>
      </c>
      <c r="E8346">
        <v>12</v>
      </c>
      <c r="F8346" s="3">
        <f ca="1">41080+(RANDBETWEEN(1,10))</f>
        <v>41084</v>
      </c>
      <c r="G8346" t="s">
        <v>26</v>
      </c>
      <c r="H8346" t="s">
        <v>51</v>
      </c>
      <c r="I8346" t="s">
        <v>28</v>
      </c>
      <c r="J8346">
        <v>331.8</v>
      </c>
      <c r="K8346">
        <v>0.08</v>
      </c>
      <c r="L8346">
        <v>0.61</v>
      </c>
      <c r="M8346">
        <v>12.67</v>
      </c>
      <c r="N8346">
        <v>875.01329999999996</v>
      </c>
      <c r="O8346" s="1" t="s">
        <v>87</v>
      </c>
      <c r="P8346" s="1" t="s">
        <v>12321</v>
      </c>
      <c r="Q8346" s="1" t="s">
        <v>12322</v>
      </c>
      <c r="R8346" s="1" t="s">
        <v>398</v>
      </c>
      <c r="S8346" s="1" t="s">
        <v>12323</v>
      </c>
      <c r="T8346" s="1" t="s">
        <v>12324</v>
      </c>
      <c r="U8346" s="2" t="s">
        <v>1117</v>
      </c>
      <c r="V8346" s="2" t="s">
        <v>36</v>
      </c>
      <c r="W8346" s="2" t="s">
        <v>60</v>
      </c>
      <c r="X8346" s="2">
        <v>29.61</v>
      </c>
    </row>
    <row r="8347" spans="1:24" x14ac:dyDescent="0.3">
      <c r="A8347">
        <v>26148</v>
      </c>
      <c r="B8347" t="s">
        <v>15526</v>
      </c>
      <c r="C8347" s="3">
        <v>40567</v>
      </c>
      <c r="D8347" t="s">
        <v>148</v>
      </c>
      <c r="E8347">
        <v>6</v>
      </c>
      <c r="F8347" s="3">
        <f ca="1">40569+(RANDBETWEEN(1,10))</f>
        <v>40573</v>
      </c>
      <c r="G8347" t="s">
        <v>26</v>
      </c>
      <c r="H8347" t="s">
        <v>281</v>
      </c>
      <c r="I8347" t="s">
        <v>97</v>
      </c>
      <c r="J8347">
        <v>269.04500000000002</v>
      </c>
      <c r="K8347">
        <v>0.01</v>
      </c>
      <c r="L8347">
        <v>0.5</v>
      </c>
      <c r="M8347">
        <v>24.36</v>
      </c>
      <c r="N8347">
        <v>-101.339</v>
      </c>
      <c r="O8347" s="1" t="s">
        <v>87</v>
      </c>
      <c r="P8347" s="1" t="s">
        <v>15527</v>
      </c>
      <c r="Q8347" s="1" t="s">
        <v>15528</v>
      </c>
      <c r="R8347" s="1" t="s">
        <v>646</v>
      </c>
      <c r="S8347" s="1" t="s">
        <v>4092</v>
      </c>
      <c r="T8347" s="1" t="s">
        <v>3447</v>
      </c>
      <c r="U8347" s="2" t="s">
        <v>709</v>
      </c>
      <c r="V8347" s="2" t="s">
        <v>47</v>
      </c>
      <c r="W8347" s="2" t="s">
        <v>71</v>
      </c>
      <c r="X8347" s="2">
        <v>40.950000000000003</v>
      </c>
    </row>
    <row r="8348" spans="1:24" x14ac:dyDescent="0.3">
      <c r="A8348">
        <v>26149</v>
      </c>
      <c r="B8348" t="s">
        <v>15529</v>
      </c>
      <c r="C8348" s="3">
        <v>41892</v>
      </c>
      <c r="D8348" t="s">
        <v>39</v>
      </c>
      <c r="E8348">
        <v>19</v>
      </c>
      <c r="F8348" s="3">
        <f ca="1">41894+(RANDBETWEEN(1,10))</f>
        <v>41899</v>
      </c>
      <c r="G8348" t="s">
        <v>26</v>
      </c>
      <c r="H8348" t="s">
        <v>51</v>
      </c>
      <c r="I8348" t="s">
        <v>28</v>
      </c>
      <c r="J8348">
        <v>6313.72</v>
      </c>
      <c r="K8348">
        <v>0.08</v>
      </c>
      <c r="L8348">
        <v>0.35</v>
      </c>
      <c r="M8348">
        <v>31.465</v>
      </c>
      <c r="N8348">
        <v>4356.4668000000001</v>
      </c>
      <c r="O8348" s="1" t="s">
        <v>87</v>
      </c>
      <c r="P8348" s="1" t="s">
        <v>12778</v>
      </c>
      <c r="Q8348" s="1" t="s">
        <v>12779</v>
      </c>
      <c r="R8348" s="1" t="s">
        <v>90</v>
      </c>
      <c r="S8348" s="1" t="s">
        <v>12780</v>
      </c>
      <c r="T8348" s="1" t="s">
        <v>12781</v>
      </c>
      <c r="U8348" s="2" t="s">
        <v>177</v>
      </c>
      <c r="V8348" s="2" t="s">
        <v>83</v>
      </c>
      <c r="W8348" s="2" t="s">
        <v>178</v>
      </c>
      <c r="X8348" s="2">
        <v>347.30500000000001</v>
      </c>
    </row>
    <row r="8349" spans="1:24" x14ac:dyDescent="0.3">
      <c r="A8349">
        <v>26150</v>
      </c>
      <c r="B8349" t="s">
        <v>15529</v>
      </c>
      <c r="C8349" s="3">
        <v>41892</v>
      </c>
      <c r="D8349" t="s">
        <v>39</v>
      </c>
      <c r="E8349">
        <v>2</v>
      </c>
      <c r="F8349" s="3">
        <f ca="1">41895+(RANDBETWEEN(1,10))</f>
        <v>41898</v>
      </c>
      <c r="G8349" t="s">
        <v>26</v>
      </c>
      <c r="H8349" t="s">
        <v>96</v>
      </c>
      <c r="I8349" t="s">
        <v>28</v>
      </c>
      <c r="J8349">
        <v>492.69499999999999</v>
      </c>
      <c r="K8349">
        <v>0.1</v>
      </c>
      <c r="L8349">
        <v>0.85</v>
      </c>
      <c r="M8349">
        <v>3.4649999999999999</v>
      </c>
      <c r="N8349">
        <v>-1399.2671</v>
      </c>
      <c r="O8349" s="1" t="s">
        <v>87</v>
      </c>
      <c r="P8349" s="1" t="s">
        <v>12778</v>
      </c>
      <c r="Q8349" s="1" t="s">
        <v>12779</v>
      </c>
      <c r="R8349" s="1" t="s">
        <v>90</v>
      </c>
      <c r="S8349" s="1" t="s">
        <v>12780</v>
      </c>
      <c r="T8349" s="1" t="s">
        <v>12781</v>
      </c>
      <c r="U8349" s="2" t="s">
        <v>678</v>
      </c>
      <c r="V8349" s="2" t="s">
        <v>36</v>
      </c>
      <c r="W8349" s="2" t="s">
        <v>37</v>
      </c>
      <c r="X8349" s="2">
        <v>300.96499999999997</v>
      </c>
    </row>
    <row r="8350" spans="1:24" x14ac:dyDescent="0.3">
      <c r="A8350">
        <v>26151</v>
      </c>
      <c r="B8350" t="s">
        <v>15530</v>
      </c>
      <c r="C8350" s="3">
        <v>41740</v>
      </c>
      <c r="D8350" t="s">
        <v>148</v>
      </c>
      <c r="E8350">
        <v>11</v>
      </c>
      <c r="F8350" s="3">
        <f ca="1">41740+(RANDBETWEEN(1,10))</f>
        <v>41746</v>
      </c>
      <c r="G8350" t="s">
        <v>26</v>
      </c>
      <c r="H8350" t="s">
        <v>27</v>
      </c>
      <c r="I8350" t="s">
        <v>52</v>
      </c>
      <c r="J8350">
        <v>1152.69</v>
      </c>
      <c r="K8350">
        <v>0.03</v>
      </c>
      <c r="L8350">
        <v>0.35</v>
      </c>
      <c r="M8350">
        <v>10.465</v>
      </c>
      <c r="N8350">
        <v>795.35609999999997</v>
      </c>
      <c r="O8350" s="1" t="s">
        <v>40</v>
      </c>
      <c r="P8350" s="1" t="s">
        <v>13213</v>
      </c>
      <c r="Q8350" s="1" t="s">
        <v>13214</v>
      </c>
      <c r="R8350" s="1" t="s">
        <v>220</v>
      </c>
      <c r="S8350" s="1" t="s">
        <v>1816</v>
      </c>
      <c r="T8350" s="1" t="s">
        <v>1817</v>
      </c>
      <c r="U8350" s="2" t="s">
        <v>4393</v>
      </c>
      <c r="V8350" s="2" t="s">
        <v>47</v>
      </c>
      <c r="W8350" s="2" t="s">
        <v>111</v>
      </c>
      <c r="X8350" s="2">
        <v>106.96</v>
      </c>
    </row>
    <row r="8351" spans="1:24" x14ac:dyDescent="0.3">
      <c r="A8351">
        <v>26152</v>
      </c>
      <c r="B8351" t="s">
        <v>15531</v>
      </c>
      <c r="C8351" s="3">
        <v>41050</v>
      </c>
      <c r="D8351" t="s">
        <v>50</v>
      </c>
      <c r="E8351">
        <v>13</v>
      </c>
      <c r="F8351" s="3">
        <f ca="1">41050+(RANDBETWEEN(1,10))</f>
        <v>41058</v>
      </c>
      <c r="G8351" t="s">
        <v>76</v>
      </c>
      <c r="H8351" t="s">
        <v>258</v>
      </c>
      <c r="I8351" t="s">
        <v>28</v>
      </c>
      <c r="J8351">
        <v>2825.2350000000001</v>
      </c>
      <c r="K8351">
        <v>0</v>
      </c>
      <c r="L8351">
        <v>0.61</v>
      </c>
      <c r="M8351">
        <v>128.13499999999999</v>
      </c>
      <c r="N8351">
        <v>43.491</v>
      </c>
      <c r="O8351" s="1" t="s">
        <v>29</v>
      </c>
      <c r="P8351" s="1" t="s">
        <v>15519</v>
      </c>
      <c r="Q8351" s="1" t="s">
        <v>15520</v>
      </c>
      <c r="R8351" s="1" t="s">
        <v>675</v>
      </c>
      <c r="S8351" s="1" t="s">
        <v>1922</v>
      </c>
      <c r="T8351" s="1" t="s">
        <v>1923</v>
      </c>
      <c r="U8351" s="2" t="s">
        <v>4050</v>
      </c>
      <c r="V8351" s="2" t="s">
        <v>83</v>
      </c>
      <c r="W8351" s="2" t="s">
        <v>298</v>
      </c>
      <c r="X8351" s="2">
        <v>203.49</v>
      </c>
    </row>
    <row r="8352" spans="1:24" x14ac:dyDescent="0.3">
      <c r="A8352">
        <v>26153</v>
      </c>
      <c r="B8352" t="s">
        <v>15531</v>
      </c>
      <c r="C8352" s="3">
        <v>41050</v>
      </c>
      <c r="D8352" t="s">
        <v>50</v>
      </c>
      <c r="E8352">
        <v>7</v>
      </c>
      <c r="F8352" s="3">
        <f ca="1">41051+(RANDBETWEEN(1,10))</f>
        <v>41053</v>
      </c>
      <c r="G8352" t="s">
        <v>26</v>
      </c>
      <c r="H8352" t="s">
        <v>27</v>
      </c>
      <c r="I8352" t="s">
        <v>28</v>
      </c>
      <c r="J8352">
        <v>763.52499999999998</v>
      </c>
      <c r="K8352">
        <v>0</v>
      </c>
      <c r="L8352">
        <v>0.51</v>
      </c>
      <c r="M8352">
        <v>19.25</v>
      </c>
      <c r="N8352">
        <v>-330.94600000000003</v>
      </c>
      <c r="O8352" s="1" t="s">
        <v>29</v>
      </c>
      <c r="P8352" s="1" t="s">
        <v>15519</v>
      </c>
      <c r="Q8352" s="1" t="s">
        <v>15520</v>
      </c>
      <c r="R8352" s="1" t="s">
        <v>675</v>
      </c>
      <c r="S8352" s="1" t="s">
        <v>1922</v>
      </c>
      <c r="T8352" s="1" t="s">
        <v>1923</v>
      </c>
      <c r="U8352" s="2" t="s">
        <v>2603</v>
      </c>
      <c r="V8352" s="2" t="s">
        <v>36</v>
      </c>
      <c r="W8352" s="2" t="s">
        <v>60</v>
      </c>
      <c r="X8352" s="2">
        <v>104.965</v>
      </c>
    </row>
    <row r="8353" spans="1:24" x14ac:dyDescent="0.3">
      <c r="A8353">
        <v>26154</v>
      </c>
      <c r="B8353" t="s">
        <v>15531</v>
      </c>
      <c r="C8353" s="3">
        <v>41050</v>
      </c>
      <c r="D8353" t="s">
        <v>50</v>
      </c>
      <c r="E8353">
        <v>1</v>
      </c>
      <c r="F8353" s="3">
        <f ca="1">41052+(RANDBETWEEN(1,10))</f>
        <v>41062</v>
      </c>
      <c r="G8353" t="s">
        <v>26</v>
      </c>
      <c r="H8353" t="s">
        <v>27</v>
      </c>
      <c r="I8353" t="s">
        <v>28</v>
      </c>
      <c r="J8353">
        <v>70.594999999999999</v>
      </c>
      <c r="K8353">
        <v>0.03</v>
      </c>
      <c r="L8353">
        <v>0.5</v>
      </c>
      <c r="M8353">
        <v>27.09</v>
      </c>
      <c r="N8353">
        <v>-18399.662189999999</v>
      </c>
      <c r="O8353" s="1" t="s">
        <v>29</v>
      </c>
      <c r="P8353" s="1" t="s">
        <v>15519</v>
      </c>
      <c r="Q8353" s="1" t="s">
        <v>15520</v>
      </c>
      <c r="R8353" s="1" t="s">
        <v>675</v>
      </c>
      <c r="S8353" s="1" t="s">
        <v>1922</v>
      </c>
      <c r="T8353" s="1" t="s">
        <v>1923</v>
      </c>
      <c r="U8353" s="2" t="s">
        <v>10689</v>
      </c>
      <c r="V8353" s="2" t="s">
        <v>83</v>
      </c>
      <c r="W8353" s="2" t="s">
        <v>178</v>
      </c>
      <c r="X8353" s="2">
        <v>56.56</v>
      </c>
    </row>
    <row r="8354" spans="1:24" x14ac:dyDescent="0.3">
      <c r="A8354">
        <v>26155</v>
      </c>
      <c r="B8354" t="s">
        <v>15532</v>
      </c>
      <c r="C8354" s="3">
        <v>41693</v>
      </c>
      <c r="D8354" t="s">
        <v>62</v>
      </c>
      <c r="E8354">
        <v>6</v>
      </c>
      <c r="F8354" s="3">
        <f ca="1">41694+(RANDBETWEEN(1,10))</f>
        <v>41696</v>
      </c>
      <c r="G8354" t="s">
        <v>26</v>
      </c>
      <c r="H8354" t="s">
        <v>27</v>
      </c>
      <c r="I8354" t="s">
        <v>97</v>
      </c>
      <c r="J8354">
        <v>796.88</v>
      </c>
      <c r="K8354">
        <v>0.03</v>
      </c>
      <c r="L8354">
        <v>0.56999999999999995</v>
      </c>
      <c r="M8354">
        <v>45.15</v>
      </c>
      <c r="N8354">
        <v>6.93</v>
      </c>
      <c r="O8354" s="1" t="s">
        <v>225</v>
      </c>
      <c r="P8354" s="1" t="s">
        <v>15533</v>
      </c>
      <c r="Q8354" s="1" t="s">
        <v>15534</v>
      </c>
      <c r="R8354" s="1" t="s">
        <v>228</v>
      </c>
      <c r="S8354" s="1" t="s">
        <v>554</v>
      </c>
      <c r="T8354" s="1" t="s">
        <v>555</v>
      </c>
      <c r="U8354" s="2" t="s">
        <v>4567</v>
      </c>
      <c r="V8354" s="2" t="s">
        <v>47</v>
      </c>
      <c r="W8354" s="2" t="s">
        <v>119</v>
      </c>
      <c r="X8354" s="2">
        <v>132.16</v>
      </c>
    </row>
    <row r="8355" spans="1:24" x14ac:dyDescent="0.3">
      <c r="A8355">
        <v>26156</v>
      </c>
      <c r="B8355" t="s">
        <v>15535</v>
      </c>
      <c r="C8355" s="3">
        <v>40691</v>
      </c>
      <c r="D8355" t="s">
        <v>25</v>
      </c>
      <c r="E8355">
        <v>7</v>
      </c>
      <c r="F8355" s="3">
        <f ca="1">40693+(RANDBETWEEN(1,10))</f>
        <v>40700</v>
      </c>
      <c r="G8355" t="s">
        <v>26</v>
      </c>
      <c r="H8355" t="s">
        <v>96</v>
      </c>
      <c r="I8355" t="s">
        <v>28</v>
      </c>
      <c r="J8355">
        <v>144.9</v>
      </c>
      <c r="K8355">
        <v>0.03</v>
      </c>
      <c r="L8355">
        <v>0.56000000000000005</v>
      </c>
      <c r="M8355">
        <v>7.9450000000000003</v>
      </c>
      <c r="N8355">
        <v>-17.78</v>
      </c>
      <c r="O8355" s="1" t="s">
        <v>40</v>
      </c>
      <c r="P8355" s="1" t="s">
        <v>15536</v>
      </c>
      <c r="Q8355" s="1" t="s">
        <v>15537</v>
      </c>
      <c r="R8355" s="1" t="s">
        <v>43</v>
      </c>
      <c r="S8355" s="1" t="s">
        <v>6589</v>
      </c>
      <c r="T8355" s="1" t="s">
        <v>6590</v>
      </c>
      <c r="U8355" s="2" t="s">
        <v>212</v>
      </c>
      <c r="V8355" s="2" t="s">
        <v>47</v>
      </c>
      <c r="W8355" s="2" t="s">
        <v>104</v>
      </c>
      <c r="X8355" s="2">
        <v>20.475000000000001</v>
      </c>
    </row>
    <row r="8356" spans="1:24" x14ac:dyDescent="0.3">
      <c r="A8356">
        <v>26157</v>
      </c>
      <c r="B8356" t="s">
        <v>15538</v>
      </c>
      <c r="C8356" s="3">
        <v>40707</v>
      </c>
      <c r="D8356" t="s">
        <v>39</v>
      </c>
      <c r="E8356">
        <v>3</v>
      </c>
      <c r="F8356" s="3">
        <f ca="1">40707+(RANDBETWEEN(1,10))</f>
        <v>40709</v>
      </c>
      <c r="G8356" t="s">
        <v>26</v>
      </c>
      <c r="H8356" t="s">
        <v>27</v>
      </c>
      <c r="I8356" t="s">
        <v>28</v>
      </c>
      <c r="J8356">
        <v>1877.0150000000001</v>
      </c>
      <c r="K8356">
        <v>7.0000000000000007E-2</v>
      </c>
      <c r="L8356">
        <v>0.56000000000000005</v>
      </c>
      <c r="M8356">
        <v>3.4649999999999999</v>
      </c>
      <c r="N8356">
        <v>-670.41800000000001</v>
      </c>
      <c r="O8356" s="1" t="s">
        <v>87</v>
      </c>
      <c r="P8356" s="1" t="s">
        <v>13964</v>
      </c>
      <c r="Q8356" s="1" t="s">
        <v>13965</v>
      </c>
      <c r="R8356" s="1" t="s">
        <v>398</v>
      </c>
      <c r="S8356" s="1" t="s">
        <v>771</v>
      </c>
      <c r="T8356" s="1" t="s">
        <v>772</v>
      </c>
      <c r="U8356" s="2" t="s">
        <v>10603</v>
      </c>
      <c r="V8356" s="2" t="s">
        <v>47</v>
      </c>
      <c r="W8356" s="2" t="s">
        <v>71</v>
      </c>
      <c r="X8356" s="2">
        <v>622.92999999999995</v>
      </c>
    </row>
    <row r="8357" spans="1:24" x14ac:dyDescent="0.3">
      <c r="A8357">
        <v>26158</v>
      </c>
      <c r="B8357" t="s">
        <v>15539</v>
      </c>
      <c r="C8357" s="3">
        <v>41803</v>
      </c>
      <c r="D8357" t="s">
        <v>39</v>
      </c>
      <c r="E8357">
        <v>4</v>
      </c>
      <c r="F8357" s="3">
        <f ca="1">41804+(RANDBETWEEN(1,10))</f>
        <v>41809</v>
      </c>
      <c r="G8357" t="s">
        <v>156</v>
      </c>
      <c r="H8357" t="s">
        <v>27</v>
      </c>
      <c r="I8357" t="s">
        <v>28</v>
      </c>
      <c r="J8357">
        <v>47.914999999999999</v>
      </c>
      <c r="K8357">
        <v>0.01</v>
      </c>
      <c r="L8357">
        <v>0.36</v>
      </c>
      <c r="M8357">
        <v>5.2149999999999999</v>
      </c>
      <c r="N8357">
        <v>-456.96420000000001</v>
      </c>
      <c r="O8357" s="1" t="s">
        <v>87</v>
      </c>
      <c r="P8357" s="1" t="s">
        <v>13964</v>
      </c>
      <c r="Q8357" s="1" t="s">
        <v>13965</v>
      </c>
      <c r="R8357" s="1" t="s">
        <v>398</v>
      </c>
      <c r="S8357" s="1" t="s">
        <v>771</v>
      </c>
      <c r="T8357" s="1" t="s">
        <v>772</v>
      </c>
      <c r="U8357" s="2" t="s">
        <v>4015</v>
      </c>
      <c r="V8357" s="2" t="s">
        <v>47</v>
      </c>
      <c r="W8357" s="2" t="s">
        <v>111</v>
      </c>
      <c r="X8357" s="2">
        <v>7.28</v>
      </c>
    </row>
    <row r="8358" spans="1:24" x14ac:dyDescent="0.3">
      <c r="A8358">
        <v>26159</v>
      </c>
      <c r="B8358" t="s">
        <v>15540</v>
      </c>
      <c r="C8358" s="3">
        <v>41282</v>
      </c>
      <c r="D8358" t="s">
        <v>148</v>
      </c>
      <c r="E8358">
        <v>10</v>
      </c>
      <c r="F8358" s="3">
        <f ca="1">41283+(RANDBETWEEN(1,10))</f>
        <v>41292</v>
      </c>
      <c r="G8358" t="s">
        <v>26</v>
      </c>
      <c r="H8358" t="s">
        <v>27</v>
      </c>
      <c r="I8358" t="s">
        <v>28</v>
      </c>
      <c r="J8358">
        <v>1882.51</v>
      </c>
      <c r="K8358">
        <v>0.03</v>
      </c>
      <c r="L8358">
        <v>0.57999999999999996</v>
      </c>
      <c r="M8358">
        <v>47.81</v>
      </c>
      <c r="N8358">
        <v>739.79920000000004</v>
      </c>
      <c r="O8358" s="1" t="s">
        <v>53</v>
      </c>
      <c r="P8358" s="1" t="s">
        <v>14206</v>
      </c>
      <c r="Q8358" s="1" t="s">
        <v>14207</v>
      </c>
      <c r="R8358" s="1" t="s">
        <v>56</v>
      </c>
      <c r="S8358" s="1" t="s">
        <v>14208</v>
      </c>
      <c r="T8358" s="1" t="s">
        <v>14209</v>
      </c>
      <c r="U8358" s="2" t="s">
        <v>3345</v>
      </c>
      <c r="V8358" s="2" t="s">
        <v>47</v>
      </c>
      <c r="W8358" s="2" t="s">
        <v>71</v>
      </c>
      <c r="X8358" s="2">
        <v>178.43</v>
      </c>
    </row>
    <row r="8359" spans="1:24" x14ac:dyDescent="0.3">
      <c r="A8359">
        <v>2616</v>
      </c>
      <c r="B8359" t="s">
        <v>15541</v>
      </c>
      <c r="C8359" s="3">
        <v>41762</v>
      </c>
      <c r="D8359" t="s">
        <v>62</v>
      </c>
      <c r="E8359">
        <v>18</v>
      </c>
      <c r="F8359" s="3">
        <f ca="1">41764+(RANDBETWEEN(1,10))</f>
        <v>41765</v>
      </c>
      <c r="G8359" t="s">
        <v>26</v>
      </c>
      <c r="H8359" t="s">
        <v>27</v>
      </c>
      <c r="I8359" t="s">
        <v>86</v>
      </c>
      <c r="J8359">
        <v>129.67500000000001</v>
      </c>
      <c r="K8359">
        <v>0.08</v>
      </c>
      <c r="L8359">
        <v>0.38</v>
      </c>
      <c r="M8359">
        <v>5.2149999999999999</v>
      </c>
      <c r="N8359">
        <v>-29.261749999999999</v>
      </c>
      <c r="O8359" s="1" t="s">
        <v>29</v>
      </c>
      <c r="P8359" s="1" t="s">
        <v>367</v>
      </c>
      <c r="Q8359" s="1" t="s">
        <v>368</v>
      </c>
      <c r="R8359" s="1" t="s">
        <v>32</v>
      </c>
      <c r="S8359" s="1" t="s">
        <v>33</v>
      </c>
      <c r="T8359" s="1" t="s">
        <v>369</v>
      </c>
      <c r="U8359" s="2" t="s">
        <v>7281</v>
      </c>
      <c r="V8359" s="2" t="s">
        <v>47</v>
      </c>
      <c r="W8359" s="2" t="s">
        <v>111</v>
      </c>
      <c r="X8359" s="2">
        <v>7.28</v>
      </c>
    </row>
    <row r="8360" spans="1:24" x14ac:dyDescent="0.3">
      <c r="A8360">
        <v>26160</v>
      </c>
      <c r="B8360" t="s">
        <v>15542</v>
      </c>
      <c r="C8360" s="3">
        <v>41365</v>
      </c>
      <c r="D8360" t="s">
        <v>39</v>
      </c>
      <c r="E8360">
        <v>11</v>
      </c>
      <c r="F8360" s="3">
        <f ca="1">41365+(RANDBETWEEN(1,10))</f>
        <v>41371</v>
      </c>
      <c r="G8360" t="s">
        <v>26</v>
      </c>
      <c r="H8360" t="s">
        <v>51</v>
      </c>
      <c r="I8360" t="s">
        <v>52</v>
      </c>
      <c r="J8360">
        <v>1654.415</v>
      </c>
      <c r="K8360">
        <v>0.02</v>
      </c>
      <c r="L8360">
        <v>0.44</v>
      </c>
      <c r="M8360">
        <v>6.9649999999999999</v>
      </c>
      <c r="N8360">
        <v>-172.48</v>
      </c>
      <c r="O8360" s="1" t="s">
        <v>87</v>
      </c>
      <c r="P8360" s="1" t="s">
        <v>15543</v>
      </c>
      <c r="Q8360" s="1" t="s">
        <v>15544</v>
      </c>
      <c r="R8360" s="1" t="s">
        <v>646</v>
      </c>
      <c r="S8360" s="1" t="s">
        <v>933</v>
      </c>
      <c r="T8360" s="1" t="s">
        <v>934</v>
      </c>
      <c r="U8360" s="2" t="s">
        <v>1469</v>
      </c>
      <c r="V8360" s="2" t="s">
        <v>36</v>
      </c>
      <c r="W8360" s="2" t="s">
        <v>60</v>
      </c>
      <c r="X8360" s="2">
        <v>143.43</v>
      </c>
    </row>
    <row r="8361" spans="1:24" x14ac:dyDescent="0.3">
      <c r="A8361">
        <v>26161</v>
      </c>
      <c r="B8361" t="s">
        <v>15545</v>
      </c>
      <c r="C8361" s="3">
        <v>41648</v>
      </c>
      <c r="D8361" t="s">
        <v>50</v>
      </c>
      <c r="E8361">
        <v>11</v>
      </c>
      <c r="F8361" s="3">
        <f ca="1">41650+(RANDBETWEEN(1,10))</f>
        <v>41658</v>
      </c>
      <c r="G8361" t="s">
        <v>26</v>
      </c>
      <c r="H8361" t="s">
        <v>96</v>
      </c>
      <c r="I8361" t="s">
        <v>28</v>
      </c>
      <c r="J8361">
        <v>120.295</v>
      </c>
      <c r="K8361">
        <v>7.0000000000000007E-2</v>
      </c>
      <c r="L8361">
        <v>0.4</v>
      </c>
      <c r="M8361">
        <v>4.7249999999999996</v>
      </c>
      <c r="N8361">
        <v>30.1112</v>
      </c>
      <c r="O8361" s="1" t="s">
        <v>29</v>
      </c>
      <c r="P8361" s="1" t="s">
        <v>15546</v>
      </c>
      <c r="Q8361" s="1" t="s">
        <v>15547</v>
      </c>
      <c r="R8361" s="1" t="s">
        <v>460</v>
      </c>
      <c r="S8361" s="1" t="s">
        <v>15548</v>
      </c>
      <c r="T8361" s="1" t="s">
        <v>15549</v>
      </c>
      <c r="U8361" s="2" t="s">
        <v>2529</v>
      </c>
      <c r="V8361" s="2" t="s">
        <v>47</v>
      </c>
      <c r="W8361" s="2" t="s">
        <v>176</v>
      </c>
      <c r="X8361" s="2">
        <v>11.515000000000001</v>
      </c>
    </row>
    <row r="8362" spans="1:24" x14ac:dyDescent="0.3">
      <c r="A8362">
        <v>26162</v>
      </c>
      <c r="B8362" t="s">
        <v>15550</v>
      </c>
      <c r="C8362" s="3">
        <v>41829</v>
      </c>
      <c r="D8362" t="s">
        <v>39</v>
      </c>
      <c r="E8362">
        <v>1</v>
      </c>
      <c r="F8362" s="3">
        <f ca="1">41831+(RANDBETWEEN(1,10))</f>
        <v>41838</v>
      </c>
      <c r="G8362" t="s">
        <v>26</v>
      </c>
      <c r="H8362" t="s">
        <v>27</v>
      </c>
      <c r="I8362" t="s">
        <v>28</v>
      </c>
      <c r="J8362">
        <v>12.46</v>
      </c>
      <c r="K8362">
        <v>0</v>
      </c>
      <c r="L8362">
        <v>0.43</v>
      </c>
      <c r="M8362">
        <v>18.655000000000001</v>
      </c>
      <c r="N8362">
        <v>-14.140560000000001</v>
      </c>
      <c r="O8362" s="1" t="s">
        <v>29</v>
      </c>
      <c r="P8362" s="1" t="s">
        <v>10835</v>
      </c>
      <c r="Q8362" s="1" t="s">
        <v>10836</v>
      </c>
      <c r="R8362" s="1" t="s">
        <v>460</v>
      </c>
      <c r="S8362" s="1" t="s">
        <v>3781</v>
      </c>
      <c r="T8362" s="1" t="s">
        <v>10837</v>
      </c>
      <c r="U8362" s="2" t="s">
        <v>2500</v>
      </c>
      <c r="V8362" s="2" t="s">
        <v>83</v>
      </c>
      <c r="W8362" s="2" t="s">
        <v>178</v>
      </c>
      <c r="X8362" s="2">
        <v>7.28</v>
      </c>
    </row>
    <row r="8363" spans="1:24" x14ac:dyDescent="0.3">
      <c r="A8363">
        <v>26163</v>
      </c>
      <c r="B8363" t="s">
        <v>15550</v>
      </c>
      <c r="C8363" s="3">
        <v>41829</v>
      </c>
      <c r="D8363" t="s">
        <v>39</v>
      </c>
      <c r="E8363">
        <v>14</v>
      </c>
      <c r="F8363" s="3">
        <f ca="1">41830+(RANDBETWEEN(1,10))</f>
        <v>41832</v>
      </c>
      <c r="G8363" t="s">
        <v>26</v>
      </c>
      <c r="H8363" t="s">
        <v>27</v>
      </c>
      <c r="I8363" t="s">
        <v>28</v>
      </c>
      <c r="J8363">
        <v>341.84500000000003</v>
      </c>
      <c r="K8363">
        <v>0.02</v>
      </c>
      <c r="L8363">
        <v>0.37</v>
      </c>
      <c r="M8363">
        <v>33.39</v>
      </c>
      <c r="N8363">
        <v>-659.02031999999997</v>
      </c>
      <c r="O8363" s="1" t="s">
        <v>29</v>
      </c>
      <c r="P8363" s="1" t="s">
        <v>10835</v>
      </c>
      <c r="Q8363" s="1" t="s">
        <v>10836</v>
      </c>
      <c r="R8363" s="1" t="s">
        <v>460</v>
      </c>
      <c r="S8363" s="1" t="s">
        <v>3781</v>
      </c>
      <c r="T8363" s="1" t="s">
        <v>10837</v>
      </c>
      <c r="U8363" s="2" t="s">
        <v>272</v>
      </c>
      <c r="V8363" s="2" t="s">
        <v>47</v>
      </c>
      <c r="W8363" s="2" t="s">
        <v>74</v>
      </c>
      <c r="X8363" s="2">
        <v>22.68</v>
      </c>
    </row>
    <row r="8364" spans="1:24" x14ac:dyDescent="0.3">
      <c r="A8364">
        <v>26164</v>
      </c>
      <c r="B8364" t="s">
        <v>15550</v>
      </c>
      <c r="C8364" s="3">
        <v>41829</v>
      </c>
      <c r="D8364" t="s">
        <v>39</v>
      </c>
      <c r="E8364">
        <v>2</v>
      </c>
      <c r="F8364" s="3">
        <f ca="1">41829+(RANDBETWEEN(1,10))</f>
        <v>41831</v>
      </c>
      <c r="G8364" t="s">
        <v>156</v>
      </c>
      <c r="H8364" t="s">
        <v>27</v>
      </c>
      <c r="I8364" t="s">
        <v>28</v>
      </c>
      <c r="J8364">
        <v>455.59500000000003</v>
      </c>
      <c r="K8364">
        <v>0.09</v>
      </c>
      <c r="L8364">
        <v>0.73</v>
      </c>
      <c r="M8364">
        <v>24.08</v>
      </c>
      <c r="N8364">
        <v>-242.94311999999999</v>
      </c>
      <c r="O8364" s="1" t="s">
        <v>29</v>
      </c>
      <c r="P8364" s="1" t="s">
        <v>14989</v>
      </c>
      <c r="Q8364" s="1" t="s">
        <v>14990</v>
      </c>
      <c r="R8364" s="1" t="s">
        <v>32</v>
      </c>
      <c r="S8364" s="1" t="s">
        <v>13096</v>
      </c>
      <c r="T8364" s="1" t="s">
        <v>13097</v>
      </c>
      <c r="U8364" s="2" t="s">
        <v>2091</v>
      </c>
      <c r="V8364" s="2" t="s">
        <v>47</v>
      </c>
      <c r="W8364" s="2" t="s">
        <v>119</v>
      </c>
      <c r="X8364" s="2">
        <v>227.43</v>
      </c>
    </row>
    <row r="8365" spans="1:24" x14ac:dyDescent="0.3">
      <c r="A8365">
        <v>26165</v>
      </c>
      <c r="B8365" t="s">
        <v>15551</v>
      </c>
      <c r="C8365" s="3">
        <v>41881</v>
      </c>
      <c r="D8365" t="s">
        <v>39</v>
      </c>
      <c r="E8365">
        <v>23</v>
      </c>
      <c r="F8365" s="3">
        <f ca="1">41882+(RANDBETWEEN(1,10))</f>
        <v>41884</v>
      </c>
      <c r="G8365" t="s">
        <v>26</v>
      </c>
      <c r="H8365" t="s">
        <v>27</v>
      </c>
      <c r="I8365" t="s">
        <v>97</v>
      </c>
      <c r="J8365">
        <v>561.01499999999999</v>
      </c>
      <c r="K8365">
        <v>0.1</v>
      </c>
      <c r="L8365">
        <v>0.39</v>
      </c>
      <c r="M8365">
        <v>21.175000000000001</v>
      </c>
      <c r="N8365">
        <v>-169.46538000000001</v>
      </c>
      <c r="O8365" s="1" t="s">
        <v>29</v>
      </c>
      <c r="P8365" s="1" t="s">
        <v>8335</v>
      </c>
      <c r="Q8365" s="1" t="s">
        <v>8336</v>
      </c>
      <c r="R8365" s="1" t="s">
        <v>32</v>
      </c>
      <c r="S8365" s="1" t="s">
        <v>7445</v>
      </c>
      <c r="T8365" s="1" t="s">
        <v>6825</v>
      </c>
      <c r="U8365" s="2" t="s">
        <v>2669</v>
      </c>
      <c r="V8365" s="2" t="s">
        <v>47</v>
      </c>
      <c r="W8365" s="2" t="s">
        <v>111</v>
      </c>
      <c r="X8365" s="2">
        <v>24.85</v>
      </c>
    </row>
    <row r="8366" spans="1:24" x14ac:dyDescent="0.3">
      <c r="A8366">
        <v>26166</v>
      </c>
      <c r="B8366" t="s">
        <v>15551</v>
      </c>
      <c r="C8366" s="3">
        <v>41881</v>
      </c>
      <c r="D8366" t="s">
        <v>39</v>
      </c>
      <c r="E8366">
        <v>8</v>
      </c>
      <c r="F8366" s="3">
        <f ca="1">41881+(RANDBETWEEN(1,10))</f>
        <v>41888</v>
      </c>
      <c r="G8366" t="s">
        <v>76</v>
      </c>
      <c r="H8366" t="s">
        <v>258</v>
      </c>
      <c r="I8366" t="s">
        <v>97</v>
      </c>
      <c r="J8366">
        <v>3524.15</v>
      </c>
      <c r="K8366">
        <v>0.01</v>
      </c>
      <c r="L8366">
        <v>0.39</v>
      </c>
      <c r="M8366">
        <v>196.49</v>
      </c>
      <c r="N8366">
        <v>-146.07279120000001</v>
      </c>
      <c r="O8366" s="1" t="s">
        <v>29</v>
      </c>
      <c r="P8366" s="1" t="s">
        <v>8335</v>
      </c>
      <c r="Q8366" s="1" t="s">
        <v>8336</v>
      </c>
      <c r="R8366" s="1" t="s">
        <v>32</v>
      </c>
      <c r="S8366" s="1" t="s">
        <v>7445</v>
      </c>
      <c r="T8366" s="1" t="s">
        <v>6825</v>
      </c>
      <c r="U8366" s="2" t="s">
        <v>5088</v>
      </c>
      <c r="V8366" s="2" t="s">
        <v>36</v>
      </c>
      <c r="W8366" s="2" t="s">
        <v>142</v>
      </c>
      <c r="X8366" s="2">
        <v>419.96499999999997</v>
      </c>
    </row>
    <row r="8367" spans="1:24" x14ac:dyDescent="0.3">
      <c r="A8367">
        <v>26167</v>
      </c>
      <c r="B8367" t="s">
        <v>15552</v>
      </c>
      <c r="C8367" s="3">
        <v>41040</v>
      </c>
      <c r="D8367" t="s">
        <v>148</v>
      </c>
      <c r="E8367">
        <v>2</v>
      </c>
      <c r="F8367" s="3">
        <f ca="1">41042+(RANDBETWEEN(1,10))</f>
        <v>41044</v>
      </c>
      <c r="G8367" t="s">
        <v>26</v>
      </c>
      <c r="H8367" t="s">
        <v>27</v>
      </c>
      <c r="I8367" t="s">
        <v>52</v>
      </c>
      <c r="J8367">
        <v>3035.27</v>
      </c>
      <c r="K8367">
        <v>0</v>
      </c>
      <c r="L8367">
        <v>0.35</v>
      </c>
      <c r="M8367">
        <v>69.965000000000003</v>
      </c>
      <c r="N8367">
        <v>1456.0542499999999</v>
      </c>
      <c r="O8367" s="1" t="s">
        <v>29</v>
      </c>
      <c r="P8367" s="1" t="s">
        <v>4419</v>
      </c>
      <c r="Q8367" s="1" t="s">
        <v>4420</v>
      </c>
      <c r="R8367" s="1" t="s">
        <v>32</v>
      </c>
      <c r="S8367" s="1" t="s">
        <v>4421</v>
      </c>
      <c r="T8367" s="1" t="s">
        <v>4422</v>
      </c>
      <c r="U8367" s="2" t="s">
        <v>1352</v>
      </c>
      <c r="V8367" s="2" t="s">
        <v>47</v>
      </c>
      <c r="W8367" s="2" t="s">
        <v>111</v>
      </c>
      <c r="X8367" s="2">
        <v>1473.43</v>
      </c>
    </row>
    <row r="8368" spans="1:24" x14ac:dyDescent="0.3">
      <c r="A8368">
        <v>26168</v>
      </c>
      <c r="B8368" t="s">
        <v>15552</v>
      </c>
      <c r="C8368" s="3">
        <v>41040</v>
      </c>
      <c r="D8368" t="s">
        <v>148</v>
      </c>
      <c r="E8368">
        <v>16</v>
      </c>
      <c r="F8368" s="3">
        <f ca="1">41041+(RANDBETWEEN(1,10))</f>
        <v>41042</v>
      </c>
      <c r="G8368" t="s">
        <v>26</v>
      </c>
      <c r="H8368" t="s">
        <v>27</v>
      </c>
      <c r="I8368" t="s">
        <v>52</v>
      </c>
      <c r="J8368">
        <v>385.73500000000001</v>
      </c>
      <c r="K8368">
        <v>0.02</v>
      </c>
      <c r="L8368">
        <v>0.36</v>
      </c>
      <c r="M8368">
        <v>33.880000000000003</v>
      </c>
      <c r="N8368">
        <v>-834.57500000000005</v>
      </c>
      <c r="O8368" s="1" t="s">
        <v>29</v>
      </c>
      <c r="P8368" s="1" t="s">
        <v>4419</v>
      </c>
      <c r="Q8368" s="1" t="s">
        <v>4420</v>
      </c>
      <c r="R8368" s="1" t="s">
        <v>32</v>
      </c>
      <c r="S8368" s="1" t="s">
        <v>4421</v>
      </c>
      <c r="T8368" s="1" t="s">
        <v>4422</v>
      </c>
      <c r="U8368" s="2" t="s">
        <v>6485</v>
      </c>
      <c r="V8368" s="2" t="s">
        <v>47</v>
      </c>
      <c r="W8368" s="2" t="s">
        <v>74</v>
      </c>
      <c r="X8368" s="2">
        <v>22.68</v>
      </c>
    </row>
    <row r="8369" spans="1:24" x14ac:dyDescent="0.3">
      <c r="A8369">
        <v>26169</v>
      </c>
      <c r="B8369" t="s">
        <v>15552</v>
      </c>
      <c r="C8369" s="3">
        <v>41040</v>
      </c>
      <c r="D8369" t="s">
        <v>148</v>
      </c>
      <c r="E8369">
        <v>17</v>
      </c>
      <c r="F8369" s="3">
        <f ca="1">41042+(RANDBETWEEN(1,10))</f>
        <v>41049</v>
      </c>
      <c r="G8369" t="s">
        <v>26</v>
      </c>
      <c r="H8369" t="s">
        <v>96</v>
      </c>
      <c r="I8369" t="s">
        <v>52</v>
      </c>
      <c r="J8369">
        <v>2059.9250000000002</v>
      </c>
      <c r="K8369">
        <v>7.0000000000000007E-2</v>
      </c>
      <c r="L8369">
        <v>0.41</v>
      </c>
      <c r="M8369">
        <v>48.615000000000002</v>
      </c>
      <c r="N8369">
        <v>709.38</v>
      </c>
      <c r="O8369" s="1" t="s">
        <v>40</v>
      </c>
      <c r="P8369" s="1" t="s">
        <v>15553</v>
      </c>
      <c r="Q8369" s="1" t="s">
        <v>15554</v>
      </c>
      <c r="R8369" s="1" t="s">
        <v>43</v>
      </c>
      <c r="S8369" s="1" t="s">
        <v>540</v>
      </c>
      <c r="T8369" s="1" t="s">
        <v>541</v>
      </c>
      <c r="U8369" s="2" t="s">
        <v>530</v>
      </c>
      <c r="V8369" s="2" t="s">
        <v>47</v>
      </c>
      <c r="W8369" s="2" t="s">
        <v>104</v>
      </c>
      <c r="X8369" s="2">
        <v>127.925</v>
      </c>
    </row>
    <row r="8370" spans="1:24" x14ac:dyDescent="0.3">
      <c r="A8370">
        <v>26170</v>
      </c>
      <c r="B8370" t="s">
        <v>15555</v>
      </c>
      <c r="C8370" s="3">
        <v>41366</v>
      </c>
      <c r="D8370" t="s">
        <v>25</v>
      </c>
      <c r="E8370">
        <v>13</v>
      </c>
      <c r="F8370" s="3">
        <f ca="1">41371+(RANDBETWEEN(1,10))</f>
        <v>41375</v>
      </c>
      <c r="G8370" t="s">
        <v>26</v>
      </c>
      <c r="H8370" t="s">
        <v>96</v>
      </c>
      <c r="I8370" t="s">
        <v>28</v>
      </c>
      <c r="J8370">
        <v>174.51</v>
      </c>
      <c r="K8370">
        <v>0.04</v>
      </c>
      <c r="L8370">
        <v>0.52</v>
      </c>
      <c r="M8370">
        <v>2.4500000000000002</v>
      </c>
      <c r="N8370">
        <v>120.4119</v>
      </c>
      <c r="O8370" s="1" t="s">
        <v>29</v>
      </c>
      <c r="P8370" s="1" t="s">
        <v>15556</v>
      </c>
      <c r="Q8370" s="1" t="s">
        <v>15557</v>
      </c>
      <c r="R8370" s="1" t="s">
        <v>675</v>
      </c>
      <c r="S8370" s="1" t="s">
        <v>15558</v>
      </c>
      <c r="T8370" s="1" t="s">
        <v>15559</v>
      </c>
      <c r="U8370" s="2" t="s">
        <v>2896</v>
      </c>
      <c r="V8370" s="2" t="s">
        <v>47</v>
      </c>
      <c r="W8370" s="2" t="s">
        <v>104</v>
      </c>
      <c r="X8370" s="2">
        <v>13.93</v>
      </c>
    </row>
    <row r="8371" spans="1:24" x14ac:dyDescent="0.3">
      <c r="A8371">
        <v>26171</v>
      </c>
      <c r="B8371" t="s">
        <v>15555</v>
      </c>
      <c r="C8371" s="3">
        <v>41366</v>
      </c>
      <c r="D8371" t="s">
        <v>25</v>
      </c>
      <c r="E8371">
        <v>4</v>
      </c>
      <c r="F8371" s="3">
        <f ca="1">41370+(RANDBETWEEN(1,10))</f>
        <v>41371</v>
      </c>
      <c r="G8371" t="s">
        <v>156</v>
      </c>
      <c r="H8371" t="s">
        <v>96</v>
      </c>
      <c r="I8371" t="s">
        <v>28</v>
      </c>
      <c r="J8371">
        <v>33.424999999999997</v>
      </c>
      <c r="K8371">
        <v>7.0000000000000007E-2</v>
      </c>
      <c r="L8371">
        <v>0.38</v>
      </c>
      <c r="M8371">
        <v>3.5</v>
      </c>
      <c r="N8371">
        <v>15.19</v>
      </c>
      <c r="O8371" s="1" t="s">
        <v>53</v>
      </c>
      <c r="P8371" s="1" t="s">
        <v>15560</v>
      </c>
      <c r="Q8371" s="1" t="s">
        <v>15561</v>
      </c>
      <c r="R8371" s="1" t="s">
        <v>100</v>
      </c>
      <c r="S8371" s="1" t="s">
        <v>3040</v>
      </c>
      <c r="T8371" s="1" t="s">
        <v>3041</v>
      </c>
      <c r="U8371" s="2" t="s">
        <v>671</v>
      </c>
      <c r="V8371" s="2" t="s">
        <v>47</v>
      </c>
      <c r="W8371" s="2" t="s">
        <v>104</v>
      </c>
      <c r="X8371" s="2">
        <v>7.7350000000000003</v>
      </c>
    </row>
    <row r="8372" spans="1:24" x14ac:dyDescent="0.3">
      <c r="A8372">
        <v>26172</v>
      </c>
      <c r="B8372" t="s">
        <v>15562</v>
      </c>
      <c r="C8372" s="3">
        <v>41400</v>
      </c>
      <c r="D8372" t="s">
        <v>39</v>
      </c>
      <c r="E8372">
        <v>11</v>
      </c>
      <c r="F8372" s="3">
        <f ca="1">41403+(RANDBETWEEN(1,10))</f>
        <v>41404</v>
      </c>
      <c r="G8372" t="s">
        <v>26</v>
      </c>
      <c r="H8372" t="s">
        <v>27</v>
      </c>
      <c r="I8372" t="s">
        <v>28</v>
      </c>
      <c r="J8372">
        <v>2216.9</v>
      </c>
      <c r="K8372">
        <v>0.02</v>
      </c>
      <c r="L8372">
        <v>0.37</v>
      </c>
      <c r="M8372">
        <v>50.05</v>
      </c>
      <c r="N8372">
        <v>1529.6610000000001</v>
      </c>
      <c r="O8372" s="1" t="s">
        <v>40</v>
      </c>
      <c r="P8372" s="1" t="s">
        <v>13018</v>
      </c>
      <c r="Q8372" s="1" t="s">
        <v>13019</v>
      </c>
      <c r="R8372" s="1" t="s">
        <v>43</v>
      </c>
      <c r="S8372" s="1" t="s">
        <v>5998</v>
      </c>
      <c r="T8372" s="1" t="s">
        <v>10905</v>
      </c>
      <c r="U8372" s="2" t="s">
        <v>1168</v>
      </c>
      <c r="V8372" s="2" t="s">
        <v>47</v>
      </c>
      <c r="W8372" s="2" t="s">
        <v>74</v>
      </c>
      <c r="X8372" s="2">
        <v>194.18</v>
      </c>
    </row>
    <row r="8373" spans="1:24" x14ac:dyDescent="0.3">
      <c r="A8373">
        <v>26173</v>
      </c>
      <c r="B8373" t="s">
        <v>15563</v>
      </c>
      <c r="C8373" s="3">
        <v>41456</v>
      </c>
      <c r="D8373" t="s">
        <v>39</v>
      </c>
      <c r="E8373">
        <v>4</v>
      </c>
      <c r="F8373" s="3">
        <f ca="1">41457+(RANDBETWEEN(1,10))</f>
        <v>41467</v>
      </c>
      <c r="G8373" t="s">
        <v>76</v>
      </c>
      <c r="H8373" t="s">
        <v>77</v>
      </c>
      <c r="I8373" t="s">
        <v>97</v>
      </c>
      <c r="J8373">
        <v>2571.66</v>
      </c>
      <c r="K8373">
        <v>0.01</v>
      </c>
      <c r="L8373">
        <v>0.69</v>
      </c>
      <c r="M8373">
        <v>105</v>
      </c>
      <c r="N8373">
        <v>-157.57</v>
      </c>
      <c r="O8373" s="1" t="s">
        <v>225</v>
      </c>
      <c r="P8373" s="1" t="s">
        <v>7408</v>
      </c>
      <c r="Q8373" s="1" t="s">
        <v>7409</v>
      </c>
      <c r="R8373" s="1" t="s">
        <v>391</v>
      </c>
      <c r="S8373" s="1" t="s">
        <v>669</v>
      </c>
      <c r="T8373" s="1" t="s">
        <v>670</v>
      </c>
      <c r="U8373" s="2" t="s">
        <v>5090</v>
      </c>
      <c r="V8373" s="2" t="s">
        <v>83</v>
      </c>
      <c r="W8373" s="2" t="s">
        <v>84</v>
      </c>
      <c r="X8373" s="2">
        <v>633.42999999999995</v>
      </c>
    </row>
    <row r="8374" spans="1:24" x14ac:dyDescent="0.3">
      <c r="A8374">
        <v>26174</v>
      </c>
      <c r="B8374" t="s">
        <v>15563</v>
      </c>
      <c r="C8374" s="3">
        <v>41456</v>
      </c>
      <c r="D8374" t="s">
        <v>39</v>
      </c>
      <c r="E8374">
        <v>10</v>
      </c>
      <c r="F8374" s="3">
        <f ca="1">41458+(RANDBETWEEN(1,10))</f>
        <v>41465</v>
      </c>
      <c r="G8374" t="s">
        <v>26</v>
      </c>
      <c r="H8374" t="s">
        <v>27</v>
      </c>
      <c r="I8374" t="s">
        <v>97</v>
      </c>
      <c r="J8374">
        <v>1789.0250000000001</v>
      </c>
      <c r="K8374">
        <v>0</v>
      </c>
      <c r="L8374">
        <v>0.37</v>
      </c>
      <c r="M8374">
        <v>20.265000000000001</v>
      </c>
      <c r="N8374">
        <v>1234.42725</v>
      </c>
      <c r="O8374" s="1" t="s">
        <v>225</v>
      </c>
      <c r="P8374" s="1" t="s">
        <v>7408</v>
      </c>
      <c r="Q8374" s="1" t="s">
        <v>7409</v>
      </c>
      <c r="R8374" s="1" t="s">
        <v>391</v>
      </c>
      <c r="S8374" s="1" t="s">
        <v>669</v>
      </c>
      <c r="T8374" s="1" t="s">
        <v>670</v>
      </c>
      <c r="U8374" s="2" t="s">
        <v>8002</v>
      </c>
      <c r="V8374" s="2" t="s">
        <v>47</v>
      </c>
      <c r="W8374" s="2" t="s">
        <v>74</v>
      </c>
      <c r="X8374" s="2">
        <v>168.14</v>
      </c>
    </row>
    <row r="8375" spans="1:24" x14ac:dyDescent="0.3">
      <c r="A8375">
        <v>26175</v>
      </c>
      <c r="B8375" t="s">
        <v>15563</v>
      </c>
      <c r="C8375" s="3">
        <v>41456</v>
      </c>
      <c r="D8375" t="s">
        <v>39</v>
      </c>
      <c r="E8375">
        <v>7</v>
      </c>
      <c r="F8375" s="3">
        <f ca="1">41458+(RANDBETWEEN(1,10))</f>
        <v>41464</v>
      </c>
      <c r="G8375" t="s">
        <v>76</v>
      </c>
      <c r="H8375" t="s">
        <v>258</v>
      </c>
      <c r="I8375" t="s">
        <v>97</v>
      </c>
      <c r="J8375">
        <v>7336.5950000000003</v>
      </c>
      <c r="K8375">
        <v>0.09</v>
      </c>
      <c r="L8375">
        <v>0.71</v>
      </c>
      <c r="M8375">
        <v>148.82</v>
      </c>
      <c r="N8375">
        <v>1893.5350000000001</v>
      </c>
      <c r="O8375" s="1" t="s">
        <v>225</v>
      </c>
      <c r="P8375" s="1" t="s">
        <v>7408</v>
      </c>
      <c r="Q8375" s="1" t="s">
        <v>7409</v>
      </c>
      <c r="R8375" s="1" t="s">
        <v>391</v>
      </c>
      <c r="S8375" s="1" t="s">
        <v>669</v>
      </c>
      <c r="T8375" s="1" t="s">
        <v>670</v>
      </c>
      <c r="U8375" s="2" t="s">
        <v>2984</v>
      </c>
      <c r="V8375" s="2" t="s">
        <v>83</v>
      </c>
      <c r="W8375" s="2" t="s">
        <v>263</v>
      </c>
      <c r="X8375" s="2">
        <v>1403.43</v>
      </c>
    </row>
    <row r="8376" spans="1:24" x14ac:dyDescent="0.3">
      <c r="A8376">
        <v>26176</v>
      </c>
      <c r="B8376" t="s">
        <v>15564</v>
      </c>
      <c r="C8376" s="3">
        <v>40611</v>
      </c>
      <c r="D8376" t="s">
        <v>39</v>
      </c>
      <c r="E8376">
        <v>11</v>
      </c>
      <c r="F8376" s="3">
        <f ca="1">40612+(RANDBETWEEN(1,10))</f>
        <v>40618</v>
      </c>
      <c r="G8376" t="s">
        <v>26</v>
      </c>
      <c r="H8376" t="s">
        <v>51</v>
      </c>
      <c r="I8376" t="s">
        <v>97</v>
      </c>
      <c r="J8376">
        <v>773.22</v>
      </c>
      <c r="K8376">
        <v>0.04</v>
      </c>
      <c r="L8376">
        <v>0.44</v>
      </c>
      <c r="M8376">
        <v>21.524999999999999</v>
      </c>
      <c r="N8376">
        <v>533.52179999999998</v>
      </c>
      <c r="O8376" s="1" t="s">
        <v>40</v>
      </c>
      <c r="P8376" s="1" t="s">
        <v>14456</v>
      </c>
      <c r="Q8376" s="1" t="s">
        <v>14457</v>
      </c>
      <c r="R8376" s="1" t="s">
        <v>220</v>
      </c>
      <c r="S8376" s="1" t="s">
        <v>2607</v>
      </c>
      <c r="T8376" s="1" t="s">
        <v>2608</v>
      </c>
      <c r="U8376" s="2" t="s">
        <v>3649</v>
      </c>
      <c r="V8376" s="2" t="s">
        <v>83</v>
      </c>
      <c r="W8376" s="2" t="s">
        <v>178</v>
      </c>
      <c r="X8376" s="2">
        <v>67.305000000000007</v>
      </c>
    </row>
    <row r="8377" spans="1:24" x14ac:dyDescent="0.3">
      <c r="A8377">
        <v>26177</v>
      </c>
      <c r="B8377" t="s">
        <v>15565</v>
      </c>
      <c r="C8377" s="3">
        <v>41766</v>
      </c>
      <c r="D8377" t="s">
        <v>25</v>
      </c>
      <c r="E8377">
        <v>4</v>
      </c>
      <c r="F8377" s="3">
        <f ca="1">41768+(RANDBETWEEN(1,10))</f>
        <v>41773</v>
      </c>
      <c r="G8377" t="s">
        <v>26</v>
      </c>
      <c r="H8377" t="s">
        <v>27</v>
      </c>
      <c r="I8377" t="s">
        <v>97</v>
      </c>
      <c r="J8377">
        <v>348.005</v>
      </c>
      <c r="K8377">
        <v>0.01</v>
      </c>
      <c r="L8377">
        <v>0.38</v>
      </c>
      <c r="M8377">
        <v>52.85</v>
      </c>
      <c r="N8377">
        <v>-124.65425</v>
      </c>
      <c r="O8377" s="1" t="s">
        <v>64</v>
      </c>
      <c r="P8377" s="1" t="s">
        <v>15566</v>
      </c>
      <c r="Q8377" s="1" t="s">
        <v>15567</v>
      </c>
      <c r="R8377" s="1" t="s">
        <v>67</v>
      </c>
      <c r="S8377" s="1" t="s">
        <v>5776</v>
      </c>
      <c r="T8377" s="1" t="s">
        <v>15568</v>
      </c>
      <c r="U8377" s="2" t="s">
        <v>2602</v>
      </c>
      <c r="V8377" s="2" t="s">
        <v>47</v>
      </c>
      <c r="W8377" s="2" t="s">
        <v>111</v>
      </c>
      <c r="X8377" s="2">
        <v>78.33</v>
      </c>
    </row>
    <row r="8378" spans="1:24" x14ac:dyDescent="0.3">
      <c r="A8378">
        <v>26178</v>
      </c>
      <c r="B8378" t="s">
        <v>15569</v>
      </c>
      <c r="C8378" s="3">
        <v>41433</v>
      </c>
      <c r="D8378" t="s">
        <v>39</v>
      </c>
      <c r="E8378">
        <v>10</v>
      </c>
      <c r="F8378" s="3">
        <f ca="1">41434+(RANDBETWEEN(1,10))</f>
        <v>41438</v>
      </c>
      <c r="G8378" t="s">
        <v>26</v>
      </c>
      <c r="H8378" t="s">
        <v>27</v>
      </c>
      <c r="I8378" t="s">
        <v>86</v>
      </c>
      <c r="J8378">
        <v>2641.835</v>
      </c>
      <c r="K8378">
        <v>0.09</v>
      </c>
      <c r="L8378">
        <v>0.56999999999999995</v>
      </c>
      <c r="M8378">
        <v>3.4649999999999999</v>
      </c>
      <c r="N8378">
        <v>1822.8661500000001</v>
      </c>
      <c r="O8378" s="1" t="s">
        <v>29</v>
      </c>
      <c r="P8378" s="1" t="s">
        <v>11122</v>
      </c>
      <c r="Q8378" s="1" t="s">
        <v>11123</v>
      </c>
      <c r="R8378" s="1" t="s">
        <v>32</v>
      </c>
      <c r="S8378" s="1" t="s">
        <v>11124</v>
      </c>
      <c r="T8378" s="1" t="s">
        <v>11125</v>
      </c>
      <c r="U8378" s="2" t="s">
        <v>6376</v>
      </c>
      <c r="V8378" s="2" t="s">
        <v>47</v>
      </c>
      <c r="W8378" s="2" t="s">
        <v>71</v>
      </c>
      <c r="X8378" s="2">
        <v>284.62</v>
      </c>
    </row>
    <row r="8379" spans="1:24" x14ac:dyDescent="0.3">
      <c r="A8379">
        <v>26179</v>
      </c>
      <c r="B8379" t="s">
        <v>15569</v>
      </c>
      <c r="C8379" s="3">
        <v>41433</v>
      </c>
      <c r="D8379" t="s">
        <v>39</v>
      </c>
      <c r="E8379">
        <v>5</v>
      </c>
      <c r="F8379" s="3">
        <f ca="1">41433+(RANDBETWEEN(1,10))</f>
        <v>41440</v>
      </c>
      <c r="G8379" t="s">
        <v>26</v>
      </c>
      <c r="H8379" t="s">
        <v>96</v>
      </c>
      <c r="I8379" t="s">
        <v>86</v>
      </c>
      <c r="J8379">
        <v>66.08</v>
      </c>
      <c r="K8379">
        <v>0.06</v>
      </c>
      <c r="L8379">
        <v>0.35</v>
      </c>
      <c r="M8379">
        <v>6.7549999999999999</v>
      </c>
      <c r="N8379">
        <v>-0.86799999999999999</v>
      </c>
      <c r="O8379" s="1" t="s">
        <v>29</v>
      </c>
      <c r="P8379" s="1" t="s">
        <v>11122</v>
      </c>
      <c r="Q8379" s="1" t="s">
        <v>11123</v>
      </c>
      <c r="R8379" s="1" t="s">
        <v>32</v>
      </c>
      <c r="S8379" s="1" t="s">
        <v>11124</v>
      </c>
      <c r="T8379" s="1" t="s">
        <v>11125</v>
      </c>
      <c r="U8379" s="2" t="s">
        <v>4373</v>
      </c>
      <c r="V8379" s="2" t="s">
        <v>47</v>
      </c>
      <c r="W8379" s="2" t="s">
        <v>74</v>
      </c>
      <c r="X8379" s="2">
        <v>12.984999999999999</v>
      </c>
    </row>
    <row r="8380" spans="1:24" x14ac:dyDescent="0.3">
      <c r="A8380">
        <v>26180</v>
      </c>
      <c r="B8380" t="s">
        <v>15569</v>
      </c>
      <c r="C8380" s="3">
        <v>41433</v>
      </c>
      <c r="D8380" t="s">
        <v>39</v>
      </c>
      <c r="E8380">
        <v>15</v>
      </c>
      <c r="F8380" s="3">
        <f ca="1">41434+(RANDBETWEEN(1,10))</f>
        <v>41443</v>
      </c>
      <c r="G8380" t="s">
        <v>26</v>
      </c>
      <c r="H8380" t="s">
        <v>27</v>
      </c>
      <c r="I8380" t="s">
        <v>86</v>
      </c>
      <c r="J8380">
        <v>344.435</v>
      </c>
      <c r="K8380">
        <v>0.06</v>
      </c>
      <c r="L8380">
        <v>0.37</v>
      </c>
      <c r="M8380">
        <v>20.79</v>
      </c>
      <c r="N8380">
        <v>-215.376</v>
      </c>
      <c r="O8380" s="1" t="s">
        <v>29</v>
      </c>
      <c r="P8380" s="1" t="s">
        <v>11122</v>
      </c>
      <c r="Q8380" s="1" t="s">
        <v>11123</v>
      </c>
      <c r="R8380" s="1" t="s">
        <v>32</v>
      </c>
      <c r="S8380" s="1" t="s">
        <v>11124</v>
      </c>
      <c r="T8380" s="1" t="s">
        <v>11125</v>
      </c>
      <c r="U8380" s="2" t="s">
        <v>3813</v>
      </c>
      <c r="V8380" s="2" t="s">
        <v>47</v>
      </c>
      <c r="W8380" s="2" t="s">
        <v>74</v>
      </c>
      <c r="X8380" s="2">
        <v>22.68</v>
      </c>
    </row>
    <row r="8381" spans="1:24" x14ac:dyDescent="0.3">
      <c r="A8381">
        <v>26181</v>
      </c>
      <c r="B8381" t="s">
        <v>15569</v>
      </c>
      <c r="C8381" s="3">
        <v>41433</v>
      </c>
      <c r="D8381" t="s">
        <v>39</v>
      </c>
      <c r="E8381">
        <v>19</v>
      </c>
      <c r="F8381" s="3">
        <f ca="1">41435+(RANDBETWEEN(1,10))</f>
        <v>41437</v>
      </c>
      <c r="G8381" t="s">
        <v>26</v>
      </c>
      <c r="H8381" t="s">
        <v>27</v>
      </c>
      <c r="I8381" t="s">
        <v>86</v>
      </c>
      <c r="J8381">
        <v>1262.24</v>
      </c>
      <c r="K8381">
        <v>0.01</v>
      </c>
      <c r="L8381">
        <v>0.37</v>
      </c>
      <c r="M8381">
        <v>31.605</v>
      </c>
      <c r="N8381">
        <v>394.8</v>
      </c>
      <c r="O8381" s="1" t="s">
        <v>64</v>
      </c>
      <c r="P8381" s="1" t="s">
        <v>15570</v>
      </c>
      <c r="Q8381" s="1" t="s">
        <v>15571</v>
      </c>
      <c r="R8381" s="1" t="s">
        <v>128</v>
      </c>
      <c r="S8381" s="1" t="s">
        <v>1312</v>
      </c>
      <c r="T8381" s="1" t="s">
        <v>1313</v>
      </c>
      <c r="U8381" s="2" t="s">
        <v>482</v>
      </c>
      <c r="V8381" s="2" t="s">
        <v>47</v>
      </c>
      <c r="W8381" s="2" t="s">
        <v>74</v>
      </c>
      <c r="X8381" s="2">
        <v>66.394999999999996</v>
      </c>
    </row>
    <row r="8382" spans="1:24" x14ac:dyDescent="0.3">
      <c r="A8382">
        <v>26182</v>
      </c>
      <c r="B8382" t="s">
        <v>15569</v>
      </c>
      <c r="C8382" s="3">
        <v>41433</v>
      </c>
      <c r="D8382" t="s">
        <v>39</v>
      </c>
      <c r="E8382">
        <v>2</v>
      </c>
      <c r="F8382" s="3">
        <f ca="1">41434+(RANDBETWEEN(1,10))</f>
        <v>41438</v>
      </c>
      <c r="G8382" t="s">
        <v>26</v>
      </c>
      <c r="H8382" t="s">
        <v>27</v>
      </c>
      <c r="I8382" t="s">
        <v>86</v>
      </c>
      <c r="J8382">
        <v>223.3</v>
      </c>
      <c r="K8382">
        <v>0.09</v>
      </c>
      <c r="L8382">
        <v>0.75</v>
      </c>
      <c r="M8382">
        <v>23.52</v>
      </c>
      <c r="N8382">
        <v>-162.34399999999999</v>
      </c>
      <c r="O8382" s="1" t="s">
        <v>64</v>
      </c>
      <c r="P8382" s="1" t="s">
        <v>15570</v>
      </c>
      <c r="Q8382" s="1" t="s">
        <v>15571</v>
      </c>
      <c r="R8382" s="1" t="s">
        <v>128</v>
      </c>
      <c r="S8382" s="1" t="s">
        <v>1312</v>
      </c>
      <c r="T8382" s="1" t="s">
        <v>1313</v>
      </c>
      <c r="U8382" s="2" t="s">
        <v>1219</v>
      </c>
      <c r="V8382" s="2" t="s">
        <v>47</v>
      </c>
      <c r="W8382" s="2" t="s">
        <v>119</v>
      </c>
      <c r="X8382" s="2">
        <v>111.93</v>
      </c>
    </row>
    <row r="8383" spans="1:24" x14ac:dyDescent="0.3">
      <c r="A8383">
        <v>26183</v>
      </c>
      <c r="B8383" t="s">
        <v>15572</v>
      </c>
      <c r="C8383" s="3">
        <v>41436</v>
      </c>
      <c r="D8383" t="s">
        <v>50</v>
      </c>
      <c r="E8383">
        <v>8</v>
      </c>
      <c r="F8383" s="3">
        <f ca="1">41438+(RANDBETWEEN(1,10))</f>
        <v>41440</v>
      </c>
      <c r="G8383" t="s">
        <v>26</v>
      </c>
      <c r="H8383" t="s">
        <v>27</v>
      </c>
      <c r="I8383" t="s">
        <v>86</v>
      </c>
      <c r="J8383">
        <v>193.16499999999999</v>
      </c>
      <c r="K8383">
        <v>0.06</v>
      </c>
      <c r="L8383">
        <v>0.37</v>
      </c>
      <c r="M8383">
        <v>35.174999999999997</v>
      </c>
      <c r="N8383">
        <v>-347.03199999999998</v>
      </c>
      <c r="O8383" s="1" t="s">
        <v>40</v>
      </c>
      <c r="P8383" s="1" t="s">
        <v>15308</v>
      </c>
      <c r="Q8383" s="1" t="s">
        <v>15309</v>
      </c>
      <c r="R8383" s="1" t="s">
        <v>220</v>
      </c>
      <c r="S8383" s="1" t="s">
        <v>15310</v>
      </c>
      <c r="T8383" s="1" t="s">
        <v>15311</v>
      </c>
      <c r="U8383" s="2" t="s">
        <v>635</v>
      </c>
      <c r="V8383" s="2" t="s">
        <v>47</v>
      </c>
      <c r="W8383" s="2" t="s">
        <v>74</v>
      </c>
      <c r="X8383" s="2">
        <v>22.68</v>
      </c>
    </row>
    <row r="8384" spans="1:24" x14ac:dyDescent="0.3">
      <c r="A8384">
        <v>26184</v>
      </c>
      <c r="B8384" t="s">
        <v>15573</v>
      </c>
      <c r="C8384" s="3">
        <v>41319</v>
      </c>
      <c r="D8384" t="s">
        <v>25</v>
      </c>
      <c r="E8384">
        <v>5</v>
      </c>
      <c r="F8384" s="3">
        <f ca="1">41319+(RANDBETWEEN(1,10))</f>
        <v>41326</v>
      </c>
      <c r="G8384" t="s">
        <v>26</v>
      </c>
      <c r="H8384" t="s">
        <v>27</v>
      </c>
      <c r="I8384" t="s">
        <v>97</v>
      </c>
      <c r="J8384">
        <v>1573.9849999999999</v>
      </c>
      <c r="K8384">
        <v>7.0000000000000007E-2</v>
      </c>
      <c r="L8384">
        <v>0.56999999999999995</v>
      </c>
      <c r="M8384">
        <v>31.465</v>
      </c>
      <c r="N8384">
        <v>49.045499999999997</v>
      </c>
      <c r="O8384" s="1" t="s">
        <v>29</v>
      </c>
      <c r="P8384" s="1" t="s">
        <v>13913</v>
      </c>
      <c r="Q8384" s="1" t="s">
        <v>13914</v>
      </c>
      <c r="R8384" s="1" t="s">
        <v>460</v>
      </c>
      <c r="S8384" s="1" t="s">
        <v>2302</v>
      </c>
      <c r="T8384" s="1" t="s">
        <v>2303</v>
      </c>
      <c r="U8384" s="2" t="s">
        <v>2356</v>
      </c>
      <c r="V8384" s="2" t="s">
        <v>36</v>
      </c>
      <c r="W8384" s="2" t="s">
        <v>37</v>
      </c>
      <c r="X8384" s="2">
        <v>388.46499999999997</v>
      </c>
    </row>
    <row r="8385" spans="1:24" x14ac:dyDescent="0.3">
      <c r="A8385">
        <v>26185</v>
      </c>
      <c r="B8385" t="s">
        <v>15574</v>
      </c>
      <c r="C8385" s="3">
        <v>40951</v>
      </c>
      <c r="D8385" t="s">
        <v>62</v>
      </c>
      <c r="E8385">
        <v>6</v>
      </c>
      <c r="F8385" s="3">
        <f ca="1">40953+(RANDBETWEEN(1,10))</f>
        <v>40956</v>
      </c>
      <c r="G8385" t="s">
        <v>76</v>
      </c>
      <c r="H8385" t="s">
        <v>77</v>
      </c>
      <c r="I8385" t="s">
        <v>52</v>
      </c>
      <c r="J8385">
        <v>4735.3249999999998</v>
      </c>
      <c r="K8385">
        <v>0.03</v>
      </c>
      <c r="L8385">
        <v>0.59</v>
      </c>
      <c r="M8385">
        <v>98.56</v>
      </c>
      <c r="N8385">
        <v>3267.3742499999998</v>
      </c>
      <c r="O8385" s="1" t="s">
        <v>225</v>
      </c>
      <c r="P8385" s="1" t="s">
        <v>15575</v>
      </c>
      <c r="Q8385" s="1" t="s">
        <v>15576</v>
      </c>
      <c r="R8385" s="1" t="s">
        <v>228</v>
      </c>
      <c r="S8385" s="1" t="s">
        <v>914</v>
      </c>
      <c r="T8385" s="1" t="s">
        <v>915</v>
      </c>
      <c r="U8385" s="2" t="s">
        <v>5590</v>
      </c>
      <c r="V8385" s="2" t="s">
        <v>83</v>
      </c>
      <c r="W8385" s="2" t="s">
        <v>84</v>
      </c>
      <c r="X8385" s="2">
        <v>793.34500000000003</v>
      </c>
    </row>
    <row r="8386" spans="1:24" x14ac:dyDescent="0.3">
      <c r="A8386">
        <v>26186</v>
      </c>
      <c r="B8386" t="s">
        <v>15577</v>
      </c>
      <c r="C8386" s="3">
        <v>41209</v>
      </c>
      <c r="D8386" t="s">
        <v>148</v>
      </c>
      <c r="E8386">
        <v>6</v>
      </c>
      <c r="F8386" s="3">
        <f ca="1">41210+(RANDBETWEEN(1,10))</f>
        <v>41219</v>
      </c>
      <c r="G8386" t="s">
        <v>26</v>
      </c>
      <c r="H8386" t="s">
        <v>281</v>
      </c>
      <c r="I8386" t="s">
        <v>28</v>
      </c>
      <c r="J8386">
        <v>1051.4349999999999</v>
      </c>
      <c r="K8386">
        <v>0</v>
      </c>
      <c r="L8386">
        <v>0.46</v>
      </c>
      <c r="M8386">
        <v>17.850000000000001</v>
      </c>
      <c r="N8386">
        <v>725.49014999999997</v>
      </c>
      <c r="O8386" s="1" t="s">
        <v>87</v>
      </c>
      <c r="P8386" s="1" t="s">
        <v>15578</v>
      </c>
      <c r="Q8386" s="1" t="s">
        <v>15579</v>
      </c>
      <c r="R8386" s="1" t="s">
        <v>398</v>
      </c>
      <c r="S8386" s="1" t="s">
        <v>15580</v>
      </c>
      <c r="T8386" s="1" t="s">
        <v>15581</v>
      </c>
      <c r="U8386" s="2" t="s">
        <v>4675</v>
      </c>
      <c r="V8386" s="2" t="s">
        <v>47</v>
      </c>
      <c r="W8386" s="2" t="s">
        <v>71</v>
      </c>
      <c r="X8386" s="2">
        <v>164.11500000000001</v>
      </c>
    </row>
    <row r="8387" spans="1:24" x14ac:dyDescent="0.3">
      <c r="A8387">
        <v>26187</v>
      </c>
      <c r="B8387" t="s">
        <v>8466</v>
      </c>
      <c r="C8387" s="3">
        <v>41939</v>
      </c>
      <c r="D8387" t="s">
        <v>148</v>
      </c>
      <c r="E8387">
        <v>22</v>
      </c>
      <c r="F8387" s="3">
        <f ca="1">41940+(RANDBETWEEN(1,10))</f>
        <v>41944</v>
      </c>
      <c r="G8387" t="s">
        <v>156</v>
      </c>
      <c r="H8387" t="s">
        <v>27</v>
      </c>
      <c r="I8387" t="s">
        <v>28</v>
      </c>
      <c r="J8387">
        <v>299.98500000000001</v>
      </c>
      <c r="K8387">
        <v>0.08</v>
      </c>
      <c r="L8387">
        <v>0.39</v>
      </c>
      <c r="M8387">
        <v>8.75</v>
      </c>
      <c r="N8387">
        <v>-31.99</v>
      </c>
      <c r="O8387" s="1" t="s">
        <v>87</v>
      </c>
      <c r="P8387" s="1" t="s">
        <v>15578</v>
      </c>
      <c r="Q8387" s="1" t="s">
        <v>15579</v>
      </c>
      <c r="R8387" s="1" t="s">
        <v>398</v>
      </c>
      <c r="S8387" s="1" t="s">
        <v>15580</v>
      </c>
      <c r="T8387" s="1" t="s">
        <v>15581</v>
      </c>
      <c r="U8387" s="2" t="s">
        <v>7012</v>
      </c>
      <c r="V8387" s="2" t="s">
        <v>47</v>
      </c>
      <c r="W8387" s="2" t="s">
        <v>48</v>
      </c>
      <c r="X8387" s="2">
        <v>12.914999999999999</v>
      </c>
    </row>
    <row r="8388" spans="1:24" x14ac:dyDescent="0.3">
      <c r="A8388">
        <v>26188</v>
      </c>
      <c r="B8388" t="s">
        <v>15582</v>
      </c>
      <c r="C8388" s="3">
        <v>41955</v>
      </c>
      <c r="D8388" t="s">
        <v>62</v>
      </c>
      <c r="E8388">
        <v>44</v>
      </c>
      <c r="F8388" s="3">
        <f ca="1">41956+(RANDBETWEEN(1,10))</f>
        <v>41963</v>
      </c>
      <c r="G8388" t="s">
        <v>26</v>
      </c>
      <c r="H8388" t="s">
        <v>51</v>
      </c>
      <c r="I8388" t="s">
        <v>97</v>
      </c>
      <c r="J8388">
        <v>323.82</v>
      </c>
      <c r="K8388">
        <v>7.0000000000000007E-2</v>
      </c>
      <c r="L8388">
        <v>0.55000000000000004</v>
      </c>
      <c r="M8388">
        <v>8.9600000000000009</v>
      </c>
      <c r="N8388">
        <v>134.19112000000001</v>
      </c>
      <c r="O8388" s="1" t="s">
        <v>29</v>
      </c>
      <c r="P8388" s="1" t="s">
        <v>15059</v>
      </c>
      <c r="Q8388" s="1" t="s">
        <v>15060</v>
      </c>
      <c r="R8388" s="1" t="s">
        <v>32</v>
      </c>
      <c r="S8388" s="1" t="s">
        <v>7562</v>
      </c>
      <c r="T8388" s="1" t="s">
        <v>7563</v>
      </c>
      <c r="U8388" s="2" t="s">
        <v>401</v>
      </c>
      <c r="V8388" s="2" t="s">
        <v>47</v>
      </c>
      <c r="W8388" s="2" t="s">
        <v>94</v>
      </c>
      <c r="X8388" s="2">
        <v>7.28</v>
      </c>
    </row>
    <row r="8389" spans="1:24" x14ac:dyDescent="0.3">
      <c r="A8389">
        <v>26189</v>
      </c>
      <c r="B8389" t="s">
        <v>15583</v>
      </c>
      <c r="C8389" s="3">
        <v>41509</v>
      </c>
      <c r="D8389" t="s">
        <v>50</v>
      </c>
      <c r="E8389">
        <v>22</v>
      </c>
      <c r="F8389" s="3">
        <f ca="1">41510+(RANDBETWEEN(1,10))</f>
        <v>41511</v>
      </c>
      <c r="G8389" t="s">
        <v>26</v>
      </c>
      <c r="H8389" t="s">
        <v>63</v>
      </c>
      <c r="I8389" t="s">
        <v>52</v>
      </c>
      <c r="J8389">
        <v>8009.54</v>
      </c>
      <c r="K8389">
        <v>7.0000000000000007E-2</v>
      </c>
      <c r="L8389">
        <v>0.79</v>
      </c>
      <c r="M8389">
        <v>35.42</v>
      </c>
      <c r="N8389">
        <v>3589.7918</v>
      </c>
      <c r="O8389" s="1" t="s">
        <v>87</v>
      </c>
      <c r="P8389" s="1" t="s">
        <v>15463</v>
      </c>
      <c r="Q8389" s="1" t="s">
        <v>15464</v>
      </c>
      <c r="R8389" s="1" t="s">
        <v>90</v>
      </c>
      <c r="S8389" s="1" t="s">
        <v>5410</v>
      </c>
      <c r="T8389" s="1" t="s">
        <v>5411</v>
      </c>
      <c r="U8389" s="2" t="s">
        <v>1246</v>
      </c>
      <c r="V8389" s="2" t="s">
        <v>83</v>
      </c>
      <c r="W8389" s="2" t="s">
        <v>178</v>
      </c>
      <c r="X8389" s="2">
        <v>368.51499999999999</v>
      </c>
    </row>
    <row r="8390" spans="1:24" x14ac:dyDescent="0.3">
      <c r="A8390">
        <v>2619</v>
      </c>
      <c r="B8390" t="s">
        <v>15584</v>
      </c>
      <c r="C8390" s="3">
        <v>41656</v>
      </c>
      <c r="D8390" t="s">
        <v>148</v>
      </c>
      <c r="E8390">
        <v>36</v>
      </c>
      <c r="F8390" s="3">
        <f ca="1">41658+(RANDBETWEEN(1,10))</f>
        <v>41659</v>
      </c>
      <c r="G8390" t="s">
        <v>26</v>
      </c>
      <c r="H8390" t="s">
        <v>51</v>
      </c>
      <c r="I8390" t="s">
        <v>28</v>
      </c>
      <c r="J8390">
        <v>2018.0650000000001</v>
      </c>
      <c r="K8390">
        <v>0.06</v>
      </c>
      <c r="L8390">
        <v>0.42</v>
      </c>
      <c r="M8390">
        <v>6.9649999999999999</v>
      </c>
      <c r="N8390">
        <v>235.95599999999999</v>
      </c>
      <c r="O8390" s="1" t="s">
        <v>53</v>
      </c>
      <c r="P8390" s="1" t="s">
        <v>7631</v>
      </c>
      <c r="Q8390" s="1" t="s">
        <v>7632</v>
      </c>
      <c r="R8390" s="1" t="s">
        <v>56</v>
      </c>
      <c r="S8390" s="1" t="s">
        <v>159</v>
      </c>
      <c r="T8390" s="1" t="s">
        <v>7633</v>
      </c>
      <c r="U8390" s="2" t="s">
        <v>5273</v>
      </c>
      <c r="V8390" s="2" t="s">
        <v>36</v>
      </c>
      <c r="W8390" s="2" t="s">
        <v>60</v>
      </c>
      <c r="X8390" s="2">
        <v>57.68</v>
      </c>
    </row>
    <row r="8391" spans="1:24" x14ac:dyDescent="0.3">
      <c r="A8391">
        <v>26190</v>
      </c>
      <c r="B8391" t="s">
        <v>15583</v>
      </c>
      <c r="C8391" s="3">
        <v>41509</v>
      </c>
      <c r="D8391" t="s">
        <v>50</v>
      </c>
      <c r="E8391">
        <v>21</v>
      </c>
      <c r="F8391" s="3">
        <f ca="1">41511+(RANDBETWEEN(1,10))</f>
        <v>41521</v>
      </c>
      <c r="G8391" t="s">
        <v>156</v>
      </c>
      <c r="H8391" t="s">
        <v>27</v>
      </c>
      <c r="I8391" t="s">
        <v>52</v>
      </c>
      <c r="J8391">
        <v>4226.25</v>
      </c>
      <c r="K8391">
        <v>0.01</v>
      </c>
      <c r="L8391">
        <v>0.57999999999999996</v>
      </c>
      <c r="M8391">
        <v>17.465</v>
      </c>
      <c r="N8391">
        <v>2916.1125000000002</v>
      </c>
      <c r="O8391" s="1" t="s">
        <v>87</v>
      </c>
      <c r="P8391" s="1" t="s">
        <v>15463</v>
      </c>
      <c r="Q8391" s="1" t="s">
        <v>15464</v>
      </c>
      <c r="R8391" s="1" t="s">
        <v>90</v>
      </c>
      <c r="S8391" s="1" t="s">
        <v>5410</v>
      </c>
      <c r="T8391" s="1" t="s">
        <v>5411</v>
      </c>
      <c r="U8391" s="2" t="s">
        <v>9193</v>
      </c>
      <c r="V8391" s="2" t="s">
        <v>36</v>
      </c>
      <c r="W8391" s="2" t="s">
        <v>37</v>
      </c>
      <c r="X8391" s="2">
        <v>230.965</v>
      </c>
    </row>
    <row r="8392" spans="1:24" x14ac:dyDescent="0.3">
      <c r="A8392">
        <v>26191</v>
      </c>
      <c r="B8392" t="s">
        <v>15585</v>
      </c>
      <c r="C8392" s="3">
        <v>41525</v>
      </c>
      <c r="D8392" t="s">
        <v>62</v>
      </c>
      <c r="E8392">
        <v>14</v>
      </c>
      <c r="F8392" s="3">
        <f ca="1">41526+(RANDBETWEEN(1,10))</f>
        <v>41531</v>
      </c>
      <c r="G8392" t="s">
        <v>26</v>
      </c>
      <c r="H8392" t="s">
        <v>96</v>
      </c>
      <c r="I8392" t="s">
        <v>28</v>
      </c>
      <c r="J8392">
        <v>3410.47</v>
      </c>
      <c r="K8392">
        <v>0.08</v>
      </c>
      <c r="L8392">
        <v>0.78</v>
      </c>
      <c r="M8392">
        <v>131.53</v>
      </c>
      <c r="N8392">
        <v>-2842.875</v>
      </c>
      <c r="O8392" s="1" t="s">
        <v>225</v>
      </c>
      <c r="P8392" s="1" t="s">
        <v>15586</v>
      </c>
      <c r="Q8392" s="1" t="s">
        <v>15587</v>
      </c>
      <c r="R8392" s="1" t="s">
        <v>391</v>
      </c>
      <c r="S8392" s="1" t="s">
        <v>3046</v>
      </c>
      <c r="T8392" s="1" t="s">
        <v>3047</v>
      </c>
      <c r="U8392" s="2" t="s">
        <v>3541</v>
      </c>
      <c r="V8392" s="2" t="s">
        <v>83</v>
      </c>
      <c r="W8392" s="2" t="s">
        <v>178</v>
      </c>
      <c r="X8392" s="2">
        <v>247.48500000000001</v>
      </c>
    </row>
    <row r="8393" spans="1:24" x14ac:dyDescent="0.3">
      <c r="A8393">
        <v>26192</v>
      </c>
      <c r="B8393" t="s">
        <v>15588</v>
      </c>
      <c r="C8393" s="3">
        <v>41150</v>
      </c>
      <c r="D8393" t="s">
        <v>39</v>
      </c>
      <c r="E8393">
        <v>18</v>
      </c>
      <c r="F8393" s="3">
        <f ca="1">41151+(RANDBETWEEN(1,10))</f>
        <v>41161</v>
      </c>
      <c r="G8393" t="s">
        <v>156</v>
      </c>
      <c r="H8393" t="s">
        <v>27</v>
      </c>
      <c r="I8393" t="s">
        <v>97</v>
      </c>
      <c r="J8393">
        <v>1248.03</v>
      </c>
      <c r="K8393">
        <v>0.06</v>
      </c>
      <c r="L8393">
        <v>0.47</v>
      </c>
      <c r="M8393">
        <v>50.365000000000002</v>
      </c>
      <c r="N8393">
        <v>922.44600000000003</v>
      </c>
      <c r="O8393" s="1" t="s">
        <v>87</v>
      </c>
      <c r="P8393" s="1" t="s">
        <v>12184</v>
      </c>
      <c r="Q8393" s="1" t="s">
        <v>12185</v>
      </c>
      <c r="R8393" s="1" t="s">
        <v>398</v>
      </c>
      <c r="S8393" s="1" t="s">
        <v>12186</v>
      </c>
      <c r="T8393" s="1" t="s">
        <v>12187</v>
      </c>
      <c r="U8393" s="2" t="s">
        <v>3841</v>
      </c>
      <c r="V8393" s="2" t="s">
        <v>83</v>
      </c>
      <c r="W8393" s="2" t="s">
        <v>178</v>
      </c>
      <c r="X8393" s="2">
        <v>70.98</v>
      </c>
    </row>
    <row r="8394" spans="1:24" x14ac:dyDescent="0.3">
      <c r="A8394">
        <v>26193</v>
      </c>
      <c r="B8394" t="s">
        <v>15589</v>
      </c>
      <c r="C8394" s="3">
        <v>41508</v>
      </c>
      <c r="D8394" t="s">
        <v>148</v>
      </c>
      <c r="E8394">
        <v>25</v>
      </c>
      <c r="F8394" s="3">
        <f ca="1">41509+(RANDBETWEEN(1,10))</f>
        <v>41519</v>
      </c>
      <c r="G8394" t="s">
        <v>76</v>
      </c>
      <c r="H8394" t="s">
        <v>77</v>
      </c>
      <c r="I8394" t="s">
        <v>97</v>
      </c>
      <c r="J8394">
        <v>23815.47</v>
      </c>
      <c r="K8394">
        <v>0.1</v>
      </c>
      <c r="L8394">
        <v>0.56000000000000005</v>
      </c>
      <c r="M8394">
        <v>226.55500000000001</v>
      </c>
      <c r="N8394">
        <v>6956.3774000000003</v>
      </c>
      <c r="O8394" s="1" t="s">
        <v>40</v>
      </c>
      <c r="P8394" s="1" t="s">
        <v>14959</v>
      </c>
      <c r="Q8394" s="1" t="s">
        <v>14960</v>
      </c>
      <c r="R8394" s="1" t="s">
        <v>43</v>
      </c>
      <c r="S8394" s="1" t="s">
        <v>1943</v>
      </c>
      <c r="T8394" s="1" t="s">
        <v>1944</v>
      </c>
      <c r="U8394" s="2" t="s">
        <v>3031</v>
      </c>
      <c r="V8394" s="2" t="s">
        <v>83</v>
      </c>
      <c r="W8394" s="2" t="s">
        <v>84</v>
      </c>
      <c r="X8394" s="2">
        <v>1053.43</v>
      </c>
    </row>
    <row r="8395" spans="1:24" x14ac:dyDescent="0.3">
      <c r="A8395">
        <v>26194</v>
      </c>
      <c r="B8395" t="s">
        <v>15589</v>
      </c>
      <c r="C8395" s="3">
        <v>41508</v>
      </c>
      <c r="D8395" t="s">
        <v>148</v>
      </c>
      <c r="E8395">
        <v>12</v>
      </c>
      <c r="F8395" s="3">
        <f ca="1">41509+(RANDBETWEEN(1,10))</f>
        <v>41513</v>
      </c>
      <c r="G8395" t="s">
        <v>26</v>
      </c>
      <c r="H8395" t="s">
        <v>96</v>
      </c>
      <c r="I8395" t="s">
        <v>97</v>
      </c>
      <c r="J8395">
        <v>150.04499999999999</v>
      </c>
      <c r="K8395">
        <v>0.01</v>
      </c>
      <c r="L8395">
        <v>0.37</v>
      </c>
      <c r="M8395">
        <v>2.4500000000000002</v>
      </c>
      <c r="N8395">
        <v>103.53104999999999</v>
      </c>
      <c r="O8395" s="1" t="s">
        <v>40</v>
      </c>
      <c r="P8395" s="1" t="s">
        <v>14959</v>
      </c>
      <c r="Q8395" s="1" t="s">
        <v>14960</v>
      </c>
      <c r="R8395" s="1" t="s">
        <v>43</v>
      </c>
      <c r="S8395" s="1" t="s">
        <v>1943</v>
      </c>
      <c r="T8395" s="1" t="s">
        <v>1944</v>
      </c>
      <c r="U8395" s="2" t="s">
        <v>15296</v>
      </c>
      <c r="V8395" s="2" t="s">
        <v>47</v>
      </c>
      <c r="W8395" s="2" t="s">
        <v>176</v>
      </c>
      <c r="X8395" s="2">
        <v>11.935</v>
      </c>
    </row>
    <row r="8396" spans="1:24" x14ac:dyDescent="0.3">
      <c r="A8396">
        <v>26195</v>
      </c>
      <c r="B8396" t="s">
        <v>15590</v>
      </c>
      <c r="C8396" s="3">
        <v>40922</v>
      </c>
      <c r="D8396" t="s">
        <v>62</v>
      </c>
      <c r="E8396">
        <v>12</v>
      </c>
      <c r="F8396" s="3">
        <f ca="1">40923+(RANDBETWEEN(1,10))</f>
        <v>40931</v>
      </c>
      <c r="G8396" t="s">
        <v>76</v>
      </c>
      <c r="H8396" t="s">
        <v>77</v>
      </c>
      <c r="I8396" t="s">
        <v>86</v>
      </c>
      <c r="J8396">
        <v>4570.6499999999996</v>
      </c>
      <c r="K8396">
        <v>0.06</v>
      </c>
      <c r="L8396">
        <v>0.69</v>
      </c>
      <c r="M8396">
        <v>105</v>
      </c>
      <c r="N8396">
        <v>-951.32799999999997</v>
      </c>
      <c r="O8396" s="1" t="s">
        <v>53</v>
      </c>
      <c r="P8396" s="1" t="s">
        <v>15591</v>
      </c>
      <c r="Q8396" s="1" t="s">
        <v>15592</v>
      </c>
      <c r="R8396" s="1" t="s">
        <v>100</v>
      </c>
      <c r="S8396" s="1" t="s">
        <v>491</v>
      </c>
      <c r="T8396" s="1" t="s">
        <v>492</v>
      </c>
      <c r="U8396" s="2" t="s">
        <v>1513</v>
      </c>
      <c r="V8396" s="2" t="s">
        <v>83</v>
      </c>
      <c r="W8396" s="2" t="s">
        <v>84</v>
      </c>
      <c r="X8396" s="2">
        <v>398.93</v>
      </c>
    </row>
    <row r="8397" spans="1:24" x14ac:dyDescent="0.3">
      <c r="A8397">
        <v>26196</v>
      </c>
      <c r="B8397" t="s">
        <v>15590</v>
      </c>
      <c r="C8397" s="3">
        <v>40922</v>
      </c>
      <c r="D8397" t="s">
        <v>62</v>
      </c>
      <c r="E8397">
        <v>5</v>
      </c>
      <c r="F8397" s="3">
        <f ca="1">40923+(RANDBETWEEN(1,10))</f>
        <v>40930</v>
      </c>
      <c r="G8397" t="s">
        <v>76</v>
      </c>
      <c r="H8397" t="s">
        <v>77</v>
      </c>
      <c r="I8397" t="s">
        <v>86</v>
      </c>
      <c r="J8397">
        <v>2144.7649999999999</v>
      </c>
      <c r="K8397">
        <v>0</v>
      </c>
      <c r="L8397">
        <v>0.64</v>
      </c>
      <c r="M8397">
        <v>105</v>
      </c>
      <c r="N8397">
        <v>121.13639999999999</v>
      </c>
      <c r="O8397" s="1" t="s">
        <v>29</v>
      </c>
      <c r="P8397" s="1" t="s">
        <v>15593</v>
      </c>
      <c r="Q8397" s="1" t="s">
        <v>15594</v>
      </c>
      <c r="R8397" s="1" t="s">
        <v>32</v>
      </c>
      <c r="S8397" s="1" t="s">
        <v>9838</v>
      </c>
      <c r="T8397" s="1" t="s">
        <v>9839</v>
      </c>
      <c r="U8397" s="2" t="s">
        <v>2044</v>
      </c>
      <c r="V8397" s="2" t="s">
        <v>83</v>
      </c>
      <c r="W8397" s="2" t="s">
        <v>84</v>
      </c>
      <c r="X8397" s="2">
        <v>423.43</v>
      </c>
    </row>
    <row r="8398" spans="1:24" x14ac:dyDescent="0.3">
      <c r="A8398">
        <v>26197</v>
      </c>
      <c r="B8398" t="s">
        <v>15595</v>
      </c>
      <c r="C8398" s="3">
        <v>41638</v>
      </c>
      <c r="D8398" t="s">
        <v>39</v>
      </c>
      <c r="E8398">
        <v>12</v>
      </c>
      <c r="F8398" s="3">
        <f ca="1">41640+(RANDBETWEEN(1,10))</f>
        <v>41646</v>
      </c>
      <c r="G8398" t="s">
        <v>76</v>
      </c>
      <c r="H8398" t="s">
        <v>77</v>
      </c>
      <c r="I8398" t="s">
        <v>86</v>
      </c>
      <c r="J8398">
        <v>12127.29</v>
      </c>
      <c r="K8398">
        <v>0.05</v>
      </c>
      <c r="L8398">
        <v>0.56000000000000005</v>
      </c>
      <c r="M8398">
        <v>226.55500000000001</v>
      </c>
      <c r="N8398">
        <v>3537.2925</v>
      </c>
      <c r="O8398" s="1" t="s">
        <v>87</v>
      </c>
      <c r="P8398" s="1" t="s">
        <v>9355</v>
      </c>
      <c r="Q8398" s="1" t="s">
        <v>9356</v>
      </c>
      <c r="R8398" s="1" t="s">
        <v>646</v>
      </c>
      <c r="S8398" s="1" t="s">
        <v>1955</v>
      </c>
      <c r="T8398" s="1" t="s">
        <v>1956</v>
      </c>
      <c r="U8398" s="2" t="s">
        <v>3031</v>
      </c>
      <c r="V8398" s="2" t="s">
        <v>83</v>
      </c>
      <c r="W8398" s="2" t="s">
        <v>84</v>
      </c>
      <c r="X8398" s="2">
        <v>1053.43</v>
      </c>
    </row>
    <row r="8399" spans="1:24" x14ac:dyDescent="0.3">
      <c r="A8399">
        <v>26198</v>
      </c>
      <c r="B8399" t="s">
        <v>15595</v>
      </c>
      <c r="C8399" s="3">
        <v>41638</v>
      </c>
      <c r="D8399" t="s">
        <v>39</v>
      </c>
      <c r="E8399">
        <v>11</v>
      </c>
      <c r="F8399" s="3">
        <f ca="1">41641+(RANDBETWEEN(1,10))</f>
        <v>41643</v>
      </c>
      <c r="G8399" t="s">
        <v>76</v>
      </c>
      <c r="H8399" t="s">
        <v>77</v>
      </c>
      <c r="I8399" t="s">
        <v>86</v>
      </c>
      <c r="J8399">
        <v>19193.23</v>
      </c>
      <c r="K8399">
        <v>7.0000000000000007E-2</v>
      </c>
      <c r="L8399">
        <v>0.6</v>
      </c>
      <c r="M8399">
        <v>91</v>
      </c>
      <c r="N8399">
        <v>13243.3287</v>
      </c>
      <c r="O8399" s="1" t="s">
        <v>87</v>
      </c>
      <c r="P8399" s="1" t="s">
        <v>9355</v>
      </c>
      <c r="Q8399" s="1" t="s">
        <v>9356</v>
      </c>
      <c r="R8399" s="1" t="s">
        <v>646</v>
      </c>
      <c r="S8399" s="1" t="s">
        <v>1955</v>
      </c>
      <c r="T8399" s="1" t="s">
        <v>1956</v>
      </c>
      <c r="U8399" s="2" t="s">
        <v>1670</v>
      </c>
      <c r="V8399" s="2" t="s">
        <v>83</v>
      </c>
      <c r="W8399" s="2" t="s">
        <v>84</v>
      </c>
      <c r="X8399" s="2">
        <v>1753.43</v>
      </c>
    </row>
    <row r="8400" spans="1:24" x14ac:dyDescent="0.3">
      <c r="A8400">
        <v>26199</v>
      </c>
      <c r="B8400" t="s">
        <v>15595</v>
      </c>
      <c r="C8400" s="3">
        <v>41638</v>
      </c>
      <c r="D8400" t="s">
        <v>39</v>
      </c>
      <c r="E8400">
        <v>9</v>
      </c>
      <c r="F8400" s="3">
        <f ca="1">41639+(RANDBETWEEN(1,10))</f>
        <v>41644</v>
      </c>
      <c r="G8400" t="s">
        <v>26</v>
      </c>
      <c r="H8400" t="s">
        <v>51</v>
      </c>
      <c r="I8400" t="s">
        <v>86</v>
      </c>
      <c r="J8400">
        <v>1462.23</v>
      </c>
      <c r="K8400">
        <v>0.04</v>
      </c>
      <c r="L8400">
        <v>0.55000000000000004</v>
      </c>
      <c r="M8400">
        <v>6.9649999999999999</v>
      </c>
      <c r="N8400">
        <v>900.84749999999997</v>
      </c>
      <c r="O8400" s="1" t="s">
        <v>87</v>
      </c>
      <c r="P8400" s="1" t="s">
        <v>9355</v>
      </c>
      <c r="Q8400" s="1" t="s">
        <v>9356</v>
      </c>
      <c r="R8400" s="1" t="s">
        <v>646</v>
      </c>
      <c r="S8400" s="1" t="s">
        <v>1955</v>
      </c>
      <c r="T8400" s="1" t="s">
        <v>1956</v>
      </c>
      <c r="U8400" s="2" t="s">
        <v>2560</v>
      </c>
      <c r="V8400" s="2" t="s">
        <v>36</v>
      </c>
      <c r="W8400" s="2" t="s">
        <v>60</v>
      </c>
      <c r="X8400" s="2">
        <v>158.16499999999999</v>
      </c>
    </row>
    <row r="8401" spans="1:24" x14ac:dyDescent="0.3">
      <c r="A8401">
        <v>26200</v>
      </c>
      <c r="B8401" t="s">
        <v>15596</v>
      </c>
      <c r="C8401" s="3">
        <v>40626</v>
      </c>
      <c r="D8401" t="s">
        <v>148</v>
      </c>
      <c r="E8401">
        <v>6</v>
      </c>
      <c r="F8401" s="3">
        <f ca="1">40627+(RANDBETWEEN(1,10))</f>
        <v>40630</v>
      </c>
      <c r="G8401" t="s">
        <v>76</v>
      </c>
      <c r="H8401" t="s">
        <v>258</v>
      </c>
      <c r="I8401" t="s">
        <v>86</v>
      </c>
      <c r="J8401">
        <v>2307.9699999999998</v>
      </c>
      <c r="K8401">
        <v>0.09</v>
      </c>
      <c r="L8401">
        <v>0.74</v>
      </c>
      <c r="M8401">
        <v>183.47</v>
      </c>
      <c r="N8401">
        <v>-1173.6099374999999</v>
      </c>
      <c r="O8401" s="1" t="s">
        <v>40</v>
      </c>
      <c r="P8401" s="1" t="s">
        <v>15308</v>
      </c>
      <c r="Q8401" s="1" t="s">
        <v>15309</v>
      </c>
      <c r="R8401" s="1" t="s">
        <v>220</v>
      </c>
      <c r="S8401" s="1" t="s">
        <v>15310</v>
      </c>
      <c r="T8401" s="1" t="s">
        <v>15311</v>
      </c>
      <c r="U8401" s="2" t="s">
        <v>831</v>
      </c>
      <c r="V8401" s="2" t="s">
        <v>83</v>
      </c>
      <c r="W8401" s="2" t="s">
        <v>263</v>
      </c>
      <c r="X8401" s="2">
        <v>485.625</v>
      </c>
    </row>
    <row r="8402" spans="1:24" x14ac:dyDescent="0.3">
      <c r="A8402">
        <v>26201</v>
      </c>
      <c r="B8402" t="s">
        <v>15597</v>
      </c>
      <c r="C8402" s="3">
        <v>41247</v>
      </c>
      <c r="D8402" t="s">
        <v>39</v>
      </c>
      <c r="E8402">
        <v>2</v>
      </c>
      <c r="F8402" s="3">
        <f ca="1">41249+(RANDBETWEEN(1,10))</f>
        <v>41251</v>
      </c>
      <c r="G8402" t="s">
        <v>26</v>
      </c>
      <c r="H8402" t="s">
        <v>27</v>
      </c>
      <c r="I8402" t="s">
        <v>86</v>
      </c>
      <c r="J8402">
        <v>55.23</v>
      </c>
      <c r="K8402">
        <v>0</v>
      </c>
      <c r="L8402">
        <v>0.35</v>
      </c>
      <c r="M8402">
        <v>10.465</v>
      </c>
      <c r="N8402">
        <v>-1.65025</v>
      </c>
      <c r="O8402" s="1" t="s">
        <v>40</v>
      </c>
      <c r="P8402" s="1" t="s">
        <v>15598</v>
      </c>
      <c r="Q8402" s="1" t="s">
        <v>15599</v>
      </c>
      <c r="R8402" s="1" t="s">
        <v>220</v>
      </c>
      <c r="S8402" s="1" t="s">
        <v>2194</v>
      </c>
      <c r="T8402" s="1" t="s">
        <v>2195</v>
      </c>
      <c r="U8402" s="2" t="s">
        <v>4681</v>
      </c>
      <c r="V8402" s="2" t="s">
        <v>47</v>
      </c>
      <c r="W8402" s="2" t="s">
        <v>111</v>
      </c>
      <c r="X8402" s="2">
        <v>23.625</v>
      </c>
    </row>
    <row r="8403" spans="1:24" x14ac:dyDescent="0.3">
      <c r="A8403">
        <v>26202</v>
      </c>
      <c r="B8403" t="s">
        <v>15597</v>
      </c>
      <c r="C8403" s="3">
        <v>41247</v>
      </c>
      <c r="D8403" t="s">
        <v>39</v>
      </c>
      <c r="E8403">
        <v>1</v>
      </c>
      <c r="F8403" s="3">
        <f ca="1">41249+(RANDBETWEEN(1,10))</f>
        <v>41259</v>
      </c>
      <c r="G8403" t="s">
        <v>26</v>
      </c>
      <c r="H8403" t="s">
        <v>27</v>
      </c>
      <c r="I8403" t="s">
        <v>86</v>
      </c>
      <c r="J8403">
        <v>12.845000000000001</v>
      </c>
      <c r="K8403">
        <v>0.09</v>
      </c>
      <c r="L8403">
        <v>0.43</v>
      </c>
      <c r="M8403">
        <v>18.655000000000001</v>
      </c>
      <c r="N8403">
        <v>-2.4849999999999999</v>
      </c>
      <c r="O8403" s="1" t="s">
        <v>40</v>
      </c>
      <c r="P8403" s="1" t="s">
        <v>15598</v>
      </c>
      <c r="Q8403" s="1" t="s">
        <v>15599</v>
      </c>
      <c r="R8403" s="1" t="s">
        <v>220</v>
      </c>
      <c r="S8403" s="1" t="s">
        <v>2194</v>
      </c>
      <c r="T8403" s="1" t="s">
        <v>2195</v>
      </c>
      <c r="U8403" s="2" t="s">
        <v>2500</v>
      </c>
      <c r="V8403" s="2" t="s">
        <v>83</v>
      </c>
      <c r="W8403" s="2" t="s">
        <v>178</v>
      </c>
      <c r="X8403" s="2">
        <v>7.28</v>
      </c>
    </row>
    <row r="8404" spans="1:24" x14ac:dyDescent="0.3">
      <c r="A8404">
        <v>26203</v>
      </c>
      <c r="B8404" t="s">
        <v>15600</v>
      </c>
      <c r="C8404" s="3">
        <v>40995</v>
      </c>
      <c r="D8404" t="s">
        <v>62</v>
      </c>
      <c r="E8404">
        <v>11</v>
      </c>
      <c r="F8404" s="3">
        <f ca="1">40997+(RANDBETWEEN(1,10))</f>
        <v>41004</v>
      </c>
      <c r="G8404" t="s">
        <v>26</v>
      </c>
      <c r="H8404" t="s">
        <v>51</v>
      </c>
      <c r="I8404" t="s">
        <v>28</v>
      </c>
      <c r="J8404">
        <v>1198.085</v>
      </c>
      <c r="K8404">
        <v>0.04</v>
      </c>
      <c r="L8404">
        <v>0.42</v>
      </c>
      <c r="M8404">
        <v>6.9649999999999999</v>
      </c>
      <c r="N8404">
        <v>826.67864999999995</v>
      </c>
      <c r="O8404" s="1" t="s">
        <v>64</v>
      </c>
      <c r="P8404" s="1" t="s">
        <v>12075</v>
      </c>
      <c r="Q8404" s="1" t="s">
        <v>12076</v>
      </c>
      <c r="R8404" s="1" t="s">
        <v>67</v>
      </c>
      <c r="S8404" s="1" t="s">
        <v>4699</v>
      </c>
      <c r="T8404" s="1" t="s">
        <v>4700</v>
      </c>
      <c r="U8404" s="2" t="s">
        <v>1226</v>
      </c>
      <c r="V8404" s="2" t="s">
        <v>36</v>
      </c>
      <c r="W8404" s="2" t="s">
        <v>60</v>
      </c>
      <c r="X8404" s="2">
        <v>111.23</v>
      </c>
    </row>
    <row r="8405" spans="1:24" x14ac:dyDescent="0.3">
      <c r="A8405">
        <v>26204</v>
      </c>
      <c r="B8405" t="s">
        <v>15601</v>
      </c>
      <c r="C8405" s="3">
        <v>41801</v>
      </c>
      <c r="D8405" t="s">
        <v>148</v>
      </c>
      <c r="E8405">
        <v>3</v>
      </c>
      <c r="F8405" s="3">
        <f ca="1">41802+(RANDBETWEEN(1,10))</f>
        <v>41809</v>
      </c>
      <c r="G8405" t="s">
        <v>76</v>
      </c>
      <c r="H8405" t="s">
        <v>258</v>
      </c>
      <c r="I8405" t="s">
        <v>52</v>
      </c>
      <c r="J8405">
        <v>1324.855</v>
      </c>
      <c r="K8405">
        <v>0.09</v>
      </c>
      <c r="L8405">
        <v>0.75</v>
      </c>
      <c r="M8405">
        <v>205.24</v>
      </c>
      <c r="N8405">
        <v>-1132.2080000000001</v>
      </c>
      <c r="O8405" s="1" t="s">
        <v>87</v>
      </c>
      <c r="P8405" s="1" t="s">
        <v>15463</v>
      </c>
      <c r="Q8405" s="1" t="s">
        <v>15464</v>
      </c>
      <c r="R8405" s="1" t="s">
        <v>90</v>
      </c>
      <c r="S8405" s="1" t="s">
        <v>5410</v>
      </c>
      <c r="T8405" s="1" t="s">
        <v>5411</v>
      </c>
      <c r="U8405" s="2" t="s">
        <v>837</v>
      </c>
      <c r="V8405" s="2" t="s">
        <v>83</v>
      </c>
      <c r="W8405" s="2" t="s">
        <v>298</v>
      </c>
      <c r="X8405" s="2">
        <v>423.43</v>
      </c>
    </row>
    <row r="8406" spans="1:24" x14ac:dyDescent="0.3">
      <c r="A8406">
        <v>26205</v>
      </c>
      <c r="B8406" t="s">
        <v>15601</v>
      </c>
      <c r="C8406" s="3">
        <v>41801</v>
      </c>
      <c r="D8406" t="s">
        <v>148</v>
      </c>
      <c r="E8406">
        <v>15</v>
      </c>
      <c r="F8406" s="3">
        <f ca="1">41802+(RANDBETWEEN(1,10))</f>
        <v>41811</v>
      </c>
      <c r="G8406" t="s">
        <v>26</v>
      </c>
      <c r="H8406" t="s">
        <v>27</v>
      </c>
      <c r="I8406" t="s">
        <v>52</v>
      </c>
      <c r="J8406">
        <v>1174.53</v>
      </c>
      <c r="K8406">
        <v>0.01</v>
      </c>
      <c r="L8406">
        <v>0.78</v>
      </c>
      <c r="M8406">
        <v>22.75</v>
      </c>
      <c r="N8406">
        <v>-290.5</v>
      </c>
      <c r="O8406" s="1" t="s">
        <v>87</v>
      </c>
      <c r="P8406" s="1" t="s">
        <v>15463</v>
      </c>
      <c r="Q8406" s="1" t="s">
        <v>15464</v>
      </c>
      <c r="R8406" s="1" t="s">
        <v>90</v>
      </c>
      <c r="S8406" s="1" t="s">
        <v>5410</v>
      </c>
      <c r="T8406" s="1" t="s">
        <v>5411</v>
      </c>
      <c r="U8406" s="2" t="s">
        <v>1138</v>
      </c>
      <c r="V8406" s="2" t="s">
        <v>36</v>
      </c>
      <c r="W8406" s="2" t="s">
        <v>60</v>
      </c>
      <c r="X8406" s="2">
        <v>73.394999999999996</v>
      </c>
    </row>
    <row r="8407" spans="1:24" x14ac:dyDescent="0.3">
      <c r="A8407">
        <v>26206</v>
      </c>
      <c r="B8407" t="s">
        <v>15601</v>
      </c>
      <c r="C8407" s="3">
        <v>41801</v>
      </c>
      <c r="D8407" t="s">
        <v>148</v>
      </c>
      <c r="E8407">
        <v>17</v>
      </c>
      <c r="F8407" s="3">
        <f ca="1">41803+(RANDBETWEEN(1,10))</f>
        <v>41808</v>
      </c>
      <c r="G8407" t="s">
        <v>26</v>
      </c>
      <c r="H8407" t="s">
        <v>96</v>
      </c>
      <c r="I8407" t="s">
        <v>52</v>
      </c>
      <c r="J8407">
        <v>984.09500000000003</v>
      </c>
      <c r="K8407">
        <v>0.1</v>
      </c>
      <c r="L8407">
        <v>0.37</v>
      </c>
      <c r="M8407">
        <v>3.4649999999999999</v>
      </c>
      <c r="N8407">
        <v>679.02554999999995</v>
      </c>
      <c r="O8407" s="1" t="s">
        <v>87</v>
      </c>
      <c r="P8407" s="1" t="s">
        <v>15463</v>
      </c>
      <c r="Q8407" s="1" t="s">
        <v>15464</v>
      </c>
      <c r="R8407" s="1" t="s">
        <v>90</v>
      </c>
      <c r="S8407" s="1" t="s">
        <v>5410</v>
      </c>
      <c r="T8407" s="1" t="s">
        <v>5411</v>
      </c>
      <c r="U8407" s="2" t="s">
        <v>3359</v>
      </c>
      <c r="V8407" s="2" t="s">
        <v>36</v>
      </c>
      <c r="W8407" s="2" t="s">
        <v>37</v>
      </c>
      <c r="X8407" s="2">
        <v>73.465000000000003</v>
      </c>
    </row>
    <row r="8408" spans="1:24" x14ac:dyDescent="0.3">
      <c r="A8408">
        <v>26207</v>
      </c>
      <c r="B8408" t="s">
        <v>15602</v>
      </c>
      <c r="C8408" s="3">
        <v>41936</v>
      </c>
      <c r="D8408" t="s">
        <v>39</v>
      </c>
      <c r="E8408">
        <v>1</v>
      </c>
      <c r="F8408" s="3">
        <f ca="1">41938+(RANDBETWEEN(1,10))</f>
        <v>41948</v>
      </c>
      <c r="G8408" t="s">
        <v>26</v>
      </c>
      <c r="H8408" t="s">
        <v>27</v>
      </c>
      <c r="I8408" t="s">
        <v>86</v>
      </c>
      <c r="J8408">
        <v>36.784999999999997</v>
      </c>
      <c r="K8408">
        <v>0.03</v>
      </c>
      <c r="L8408">
        <v>0.37</v>
      </c>
      <c r="M8408">
        <v>28.664999999999999</v>
      </c>
      <c r="N8408">
        <v>-45.954999999999998</v>
      </c>
      <c r="O8408" s="1" t="s">
        <v>40</v>
      </c>
      <c r="P8408" s="1" t="s">
        <v>15603</v>
      </c>
      <c r="Q8408" s="1" t="s">
        <v>15604</v>
      </c>
      <c r="R8408" s="1" t="s">
        <v>43</v>
      </c>
      <c r="S8408" s="1" t="s">
        <v>1851</v>
      </c>
      <c r="T8408" s="1" t="s">
        <v>1852</v>
      </c>
      <c r="U8408" s="2" t="s">
        <v>474</v>
      </c>
      <c r="V8408" s="2" t="s">
        <v>47</v>
      </c>
      <c r="W8408" s="2" t="s">
        <v>74</v>
      </c>
      <c r="X8408" s="2">
        <v>22.68</v>
      </c>
    </row>
    <row r="8409" spans="1:24" x14ac:dyDescent="0.3">
      <c r="A8409">
        <v>26208</v>
      </c>
      <c r="B8409" t="s">
        <v>15605</v>
      </c>
      <c r="C8409" s="3">
        <v>40631</v>
      </c>
      <c r="D8409" t="s">
        <v>50</v>
      </c>
      <c r="E8409">
        <v>5</v>
      </c>
      <c r="F8409" s="3">
        <f ca="1">40633+(RANDBETWEEN(1,10))</f>
        <v>40639</v>
      </c>
      <c r="G8409" t="s">
        <v>26</v>
      </c>
      <c r="H8409" t="s">
        <v>51</v>
      </c>
      <c r="I8409" t="s">
        <v>86</v>
      </c>
      <c r="J8409">
        <v>209.93</v>
      </c>
      <c r="K8409">
        <v>0.08</v>
      </c>
      <c r="L8409">
        <v>0.6</v>
      </c>
      <c r="M8409">
        <v>20.335000000000001</v>
      </c>
      <c r="N8409">
        <v>-146.54499999999999</v>
      </c>
      <c r="O8409" s="1" t="s">
        <v>225</v>
      </c>
      <c r="P8409" s="1" t="s">
        <v>15434</v>
      </c>
      <c r="Q8409" s="1" t="s">
        <v>15435</v>
      </c>
      <c r="R8409" s="1" t="s">
        <v>391</v>
      </c>
      <c r="S8409" s="1" t="s">
        <v>8048</v>
      </c>
      <c r="T8409" s="1" t="s">
        <v>8049</v>
      </c>
      <c r="U8409" s="2" t="s">
        <v>1353</v>
      </c>
      <c r="V8409" s="2" t="s">
        <v>47</v>
      </c>
      <c r="W8409" s="2" t="s">
        <v>104</v>
      </c>
      <c r="X8409" s="2">
        <v>41.895000000000003</v>
      </c>
    </row>
    <row r="8410" spans="1:24" x14ac:dyDescent="0.3">
      <c r="A8410">
        <v>26209</v>
      </c>
      <c r="B8410" t="s">
        <v>15606</v>
      </c>
      <c r="C8410" s="3">
        <v>41583</v>
      </c>
      <c r="D8410" t="s">
        <v>39</v>
      </c>
      <c r="E8410">
        <v>12</v>
      </c>
      <c r="F8410" s="3">
        <f ca="1">41584+(RANDBETWEEN(1,10))</f>
        <v>41585</v>
      </c>
      <c r="G8410" t="s">
        <v>76</v>
      </c>
      <c r="H8410" t="s">
        <v>258</v>
      </c>
      <c r="I8410" t="s">
        <v>86</v>
      </c>
      <c r="J8410">
        <v>9071.1949999999997</v>
      </c>
      <c r="K8410">
        <v>0.09</v>
      </c>
      <c r="L8410">
        <v>0.77</v>
      </c>
      <c r="M8410">
        <v>243.74</v>
      </c>
      <c r="N8410">
        <v>747.60685999999998</v>
      </c>
      <c r="O8410" s="1" t="s">
        <v>87</v>
      </c>
      <c r="P8410" s="1" t="s">
        <v>15607</v>
      </c>
      <c r="Q8410" s="1" t="s">
        <v>15608</v>
      </c>
      <c r="R8410" s="1" t="s">
        <v>646</v>
      </c>
      <c r="S8410" s="1" t="s">
        <v>15609</v>
      </c>
      <c r="T8410" s="1" t="s">
        <v>1427</v>
      </c>
      <c r="U8410" s="2" t="s">
        <v>1233</v>
      </c>
      <c r="V8410" s="2" t="s">
        <v>83</v>
      </c>
      <c r="W8410" s="2" t="s">
        <v>263</v>
      </c>
      <c r="X8410" s="2">
        <v>765.625</v>
      </c>
    </row>
    <row r="8411" spans="1:24" x14ac:dyDescent="0.3">
      <c r="A8411">
        <v>2621</v>
      </c>
      <c r="B8411" t="s">
        <v>15610</v>
      </c>
      <c r="C8411" s="3">
        <v>41697</v>
      </c>
      <c r="D8411" t="s">
        <v>25</v>
      </c>
      <c r="E8411">
        <v>33</v>
      </c>
      <c r="F8411" s="3">
        <f ca="1">41703+(RANDBETWEEN(1,10))</f>
        <v>41706</v>
      </c>
      <c r="G8411" t="s">
        <v>76</v>
      </c>
      <c r="H8411" t="s">
        <v>77</v>
      </c>
      <c r="I8411" t="s">
        <v>86</v>
      </c>
      <c r="J8411">
        <v>10529.75</v>
      </c>
      <c r="K8411">
        <v>0.05</v>
      </c>
      <c r="L8411">
        <v>0.36</v>
      </c>
      <c r="M8411">
        <v>49</v>
      </c>
      <c r="N8411">
        <v>3856.65</v>
      </c>
      <c r="O8411" s="1" t="s">
        <v>53</v>
      </c>
      <c r="P8411" s="1" t="s">
        <v>10270</v>
      </c>
      <c r="Q8411" s="1" t="s">
        <v>10271</v>
      </c>
      <c r="R8411" s="1" t="s">
        <v>100</v>
      </c>
      <c r="S8411" s="1" t="s">
        <v>101</v>
      </c>
      <c r="T8411" s="1" t="s">
        <v>10272</v>
      </c>
      <c r="U8411" s="2" t="s">
        <v>2449</v>
      </c>
      <c r="V8411" s="2" t="s">
        <v>36</v>
      </c>
      <c r="W8411" s="2" t="s">
        <v>142</v>
      </c>
      <c r="X8411" s="2">
        <v>318.39499999999998</v>
      </c>
    </row>
    <row r="8412" spans="1:24" x14ac:dyDescent="0.3">
      <c r="A8412">
        <v>26210</v>
      </c>
      <c r="B8412" t="s">
        <v>15611</v>
      </c>
      <c r="C8412" s="3">
        <v>40837</v>
      </c>
      <c r="D8412" t="s">
        <v>25</v>
      </c>
      <c r="E8412">
        <v>23</v>
      </c>
      <c r="F8412" s="3">
        <f ca="1">40841+(RANDBETWEEN(1,10))</f>
        <v>40846</v>
      </c>
      <c r="G8412" t="s">
        <v>26</v>
      </c>
      <c r="H8412" t="s">
        <v>27</v>
      </c>
      <c r="I8412" t="s">
        <v>28</v>
      </c>
      <c r="J8412">
        <v>1411.375</v>
      </c>
      <c r="K8412">
        <v>0</v>
      </c>
      <c r="L8412">
        <v>0.37</v>
      </c>
      <c r="M8412">
        <v>46.13</v>
      </c>
      <c r="N8412">
        <v>162.708</v>
      </c>
      <c r="O8412" s="1" t="s">
        <v>53</v>
      </c>
      <c r="P8412" s="1" t="s">
        <v>11375</v>
      </c>
      <c r="Q8412" s="1" t="s">
        <v>11376</v>
      </c>
      <c r="R8412" s="1" t="s">
        <v>56</v>
      </c>
      <c r="S8412" s="1" t="s">
        <v>2623</v>
      </c>
      <c r="T8412" s="1" t="s">
        <v>2624</v>
      </c>
      <c r="U8412" s="2" t="s">
        <v>197</v>
      </c>
      <c r="V8412" s="2" t="s">
        <v>47</v>
      </c>
      <c r="W8412" s="2" t="s">
        <v>111</v>
      </c>
      <c r="X8412" s="2">
        <v>55.965000000000003</v>
      </c>
    </row>
    <row r="8413" spans="1:24" x14ac:dyDescent="0.3">
      <c r="A8413">
        <v>26211</v>
      </c>
      <c r="B8413" t="s">
        <v>15612</v>
      </c>
      <c r="C8413" s="3">
        <v>40975</v>
      </c>
      <c r="D8413" t="s">
        <v>50</v>
      </c>
      <c r="E8413">
        <v>11</v>
      </c>
      <c r="F8413" s="3">
        <f ca="1">40975+(RANDBETWEEN(1,10))</f>
        <v>40977</v>
      </c>
      <c r="G8413" t="s">
        <v>26</v>
      </c>
      <c r="H8413" t="s">
        <v>27</v>
      </c>
      <c r="I8413" t="s">
        <v>97</v>
      </c>
      <c r="J8413">
        <v>2129.89</v>
      </c>
      <c r="K8413">
        <v>0.02</v>
      </c>
      <c r="L8413">
        <v>0.39</v>
      </c>
      <c r="M8413">
        <v>56.384999999999998</v>
      </c>
      <c r="N8413">
        <v>1469.6241</v>
      </c>
      <c r="O8413" s="1" t="s">
        <v>29</v>
      </c>
      <c r="P8413" s="1" t="s">
        <v>15613</v>
      </c>
      <c r="Q8413" s="1" t="s">
        <v>15614</v>
      </c>
      <c r="R8413" s="1" t="s">
        <v>32</v>
      </c>
      <c r="S8413" s="1" t="s">
        <v>964</v>
      </c>
      <c r="T8413" s="1" t="s">
        <v>965</v>
      </c>
      <c r="U8413" s="2" t="s">
        <v>6436</v>
      </c>
      <c r="V8413" s="2" t="s">
        <v>47</v>
      </c>
      <c r="W8413" s="2" t="s">
        <v>111</v>
      </c>
      <c r="X8413" s="2">
        <v>183.4</v>
      </c>
    </row>
    <row r="8414" spans="1:24" x14ac:dyDescent="0.3">
      <c r="A8414">
        <v>26212</v>
      </c>
      <c r="B8414" t="s">
        <v>15612</v>
      </c>
      <c r="C8414" s="3">
        <v>40975</v>
      </c>
      <c r="D8414" t="s">
        <v>50</v>
      </c>
      <c r="E8414">
        <v>2</v>
      </c>
      <c r="F8414" s="3">
        <f ca="1">40976+(RANDBETWEEN(1,10))</f>
        <v>40985</v>
      </c>
      <c r="G8414" t="s">
        <v>156</v>
      </c>
      <c r="H8414" t="s">
        <v>27</v>
      </c>
      <c r="I8414" t="s">
        <v>97</v>
      </c>
      <c r="J8414">
        <v>236.39</v>
      </c>
      <c r="K8414">
        <v>0.02</v>
      </c>
      <c r="L8414">
        <v>0.4</v>
      </c>
      <c r="M8414">
        <v>30.59</v>
      </c>
      <c r="N8414">
        <v>48.545000000000002</v>
      </c>
      <c r="O8414" s="1" t="s">
        <v>29</v>
      </c>
      <c r="P8414" s="1" t="s">
        <v>15613</v>
      </c>
      <c r="Q8414" s="1" t="s">
        <v>15614</v>
      </c>
      <c r="R8414" s="1" t="s">
        <v>32</v>
      </c>
      <c r="S8414" s="1" t="s">
        <v>964</v>
      </c>
      <c r="T8414" s="1" t="s">
        <v>965</v>
      </c>
      <c r="U8414" s="2" t="s">
        <v>1346</v>
      </c>
      <c r="V8414" s="2" t="s">
        <v>47</v>
      </c>
      <c r="W8414" s="2" t="s">
        <v>74</v>
      </c>
      <c r="X8414" s="2">
        <v>108.43</v>
      </c>
    </row>
    <row r="8415" spans="1:24" x14ac:dyDescent="0.3">
      <c r="A8415">
        <v>26213</v>
      </c>
      <c r="B8415" t="s">
        <v>15615</v>
      </c>
      <c r="C8415" s="3">
        <v>41923</v>
      </c>
      <c r="D8415" t="s">
        <v>62</v>
      </c>
      <c r="E8415">
        <v>24</v>
      </c>
      <c r="F8415" s="3">
        <f ca="1">41925+(RANDBETWEEN(1,10))</f>
        <v>41927</v>
      </c>
      <c r="G8415" t="s">
        <v>76</v>
      </c>
      <c r="H8415" t="s">
        <v>77</v>
      </c>
      <c r="I8415" t="s">
        <v>86</v>
      </c>
      <c r="J8415">
        <v>7546.875</v>
      </c>
      <c r="K8415">
        <v>0.05</v>
      </c>
      <c r="L8415">
        <v>0.66</v>
      </c>
      <c r="M8415">
        <v>147</v>
      </c>
      <c r="N8415">
        <v>-2449.02</v>
      </c>
      <c r="O8415" s="1" t="s">
        <v>53</v>
      </c>
      <c r="P8415" s="1" t="s">
        <v>13089</v>
      </c>
      <c r="Q8415" s="1" t="s">
        <v>13090</v>
      </c>
      <c r="R8415" s="1" t="s">
        <v>440</v>
      </c>
      <c r="S8415" s="1" t="s">
        <v>2771</v>
      </c>
      <c r="T8415" s="1" t="s">
        <v>2772</v>
      </c>
      <c r="U8415" s="2" t="s">
        <v>2462</v>
      </c>
      <c r="V8415" s="2" t="s">
        <v>83</v>
      </c>
      <c r="W8415" s="2" t="s">
        <v>84</v>
      </c>
      <c r="X8415" s="2">
        <v>314.96499999999997</v>
      </c>
    </row>
    <row r="8416" spans="1:24" x14ac:dyDescent="0.3">
      <c r="A8416">
        <v>26214</v>
      </c>
      <c r="B8416" t="s">
        <v>15616</v>
      </c>
      <c r="C8416" s="3">
        <v>41049</v>
      </c>
      <c r="D8416" t="s">
        <v>50</v>
      </c>
      <c r="E8416">
        <v>7</v>
      </c>
      <c r="F8416" s="3">
        <f ca="1">41050+(RANDBETWEEN(1,10))</f>
        <v>41052</v>
      </c>
      <c r="G8416" t="s">
        <v>26</v>
      </c>
      <c r="H8416" t="s">
        <v>96</v>
      </c>
      <c r="I8416" t="s">
        <v>28</v>
      </c>
      <c r="J8416">
        <v>181.685</v>
      </c>
      <c r="K8416">
        <v>0.03</v>
      </c>
      <c r="L8416">
        <v>0.38</v>
      </c>
      <c r="M8416">
        <v>7.5949999999999998</v>
      </c>
      <c r="N8416">
        <v>125.36265</v>
      </c>
      <c r="O8416" s="1" t="s">
        <v>40</v>
      </c>
      <c r="P8416" s="1" t="s">
        <v>11111</v>
      </c>
      <c r="Q8416" s="1" t="s">
        <v>11112</v>
      </c>
      <c r="R8416" s="1" t="s">
        <v>43</v>
      </c>
      <c r="S8416" s="1" t="s">
        <v>11113</v>
      </c>
      <c r="T8416" s="1" t="s">
        <v>11114</v>
      </c>
      <c r="U8416" s="2" t="s">
        <v>6554</v>
      </c>
      <c r="V8416" s="2" t="s">
        <v>47</v>
      </c>
      <c r="W8416" s="2" t="s">
        <v>74</v>
      </c>
      <c r="X8416" s="2">
        <v>24.64</v>
      </c>
    </row>
    <row r="8417" spans="1:24" x14ac:dyDescent="0.3">
      <c r="A8417">
        <v>26215</v>
      </c>
      <c r="B8417" t="s">
        <v>15616</v>
      </c>
      <c r="C8417" s="3">
        <v>41049</v>
      </c>
      <c r="D8417" t="s">
        <v>50</v>
      </c>
      <c r="E8417">
        <v>14</v>
      </c>
      <c r="F8417" s="3">
        <f ca="1">41050+(RANDBETWEEN(1,10))</f>
        <v>41057</v>
      </c>
      <c r="G8417" t="s">
        <v>26</v>
      </c>
      <c r="H8417" t="s">
        <v>27</v>
      </c>
      <c r="I8417" t="s">
        <v>28</v>
      </c>
      <c r="J8417">
        <v>421.33</v>
      </c>
      <c r="K8417">
        <v>0.05</v>
      </c>
      <c r="L8417">
        <v>0.38</v>
      </c>
      <c r="M8417">
        <v>29.015000000000001</v>
      </c>
      <c r="N8417">
        <v>-472.39499999999998</v>
      </c>
      <c r="O8417" s="1" t="s">
        <v>87</v>
      </c>
      <c r="P8417" s="1" t="s">
        <v>15617</v>
      </c>
      <c r="Q8417" s="1" t="s">
        <v>15618</v>
      </c>
      <c r="R8417" s="1" t="s">
        <v>90</v>
      </c>
      <c r="S8417" s="1" t="s">
        <v>3063</v>
      </c>
      <c r="T8417" s="1" t="s">
        <v>3064</v>
      </c>
      <c r="U8417" s="2" t="s">
        <v>1682</v>
      </c>
      <c r="V8417" s="2" t="s">
        <v>47</v>
      </c>
      <c r="W8417" s="2" t="s">
        <v>48</v>
      </c>
      <c r="X8417" s="2">
        <v>30.59</v>
      </c>
    </row>
    <row r="8418" spans="1:24" x14ac:dyDescent="0.3">
      <c r="A8418">
        <v>26216</v>
      </c>
      <c r="B8418" t="s">
        <v>15619</v>
      </c>
      <c r="C8418" s="3">
        <v>41826</v>
      </c>
      <c r="D8418" t="s">
        <v>148</v>
      </c>
      <c r="E8418">
        <v>7</v>
      </c>
      <c r="F8418" s="3">
        <f ca="1">41827+(RANDBETWEEN(1,10))</f>
        <v>41835</v>
      </c>
      <c r="G8418" t="s">
        <v>26</v>
      </c>
      <c r="H8418" t="s">
        <v>27</v>
      </c>
      <c r="I8418" t="s">
        <v>97</v>
      </c>
      <c r="J8418">
        <v>644.07000000000005</v>
      </c>
      <c r="K8418">
        <v>0.03</v>
      </c>
      <c r="L8418">
        <v>0.49</v>
      </c>
      <c r="M8418">
        <v>24.254999999999999</v>
      </c>
      <c r="N8418">
        <v>444.4083</v>
      </c>
      <c r="O8418" s="1" t="s">
        <v>29</v>
      </c>
      <c r="P8418" s="1" t="s">
        <v>13735</v>
      </c>
      <c r="Q8418" s="1" t="s">
        <v>2879</v>
      </c>
      <c r="R8418" s="1" t="s">
        <v>32</v>
      </c>
      <c r="S8418" s="1" t="s">
        <v>13736</v>
      </c>
      <c r="T8418" s="1" t="s">
        <v>13737</v>
      </c>
      <c r="U8418" s="2" t="s">
        <v>3900</v>
      </c>
      <c r="V8418" s="2" t="s">
        <v>83</v>
      </c>
      <c r="W8418" s="2" t="s">
        <v>178</v>
      </c>
      <c r="X8418" s="2">
        <v>92.68</v>
      </c>
    </row>
    <row r="8419" spans="1:24" x14ac:dyDescent="0.3">
      <c r="A8419">
        <v>26217</v>
      </c>
      <c r="B8419" t="s">
        <v>15620</v>
      </c>
      <c r="C8419" s="3">
        <v>41611</v>
      </c>
      <c r="D8419" t="s">
        <v>25</v>
      </c>
      <c r="E8419">
        <v>4</v>
      </c>
      <c r="F8419" s="3">
        <f ca="1">41613+(RANDBETWEEN(1,10))</f>
        <v>41616</v>
      </c>
      <c r="G8419" t="s">
        <v>26</v>
      </c>
      <c r="H8419" t="s">
        <v>27</v>
      </c>
      <c r="I8419" t="s">
        <v>97</v>
      </c>
      <c r="J8419">
        <v>31.22</v>
      </c>
      <c r="K8419">
        <v>0.03</v>
      </c>
      <c r="L8419">
        <v>0.38</v>
      </c>
      <c r="M8419">
        <v>5.2149999999999999</v>
      </c>
      <c r="N8419">
        <v>239.44200000000001</v>
      </c>
      <c r="O8419" s="1" t="s">
        <v>64</v>
      </c>
      <c r="P8419" s="1" t="s">
        <v>14019</v>
      </c>
      <c r="Q8419" s="1" t="s">
        <v>14020</v>
      </c>
      <c r="R8419" s="1" t="s">
        <v>67</v>
      </c>
      <c r="S8419" s="1" t="s">
        <v>14021</v>
      </c>
      <c r="T8419" s="1" t="s">
        <v>14022</v>
      </c>
      <c r="U8419" s="2" t="s">
        <v>7281</v>
      </c>
      <c r="V8419" s="2" t="s">
        <v>47</v>
      </c>
      <c r="W8419" s="2" t="s">
        <v>111</v>
      </c>
      <c r="X8419" s="2">
        <v>7.28</v>
      </c>
    </row>
    <row r="8420" spans="1:24" x14ac:dyDescent="0.3">
      <c r="A8420">
        <v>26218</v>
      </c>
      <c r="B8420" t="s">
        <v>15620</v>
      </c>
      <c r="C8420" s="3">
        <v>41611</v>
      </c>
      <c r="D8420" t="s">
        <v>25</v>
      </c>
      <c r="E8420">
        <v>9</v>
      </c>
      <c r="F8420" s="3">
        <f ca="1">41620+(RANDBETWEEN(1,10))</f>
        <v>41628</v>
      </c>
      <c r="G8420" t="s">
        <v>26</v>
      </c>
      <c r="H8420" t="s">
        <v>96</v>
      </c>
      <c r="I8420" t="s">
        <v>97</v>
      </c>
      <c r="J8420">
        <v>82.46</v>
      </c>
      <c r="K8420">
        <v>0</v>
      </c>
      <c r="L8420">
        <v>0.38</v>
      </c>
      <c r="M8420">
        <v>24.815000000000001</v>
      </c>
      <c r="N8420">
        <v>-401.26100000000002</v>
      </c>
      <c r="O8420" s="1" t="s">
        <v>64</v>
      </c>
      <c r="P8420" s="1" t="s">
        <v>14019</v>
      </c>
      <c r="Q8420" s="1" t="s">
        <v>14020</v>
      </c>
      <c r="R8420" s="1" t="s">
        <v>67</v>
      </c>
      <c r="S8420" s="1" t="s">
        <v>14021</v>
      </c>
      <c r="T8420" s="1" t="s">
        <v>14022</v>
      </c>
      <c r="U8420" s="2" t="s">
        <v>117</v>
      </c>
      <c r="V8420" s="2" t="s">
        <v>47</v>
      </c>
      <c r="W8420" s="2" t="s">
        <v>74</v>
      </c>
      <c r="X8420" s="2">
        <v>7.63</v>
      </c>
    </row>
    <row r="8421" spans="1:24" x14ac:dyDescent="0.3">
      <c r="A8421">
        <v>26219</v>
      </c>
      <c r="B8421" t="s">
        <v>15621</v>
      </c>
      <c r="C8421" s="3">
        <v>41660</v>
      </c>
      <c r="D8421" t="s">
        <v>25</v>
      </c>
      <c r="E8421">
        <v>1</v>
      </c>
      <c r="F8421" s="3">
        <f ca="1">41667+(RANDBETWEEN(1,10))</f>
        <v>41668</v>
      </c>
      <c r="G8421" t="s">
        <v>26</v>
      </c>
      <c r="H8421" t="s">
        <v>96</v>
      </c>
      <c r="I8421" t="s">
        <v>28</v>
      </c>
      <c r="J8421">
        <v>29.26</v>
      </c>
      <c r="K8421">
        <v>0.1</v>
      </c>
      <c r="L8421">
        <v>0.4</v>
      </c>
      <c r="M8421">
        <v>10.045</v>
      </c>
      <c r="N8421">
        <v>-29.859200000000001</v>
      </c>
      <c r="O8421" s="1" t="s">
        <v>87</v>
      </c>
      <c r="P8421" s="1" t="s">
        <v>10536</v>
      </c>
      <c r="Q8421" s="1" t="s">
        <v>10537</v>
      </c>
      <c r="R8421" s="1" t="s">
        <v>646</v>
      </c>
      <c r="S8421" s="1" t="s">
        <v>5570</v>
      </c>
      <c r="T8421" s="1" t="s">
        <v>3151</v>
      </c>
      <c r="U8421" s="2" t="s">
        <v>1846</v>
      </c>
      <c r="V8421" s="2" t="s">
        <v>47</v>
      </c>
      <c r="W8421" s="2" t="s">
        <v>74</v>
      </c>
      <c r="X8421" s="2">
        <v>28.035</v>
      </c>
    </row>
    <row r="8422" spans="1:24" x14ac:dyDescent="0.3">
      <c r="A8422">
        <v>26220</v>
      </c>
      <c r="B8422" t="s">
        <v>15622</v>
      </c>
      <c r="C8422" s="3">
        <v>40561</v>
      </c>
      <c r="D8422" t="s">
        <v>148</v>
      </c>
      <c r="E8422">
        <v>3</v>
      </c>
      <c r="F8422" s="3">
        <f ca="1">40562+(RANDBETWEEN(1,10))</f>
        <v>40565</v>
      </c>
      <c r="G8422" t="s">
        <v>26</v>
      </c>
      <c r="H8422" t="s">
        <v>27</v>
      </c>
      <c r="I8422" t="s">
        <v>28</v>
      </c>
      <c r="J8422">
        <v>124.18</v>
      </c>
      <c r="K8422">
        <v>0.02</v>
      </c>
      <c r="L8422">
        <v>0.35</v>
      </c>
      <c r="M8422">
        <v>20.02</v>
      </c>
      <c r="N8422">
        <v>-909.14599999999996</v>
      </c>
      <c r="O8422" s="1" t="s">
        <v>87</v>
      </c>
      <c r="P8422" s="1" t="s">
        <v>11252</v>
      </c>
      <c r="Q8422" s="1" t="s">
        <v>11253</v>
      </c>
      <c r="R8422" s="1" t="s">
        <v>646</v>
      </c>
      <c r="S8422" s="1" t="s">
        <v>11254</v>
      </c>
      <c r="T8422" s="1" t="s">
        <v>11255</v>
      </c>
      <c r="U8422" s="2" t="s">
        <v>2886</v>
      </c>
      <c r="V8422" s="2" t="s">
        <v>47</v>
      </c>
      <c r="W8422" s="2" t="s">
        <v>48</v>
      </c>
      <c r="X8422" s="2">
        <v>40.53</v>
      </c>
    </row>
    <row r="8423" spans="1:24" x14ac:dyDescent="0.3">
      <c r="A8423">
        <v>26221</v>
      </c>
      <c r="B8423" t="s">
        <v>15623</v>
      </c>
      <c r="C8423" s="3">
        <v>41657</v>
      </c>
      <c r="D8423" t="s">
        <v>148</v>
      </c>
      <c r="E8423">
        <v>8</v>
      </c>
      <c r="F8423" s="3">
        <f ca="1">41657+(RANDBETWEEN(1,10))</f>
        <v>41664</v>
      </c>
      <c r="G8423" t="s">
        <v>26</v>
      </c>
      <c r="H8423" t="s">
        <v>27</v>
      </c>
      <c r="I8423" t="s">
        <v>28</v>
      </c>
      <c r="J8423">
        <v>1331.54</v>
      </c>
      <c r="K8423">
        <v>0.06</v>
      </c>
      <c r="L8423">
        <v>0.38</v>
      </c>
      <c r="M8423">
        <v>20.335000000000001</v>
      </c>
      <c r="N8423">
        <v>-6.9580000000000002</v>
      </c>
      <c r="O8423" s="1" t="s">
        <v>87</v>
      </c>
      <c r="P8423" s="1" t="s">
        <v>11252</v>
      </c>
      <c r="Q8423" s="1" t="s">
        <v>11253</v>
      </c>
      <c r="R8423" s="1" t="s">
        <v>646</v>
      </c>
      <c r="S8423" s="1" t="s">
        <v>11254</v>
      </c>
      <c r="T8423" s="1" t="s">
        <v>11255</v>
      </c>
      <c r="U8423" s="2" t="s">
        <v>1912</v>
      </c>
      <c r="V8423" s="2" t="s">
        <v>47</v>
      </c>
      <c r="W8423" s="2" t="s">
        <v>74</v>
      </c>
      <c r="X8423" s="2">
        <v>171.185</v>
      </c>
    </row>
    <row r="8424" spans="1:24" x14ac:dyDescent="0.3">
      <c r="A8424">
        <v>26222</v>
      </c>
      <c r="B8424" t="s">
        <v>15623</v>
      </c>
      <c r="C8424" s="3">
        <v>41657</v>
      </c>
      <c r="D8424" t="s">
        <v>148</v>
      </c>
      <c r="E8424">
        <v>5</v>
      </c>
      <c r="F8424" s="3">
        <f ca="1">41658+(RANDBETWEEN(1,10))</f>
        <v>41663</v>
      </c>
      <c r="G8424" t="s">
        <v>26</v>
      </c>
      <c r="H8424" t="s">
        <v>27</v>
      </c>
      <c r="I8424" t="s">
        <v>28</v>
      </c>
      <c r="J8424">
        <v>286.96499999999997</v>
      </c>
      <c r="K8424">
        <v>0.02</v>
      </c>
      <c r="L8424">
        <v>0.59</v>
      </c>
      <c r="M8424">
        <v>62.23</v>
      </c>
      <c r="N8424">
        <v>-664.42285000000004</v>
      </c>
      <c r="O8424" s="1" t="s">
        <v>87</v>
      </c>
      <c r="P8424" s="1" t="s">
        <v>11252</v>
      </c>
      <c r="Q8424" s="1" t="s">
        <v>11253</v>
      </c>
      <c r="R8424" s="1" t="s">
        <v>646</v>
      </c>
      <c r="S8424" s="1" t="s">
        <v>11254</v>
      </c>
      <c r="T8424" s="1" t="s">
        <v>11255</v>
      </c>
      <c r="U8424" s="2" t="s">
        <v>4598</v>
      </c>
      <c r="V8424" s="2" t="s">
        <v>47</v>
      </c>
      <c r="W8424" s="2" t="s">
        <v>119</v>
      </c>
      <c r="X8424" s="2">
        <v>54.284999999999997</v>
      </c>
    </row>
    <row r="8425" spans="1:24" x14ac:dyDescent="0.3">
      <c r="A8425">
        <v>26223</v>
      </c>
      <c r="B8425" t="s">
        <v>15622</v>
      </c>
      <c r="C8425" s="3">
        <v>40561</v>
      </c>
      <c r="D8425" t="s">
        <v>148</v>
      </c>
      <c r="E8425">
        <v>6</v>
      </c>
      <c r="F8425" s="3">
        <f ca="1">40563+(RANDBETWEEN(1,10))</f>
        <v>40565</v>
      </c>
      <c r="G8425" t="s">
        <v>76</v>
      </c>
      <c r="H8425" t="s">
        <v>77</v>
      </c>
      <c r="I8425" t="s">
        <v>28</v>
      </c>
      <c r="J8425">
        <v>7455.14</v>
      </c>
      <c r="K8425">
        <v>0.05</v>
      </c>
      <c r="L8425">
        <v>0.55000000000000004</v>
      </c>
      <c r="M8425">
        <v>136.5</v>
      </c>
      <c r="N8425">
        <v>5144.0465999999997</v>
      </c>
      <c r="O8425" s="1" t="s">
        <v>87</v>
      </c>
      <c r="P8425" s="1" t="s">
        <v>15607</v>
      </c>
      <c r="Q8425" s="1" t="s">
        <v>15608</v>
      </c>
      <c r="R8425" s="1" t="s">
        <v>646</v>
      </c>
      <c r="S8425" s="1" t="s">
        <v>15609</v>
      </c>
      <c r="T8425" s="1" t="s">
        <v>1427</v>
      </c>
      <c r="U8425" s="2" t="s">
        <v>3927</v>
      </c>
      <c r="V8425" s="2" t="s">
        <v>83</v>
      </c>
      <c r="W8425" s="2" t="s">
        <v>84</v>
      </c>
      <c r="X8425" s="2">
        <v>1228.4649999999999</v>
      </c>
    </row>
    <row r="8426" spans="1:24" x14ac:dyDescent="0.3">
      <c r="A8426">
        <v>26224</v>
      </c>
      <c r="B8426" t="s">
        <v>15622</v>
      </c>
      <c r="C8426" s="3">
        <v>40561</v>
      </c>
      <c r="D8426" t="s">
        <v>148</v>
      </c>
      <c r="E8426">
        <v>5</v>
      </c>
      <c r="F8426" s="3">
        <f ca="1">40563+(RANDBETWEEN(1,10))</f>
        <v>40573</v>
      </c>
      <c r="G8426" t="s">
        <v>156</v>
      </c>
      <c r="H8426" t="s">
        <v>27</v>
      </c>
      <c r="I8426" t="s">
        <v>28</v>
      </c>
      <c r="J8426">
        <v>289.8</v>
      </c>
      <c r="K8426">
        <v>0.04</v>
      </c>
      <c r="L8426">
        <v>0.49</v>
      </c>
      <c r="M8426">
        <v>32.9</v>
      </c>
      <c r="N8426">
        <v>-292.43570999999997</v>
      </c>
      <c r="O8426" s="1" t="s">
        <v>87</v>
      </c>
      <c r="P8426" s="1" t="s">
        <v>15607</v>
      </c>
      <c r="Q8426" s="1" t="s">
        <v>15608</v>
      </c>
      <c r="R8426" s="1" t="s">
        <v>646</v>
      </c>
      <c r="S8426" s="1" t="s">
        <v>15609</v>
      </c>
      <c r="T8426" s="1" t="s">
        <v>1427</v>
      </c>
      <c r="U8426" s="2" t="s">
        <v>942</v>
      </c>
      <c r="V8426" s="2" t="s">
        <v>36</v>
      </c>
      <c r="W8426" s="2" t="s">
        <v>142</v>
      </c>
      <c r="X8426" s="2">
        <v>55.965000000000003</v>
      </c>
    </row>
    <row r="8427" spans="1:24" x14ac:dyDescent="0.3">
      <c r="A8427">
        <v>26225</v>
      </c>
      <c r="B8427" t="s">
        <v>15624</v>
      </c>
      <c r="C8427" s="3">
        <v>40940</v>
      </c>
      <c r="D8427" t="s">
        <v>25</v>
      </c>
      <c r="E8427">
        <v>8</v>
      </c>
      <c r="F8427" s="3">
        <f ca="1">40942+(RANDBETWEEN(1,10))</f>
        <v>40952</v>
      </c>
      <c r="G8427" t="s">
        <v>26</v>
      </c>
      <c r="H8427" t="s">
        <v>27</v>
      </c>
      <c r="I8427" t="s">
        <v>28</v>
      </c>
      <c r="J8427">
        <v>888.58</v>
      </c>
      <c r="K8427">
        <v>0.04</v>
      </c>
      <c r="L8427">
        <v>0.64</v>
      </c>
      <c r="M8427">
        <v>22.75</v>
      </c>
      <c r="N8427">
        <v>153.02000000000001</v>
      </c>
      <c r="O8427" s="1" t="s">
        <v>87</v>
      </c>
      <c r="P8427" s="1" t="s">
        <v>10622</v>
      </c>
      <c r="Q8427" s="1" t="s">
        <v>10623</v>
      </c>
      <c r="R8427" s="1" t="s">
        <v>646</v>
      </c>
      <c r="S8427" s="1" t="s">
        <v>6024</v>
      </c>
      <c r="T8427" s="1" t="s">
        <v>6025</v>
      </c>
      <c r="U8427" s="2" t="s">
        <v>2033</v>
      </c>
      <c r="V8427" s="2" t="s">
        <v>36</v>
      </c>
      <c r="W8427" s="2" t="s">
        <v>60</v>
      </c>
      <c r="X8427" s="2">
        <v>108.43</v>
      </c>
    </row>
    <row r="8428" spans="1:24" x14ac:dyDescent="0.3">
      <c r="A8428">
        <v>26226</v>
      </c>
      <c r="B8428" t="s">
        <v>15625</v>
      </c>
      <c r="C8428" s="3">
        <v>41126</v>
      </c>
      <c r="D8428" t="s">
        <v>25</v>
      </c>
      <c r="E8428">
        <v>12</v>
      </c>
      <c r="F8428" s="3">
        <f ca="1">41130+(RANDBETWEEN(1,10))</f>
        <v>41133</v>
      </c>
      <c r="G8428" t="s">
        <v>26</v>
      </c>
      <c r="H8428" t="s">
        <v>27</v>
      </c>
      <c r="I8428" t="s">
        <v>86</v>
      </c>
      <c r="J8428">
        <v>315.83999999999997</v>
      </c>
      <c r="K8428">
        <v>0.03</v>
      </c>
      <c r="L8428">
        <v>0.38</v>
      </c>
      <c r="M8428">
        <v>27.02</v>
      </c>
      <c r="N8428">
        <v>-192.40949000000001</v>
      </c>
      <c r="O8428" s="1" t="s">
        <v>40</v>
      </c>
      <c r="P8428" s="1" t="s">
        <v>15626</v>
      </c>
      <c r="Q8428" s="1" t="s">
        <v>15627</v>
      </c>
      <c r="R8428" s="1" t="s">
        <v>43</v>
      </c>
      <c r="S8428" s="1" t="s">
        <v>15628</v>
      </c>
      <c r="T8428" s="1" t="s">
        <v>15629</v>
      </c>
      <c r="U8428" s="2" t="s">
        <v>823</v>
      </c>
      <c r="V8428" s="2" t="s">
        <v>47</v>
      </c>
      <c r="W8428" s="2" t="s">
        <v>111</v>
      </c>
      <c r="X8428" s="2">
        <v>25.55</v>
      </c>
    </row>
    <row r="8429" spans="1:24" x14ac:dyDescent="0.3">
      <c r="A8429">
        <v>26227</v>
      </c>
      <c r="B8429" t="s">
        <v>15625</v>
      </c>
      <c r="C8429" s="3">
        <v>41126</v>
      </c>
      <c r="D8429" t="s">
        <v>25</v>
      </c>
      <c r="E8429">
        <v>17</v>
      </c>
      <c r="F8429" s="3">
        <f ca="1">41131+(RANDBETWEEN(1,10))</f>
        <v>41136</v>
      </c>
      <c r="G8429" t="s">
        <v>26</v>
      </c>
      <c r="H8429" t="s">
        <v>281</v>
      </c>
      <c r="I8429" t="s">
        <v>86</v>
      </c>
      <c r="J8429">
        <v>590.52</v>
      </c>
      <c r="K8429">
        <v>0.02</v>
      </c>
      <c r="L8429">
        <v>0.48</v>
      </c>
      <c r="M8429">
        <v>21.07</v>
      </c>
      <c r="N8429">
        <v>-18.727799999999998</v>
      </c>
      <c r="O8429" s="1" t="s">
        <v>40</v>
      </c>
      <c r="P8429" s="1" t="s">
        <v>15626</v>
      </c>
      <c r="Q8429" s="1" t="s">
        <v>15627</v>
      </c>
      <c r="R8429" s="1" t="s">
        <v>43</v>
      </c>
      <c r="S8429" s="1" t="s">
        <v>15628</v>
      </c>
      <c r="T8429" s="1" t="s">
        <v>15629</v>
      </c>
      <c r="U8429" s="2" t="s">
        <v>3578</v>
      </c>
      <c r="V8429" s="2" t="s">
        <v>83</v>
      </c>
      <c r="W8429" s="2" t="s">
        <v>178</v>
      </c>
      <c r="X8429" s="2">
        <v>34.195</v>
      </c>
    </row>
    <row r="8430" spans="1:24" x14ac:dyDescent="0.3">
      <c r="A8430">
        <v>26228</v>
      </c>
      <c r="B8430" t="s">
        <v>15630</v>
      </c>
      <c r="C8430" s="3">
        <v>41744</v>
      </c>
      <c r="D8430" t="s">
        <v>62</v>
      </c>
      <c r="E8430">
        <v>10</v>
      </c>
      <c r="F8430" s="3">
        <f ca="1">41745+(RANDBETWEEN(1,10))</f>
        <v>41750</v>
      </c>
      <c r="G8430" t="s">
        <v>26</v>
      </c>
      <c r="H8430" t="s">
        <v>51</v>
      </c>
      <c r="I8430" t="s">
        <v>52</v>
      </c>
      <c r="J8430">
        <v>852.005</v>
      </c>
      <c r="K8430">
        <v>0.01</v>
      </c>
      <c r="L8430">
        <v>0.46</v>
      </c>
      <c r="M8430">
        <v>6.9649999999999999</v>
      </c>
      <c r="N8430">
        <v>158.78100000000001</v>
      </c>
      <c r="O8430" s="1" t="s">
        <v>87</v>
      </c>
      <c r="P8430" s="1" t="s">
        <v>9026</v>
      </c>
      <c r="Q8430" s="1" t="s">
        <v>9027</v>
      </c>
      <c r="R8430" s="1" t="s">
        <v>398</v>
      </c>
      <c r="S8430" s="1" t="s">
        <v>9028</v>
      </c>
      <c r="T8430" s="1" t="s">
        <v>9029</v>
      </c>
      <c r="U8430" s="2" t="s">
        <v>1595</v>
      </c>
      <c r="V8430" s="2" t="s">
        <v>36</v>
      </c>
      <c r="W8430" s="2" t="s">
        <v>60</v>
      </c>
      <c r="X8430" s="2">
        <v>80.430000000000007</v>
      </c>
    </row>
    <row r="8431" spans="1:24" x14ac:dyDescent="0.3">
      <c r="A8431">
        <v>26229</v>
      </c>
      <c r="B8431" t="s">
        <v>15631</v>
      </c>
      <c r="C8431" s="3">
        <v>40648</v>
      </c>
      <c r="D8431" t="s">
        <v>62</v>
      </c>
      <c r="E8431">
        <v>5</v>
      </c>
      <c r="F8431" s="3">
        <f ca="1">40650+(RANDBETWEEN(1,10))</f>
        <v>40655</v>
      </c>
      <c r="G8431" t="s">
        <v>76</v>
      </c>
      <c r="H8431" t="s">
        <v>77</v>
      </c>
      <c r="I8431" t="s">
        <v>52</v>
      </c>
      <c r="J8431">
        <v>3808.91</v>
      </c>
      <c r="K8431">
        <v>0.1</v>
      </c>
      <c r="L8431">
        <v>0.59</v>
      </c>
      <c r="M8431">
        <v>98.56</v>
      </c>
      <c r="N8431">
        <v>-1367.6880000000001</v>
      </c>
      <c r="O8431" s="1" t="s">
        <v>53</v>
      </c>
      <c r="P8431" s="1" t="s">
        <v>15632</v>
      </c>
      <c r="Q8431" s="1" t="s">
        <v>15633</v>
      </c>
      <c r="R8431" s="1" t="s">
        <v>440</v>
      </c>
      <c r="S8431" s="1" t="s">
        <v>1121</v>
      </c>
      <c r="T8431" s="1" t="s">
        <v>1122</v>
      </c>
      <c r="U8431" s="2" t="s">
        <v>5590</v>
      </c>
      <c r="V8431" s="2" t="s">
        <v>83</v>
      </c>
      <c r="W8431" s="2" t="s">
        <v>84</v>
      </c>
      <c r="X8431" s="2">
        <v>793.34500000000003</v>
      </c>
    </row>
    <row r="8432" spans="1:24" x14ac:dyDescent="0.3">
      <c r="A8432">
        <v>26230</v>
      </c>
      <c r="B8432" t="s">
        <v>15634</v>
      </c>
      <c r="C8432" s="3">
        <v>40966</v>
      </c>
      <c r="D8432" t="s">
        <v>25</v>
      </c>
      <c r="E8432">
        <v>6</v>
      </c>
      <c r="F8432" s="3">
        <f ca="1">40972+(RANDBETWEEN(1,10))</f>
        <v>40981</v>
      </c>
      <c r="G8432" t="s">
        <v>26</v>
      </c>
      <c r="H8432" t="s">
        <v>51</v>
      </c>
      <c r="I8432" t="s">
        <v>97</v>
      </c>
      <c r="J8432">
        <v>269.04500000000002</v>
      </c>
      <c r="K8432">
        <v>0.01</v>
      </c>
      <c r="L8432">
        <v>0.43</v>
      </c>
      <c r="M8432">
        <v>21.07</v>
      </c>
      <c r="N8432">
        <v>185.64105000000001</v>
      </c>
      <c r="O8432" s="1" t="s">
        <v>40</v>
      </c>
      <c r="P8432" s="1" t="s">
        <v>6611</v>
      </c>
      <c r="Q8432" s="1" t="s">
        <v>6612</v>
      </c>
      <c r="R8432" s="1" t="s">
        <v>220</v>
      </c>
      <c r="S8432" s="1" t="s">
        <v>3762</v>
      </c>
      <c r="T8432" s="1" t="s">
        <v>3763</v>
      </c>
      <c r="U8432" s="2" t="s">
        <v>4414</v>
      </c>
      <c r="V8432" s="2" t="s">
        <v>83</v>
      </c>
      <c r="W8432" s="2" t="s">
        <v>178</v>
      </c>
      <c r="X8432" s="2">
        <v>42.7</v>
      </c>
    </row>
    <row r="8433" spans="1:24" x14ac:dyDescent="0.3">
      <c r="A8433">
        <v>26231</v>
      </c>
      <c r="B8433" t="s">
        <v>15635</v>
      </c>
      <c r="C8433" s="3">
        <v>41797</v>
      </c>
      <c r="D8433" t="s">
        <v>25</v>
      </c>
      <c r="E8433">
        <v>1</v>
      </c>
      <c r="F8433" s="3">
        <f ca="1">41801+(RANDBETWEEN(1,10))</f>
        <v>41810</v>
      </c>
      <c r="G8433" t="s">
        <v>26</v>
      </c>
      <c r="H8433" t="s">
        <v>96</v>
      </c>
      <c r="I8433" t="s">
        <v>28</v>
      </c>
      <c r="J8433">
        <v>27.93</v>
      </c>
      <c r="K8433">
        <v>0.1</v>
      </c>
      <c r="L8433">
        <v>0.43</v>
      </c>
      <c r="M8433">
        <v>3.36</v>
      </c>
      <c r="N8433">
        <v>-17.891999999999999</v>
      </c>
      <c r="O8433" s="1" t="s">
        <v>87</v>
      </c>
      <c r="P8433" s="1" t="s">
        <v>14584</v>
      </c>
      <c r="Q8433" s="1" t="s">
        <v>14585</v>
      </c>
      <c r="R8433" s="1" t="s">
        <v>398</v>
      </c>
      <c r="S8433" s="1" t="s">
        <v>2691</v>
      </c>
      <c r="T8433" s="1" t="s">
        <v>2692</v>
      </c>
      <c r="U8433" s="2" t="s">
        <v>2587</v>
      </c>
      <c r="V8433" s="2" t="s">
        <v>83</v>
      </c>
      <c r="W8433" s="2" t="s">
        <v>178</v>
      </c>
      <c r="X8433" s="2">
        <v>29.19</v>
      </c>
    </row>
    <row r="8434" spans="1:24" x14ac:dyDescent="0.3">
      <c r="A8434">
        <v>26232</v>
      </c>
      <c r="B8434" t="s">
        <v>15635</v>
      </c>
      <c r="C8434" s="3">
        <v>41797</v>
      </c>
      <c r="D8434" t="s">
        <v>25</v>
      </c>
      <c r="E8434">
        <v>5</v>
      </c>
      <c r="F8434" s="3">
        <f ca="1">41804+(RANDBETWEEN(1,10))</f>
        <v>41807</v>
      </c>
      <c r="G8434" t="s">
        <v>26</v>
      </c>
      <c r="H8434" t="s">
        <v>281</v>
      </c>
      <c r="I8434" t="s">
        <v>28</v>
      </c>
      <c r="J8434">
        <v>2534.4549999999999</v>
      </c>
      <c r="K8434">
        <v>0.04</v>
      </c>
      <c r="L8434">
        <v>0.37</v>
      </c>
      <c r="M8434">
        <v>48.965000000000003</v>
      </c>
      <c r="N8434">
        <v>1748.77395</v>
      </c>
      <c r="O8434" s="1" t="s">
        <v>87</v>
      </c>
      <c r="P8434" s="1" t="s">
        <v>14584</v>
      </c>
      <c r="Q8434" s="1" t="s">
        <v>14585</v>
      </c>
      <c r="R8434" s="1" t="s">
        <v>398</v>
      </c>
      <c r="S8434" s="1" t="s">
        <v>2691</v>
      </c>
      <c r="T8434" s="1" t="s">
        <v>2692</v>
      </c>
      <c r="U8434" s="2" t="s">
        <v>7910</v>
      </c>
      <c r="V8434" s="2" t="s">
        <v>36</v>
      </c>
      <c r="W8434" s="2" t="s">
        <v>142</v>
      </c>
      <c r="X8434" s="2">
        <v>493.46499999999997</v>
      </c>
    </row>
    <row r="8435" spans="1:24" x14ac:dyDescent="0.3">
      <c r="A8435">
        <v>26233</v>
      </c>
      <c r="B8435" t="s">
        <v>15636</v>
      </c>
      <c r="C8435" s="3">
        <v>41772</v>
      </c>
      <c r="D8435" t="s">
        <v>62</v>
      </c>
      <c r="E8435">
        <v>9</v>
      </c>
      <c r="F8435" s="3">
        <f ca="1">41773+(RANDBETWEEN(1,10))</f>
        <v>41775</v>
      </c>
      <c r="G8435" t="s">
        <v>76</v>
      </c>
      <c r="H8435" t="s">
        <v>77</v>
      </c>
      <c r="I8435" t="s">
        <v>97</v>
      </c>
      <c r="J8435">
        <v>6192.0950000000003</v>
      </c>
      <c r="K8435">
        <v>0.09</v>
      </c>
      <c r="L8435">
        <v>0.57999999999999996</v>
      </c>
      <c r="M8435">
        <v>83.16</v>
      </c>
      <c r="N8435">
        <v>3908.3449999999998</v>
      </c>
      <c r="O8435" s="1" t="s">
        <v>40</v>
      </c>
      <c r="P8435" s="1" t="s">
        <v>15637</v>
      </c>
      <c r="Q8435" s="1" t="s">
        <v>15638</v>
      </c>
      <c r="R8435" s="1" t="s">
        <v>43</v>
      </c>
      <c r="S8435" s="1" t="s">
        <v>11457</v>
      </c>
      <c r="T8435" s="1" t="s">
        <v>6784</v>
      </c>
      <c r="U8435" s="2" t="s">
        <v>3990</v>
      </c>
      <c r="V8435" s="2" t="s">
        <v>83</v>
      </c>
      <c r="W8435" s="2" t="s">
        <v>84</v>
      </c>
      <c r="X8435" s="2">
        <v>703.43</v>
      </c>
    </row>
    <row r="8436" spans="1:24" x14ac:dyDescent="0.3">
      <c r="A8436">
        <v>26234</v>
      </c>
      <c r="B8436" t="s">
        <v>15639</v>
      </c>
      <c r="C8436" s="3">
        <v>41023</v>
      </c>
      <c r="D8436" t="s">
        <v>62</v>
      </c>
      <c r="E8436">
        <v>9</v>
      </c>
      <c r="F8436" s="3">
        <f ca="1">41024+(RANDBETWEEN(1,10))</f>
        <v>41025</v>
      </c>
      <c r="G8436" t="s">
        <v>76</v>
      </c>
      <c r="H8436" t="s">
        <v>258</v>
      </c>
      <c r="I8436" t="s">
        <v>28</v>
      </c>
      <c r="J8436">
        <v>5517.82</v>
      </c>
      <c r="K8436">
        <v>0.03</v>
      </c>
      <c r="L8436">
        <v>0.66</v>
      </c>
      <c r="M8436">
        <v>125.61499999999999</v>
      </c>
      <c r="N8436">
        <v>2041.0250000000001</v>
      </c>
      <c r="O8436" s="1" t="s">
        <v>40</v>
      </c>
      <c r="P8436" s="1" t="s">
        <v>15640</v>
      </c>
      <c r="Q8436" s="1" t="s">
        <v>15641</v>
      </c>
      <c r="R8436" s="1" t="s">
        <v>43</v>
      </c>
      <c r="S8436" s="1" t="s">
        <v>14227</v>
      </c>
      <c r="T8436" s="1" t="s">
        <v>14228</v>
      </c>
      <c r="U8436" s="2" t="s">
        <v>6081</v>
      </c>
      <c r="V8436" s="2" t="s">
        <v>83</v>
      </c>
      <c r="W8436" s="2" t="s">
        <v>298</v>
      </c>
      <c r="X8436" s="2">
        <v>598.42999999999995</v>
      </c>
    </row>
    <row r="8437" spans="1:24" x14ac:dyDescent="0.3">
      <c r="A8437">
        <v>26235</v>
      </c>
      <c r="B8437" t="s">
        <v>15639</v>
      </c>
      <c r="C8437" s="3">
        <v>41023</v>
      </c>
      <c r="D8437" t="s">
        <v>62</v>
      </c>
      <c r="E8437">
        <v>3</v>
      </c>
      <c r="F8437" s="3">
        <f ca="1">41025+(RANDBETWEEN(1,10))</f>
        <v>41032</v>
      </c>
      <c r="G8437" t="s">
        <v>26</v>
      </c>
      <c r="H8437" t="s">
        <v>281</v>
      </c>
      <c r="I8437" t="s">
        <v>28</v>
      </c>
      <c r="J8437">
        <v>202.86</v>
      </c>
      <c r="K8437">
        <v>0</v>
      </c>
      <c r="L8437">
        <v>0.57999999999999996</v>
      </c>
      <c r="M8437">
        <v>16.835000000000001</v>
      </c>
      <c r="N8437">
        <v>-182.8365</v>
      </c>
      <c r="O8437" s="1" t="s">
        <v>40</v>
      </c>
      <c r="P8437" s="1" t="s">
        <v>15640</v>
      </c>
      <c r="Q8437" s="1" t="s">
        <v>15641</v>
      </c>
      <c r="R8437" s="1" t="s">
        <v>43</v>
      </c>
      <c r="S8437" s="1" t="s">
        <v>14227</v>
      </c>
      <c r="T8437" s="1" t="s">
        <v>14228</v>
      </c>
      <c r="U8437" s="2" t="s">
        <v>1890</v>
      </c>
      <c r="V8437" s="2" t="s">
        <v>36</v>
      </c>
      <c r="W8437" s="2" t="s">
        <v>37</v>
      </c>
      <c r="X8437" s="2">
        <v>73.465000000000003</v>
      </c>
    </row>
    <row r="8438" spans="1:24" x14ac:dyDescent="0.3">
      <c r="A8438">
        <v>26236</v>
      </c>
      <c r="B8438" t="s">
        <v>15642</v>
      </c>
      <c r="C8438" s="3">
        <v>41943</v>
      </c>
      <c r="D8438" t="s">
        <v>148</v>
      </c>
      <c r="E8438">
        <v>20</v>
      </c>
      <c r="F8438" s="3">
        <f ca="1">41943+(RANDBETWEEN(1,10))</f>
        <v>41947</v>
      </c>
      <c r="G8438" t="s">
        <v>26</v>
      </c>
      <c r="H8438" t="s">
        <v>51</v>
      </c>
      <c r="I8438" t="s">
        <v>28</v>
      </c>
      <c r="J8438">
        <v>127.575</v>
      </c>
      <c r="K8438">
        <v>7.0000000000000007E-2</v>
      </c>
      <c r="L8438">
        <v>0.53</v>
      </c>
      <c r="M8438">
        <v>14.28</v>
      </c>
      <c r="N8438">
        <v>-398.51</v>
      </c>
      <c r="O8438" s="1" t="s">
        <v>87</v>
      </c>
      <c r="P8438" s="1" t="s">
        <v>12600</v>
      </c>
      <c r="Q8438" s="1" t="s">
        <v>12601</v>
      </c>
      <c r="R8438" s="1" t="s">
        <v>90</v>
      </c>
      <c r="S8438" s="1" t="s">
        <v>5001</v>
      </c>
      <c r="T8438" s="1" t="s">
        <v>5002</v>
      </c>
      <c r="U8438" s="2" t="s">
        <v>2747</v>
      </c>
      <c r="V8438" s="2" t="s">
        <v>83</v>
      </c>
      <c r="W8438" s="2" t="s">
        <v>178</v>
      </c>
      <c r="X8438" s="2">
        <v>6.09</v>
      </c>
    </row>
    <row r="8439" spans="1:24" x14ac:dyDescent="0.3">
      <c r="A8439">
        <v>26237</v>
      </c>
      <c r="B8439" t="s">
        <v>15643</v>
      </c>
      <c r="C8439" s="3">
        <v>41863</v>
      </c>
      <c r="D8439" t="s">
        <v>25</v>
      </c>
      <c r="E8439">
        <v>18</v>
      </c>
      <c r="F8439" s="3">
        <f ca="1">41868+(RANDBETWEEN(1,10))</f>
        <v>41876</v>
      </c>
      <c r="G8439" t="s">
        <v>26</v>
      </c>
      <c r="H8439" t="s">
        <v>27</v>
      </c>
      <c r="I8439" t="s">
        <v>28</v>
      </c>
      <c r="J8439">
        <v>282.73</v>
      </c>
      <c r="K8439">
        <v>0</v>
      </c>
      <c r="L8439">
        <v>0.39</v>
      </c>
      <c r="M8439">
        <v>3.4649999999999999</v>
      </c>
      <c r="N8439">
        <v>114.009</v>
      </c>
      <c r="O8439" s="1" t="s">
        <v>53</v>
      </c>
      <c r="P8439" s="1" t="s">
        <v>15342</v>
      </c>
      <c r="Q8439" s="1" t="s">
        <v>15343</v>
      </c>
      <c r="R8439" s="1" t="s">
        <v>440</v>
      </c>
      <c r="S8439" s="1" t="s">
        <v>1244</v>
      </c>
      <c r="T8439" s="1" t="s">
        <v>1245</v>
      </c>
      <c r="U8439" s="2" t="s">
        <v>2720</v>
      </c>
      <c r="V8439" s="2" t="s">
        <v>47</v>
      </c>
      <c r="W8439" s="2" t="s">
        <v>203</v>
      </c>
      <c r="X8439" s="2">
        <v>14.455</v>
      </c>
    </row>
    <row r="8440" spans="1:24" x14ac:dyDescent="0.3">
      <c r="A8440">
        <v>26238</v>
      </c>
      <c r="B8440" t="s">
        <v>15644</v>
      </c>
      <c r="C8440" s="3">
        <v>41354</v>
      </c>
      <c r="D8440" t="s">
        <v>25</v>
      </c>
      <c r="E8440">
        <v>8</v>
      </c>
      <c r="F8440" s="3">
        <f ca="1">41359+(RANDBETWEEN(1,10))</f>
        <v>41360</v>
      </c>
      <c r="G8440" t="s">
        <v>26</v>
      </c>
      <c r="H8440" t="s">
        <v>27</v>
      </c>
      <c r="I8440" t="s">
        <v>28</v>
      </c>
      <c r="J8440">
        <v>84.665000000000006</v>
      </c>
      <c r="K8440">
        <v>0.03</v>
      </c>
      <c r="L8440">
        <v>0.36</v>
      </c>
      <c r="M8440">
        <v>3.4649999999999999</v>
      </c>
      <c r="N8440">
        <v>58.418849999999999</v>
      </c>
      <c r="O8440" s="1" t="s">
        <v>40</v>
      </c>
      <c r="P8440" s="1" t="s">
        <v>11579</v>
      </c>
      <c r="Q8440" s="1" t="s">
        <v>11580</v>
      </c>
      <c r="R8440" s="1" t="s">
        <v>43</v>
      </c>
      <c r="S8440" s="1" t="s">
        <v>5728</v>
      </c>
      <c r="T8440" s="1" t="s">
        <v>5729</v>
      </c>
      <c r="U8440" s="2" t="s">
        <v>3527</v>
      </c>
      <c r="V8440" s="2" t="s">
        <v>47</v>
      </c>
      <c r="W8440" s="2" t="s">
        <v>203</v>
      </c>
      <c r="X8440" s="2">
        <v>10.08</v>
      </c>
    </row>
    <row r="8441" spans="1:24" x14ac:dyDescent="0.3">
      <c r="A8441">
        <v>26239</v>
      </c>
      <c r="B8441" t="s">
        <v>15644</v>
      </c>
      <c r="C8441" s="3">
        <v>41354</v>
      </c>
      <c r="D8441" t="s">
        <v>25</v>
      </c>
      <c r="E8441">
        <v>13</v>
      </c>
      <c r="F8441" s="3">
        <f ca="1">41359+(RANDBETWEEN(1,10))</f>
        <v>41360</v>
      </c>
      <c r="G8441" t="s">
        <v>76</v>
      </c>
      <c r="H8441" t="s">
        <v>77</v>
      </c>
      <c r="I8441" t="s">
        <v>28</v>
      </c>
      <c r="J8441">
        <v>3691.6950000000002</v>
      </c>
      <c r="K8441">
        <v>0.1</v>
      </c>
      <c r="L8441">
        <v>0.56000000000000005</v>
      </c>
      <c r="M8441">
        <v>210</v>
      </c>
      <c r="N8441">
        <v>-4395.51</v>
      </c>
      <c r="O8441" s="1" t="s">
        <v>40</v>
      </c>
      <c r="P8441" s="1" t="s">
        <v>11579</v>
      </c>
      <c r="Q8441" s="1" t="s">
        <v>11580</v>
      </c>
      <c r="R8441" s="1" t="s">
        <v>43</v>
      </c>
      <c r="S8441" s="1" t="s">
        <v>5728</v>
      </c>
      <c r="T8441" s="1" t="s">
        <v>5729</v>
      </c>
      <c r="U8441" s="2" t="s">
        <v>14330</v>
      </c>
      <c r="V8441" s="2" t="s">
        <v>83</v>
      </c>
      <c r="W8441" s="2" t="s">
        <v>263</v>
      </c>
      <c r="X8441" s="2">
        <v>298.51499999999999</v>
      </c>
    </row>
    <row r="8442" spans="1:24" x14ac:dyDescent="0.3">
      <c r="A8442">
        <v>26240</v>
      </c>
      <c r="B8442" t="s">
        <v>15645</v>
      </c>
      <c r="C8442" s="3">
        <v>41040</v>
      </c>
      <c r="D8442" t="s">
        <v>148</v>
      </c>
      <c r="E8442">
        <v>8</v>
      </c>
      <c r="F8442" s="3">
        <f ca="1">41042+(RANDBETWEEN(1,10))</f>
        <v>41049</v>
      </c>
      <c r="G8442" t="s">
        <v>26</v>
      </c>
      <c r="H8442" t="s">
        <v>27</v>
      </c>
      <c r="I8442" t="s">
        <v>28</v>
      </c>
      <c r="J8442">
        <v>175.98</v>
      </c>
      <c r="K8442">
        <v>7.0000000000000007E-2</v>
      </c>
      <c r="L8442">
        <v>0.37</v>
      </c>
      <c r="M8442">
        <v>20.79</v>
      </c>
      <c r="N8442">
        <v>-210.595</v>
      </c>
      <c r="O8442" s="1" t="s">
        <v>87</v>
      </c>
      <c r="P8442" s="1" t="s">
        <v>12331</v>
      </c>
      <c r="Q8442" s="1" t="s">
        <v>12332</v>
      </c>
      <c r="R8442" s="1" t="s">
        <v>646</v>
      </c>
      <c r="S8442" s="1" t="s">
        <v>3194</v>
      </c>
      <c r="T8442" s="1" t="s">
        <v>3195</v>
      </c>
      <c r="U8442" s="2" t="s">
        <v>3813</v>
      </c>
      <c r="V8442" s="2" t="s">
        <v>47</v>
      </c>
      <c r="W8442" s="2" t="s">
        <v>74</v>
      </c>
      <c r="X8442" s="2">
        <v>22.68</v>
      </c>
    </row>
    <row r="8443" spans="1:24" x14ac:dyDescent="0.3">
      <c r="A8443">
        <v>26241</v>
      </c>
      <c r="B8443" t="s">
        <v>15646</v>
      </c>
      <c r="C8443" s="3">
        <v>40642</v>
      </c>
      <c r="D8443" t="s">
        <v>25</v>
      </c>
      <c r="E8443">
        <v>12</v>
      </c>
      <c r="F8443" s="3">
        <f ca="1">40644+(RANDBETWEEN(1,10))</f>
        <v>40651</v>
      </c>
      <c r="G8443" t="s">
        <v>26</v>
      </c>
      <c r="H8443" t="s">
        <v>51</v>
      </c>
      <c r="I8443" t="s">
        <v>97</v>
      </c>
      <c r="J8443">
        <v>91.245000000000005</v>
      </c>
      <c r="K8443">
        <v>7.0000000000000007E-2</v>
      </c>
      <c r="L8443">
        <v>0.55000000000000004</v>
      </c>
      <c r="M8443">
        <v>6.9649999999999999</v>
      </c>
      <c r="N8443">
        <v>-195.44</v>
      </c>
      <c r="O8443" s="1" t="s">
        <v>64</v>
      </c>
      <c r="P8443" s="1" t="s">
        <v>7524</v>
      </c>
      <c r="Q8443" s="1" t="s">
        <v>7525</v>
      </c>
      <c r="R8443" s="1" t="s">
        <v>128</v>
      </c>
      <c r="S8443" s="1" t="s">
        <v>7526</v>
      </c>
      <c r="T8443" s="1" t="s">
        <v>7527</v>
      </c>
      <c r="U8443" s="2" t="s">
        <v>1910</v>
      </c>
      <c r="V8443" s="2" t="s">
        <v>36</v>
      </c>
      <c r="W8443" s="2" t="s">
        <v>60</v>
      </c>
      <c r="X8443" s="2">
        <v>7.42</v>
      </c>
    </row>
    <row r="8444" spans="1:24" x14ac:dyDescent="0.3">
      <c r="A8444">
        <v>26242</v>
      </c>
      <c r="B8444" t="s">
        <v>15647</v>
      </c>
      <c r="C8444" s="3">
        <v>41738</v>
      </c>
      <c r="D8444" t="s">
        <v>25</v>
      </c>
      <c r="E8444">
        <v>3</v>
      </c>
      <c r="F8444" s="3">
        <f ca="1">41745+(RANDBETWEEN(1,10))</f>
        <v>41755</v>
      </c>
      <c r="G8444" t="s">
        <v>26</v>
      </c>
      <c r="H8444" t="s">
        <v>96</v>
      </c>
      <c r="I8444" t="s">
        <v>97</v>
      </c>
      <c r="J8444">
        <v>17.850000000000001</v>
      </c>
      <c r="K8444">
        <v>7.0000000000000007E-2</v>
      </c>
      <c r="L8444">
        <v>0.56000000000000005</v>
      </c>
      <c r="M8444">
        <v>2.4500000000000002</v>
      </c>
      <c r="N8444">
        <v>-11.76</v>
      </c>
      <c r="O8444" s="1" t="s">
        <v>40</v>
      </c>
      <c r="P8444" s="1" t="s">
        <v>15648</v>
      </c>
      <c r="Q8444" s="1" t="s">
        <v>15649</v>
      </c>
      <c r="R8444" s="1" t="s">
        <v>43</v>
      </c>
      <c r="S8444" s="1" t="s">
        <v>1518</v>
      </c>
      <c r="T8444" s="1" t="s">
        <v>1519</v>
      </c>
      <c r="U8444" s="2" t="s">
        <v>873</v>
      </c>
      <c r="V8444" s="2" t="s">
        <v>47</v>
      </c>
      <c r="W8444" s="2" t="s">
        <v>104</v>
      </c>
      <c r="X8444" s="2">
        <v>6.16</v>
      </c>
    </row>
    <row r="8445" spans="1:24" x14ac:dyDescent="0.3">
      <c r="A8445">
        <v>26243</v>
      </c>
      <c r="B8445" t="s">
        <v>15650</v>
      </c>
      <c r="C8445" s="3">
        <v>41700</v>
      </c>
      <c r="D8445" t="s">
        <v>39</v>
      </c>
      <c r="E8445">
        <v>7</v>
      </c>
      <c r="F8445" s="3">
        <f ca="1">41701+(RANDBETWEEN(1,10))</f>
        <v>41708</v>
      </c>
      <c r="G8445" t="s">
        <v>26</v>
      </c>
      <c r="H8445" t="s">
        <v>63</v>
      </c>
      <c r="I8445" t="s">
        <v>86</v>
      </c>
      <c r="J8445">
        <v>12976.145</v>
      </c>
      <c r="K8445">
        <v>0.01</v>
      </c>
      <c r="L8445">
        <v>0.36</v>
      </c>
      <c r="M8445">
        <v>85.715000000000003</v>
      </c>
      <c r="N8445">
        <v>8953.5400499999996</v>
      </c>
      <c r="O8445" s="1" t="s">
        <v>64</v>
      </c>
      <c r="P8445" s="1" t="s">
        <v>15651</v>
      </c>
      <c r="Q8445" s="1" t="s">
        <v>15652</v>
      </c>
      <c r="R8445" s="1" t="s">
        <v>67</v>
      </c>
      <c r="S8445" s="1" t="s">
        <v>7889</v>
      </c>
      <c r="T8445" s="1" t="s">
        <v>15653</v>
      </c>
      <c r="U8445" s="2" t="s">
        <v>3414</v>
      </c>
      <c r="V8445" s="2" t="s">
        <v>36</v>
      </c>
      <c r="W8445" s="2" t="s">
        <v>1327</v>
      </c>
      <c r="X8445" s="2">
        <v>1749.9649999999999</v>
      </c>
    </row>
    <row r="8446" spans="1:24" x14ac:dyDescent="0.3">
      <c r="A8446">
        <v>26244</v>
      </c>
      <c r="B8446" t="s">
        <v>15650</v>
      </c>
      <c r="C8446" s="3">
        <v>41700</v>
      </c>
      <c r="D8446" t="s">
        <v>39</v>
      </c>
      <c r="E8446">
        <v>1</v>
      </c>
      <c r="F8446" s="3">
        <f ca="1">41700+(RANDBETWEEN(1,10))</f>
        <v>41710</v>
      </c>
      <c r="G8446" t="s">
        <v>26</v>
      </c>
      <c r="H8446" t="s">
        <v>51</v>
      </c>
      <c r="I8446" t="s">
        <v>86</v>
      </c>
      <c r="J8446">
        <v>73.36</v>
      </c>
      <c r="K8446">
        <v>0.09</v>
      </c>
      <c r="L8446">
        <v>0.55000000000000004</v>
      </c>
      <c r="M8446">
        <v>10.045</v>
      </c>
      <c r="N8446">
        <v>-90.86</v>
      </c>
      <c r="O8446" s="1" t="s">
        <v>64</v>
      </c>
      <c r="P8446" s="1" t="s">
        <v>15651</v>
      </c>
      <c r="Q8446" s="1" t="s">
        <v>15652</v>
      </c>
      <c r="R8446" s="1" t="s">
        <v>67</v>
      </c>
      <c r="S8446" s="1" t="s">
        <v>7889</v>
      </c>
      <c r="T8446" s="1" t="s">
        <v>15653</v>
      </c>
      <c r="U8446" s="2" t="s">
        <v>2051</v>
      </c>
      <c r="V8446" s="2" t="s">
        <v>47</v>
      </c>
      <c r="W8446" s="2" t="s">
        <v>104</v>
      </c>
      <c r="X8446" s="2">
        <v>76.930000000000007</v>
      </c>
    </row>
    <row r="8447" spans="1:24" x14ac:dyDescent="0.3">
      <c r="A8447">
        <v>26245</v>
      </c>
      <c r="B8447" t="s">
        <v>15654</v>
      </c>
      <c r="C8447" s="3">
        <v>41543</v>
      </c>
      <c r="D8447" t="s">
        <v>50</v>
      </c>
      <c r="E8447">
        <v>23</v>
      </c>
      <c r="F8447" s="3">
        <f ca="1">41543+(RANDBETWEEN(1,10))</f>
        <v>41553</v>
      </c>
      <c r="G8447" t="s">
        <v>26</v>
      </c>
      <c r="H8447" t="s">
        <v>96</v>
      </c>
      <c r="I8447" t="s">
        <v>97</v>
      </c>
      <c r="J8447">
        <v>687.85500000000002</v>
      </c>
      <c r="K8447">
        <v>0.01</v>
      </c>
      <c r="L8447">
        <v>0.4</v>
      </c>
      <c r="M8447">
        <v>10.045</v>
      </c>
      <c r="N8447">
        <v>359.03</v>
      </c>
      <c r="O8447" s="1" t="s">
        <v>87</v>
      </c>
      <c r="P8447" s="1" t="s">
        <v>4138</v>
      </c>
      <c r="Q8447" s="1" t="s">
        <v>4139</v>
      </c>
      <c r="R8447" s="1" t="s">
        <v>90</v>
      </c>
      <c r="S8447" s="1" t="s">
        <v>4140</v>
      </c>
      <c r="T8447" s="1" t="s">
        <v>4141</v>
      </c>
      <c r="U8447" s="2" t="s">
        <v>1846</v>
      </c>
      <c r="V8447" s="2" t="s">
        <v>47</v>
      </c>
      <c r="W8447" s="2" t="s">
        <v>74</v>
      </c>
      <c r="X8447" s="2">
        <v>28.035</v>
      </c>
    </row>
    <row r="8448" spans="1:24" x14ac:dyDescent="0.3">
      <c r="A8448">
        <v>26246</v>
      </c>
      <c r="B8448" t="s">
        <v>15654</v>
      </c>
      <c r="C8448" s="3">
        <v>41543</v>
      </c>
      <c r="D8448" t="s">
        <v>50</v>
      </c>
      <c r="E8448">
        <v>14</v>
      </c>
      <c r="F8448" s="3">
        <f ca="1">41544+(RANDBETWEEN(1,10))</f>
        <v>41553</v>
      </c>
      <c r="G8448" t="s">
        <v>26</v>
      </c>
      <c r="H8448" t="s">
        <v>27</v>
      </c>
      <c r="I8448" t="s">
        <v>97</v>
      </c>
      <c r="J8448">
        <v>237.51</v>
      </c>
      <c r="K8448">
        <v>0.09</v>
      </c>
      <c r="L8448">
        <v>0.38</v>
      </c>
      <c r="M8448">
        <v>17.57</v>
      </c>
      <c r="N8448">
        <v>-237.26499999999999</v>
      </c>
      <c r="O8448" s="1" t="s">
        <v>87</v>
      </c>
      <c r="P8448" s="1" t="s">
        <v>4138</v>
      </c>
      <c r="Q8448" s="1" t="s">
        <v>4139</v>
      </c>
      <c r="R8448" s="1" t="s">
        <v>90</v>
      </c>
      <c r="S8448" s="1" t="s">
        <v>4140</v>
      </c>
      <c r="T8448" s="1" t="s">
        <v>4141</v>
      </c>
      <c r="U8448" s="2" t="s">
        <v>10244</v>
      </c>
      <c r="V8448" s="2" t="s">
        <v>47</v>
      </c>
      <c r="W8448" s="2" t="s">
        <v>74</v>
      </c>
      <c r="X8448" s="2">
        <v>17.43</v>
      </c>
    </row>
    <row r="8449" spans="1:24" x14ac:dyDescent="0.3">
      <c r="A8449">
        <v>26247</v>
      </c>
      <c r="B8449" t="s">
        <v>15655</v>
      </c>
      <c r="C8449" s="3">
        <v>41989</v>
      </c>
      <c r="D8449" t="s">
        <v>62</v>
      </c>
      <c r="E8449">
        <v>25</v>
      </c>
      <c r="F8449" s="3">
        <f ca="1">41990+(RANDBETWEEN(1,10))</f>
        <v>41992</v>
      </c>
      <c r="G8449" t="s">
        <v>26</v>
      </c>
      <c r="H8449" t="s">
        <v>27</v>
      </c>
      <c r="I8449" t="s">
        <v>86</v>
      </c>
      <c r="J8449">
        <v>2728.145</v>
      </c>
      <c r="K8449">
        <v>0.02</v>
      </c>
      <c r="L8449">
        <v>0.55000000000000004</v>
      </c>
      <c r="M8449">
        <v>3.85</v>
      </c>
      <c r="N8449">
        <v>1882.4200499999999</v>
      </c>
      <c r="O8449" s="1" t="s">
        <v>40</v>
      </c>
      <c r="P8449" s="1" t="s">
        <v>15656</v>
      </c>
      <c r="Q8449" s="1" t="s">
        <v>15657</v>
      </c>
      <c r="R8449" s="1" t="s">
        <v>220</v>
      </c>
      <c r="S8449" s="1" t="s">
        <v>8809</v>
      </c>
      <c r="T8449" s="1" t="s">
        <v>8810</v>
      </c>
      <c r="U8449" s="2" t="s">
        <v>1451</v>
      </c>
      <c r="V8449" s="2" t="s">
        <v>36</v>
      </c>
      <c r="W8449" s="2" t="s">
        <v>37</v>
      </c>
      <c r="X8449" s="2">
        <v>125.965</v>
      </c>
    </row>
    <row r="8450" spans="1:24" x14ac:dyDescent="0.3">
      <c r="A8450">
        <v>26248</v>
      </c>
      <c r="B8450" t="s">
        <v>15658</v>
      </c>
      <c r="C8450" s="3">
        <v>41676</v>
      </c>
      <c r="D8450" t="s">
        <v>25</v>
      </c>
      <c r="E8450">
        <v>3</v>
      </c>
      <c r="F8450" s="3">
        <f ca="1">41683+(RANDBETWEEN(1,10))</f>
        <v>41686</v>
      </c>
      <c r="G8450" t="s">
        <v>26</v>
      </c>
      <c r="H8450" t="s">
        <v>27</v>
      </c>
      <c r="I8450" t="s">
        <v>52</v>
      </c>
      <c r="J8450">
        <v>61.284999999999997</v>
      </c>
      <c r="K8450">
        <v>0.09</v>
      </c>
      <c r="L8450">
        <v>0.36</v>
      </c>
      <c r="M8450">
        <v>18.024999999999999</v>
      </c>
      <c r="N8450">
        <v>-108.535</v>
      </c>
      <c r="O8450" s="1" t="s">
        <v>64</v>
      </c>
      <c r="P8450" s="1" t="s">
        <v>13918</v>
      </c>
      <c r="Q8450" s="1" t="s">
        <v>13919</v>
      </c>
      <c r="R8450" s="1" t="s">
        <v>67</v>
      </c>
      <c r="S8450" s="1" t="s">
        <v>13920</v>
      </c>
      <c r="T8450" s="1" t="s">
        <v>13921</v>
      </c>
      <c r="U8450" s="2" t="s">
        <v>542</v>
      </c>
      <c r="V8450" s="2" t="s">
        <v>47</v>
      </c>
      <c r="W8450" s="2" t="s">
        <v>74</v>
      </c>
      <c r="X8450" s="2">
        <v>20.93</v>
      </c>
    </row>
    <row r="8451" spans="1:24" x14ac:dyDescent="0.3">
      <c r="A8451">
        <v>26249</v>
      </c>
      <c r="B8451" t="s">
        <v>15659</v>
      </c>
      <c r="C8451" s="3">
        <v>41305</v>
      </c>
      <c r="D8451" t="s">
        <v>39</v>
      </c>
      <c r="E8451">
        <v>8</v>
      </c>
      <c r="F8451" s="3">
        <f ca="1">41307+(RANDBETWEEN(1,10))</f>
        <v>41315</v>
      </c>
      <c r="G8451" t="s">
        <v>26</v>
      </c>
      <c r="H8451" t="s">
        <v>281</v>
      </c>
      <c r="I8451" t="s">
        <v>28</v>
      </c>
      <c r="J8451">
        <v>1262.7650000000001</v>
      </c>
      <c r="K8451">
        <v>7.0000000000000007E-2</v>
      </c>
      <c r="L8451">
        <v>0.46</v>
      </c>
      <c r="M8451">
        <v>17.850000000000001</v>
      </c>
      <c r="N8451">
        <v>871.30785000000003</v>
      </c>
      <c r="O8451" s="1" t="s">
        <v>40</v>
      </c>
      <c r="P8451" s="1" t="s">
        <v>12977</v>
      </c>
      <c r="Q8451" s="1" t="s">
        <v>12978</v>
      </c>
      <c r="R8451" s="1" t="s">
        <v>43</v>
      </c>
      <c r="S8451" s="1" t="s">
        <v>2105</v>
      </c>
      <c r="T8451" s="1" t="s">
        <v>2106</v>
      </c>
      <c r="U8451" s="2" t="s">
        <v>4675</v>
      </c>
      <c r="V8451" s="2" t="s">
        <v>47</v>
      </c>
      <c r="W8451" s="2" t="s">
        <v>71</v>
      </c>
      <c r="X8451" s="2">
        <v>164.11500000000001</v>
      </c>
    </row>
    <row r="8452" spans="1:24" x14ac:dyDescent="0.3">
      <c r="A8452">
        <v>26250</v>
      </c>
      <c r="B8452" t="s">
        <v>15660</v>
      </c>
      <c r="C8452" s="3">
        <v>41181</v>
      </c>
      <c r="D8452" t="s">
        <v>62</v>
      </c>
      <c r="E8452">
        <v>18</v>
      </c>
      <c r="F8452" s="3">
        <f ca="1">41181+(RANDBETWEEN(1,10))</f>
        <v>41186</v>
      </c>
      <c r="G8452" t="s">
        <v>76</v>
      </c>
      <c r="H8452" t="s">
        <v>77</v>
      </c>
      <c r="I8452" t="s">
        <v>28</v>
      </c>
      <c r="J8452">
        <v>5576.06</v>
      </c>
      <c r="K8452">
        <v>0.05</v>
      </c>
      <c r="L8452">
        <v>0.36</v>
      </c>
      <c r="M8452">
        <v>49</v>
      </c>
      <c r="N8452">
        <v>38.395350000000001</v>
      </c>
      <c r="O8452" s="1" t="s">
        <v>87</v>
      </c>
      <c r="P8452" s="1" t="s">
        <v>12558</v>
      </c>
      <c r="Q8452" s="1" t="s">
        <v>12559</v>
      </c>
      <c r="R8452" s="1" t="s">
        <v>497</v>
      </c>
      <c r="S8452" s="1" t="s">
        <v>6037</v>
      </c>
      <c r="T8452" s="1" t="s">
        <v>6038</v>
      </c>
      <c r="U8452" s="2" t="s">
        <v>2449</v>
      </c>
      <c r="V8452" s="2" t="s">
        <v>36</v>
      </c>
      <c r="W8452" s="2" t="s">
        <v>142</v>
      </c>
      <c r="X8452" s="2">
        <v>318.39499999999998</v>
      </c>
    </row>
    <row r="8453" spans="1:24" x14ac:dyDescent="0.3">
      <c r="A8453">
        <v>26251</v>
      </c>
      <c r="B8453" t="s">
        <v>15661</v>
      </c>
      <c r="C8453" s="3">
        <v>41596</v>
      </c>
      <c r="D8453" t="s">
        <v>62</v>
      </c>
      <c r="E8453">
        <v>16</v>
      </c>
      <c r="F8453" s="3">
        <f ca="1">41598+(RANDBETWEEN(1,10))</f>
        <v>41608</v>
      </c>
      <c r="G8453" t="s">
        <v>156</v>
      </c>
      <c r="H8453" t="s">
        <v>27</v>
      </c>
      <c r="I8453" t="s">
        <v>52</v>
      </c>
      <c r="J8453">
        <v>1812.37</v>
      </c>
      <c r="K8453">
        <v>0.02</v>
      </c>
      <c r="L8453">
        <v>0.4</v>
      </c>
      <c r="M8453">
        <v>59.78</v>
      </c>
      <c r="N8453">
        <v>4.9139999999999997</v>
      </c>
      <c r="O8453" s="1" t="s">
        <v>29</v>
      </c>
      <c r="P8453" s="1" t="s">
        <v>15662</v>
      </c>
      <c r="Q8453" s="1" t="s">
        <v>15663</v>
      </c>
      <c r="R8453" s="1" t="s">
        <v>675</v>
      </c>
      <c r="S8453" s="1" t="s">
        <v>1608</v>
      </c>
      <c r="T8453" s="1" t="s">
        <v>1609</v>
      </c>
      <c r="U8453" s="2" t="s">
        <v>6956</v>
      </c>
      <c r="V8453" s="2" t="s">
        <v>47</v>
      </c>
      <c r="W8453" s="2" t="s">
        <v>74</v>
      </c>
      <c r="X8453" s="2">
        <v>108.43</v>
      </c>
    </row>
    <row r="8454" spans="1:24" x14ac:dyDescent="0.3">
      <c r="A8454">
        <v>26252</v>
      </c>
      <c r="B8454" t="s">
        <v>15664</v>
      </c>
      <c r="C8454" s="3">
        <v>41785</v>
      </c>
      <c r="D8454" t="s">
        <v>148</v>
      </c>
      <c r="E8454">
        <v>10</v>
      </c>
      <c r="F8454" s="3">
        <f ca="1">41786+(RANDBETWEEN(1,10))</f>
        <v>41793</v>
      </c>
      <c r="G8454" t="s">
        <v>26</v>
      </c>
      <c r="H8454" t="s">
        <v>51</v>
      </c>
      <c r="I8454" t="s">
        <v>86</v>
      </c>
      <c r="J8454">
        <v>278.32</v>
      </c>
      <c r="K8454">
        <v>0.09</v>
      </c>
      <c r="L8454">
        <v>0.49</v>
      </c>
      <c r="M8454">
        <v>6.9649999999999999</v>
      </c>
      <c r="N8454">
        <v>82.25</v>
      </c>
      <c r="O8454" s="1" t="s">
        <v>87</v>
      </c>
      <c r="P8454" s="1" t="s">
        <v>15665</v>
      </c>
      <c r="Q8454" s="1" t="s">
        <v>15666</v>
      </c>
      <c r="R8454" s="1" t="s">
        <v>90</v>
      </c>
      <c r="S8454" s="1" t="s">
        <v>5993</v>
      </c>
      <c r="T8454" s="1" t="s">
        <v>5994</v>
      </c>
      <c r="U8454" s="2" t="s">
        <v>2723</v>
      </c>
      <c r="V8454" s="2" t="s">
        <v>36</v>
      </c>
      <c r="W8454" s="2" t="s">
        <v>60</v>
      </c>
      <c r="X8454" s="2">
        <v>29.75</v>
      </c>
    </row>
    <row r="8455" spans="1:24" x14ac:dyDescent="0.3">
      <c r="A8455">
        <v>26253</v>
      </c>
      <c r="B8455" t="s">
        <v>15664</v>
      </c>
      <c r="C8455" s="3">
        <v>41785</v>
      </c>
      <c r="D8455" t="s">
        <v>148</v>
      </c>
      <c r="E8455">
        <v>10</v>
      </c>
      <c r="F8455" s="3">
        <f ca="1">41786+(RANDBETWEEN(1,10))</f>
        <v>41790</v>
      </c>
      <c r="G8455" t="s">
        <v>26</v>
      </c>
      <c r="H8455" t="s">
        <v>96</v>
      </c>
      <c r="I8455" t="s">
        <v>86</v>
      </c>
      <c r="J8455">
        <v>304.255</v>
      </c>
      <c r="K8455">
        <v>0.02</v>
      </c>
      <c r="L8455">
        <v>0.43</v>
      </c>
      <c r="M8455">
        <v>3.36</v>
      </c>
      <c r="N8455">
        <v>209.93594999999999</v>
      </c>
      <c r="O8455" s="1" t="s">
        <v>87</v>
      </c>
      <c r="P8455" s="1" t="s">
        <v>15665</v>
      </c>
      <c r="Q8455" s="1" t="s">
        <v>15666</v>
      </c>
      <c r="R8455" s="1" t="s">
        <v>90</v>
      </c>
      <c r="S8455" s="1" t="s">
        <v>5993</v>
      </c>
      <c r="T8455" s="1" t="s">
        <v>5994</v>
      </c>
      <c r="U8455" s="2" t="s">
        <v>2587</v>
      </c>
      <c r="V8455" s="2" t="s">
        <v>83</v>
      </c>
      <c r="W8455" s="2" t="s">
        <v>178</v>
      </c>
      <c r="X8455" s="2">
        <v>29.19</v>
      </c>
    </row>
    <row r="8456" spans="1:24" x14ac:dyDescent="0.3">
      <c r="A8456">
        <v>26254</v>
      </c>
      <c r="B8456" t="s">
        <v>15664</v>
      </c>
      <c r="C8456" s="3">
        <v>41785</v>
      </c>
      <c r="D8456" t="s">
        <v>148</v>
      </c>
      <c r="E8456">
        <v>10</v>
      </c>
      <c r="F8456" s="3">
        <f ca="1">41787+(RANDBETWEEN(1,10))</f>
        <v>41790</v>
      </c>
      <c r="G8456" t="s">
        <v>26</v>
      </c>
      <c r="H8456" t="s">
        <v>27</v>
      </c>
      <c r="I8456" t="s">
        <v>86</v>
      </c>
      <c r="J8456">
        <v>1818.18</v>
      </c>
      <c r="K8456">
        <v>0.02</v>
      </c>
      <c r="L8456">
        <v>0.38</v>
      </c>
      <c r="M8456">
        <v>20.335000000000001</v>
      </c>
      <c r="N8456">
        <v>1254.5442</v>
      </c>
      <c r="O8456" s="1" t="s">
        <v>87</v>
      </c>
      <c r="P8456" s="1" t="s">
        <v>15665</v>
      </c>
      <c r="Q8456" s="1" t="s">
        <v>15666</v>
      </c>
      <c r="R8456" s="1" t="s">
        <v>90</v>
      </c>
      <c r="S8456" s="1" t="s">
        <v>5993</v>
      </c>
      <c r="T8456" s="1" t="s">
        <v>5994</v>
      </c>
      <c r="U8456" s="2" t="s">
        <v>1912</v>
      </c>
      <c r="V8456" s="2" t="s">
        <v>47</v>
      </c>
      <c r="W8456" s="2" t="s">
        <v>74</v>
      </c>
      <c r="X8456" s="2">
        <v>171.185</v>
      </c>
    </row>
    <row r="8457" spans="1:24" x14ac:dyDescent="0.3">
      <c r="A8457">
        <v>26255</v>
      </c>
      <c r="B8457" t="s">
        <v>15667</v>
      </c>
      <c r="C8457" s="3">
        <v>41475</v>
      </c>
      <c r="D8457" t="s">
        <v>62</v>
      </c>
      <c r="E8457">
        <v>2</v>
      </c>
      <c r="F8457" s="3">
        <f ca="1">41477+(RANDBETWEEN(1,10))</f>
        <v>41483</v>
      </c>
      <c r="G8457" t="s">
        <v>26</v>
      </c>
      <c r="H8457" t="s">
        <v>27</v>
      </c>
      <c r="I8457" t="s">
        <v>86</v>
      </c>
      <c r="J8457">
        <v>23.555</v>
      </c>
      <c r="K8457">
        <v>0.02</v>
      </c>
      <c r="L8457">
        <v>0.37</v>
      </c>
      <c r="M8457">
        <v>3.4649999999999999</v>
      </c>
      <c r="N8457">
        <v>-1356.712</v>
      </c>
      <c r="O8457" s="1" t="s">
        <v>40</v>
      </c>
      <c r="P8457" s="1" t="s">
        <v>15668</v>
      </c>
      <c r="Q8457" s="1" t="s">
        <v>15669</v>
      </c>
      <c r="R8457" s="1" t="s">
        <v>43</v>
      </c>
      <c r="S8457" s="1" t="s">
        <v>815</v>
      </c>
      <c r="T8457" s="1" t="s">
        <v>816</v>
      </c>
      <c r="U8457" s="2" t="s">
        <v>796</v>
      </c>
      <c r="V8457" s="2" t="s">
        <v>47</v>
      </c>
      <c r="W8457" s="2" t="s">
        <v>203</v>
      </c>
      <c r="X8457" s="2">
        <v>10.78</v>
      </c>
    </row>
    <row r="8458" spans="1:24" x14ac:dyDescent="0.3">
      <c r="A8458">
        <v>26256</v>
      </c>
      <c r="B8458" t="s">
        <v>15670</v>
      </c>
      <c r="C8458" s="3">
        <v>41318</v>
      </c>
      <c r="D8458" t="s">
        <v>62</v>
      </c>
      <c r="E8458">
        <v>8</v>
      </c>
      <c r="F8458" s="3">
        <f ca="1">41320+(RANDBETWEEN(1,10))</f>
        <v>41325</v>
      </c>
      <c r="G8458" t="s">
        <v>26</v>
      </c>
      <c r="H8458" t="s">
        <v>27</v>
      </c>
      <c r="I8458" t="s">
        <v>86</v>
      </c>
      <c r="J8458">
        <v>130.9</v>
      </c>
      <c r="K8458">
        <v>0.05</v>
      </c>
      <c r="L8458">
        <v>0.35</v>
      </c>
      <c r="M8458">
        <v>5.2149999999999999</v>
      </c>
      <c r="N8458">
        <v>90.320999999999998</v>
      </c>
      <c r="O8458" s="1" t="s">
        <v>40</v>
      </c>
      <c r="P8458" s="1" t="s">
        <v>7645</v>
      </c>
      <c r="Q8458" s="1" t="s">
        <v>7646</v>
      </c>
      <c r="R8458" s="1" t="s">
        <v>220</v>
      </c>
      <c r="S8458" s="1" t="s">
        <v>7647</v>
      </c>
      <c r="T8458" s="1" t="s">
        <v>7648</v>
      </c>
      <c r="U8458" s="2" t="s">
        <v>5253</v>
      </c>
      <c r="V8458" s="2" t="s">
        <v>47</v>
      </c>
      <c r="W8458" s="2" t="s">
        <v>111</v>
      </c>
      <c r="X8458" s="2">
        <v>15.925000000000001</v>
      </c>
    </row>
    <row r="8459" spans="1:24" x14ac:dyDescent="0.3">
      <c r="A8459">
        <v>26257</v>
      </c>
      <c r="B8459" t="s">
        <v>15671</v>
      </c>
      <c r="C8459" s="3">
        <v>41302</v>
      </c>
      <c r="D8459" t="s">
        <v>50</v>
      </c>
      <c r="E8459">
        <v>3</v>
      </c>
      <c r="F8459" s="3">
        <f ca="1">41302+(RANDBETWEEN(1,10))</f>
        <v>41308</v>
      </c>
      <c r="G8459" t="s">
        <v>26</v>
      </c>
      <c r="H8459" t="s">
        <v>51</v>
      </c>
      <c r="I8459" t="s">
        <v>28</v>
      </c>
      <c r="J8459">
        <v>280.27999999999997</v>
      </c>
      <c r="K8459">
        <v>0.09</v>
      </c>
      <c r="L8459">
        <v>0.4</v>
      </c>
      <c r="M8459">
        <v>6.9649999999999999</v>
      </c>
      <c r="N8459">
        <v>51.072000000000003</v>
      </c>
      <c r="O8459" s="1" t="s">
        <v>64</v>
      </c>
      <c r="P8459" s="1" t="s">
        <v>14139</v>
      </c>
      <c r="Q8459" s="1" t="s">
        <v>14140</v>
      </c>
      <c r="R8459" s="1" t="s">
        <v>128</v>
      </c>
      <c r="S8459" s="1" t="s">
        <v>9276</v>
      </c>
      <c r="T8459" s="1" t="s">
        <v>14141</v>
      </c>
      <c r="U8459" s="2" t="s">
        <v>1109</v>
      </c>
      <c r="V8459" s="2" t="s">
        <v>36</v>
      </c>
      <c r="W8459" s="2" t="s">
        <v>60</v>
      </c>
      <c r="X8459" s="2">
        <v>99.68</v>
      </c>
    </row>
    <row r="8460" spans="1:24" x14ac:dyDescent="0.3">
      <c r="A8460">
        <v>26258</v>
      </c>
      <c r="B8460" t="s">
        <v>15671</v>
      </c>
      <c r="C8460" s="3">
        <v>41302</v>
      </c>
      <c r="D8460" t="s">
        <v>50</v>
      </c>
      <c r="E8460">
        <v>7</v>
      </c>
      <c r="F8460" s="3">
        <f ca="1">41304+(RANDBETWEEN(1,10))</f>
        <v>41312</v>
      </c>
      <c r="G8460" t="s">
        <v>26</v>
      </c>
      <c r="H8460" t="s">
        <v>27</v>
      </c>
      <c r="I8460" t="s">
        <v>28</v>
      </c>
      <c r="J8460">
        <v>107.27500000000001</v>
      </c>
      <c r="K8460">
        <v>0.06</v>
      </c>
      <c r="L8460">
        <v>0.49</v>
      </c>
      <c r="M8460">
        <v>23.1</v>
      </c>
      <c r="N8460">
        <v>-407.65620000000001</v>
      </c>
      <c r="O8460" s="1" t="s">
        <v>64</v>
      </c>
      <c r="P8460" s="1" t="s">
        <v>14139</v>
      </c>
      <c r="Q8460" s="1" t="s">
        <v>14140</v>
      </c>
      <c r="R8460" s="1" t="s">
        <v>128</v>
      </c>
      <c r="S8460" s="1" t="s">
        <v>9276</v>
      </c>
      <c r="T8460" s="1" t="s">
        <v>14141</v>
      </c>
      <c r="U8460" s="2" t="s">
        <v>5685</v>
      </c>
      <c r="V8460" s="2" t="s">
        <v>83</v>
      </c>
      <c r="W8460" s="2" t="s">
        <v>178</v>
      </c>
      <c r="X8460" s="2">
        <v>14.49</v>
      </c>
    </row>
    <row r="8461" spans="1:24" x14ac:dyDescent="0.3">
      <c r="A8461">
        <v>26259</v>
      </c>
      <c r="B8461" t="s">
        <v>15672</v>
      </c>
      <c r="C8461" s="3">
        <v>40688</v>
      </c>
      <c r="D8461" t="s">
        <v>50</v>
      </c>
      <c r="E8461">
        <v>4</v>
      </c>
      <c r="F8461" s="3">
        <f ca="1">40690+(RANDBETWEEN(1,10))</f>
        <v>40698</v>
      </c>
      <c r="G8461" t="s">
        <v>156</v>
      </c>
      <c r="H8461" t="s">
        <v>27</v>
      </c>
      <c r="I8461" t="s">
        <v>28</v>
      </c>
      <c r="J8461">
        <v>92.084999999999994</v>
      </c>
      <c r="K8461">
        <v>0.03</v>
      </c>
      <c r="L8461">
        <v>0.36</v>
      </c>
      <c r="M8461">
        <v>26.11</v>
      </c>
      <c r="N8461">
        <v>-180.964</v>
      </c>
      <c r="O8461" s="1" t="s">
        <v>225</v>
      </c>
      <c r="P8461" s="1" t="s">
        <v>14112</v>
      </c>
      <c r="Q8461" s="1" t="s">
        <v>14113</v>
      </c>
      <c r="R8461" s="1" t="s">
        <v>228</v>
      </c>
      <c r="S8461" s="1" t="s">
        <v>1142</v>
      </c>
      <c r="T8461" s="1" t="s">
        <v>1143</v>
      </c>
      <c r="U8461" s="2" t="s">
        <v>2035</v>
      </c>
      <c r="V8461" s="2" t="s">
        <v>47</v>
      </c>
      <c r="W8461" s="2" t="s">
        <v>111</v>
      </c>
      <c r="X8461" s="2">
        <v>19.04</v>
      </c>
    </row>
    <row r="8462" spans="1:24" x14ac:dyDescent="0.3">
      <c r="A8462">
        <v>2626</v>
      </c>
      <c r="B8462" t="s">
        <v>15673</v>
      </c>
      <c r="C8462" s="3">
        <v>41481</v>
      </c>
      <c r="D8462" t="s">
        <v>25</v>
      </c>
      <c r="E8462">
        <v>4</v>
      </c>
      <c r="F8462" s="3">
        <f ca="1">41485+(RANDBETWEEN(1,10))</f>
        <v>41487</v>
      </c>
      <c r="G8462" t="s">
        <v>26</v>
      </c>
      <c r="H8462" t="s">
        <v>27</v>
      </c>
      <c r="I8462" t="s">
        <v>28</v>
      </c>
      <c r="J8462">
        <v>168.28</v>
      </c>
      <c r="K8462">
        <v>0.08</v>
      </c>
      <c r="L8462">
        <v>0.59</v>
      </c>
      <c r="M8462">
        <v>15.75</v>
      </c>
      <c r="N8462">
        <v>-64.75</v>
      </c>
      <c r="O8462" s="1" t="s">
        <v>64</v>
      </c>
      <c r="P8462" s="1" t="s">
        <v>214</v>
      </c>
      <c r="Q8462" s="1" t="s">
        <v>215</v>
      </c>
      <c r="R8462" s="1" t="s">
        <v>67</v>
      </c>
      <c r="S8462" s="1" t="s">
        <v>68</v>
      </c>
      <c r="T8462" s="1" t="s">
        <v>69</v>
      </c>
      <c r="U8462" s="2" t="s">
        <v>767</v>
      </c>
      <c r="V8462" s="2" t="s">
        <v>47</v>
      </c>
      <c r="W8462" s="2" t="s">
        <v>71</v>
      </c>
      <c r="X8462" s="2">
        <v>38.115000000000002</v>
      </c>
    </row>
    <row r="8463" spans="1:24" x14ac:dyDescent="0.3">
      <c r="A8463">
        <v>26260</v>
      </c>
      <c r="B8463" t="s">
        <v>15672</v>
      </c>
      <c r="C8463" s="3">
        <v>40688</v>
      </c>
      <c r="D8463" t="s">
        <v>50</v>
      </c>
      <c r="E8463">
        <v>8</v>
      </c>
      <c r="F8463" s="3">
        <f ca="1">40689+(RANDBETWEEN(1,10))</f>
        <v>40691</v>
      </c>
      <c r="G8463" t="s">
        <v>26</v>
      </c>
      <c r="H8463" t="s">
        <v>27</v>
      </c>
      <c r="I8463" t="s">
        <v>28</v>
      </c>
      <c r="J8463">
        <v>734.23</v>
      </c>
      <c r="K8463">
        <v>0.08</v>
      </c>
      <c r="L8463">
        <v>0.39</v>
      </c>
      <c r="M8463">
        <v>19.53</v>
      </c>
      <c r="N8463">
        <v>506.61869999999999</v>
      </c>
      <c r="O8463" s="1" t="s">
        <v>225</v>
      </c>
      <c r="P8463" s="1" t="s">
        <v>14112</v>
      </c>
      <c r="Q8463" s="1" t="s">
        <v>14113</v>
      </c>
      <c r="R8463" s="1" t="s">
        <v>228</v>
      </c>
      <c r="S8463" s="1" t="s">
        <v>1142</v>
      </c>
      <c r="T8463" s="1" t="s">
        <v>1143</v>
      </c>
      <c r="U8463" s="2" t="s">
        <v>15674</v>
      </c>
      <c r="V8463" s="2" t="s">
        <v>47</v>
      </c>
      <c r="W8463" s="2" t="s">
        <v>74</v>
      </c>
      <c r="X8463" s="2">
        <v>92.33</v>
      </c>
    </row>
    <row r="8464" spans="1:24" x14ac:dyDescent="0.3">
      <c r="A8464">
        <v>26261</v>
      </c>
      <c r="B8464" t="s">
        <v>15672</v>
      </c>
      <c r="C8464" s="3">
        <v>40688</v>
      </c>
      <c r="D8464" t="s">
        <v>50</v>
      </c>
      <c r="E8464">
        <v>1</v>
      </c>
      <c r="F8464" s="3">
        <f ca="1">40690+(RANDBETWEEN(1,10))</f>
        <v>40698</v>
      </c>
      <c r="G8464" t="s">
        <v>26</v>
      </c>
      <c r="H8464" t="s">
        <v>96</v>
      </c>
      <c r="I8464" t="s">
        <v>28</v>
      </c>
      <c r="J8464">
        <v>62.405000000000001</v>
      </c>
      <c r="K8464">
        <v>0.06</v>
      </c>
      <c r="L8464">
        <v>0.81</v>
      </c>
      <c r="M8464">
        <v>8.75</v>
      </c>
      <c r="N8464">
        <v>-392.66149999999999</v>
      </c>
      <c r="O8464" s="1" t="s">
        <v>225</v>
      </c>
      <c r="P8464" s="1" t="s">
        <v>14112</v>
      </c>
      <c r="Q8464" s="1" t="s">
        <v>14113</v>
      </c>
      <c r="R8464" s="1" t="s">
        <v>228</v>
      </c>
      <c r="S8464" s="1" t="s">
        <v>1142</v>
      </c>
      <c r="T8464" s="1" t="s">
        <v>1143</v>
      </c>
      <c r="U8464" s="2" t="s">
        <v>1282</v>
      </c>
      <c r="V8464" s="2" t="s">
        <v>36</v>
      </c>
      <c r="W8464" s="2" t="s">
        <v>37</v>
      </c>
      <c r="X8464" s="2">
        <v>73.465000000000003</v>
      </c>
    </row>
    <row r="8465" spans="1:24" x14ac:dyDescent="0.3">
      <c r="A8465">
        <v>26262</v>
      </c>
      <c r="B8465" t="s">
        <v>15675</v>
      </c>
      <c r="C8465" s="3">
        <v>41784</v>
      </c>
      <c r="D8465" t="s">
        <v>50</v>
      </c>
      <c r="E8465">
        <v>12</v>
      </c>
      <c r="F8465" s="3">
        <f ca="1">41786+(RANDBETWEEN(1,10))</f>
        <v>41789</v>
      </c>
      <c r="G8465" t="s">
        <v>26</v>
      </c>
      <c r="H8465" t="s">
        <v>27</v>
      </c>
      <c r="I8465" t="s">
        <v>28</v>
      </c>
      <c r="J8465">
        <v>4632.7749999999996</v>
      </c>
      <c r="K8465">
        <v>0</v>
      </c>
      <c r="L8465">
        <v>0.57999999999999996</v>
      </c>
      <c r="M8465">
        <v>8.75</v>
      </c>
      <c r="N8465">
        <v>3196.6147500000002</v>
      </c>
      <c r="O8465" s="1" t="s">
        <v>225</v>
      </c>
      <c r="P8465" s="1" t="s">
        <v>14112</v>
      </c>
      <c r="Q8465" s="1" t="s">
        <v>14113</v>
      </c>
      <c r="R8465" s="1" t="s">
        <v>228</v>
      </c>
      <c r="S8465" s="1" t="s">
        <v>1142</v>
      </c>
      <c r="T8465" s="1" t="s">
        <v>1143</v>
      </c>
      <c r="U8465" s="2" t="s">
        <v>6698</v>
      </c>
      <c r="V8465" s="2" t="s">
        <v>36</v>
      </c>
      <c r="W8465" s="2" t="s">
        <v>37</v>
      </c>
      <c r="X8465" s="2">
        <v>440.96499999999997</v>
      </c>
    </row>
    <row r="8466" spans="1:24" x14ac:dyDescent="0.3">
      <c r="A8466">
        <v>26263</v>
      </c>
      <c r="B8466" t="s">
        <v>15676</v>
      </c>
      <c r="C8466" s="3">
        <v>41133</v>
      </c>
      <c r="D8466" t="s">
        <v>25</v>
      </c>
      <c r="E8466">
        <v>17</v>
      </c>
      <c r="F8466" s="3">
        <f ca="1">41135+(RANDBETWEEN(1,10))</f>
        <v>41145</v>
      </c>
      <c r="G8466" t="s">
        <v>26</v>
      </c>
      <c r="H8466" t="s">
        <v>51</v>
      </c>
      <c r="I8466" t="s">
        <v>28</v>
      </c>
      <c r="J8466">
        <v>948.18499999999995</v>
      </c>
      <c r="K8466">
        <v>0.03</v>
      </c>
      <c r="L8466">
        <v>0.39</v>
      </c>
      <c r="M8466">
        <v>31.465</v>
      </c>
      <c r="N8466">
        <v>366.74400000000003</v>
      </c>
      <c r="O8466" s="1" t="s">
        <v>40</v>
      </c>
      <c r="P8466" s="1" t="s">
        <v>11425</v>
      </c>
      <c r="Q8466" s="1" t="s">
        <v>11426</v>
      </c>
      <c r="R8466" s="1" t="s">
        <v>43</v>
      </c>
      <c r="S8466" s="1" t="s">
        <v>1827</v>
      </c>
      <c r="T8466" s="1" t="s">
        <v>10905</v>
      </c>
      <c r="U8466" s="2" t="s">
        <v>2064</v>
      </c>
      <c r="V8466" s="2" t="s">
        <v>83</v>
      </c>
      <c r="W8466" s="2" t="s">
        <v>178</v>
      </c>
      <c r="X8466" s="2">
        <v>52.43</v>
      </c>
    </row>
    <row r="8467" spans="1:24" x14ac:dyDescent="0.3">
      <c r="A8467">
        <v>26264</v>
      </c>
      <c r="B8467" t="s">
        <v>15677</v>
      </c>
      <c r="C8467" s="3">
        <v>41696</v>
      </c>
      <c r="D8467" t="s">
        <v>25</v>
      </c>
      <c r="E8467">
        <v>10</v>
      </c>
      <c r="F8467" s="3">
        <f ca="1">41699+(RANDBETWEEN(1,10))</f>
        <v>41709</v>
      </c>
      <c r="G8467" t="s">
        <v>26</v>
      </c>
      <c r="H8467" t="s">
        <v>27</v>
      </c>
      <c r="I8467" t="s">
        <v>86</v>
      </c>
      <c r="J8467">
        <v>392.28</v>
      </c>
      <c r="K8467">
        <v>0.02</v>
      </c>
      <c r="L8467">
        <v>0.37</v>
      </c>
      <c r="M8467">
        <v>17.605</v>
      </c>
      <c r="N8467">
        <v>192.71</v>
      </c>
      <c r="O8467" s="1" t="s">
        <v>40</v>
      </c>
      <c r="P8467" s="1" t="s">
        <v>6286</v>
      </c>
      <c r="Q8467" s="1" t="s">
        <v>6287</v>
      </c>
      <c r="R8467" s="1" t="s">
        <v>220</v>
      </c>
      <c r="S8467" s="1" t="s">
        <v>6288</v>
      </c>
      <c r="T8467" s="1" t="s">
        <v>6289</v>
      </c>
      <c r="U8467" s="2" t="s">
        <v>13177</v>
      </c>
      <c r="V8467" s="2" t="s">
        <v>47</v>
      </c>
      <c r="W8467" s="2" t="s">
        <v>74</v>
      </c>
      <c r="X8467" s="2">
        <v>39.164999999999999</v>
      </c>
    </row>
    <row r="8468" spans="1:24" x14ac:dyDescent="0.3">
      <c r="A8468">
        <v>26265</v>
      </c>
      <c r="B8468" t="s">
        <v>15677</v>
      </c>
      <c r="C8468" s="3">
        <v>41696</v>
      </c>
      <c r="D8468" t="s">
        <v>25</v>
      </c>
      <c r="E8468">
        <v>1</v>
      </c>
      <c r="F8468" s="3">
        <f ca="1">41704+(RANDBETWEEN(1,10))</f>
        <v>41714</v>
      </c>
      <c r="G8468" t="s">
        <v>26</v>
      </c>
      <c r="H8468" t="s">
        <v>51</v>
      </c>
      <c r="I8468" t="s">
        <v>86</v>
      </c>
      <c r="J8468">
        <v>19.11</v>
      </c>
      <c r="K8468">
        <v>0.02</v>
      </c>
      <c r="L8468">
        <v>0.72</v>
      </c>
      <c r="M8468">
        <v>8.3650000000000002</v>
      </c>
      <c r="N8468">
        <v>-88.584999999999994</v>
      </c>
      <c r="O8468" s="1" t="s">
        <v>87</v>
      </c>
      <c r="P8468" s="1" t="s">
        <v>15678</v>
      </c>
      <c r="Q8468" s="1" t="s">
        <v>15679</v>
      </c>
      <c r="R8468" s="1" t="s">
        <v>90</v>
      </c>
      <c r="S8468" s="1" t="s">
        <v>2953</v>
      </c>
      <c r="T8468" s="1" t="s">
        <v>3586</v>
      </c>
      <c r="U8468" s="2" t="s">
        <v>4176</v>
      </c>
      <c r="V8468" s="2" t="s">
        <v>36</v>
      </c>
      <c r="W8468" s="2" t="s">
        <v>60</v>
      </c>
      <c r="X8468" s="2">
        <v>16.695</v>
      </c>
    </row>
    <row r="8469" spans="1:24" x14ac:dyDescent="0.3">
      <c r="A8469">
        <v>26266</v>
      </c>
      <c r="B8469" t="s">
        <v>15680</v>
      </c>
      <c r="C8469" s="3">
        <v>41682</v>
      </c>
      <c r="D8469" t="s">
        <v>39</v>
      </c>
      <c r="E8469">
        <v>3</v>
      </c>
      <c r="F8469" s="3">
        <f ca="1">41685+(RANDBETWEEN(1,10))</f>
        <v>41689</v>
      </c>
      <c r="G8469" t="s">
        <v>156</v>
      </c>
      <c r="H8469" t="s">
        <v>27</v>
      </c>
      <c r="I8469" t="s">
        <v>86</v>
      </c>
      <c r="J8469">
        <v>159.6</v>
      </c>
      <c r="K8469">
        <v>0.08</v>
      </c>
      <c r="L8469">
        <v>0.38</v>
      </c>
      <c r="M8469">
        <v>25.445</v>
      </c>
      <c r="N8469">
        <v>12.10825</v>
      </c>
      <c r="O8469" s="1" t="s">
        <v>40</v>
      </c>
      <c r="P8469" s="1" t="s">
        <v>15681</v>
      </c>
      <c r="Q8469" s="1" t="s">
        <v>15682</v>
      </c>
      <c r="R8469" s="1" t="s">
        <v>43</v>
      </c>
      <c r="S8469" s="1" t="s">
        <v>2240</v>
      </c>
      <c r="T8469" s="1" t="s">
        <v>15683</v>
      </c>
      <c r="U8469" s="2" t="s">
        <v>3821</v>
      </c>
      <c r="V8469" s="2" t="s">
        <v>47</v>
      </c>
      <c r="W8469" s="2" t="s">
        <v>111</v>
      </c>
      <c r="X8469" s="2">
        <v>49.945</v>
      </c>
    </row>
    <row r="8470" spans="1:24" x14ac:dyDescent="0.3">
      <c r="A8470">
        <v>26267</v>
      </c>
      <c r="B8470" t="s">
        <v>15684</v>
      </c>
      <c r="C8470" s="3">
        <v>40586</v>
      </c>
      <c r="D8470" t="s">
        <v>39</v>
      </c>
      <c r="E8470">
        <v>6</v>
      </c>
      <c r="F8470" s="3">
        <f ca="1">40589+(RANDBETWEEN(1,10))</f>
        <v>40597</v>
      </c>
      <c r="G8470" t="s">
        <v>26</v>
      </c>
      <c r="H8470" t="s">
        <v>96</v>
      </c>
      <c r="I8470" t="s">
        <v>86</v>
      </c>
      <c r="J8470">
        <v>65.8</v>
      </c>
      <c r="K8470">
        <v>0.04</v>
      </c>
      <c r="L8470">
        <v>0.39</v>
      </c>
      <c r="M8470">
        <v>5.53</v>
      </c>
      <c r="N8470">
        <v>9.2050000000000001</v>
      </c>
      <c r="O8470" s="1" t="s">
        <v>40</v>
      </c>
      <c r="P8470" s="1" t="s">
        <v>15681</v>
      </c>
      <c r="Q8470" s="1" t="s">
        <v>15682</v>
      </c>
      <c r="R8470" s="1" t="s">
        <v>43</v>
      </c>
      <c r="S8470" s="1" t="s">
        <v>2240</v>
      </c>
      <c r="T8470" s="1" t="s">
        <v>15683</v>
      </c>
      <c r="U8470" s="2" t="s">
        <v>6571</v>
      </c>
      <c r="V8470" s="2" t="s">
        <v>47</v>
      </c>
      <c r="W8470" s="2" t="s">
        <v>176</v>
      </c>
      <c r="X8470" s="2">
        <v>10.43</v>
      </c>
    </row>
    <row r="8471" spans="1:24" x14ac:dyDescent="0.3">
      <c r="A8471">
        <v>26268</v>
      </c>
      <c r="B8471" t="s">
        <v>15684</v>
      </c>
      <c r="C8471" s="3">
        <v>40586</v>
      </c>
      <c r="D8471" t="s">
        <v>39</v>
      </c>
      <c r="E8471">
        <v>10</v>
      </c>
      <c r="F8471" s="3">
        <f ca="1">40588+(RANDBETWEEN(1,10))</f>
        <v>40597</v>
      </c>
      <c r="G8471" t="s">
        <v>26</v>
      </c>
      <c r="H8471" t="s">
        <v>27</v>
      </c>
      <c r="I8471" t="s">
        <v>86</v>
      </c>
      <c r="J8471">
        <v>3310.9650000000001</v>
      </c>
      <c r="K8471">
        <v>0.05</v>
      </c>
      <c r="L8471">
        <v>0.55000000000000004</v>
      </c>
      <c r="M8471">
        <v>8.75</v>
      </c>
      <c r="N8471">
        <v>2284.56585</v>
      </c>
      <c r="O8471" s="1" t="s">
        <v>40</v>
      </c>
      <c r="P8471" s="1" t="s">
        <v>15681</v>
      </c>
      <c r="Q8471" s="1" t="s">
        <v>15682</v>
      </c>
      <c r="R8471" s="1" t="s">
        <v>43</v>
      </c>
      <c r="S8471" s="1" t="s">
        <v>2240</v>
      </c>
      <c r="T8471" s="1" t="s">
        <v>15683</v>
      </c>
      <c r="U8471" s="2" t="s">
        <v>2369</v>
      </c>
      <c r="V8471" s="2" t="s">
        <v>36</v>
      </c>
      <c r="W8471" s="2" t="s">
        <v>37</v>
      </c>
      <c r="X8471" s="2">
        <v>405.96499999999997</v>
      </c>
    </row>
    <row r="8472" spans="1:24" x14ac:dyDescent="0.3">
      <c r="A8472">
        <v>26269</v>
      </c>
      <c r="B8472" t="s">
        <v>15685</v>
      </c>
      <c r="C8472" s="3">
        <v>41554</v>
      </c>
      <c r="D8472" t="s">
        <v>25</v>
      </c>
      <c r="E8472">
        <v>10</v>
      </c>
      <c r="F8472" s="3">
        <f ca="1">41559+(RANDBETWEEN(1,10))</f>
        <v>41567</v>
      </c>
      <c r="G8472" t="s">
        <v>26</v>
      </c>
      <c r="H8472" t="s">
        <v>96</v>
      </c>
      <c r="I8472" t="s">
        <v>28</v>
      </c>
      <c r="J8472">
        <v>114.205</v>
      </c>
      <c r="K8472">
        <v>0.09</v>
      </c>
      <c r="L8472">
        <v>0.56000000000000005</v>
      </c>
      <c r="M8472">
        <v>13.895</v>
      </c>
      <c r="N8472">
        <v>-226.6866</v>
      </c>
      <c r="O8472" s="1" t="s">
        <v>53</v>
      </c>
      <c r="P8472" s="1" t="s">
        <v>13127</v>
      </c>
      <c r="Q8472" s="1" t="s">
        <v>13128</v>
      </c>
      <c r="R8472" s="1" t="s">
        <v>440</v>
      </c>
      <c r="S8472" s="1" t="s">
        <v>13129</v>
      </c>
      <c r="T8472" s="1" t="s">
        <v>13130</v>
      </c>
      <c r="U8472" s="2" t="s">
        <v>5622</v>
      </c>
      <c r="V8472" s="2" t="s">
        <v>47</v>
      </c>
      <c r="W8472" s="2" t="s">
        <v>104</v>
      </c>
      <c r="X8472" s="2">
        <v>11.48</v>
      </c>
    </row>
    <row r="8473" spans="1:24" x14ac:dyDescent="0.3">
      <c r="A8473">
        <v>2627</v>
      </c>
      <c r="B8473" t="s">
        <v>15673</v>
      </c>
      <c r="C8473" s="3">
        <v>41481</v>
      </c>
      <c r="D8473" t="s">
        <v>25</v>
      </c>
      <c r="E8473">
        <v>58</v>
      </c>
      <c r="F8473" s="3">
        <f ca="1">41490+(RANDBETWEEN(1,10))</f>
        <v>41500</v>
      </c>
      <c r="G8473" t="s">
        <v>26</v>
      </c>
      <c r="H8473" t="s">
        <v>27</v>
      </c>
      <c r="I8473" t="s">
        <v>28</v>
      </c>
      <c r="J8473">
        <v>8732.7800000000007</v>
      </c>
      <c r="K8473">
        <v>0.04</v>
      </c>
      <c r="L8473">
        <v>0.56000000000000005</v>
      </c>
      <c r="M8473">
        <v>16.170000000000002</v>
      </c>
      <c r="N8473">
        <v>1855.77</v>
      </c>
      <c r="O8473" s="1" t="s">
        <v>64</v>
      </c>
      <c r="P8473" s="1" t="s">
        <v>214</v>
      </c>
      <c r="Q8473" s="1" t="s">
        <v>215</v>
      </c>
      <c r="R8473" s="1" t="s">
        <v>67</v>
      </c>
      <c r="S8473" s="1" t="s">
        <v>68</v>
      </c>
      <c r="T8473" s="1" t="s">
        <v>69</v>
      </c>
      <c r="U8473" s="2" t="s">
        <v>5674</v>
      </c>
      <c r="V8473" s="2" t="s">
        <v>47</v>
      </c>
      <c r="W8473" s="2" t="s">
        <v>71</v>
      </c>
      <c r="X8473" s="2">
        <v>150.43</v>
      </c>
    </row>
    <row r="8474" spans="1:24" x14ac:dyDescent="0.3">
      <c r="A8474">
        <v>26270</v>
      </c>
      <c r="B8474" t="s">
        <v>15685</v>
      </c>
      <c r="C8474" s="3">
        <v>41554</v>
      </c>
      <c r="D8474" t="s">
        <v>25</v>
      </c>
      <c r="E8474">
        <v>19</v>
      </c>
      <c r="F8474" s="3">
        <f ca="1">41563+(RANDBETWEEN(1,10))</f>
        <v>41573</v>
      </c>
      <c r="G8474" t="s">
        <v>26</v>
      </c>
      <c r="H8474" t="s">
        <v>27</v>
      </c>
      <c r="I8474" t="s">
        <v>28</v>
      </c>
      <c r="J8474">
        <v>7188.5450000000001</v>
      </c>
      <c r="K8474">
        <v>0.02</v>
      </c>
      <c r="L8474">
        <v>0.59</v>
      </c>
      <c r="M8474">
        <v>31.465</v>
      </c>
      <c r="N8474">
        <v>3130.4485800000002</v>
      </c>
      <c r="O8474" s="1" t="s">
        <v>53</v>
      </c>
      <c r="P8474" s="1" t="s">
        <v>13127</v>
      </c>
      <c r="Q8474" s="1" t="s">
        <v>13128</v>
      </c>
      <c r="R8474" s="1" t="s">
        <v>440</v>
      </c>
      <c r="S8474" s="1" t="s">
        <v>13129</v>
      </c>
      <c r="T8474" s="1" t="s">
        <v>13130</v>
      </c>
      <c r="U8474" s="2" t="s">
        <v>295</v>
      </c>
      <c r="V8474" s="2" t="s">
        <v>36</v>
      </c>
      <c r="W8474" s="2" t="s">
        <v>37</v>
      </c>
      <c r="X8474" s="2">
        <v>440.96499999999997</v>
      </c>
    </row>
    <row r="8475" spans="1:24" x14ac:dyDescent="0.3">
      <c r="A8475">
        <v>26271</v>
      </c>
      <c r="B8475" t="s">
        <v>15686</v>
      </c>
      <c r="C8475" s="3">
        <v>41303</v>
      </c>
      <c r="D8475" t="s">
        <v>62</v>
      </c>
      <c r="E8475">
        <v>3</v>
      </c>
      <c r="F8475" s="3">
        <f ca="1">41304+(RANDBETWEEN(1,10))</f>
        <v>41307</v>
      </c>
      <c r="G8475" t="s">
        <v>26</v>
      </c>
      <c r="H8475" t="s">
        <v>27</v>
      </c>
      <c r="I8475" t="s">
        <v>97</v>
      </c>
      <c r="J8475">
        <v>743.33</v>
      </c>
      <c r="K8475">
        <v>0.05</v>
      </c>
      <c r="L8475">
        <v>0.59</v>
      </c>
      <c r="M8475">
        <v>12.25</v>
      </c>
      <c r="N8475">
        <v>433.846</v>
      </c>
      <c r="O8475" s="1" t="s">
        <v>53</v>
      </c>
      <c r="P8475" s="1" t="s">
        <v>14624</v>
      </c>
      <c r="Q8475" s="1" t="s">
        <v>14625</v>
      </c>
      <c r="R8475" s="1" t="s">
        <v>100</v>
      </c>
      <c r="S8475" s="1" t="s">
        <v>14626</v>
      </c>
      <c r="T8475" s="1" t="s">
        <v>14627</v>
      </c>
      <c r="U8475" s="2" t="s">
        <v>989</v>
      </c>
      <c r="V8475" s="2" t="s">
        <v>47</v>
      </c>
      <c r="W8475" s="2" t="s">
        <v>71</v>
      </c>
      <c r="X8475" s="2">
        <v>248.39500000000001</v>
      </c>
    </row>
    <row r="8476" spans="1:24" x14ac:dyDescent="0.3">
      <c r="A8476">
        <v>26272</v>
      </c>
      <c r="B8476" t="s">
        <v>15686</v>
      </c>
      <c r="C8476" s="3">
        <v>41303</v>
      </c>
      <c r="D8476" t="s">
        <v>62</v>
      </c>
      <c r="E8476">
        <v>11</v>
      </c>
      <c r="F8476" s="3">
        <f ca="1">41304+(RANDBETWEEN(1,10))</f>
        <v>41307</v>
      </c>
      <c r="G8476" t="s">
        <v>26</v>
      </c>
      <c r="H8476" t="s">
        <v>27</v>
      </c>
      <c r="I8476" t="s">
        <v>97</v>
      </c>
      <c r="J8476">
        <v>191.97499999999999</v>
      </c>
      <c r="K8476">
        <v>0.09</v>
      </c>
      <c r="L8476">
        <v>0.38</v>
      </c>
      <c r="M8476">
        <v>10.465</v>
      </c>
      <c r="N8476">
        <v>-59.492719999999998</v>
      </c>
      <c r="O8476" s="1" t="s">
        <v>53</v>
      </c>
      <c r="P8476" s="1" t="s">
        <v>14624</v>
      </c>
      <c r="Q8476" s="1" t="s">
        <v>14625</v>
      </c>
      <c r="R8476" s="1" t="s">
        <v>100</v>
      </c>
      <c r="S8476" s="1" t="s">
        <v>14626</v>
      </c>
      <c r="T8476" s="1" t="s">
        <v>14627</v>
      </c>
      <c r="U8476" s="2" t="s">
        <v>1125</v>
      </c>
      <c r="V8476" s="2" t="s">
        <v>47</v>
      </c>
      <c r="W8476" s="2" t="s">
        <v>111</v>
      </c>
      <c r="X8476" s="2">
        <v>18.690000000000001</v>
      </c>
    </row>
    <row r="8477" spans="1:24" x14ac:dyDescent="0.3">
      <c r="A8477">
        <v>26273</v>
      </c>
      <c r="B8477" t="s">
        <v>15687</v>
      </c>
      <c r="C8477" s="3">
        <v>41687</v>
      </c>
      <c r="D8477" t="s">
        <v>39</v>
      </c>
      <c r="E8477">
        <v>11</v>
      </c>
      <c r="F8477" s="3">
        <f ca="1">41688+(RANDBETWEEN(1,10))</f>
        <v>41692</v>
      </c>
      <c r="G8477" t="s">
        <v>26</v>
      </c>
      <c r="H8477" t="s">
        <v>27</v>
      </c>
      <c r="I8477" t="s">
        <v>52</v>
      </c>
      <c r="J8477">
        <v>212.17</v>
      </c>
      <c r="K8477">
        <v>0.02</v>
      </c>
      <c r="L8477">
        <v>0.38</v>
      </c>
      <c r="M8477">
        <v>10.465</v>
      </c>
      <c r="N8477">
        <v>32.546500000000002</v>
      </c>
      <c r="O8477" s="1" t="s">
        <v>40</v>
      </c>
      <c r="P8477" s="1" t="s">
        <v>15688</v>
      </c>
      <c r="Q8477" s="1" t="s">
        <v>15689</v>
      </c>
      <c r="R8477" s="1" t="s">
        <v>43</v>
      </c>
      <c r="S8477" s="1" t="s">
        <v>3803</v>
      </c>
      <c r="T8477" s="1" t="s">
        <v>3804</v>
      </c>
      <c r="U8477" s="2" t="s">
        <v>1125</v>
      </c>
      <c r="V8477" s="2" t="s">
        <v>47</v>
      </c>
      <c r="W8477" s="2" t="s">
        <v>111</v>
      </c>
      <c r="X8477" s="2">
        <v>18.690000000000001</v>
      </c>
    </row>
    <row r="8478" spans="1:24" x14ac:dyDescent="0.3">
      <c r="A8478">
        <v>26274</v>
      </c>
      <c r="B8478" t="s">
        <v>15690</v>
      </c>
      <c r="C8478" s="3">
        <v>40591</v>
      </c>
      <c r="D8478" t="s">
        <v>39</v>
      </c>
      <c r="E8478">
        <v>3</v>
      </c>
      <c r="F8478" s="3">
        <f ca="1">40593+(RANDBETWEEN(1,10))</f>
        <v>40597</v>
      </c>
      <c r="G8478" t="s">
        <v>26</v>
      </c>
      <c r="H8478" t="s">
        <v>281</v>
      </c>
      <c r="I8478" t="s">
        <v>52</v>
      </c>
      <c r="J8478">
        <v>638.15499999999997</v>
      </c>
      <c r="K8478">
        <v>0.04</v>
      </c>
      <c r="L8478">
        <v>0.63</v>
      </c>
      <c r="M8478">
        <v>37.94</v>
      </c>
      <c r="N8478">
        <v>440.32695000000001</v>
      </c>
      <c r="O8478" s="1" t="s">
        <v>40</v>
      </c>
      <c r="P8478" s="1" t="s">
        <v>15688</v>
      </c>
      <c r="Q8478" s="1" t="s">
        <v>15689</v>
      </c>
      <c r="R8478" s="1" t="s">
        <v>43</v>
      </c>
      <c r="S8478" s="1" t="s">
        <v>3803</v>
      </c>
      <c r="T8478" s="1" t="s">
        <v>3804</v>
      </c>
      <c r="U8478" s="2" t="s">
        <v>6655</v>
      </c>
      <c r="V8478" s="2" t="s">
        <v>83</v>
      </c>
      <c r="W8478" s="2" t="s">
        <v>178</v>
      </c>
      <c r="X8478" s="2">
        <v>217.63</v>
      </c>
    </row>
    <row r="8479" spans="1:24" x14ac:dyDescent="0.3">
      <c r="A8479">
        <v>26275</v>
      </c>
      <c r="B8479" t="s">
        <v>15687</v>
      </c>
      <c r="C8479" s="3">
        <v>41687</v>
      </c>
      <c r="D8479" t="s">
        <v>39</v>
      </c>
      <c r="E8479">
        <v>6</v>
      </c>
      <c r="F8479" s="3">
        <f ca="1">41689+(RANDBETWEEN(1,10))</f>
        <v>41690</v>
      </c>
      <c r="G8479" t="s">
        <v>26</v>
      </c>
      <c r="H8479" t="s">
        <v>96</v>
      </c>
      <c r="I8479" t="s">
        <v>52</v>
      </c>
      <c r="J8479">
        <v>911.19</v>
      </c>
      <c r="K8479">
        <v>0.03</v>
      </c>
      <c r="L8479">
        <v>0.73</v>
      </c>
      <c r="M8479">
        <v>119.7</v>
      </c>
      <c r="N8479">
        <v>-1333.15</v>
      </c>
      <c r="O8479" s="1" t="s">
        <v>40</v>
      </c>
      <c r="P8479" s="1" t="s">
        <v>15688</v>
      </c>
      <c r="Q8479" s="1" t="s">
        <v>15689</v>
      </c>
      <c r="R8479" s="1" t="s">
        <v>43</v>
      </c>
      <c r="S8479" s="1" t="s">
        <v>3803</v>
      </c>
      <c r="T8479" s="1" t="s">
        <v>3804</v>
      </c>
      <c r="U8479" s="2" t="s">
        <v>5026</v>
      </c>
      <c r="V8479" s="2" t="s">
        <v>83</v>
      </c>
      <c r="W8479" s="2" t="s">
        <v>178</v>
      </c>
      <c r="X8479" s="2">
        <v>145.14500000000001</v>
      </c>
    </row>
    <row r="8480" spans="1:24" x14ac:dyDescent="0.3">
      <c r="A8480">
        <v>26276</v>
      </c>
      <c r="B8480" t="s">
        <v>15687</v>
      </c>
      <c r="C8480" s="3">
        <v>41687</v>
      </c>
      <c r="D8480" t="s">
        <v>39</v>
      </c>
      <c r="E8480">
        <v>1</v>
      </c>
      <c r="F8480" s="3">
        <f ca="1">41689+(RANDBETWEEN(1,10))</f>
        <v>41695</v>
      </c>
      <c r="G8480" t="s">
        <v>26</v>
      </c>
      <c r="H8480" t="s">
        <v>281</v>
      </c>
      <c r="I8480" t="s">
        <v>52</v>
      </c>
      <c r="J8480">
        <v>6137.32</v>
      </c>
      <c r="K8480">
        <v>0.04</v>
      </c>
      <c r="L8480">
        <v>0.38</v>
      </c>
      <c r="M8480">
        <v>48.965000000000003</v>
      </c>
      <c r="N8480">
        <v>-5288.0992500000002</v>
      </c>
      <c r="O8480" s="1" t="s">
        <v>40</v>
      </c>
      <c r="P8480" s="1" t="s">
        <v>15688</v>
      </c>
      <c r="Q8480" s="1" t="s">
        <v>15689</v>
      </c>
      <c r="R8480" s="1" t="s">
        <v>43</v>
      </c>
      <c r="S8480" s="1" t="s">
        <v>3803</v>
      </c>
      <c r="T8480" s="1" t="s">
        <v>3804</v>
      </c>
      <c r="U8480" s="2" t="s">
        <v>5558</v>
      </c>
      <c r="V8480" s="2" t="s">
        <v>36</v>
      </c>
      <c r="W8480" s="2" t="s">
        <v>142</v>
      </c>
      <c r="X8480" s="2">
        <v>6783.07</v>
      </c>
    </row>
    <row r="8481" spans="1:24" x14ac:dyDescent="0.3">
      <c r="A8481">
        <v>26277</v>
      </c>
      <c r="B8481" t="s">
        <v>15691</v>
      </c>
      <c r="C8481" s="3">
        <v>41529</v>
      </c>
      <c r="D8481" t="s">
        <v>148</v>
      </c>
      <c r="E8481">
        <v>19</v>
      </c>
      <c r="F8481" s="3">
        <f ca="1">41530+(RANDBETWEEN(1,10))</f>
        <v>41532</v>
      </c>
      <c r="G8481" t="s">
        <v>26</v>
      </c>
      <c r="H8481" t="s">
        <v>96</v>
      </c>
      <c r="I8481" t="s">
        <v>28</v>
      </c>
      <c r="J8481">
        <v>179.16499999999999</v>
      </c>
      <c r="K8481">
        <v>0.08</v>
      </c>
      <c r="L8481">
        <v>0.56000000000000005</v>
      </c>
      <c r="M8481">
        <v>2.4500000000000002</v>
      </c>
      <c r="N8481">
        <v>165.858</v>
      </c>
      <c r="O8481" s="1" t="s">
        <v>29</v>
      </c>
      <c r="P8481" s="1" t="s">
        <v>15692</v>
      </c>
      <c r="Q8481" s="1" t="s">
        <v>15693</v>
      </c>
      <c r="R8481" s="1" t="s">
        <v>460</v>
      </c>
      <c r="S8481" s="1" t="s">
        <v>9881</v>
      </c>
      <c r="T8481" s="1" t="s">
        <v>9882</v>
      </c>
      <c r="U8481" s="2" t="s">
        <v>443</v>
      </c>
      <c r="V8481" s="2" t="s">
        <v>47</v>
      </c>
      <c r="W8481" s="2" t="s">
        <v>104</v>
      </c>
      <c r="X8481" s="2">
        <v>10.08</v>
      </c>
    </row>
    <row r="8482" spans="1:24" x14ac:dyDescent="0.3">
      <c r="A8482">
        <v>26278</v>
      </c>
      <c r="B8482" t="s">
        <v>15694</v>
      </c>
      <c r="C8482" s="3">
        <v>41263</v>
      </c>
      <c r="D8482" t="s">
        <v>39</v>
      </c>
      <c r="E8482">
        <v>12</v>
      </c>
      <c r="F8482" s="3">
        <f ca="1">41264+(RANDBETWEEN(1,10))</f>
        <v>41271</v>
      </c>
      <c r="G8482" t="s">
        <v>76</v>
      </c>
      <c r="H8482" t="s">
        <v>258</v>
      </c>
      <c r="I8482" t="s">
        <v>97</v>
      </c>
      <c r="J8482">
        <v>4506.4250000000002</v>
      </c>
      <c r="K8482">
        <v>0.01</v>
      </c>
      <c r="L8482">
        <v>0.62</v>
      </c>
      <c r="M8482">
        <v>125.44</v>
      </c>
      <c r="N8482">
        <v>193.935</v>
      </c>
      <c r="O8482" s="1" t="s">
        <v>225</v>
      </c>
      <c r="P8482" s="1" t="s">
        <v>15695</v>
      </c>
      <c r="Q8482" s="1" t="s">
        <v>15696</v>
      </c>
      <c r="R8482" s="1" t="s">
        <v>391</v>
      </c>
      <c r="S8482" s="1" t="s">
        <v>4466</v>
      </c>
      <c r="T8482" s="1" t="s">
        <v>4467</v>
      </c>
      <c r="U8482" s="2" t="s">
        <v>1271</v>
      </c>
      <c r="V8482" s="2" t="s">
        <v>83</v>
      </c>
      <c r="W8482" s="2" t="s">
        <v>298</v>
      </c>
      <c r="X8482" s="2">
        <v>353.43</v>
      </c>
    </row>
    <row r="8483" spans="1:24" x14ac:dyDescent="0.3">
      <c r="A8483">
        <v>26279</v>
      </c>
      <c r="B8483" t="s">
        <v>15697</v>
      </c>
      <c r="C8483" s="3">
        <v>40909</v>
      </c>
      <c r="D8483" t="s">
        <v>148</v>
      </c>
      <c r="E8483">
        <v>2</v>
      </c>
      <c r="F8483" s="3">
        <f ca="1">40911+(RANDBETWEEN(1,10))</f>
        <v>40912</v>
      </c>
      <c r="G8483" t="s">
        <v>156</v>
      </c>
      <c r="H8483" t="s">
        <v>281</v>
      </c>
      <c r="I8483" t="s">
        <v>52</v>
      </c>
      <c r="J8483">
        <v>1391.95</v>
      </c>
      <c r="K8483">
        <v>0.09</v>
      </c>
      <c r="L8483">
        <v>0.37</v>
      </c>
      <c r="M8483">
        <v>48.965000000000003</v>
      </c>
      <c r="N8483">
        <v>-249.11600000000001</v>
      </c>
      <c r="O8483" s="1" t="s">
        <v>40</v>
      </c>
      <c r="P8483" s="1" t="s">
        <v>4345</v>
      </c>
      <c r="Q8483" s="1" t="s">
        <v>4346</v>
      </c>
      <c r="R8483" s="1" t="s">
        <v>43</v>
      </c>
      <c r="S8483" s="1" t="s">
        <v>4347</v>
      </c>
      <c r="T8483" s="1" t="s">
        <v>4348</v>
      </c>
      <c r="U8483" s="2" t="s">
        <v>2505</v>
      </c>
      <c r="V8483" s="2" t="s">
        <v>36</v>
      </c>
      <c r="W8483" s="2" t="s">
        <v>142</v>
      </c>
      <c r="X8483" s="2">
        <v>714.35</v>
      </c>
    </row>
    <row r="8484" spans="1:24" x14ac:dyDescent="0.3">
      <c r="A8484">
        <v>2628</v>
      </c>
      <c r="B8484" t="s">
        <v>15698</v>
      </c>
      <c r="C8484" s="3">
        <v>40603</v>
      </c>
      <c r="D8484" t="s">
        <v>62</v>
      </c>
      <c r="E8484">
        <v>8</v>
      </c>
      <c r="F8484" s="3">
        <f ca="1">40604+(RANDBETWEEN(1,10))</f>
        <v>40610</v>
      </c>
      <c r="G8484" t="s">
        <v>26</v>
      </c>
      <c r="H8484" t="s">
        <v>27</v>
      </c>
      <c r="I8484" t="s">
        <v>28</v>
      </c>
      <c r="J8484">
        <v>1146.635</v>
      </c>
      <c r="K8484">
        <v>7.0000000000000007E-2</v>
      </c>
      <c r="L8484">
        <v>0.37</v>
      </c>
      <c r="M8484">
        <v>26.145</v>
      </c>
      <c r="N8484">
        <v>192.15525</v>
      </c>
      <c r="O8484" s="1" t="s">
        <v>53</v>
      </c>
      <c r="P8484" s="1" t="s">
        <v>243</v>
      </c>
      <c r="Q8484" s="1" t="s">
        <v>244</v>
      </c>
      <c r="R8484" s="1" t="s">
        <v>100</v>
      </c>
      <c r="S8484" s="1" t="s">
        <v>101</v>
      </c>
      <c r="T8484" s="1" t="s">
        <v>245</v>
      </c>
      <c r="U8484" s="2" t="s">
        <v>1126</v>
      </c>
      <c r="V8484" s="2" t="s">
        <v>47</v>
      </c>
      <c r="W8484" s="2" t="s">
        <v>111</v>
      </c>
      <c r="X8484" s="2">
        <v>143.43</v>
      </c>
    </row>
    <row r="8485" spans="1:24" x14ac:dyDescent="0.3">
      <c r="A8485">
        <v>26280</v>
      </c>
      <c r="B8485" t="s">
        <v>15699</v>
      </c>
      <c r="C8485" s="3">
        <v>41617</v>
      </c>
      <c r="D8485" t="s">
        <v>148</v>
      </c>
      <c r="E8485">
        <v>2</v>
      </c>
      <c r="F8485" s="3">
        <f ca="1">41617+(RANDBETWEEN(1,10))</f>
        <v>41621</v>
      </c>
      <c r="G8485" t="s">
        <v>26</v>
      </c>
      <c r="H8485" t="s">
        <v>27</v>
      </c>
      <c r="I8485" t="s">
        <v>97</v>
      </c>
      <c r="J8485">
        <v>298.30500000000001</v>
      </c>
      <c r="K8485">
        <v>0.09</v>
      </c>
      <c r="L8485">
        <v>0.56000000000000005</v>
      </c>
      <c r="M8485">
        <v>16.170000000000002</v>
      </c>
      <c r="N8485">
        <v>-52.972499999999997</v>
      </c>
      <c r="O8485" s="1" t="s">
        <v>40</v>
      </c>
      <c r="P8485" s="1" t="s">
        <v>13536</v>
      </c>
      <c r="Q8485" s="1" t="s">
        <v>13537</v>
      </c>
      <c r="R8485" s="1" t="s">
        <v>43</v>
      </c>
      <c r="S8485" s="1" t="s">
        <v>3877</v>
      </c>
      <c r="T8485" s="1" t="s">
        <v>3878</v>
      </c>
      <c r="U8485" s="2" t="s">
        <v>5674</v>
      </c>
      <c r="V8485" s="2" t="s">
        <v>47</v>
      </c>
      <c r="W8485" s="2" t="s">
        <v>71</v>
      </c>
      <c r="X8485" s="2">
        <v>150.43</v>
      </c>
    </row>
    <row r="8486" spans="1:24" x14ac:dyDescent="0.3">
      <c r="A8486">
        <v>26281</v>
      </c>
      <c r="B8486" t="s">
        <v>15699</v>
      </c>
      <c r="C8486" s="3">
        <v>41617</v>
      </c>
      <c r="D8486" t="s">
        <v>148</v>
      </c>
      <c r="E8486">
        <v>14</v>
      </c>
      <c r="F8486" s="3">
        <f ca="1">41619+(RANDBETWEEN(1,10))</f>
        <v>41628</v>
      </c>
      <c r="G8486" t="s">
        <v>26</v>
      </c>
      <c r="H8486" t="s">
        <v>51</v>
      </c>
      <c r="I8486" t="s">
        <v>97</v>
      </c>
      <c r="J8486">
        <v>613.23500000000001</v>
      </c>
      <c r="K8486">
        <v>0.03</v>
      </c>
      <c r="L8486">
        <v>0.6</v>
      </c>
      <c r="M8486">
        <v>20.335000000000001</v>
      </c>
      <c r="N8486">
        <v>-65.275000000000006</v>
      </c>
      <c r="O8486" s="1" t="s">
        <v>40</v>
      </c>
      <c r="P8486" s="1" t="s">
        <v>13536</v>
      </c>
      <c r="Q8486" s="1" t="s">
        <v>13537</v>
      </c>
      <c r="R8486" s="1" t="s">
        <v>43</v>
      </c>
      <c r="S8486" s="1" t="s">
        <v>3877</v>
      </c>
      <c r="T8486" s="1" t="s">
        <v>3878</v>
      </c>
      <c r="U8486" s="2" t="s">
        <v>1353</v>
      </c>
      <c r="V8486" s="2" t="s">
        <v>47</v>
      </c>
      <c r="W8486" s="2" t="s">
        <v>104</v>
      </c>
      <c r="X8486" s="2">
        <v>41.895000000000003</v>
      </c>
    </row>
    <row r="8487" spans="1:24" x14ac:dyDescent="0.3">
      <c r="A8487">
        <v>26282</v>
      </c>
      <c r="B8487" t="s">
        <v>15700</v>
      </c>
      <c r="C8487" s="3">
        <v>41890</v>
      </c>
      <c r="D8487" t="s">
        <v>148</v>
      </c>
      <c r="E8487">
        <v>4</v>
      </c>
      <c r="F8487" s="3">
        <f ca="1">41890+(RANDBETWEEN(1,10))</f>
        <v>41894</v>
      </c>
      <c r="G8487" t="s">
        <v>26</v>
      </c>
      <c r="H8487" t="s">
        <v>27</v>
      </c>
      <c r="I8487" t="s">
        <v>52</v>
      </c>
      <c r="J8487">
        <v>167.61500000000001</v>
      </c>
      <c r="K8487">
        <v>0.09</v>
      </c>
      <c r="L8487">
        <v>0.38</v>
      </c>
      <c r="M8487">
        <v>1.75</v>
      </c>
      <c r="N8487">
        <v>82.857600000000005</v>
      </c>
      <c r="O8487" s="1" t="s">
        <v>87</v>
      </c>
      <c r="P8487" s="1" t="s">
        <v>3748</v>
      </c>
      <c r="Q8487" s="1" t="s">
        <v>3749</v>
      </c>
      <c r="R8487" s="1" t="s">
        <v>90</v>
      </c>
      <c r="S8487" s="1" t="s">
        <v>1474</v>
      </c>
      <c r="T8487" s="1" t="s">
        <v>1475</v>
      </c>
      <c r="U8487" s="2" t="s">
        <v>7215</v>
      </c>
      <c r="V8487" s="2" t="s">
        <v>47</v>
      </c>
      <c r="W8487" s="2" t="s">
        <v>203</v>
      </c>
      <c r="X8487" s="2">
        <v>43.854999999999997</v>
      </c>
    </row>
    <row r="8488" spans="1:24" x14ac:dyDescent="0.3">
      <c r="A8488">
        <v>26283</v>
      </c>
      <c r="B8488" t="s">
        <v>15700</v>
      </c>
      <c r="C8488" s="3">
        <v>41890</v>
      </c>
      <c r="D8488" t="s">
        <v>148</v>
      </c>
      <c r="E8488">
        <v>19</v>
      </c>
      <c r="F8488" s="3">
        <f ca="1">41891+(RANDBETWEEN(1,10))</f>
        <v>41900</v>
      </c>
      <c r="G8488" t="s">
        <v>26</v>
      </c>
      <c r="H8488" t="s">
        <v>96</v>
      </c>
      <c r="I8488" t="s">
        <v>52</v>
      </c>
      <c r="J8488">
        <v>404.18</v>
      </c>
      <c r="K8488">
        <v>0.03</v>
      </c>
      <c r="L8488">
        <v>0.56000000000000005</v>
      </c>
      <c r="M8488">
        <v>7.9450000000000003</v>
      </c>
      <c r="N8488">
        <v>28.161000000000001</v>
      </c>
      <c r="O8488" s="1" t="s">
        <v>87</v>
      </c>
      <c r="P8488" s="1" t="s">
        <v>3748</v>
      </c>
      <c r="Q8488" s="1" t="s">
        <v>3749</v>
      </c>
      <c r="R8488" s="1" t="s">
        <v>90</v>
      </c>
      <c r="S8488" s="1" t="s">
        <v>1474</v>
      </c>
      <c r="T8488" s="1" t="s">
        <v>1475</v>
      </c>
      <c r="U8488" s="2" t="s">
        <v>212</v>
      </c>
      <c r="V8488" s="2" t="s">
        <v>47</v>
      </c>
      <c r="W8488" s="2" t="s">
        <v>104</v>
      </c>
      <c r="X8488" s="2">
        <v>20.475000000000001</v>
      </c>
    </row>
    <row r="8489" spans="1:24" x14ac:dyDescent="0.3">
      <c r="A8489">
        <v>26284</v>
      </c>
      <c r="B8489" t="s">
        <v>15701</v>
      </c>
      <c r="C8489" s="3">
        <v>41699</v>
      </c>
      <c r="D8489" t="s">
        <v>148</v>
      </c>
      <c r="E8489">
        <v>2</v>
      </c>
      <c r="F8489" s="3">
        <f ca="1">41700+(RANDBETWEEN(1,10))</f>
        <v>41703</v>
      </c>
      <c r="G8489" t="s">
        <v>26</v>
      </c>
      <c r="H8489" t="s">
        <v>27</v>
      </c>
      <c r="I8489" t="s">
        <v>97</v>
      </c>
      <c r="J8489">
        <v>218.995</v>
      </c>
      <c r="K8489">
        <v>0.1</v>
      </c>
      <c r="L8489">
        <v>0.37</v>
      </c>
      <c r="M8489">
        <v>44.17</v>
      </c>
      <c r="N8489">
        <v>-32.602499999999999</v>
      </c>
      <c r="O8489" s="1" t="s">
        <v>53</v>
      </c>
      <c r="P8489" s="1" t="s">
        <v>12962</v>
      </c>
      <c r="Q8489" s="1" t="s">
        <v>12963</v>
      </c>
      <c r="R8489" s="1" t="s">
        <v>440</v>
      </c>
      <c r="S8489" s="1" t="s">
        <v>12964</v>
      </c>
      <c r="T8489" s="1" t="s">
        <v>12965</v>
      </c>
      <c r="U8489" s="2" t="s">
        <v>4243</v>
      </c>
      <c r="V8489" s="2" t="s">
        <v>47</v>
      </c>
      <c r="W8489" s="2" t="s">
        <v>111</v>
      </c>
      <c r="X8489" s="2">
        <v>111.09</v>
      </c>
    </row>
    <row r="8490" spans="1:24" x14ac:dyDescent="0.3">
      <c r="A8490">
        <v>26285</v>
      </c>
      <c r="B8490" t="s">
        <v>15701</v>
      </c>
      <c r="C8490" s="3">
        <v>41699</v>
      </c>
      <c r="D8490" t="s">
        <v>148</v>
      </c>
      <c r="E8490">
        <v>2</v>
      </c>
      <c r="F8490" s="3">
        <f ca="1">41700+(RANDBETWEEN(1,10))</f>
        <v>41701</v>
      </c>
      <c r="G8490" t="s">
        <v>26</v>
      </c>
      <c r="H8490" t="s">
        <v>96</v>
      </c>
      <c r="I8490" t="s">
        <v>97</v>
      </c>
      <c r="J8490">
        <v>251.58</v>
      </c>
      <c r="K8490">
        <v>0.09</v>
      </c>
      <c r="L8490">
        <v>0.38</v>
      </c>
      <c r="M8490">
        <v>17.78</v>
      </c>
      <c r="N8490">
        <v>137.30500000000001</v>
      </c>
      <c r="O8490" s="1" t="s">
        <v>53</v>
      </c>
      <c r="P8490" s="1" t="s">
        <v>12962</v>
      </c>
      <c r="Q8490" s="1" t="s">
        <v>12963</v>
      </c>
      <c r="R8490" s="1" t="s">
        <v>440</v>
      </c>
      <c r="S8490" s="1" t="s">
        <v>12964</v>
      </c>
      <c r="T8490" s="1" t="s">
        <v>12965</v>
      </c>
      <c r="U8490" s="2" t="s">
        <v>2638</v>
      </c>
      <c r="V8490" s="2" t="s">
        <v>47</v>
      </c>
      <c r="W8490" s="2" t="s">
        <v>74</v>
      </c>
      <c r="X8490" s="2">
        <v>132.79</v>
      </c>
    </row>
    <row r="8491" spans="1:24" x14ac:dyDescent="0.3">
      <c r="A8491">
        <v>26286</v>
      </c>
      <c r="B8491" t="s">
        <v>15701</v>
      </c>
      <c r="C8491" s="3">
        <v>41699</v>
      </c>
      <c r="D8491" t="s">
        <v>148</v>
      </c>
      <c r="E8491">
        <v>6</v>
      </c>
      <c r="F8491" s="3">
        <f ca="1">41700+(RANDBETWEEN(1,10))</f>
        <v>41705</v>
      </c>
      <c r="G8491" t="s">
        <v>26</v>
      </c>
      <c r="H8491" t="s">
        <v>27</v>
      </c>
      <c r="I8491" t="s">
        <v>97</v>
      </c>
      <c r="J8491">
        <v>127.47</v>
      </c>
      <c r="K8491">
        <v>0.04</v>
      </c>
      <c r="L8491">
        <v>0.4</v>
      </c>
      <c r="M8491">
        <v>19.565000000000001</v>
      </c>
      <c r="N8491">
        <v>-78.007999999999996</v>
      </c>
      <c r="O8491" s="1" t="s">
        <v>40</v>
      </c>
      <c r="P8491" s="1" t="s">
        <v>15702</v>
      </c>
      <c r="Q8491" s="1" t="s">
        <v>15703</v>
      </c>
      <c r="R8491" s="1" t="s">
        <v>220</v>
      </c>
      <c r="S8491" s="1" t="s">
        <v>5036</v>
      </c>
      <c r="T8491" s="1" t="s">
        <v>5037</v>
      </c>
      <c r="U8491" s="2" t="s">
        <v>3005</v>
      </c>
      <c r="V8491" s="2" t="s">
        <v>47</v>
      </c>
      <c r="W8491" s="2" t="s">
        <v>111</v>
      </c>
      <c r="X8491" s="2">
        <v>20.3</v>
      </c>
    </row>
    <row r="8492" spans="1:24" x14ac:dyDescent="0.3">
      <c r="A8492">
        <v>26287</v>
      </c>
      <c r="B8492" t="s">
        <v>15704</v>
      </c>
      <c r="C8492" s="3">
        <v>41578</v>
      </c>
      <c r="D8492" t="s">
        <v>62</v>
      </c>
      <c r="E8492">
        <v>5</v>
      </c>
      <c r="F8492" s="3">
        <f ca="1">41580+(RANDBETWEEN(1,10))</f>
        <v>41583</v>
      </c>
      <c r="G8492" t="s">
        <v>26</v>
      </c>
      <c r="H8492" t="s">
        <v>27</v>
      </c>
      <c r="I8492" t="s">
        <v>97</v>
      </c>
      <c r="J8492">
        <v>86.834999999999994</v>
      </c>
      <c r="K8492">
        <v>0</v>
      </c>
      <c r="L8492">
        <v>0.39</v>
      </c>
      <c r="M8492">
        <v>24.114999999999998</v>
      </c>
      <c r="N8492">
        <v>-21.805</v>
      </c>
      <c r="O8492" s="1" t="s">
        <v>87</v>
      </c>
      <c r="P8492" s="1" t="s">
        <v>15705</v>
      </c>
      <c r="Q8492" s="1" t="s">
        <v>15706</v>
      </c>
      <c r="R8492" s="1" t="s">
        <v>646</v>
      </c>
      <c r="S8492" s="1" t="s">
        <v>10133</v>
      </c>
      <c r="T8492" s="1" t="s">
        <v>10134</v>
      </c>
      <c r="U8492" s="2" t="s">
        <v>3963</v>
      </c>
      <c r="V8492" s="2" t="s">
        <v>47</v>
      </c>
      <c r="W8492" s="2" t="s">
        <v>203</v>
      </c>
      <c r="X8492" s="2">
        <v>14.455</v>
      </c>
    </row>
    <row r="8493" spans="1:24" x14ac:dyDescent="0.3">
      <c r="A8493">
        <v>26288</v>
      </c>
      <c r="B8493" t="s">
        <v>15704</v>
      </c>
      <c r="C8493" s="3">
        <v>41578</v>
      </c>
      <c r="D8493" t="s">
        <v>62</v>
      </c>
      <c r="E8493">
        <v>17</v>
      </c>
      <c r="F8493" s="3">
        <f ca="1">41580+(RANDBETWEEN(1,10))</f>
        <v>41588</v>
      </c>
      <c r="G8493" t="s">
        <v>26</v>
      </c>
      <c r="H8493" t="s">
        <v>27</v>
      </c>
      <c r="I8493" t="s">
        <v>97</v>
      </c>
      <c r="J8493">
        <v>1014.965</v>
      </c>
      <c r="K8493">
        <v>0.05</v>
      </c>
      <c r="L8493">
        <v>0.81</v>
      </c>
      <c r="M8493">
        <v>24.64</v>
      </c>
      <c r="N8493">
        <v>-246.0241</v>
      </c>
      <c r="O8493" s="1" t="s">
        <v>87</v>
      </c>
      <c r="P8493" s="1" t="s">
        <v>15705</v>
      </c>
      <c r="Q8493" s="1" t="s">
        <v>15706</v>
      </c>
      <c r="R8493" s="1" t="s">
        <v>646</v>
      </c>
      <c r="S8493" s="1" t="s">
        <v>10133</v>
      </c>
      <c r="T8493" s="1" t="s">
        <v>10134</v>
      </c>
      <c r="U8493" s="2" t="s">
        <v>5325</v>
      </c>
      <c r="V8493" s="2" t="s">
        <v>47</v>
      </c>
      <c r="W8493" s="2" t="s">
        <v>119</v>
      </c>
      <c r="X8493" s="2">
        <v>58.59</v>
      </c>
    </row>
    <row r="8494" spans="1:24" x14ac:dyDescent="0.3">
      <c r="A8494">
        <v>26289</v>
      </c>
      <c r="B8494" t="s">
        <v>15707</v>
      </c>
      <c r="C8494" s="3">
        <v>41777</v>
      </c>
      <c r="D8494" t="s">
        <v>62</v>
      </c>
      <c r="E8494">
        <v>1</v>
      </c>
      <c r="F8494" s="3">
        <f ca="1">41778+(RANDBETWEEN(1,10))</f>
        <v>41787</v>
      </c>
      <c r="G8494" t="s">
        <v>26</v>
      </c>
      <c r="H8494" t="s">
        <v>96</v>
      </c>
      <c r="I8494" t="s">
        <v>28</v>
      </c>
      <c r="J8494">
        <v>11.795</v>
      </c>
      <c r="K8494">
        <v>0.09</v>
      </c>
      <c r="L8494">
        <v>0.39</v>
      </c>
      <c r="M8494">
        <v>5.53</v>
      </c>
      <c r="N8494">
        <v>-109.36799999999999</v>
      </c>
      <c r="O8494" s="1" t="s">
        <v>29</v>
      </c>
      <c r="P8494" s="1" t="s">
        <v>10111</v>
      </c>
      <c r="Q8494" s="1" t="s">
        <v>10112</v>
      </c>
      <c r="R8494" s="1" t="s">
        <v>460</v>
      </c>
      <c r="S8494" s="1" t="s">
        <v>1753</v>
      </c>
      <c r="T8494" s="1" t="s">
        <v>1437</v>
      </c>
      <c r="U8494" s="2" t="s">
        <v>6571</v>
      </c>
      <c r="V8494" s="2" t="s">
        <v>47</v>
      </c>
      <c r="W8494" s="2" t="s">
        <v>176</v>
      </c>
      <c r="X8494" s="2">
        <v>10.43</v>
      </c>
    </row>
    <row r="8495" spans="1:24" x14ac:dyDescent="0.3">
      <c r="A8495">
        <v>26290</v>
      </c>
      <c r="B8495" t="s">
        <v>15708</v>
      </c>
      <c r="C8495" s="3">
        <v>41777</v>
      </c>
      <c r="D8495" t="s">
        <v>62</v>
      </c>
      <c r="E8495">
        <v>14</v>
      </c>
      <c r="F8495" s="3">
        <f ca="1">41777+(RANDBETWEEN(1,10))</f>
        <v>41781</v>
      </c>
      <c r="G8495" t="s">
        <v>76</v>
      </c>
      <c r="H8495" t="s">
        <v>258</v>
      </c>
      <c r="I8495" t="s">
        <v>28</v>
      </c>
      <c r="J8495">
        <v>11086.53</v>
      </c>
      <c r="K8495">
        <v>0.02</v>
      </c>
      <c r="L8495">
        <v>0.78</v>
      </c>
      <c r="M8495">
        <v>286.93</v>
      </c>
      <c r="N8495">
        <v>-3309.453</v>
      </c>
      <c r="O8495" s="1" t="s">
        <v>53</v>
      </c>
      <c r="P8495" s="1" t="s">
        <v>14206</v>
      </c>
      <c r="Q8495" s="1" t="s">
        <v>14207</v>
      </c>
      <c r="R8495" s="1" t="s">
        <v>56</v>
      </c>
      <c r="S8495" s="1" t="s">
        <v>14208</v>
      </c>
      <c r="T8495" s="1" t="s">
        <v>14209</v>
      </c>
      <c r="U8495" s="2" t="s">
        <v>1073</v>
      </c>
      <c r="V8495" s="2" t="s">
        <v>83</v>
      </c>
      <c r="W8495" s="2" t="s">
        <v>263</v>
      </c>
      <c r="X8495" s="2">
        <v>983.43</v>
      </c>
    </row>
    <row r="8496" spans="1:24" x14ac:dyDescent="0.3">
      <c r="A8496">
        <v>26291</v>
      </c>
      <c r="B8496" t="s">
        <v>15709</v>
      </c>
      <c r="C8496" s="3">
        <v>41644</v>
      </c>
      <c r="D8496" t="s">
        <v>39</v>
      </c>
      <c r="E8496">
        <v>6</v>
      </c>
      <c r="F8496" s="3">
        <f ca="1">41646+(RANDBETWEEN(1,10))</f>
        <v>41653</v>
      </c>
      <c r="G8496" t="s">
        <v>26</v>
      </c>
      <c r="H8496" t="s">
        <v>27</v>
      </c>
      <c r="I8496" t="s">
        <v>97</v>
      </c>
      <c r="J8496">
        <v>662.34</v>
      </c>
      <c r="K8496">
        <v>0</v>
      </c>
      <c r="L8496">
        <v>0.4</v>
      </c>
      <c r="M8496">
        <v>20.16</v>
      </c>
      <c r="N8496">
        <v>2623.8029999999999</v>
      </c>
      <c r="O8496" s="1" t="s">
        <v>64</v>
      </c>
      <c r="P8496" s="1" t="s">
        <v>15710</v>
      </c>
      <c r="Q8496" s="1" t="s">
        <v>15711</v>
      </c>
      <c r="R8496" s="1" t="s">
        <v>128</v>
      </c>
      <c r="S8496" s="1" t="s">
        <v>1189</v>
      </c>
      <c r="T8496" s="1" t="s">
        <v>1190</v>
      </c>
      <c r="U8496" s="2" t="s">
        <v>2045</v>
      </c>
      <c r="V8496" s="2" t="s">
        <v>47</v>
      </c>
      <c r="W8496" s="2" t="s">
        <v>74</v>
      </c>
      <c r="X8496" s="2">
        <v>108.43</v>
      </c>
    </row>
    <row r="8497" spans="1:24" x14ac:dyDescent="0.3">
      <c r="A8497">
        <v>26292</v>
      </c>
      <c r="B8497" t="s">
        <v>15712</v>
      </c>
      <c r="C8497" s="3">
        <v>41141</v>
      </c>
      <c r="D8497" t="s">
        <v>39</v>
      </c>
      <c r="E8497">
        <v>1</v>
      </c>
      <c r="F8497" s="3">
        <f ca="1">41143+(RANDBETWEEN(1,10))</f>
        <v>41146</v>
      </c>
      <c r="G8497" t="s">
        <v>76</v>
      </c>
      <c r="H8497" t="s">
        <v>258</v>
      </c>
      <c r="I8497" t="s">
        <v>28</v>
      </c>
      <c r="J8497">
        <v>392.98</v>
      </c>
      <c r="K8497">
        <v>0.08</v>
      </c>
      <c r="L8497">
        <v>0.62</v>
      </c>
      <c r="M8497">
        <v>125.44</v>
      </c>
      <c r="N8497">
        <v>-292.03719999999998</v>
      </c>
      <c r="O8497" s="1" t="s">
        <v>40</v>
      </c>
      <c r="P8497" s="1" t="s">
        <v>11425</v>
      </c>
      <c r="Q8497" s="1" t="s">
        <v>11426</v>
      </c>
      <c r="R8497" s="1" t="s">
        <v>43</v>
      </c>
      <c r="S8497" s="1" t="s">
        <v>1827</v>
      </c>
      <c r="T8497" s="1" t="s">
        <v>10905</v>
      </c>
      <c r="U8497" s="2" t="s">
        <v>1271</v>
      </c>
      <c r="V8497" s="2" t="s">
        <v>83</v>
      </c>
      <c r="W8497" s="2" t="s">
        <v>298</v>
      </c>
      <c r="X8497" s="2">
        <v>353.43</v>
      </c>
    </row>
    <row r="8498" spans="1:24" x14ac:dyDescent="0.3">
      <c r="A8498">
        <v>26293</v>
      </c>
      <c r="B8498" t="s">
        <v>15713</v>
      </c>
      <c r="C8498" s="3">
        <v>41871</v>
      </c>
      <c r="D8498" t="s">
        <v>39</v>
      </c>
      <c r="E8498">
        <v>15</v>
      </c>
      <c r="F8498" s="3">
        <f ca="1">41871+(RANDBETWEEN(1,10))</f>
        <v>41880</v>
      </c>
      <c r="G8498" t="s">
        <v>156</v>
      </c>
      <c r="H8498" t="s">
        <v>51</v>
      </c>
      <c r="I8498" t="s">
        <v>28</v>
      </c>
      <c r="J8498">
        <v>695.06500000000005</v>
      </c>
      <c r="K8498">
        <v>0.1</v>
      </c>
      <c r="L8498">
        <v>0.49</v>
      </c>
      <c r="M8498">
        <v>17.5</v>
      </c>
      <c r="N8498">
        <v>42.418039999999998</v>
      </c>
      <c r="O8498" s="1" t="s">
        <v>40</v>
      </c>
      <c r="P8498" s="1" t="s">
        <v>11425</v>
      </c>
      <c r="Q8498" s="1" t="s">
        <v>11426</v>
      </c>
      <c r="R8498" s="1" t="s">
        <v>43</v>
      </c>
      <c r="S8498" s="1" t="s">
        <v>1827</v>
      </c>
      <c r="T8498" s="1" t="s">
        <v>10905</v>
      </c>
      <c r="U8498" s="2" t="s">
        <v>830</v>
      </c>
      <c r="V8498" s="2" t="s">
        <v>83</v>
      </c>
      <c r="W8498" s="2" t="s">
        <v>178</v>
      </c>
      <c r="X8498" s="2">
        <v>50.19</v>
      </c>
    </row>
    <row r="8499" spans="1:24" x14ac:dyDescent="0.3">
      <c r="A8499">
        <v>26294</v>
      </c>
      <c r="B8499" t="s">
        <v>15714</v>
      </c>
      <c r="C8499" s="3">
        <v>41849</v>
      </c>
      <c r="D8499" t="s">
        <v>25</v>
      </c>
      <c r="E8499">
        <v>11</v>
      </c>
      <c r="F8499" s="3">
        <f ca="1">41853+(RANDBETWEEN(1,10))</f>
        <v>41862</v>
      </c>
      <c r="G8499" t="s">
        <v>26</v>
      </c>
      <c r="H8499" t="s">
        <v>27</v>
      </c>
      <c r="I8499" t="s">
        <v>28</v>
      </c>
      <c r="J8499">
        <v>6841.2749999999996</v>
      </c>
      <c r="K8499">
        <v>0.04</v>
      </c>
      <c r="L8499">
        <v>0.56000000000000005</v>
      </c>
      <c r="M8499">
        <v>3.4649999999999999</v>
      </c>
      <c r="N8499">
        <v>4720.4797500000004</v>
      </c>
      <c r="O8499" s="1" t="s">
        <v>87</v>
      </c>
      <c r="P8499" s="1" t="s">
        <v>11261</v>
      </c>
      <c r="Q8499" s="1" t="s">
        <v>11262</v>
      </c>
      <c r="R8499" s="1" t="s">
        <v>90</v>
      </c>
      <c r="S8499" s="1" t="s">
        <v>8998</v>
      </c>
      <c r="T8499" s="1" t="s">
        <v>8999</v>
      </c>
      <c r="U8499" s="2" t="s">
        <v>10603</v>
      </c>
      <c r="V8499" s="2" t="s">
        <v>47</v>
      </c>
      <c r="W8499" s="2" t="s">
        <v>71</v>
      </c>
      <c r="X8499" s="2">
        <v>622.92999999999995</v>
      </c>
    </row>
    <row r="8500" spans="1:24" x14ac:dyDescent="0.3">
      <c r="A8500">
        <v>26295</v>
      </c>
      <c r="B8500" t="s">
        <v>15714</v>
      </c>
      <c r="C8500" s="3">
        <v>41849</v>
      </c>
      <c r="D8500" t="s">
        <v>25</v>
      </c>
      <c r="E8500">
        <v>6</v>
      </c>
      <c r="F8500" s="3">
        <f ca="1">41854+(RANDBETWEEN(1,10))</f>
        <v>41860</v>
      </c>
      <c r="G8500" t="s">
        <v>76</v>
      </c>
      <c r="H8500" t="s">
        <v>77</v>
      </c>
      <c r="I8500" t="s">
        <v>28</v>
      </c>
      <c r="J8500">
        <v>1046.395</v>
      </c>
      <c r="K8500">
        <v>0.04</v>
      </c>
      <c r="L8500">
        <v>0.56000000000000005</v>
      </c>
      <c r="M8500">
        <v>49.664999999999999</v>
      </c>
      <c r="N8500">
        <v>43.639679999999998</v>
      </c>
      <c r="O8500" s="1" t="s">
        <v>87</v>
      </c>
      <c r="P8500" s="1" t="s">
        <v>11261</v>
      </c>
      <c r="Q8500" s="1" t="s">
        <v>11262</v>
      </c>
      <c r="R8500" s="1" t="s">
        <v>90</v>
      </c>
      <c r="S8500" s="1" t="s">
        <v>8998</v>
      </c>
      <c r="T8500" s="1" t="s">
        <v>8999</v>
      </c>
      <c r="U8500" s="2" t="s">
        <v>3412</v>
      </c>
      <c r="V8500" s="2" t="s">
        <v>83</v>
      </c>
      <c r="W8500" s="2" t="s">
        <v>84</v>
      </c>
      <c r="X8500" s="2">
        <v>178.43</v>
      </c>
    </row>
    <row r="8501" spans="1:24" x14ac:dyDescent="0.3">
      <c r="A8501">
        <v>26296</v>
      </c>
      <c r="B8501" t="s">
        <v>15715</v>
      </c>
      <c r="C8501" s="3">
        <v>40805</v>
      </c>
      <c r="D8501" t="s">
        <v>39</v>
      </c>
      <c r="E8501">
        <v>5</v>
      </c>
      <c r="F8501" s="3">
        <f ca="1">40806+(RANDBETWEEN(1,10))</f>
        <v>40810</v>
      </c>
      <c r="G8501" t="s">
        <v>156</v>
      </c>
      <c r="H8501" t="s">
        <v>51</v>
      </c>
      <c r="I8501" t="s">
        <v>28</v>
      </c>
      <c r="J8501">
        <v>725.27</v>
      </c>
      <c r="K8501">
        <v>0.03</v>
      </c>
      <c r="L8501">
        <v>0.59</v>
      </c>
      <c r="M8501">
        <v>31.465</v>
      </c>
      <c r="N8501">
        <v>-619.70299999999997</v>
      </c>
      <c r="O8501" s="1" t="s">
        <v>29</v>
      </c>
      <c r="P8501" s="1" t="s">
        <v>15716</v>
      </c>
      <c r="Q8501" s="1" t="s">
        <v>15717</v>
      </c>
      <c r="R8501" s="1" t="s">
        <v>460</v>
      </c>
      <c r="S8501" s="1" t="s">
        <v>5695</v>
      </c>
      <c r="T8501" s="1" t="s">
        <v>5696</v>
      </c>
      <c r="U8501" s="2" t="s">
        <v>2755</v>
      </c>
      <c r="V8501" s="2" t="s">
        <v>47</v>
      </c>
      <c r="W8501" s="2" t="s">
        <v>104</v>
      </c>
      <c r="X8501" s="2">
        <v>143.39500000000001</v>
      </c>
    </row>
    <row r="8502" spans="1:24" x14ac:dyDescent="0.3">
      <c r="A8502">
        <v>26297</v>
      </c>
      <c r="B8502" t="s">
        <v>15718</v>
      </c>
      <c r="C8502" s="3">
        <v>41650</v>
      </c>
      <c r="D8502" t="s">
        <v>39</v>
      </c>
      <c r="E8502">
        <v>13</v>
      </c>
      <c r="F8502" s="3">
        <f ca="1">41652+(RANDBETWEEN(1,10))</f>
        <v>41660</v>
      </c>
      <c r="G8502" t="s">
        <v>76</v>
      </c>
      <c r="H8502" t="s">
        <v>258</v>
      </c>
      <c r="I8502" t="s">
        <v>86</v>
      </c>
      <c r="J8502">
        <v>23993.654999999999</v>
      </c>
      <c r="K8502">
        <v>0.01</v>
      </c>
      <c r="L8502">
        <v>0.59</v>
      </c>
      <c r="M8502">
        <v>58.204999999999998</v>
      </c>
      <c r="N8502">
        <v>16555.621950000001</v>
      </c>
      <c r="O8502" s="1" t="s">
        <v>29</v>
      </c>
      <c r="P8502" s="1" t="s">
        <v>15719</v>
      </c>
      <c r="Q8502" s="1" t="s">
        <v>15720</v>
      </c>
      <c r="R8502" s="1" t="s">
        <v>675</v>
      </c>
      <c r="S8502" s="1" t="s">
        <v>15721</v>
      </c>
      <c r="T8502" s="1" t="s">
        <v>15722</v>
      </c>
      <c r="U8502" s="2" t="s">
        <v>10060</v>
      </c>
      <c r="V8502" s="2" t="s">
        <v>36</v>
      </c>
      <c r="W8502" s="2" t="s">
        <v>142</v>
      </c>
      <c r="X8502" s="2">
        <v>1811.18</v>
      </c>
    </row>
    <row r="8503" spans="1:24" x14ac:dyDescent="0.3">
      <c r="A8503">
        <v>26298</v>
      </c>
      <c r="B8503" t="s">
        <v>15723</v>
      </c>
      <c r="C8503" s="3">
        <v>40919</v>
      </c>
      <c r="D8503" t="s">
        <v>39</v>
      </c>
      <c r="E8503">
        <v>4</v>
      </c>
      <c r="F8503" s="3">
        <f ca="1">40920+(RANDBETWEEN(1,10))</f>
        <v>40921</v>
      </c>
      <c r="G8503" t="s">
        <v>26</v>
      </c>
      <c r="H8503" t="s">
        <v>27</v>
      </c>
      <c r="I8503" t="s">
        <v>86</v>
      </c>
      <c r="J8503">
        <v>2138.64</v>
      </c>
      <c r="K8503">
        <v>0.01</v>
      </c>
      <c r="L8503">
        <v>0.56000000000000005</v>
      </c>
      <c r="M8503">
        <v>69.965000000000003</v>
      </c>
      <c r="N8503">
        <v>1205.0598</v>
      </c>
      <c r="O8503" s="1" t="s">
        <v>225</v>
      </c>
      <c r="P8503" s="1" t="s">
        <v>15724</v>
      </c>
      <c r="Q8503" s="1" t="s">
        <v>15725</v>
      </c>
      <c r="R8503" s="1" t="s">
        <v>391</v>
      </c>
      <c r="S8503" s="1" t="s">
        <v>15726</v>
      </c>
      <c r="T8503" s="1" t="s">
        <v>15727</v>
      </c>
      <c r="U8503" s="2" t="s">
        <v>3048</v>
      </c>
      <c r="V8503" s="2" t="s">
        <v>47</v>
      </c>
      <c r="W8503" s="2" t="s">
        <v>119</v>
      </c>
      <c r="X8503" s="2">
        <v>500.01</v>
      </c>
    </row>
    <row r="8504" spans="1:24" x14ac:dyDescent="0.3">
      <c r="A8504">
        <v>26299</v>
      </c>
      <c r="B8504" t="s">
        <v>15718</v>
      </c>
      <c r="C8504" s="3">
        <v>41650</v>
      </c>
      <c r="D8504" t="s">
        <v>39</v>
      </c>
      <c r="E8504">
        <v>1</v>
      </c>
      <c r="F8504" s="3">
        <f ca="1">41650+(RANDBETWEEN(1,10))</f>
        <v>41660</v>
      </c>
      <c r="G8504" t="s">
        <v>76</v>
      </c>
      <c r="H8504" t="s">
        <v>77</v>
      </c>
      <c r="I8504" t="s">
        <v>86</v>
      </c>
      <c r="J8504">
        <v>453.07499999999999</v>
      </c>
      <c r="K8504">
        <v>0.08</v>
      </c>
      <c r="L8504">
        <v>0.74</v>
      </c>
      <c r="M8504">
        <v>245.7</v>
      </c>
      <c r="N8504">
        <v>-1756.7018</v>
      </c>
      <c r="O8504" s="1" t="s">
        <v>64</v>
      </c>
      <c r="P8504" s="1" t="s">
        <v>15728</v>
      </c>
      <c r="Q8504" s="1" t="s">
        <v>15729</v>
      </c>
      <c r="R8504" s="1" t="s">
        <v>128</v>
      </c>
      <c r="S8504" s="1" t="s">
        <v>6595</v>
      </c>
      <c r="T8504" s="1" t="s">
        <v>6596</v>
      </c>
      <c r="U8504" s="2" t="s">
        <v>358</v>
      </c>
      <c r="V8504" s="2" t="s">
        <v>83</v>
      </c>
      <c r="W8504" s="2" t="s">
        <v>84</v>
      </c>
      <c r="X8504" s="2">
        <v>430.46499999999997</v>
      </c>
    </row>
    <row r="8505" spans="1:24" x14ac:dyDescent="0.3">
      <c r="A8505">
        <v>26300</v>
      </c>
      <c r="B8505" t="s">
        <v>15718</v>
      </c>
      <c r="C8505" s="3">
        <v>41650</v>
      </c>
      <c r="D8505" t="s">
        <v>39</v>
      </c>
      <c r="E8505">
        <v>13</v>
      </c>
      <c r="F8505" s="3">
        <f ca="1">41652+(RANDBETWEEN(1,10))</f>
        <v>41661</v>
      </c>
      <c r="G8505" t="s">
        <v>26</v>
      </c>
      <c r="H8505" t="s">
        <v>51</v>
      </c>
      <c r="I8505" t="s">
        <v>86</v>
      </c>
      <c r="J8505">
        <v>1546.0550000000001</v>
      </c>
      <c r="K8505">
        <v>0.01</v>
      </c>
      <c r="L8505">
        <v>0.42</v>
      </c>
      <c r="M8505">
        <v>6.9649999999999999</v>
      </c>
      <c r="N8505">
        <v>1066.7779499999999</v>
      </c>
      <c r="O8505" s="1" t="s">
        <v>53</v>
      </c>
      <c r="P8505" s="1" t="s">
        <v>15730</v>
      </c>
      <c r="Q8505" s="1" t="s">
        <v>15731</v>
      </c>
      <c r="R8505" s="1" t="s">
        <v>56</v>
      </c>
      <c r="S8505" s="1" t="s">
        <v>3216</v>
      </c>
      <c r="T8505" s="1" t="s">
        <v>3217</v>
      </c>
      <c r="U8505" s="2" t="s">
        <v>1226</v>
      </c>
      <c r="V8505" s="2" t="s">
        <v>36</v>
      </c>
      <c r="W8505" s="2" t="s">
        <v>60</v>
      </c>
      <c r="X8505" s="2">
        <v>111.23</v>
      </c>
    </row>
    <row r="8506" spans="1:24" x14ac:dyDescent="0.3">
      <c r="A8506">
        <v>26301</v>
      </c>
      <c r="B8506" t="s">
        <v>15732</v>
      </c>
      <c r="C8506" s="3">
        <v>41389</v>
      </c>
      <c r="D8506" t="s">
        <v>50</v>
      </c>
      <c r="E8506">
        <v>11</v>
      </c>
      <c r="F8506" s="3">
        <f ca="1">41390+(RANDBETWEEN(1,10))</f>
        <v>41394</v>
      </c>
      <c r="G8506" t="s">
        <v>156</v>
      </c>
      <c r="H8506" t="s">
        <v>27</v>
      </c>
      <c r="I8506" t="s">
        <v>28</v>
      </c>
      <c r="J8506">
        <v>606.72500000000002</v>
      </c>
      <c r="K8506">
        <v>0.02</v>
      </c>
      <c r="L8506">
        <v>0.43</v>
      </c>
      <c r="M8506">
        <v>46.62</v>
      </c>
      <c r="N8506">
        <v>-50.911000000000001</v>
      </c>
      <c r="O8506" s="1" t="s">
        <v>40</v>
      </c>
      <c r="P8506" s="1" t="s">
        <v>8294</v>
      </c>
      <c r="Q8506" s="1" t="s">
        <v>8295</v>
      </c>
      <c r="R8506" s="1" t="s">
        <v>43</v>
      </c>
      <c r="S8506" s="1" t="s">
        <v>1136</v>
      </c>
      <c r="T8506" s="1" t="s">
        <v>1137</v>
      </c>
      <c r="U8506" s="2" t="s">
        <v>1840</v>
      </c>
      <c r="V8506" s="2" t="s">
        <v>47</v>
      </c>
      <c r="W8506" s="2" t="s">
        <v>71</v>
      </c>
      <c r="X8506" s="2">
        <v>51.835000000000001</v>
      </c>
    </row>
    <row r="8507" spans="1:24" x14ac:dyDescent="0.3">
      <c r="A8507">
        <v>26302</v>
      </c>
      <c r="B8507" t="s">
        <v>15732</v>
      </c>
      <c r="C8507" s="3">
        <v>41389</v>
      </c>
      <c r="D8507" t="s">
        <v>50</v>
      </c>
      <c r="E8507">
        <v>6</v>
      </c>
      <c r="F8507" s="3">
        <f ca="1">41391+(RANDBETWEEN(1,10))</f>
        <v>41398</v>
      </c>
      <c r="G8507" t="s">
        <v>26</v>
      </c>
      <c r="H8507" t="s">
        <v>27</v>
      </c>
      <c r="I8507" t="s">
        <v>28</v>
      </c>
      <c r="J8507">
        <v>131.495</v>
      </c>
      <c r="K8507">
        <v>0.02</v>
      </c>
      <c r="L8507">
        <v>0.36</v>
      </c>
      <c r="M8507">
        <v>18.2</v>
      </c>
      <c r="N8507">
        <v>-559.48199999999997</v>
      </c>
      <c r="O8507" s="1" t="s">
        <v>40</v>
      </c>
      <c r="P8507" s="1" t="s">
        <v>8294</v>
      </c>
      <c r="Q8507" s="1" t="s">
        <v>8295</v>
      </c>
      <c r="R8507" s="1" t="s">
        <v>43</v>
      </c>
      <c r="S8507" s="1" t="s">
        <v>1136</v>
      </c>
      <c r="T8507" s="1" t="s">
        <v>1137</v>
      </c>
      <c r="U8507" s="2" t="s">
        <v>2553</v>
      </c>
      <c r="V8507" s="2" t="s">
        <v>47</v>
      </c>
      <c r="W8507" s="2" t="s">
        <v>74</v>
      </c>
      <c r="X8507" s="2">
        <v>20.93</v>
      </c>
    </row>
    <row r="8508" spans="1:24" x14ac:dyDescent="0.3">
      <c r="A8508">
        <v>26303</v>
      </c>
      <c r="B8508" t="s">
        <v>15733</v>
      </c>
      <c r="C8508" s="3">
        <v>40886</v>
      </c>
      <c r="D8508" t="s">
        <v>148</v>
      </c>
      <c r="E8508">
        <v>6</v>
      </c>
      <c r="F8508" s="3">
        <f ca="1">40888+(RANDBETWEEN(1,10))</f>
        <v>40894</v>
      </c>
      <c r="G8508" t="s">
        <v>76</v>
      </c>
      <c r="H8508" t="s">
        <v>258</v>
      </c>
      <c r="I8508" t="s">
        <v>52</v>
      </c>
      <c r="J8508">
        <v>2556.2950000000001</v>
      </c>
      <c r="K8508">
        <v>0.05</v>
      </c>
      <c r="L8508">
        <v>0.39</v>
      </c>
      <c r="M8508">
        <v>196.49</v>
      </c>
      <c r="N8508">
        <v>-358.79235</v>
      </c>
      <c r="O8508" s="1" t="s">
        <v>29</v>
      </c>
      <c r="P8508" s="1" t="s">
        <v>15734</v>
      </c>
      <c r="Q8508" s="1" t="s">
        <v>15735</v>
      </c>
      <c r="R8508" s="1" t="s">
        <v>675</v>
      </c>
      <c r="S8508" s="1" t="s">
        <v>5323</v>
      </c>
      <c r="T8508" s="1" t="s">
        <v>5324</v>
      </c>
      <c r="U8508" s="2" t="s">
        <v>5088</v>
      </c>
      <c r="V8508" s="2" t="s">
        <v>36</v>
      </c>
      <c r="W8508" s="2" t="s">
        <v>142</v>
      </c>
      <c r="X8508" s="2">
        <v>419.96499999999997</v>
      </c>
    </row>
    <row r="8509" spans="1:24" x14ac:dyDescent="0.3">
      <c r="A8509">
        <v>26304</v>
      </c>
      <c r="B8509" t="s">
        <v>15736</v>
      </c>
      <c r="C8509" s="3">
        <v>41977</v>
      </c>
      <c r="D8509" t="s">
        <v>62</v>
      </c>
      <c r="E8509">
        <v>18</v>
      </c>
      <c r="F8509" s="3">
        <f ca="1">41979+(RANDBETWEEN(1,10))</f>
        <v>41980</v>
      </c>
      <c r="G8509" t="s">
        <v>26</v>
      </c>
      <c r="H8509" t="s">
        <v>27</v>
      </c>
      <c r="I8509" t="s">
        <v>28</v>
      </c>
      <c r="J8509">
        <v>230.61500000000001</v>
      </c>
      <c r="K8509">
        <v>0.08</v>
      </c>
      <c r="L8509">
        <v>0.36</v>
      </c>
      <c r="M8509">
        <v>19.04</v>
      </c>
      <c r="N8509">
        <v>-159.46148400000001</v>
      </c>
      <c r="O8509" s="1" t="s">
        <v>87</v>
      </c>
      <c r="P8509" s="1" t="s">
        <v>15096</v>
      </c>
      <c r="Q8509" s="1" t="s">
        <v>15097</v>
      </c>
      <c r="R8509" s="1" t="s">
        <v>497</v>
      </c>
      <c r="S8509" s="1" t="s">
        <v>5554</v>
      </c>
      <c r="T8509" s="1" t="s">
        <v>5555</v>
      </c>
      <c r="U8509" s="2" t="s">
        <v>2432</v>
      </c>
      <c r="V8509" s="2" t="s">
        <v>47</v>
      </c>
      <c r="W8509" s="2" t="s">
        <v>111</v>
      </c>
      <c r="X8509" s="2">
        <v>13.335000000000001</v>
      </c>
    </row>
    <row r="8510" spans="1:24" x14ac:dyDescent="0.3">
      <c r="A8510">
        <v>26305</v>
      </c>
      <c r="B8510" t="s">
        <v>15736</v>
      </c>
      <c r="C8510" s="3">
        <v>41977</v>
      </c>
      <c r="D8510" t="s">
        <v>62</v>
      </c>
      <c r="E8510">
        <v>13</v>
      </c>
      <c r="F8510" s="3">
        <f ca="1">41977+(RANDBETWEEN(1,10))</f>
        <v>41982</v>
      </c>
      <c r="G8510" t="s">
        <v>26</v>
      </c>
      <c r="H8510" t="s">
        <v>27</v>
      </c>
      <c r="I8510" t="s">
        <v>28</v>
      </c>
      <c r="J8510">
        <v>301.42</v>
      </c>
      <c r="K8510">
        <v>0.03</v>
      </c>
      <c r="L8510">
        <v>0.6</v>
      </c>
      <c r="M8510">
        <v>18.27</v>
      </c>
      <c r="N8510">
        <v>-76.110720000000001</v>
      </c>
      <c r="O8510" s="1" t="s">
        <v>87</v>
      </c>
      <c r="P8510" s="1" t="s">
        <v>15096</v>
      </c>
      <c r="Q8510" s="1" t="s">
        <v>15097</v>
      </c>
      <c r="R8510" s="1" t="s">
        <v>497</v>
      </c>
      <c r="S8510" s="1" t="s">
        <v>5554</v>
      </c>
      <c r="T8510" s="1" t="s">
        <v>5555</v>
      </c>
      <c r="U8510" s="2" t="s">
        <v>995</v>
      </c>
      <c r="V8510" s="2" t="s">
        <v>83</v>
      </c>
      <c r="W8510" s="2" t="s">
        <v>178</v>
      </c>
      <c r="X8510" s="2">
        <v>21.84</v>
      </c>
    </row>
    <row r="8511" spans="1:24" x14ac:dyDescent="0.3">
      <c r="A8511">
        <v>26306</v>
      </c>
      <c r="B8511" t="s">
        <v>15736</v>
      </c>
      <c r="C8511" s="3">
        <v>41977</v>
      </c>
      <c r="D8511" t="s">
        <v>62</v>
      </c>
      <c r="E8511">
        <v>21</v>
      </c>
      <c r="F8511" s="3">
        <f ca="1">41979+(RANDBETWEEN(1,10))</f>
        <v>41983</v>
      </c>
      <c r="G8511" t="s">
        <v>26</v>
      </c>
      <c r="H8511" t="s">
        <v>27</v>
      </c>
      <c r="I8511" t="s">
        <v>28</v>
      </c>
      <c r="J8511">
        <v>384.05500000000001</v>
      </c>
      <c r="K8511">
        <v>0.01</v>
      </c>
      <c r="L8511">
        <v>0.42</v>
      </c>
      <c r="M8511">
        <v>24.85</v>
      </c>
      <c r="N8511">
        <v>-194.53391999999999</v>
      </c>
      <c r="O8511" s="1" t="s">
        <v>87</v>
      </c>
      <c r="P8511" s="1" t="s">
        <v>15096</v>
      </c>
      <c r="Q8511" s="1" t="s">
        <v>15097</v>
      </c>
      <c r="R8511" s="1" t="s">
        <v>497</v>
      </c>
      <c r="S8511" s="1" t="s">
        <v>5554</v>
      </c>
      <c r="T8511" s="1" t="s">
        <v>5555</v>
      </c>
      <c r="U8511" s="2" t="s">
        <v>12625</v>
      </c>
      <c r="V8511" s="2" t="s">
        <v>83</v>
      </c>
      <c r="W8511" s="2" t="s">
        <v>178</v>
      </c>
      <c r="X8511" s="2">
        <v>17.010000000000002</v>
      </c>
    </row>
    <row r="8512" spans="1:24" x14ac:dyDescent="0.3">
      <c r="A8512">
        <v>26307</v>
      </c>
      <c r="B8512" t="s">
        <v>15736</v>
      </c>
      <c r="C8512" s="3">
        <v>41977</v>
      </c>
      <c r="D8512" t="s">
        <v>62</v>
      </c>
      <c r="E8512">
        <v>21</v>
      </c>
      <c r="F8512" s="3">
        <f ca="1">41978+(RANDBETWEEN(1,10))</f>
        <v>41982</v>
      </c>
      <c r="G8512" t="s">
        <v>26</v>
      </c>
      <c r="H8512" t="s">
        <v>27</v>
      </c>
      <c r="I8512" t="s">
        <v>28</v>
      </c>
      <c r="J8512">
        <v>383.98500000000001</v>
      </c>
      <c r="K8512">
        <v>0.05</v>
      </c>
      <c r="L8512">
        <v>0.38</v>
      </c>
      <c r="M8512">
        <v>16.45</v>
      </c>
      <c r="N8512">
        <v>-77.68656</v>
      </c>
      <c r="O8512" s="1" t="s">
        <v>87</v>
      </c>
      <c r="P8512" s="1" t="s">
        <v>15096</v>
      </c>
      <c r="Q8512" s="1" t="s">
        <v>15097</v>
      </c>
      <c r="R8512" s="1" t="s">
        <v>497</v>
      </c>
      <c r="S8512" s="1" t="s">
        <v>5554</v>
      </c>
      <c r="T8512" s="1" t="s">
        <v>5555</v>
      </c>
      <c r="U8512" s="2" t="s">
        <v>5182</v>
      </c>
      <c r="V8512" s="2" t="s">
        <v>47</v>
      </c>
      <c r="W8512" s="2" t="s">
        <v>74</v>
      </c>
      <c r="X8512" s="2">
        <v>17.43</v>
      </c>
    </row>
    <row r="8513" spans="1:24" x14ac:dyDescent="0.3">
      <c r="A8513">
        <v>26308</v>
      </c>
      <c r="B8513" t="s">
        <v>15737</v>
      </c>
      <c r="C8513" s="3">
        <v>41880</v>
      </c>
      <c r="D8513" t="s">
        <v>39</v>
      </c>
      <c r="E8513">
        <v>23</v>
      </c>
      <c r="F8513" s="3">
        <f ca="1">41882+(RANDBETWEEN(1,10))</f>
        <v>41892</v>
      </c>
      <c r="G8513" t="s">
        <v>26</v>
      </c>
      <c r="H8513" t="s">
        <v>281</v>
      </c>
      <c r="I8513" t="s">
        <v>52</v>
      </c>
      <c r="J8513">
        <v>1803.7950000000001</v>
      </c>
      <c r="K8513">
        <v>0.09</v>
      </c>
      <c r="L8513">
        <v>0.38</v>
      </c>
      <c r="M8513">
        <v>22.05</v>
      </c>
      <c r="N8513">
        <v>42.902999999999999</v>
      </c>
      <c r="O8513" s="1" t="s">
        <v>53</v>
      </c>
      <c r="P8513" s="1" t="s">
        <v>9765</v>
      </c>
      <c r="Q8513" s="1" t="s">
        <v>9766</v>
      </c>
      <c r="R8513" s="1" t="s">
        <v>440</v>
      </c>
      <c r="S8513" s="1" t="s">
        <v>6211</v>
      </c>
      <c r="T8513" s="1" t="s">
        <v>6212</v>
      </c>
      <c r="U8513" s="2" t="s">
        <v>3736</v>
      </c>
      <c r="V8513" s="2" t="s">
        <v>36</v>
      </c>
      <c r="W8513" s="2" t="s">
        <v>142</v>
      </c>
      <c r="X8513" s="2">
        <v>83.965000000000003</v>
      </c>
    </row>
    <row r="8514" spans="1:24" x14ac:dyDescent="0.3">
      <c r="A8514">
        <v>26309</v>
      </c>
      <c r="B8514" t="s">
        <v>15738</v>
      </c>
      <c r="C8514" s="3">
        <v>41761</v>
      </c>
      <c r="D8514" t="s">
        <v>39</v>
      </c>
      <c r="E8514">
        <v>8</v>
      </c>
      <c r="F8514" s="3">
        <f ca="1">41761+(RANDBETWEEN(1,10))</f>
        <v>41762</v>
      </c>
      <c r="G8514" t="s">
        <v>26</v>
      </c>
      <c r="H8514" t="s">
        <v>27</v>
      </c>
      <c r="I8514" t="s">
        <v>86</v>
      </c>
      <c r="J8514">
        <v>185.39500000000001</v>
      </c>
      <c r="K8514">
        <v>0.06</v>
      </c>
      <c r="L8514">
        <v>0.37</v>
      </c>
      <c r="M8514">
        <v>18.2</v>
      </c>
      <c r="N8514">
        <v>-134.995</v>
      </c>
      <c r="O8514" s="1" t="s">
        <v>225</v>
      </c>
      <c r="P8514" s="1" t="s">
        <v>15034</v>
      </c>
      <c r="Q8514" s="1" t="s">
        <v>15035</v>
      </c>
      <c r="R8514" s="1" t="s">
        <v>228</v>
      </c>
      <c r="S8514" s="1" t="s">
        <v>3631</v>
      </c>
      <c r="T8514" s="1" t="s">
        <v>3632</v>
      </c>
      <c r="U8514" s="2" t="s">
        <v>4079</v>
      </c>
      <c r="V8514" s="2" t="s">
        <v>47</v>
      </c>
      <c r="W8514" s="2" t="s">
        <v>74</v>
      </c>
      <c r="X8514" s="2">
        <v>23.38</v>
      </c>
    </row>
    <row r="8515" spans="1:24" x14ac:dyDescent="0.3">
      <c r="A8515">
        <v>26310</v>
      </c>
      <c r="B8515" t="s">
        <v>15739</v>
      </c>
      <c r="C8515" s="3">
        <v>41980</v>
      </c>
      <c r="D8515" t="s">
        <v>148</v>
      </c>
      <c r="E8515">
        <v>1</v>
      </c>
      <c r="F8515" s="3">
        <f ca="1">41982+(RANDBETWEEN(1,10))</f>
        <v>41983</v>
      </c>
      <c r="G8515" t="s">
        <v>76</v>
      </c>
      <c r="H8515" t="s">
        <v>77</v>
      </c>
      <c r="I8515" t="s">
        <v>97</v>
      </c>
      <c r="J8515">
        <v>1870.05</v>
      </c>
      <c r="K8515">
        <v>0.05</v>
      </c>
      <c r="L8515">
        <v>0.59</v>
      </c>
      <c r="M8515">
        <v>51.45</v>
      </c>
      <c r="N8515">
        <v>793.40099999999995</v>
      </c>
      <c r="O8515" s="1" t="s">
        <v>64</v>
      </c>
      <c r="P8515" s="1" t="s">
        <v>15740</v>
      </c>
      <c r="Q8515" s="1" t="s">
        <v>15741</v>
      </c>
      <c r="R8515" s="1" t="s">
        <v>128</v>
      </c>
      <c r="S8515" s="1" t="s">
        <v>570</v>
      </c>
      <c r="T8515" s="1" t="s">
        <v>571</v>
      </c>
      <c r="U8515" s="2" t="s">
        <v>1616</v>
      </c>
      <c r="V8515" s="2" t="s">
        <v>36</v>
      </c>
      <c r="W8515" s="2" t="s">
        <v>142</v>
      </c>
      <c r="X8515" s="2">
        <v>1874.74</v>
      </c>
    </row>
    <row r="8516" spans="1:24" x14ac:dyDescent="0.3">
      <c r="A8516">
        <v>26311</v>
      </c>
      <c r="B8516" t="s">
        <v>15742</v>
      </c>
      <c r="C8516" s="3">
        <v>41816</v>
      </c>
      <c r="D8516" t="s">
        <v>148</v>
      </c>
      <c r="E8516">
        <v>7</v>
      </c>
      <c r="F8516" s="3">
        <f ca="1">41817+(RANDBETWEEN(1,10))</f>
        <v>41820</v>
      </c>
      <c r="G8516" t="s">
        <v>26</v>
      </c>
      <c r="H8516" t="s">
        <v>51</v>
      </c>
      <c r="I8516" t="s">
        <v>28</v>
      </c>
      <c r="J8516">
        <v>50.82</v>
      </c>
      <c r="K8516">
        <v>0.08</v>
      </c>
      <c r="L8516">
        <v>0.55000000000000004</v>
      </c>
      <c r="M8516">
        <v>6.9649999999999999</v>
      </c>
      <c r="N8516">
        <v>-81.256</v>
      </c>
      <c r="O8516" s="1" t="s">
        <v>64</v>
      </c>
      <c r="P8516" s="1" t="s">
        <v>11848</v>
      </c>
      <c r="Q8516" s="1" t="s">
        <v>11849</v>
      </c>
      <c r="R8516" s="1" t="s">
        <v>67</v>
      </c>
      <c r="S8516" s="1" t="s">
        <v>11850</v>
      </c>
      <c r="T8516" s="1" t="s">
        <v>11851</v>
      </c>
      <c r="U8516" s="2" t="s">
        <v>1910</v>
      </c>
      <c r="V8516" s="2" t="s">
        <v>36</v>
      </c>
      <c r="W8516" s="2" t="s">
        <v>60</v>
      </c>
      <c r="X8516" s="2">
        <v>7.42</v>
      </c>
    </row>
    <row r="8517" spans="1:24" x14ac:dyDescent="0.3">
      <c r="A8517">
        <v>26312</v>
      </c>
      <c r="B8517" t="s">
        <v>15742</v>
      </c>
      <c r="C8517" s="3">
        <v>41816</v>
      </c>
      <c r="D8517" t="s">
        <v>148</v>
      </c>
      <c r="E8517">
        <v>17</v>
      </c>
      <c r="F8517" s="3">
        <f ca="1">41818+(RANDBETWEEN(1,10))</f>
        <v>41819</v>
      </c>
      <c r="G8517" t="s">
        <v>26</v>
      </c>
      <c r="H8517" t="s">
        <v>51</v>
      </c>
      <c r="I8517" t="s">
        <v>28</v>
      </c>
      <c r="J8517">
        <v>1725.92</v>
      </c>
      <c r="K8517">
        <v>0.03</v>
      </c>
      <c r="L8517">
        <v>0.4</v>
      </c>
      <c r="M8517">
        <v>6.9649999999999999</v>
      </c>
      <c r="N8517">
        <v>1190.8848</v>
      </c>
      <c r="O8517" s="1" t="s">
        <v>40</v>
      </c>
      <c r="P8517" s="1" t="s">
        <v>15743</v>
      </c>
      <c r="Q8517" s="1" t="s">
        <v>15744</v>
      </c>
      <c r="R8517" s="1" t="s">
        <v>43</v>
      </c>
      <c r="S8517" s="1" t="s">
        <v>1741</v>
      </c>
      <c r="T8517" s="1" t="s">
        <v>1742</v>
      </c>
      <c r="U8517" s="2" t="s">
        <v>1109</v>
      </c>
      <c r="V8517" s="2" t="s">
        <v>36</v>
      </c>
      <c r="W8517" s="2" t="s">
        <v>60</v>
      </c>
      <c r="X8517" s="2">
        <v>99.68</v>
      </c>
    </row>
    <row r="8518" spans="1:24" x14ac:dyDescent="0.3">
      <c r="A8518">
        <v>26313</v>
      </c>
      <c r="B8518" t="s">
        <v>15745</v>
      </c>
      <c r="C8518" s="3">
        <v>41233</v>
      </c>
      <c r="D8518" t="s">
        <v>148</v>
      </c>
      <c r="E8518">
        <v>29</v>
      </c>
      <c r="F8518" s="3">
        <f ca="1">41234+(RANDBETWEEN(1,10))</f>
        <v>41235</v>
      </c>
      <c r="G8518" t="s">
        <v>26</v>
      </c>
      <c r="H8518" t="s">
        <v>27</v>
      </c>
      <c r="I8518" t="s">
        <v>97</v>
      </c>
      <c r="J8518">
        <v>1190.42</v>
      </c>
      <c r="K8518">
        <v>7.0000000000000007E-2</v>
      </c>
      <c r="L8518">
        <v>0.35</v>
      </c>
      <c r="M8518">
        <v>24.395</v>
      </c>
      <c r="N8518">
        <v>6.3140000000000001</v>
      </c>
      <c r="O8518" s="1" t="s">
        <v>64</v>
      </c>
      <c r="P8518" s="1" t="s">
        <v>15746</v>
      </c>
      <c r="Q8518" s="1" t="s">
        <v>15747</v>
      </c>
      <c r="R8518" s="1" t="s">
        <v>128</v>
      </c>
      <c r="S8518" s="1" t="s">
        <v>592</v>
      </c>
      <c r="T8518" s="1" t="s">
        <v>593</v>
      </c>
      <c r="U8518" s="2" t="s">
        <v>2886</v>
      </c>
      <c r="V8518" s="2" t="s">
        <v>47</v>
      </c>
      <c r="W8518" s="2" t="s">
        <v>48</v>
      </c>
      <c r="X8518" s="2">
        <v>40.53</v>
      </c>
    </row>
    <row r="8519" spans="1:24" x14ac:dyDescent="0.3">
      <c r="A8519">
        <v>26314</v>
      </c>
      <c r="B8519" t="s">
        <v>15748</v>
      </c>
      <c r="C8519" s="3">
        <v>41751</v>
      </c>
      <c r="D8519" t="s">
        <v>62</v>
      </c>
      <c r="E8519">
        <v>5</v>
      </c>
      <c r="F8519" s="3">
        <f ca="1">41753+(RANDBETWEEN(1,10))</f>
        <v>41758</v>
      </c>
      <c r="G8519" t="s">
        <v>156</v>
      </c>
      <c r="H8519" t="s">
        <v>27</v>
      </c>
      <c r="I8519" t="s">
        <v>86</v>
      </c>
      <c r="J8519">
        <v>842.90499999999997</v>
      </c>
      <c r="K8519">
        <v>0.06</v>
      </c>
      <c r="L8519">
        <v>0.37</v>
      </c>
      <c r="M8519">
        <v>25.305</v>
      </c>
      <c r="N8519">
        <v>581.60445000000004</v>
      </c>
      <c r="O8519" s="1" t="s">
        <v>225</v>
      </c>
      <c r="P8519" s="1" t="s">
        <v>15749</v>
      </c>
      <c r="Q8519" s="1" t="s">
        <v>15750</v>
      </c>
      <c r="R8519" s="1" t="s">
        <v>228</v>
      </c>
      <c r="S8519" s="1" t="s">
        <v>986</v>
      </c>
      <c r="T8519" s="1" t="s">
        <v>987</v>
      </c>
      <c r="U8519" s="2" t="s">
        <v>2593</v>
      </c>
      <c r="V8519" s="2" t="s">
        <v>47</v>
      </c>
      <c r="W8519" s="2" t="s">
        <v>74</v>
      </c>
      <c r="X8519" s="2">
        <v>168.14</v>
      </c>
    </row>
    <row r="8520" spans="1:24" x14ac:dyDescent="0.3">
      <c r="A8520">
        <v>26315</v>
      </c>
      <c r="B8520" t="s">
        <v>15751</v>
      </c>
      <c r="C8520" s="3">
        <v>40861</v>
      </c>
      <c r="D8520" t="s">
        <v>62</v>
      </c>
      <c r="E8520">
        <v>35</v>
      </c>
      <c r="F8520" s="3">
        <f ca="1">40863+(RANDBETWEEN(1,10))</f>
        <v>40868</v>
      </c>
      <c r="G8520" t="s">
        <v>26</v>
      </c>
      <c r="H8520" t="s">
        <v>27</v>
      </c>
      <c r="I8520" t="s">
        <v>86</v>
      </c>
      <c r="J8520">
        <v>17718.715</v>
      </c>
      <c r="K8520">
        <v>7.0000000000000007E-2</v>
      </c>
      <c r="L8520">
        <v>0.74</v>
      </c>
      <c r="M8520">
        <v>22.75</v>
      </c>
      <c r="N8520">
        <v>601.43579999999997</v>
      </c>
      <c r="O8520" s="1" t="s">
        <v>53</v>
      </c>
      <c r="P8520" s="1" t="s">
        <v>8039</v>
      </c>
      <c r="Q8520" s="1" t="s">
        <v>8040</v>
      </c>
      <c r="R8520" s="1" t="s">
        <v>440</v>
      </c>
      <c r="S8520" s="1" t="s">
        <v>2892</v>
      </c>
      <c r="T8520" s="1" t="s">
        <v>2893</v>
      </c>
      <c r="U8520" s="2" t="s">
        <v>192</v>
      </c>
      <c r="V8520" s="2" t="s">
        <v>36</v>
      </c>
      <c r="W8520" s="2" t="s">
        <v>60</v>
      </c>
      <c r="X8520" s="2">
        <v>533.67999999999995</v>
      </c>
    </row>
    <row r="8521" spans="1:24" x14ac:dyDescent="0.3">
      <c r="A8521">
        <v>26316</v>
      </c>
      <c r="B8521" t="s">
        <v>15752</v>
      </c>
      <c r="C8521" s="3">
        <v>41776</v>
      </c>
      <c r="D8521" t="s">
        <v>148</v>
      </c>
      <c r="E8521">
        <v>8</v>
      </c>
      <c r="F8521" s="3">
        <f ca="1">41778+(RANDBETWEEN(1,10))</f>
        <v>41783</v>
      </c>
      <c r="G8521" t="s">
        <v>26</v>
      </c>
      <c r="H8521" t="s">
        <v>27</v>
      </c>
      <c r="I8521" t="s">
        <v>97</v>
      </c>
      <c r="J8521">
        <v>2443.14</v>
      </c>
      <c r="K8521">
        <v>0</v>
      </c>
      <c r="L8521">
        <v>0.45</v>
      </c>
      <c r="M8521">
        <v>21.454999999999998</v>
      </c>
      <c r="N8521">
        <v>1685.7665999999999</v>
      </c>
      <c r="O8521" s="1" t="s">
        <v>53</v>
      </c>
      <c r="P8521" s="1" t="s">
        <v>12650</v>
      </c>
      <c r="Q8521" s="1" t="s">
        <v>12651</v>
      </c>
      <c r="R8521" s="1" t="s">
        <v>440</v>
      </c>
      <c r="S8521" s="1" t="s">
        <v>1172</v>
      </c>
      <c r="T8521" s="1" t="s">
        <v>12652</v>
      </c>
      <c r="U8521" s="2" t="s">
        <v>3335</v>
      </c>
      <c r="V8521" s="2" t="s">
        <v>36</v>
      </c>
      <c r="W8521" s="2" t="s">
        <v>60</v>
      </c>
      <c r="X8521" s="2">
        <v>290.85000000000002</v>
      </c>
    </row>
    <row r="8522" spans="1:24" x14ac:dyDescent="0.3">
      <c r="A8522">
        <v>26317</v>
      </c>
      <c r="B8522" t="s">
        <v>15752</v>
      </c>
      <c r="C8522" s="3">
        <v>41776</v>
      </c>
      <c r="D8522" t="s">
        <v>148</v>
      </c>
      <c r="E8522">
        <v>15</v>
      </c>
      <c r="F8522" s="3">
        <f ca="1">41779+(RANDBETWEEN(1,10))</f>
        <v>41785</v>
      </c>
      <c r="G8522" t="s">
        <v>26</v>
      </c>
      <c r="H8522" t="s">
        <v>96</v>
      </c>
      <c r="I8522" t="s">
        <v>97</v>
      </c>
      <c r="J8522">
        <v>1956.22</v>
      </c>
      <c r="K8522">
        <v>0.04</v>
      </c>
      <c r="L8522">
        <v>0.38</v>
      </c>
      <c r="M8522">
        <v>17.78</v>
      </c>
      <c r="N8522">
        <v>1349.7918</v>
      </c>
      <c r="O8522" s="1" t="s">
        <v>53</v>
      </c>
      <c r="P8522" s="1" t="s">
        <v>12650</v>
      </c>
      <c r="Q8522" s="1" t="s">
        <v>12651</v>
      </c>
      <c r="R8522" s="1" t="s">
        <v>440</v>
      </c>
      <c r="S8522" s="1" t="s">
        <v>1172</v>
      </c>
      <c r="T8522" s="1" t="s">
        <v>12652</v>
      </c>
      <c r="U8522" s="2" t="s">
        <v>2638</v>
      </c>
      <c r="V8522" s="2" t="s">
        <v>47</v>
      </c>
      <c r="W8522" s="2" t="s">
        <v>74</v>
      </c>
      <c r="X8522" s="2">
        <v>132.79</v>
      </c>
    </row>
    <row r="8523" spans="1:24" x14ac:dyDescent="0.3">
      <c r="A8523">
        <v>26318</v>
      </c>
      <c r="B8523" t="s">
        <v>15753</v>
      </c>
      <c r="C8523" s="3">
        <v>41161</v>
      </c>
      <c r="D8523" t="s">
        <v>39</v>
      </c>
      <c r="E8523">
        <v>16</v>
      </c>
      <c r="F8523" s="3">
        <f ca="1">41162+(RANDBETWEEN(1,10))</f>
        <v>41164</v>
      </c>
      <c r="G8523" t="s">
        <v>76</v>
      </c>
      <c r="H8523" t="s">
        <v>77</v>
      </c>
      <c r="I8523" t="s">
        <v>52</v>
      </c>
      <c r="J8523">
        <v>5603.29</v>
      </c>
      <c r="K8523">
        <v>0.05</v>
      </c>
      <c r="L8523">
        <v>0.69</v>
      </c>
      <c r="M8523">
        <v>157.5</v>
      </c>
      <c r="N8523">
        <v>-2548.63</v>
      </c>
      <c r="O8523" s="1" t="s">
        <v>29</v>
      </c>
      <c r="P8523" s="1" t="s">
        <v>11296</v>
      </c>
      <c r="Q8523" s="1" t="s">
        <v>11297</v>
      </c>
      <c r="R8523" s="1" t="s">
        <v>32</v>
      </c>
      <c r="S8523" s="1" t="s">
        <v>3409</v>
      </c>
      <c r="T8523" s="1" t="s">
        <v>11298</v>
      </c>
      <c r="U8523" s="2" t="s">
        <v>11353</v>
      </c>
      <c r="V8523" s="2" t="s">
        <v>83</v>
      </c>
      <c r="W8523" s="2" t="s">
        <v>84</v>
      </c>
      <c r="X8523" s="2">
        <v>353.43</v>
      </c>
    </row>
    <row r="8524" spans="1:24" x14ac:dyDescent="0.3">
      <c r="A8524">
        <v>26319</v>
      </c>
      <c r="B8524" t="s">
        <v>15753</v>
      </c>
      <c r="C8524" s="3">
        <v>41161</v>
      </c>
      <c r="D8524" t="s">
        <v>39</v>
      </c>
      <c r="E8524">
        <v>20</v>
      </c>
      <c r="F8524" s="3">
        <f ca="1">41161+(RANDBETWEEN(1,10))</f>
        <v>41168</v>
      </c>
      <c r="G8524" t="s">
        <v>26</v>
      </c>
      <c r="H8524" t="s">
        <v>27</v>
      </c>
      <c r="I8524" t="s">
        <v>52</v>
      </c>
      <c r="J8524">
        <v>1912.68</v>
      </c>
      <c r="K8524">
        <v>0.02</v>
      </c>
      <c r="L8524">
        <v>0.44</v>
      </c>
      <c r="M8524">
        <v>68.11</v>
      </c>
      <c r="N8524">
        <v>-440.26499999999999</v>
      </c>
      <c r="O8524" s="1" t="s">
        <v>29</v>
      </c>
      <c r="P8524" s="1" t="s">
        <v>11296</v>
      </c>
      <c r="Q8524" s="1" t="s">
        <v>11297</v>
      </c>
      <c r="R8524" s="1" t="s">
        <v>32</v>
      </c>
      <c r="S8524" s="1" t="s">
        <v>3409</v>
      </c>
      <c r="T8524" s="1" t="s">
        <v>11298</v>
      </c>
      <c r="U8524" s="2" t="s">
        <v>3998</v>
      </c>
      <c r="V8524" s="2" t="s">
        <v>83</v>
      </c>
      <c r="W8524" s="2" t="s">
        <v>178</v>
      </c>
      <c r="X8524" s="2">
        <v>95.97</v>
      </c>
    </row>
    <row r="8525" spans="1:24" x14ac:dyDescent="0.3">
      <c r="A8525">
        <v>26320</v>
      </c>
      <c r="B8525" t="s">
        <v>15754</v>
      </c>
      <c r="C8525" s="3">
        <v>41647</v>
      </c>
      <c r="D8525" t="s">
        <v>25</v>
      </c>
      <c r="E8525">
        <v>8</v>
      </c>
      <c r="F8525" s="3">
        <f ca="1">41647+(RANDBETWEEN(1,10))</f>
        <v>41653</v>
      </c>
      <c r="G8525" t="s">
        <v>26</v>
      </c>
      <c r="H8525" t="s">
        <v>63</v>
      </c>
      <c r="I8525" t="s">
        <v>97</v>
      </c>
      <c r="J8525">
        <v>170.73</v>
      </c>
      <c r="K8525">
        <v>0.06</v>
      </c>
      <c r="L8525">
        <v>0.6</v>
      </c>
      <c r="M8525">
        <v>171.5</v>
      </c>
      <c r="N8525">
        <v>98.903700000000001</v>
      </c>
      <c r="O8525" s="1" t="s">
        <v>53</v>
      </c>
      <c r="P8525" s="1" t="s">
        <v>10087</v>
      </c>
      <c r="Q8525" s="1" t="s">
        <v>10088</v>
      </c>
      <c r="R8525" s="1" t="s">
        <v>100</v>
      </c>
      <c r="S8525" s="1" t="s">
        <v>10089</v>
      </c>
      <c r="T8525" s="1" t="s">
        <v>10090</v>
      </c>
      <c r="U8525" s="2" t="s">
        <v>919</v>
      </c>
      <c r="V8525" s="2" t="s">
        <v>47</v>
      </c>
      <c r="W8525" s="2" t="s">
        <v>71</v>
      </c>
      <c r="X8525" s="2">
        <v>15.68</v>
      </c>
    </row>
    <row r="8526" spans="1:24" x14ac:dyDescent="0.3">
      <c r="A8526">
        <v>26321</v>
      </c>
      <c r="B8526" t="s">
        <v>15755</v>
      </c>
      <c r="C8526" s="3">
        <v>40578</v>
      </c>
      <c r="D8526" t="s">
        <v>148</v>
      </c>
      <c r="E8526">
        <v>10</v>
      </c>
      <c r="F8526" s="3">
        <f ca="1">40579+(RANDBETWEEN(1,10))</f>
        <v>40580</v>
      </c>
      <c r="G8526" t="s">
        <v>26</v>
      </c>
      <c r="H8526" t="s">
        <v>51</v>
      </c>
      <c r="I8526" t="s">
        <v>86</v>
      </c>
      <c r="J8526">
        <v>60.97</v>
      </c>
      <c r="K8526">
        <v>7.0000000000000007E-2</v>
      </c>
      <c r="L8526">
        <v>0.51</v>
      </c>
      <c r="M8526">
        <v>6.9649999999999999</v>
      </c>
      <c r="N8526">
        <v>-179.97</v>
      </c>
      <c r="O8526" s="1" t="s">
        <v>40</v>
      </c>
      <c r="P8526" s="1" t="s">
        <v>11421</v>
      </c>
      <c r="Q8526" s="1" t="s">
        <v>11422</v>
      </c>
      <c r="R8526" s="1" t="s">
        <v>220</v>
      </c>
      <c r="S8526" s="1" t="s">
        <v>3354</v>
      </c>
      <c r="T8526" s="1" t="s">
        <v>7424</v>
      </c>
      <c r="U8526" s="2" t="s">
        <v>6841</v>
      </c>
      <c r="V8526" s="2" t="s">
        <v>36</v>
      </c>
      <c r="W8526" s="2" t="s">
        <v>60</v>
      </c>
      <c r="X8526" s="2">
        <v>5.95</v>
      </c>
    </row>
    <row r="8527" spans="1:24" x14ac:dyDescent="0.3">
      <c r="A8527">
        <v>26322</v>
      </c>
      <c r="B8527" t="s">
        <v>15756</v>
      </c>
      <c r="C8527" s="3">
        <v>41722</v>
      </c>
      <c r="D8527" t="s">
        <v>39</v>
      </c>
      <c r="E8527">
        <v>2</v>
      </c>
      <c r="F8527" s="3">
        <f ca="1">41723+(RANDBETWEEN(1,10))</f>
        <v>41728</v>
      </c>
      <c r="G8527" t="s">
        <v>26</v>
      </c>
      <c r="H8527" t="s">
        <v>27</v>
      </c>
      <c r="I8527" t="s">
        <v>97</v>
      </c>
      <c r="J8527">
        <v>28.28</v>
      </c>
      <c r="K8527">
        <v>0.09</v>
      </c>
      <c r="L8527">
        <v>0.37</v>
      </c>
      <c r="M8527">
        <v>19.145</v>
      </c>
      <c r="N8527">
        <v>550.34699999999998</v>
      </c>
      <c r="O8527" s="1" t="s">
        <v>64</v>
      </c>
      <c r="P8527" s="1" t="s">
        <v>10329</v>
      </c>
      <c r="Q8527" s="1" t="s">
        <v>10330</v>
      </c>
      <c r="R8527" s="1" t="s">
        <v>128</v>
      </c>
      <c r="S8527" s="1" t="s">
        <v>10331</v>
      </c>
      <c r="T8527" s="1" t="s">
        <v>10332</v>
      </c>
      <c r="U8527" s="2" t="s">
        <v>879</v>
      </c>
      <c r="V8527" s="2" t="s">
        <v>47</v>
      </c>
      <c r="W8527" s="2" t="s">
        <v>111</v>
      </c>
      <c r="X8527" s="2">
        <v>12.53</v>
      </c>
    </row>
    <row r="8528" spans="1:24" x14ac:dyDescent="0.3">
      <c r="A8528">
        <v>26323</v>
      </c>
      <c r="B8528" t="s">
        <v>15756</v>
      </c>
      <c r="C8528" s="3">
        <v>41722</v>
      </c>
      <c r="D8528" t="s">
        <v>39</v>
      </c>
      <c r="E8528">
        <v>2</v>
      </c>
      <c r="F8528" s="3">
        <f ca="1">41722+(RANDBETWEEN(1,10))</f>
        <v>41732</v>
      </c>
      <c r="G8528" t="s">
        <v>26</v>
      </c>
      <c r="H8528" t="s">
        <v>27</v>
      </c>
      <c r="I8528" t="s">
        <v>97</v>
      </c>
      <c r="J8528">
        <v>67.55</v>
      </c>
      <c r="K8528">
        <v>0.03</v>
      </c>
      <c r="L8528">
        <v>0.36</v>
      </c>
      <c r="M8528">
        <v>40.284999999999997</v>
      </c>
      <c r="N8528">
        <v>5739.384</v>
      </c>
      <c r="O8528" s="1" t="s">
        <v>64</v>
      </c>
      <c r="P8528" s="1" t="s">
        <v>10329</v>
      </c>
      <c r="Q8528" s="1" t="s">
        <v>10330</v>
      </c>
      <c r="R8528" s="1" t="s">
        <v>128</v>
      </c>
      <c r="S8528" s="1" t="s">
        <v>10331</v>
      </c>
      <c r="T8528" s="1" t="s">
        <v>10332</v>
      </c>
      <c r="U8528" s="2" t="s">
        <v>5565</v>
      </c>
      <c r="V8528" s="2" t="s">
        <v>47</v>
      </c>
      <c r="W8528" s="2" t="s">
        <v>111</v>
      </c>
      <c r="X8528" s="2">
        <v>25.83</v>
      </c>
    </row>
    <row r="8529" spans="1:24" x14ac:dyDescent="0.3">
      <c r="A8529">
        <v>26324</v>
      </c>
      <c r="B8529" t="s">
        <v>15756</v>
      </c>
      <c r="C8529" s="3">
        <v>41722</v>
      </c>
      <c r="D8529" t="s">
        <v>39</v>
      </c>
      <c r="E8529">
        <v>12</v>
      </c>
      <c r="F8529" s="3">
        <f ca="1">41724+(RANDBETWEEN(1,10))</f>
        <v>41727</v>
      </c>
      <c r="G8529" t="s">
        <v>26</v>
      </c>
      <c r="H8529" t="s">
        <v>51</v>
      </c>
      <c r="I8529" t="s">
        <v>97</v>
      </c>
      <c r="J8529">
        <v>514.01</v>
      </c>
      <c r="K8529">
        <v>0.06</v>
      </c>
      <c r="L8529">
        <v>0.55000000000000004</v>
      </c>
      <c r="M8529">
        <v>9.9749999999999996</v>
      </c>
      <c r="N8529">
        <v>-584.86400000000003</v>
      </c>
      <c r="O8529" s="1" t="s">
        <v>64</v>
      </c>
      <c r="P8529" s="1" t="s">
        <v>10329</v>
      </c>
      <c r="Q8529" s="1" t="s">
        <v>10330</v>
      </c>
      <c r="R8529" s="1" t="s">
        <v>128</v>
      </c>
      <c r="S8529" s="1" t="s">
        <v>10331</v>
      </c>
      <c r="T8529" s="1" t="s">
        <v>10332</v>
      </c>
      <c r="U8529" s="2" t="s">
        <v>3256</v>
      </c>
      <c r="V8529" s="2" t="s">
        <v>83</v>
      </c>
      <c r="W8529" s="2" t="s">
        <v>178</v>
      </c>
      <c r="X8529" s="2">
        <v>42.77</v>
      </c>
    </row>
    <row r="8530" spans="1:24" x14ac:dyDescent="0.3">
      <c r="A8530">
        <v>26325</v>
      </c>
      <c r="B8530" t="s">
        <v>15756</v>
      </c>
      <c r="C8530" s="3">
        <v>41722</v>
      </c>
      <c r="D8530" t="s">
        <v>39</v>
      </c>
      <c r="E8530">
        <v>8</v>
      </c>
      <c r="F8530" s="3">
        <f ca="1">41725+(RANDBETWEEN(1,10))</f>
        <v>41734</v>
      </c>
      <c r="G8530" t="s">
        <v>26</v>
      </c>
      <c r="H8530" t="s">
        <v>27</v>
      </c>
      <c r="I8530" t="s">
        <v>97</v>
      </c>
      <c r="J8530">
        <v>11263.49</v>
      </c>
      <c r="K8530">
        <v>0.04</v>
      </c>
      <c r="L8530">
        <v>0.38</v>
      </c>
      <c r="M8530">
        <v>69.965000000000003</v>
      </c>
      <c r="N8530">
        <v>7771.8081000000002</v>
      </c>
      <c r="O8530" s="1" t="s">
        <v>87</v>
      </c>
      <c r="P8530" s="1" t="s">
        <v>15757</v>
      </c>
      <c r="Q8530" s="1" t="s">
        <v>15758</v>
      </c>
      <c r="R8530" s="1" t="s">
        <v>497</v>
      </c>
      <c r="S8530" s="1" t="s">
        <v>5186</v>
      </c>
      <c r="T8530" s="1" t="s">
        <v>5187</v>
      </c>
      <c r="U8530" s="2" t="s">
        <v>5575</v>
      </c>
      <c r="V8530" s="2" t="s">
        <v>47</v>
      </c>
      <c r="W8530" s="2" t="s">
        <v>111</v>
      </c>
      <c r="X8530" s="2">
        <v>1357.9649999999999</v>
      </c>
    </row>
    <row r="8531" spans="1:24" x14ac:dyDescent="0.3">
      <c r="A8531">
        <v>26326</v>
      </c>
      <c r="B8531" t="s">
        <v>15759</v>
      </c>
      <c r="C8531" s="3">
        <v>41943</v>
      </c>
      <c r="D8531" t="s">
        <v>50</v>
      </c>
      <c r="E8531">
        <v>13</v>
      </c>
      <c r="F8531" s="3">
        <f ca="1">41944+(RANDBETWEEN(1,10))</f>
        <v>41954</v>
      </c>
      <c r="G8531" t="s">
        <v>26</v>
      </c>
      <c r="H8531" t="s">
        <v>27</v>
      </c>
      <c r="I8531" t="s">
        <v>97</v>
      </c>
      <c r="J8531">
        <v>310.13499999999999</v>
      </c>
      <c r="K8531">
        <v>0.02</v>
      </c>
      <c r="L8531">
        <v>0.37</v>
      </c>
      <c r="M8531">
        <v>35.174999999999997</v>
      </c>
      <c r="N8531">
        <v>-147.09800000000001</v>
      </c>
      <c r="O8531" s="1" t="s">
        <v>29</v>
      </c>
      <c r="P8531" s="1" t="s">
        <v>10312</v>
      </c>
      <c r="Q8531" s="1" t="s">
        <v>10313</v>
      </c>
      <c r="R8531" s="1" t="s">
        <v>32</v>
      </c>
      <c r="S8531" s="1" t="s">
        <v>4868</v>
      </c>
      <c r="T8531" s="1" t="s">
        <v>4869</v>
      </c>
      <c r="U8531" s="2" t="s">
        <v>635</v>
      </c>
      <c r="V8531" s="2" t="s">
        <v>47</v>
      </c>
      <c r="W8531" s="2" t="s">
        <v>74</v>
      </c>
      <c r="X8531" s="2">
        <v>22.68</v>
      </c>
    </row>
    <row r="8532" spans="1:24" x14ac:dyDescent="0.3">
      <c r="A8532">
        <v>26327</v>
      </c>
      <c r="B8532" t="s">
        <v>15760</v>
      </c>
      <c r="C8532" s="3">
        <v>40921</v>
      </c>
      <c r="D8532" t="s">
        <v>50</v>
      </c>
      <c r="E8532">
        <v>10</v>
      </c>
      <c r="F8532" s="3">
        <f ca="1">40922+(RANDBETWEEN(1,10))</f>
        <v>40926</v>
      </c>
      <c r="G8532" t="s">
        <v>26</v>
      </c>
      <c r="H8532" t="s">
        <v>27</v>
      </c>
      <c r="I8532" t="s">
        <v>97</v>
      </c>
      <c r="J8532">
        <v>282.02999999999997</v>
      </c>
      <c r="K8532">
        <v>0</v>
      </c>
      <c r="L8532">
        <v>0.4</v>
      </c>
      <c r="M8532">
        <v>21.98</v>
      </c>
      <c r="N8532">
        <v>-308.34397999999999</v>
      </c>
      <c r="O8532" s="1" t="s">
        <v>87</v>
      </c>
      <c r="P8532" s="1" t="s">
        <v>15761</v>
      </c>
      <c r="Q8532" s="1" t="s">
        <v>15762</v>
      </c>
      <c r="R8532" s="1" t="s">
        <v>90</v>
      </c>
      <c r="S8532" s="1" t="s">
        <v>1330</v>
      </c>
      <c r="T8532" s="1" t="s">
        <v>1331</v>
      </c>
      <c r="U8532" s="2" t="s">
        <v>1807</v>
      </c>
      <c r="V8532" s="2" t="s">
        <v>47</v>
      </c>
      <c r="W8532" s="2" t="s">
        <v>111</v>
      </c>
      <c r="X8532" s="2">
        <v>26.074999999999999</v>
      </c>
    </row>
    <row r="8533" spans="1:24" x14ac:dyDescent="0.3">
      <c r="A8533">
        <v>26328</v>
      </c>
      <c r="B8533" t="s">
        <v>15763</v>
      </c>
      <c r="C8533" s="3">
        <v>41225</v>
      </c>
      <c r="D8533" t="s">
        <v>50</v>
      </c>
      <c r="E8533">
        <v>13</v>
      </c>
      <c r="F8533" s="3">
        <f ca="1">41226+(RANDBETWEEN(1,10))</f>
        <v>41231</v>
      </c>
      <c r="G8533" t="s">
        <v>26</v>
      </c>
      <c r="H8533" t="s">
        <v>27</v>
      </c>
      <c r="I8533" t="s">
        <v>86</v>
      </c>
      <c r="J8533">
        <v>520.41499999999996</v>
      </c>
      <c r="K8533">
        <v>0.04</v>
      </c>
      <c r="L8533">
        <v>0.36</v>
      </c>
      <c r="M8533">
        <v>17.535</v>
      </c>
      <c r="N8533">
        <v>96.25</v>
      </c>
      <c r="O8533" s="1" t="s">
        <v>225</v>
      </c>
      <c r="P8533" s="1" t="s">
        <v>14721</v>
      </c>
      <c r="Q8533" s="1" t="s">
        <v>14722</v>
      </c>
      <c r="R8533" s="1" t="s">
        <v>228</v>
      </c>
      <c r="S8533" s="1" t="s">
        <v>13416</v>
      </c>
      <c r="T8533" s="1" t="s">
        <v>13417</v>
      </c>
      <c r="U8533" s="2" t="s">
        <v>4556</v>
      </c>
      <c r="V8533" s="2" t="s">
        <v>47</v>
      </c>
      <c r="W8533" s="2" t="s">
        <v>74</v>
      </c>
      <c r="X8533" s="2">
        <v>39.69</v>
      </c>
    </row>
    <row r="8534" spans="1:24" x14ac:dyDescent="0.3">
      <c r="A8534">
        <v>26329</v>
      </c>
      <c r="B8534" t="s">
        <v>15763</v>
      </c>
      <c r="C8534" s="3">
        <v>41225</v>
      </c>
      <c r="D8534" t="s">
        <v>50</v>
      </c>
      <c r="E8534">
        <v>36</v>
      </c>
      <c r="F8534" s="3">
        <f ca="1">41227+(RANDBETWEEN(1,10))</f>
        <v>41233</v>
      </c>
      <c r="G8534" t="s">
        <v>26</v>
      </c>
      <c r="H8534" t="s">
        <v>27</v>
      </c>
      <c r="I8534" t="s">
        <v>86</v>
      </c>
      <c r="J8534">
        <v>6510.91</v>
      </c>
      <c r="K8534">
        <v>0.1</v>
      </c>
      <c r="L8534">
        <v>0.56000000000000005</v>
      </c>
      <c r="M8534">
        <v>31.465</v>
      </c>
      <c r="N8534">
        <v>2035.2717</v>
      </c>
      <c r="O8534" s="1" t="s">
        <v>225</v>
      </c>
      <c r="P8534" s="1" t="s">
        <v>14721</v>
      </c>
      <c r="Q8534" s="1" t="s">
        <v>14722</v>
      </c>
      <c r="R8534" s="1" t="s">
        <v>228</v>
      </c>
      <c r="S8534" s="1" t="s">
        <v>13416</v>
      </c>
      <c r="T8534" s="1" t="s">
        <v>13417</v>
      </c>
      <c r="U8534" s="2">
        <v>5180</v>
      </c>
      <c r="V8534" s="2" t="s">
        <v>36</v>
      </c>
      <c r="W8534" s="2" t="s">
        <v>37</v>
      </c>
      <c r="X8534" s="2">
        <v>230.965</v>
      </c>
    </row>
    <row r="8535" spans="1:24" x14ac:dyDescent="0.3">
      <c r="A8535">
        <v>26330</v>
      </c>
      <c r="B8535" t="s">
        <v>15764</v>
      </c>
      <c r="C8535" s="3">
        <v>41593</v>
      </c>
      <c r="D8535" t="s">
        <v>62</v>
      </c>
      <c r="E8535">
        <v>34</v>
      </c>
      <c r="F8535" s="3">
        <f ca="1">41594+(RANDBETWEEN(1,10))</f>
        <v>41598</v>
      </c>
      <c r="G8535" t="s">
        <v>26</v>
      </c>
      <c r="H8535" t="s">
        <v>27</v>
      </c>
      <c r="I8535" t="s">
        <v>52</v>
      </c>
      <c r="J8535">
        <v>2137.835</v>
      </c>
      <c r="K8535">
        <v>0.08</v>
      </c>
      <c r="L8535">
        <v>0.79</v>
      </c>
      <c r="M8535">
        <v>14</v>
      </c>
      <c r="N8535">
        <v>57.042999999999999</v>
      </c>
      <c r="O8535" s="1" t="s">
        <v>29</v>
      </c>
      <c r="P8535" s="1" t="s">
        <v>15233</v>
      </c>
      <c r="Q8535" s="1" t="s">
        <v>15234</v>
      </c>
      <c r="R8535" s="1" t="s">
        <v>32</v>
      </c>
      <c r="S8535" s="1" t="s">
        <v>2291</v>
      </c>
      <c r="T8535" s="1" t="s">
        <v>2292</v>
      </c>
      <c r="U8535" s="2" t="s">
        <v>4938</v>
      </c>
      <c r="V8535" s="2" t="s">
        <v>36</v>
      </c>
      <c r="W8535" s="2" t="s">
        <v>60</v>
      </c>
      <c r="X8535" s="2">
        <v>62.93</v>
      </c>
    </row>
    <row r="8536" spans="1:24" x14ac:dyDescent="0.3">
      <c r="A8536">
        <v>26331</v>
      </c>
      <c r="B8536" t="s">
        <v>15765</v>
      </c>
      <c r="C8536" s="3">
        <v>40892</v>
      </c>
      <c r="D8536" t="s">
        <v>50</v>
      </c>
      <c r="E8536">
        <v>12</v>
      </c>
      <c r="F8536" s="3">
        <f ca="1">40894+(RANDBETWEEN(1,10))</f>
        <v>40897</v>
      </c>
      <c r="G8536" t="s">
        <v>26</v>
      </c>
      <c r="H8536" t="s">
        <v>96</v>
      </c>
      <c r="I8536" t="s">
        <v>97</v>
      </c>
      <c r="J8536">
        <v>67.62</v>
      </c>
      <c r="K8536">
        <v>0</v>
      </c>
      <c r="L8536">
        <v>0.37</v>
      </c>
      <c r="M8536">
        <v>2.4500000000000002</v>
      </c>
      <c r="N8536">
        <v>-710.84299999999996</v>
      </c>
      <c r="O8536" s="1" t="s">
        <v>225</v>
      </c>
      <c r="P8536" s="1" t="s">
        <v>11878</v>
      </c>
      <c r="Q8536" s="1" t="s">
        <v>11879</v>
      </c>
      <c r="R8536" s="1" t="s">
        <v>228</v>
      </c>
      <c r="S8536" s="1" t="s">
        <v>3618</v>
      </c>
      <c r="T8536" s="1" t="s">
        <v>3619</v>
      </c>
      <c r="U8536" s="2" t="s">
        <v>3561</v>
      </c>
      <c r="V8536" s="2" t="s">
        <v>47</v>
      </c>
      <c r="W8536" s="2" t="s">
        <v>176</v>
      </c>
      <c r="X8536" s="2">
        <v>5.18</v>
      </c>
    </row>
    <row r="8537" spans="1:24" x14ac:dyDescent="0.3">
      <c r="A8537">
        <v>26332</v>
      </c>
      <c r="B8537" t="s">
        <v>15766</v>
      </c>
      <c r="C8537" s="3">
        <v>41988</v>
      </c>
      <c r="D8537" t="s">
        <v>50</v>
      </c>
      <c r="E8537">
        <v>3</v>
      </c>
      <c r="F8537" s="3">
        <f ca="1">41989+(RANDBETWEEN(1,10))</f>
        <v>41999</v>
      </c>
      <c r="G8537" t="s">
        <v>26</v>
      </c>
      <c r="H8537" t="s">
        <v>27</v>
      </c>
      <c r="I8537" t="s">
        <v>97</v>
      </c>
      <c r="J8537">
        <v>1948.7650000000001</v>
      </c>
      <c r="K8537">
        <v>0</v>
      </c>
      <c r="L8537">
        <v>0.56000000000000005</v>
      </c>
      <c r="M8537">
        <v>31.465</v>
      </c>
      <c r="N8537">
        <v>393.48540000000003</v>
      </c>
      <c r="O8537" s="1" t="s">
        <v>225</v>
      </c>
      <c r="P8537" s="1" t="s">
        <v>11878</v>
      </c>
      <c r="Q8537" s="1" t="s">
        <v>11879</v>
      </c>
      <c r="R8537" s="1" t="s">
        <v>228</v>
      </c>
      <c r="S8537" s="1" t="s">
        <v>3618</v>
      </c>
      <c r="T8537" s="1" t="s">
        <v>3619</v>
      </c>
      <c r="U8537" s="2" t="s">
        <v>4735</v>
      </c>
      <c r="V8537" s="2" t="s">
        <v>36</v>
      </c>
      <c r="W8537" s="2" t="s">
        <v>37</v>
      </c>
      <c r="X8537" s="2">
        <v>720.96500000000003</v>
      </c>
    </row>
    <row r="8538" spans="1:24" x14ac:dyDescent="0.3">
      <c r="A8538">
        <v>26333</v>
      </c>
      <c r="B8538" t="s">
        <v>15767</v>
      </c>
      <c r="C8538" s="3">
        <v>41836</v>
      </c>
      <c r="D8538" t="s">
        <v>50</v>
      </c>
      <c r="E8538">
        <v>12</v>
      </c>
      <c r="F8538" s="3">
        <f ca="1">41839+(RANDBETWEEN(1,10))</f>
        <v>41849</v>
      </c>
      <c r="G8538" t="s">
        <v>26</v>
      </c>
      <c r="H8538" t="s">
        <v>27</v>
      </c>
      <c r="I8538" t="s">
        <v>86</v>
      </c>
      <c r="J8538">
        <v>116.795</v>
      </c>
      <c r="K8538">
        <v>0</v>
      </c>
      <c r="L8538">
        <v>0.39</v>
      </c>
      <c r="M8538">
        <v>1.75</v>
      </c>
      <c r="N8538">
        <v>80.588549999999998</v>
      </c>
      <c r="O8538" s="1" t="s">
        <v>87</v>
      </c>
      <c r="P8538" s="1" t="s">
        <v>9355</v>
      </c>
      <c r="Q8538" s="1" t="s">
        <v>9356</v>
      </c>
      <c r="R8538" s="1" t="s">
        <v>646</v>
      </c>
      <c r="S8538" s="1" t="s">
        <v>1955</v>
      </c>
      <c r="T8538" s="1" t="s">
        <v>1956</v>
      </c>
      <c r="U8538" s="2" t="s">
        <v>1706</v>
      </c>
      <c r="V8538" s="2" t="s">
        <v>47</v>
      </c>
      <c r="W8538" s="2" t="s">
        <v>203</v>
      </c>
      <c r="X8538" s="2">
        <v>9.1349999999999998</v>
      </c>
    </row>
    <row r="8539" spans="1:24" x14ac:dyDescent="0.3">
      <c r="A8539">
        <v>26334</v>
      </c>
      <c r="B8539" t="s">
        <v>12289</v>
      </c>
      <c r="C8539" s="3">
        <v>41169</v>
      </c>
      <c r="D8539" t="s">
        <v>62</v>
      </c>
      <c r="E8539">
        <v>14</v>
      </c>
      <c r="F8539" s="3">
        <f ca="1">41169+(RANDBETWEEN(1,10))</f>
        <v>41175</v>
      </c>
      <c r="G8539" t="s">
        <v>156</v>
      </c>
      <c r="H8539" t="s">
        <v>51</v>
      </c>
      <c r="I8539" t="s">
        <v>97</v>
      </c>
      <c r="J8539">
        <v>648.72500000000002</v>
      </c>
      <c r="K8539">
        <v>0.1</v>
      </c>
      <c r="L8539">
        <v>0.49</v>
      </c>
      <c r="M8539">
        <v>17.5</v>
      </c>
      <c r="N8539">
        <v>26.914999999999999</v>
      </c>
      <c r="O8539" s="1" t="s">
        <v>87</v>
      </c>
      <c r="P8539" s="1" t="s">
        <v>15757</v>
      </c>
      <c r="Q8539" s="1" t="s">
        <v>15758</v>
      </c>
      <c r="R8539" s="1" t="s">
        <v>497</v>
      </c>
      <c r="S8539" s="1" t="s">
        <v>5186</v>
      </c>
      <c r="T8539" s="1" t="s">
        <v>5187</v>
      </c>
      <c r="U8539" s="2" t="s">
        <v>830</v>
      </c>
      <c r="V8539" s="2" t="s">
        <v>83</v>
      </c>
      <c r="W8539" s="2" t="s">
        <v>178</v>
      </c>
      <c r="X8539" s="2">
        <v>50.19</v>
      </c>
    </row>
    <row r="8540" spans="1:24" x14ac:dyDescent="0.3">
      <c r="A8540">
        <v>26335</v>
      </c>
      <c r="B8540" t="s">
        <v>15768</v>
      </c>
      <c r="C8540" s="3">
        <v>41057</v>
      </c>
      <c r="D8540" t="s">
        <v>148</v>
      </c>
      <c r="E8540">
        <v>1</v>
      </c>
      <c r="F8540" s="3">
        <f ca="1">41058+(RANDBETWEEN(1,10))</f>
        <v>41059</v>
      </c>
      <c r="G8540" t="s">
        <v>76</v>
      </c>
      <c r="H8540" t="s">
        <v>258</v>
      </c>
      <c r="I8540" t="s">
        <v>52</v>
      </c>
      <c r="J8540">
        <v>392.98</v>
      </c>
      <c r="K8540">
        <v>0.08</v>
      </c>
      <c r="L8540">
        <v>0.62</v>
      </c>
      <c r="M8540">
        <v>125.44</v>
      </c>
      <c r="N8540">
        <v>-561.61</v>
      </c>
      <c r="O8540" s="1" t="s">
        <v>64</v>
      </c>
      <c r="P8540" s="1" t="s">
        <v>14740</v>
      </c>
      <c r="Q8540" s="1" t="s">
        <v>14741</v>
      </c>
      <c r="R8540" s="1" t="s">
        <v>67</v>
      </c>
      <c r="S8540" s="1" t="s">
        <v>417</v>
      </c>
      <c r="T8540" s="1" t="s">
        <v>418</v>
      </c>
      <c r="U8540" s="2" t="s">
        <v>1271</v>
      </c>
      <c r="V8540" s="2" t="s">
        <v>83</v>
      </c>
      <c r="W8540" s="2" t="s">
        <v>298</v>
      </c>
      <c r="X8540" s="2">
        <v>353.43</v>
      </c>
    </row>
    <row r="8541" spans="1:24" x14ac:dyDescent="0.3">
      <c r="A8541">
        <v>26336</v>
      </c>
      <c r="B8541" t="s">
        <v>15768</v>
      </c>
      <c r="C8541" s="3">
        <v>41057</v>
      </c>
      <c r="D8541" t="s">
        <v>148</v>
      </c>
      <c r="E8541">
        <v>3</v>
      </c>
      <c r="F8541" s="3">
        <f ca="1">41057+(RANDBETWEEN(1,10))</f>
        <v>41059</v>
      </c>
      <c r="G8541" t="s">
        <v>26</v>
      </c>
      <c r="H8541" t="s">
        <v>281</v>
      </c>
      <c r="I8541" t="s">
        <v>52</v>
      </c>
      <c r="J8541">
        <v>1680.42</v>
      </c>
      <c r="K8541">
        <v>0</v>
      </c>
      <c r="L8541">
        <v>0.38</v>
      </c>
      <c r="M8541">
        <v>48.965000000000003</v>
      </c>
      <c r="N8541">
        <v>58.835000000000001</v>
      </c>
      <c r="O8541" s="1" t="s">
        <v>64</v>
      </c>
      <c r="P8541" s="1" t="s">
        <v>14740</v>
      </c>
      <c r="Q8541" s="1" t="s">
        <v>14741</v>
      </c>
      <c r="R8541" s="1" t="s">
        <v>67</v>
      </c>
      <c r="S8541" s="1" t="s">
        <v>417</v>
      </c>
      <c r="T8541" s="1" t="s">
        <v>418</v>
      </c>
      <c r="U8541" s="2" t="s">
        <v>480</v>
      </c>
      <c r="V8541" s="2" t="s">
        <v>36</v>
      </c>
      <c r="W8541" s="2" t="s">
        <v>142</v>
      </c>
      <c r="X8541" s="2">
        <v>528.42999999999995</v>
      </c>
    </row>
    <row r="8542" spans="1:24" x14ac:dyDescent="0.3">
      <c r="A8542">
        <v>26337</v>
      </c>
      <c r="B8542" t="s">
        <v>15769</v>
      </c>
      <c r="C8542" s="3">
        <v>41904</v>
      </c>
      <c r="D8542" t="s">
        <v>39</v>
      </c>
      <c r="E8542">
        <v>24</v>
      </c>
      <c r="F8542" s="3">
        <f ca="1">41905+(RANDBETWEEN(1,10))</f>
        <v>41907</v>
      </c>
      <c r="G8542" t="s">
        <v>26</v>
      </c>
      <c r="H8542" t="s">
        <v>27</v>
      </c>
      <c r="I8542" t="s">
        <v>52</v>
      </c>
      <c r="J8542">
        <v>1329.125</v>
      </c>
      <c r="K8542">
        <v>7.0000000000000007E-2</v>
      </c>
      <c r="L8542">
        <v>0.49</v>
      </c>
      <c r="M8542">
        <v>32.9</v>
      </c>
      <c r="N8542">
        <v>-357.17849999999999</v>
      </c>
      <c r="O8542" s="1" t="s">
        <v>87</v>
      </c>
      <c r="P8542" s="1" t="s">
        <v>5429</v>
      </c>
      <c r="Q8542" s="1" t="s">
        <v>5430</v>
      </c>
      <c r="R8542" s="1" t="s">
        <v>497</v>
      </c>
      <c r="S8542" s="1" t="s">
        <v>5431</v>
      </c>
      <c r="T8542" s="1" t="s">
        <v>5432</v>
      </c>
      <c r="U8542" s="2" t="s">
        <v>942</v>
      </c>
      <c r="V8542" s="2" t="s">
        <v>36</v>
      </c>
      <c r="W8542" s="2" t="s">
        <v>142</v>
      </c>
      <c r="X8542" s="2">
        <v>55.965000000000003</v>
      </c>
    </row>
    <row r="8543" spans="1:24" x14ac:dyDescent="0.3">
      <c r="A8543">
        <v>26338</v>
      </c>
      <c r="B8543" t="s">
        <v>15770</v>
      </c>
      <c r="C8543" s="3">
        <v>41705</v>
      </c>
      <c r="D8543" t="s">
        <v>25</v>
      </c>
      <c r="E8543">
        <v>6</v>
      </c>
      <c r="F8543" s="3">
        <f ca="1">41709+(RANDBETWEEN(1,10))</f>
        <v>41714</v>
      </c>
      <c r="G8543" t="s">
        <v>26</v>
      </c>
      <c r="H8543" t="s">
        <v>27</v>
      </c>
      <c r="I8543" t="s">
        <v>52</v>
      </c>
      <c r="J8543">
        <v>140.49</v>
      </c>
      <c r="K8543">
        <v>0.05</v>
      </c>
      <c r="L8543">
        <v>0.37</v>
      </c>
      <c r="M8543">
        <v>18.934999999999999</v>
      </c>
      <c r="N8543">
        <v>-151.095</v>
      </c>
      <c r="O8543" s="1" t="s">
        <v>87</v>
      </c>
      <c r="P8543" s="1" t="s">
        <v>9455</v>
      </c>
      <c r="Q8543" s="1" t="s">
        <v>9456</v>
      </c>
      <c r="R8543" s="1" t="s">
        <v>90</v>
      </c>
      <c r="S8543" s="1" t="s">
        <v>9457</v>
      </c>
      <c r="T8543" s="1" t="s">
        <v>9458</v>
      </c>
      <c r="U8543" s="2" t="s">
        <v>809</v>
      </c>
      <c r="V8543" s="2" t="s">
        <v>47</v>
      </c>
      <c r="W8543" s="2" t="s">
        <v>74</v>
      </c>
      <c r="X8543" s="2">
        <v>23.38</v>
      </c>
    </row>
    <row r="8544" spans="1:24" x14ac:dyDescent="0.3">
      <c r="A8544">
        <v>26339</v>
      </c>
      <c r="B8544" t="s">
        <v>15771</v>
      </c>
      <c r="C8544" s="3">
        <v>41740</v>
      </c>
      <c r="D8544" t="s">
        <v>148</v>
      </c>
      <c r="E8544">
        <v>6</v>
      </c>
      <c r="F8544" s="3">
        <f ca="1">41740+(RANDBETWEEN(1,10))</f>
        <v>41741</v>
      </c>
      <c r="G8544" t="s">
        <v>26</v>
      </c>
      <c r="H8544" t="s">
        <v>27</v>
      </c>
      <c r="I8544" t="s">
        <v>97</v>
      </c>
      <c r="J8544">
        <v>1352.61</v>
      </c>
      <c r="K8544">
        <v>0.06</v>
      </c>
      <c r="L8544">
        <v>0.73</v>
      </c>
      <c r="M8544">
        <v>24.08</v>
      </c>
      <c r="N8544">
        <v>428.47</v>
      </c>
      <c r="O8544" s="1" t="s">
        <v>53</v>
      </c>
      <c r="P8544" s="1" t="s">
        <v>14581</v>
      </c>
      <c r="Q8544" s="1" t="s">
        <v>14582</v>
      </c>
      <c r="R8544" s="1" t="s">
        <v>440</v>
      </c>
      <c r="S8544" s="1" t="s">
        <v>4911</v>
      </c>
      <c r="T8544" s="1" t="s">
        <v>4912</v>
      </c>
      <c r="U8544" s="2" t="s">
        <v>2091</v>
      </c>
      <c r="V8544" s="2" t="s">
        <v>47</v>
      </c>
      <c r="W8544" s="2" t="s">
        <v>119</v>
      </c>
      <c r="X8544" s="2">
        <v>227.43</v>
      </c>
    </row>
    <row r="8545" spans="1:24" x14ac:dyDescent="0.3">
      <c r="A8545">
        <v>26340</v>
      </c>
      <c r="B8545" t="s">
        <v>15772</v>
      </c>
      <c r="C8545" s="3">
        <v>40825</v>
      </c>
      <c r="D8545" t="s">
        <v>50</v>
      </c>
      <c r="E8545">
        <v>15</v>
      </c>
      <c r="F8545" s="3">
        <f ca="1">40826+(RANDBETWEEN(1,10))</f>
        <v>40832</v>
      </c>
      <c r="G8545" t="s">
        <v>76</v>
      </c>
      <c r="H8545" t="s">
        <v>77</v>
      </c>
      <c r="I8545" t="s">
        <v>97</v>
      </c>
      <c r="J8545">
        <v>5191.0600000000004</v>
      </c>
      <c r="K8545">
        <v>0.08</v>
      </c>
      <c r="L8545">
        <v>0.37</v>
      </c>
      <c r="M8545">
        <v>49</v>
      </c>
      <c r="N8545">
        <v>-257.22942</v>
      </c>
      <c r="O8545" s="1" t="s">
        <v>64</v>
      </c>
      <c r="P8545" s="1" t="s">
        <v>14927</v>
      </c>
      <c r="Q8545" s="1" t="s">
        <v>14928</v>
      </c>
      <c r="R8545" s="1" t="s">
        <v>128</v>
      </c>
      <c r="S8545" s="1" t="s">
        <v>5562</v>
      </c>
      <c r="T8545" s="1" t="s">
        <v>5563</v>
      </c>
      <c r="U8545" s="2" t="s">
        <v>5419</v>
      </c>
      <c r="V8545" s="2" t="s">
        <v>36</v>
      </c>
      <c r="W8545" s="2" t="s">
        <v>142</v>
      </c>
      <c r="X8545" s="2">
        <v>353.39499999999998</v>
      </c>
    </row>
    <row r="8546" spans="1:24" x14ac:dyDescent="0.3">
      <c r="A8546">
        <v>26341</v>
      </c>
      <c r="B8546" t="s">
        <v>15773</v>
      </c>
      <c r="C8546" s="3">
        <v>41921</v>
      </c>
      <c r="D8546" t="s">
        <v>50</v>
      </c>
      <c r="E8546">
        <v>15</v>
      </c>
      <c r="F8546" s="3">
        <f ca="1">41923+(RANDBETWEEN(1,10))</f>
        <v>41930</v>
      </c>
      <c r="G8546" t="s">
        <v>26</v>
      </c>
      <c r="H8546" t="s">
        <v>27</v>
      </c>
      <c r="I8546" t="s">
        <v>97</v>
      </c>
      <c r="J8546">
        <v>354.51499999999999</v>
      </c>
      <c r="K8546">
        <v>7.0000000000000007E-2</v>
      </c>
      <c r="L8546">
        <v>0.37</v>
      </c>
      <c r="M8546">
        <v>24.745000000000001</v>
      </c>
      <c r="N8546">
        <v>-514.45100000000002</v>
      </c>
      <c r="O8546" s="1" t="s">
        <v>64</v>
      </c>
      <c r="P8546" s="1" t="s">
        <v>14927</v>
      </c>
      <c r="Q8546" s="1" t="s">
        <v>14928</v>
      </c>
      <c r="R8546" s="1" t="s">
        <v>128</v>
      </c>
      <c r="S8546" s="1" t="s">
        <v>5562</v>
      </c>
      <c r="T8546" s="1" t="s">
        <v>5563</v>
      </c>
      <c r="U8546" s="2" t="s">
        <v>15774</v>
      </c>
      <c r="V8546" s="2" t="s">
        <v>47</v>
      </c>
      <c r="W8546" s="2" t="s">
        <v>74</v>
      </c>
      <c r="X8546" s="2">
        <v>22.68</v>
      </c>
    </row>
    <row r="8547" spans="1:24" x14ac:dyDescent="0.3">
      <c r="A8547">
        <v>26342</v>
      </c>
      <c r="B8547" t="s">
        <v>15775</v>
      </c>
      <c r="C8547" s="3">
        <v>40952</v>
      </c>
      <c r="D8547" t="s">
        <v>50</v>
      </c>
      <c r="E8547">
        <v>9</v>
      </c>
      <c r="F8547" s="3">
        <f ca="1">40954+(RANDBETWEEN(1,10))</f>
        <v>40964</v>
      </c>
      <c r="G8547" t="s">
        <v>26</v>
      </c>
      <c r="H8547" t="s">
        <v>27</v>
      </c>
      <c r="I8547" t="s">
        <v>52</v>
      </c>
      <c r="J8547">
        <v>202.86</v>
      </c>
      <c r="K8547">
        <v>0.08</v>
      </c>
      <c r="L8547">
        <v>0.37</v>
      </c>
      <c r="M8547">
        <v>29.4</v>
      </c>
      <c r="N8547">
        <v>-579.17999999999995</v>
      </c>
      <c r="O8547" s="1" t="s">
        <v>29</v>
      </c>
      <c r="P8547" s="1" t="s">
        <v>15776</v>
      </c>
      <c r="Q8547" s="1" t="s">
        <v>15777</v>
      </c>
      <c r="R8547" s="1" t="s">
        <v>675</v>
      </c>
      <c r="S8547" s="1" t="s">
        <v>13548</v>
      </c>
      <c r="T8547" s="1" t="s">
        <v>13549</v>
      </c>
      <c r="U8547" s="2" t="s">
        <v>2097</v>
      </c>
      <c r="V8547" s="2" t="s">
        <v>47</v>
      </c>
      <c r="W8547" s="2" t="s">
        <v>74</v>
      </c>
      <c r="X8547" s="2">
        <v>22.68</v>
      </c>
    </row>
    <row r="8548" spans="1:24" x14ac:dyDescent="0.3">
      <c r="A8548">
        <v>26343</v>
      </c>
      <c r="B8548" t="s">
        <v>15775</v>
      </c>
      <c r="C8548" s="3">
        <v>40952</v>
      </c>
      <c r="D8548" t="s">
        <v>50</v>
      </c>
      <c r="E8548">
        <v>3</v>
      </c>
      <c r="F8548" s="3">
        <f ca="1">40954+(RANDBETWEEN(1,10))</f>
        <v>40962</v>
      </c>
      <c r="G8548" t="s">
        <v>26</v>
      </c>
      <c r="H8548" t="s">
        <v>27</v>
      </c>
      <c r="I8548" t="s">
        <v>52</v>
      </c>
      <c r="J8548">
        <v>66.534999999999997</v>
      </c>
      <c r="K8548">
        <v>0.04</v>
      </c>
      <c r="L8548">
        <v>0.36</v>
      </c>
      <c r="M8548">
        <v>25.024999999999999</v>
      </c>
      <c r="N8548">
        <v>-166.42500000000001</v>
      </c>
      <c r="O8548" s="1" t="s">
        <v>64</v>
      </c>
      <c r="P8548" s="1" t="s">
        <v>15778</v>
      </c>
      <c r="Q8548" s="1" t="s">
        <v>15779</v>
      </c>
      <c r="R8548" s="1" t="s">
        <v>128</v>
      </c>
      <c r="S8548" s="1" t="s">
        <v>12693</v>
      </c>
      <c r="T8548" s="1" t="s">
        <v>12694</v>
      </c>
      <c r="U8548" s="2" t="s">
        <v>1746</v>
      </c>
      <c r="V8548" s="2" t="s">
        <v>47</v>
      </c>
      <c r="W8548" s="2" t="s">
        <v>74</v>
      </c>
      <c r="X8548" s="2">
        <v>20.93</v>
      </c>
    </row>
    <row r="8549" spans="1:24" x14ac:dyDescent="0.3">
      <c r="A8549">
        <v>26344</v>
      </c>
      <c r="B8549" t="s">
        <v>15780</v>
      </c>
      <c r="C8549" s="3">
        <v>41049</v>
      </c>
      <c r="D8549" t="s">
        <v>62</v>
      </c>
      <c r="E8549">
        <v>13</v>
      </c>
      <c r="F8549" s="3">
        <f ca="1">41051+(RANDBETWEEN(1,10))</f>
        <v>41057</v>
      </c>
      <c r="G8549" t="s">
        <v>26</v>
      </c>
      <c r="H8549" t="s">
        <v>27</v>
      </c>
      <c r="I8549" t="s">
        <v>28</v>
      </c>
      <c r="J8549">
        <v>357.94499999999999</v>
      </c>
      <c r="K8549">
        <v>0.08</v>
      </c>
      <c r="L8549">
        <v>0.4</v>
      </c>
      <c r="M8549">
        <v>31.29</v>
      </c>
      <c r="N8549">
        <v>-686.22225000000003</v>
      </c>
      <c r="O8549" s="1" t="s">
        <v>40</v>
      </c>
      <c r="P8549" s="1" t="s">
        <v>7313</v>
      </c>
      <c r="Q8549" s="1" t="s">
        <v>7314</v>
      </c>
      <c r="R8549" s="1" t="s">
        <v>220</v>
      </c>
      <c r="S8549" s="1" t="s">
        <v>7315</v>
      </c>
      <c r="T8549" s="1" t="s">
        <v>7316</v>
      </c>
      <c r="U8549" s="2" t="s">
        <v>2966</v>
      </c>
      <c r="V8549" s="2" t="s">
        <v>47</v>
      </c>
      <c r="W8549" s="2" t="s">
        <v>111</v>
      </c>
      <c r="X8549" s="2">
        <v>28.14</v>
      </c>
    </row>
    <row r="8550" spans="1:24" x14ac:dyDescent="0.3">
      <c r="A8550">
        <v>26345</v>
      </c>
      <c r="B8550" t="s">
        <v>15780</v>
      </c>
      <c r="C8550" s="3">
        <v>41049</v>
      </c>
      <c r="D8550" t="s">
        <v>62</v>
      </c>
      <c r="E8550">
        <v>7</v>
      </c>
      <c r="F8550" s="3">
        <f ca="1">41051+(RANDBETWEEN(1,10))</f>
        <v>41060</v>
      </c>
      <c r="G8550" t="s">
        <v>26</v>
      </c>
      <c r="H8550" t="s">
        <v>51</v>
      </c>
      <c r="I8550" t="s">
        <v>28</v>
      </c>
      <c r="J8550">
        <v>62.335000000000001</v>
      </c>
      <c r="K8550">
        <v>0.04</v>
      </c>
      <c r="L8550">
        <v>0.41</v>
      </c>
      <c r="M8550">
        <v>15.994999999999999</v>
      </c>
      <c r="N8550">
        <v>-185.22</v>
      </c>
      <c r="O8550" s="1" t="s">
        <v>40</v>
      </c>
      <c r="P8550" s="1" t="s">
        <v>7313</v>
      </c>
      <c r="Q8550" s="1" t="s">
        <v>7314</v>
      </c>
      <c r="R8550" s="1" t="s">
        <v>220</v>
      </c>
      <c r="S8550" s="1" t="s">
        <v>7315</v>
      </c>
      <c r="T8550" s="1" t="s">
        <v>7316</v>
      </c>
      <c r="U8550" s="2" t="s">
        <v>3903</v>
      </c>
      <c r="V8550" s="2" t="s">
        <v>83</v>
      </c>
      <c r="W8550" s="2" t="s">
        <v>178</v>
      </c>
      <c r="X8550" s="2">
        <v>7.8049999999999997</v>
      </c>
    </row>
    <row r="8551" spans="1:24" x14ac:dyDescent="0.3">
      <c r="A8551">
        <v>26346</v>
      </c>
      <c r="B8551" t="s">
        <v>15781</v>
      </c>
      <c r="C8551" s="3">
        <v>41301</v>
      </c>
      <c r="D8551" t="s">
        <v>148</v>
      </c>
      <c r="E8551">
        <v>5</v>
      </c>
      <c r="F8551" s="3">
        <f ca="1">41303+(RANDBETWEEN(1,10))</f>
        <v>41310</v>
      </c>
      <c r="G8551" t="s">
        <v>26</v>
      </c>
      <c r="H8551" t="s">
        <v>51</v>
      </c>
      <c r="I8551" t="s">
        <v>97</v>
      </c>
      <c r="J8551">
        <v>321.23</v>
      </c>
      <c r="K8551">
        <v>0.05</v>
      </c>
      <c r="L8551">
        <v>0.83</v>
      </c>
      <c r="M8551">
        <v>3.4649999999999999</v>
      </c>
      <c r="N8551">
        <v>-242.75790000000001</v>
      </c>
      <c r="O8551" s="1" t="s">
        <v>29</v>
      </c>
      <c r="P8551" s="1" t="s">
        <v>7598</v>
      </c>
      <c r="Q8551" s="1" t="s">
        <v>7599</v>
      </c>
      <c r="R8551" s="1" t="s">
        <v>460</v>
      </c>
      <c r="S8551" s="1" t="s">
        <v>7600</v>
      </c>
      <c r="T8551" s="1" t="s">
        <v>7601</v>
      </c>
      <c r="U8551" s="2" t="s">
        <v>6515</v>
      </c>
      <c r="V8551" s="2" t="s">
        <v>36</v>
      </c>
      <c r="W8551" s="2" t="s">
        <v>37</v>
      </c>
      <c r="X8551" s="2">
        <v>73.465000000000003</v>
      </c>
    </row>
    <row r="8552" spans="1:24" x14ac:dyDescent="0.3">
      <c r="A8552">
        <v>26347</v>
      </c>
      <c r="B8552" t="s">
        <v>15782</v>
      </c>
      <c r="C8552" s="3">
        <v>41808</v>
      </c>
      <c r="D8552" t="s">
        <v>62</v>
      </c>
      <c r="E8552">
        <v>6</v>
      </c>
      <c r="F8552" s="3">
        <f ca="1">41809+(RANDBETWEEN(1,10))</f>
        <v>41814</v>
      </c>
      <c r="G8552" t="s">
        <v>26</v>
      </c>
      <c r="H8552" t="s">
        <v>51</v>
      </c>
      <c r="I8552" t="s">
        <v>52</v>
      </c>
      <c r="J8552">
        <v>24.885000000000002</v>
      </c>
      <c r="K8552">
        <v>0.05</v>
      </c>
      <c r="L8552">
        <v>0.61</v>
      </c>
      <c r="M8552">
        <v>10.36</v>
      </c>
      <c r="N8552">
        <v>-1264.5763199999999</v>
      </c>
      <c r="O8552" s="1" t="s">
        <v>53</v>
      </c>
      <c r="P8552" s="1" t="s">
        <v>15783</v>
      </c>
      <c r="Q8552" s="1" t="s">
        <v>15784</v>
      </c>
      <c r="R8552" s="1" t="s">
        <v>440</v>
      </c>
      <c r="S8552" s="1" t="s">
        <v>5723</v>
      </c>
      <c r="T8552" s="1" t="s">
        <v>5724</v>
      </c>
      <c r="U8552" s="2" t="s">
        <v>14484</v>
      </c>
      <c r="V8552" s="2" t="s">
        <v>36</v>
      </c>
      <c r="W8552" s="2" t="s">
        <v>60</v>
      </c>
      <c r="X8552" s="2">
        <v>3.4649999999999999</v>
      </c>
    </row>
    <row r="8553" spans="1:24" x14ac:dyDescent="0.3">
      <c r="A8553">
        <v>26348</v>
      </c>
      <c r="B8553" t="s">
        <v>15785</v>
      </c>
      <c r="C8553" s="3">
        <v>41801</v>
      </c>
      <c r="D8553" t="s">
        <v>62</v>
      </c>
      <c r="E8553">
        <v>9</v>
      </c>
      <c r="F8553" s="3">
        <f ca="1">41803+(RANDBETWEEN(1,10))</f>
        <v>41805</v>
      </c>
      <c r="G8553" t="s">
        <v>156</v>
      </c>
      <c r="H8553" t="s">
        <v>27</v>
      </c>
      <c r="I8553" t="s">
        <v>86</v>
      </c>
      <c r="J8553">
        <v>307.26499999999999</v>
      </c>
      <c r="K8553">
        <v>0.02</v>
      </c>
      <c r="L8553">
        <v>0.38</v>
      </c>
      <c r="M8553">
        <v>21.664999999999999</v>
      </c>
      <c r="N8553">
        <v>-33.455800000000004</v>
      </c>
      <c r="O8553" s="1" t="s">
        <v>87</v>
      </c>
      <c r="P8553" s="1" t="s">
        <v>15786</v>
      </c>
      <c r="Q8553" s="1" t="s">
        <v>15787</v>
      </c>
      <c r="R8553" s="1" t="s">
        <v>646</v>
      </c>
      <c r="S8553" s="1" t="s">
        <v>4511</v>
      </c>
      <c r="T8553" s="1" t="s">
        <v>4512</v>
      </c>
      <c r="U8553" s="2" t="s">
        <v>1202</v>
      </c>
      <c r="V8553" s="2" t="s">
        <v>47</v>
      </c>
      <c r="W8553" s="2" t="s">
        <v>111</v>
      </c>
      <c r="X8553" s="2">
        <v>30.1</v>
      </c>
    </row>
    <row r="8554" spans="1:24" x14ac:dyDescent="0.3">
      <c r="A8554">
        <v>26349</v>
      </c>
      <c r="B8554" t="s">
        <v>15788</v>
      </c>
      <c r="C8554" s="3">
        <v>41925</v>
      </c>
      <c r="D8554" t="s">
        <v>50</v>
      </c>
      <c r="E8554">
        <v>19</v>
      </c>
      <c r="F8554" s="3">
        <f ca="1">41926+(RANDBETWEEN(1,10))</f>
        <v>41934</v>
      </c>
      <c r="G8554" t="s">
        <v>26</v>
      </c>
      <c r="H8554" t="s">
        <v>27</v>
      </c>
      <c r="I8554" t="s">
        <v>86</v>
      </c>
      <c r="J8554">
        <v>343.94499999999999</v>
      </c>
      <c r="K8554">
        <v>0.05</v>
      </c>
      <c r="L8554">
        <v>0.38</v>
      </c>
      <c r="M8554">
        <v>17.395</v>
      </c>
      <c r="N8554">
        <v>-287.30450000000002</v>
      </c>
      <c r="O8554" s="1" t="s">
        <v>87</v>
      </c>
      <c r="P8554" s="1" t="s">
        <v>12477</v>
      </c>
      <c r="Q8554" s="1" t="s">
        <v>12478</v>
      </c>
      <c r="R8554" s="1" t="s">
        <v>398</v>
      </c>
      <c r="S8554" s="1" t="s">
        <v>2629</v>
      </c>
      <c r="T8554" s="1" t="s">
        <v>2630</v>
      </c>
      <c r="U8554" s="2" t="s">
        <v>8128</v>
      </c>
      <c r="V8554" s="2" t="s">
        <v>47</v>
      </c>
      <c r="W8554" s="2" t="s">
        <v>111</v>
      </c>
      <c r="X8554" s="2">
        <v>17.184999999999999</v>
      </c>
    </row>
    <row r="8555" spans="1:24" x14ac:dyDescent="0.3">
      <c r="A8555">
        <v>26350</v>
      </c>
      <c r="B8555" t="s">
        <v>15789</v>
      </c>
      <c r="C8555" s="3">
        <v>42002</v>
      </c>
      <c r="D8555" t="s">
        <v>148</v>
      </c>
      <c r="E8555">
        <v>25</v>
      </c>
      <c r="F8555" s="3">
        <f ca="1">41654+(RANDBETWEEN(1,10))</f>
        <v>41657</v>
      </c>
      <c r="G8555" t="s">
        <v>76</v>
      </c>
      <c r="H8555" t="s">
        <v>77</v>
      </c>
      <c r="I8555" t="s">
        <v>28</v>
      </c>
      <c r="J8555">
        <v>15854.825000000001</v>
      </c>
      <c r="K8555">
        <v>7.0000000000000007E-2</v>
      </c>
      <c r="L8555">
        <v>0.56999999999999995</v>
      </c>
      <c r="M8555">
        <v>193.34</v>
      </c>
      <c r="N8555">
        <v>-516.31299999999999</v>
      </c>
      <c r="O8555" s="1" t="s">
        <v>64</v>
      </c>
      <c r="P8555" s="1" t="s">
        <v>7642</v>
      </c>
      <c r="Q8555" s="1" t="s">
        <v>7643</v>
      </c>
      <c r="R8555" s="1" t="s">
        <v>67</v>
      </c>
      <c r="S8555" s="1" t="s">
        <v>765</v>
      </c>
      <c r="T8555" s="1" t="s">
        <v>766</v>
      </c>
      <c r="U8555" s="2" t="s">
        <v>4544</v>
      </c>
      <c r="V8555" s="2" t="s">
        <v>47</v>
      </c>
      <c r="W8555" s="2" t="s">
        <v>71</v>
      </c>
      <c r="X8555" s="2">
        <v>633.42999999999995</v>
      </c>
    </row>
    <row r="8556" spans="1:24" x14ac:dyDescent="0.3">
      <c r="A8556">
        <v>26351</v>
      </c>
      <c r="B8556" t="s">
        <v>15790</v>
      </c>
      <c r="C8556" s="3">
        <v>41272</v>
      </c>
      <c r="D8556" t="s">
        <v>148</v>
      </c>
      <c r="E8556">
        <v>19</v>
      </c>
      <c r="F8556" s="3">
        <f ca="1">41290+(RANDBETWEEN(1,10))</f>
        <v>41296</v>
      </c>
      <c r="G8556" t="s">
        <v>156</v>
      </c>
      <c r="H8556" t="s">
        <v>51</v>
      </c>
      <c r="I8556" t="s">
        <v>28</v>
      </c>
      <c r="J8556">
        <v>597.16999999999996</v>
      </c>
      <c r="K8556">
        <v>0</v>
      </c>
      <c r="L8556">
        <v>0.74</v>
      </c>
      <c r="M8556">
        <v>8.33</v>
      </c>
      <c r="N8556">
        <v>-3763.886</v>
      </c>
      <c r="O8556" s="1" t="s">
        <v>64</v>
      </c>
      <c r="P8556" s="1" t="s">
        <v>7642</v>
      </c>
      <c r="Q8556" s="1" t="s">
        <v>7643</v>
      </c>
      <c r="R8556" s="1" t="s">
        <v>67</v>
      </c>
      <c r="S8556" s="1" t="s">
        <v>765</v>
      </c>
      <c r="T8556" s="1" t="s">
        <v>766</v>
      </c>
      <c r="U8556" s="2" t="s">
        <v>152</v>
      </c>
      <c r="V8556" s="2" t="s">
        <v>36</v>
      </c>
      <c r="W8556" s="2" t="s">
        <v>60</v>
      </c>
      <c r="X8556" s="2">
        <v>29.12</v>
      </c>
    </row>
    <row r="8557" spans="1:24" x14ac:dyDescent="0.3">
      <c r="A8557">
        <v>26352</v>
      </c>
      <c r="B8557" t="s">
        <v>15789</v>
      </c>
      <c r="C8557" s="3">
        <v>42002</v>
      </c>
      <c r="D8557" t="s">
        <v>148</v>
      </c>
      <c r="E8557">
        <v>2</v>
      </c>
      <c r="F8557" s="3">
        <f ca="1">41656+(RANDBETWEEN(1,10))</f>
        <v>41665</v>
      </c>
      <c r="G8557" t="s">
        <v>26</v>
      </c>
      <c r="H8557" t="s">
        <v>96</v>
      </c>
      <c r="I8557" t="s">
        <v>28</v>
      </c>
      <c r="J8557">
        <v>33.74</v>
      </c>
      <c r="K8557">
        <v>0.06</v>
      </c>
      <c r="L8557">
        <v>0.36</v>
      </c>
      <c r="M8557">
        <v>7.91</v>
      </c>
      <c r="N8557">
        <v>-2414.5583000000001</v>
      </c>
      <c r="O8557" s="1" t="s">
        <v>64</v>
      </c>
      <c r="P8557" s="1" t="s">
        <v>7642</v>
      </c>
      <c r="Q8557" s="1" t="s">
        <v>7643</v>
      </c>
      <c r="R8557" s="1" t="s">
        <v>67</v>
      </c>
      <c r="S8557" s="1" t="s">
        <v>765</v>
      </c>
      <c r="T8557" s="1" t="s">
        <v>766</v>
      </c>
      <c r="U8557" s="2" t="s">
        <v>11875</v>
      </c>
      <c r="V8557" s="2" t="s">
        <v>47</v>
      </c>
      <c r="W8557" s="2" t="s">
        <v>74</v>
      </c>
      <c r="X8557" s="2">
        <v>14.7</v>
      </c>
    </row>
    <row r="8558" spans="1:24" x14ac:dyDescent="0.3">
      <c r="A8558">
        <v>26353</v>
      </c>
      <c r="B8558" t="s">
        <v>15790</v>
      </c>
      <c r="C8558" s="3">
        <v>41272</v>
      </c>
      <c r="D8558" t="s">
        <v>148</v>
      </c>
      <c r="E8558">
        <v>12</v>
      </c>
      <c r="F8558" s="3">
        <f ca="1">41273+(RANDBETWEEN(1,10))</f>
        <v>41274</v>
      </c>
      <c r="G8558" t="s">
        <v>26</v>
      </c>
      <c r="H8558" t="s">
        <v>27</v>
      </c>
      <c r="I8558" t="s">
        <v>28</v>
      </c>
      <c r="J8558">
        <v>282.90499999999997</v>
      </c>
      <c r="K8558">
        <v>0.03</v>
      </c>
      <c r="L8558">
        <v>0.36</v>
      </c>
      <c r="M8558">
        <v>33.880000000000003</v>
      </c>
      <c r="N8558">
        <v>-104.75465</v>
      </c>
      <c r="O8558" s="1" t="s">
        <v>64</v>
      </c>
      <c r="P8558" s="1" t="s">
        <v>7642</v>
      </c>
      <c r="Q8558" s="1" t="s">
        <v>7643</v>
      </c>
      <c r="R8558" s="1" t="s">
        <v>67</v>
      </c>
      <c r="S8558" s="1" t="s">
        <v>765</v>
      </c>
      <c r="T8558" s="1" t="s">
        <v>766</v>
      </c>
      <c r="U8558" s="2" t="s">
        <v>6485</v>
      </c>
      <c r="V8558" s="2" t="s">
        <v>47</v>
      </c>
      <c r="W8558" s="2" t="s">
        <v>74</v>
      </c>
      <c r="X8558" s="2">
        <v>22.68</v>
      </c>
    </row>
    <row r="8559" spans="1:24" x14ac:dyDescent="0.3">
      <c r="A8559">
        <v>26354</v>
      </c>
      <c r="B8559" t="s">
        <v>15791</v>
      </c>
      <c r="C8559" s="3">
        <v>41983</v>
      </c>
      <c r="D8559" t="s">
        <v>62</v>
      </c>
      <c r="E8559">
        <v>6</v>
      </c>
      <c r="F8559" s="3">
        <f ca="1">41985+(RANDBETWEEN(1,10))</f>
        <v>41994</v>
      </c>
      <c r="G8559" t="s">
        <v>26</v>
      </c>
      <c r="H8559" t="s">
        <v>27</v>
      </c>
      <c r="I8559" t="s">
        <v>52</v>
      </c>
      <c r="J8559">
        <v>884.1</v>
      </c>
      <c r="K8559">
        <v>0.05</v>
      </c>
      <c r="L8559">
        <v>0.56999999999999995</v>
      </c>
      <c r="M8559">
        <v>18.655000000000001</v>
      </c>
      <c r="N8559">
        <v>459.97951999999998</v>
      </c>
      <c r="O8559" s="1" t="s">
        <v>87</v>
      </c>
      <c r="P8559" s="1" t="s">
        <v>15261</v>
      </c>
      <c r="Q8559" s="1" t="s">
        <v>15262</v>
      </c>
      <c r="R8559" s="1" t="s">
        <v>398</v>
      </c>
      <c r="S8559" s="1" t="s">
        <v>12201</v>
      </c>
      <c r="T8559" s="1" t="s">
        <v>12202</v>
      </c>
      <c r="U8559" s="2" t="s">
        <v>1712</v>
      </c>
      <c r="V8559" s="2" t="s">
        <v>47</v>
      </c>
      <c r="W8559" s="2" t="s">
        <v>71</v>
      </c>
      <c r="X8559" s="2">
        <v>143.43</v>
      </c>
    </row>
    <row r="8560" spans="1:24" x14ac:dyDescent="0.3">
      <c r="A8560">
        <v>26355</v>
      </c>
      <c r="B8560" t="s">
        <v>15791</v>
      </c>
      <c r="C8560" s="3">
        <v>41983</v>
      </c>
      <c r="D8560" t="s">
        <v>62</v>
      </c>
      <c r="E8560">
        <v>23</v>
      </c>
      <c r="F8560" s="3">
        <f ca="1">41984+(RANDBETWEEN(1,10))</f>
        <v>41986</v>
      </c>
      <c r="G8560" t="s">
        <v>26</v>
      </c>
      <c r="H8560" t="s">
        <v>63</v>
      </c>
      <c r="I8560" t="s">
        <v>52</v>
      </c>
      <c r="J8560">
        <v>985.11</v>
      </c>
      <c r="K8560">
        <v>0.1</v>
      </c>
      <c r="L8560">
        <v>0.73</v>
      </c>
      <c r="M8560">
        <v>50.295000000000002</v>
      </c>
      <c r="N8560">
        <v>-658.90103999999997</v>
      </c>
      <c r="O8560" s="1" t="s">
        <v>87</v>
      </c>
      <c r="P8560" s="1" t="s">
        <v>15261</v>
      </c>
      <c r="Q8560" s="1" t="s">
        <v>15262</v>
      </c>
      <c r="R8560" s="1" t="s">
        <v>398</v>
      </c>
      <c r="S8560" s="1" t="s">
        <v>12201</v>
      </c>
      <c r="T8560" s="1" t="s">
        <v>12202</v>
      </c>
      <c r="U8560" s="2" t="s">
        <v>5853</v>
      </c>
      <c r="V8560" s="2" t="s">
        <v>83</v>
      </c>
      <c r="W8560" s="2" t="s">
        <v>178</v>
      </c>
      <c r="X8560" s="2">
        <v>45.465000000000003</v>
      </c>
    </row>
    <row r="8561" spans="1:24" x14ac:dyDescent="0.3">
      <c r="A8561">
        <v>26356</v>
      </c>
      <c r="B8561" t="s">
        <v>15792</v>
      </c>
      <c r="C8561" s="3">
        <v>41341</v>
      </c>
      <c r="D8561" t="s">
        <v>25</v>
      </c>
      <c r="E8561">
        <v>11</v>
      </c>
      <c r="F8561" s="3">
        <f ca="1">41346+(RANDBETWEEN(1,10))</f>
        <v>41352</v>
      </c>
      <c r="G8561" t="s">
        <v>26</v>
      </c>
      <c r="H8561" t="s">
        <v>27</v>
      </c>
      <c r="I8561" t="s">
        <v>28</v>
      </c>
      <c r="J8561">
        <v>228.51499999999999</v>
      </c>
      <c r="K8561">
        <v>0.01</v>
      </c>
      <c r="L8561">
        <v>0.4</v>
      </c>
      <c r="M8561">
        <v>19.565000000000001</v>
      </c>
      <c r="N8561">
        <v>-372.4735</v>
      </c>
      <c r="O8561" s="1" t="s">
        <v>40</v>
      </c>
      <c r="P8561" s="1" t="s">
        <v>12574</v>
      </c>
      <c r="Q8561" s="1" t="s">
        <v>12575</v>
      </c>
      <c r="R8561" s="1" t="s">
        <v>220</v>
      </c>
      <c r="S8561" s="1" t="s">
        <v>12576</v>
      </c>
      <c r="T8561" s="1" t="s">
        <v>12577</v>
      </c>
      <c r="U8561" s="2" t="s">
        <v>3005</v>
      </c>
      <c r="V8561" s="2" t="s">
        <v>47</v>
      </c>
      <c r="W8561" s="2" t="s">
        <v>111</v>
      </c>
      <c r="X8561" s="2">
        <v>20.3</v>
      </c>
    </row>
    <row r="8562" spans="1:24" x14ac:dyDescent="0.3">
      <c r="A8562">
        <v>26357</v>
      </c>
      <c r="B8562" t="s">
        <v>15793</v>
      </c>
      <c r="C8562" s="3">
        <v>41075</v>
      </c>
      <c r="D8562" t="s">
        <v>62</v>
      </c>
      <c r="E8562">
        <v>9</v>
      </c>
      <c r="F8562" s="3">
        <f ca="1">41077+(RANDBETWEEN(1,10))</f>
        <v>41079</v>
      </c>
      <c r="G8562" t="s">
        <v>156</v>
      </c>
      <c r="H8562" t="s">
        <v>96</v>
      </c>
      <c r="I8562" t="s">
        <v>86</v>
      </c>
      <c r="J8562">
        <v>85.155000000000001</v>
      </c>
      <c r="K8562">
        <v>0.09</v>
      </c>
      <c r="L8562">
        <v>0.39</v>
      </c>
      <c r="M8562">
        <v>2.8</v>
      </c>
      <c r="N8562">
        <v>58.756950000000003</v>
      </c>
      <c r="O8562" s="1" t="s">
        <v>40</v>
      </c>
      <c r="P8562" s="1" t="s">
        <v>13277</v>
      </c>
      <c r="Q8562" s="1" t="s">
        <v>13278</v>
      </c>
      <c r="R8562" s="1" t="s">
        <v>220</v>
      </c>
      <c r="S8562" s="1" t="s">
        <v>1544</v>
      </c>
      <c r="T8562" s="1" t="s">
        <v>1545</v>
      </c>
      <c r="U8562" s="2" t="s">
        <v>2672</v>
      </c>
      <c r="V8562" s="2" t="s">
        <v>47</v>
      </c>
      <c r="W8562" s="2" t="s">
        <v>176</v>
      </c>
      <c r="X8562" s="2">
        <v>9.17</v>
      </c>
    </row>
    <row r="8563" spans="1:24" x14ac:dyDescent="0.3">
      <c r="A8563">
        <v>26358</v>
      </c>
      <c r="B8563" t="s">
        <v>15794</v>
      </c>
      <c r="C8563" s="3">
        <v>41986</v>
      </c>
      <c r="D8563" t="s">
        <v>62</v>
      </c>
      <c r="E8563">
        <v>13</v>
      </c>
      <c r="F8563" s="3">
        <f ca="1">41988+(RANDBETWEEN(1,10))</f>
        <v>41995</v>
      </c>
      <c r="G8563" t="s">
        <v>76</v>
      </c>
      <c r="H8563" t="s">
        <v>77</v>
      </c>
      <c r="I8563" t="s">
        <v>28</v>
      </c>
      <c r="J8563">
        <v>16144.905000000001</v>
      </c>
      <c r="K8563">
        <v>0.03</v>
      </c>
      <c r="L8563" t="s">
        <v>182</v>
      </c>
      <c r="M8563">
        <v>210</v>
      </c>
      <c r="N8563">
        <v>9647.2355630000002</v>
      </c>
      <c r="O8563" s="1" t="s">
        <v>40</v>
      </c>
      <c r="P8563" s="1" t="s">
        <v>15795</v>
      </c>
      <c r="Q8563" s="1" t="s">
        <v>15796</v>
      </c>
      <c r="R8563" s="1" t="s">
        <v>220</v>
      </c>
      <c r="S8563" s="1" t="s">
        <v>9391</v>
      </c>
      <c r="T8563" s="1" t="s">
        <v>9392</v>
      </c>
      <c r="U8563" s="2" t="s">
        <v>3108</v>
      </c>
      <c r="V8563" s="2" t="s">
        <v>83</v>
      </c>
      <c r="W8563" s="2" t="s">
        <v>263</v>
      </c>
      <c r="X8563" s="2">
        <v>1223.075</v>
      </c>
    </row>
    <row r="8564" spans="1:24" x14ac:dyDescent="0.3">
      <c r="A8564">
        <v>26359</v>
      </c>
      <c r="B8564" t="s">
        <v>15797</v>
      </c>
      <c r="C8564" s="3">
        <v>41748</v>
      </c>
      <c r="D8564" t="s">
        <v>50</v>
      </c>
      <c r="E8564">
        <v>9</v>
      </c>
      <c r="F8564" s="3">
        <f ca="1">41750+(RANDBETWEEN(1,10))</f>
        <v>41757</v>
      </c>
      <c r="G8564" t="s">
        <v>26</v>
      </c>
      <c r="H8564" t="s">
        <v>27</v>
      </c>
      <c r="I8564" t="s">
        <v>52</v>
      </c>
      <c r="J8564">
        <v>15831.094999999999</v>
      </c>
      <c r="K8564">
        <v>0.09</v>
      </c>
      <c r="L8564">
        <v>0.37</v>
      </c>
      <c r="M8564">
        <v>69.965000000000003</v>
      </c>
      <c r="N8564">
        <v>10923.455550000001</v>
      </c>
      <c r="O8564" s="1" t="s">
        <v>40</v>
      </c>
      <c r="P8564" s="1" t="s">
        <v>14472</v>
      </c>
      <c r="Q8564" s="1" t="s">
        <v>14473</v>
      </c>
      <c r="R8564" s="1" t="s">
        <v>220</v>
      </c>
      <c r="S8564" s="1" t="s">
        <v>777</v>
      </c>
      <c r="T8564" s="1" t="s">
        <v>778</v>
      </c>
      <c r="U8564" s="2" t="s">
        <v>3284</v>
      </c>
      <c r="V8564" s="2" t="s">
        <v>47</v>
      </c>
      <c r="W8564" s="2" t="s">
        <v>111</v>
      </c>
      <c r="X8564" s="2">
        <v>1840.93</v>
      </c>
    </row>
    <row r="8565" spans="1:24" x14ac:dyDescent="0.3">
      <c r="A8565">
        <v>26360</v>
      </c>
      <c r="B8565" t="s">
        <v>15798</v>
      </c>
      <c r="C8565" s="3">
        <v>41099</v>
      </c>
      <c r="D8565" t="s">
        <v>25</v>
      </c>
      <c r="E8565">
        <v>10</v>
      </c>
      <c r="F8565" s="3">
        <f ca="1">41103+(RANDBETWEEN(1,10))</f>
        <v>41105</v>
      </c>
      <c r="G8565" t="s">
        <v>26</v>
      </c>
      <c r="H8565" t="s">
        <v>27</v>
      </c>
      <c r="I8565" t="s">
        <v>28</v>
      </c>
      <c r="J8565">
        <v>230.16</v>
      </c>
      <c r="K8565">
        <v>0.04</v>
      </c>
      <c r="L8565">
        <v>0.37</v>
      </c>
      <c r="M8565">
        <v>20.09</v>
      </c>
      <c r="N8565">
        <v>-231.17500000000001</v>
      </c>
      <c r="O8565" s="1" t="s">
        <v>40</v>
      </c>
      <c r="P8565" s="1" t="s">
        <v>12328</v>
      </c>
      <c r="Q8565" s="1" t="s">
        <v>12329</v>
      </c>
      <c r="R8565" s="1" t="s">
        <v>43</v>
      </c>
      <c r="S8565" s="1" t="s">
        <v>5075</v>
      </c>
      <c r="T8565" s="1" t="s">
        <v>5076</v>
      </c>
      <c r="U8565" s="2" t="s">
        <v>5165</v>
      </c>
      <c r="V8565" s="2" t="s">
        <v>47</v>
      </c>
      <c r="W8565" s="2" t="s">
        <v>74</v>
      </c>
      <c r="X8565" s="2">
        <v>22.68</v>
      </c>
    </row>
    <row r="8566" spans="1:24" x14ac:dyDescent="0.3">
      <c r="A8566">
        <v>26361</v>
      </c>
      <c r="B8566" t="s">
        <v>15799</v>
      </c>
      <c r="C8566" s="3">
        <v>40611</v>
      </c>
      <c r="D8566" t="s">
        <v>25</v>
      </c>
      <c r="E8566">
        <v>9</v>
      </c>
      <c r="F8566" s="3">
        <f ca="1">40615+(RANDBETWEEN(1,10))</f>
        <v>40619</v>
      </c>
      <c r="G8566" t="s">
        <v>156</v>
      </c>
      <c r="H8566" t="s">
        <v>27</v>
      </c>
      <c r="I8566" t="s">
        <v>28</v>
      </c>
      <c r="J8566">
        <v>256.51499999999999</v>
      </c>
      <c r="K8566">
        <v>0.01</v>
      </c>
      <c r="L8566">
        <v>0.36</v>
      </c>
      <c r="M8566">
        <v>4.8650000000000002</v>
      </c>
      <c r="N8566">
        <v>-5868.1419999999998</v>
      </c>
      <c r="O8566" s="1" t="s">
        <v>29</v>
      </c>
      <c r="P8566" s="1" t="s">
        <v>12819</v>
      </c>
      <c r="Q8566" s="1" t="s">
        <v>12820</v>
      </c>
      <c r="R8566" s="1" t="s">
        <v>32</v>
      </c>
      <c r="S8566" s="1" t="s">
        <v>2279</v>
      </c>
      <c r="T8566" s="1" t="s">
        <v>2280</v>
      </c>
      <c r="U8566" s="2" t="s">
        <v>3975</v>
      </c>
      <c r="V8566" s="2" t="s">
        <v>47</v>
      </c>
      <c r="W8566" s="2" t="s">
        <v>48</v>
      </c>
      <c r="X8566" s="2">
        <v>26.74</v>
      </c>
    </row>
    <row r="8567" spans="1:24" x14ac:dyDescent="0.3">
      <c r="A8567">
        <v>26362</v>
      </c>
      <c r="B8567" t="s">
        <v>15799</v>
      </c>
      <c r="C8567" s="3">
        <v>40611</v>
      </c>
      <c r="D8567" t="s">
        <v>25</v>
      </c>
      <c r="E8567">
        <v>8</v>
      </c>
      <c r="F8567" s="3">
        <f ca="1">40615+(RANDBETWEEN(1,10))</f>
        <v>40618</v>
      </c>
      <c r="G8567" t="s">
        <v>76</v>
      </c>
      <c r="H8567" t="s">
        <v>258</v>
      </c>
      <c r="I8567" t="s">
        <v>28</v>
      </c>
      <c r="J8567">
        <v>10364.620000000001</v>
      </c>
      <c r="K8567">
        <v>7.0000000000000007E-2</v>
      </c>
      <c r="L8567">
        <v>0.36</v>
      </c>
      <c r="M8567">
        <v>168.91</v>
      </c>
      <c r="N8567">
        <v>157.94730000000001</v>
      </c>
      <c r="O8567" s="1" t="s">
        <v>29</v>
      </c>
      <c r="P8567" s="1" t="s">
        <v>12819</v>
      </c>
      <c r="Q8567" s="1" t="s">
        <v>12820</v>
      </c>
      <c r="R8567" s="1" t="s">
        <v>32</v>
      </c>
      <c r="S8567" s="1" t="s">
        <v>2279</v>
      </c>
      <c r="T8567" s="1" t="s">
        <v>2280</v>
      </c>
      <c r="U8567" s="2" t="s">
        <v>7536</v>
      </c>
      <c r="V8567" s="2" t="s">
        <v>36</v>
      </c>
      <c r="W8567" s="2" t="s">
        <v>142</v>
      </c>
      <c r="X8567" s="2">
        <v>1403.395</v>
      </c>
    </row>
    <row r="8568" spans="1:24" x14ac:dyDescent="0.3">
      <c r="A8568">
        <v>26363</v>
      </c>
      <c r="B8568" t="s">
        <v>15800</v>
      </c>
      <c r="C8568" s="3">
        <v>41255</v>
      </c>
      <c r="D8568" t="s">
        <v>39</v>
      </c>
      <c r="E8568">
        <v>9</v>
      </c>
      <c r="F8568" s="3">
        <f ca="1">41256+(RANDBETWEEN(1,10))</f>
        <v>41264</v>
      </c>
      <c r="G8568" t="s">
        <v>156</v>
      </c>
      <c r="H8568" t="s">
        <v>27</v>
      </c>
      <c r="I8568" t="s">
        <v>97</v>
      </c>
      <c r="J8568">
        <v>1520.82</v>
      </c>
      <c r="K8568">
        <v>0.05</v>
      </c>
      <c r="L8568">
        <v>0.45</v>
      </c>
      <c r="M8568">
        <v>69.965000000000003</v>
      </c>
      <c r="N8568">
        <v>-2216.6914000000002</v>
      </c>
      <c r="O8568" s="1" t="s">
        <v>87</v>
      </c>
      <c r="P8568" s="1" t="s">
        <v>15801</v>
      </c>
      <c r="Q8568" s="1" t="s">
        <v>15802</v>
      </c>
      <c r="R8568" s="1" t="s">
        <v>90</v>
      </c>
      <c r="S8568" s="1" t="s">
        <v>2366</v>
      </c>
      <c r="T8568" s="1" t="s">
        <v>2367</v>
      </c>
      <c r="U8568" s="2" t="s">
        <v>72</v>
      </c>
      <c r="V8568" s="2" t="s">
        <v>36</v>
      </c>
      <c r="W8568" s="2" t="s">
        <v>60</v>
      </c>
      <c r="X8568" s="2">
        <v>174.965</v>
      </c>
    </row>
    <row r="8569" spans="1:24" x14ac:dyDescent="0.3">
      <c r="A8569">
        <v>26364</v>
      </c>
      <c r="B8569" t="s">
        <v>15803</v>
      </c>
      <c r="C8569" s="3">
        <v>41776</v>
      </c>
      <c r="D8569" t="s">
        <v>25</v>
      </c>
      <c r="E8569">
        <v>10</v>
      </c>
      <c r="F8569" s="3">
        <f ca="1">41783+(RANDBETWEEN(1,10))</f>
        <v>41792</v>
      </c>
      <c r="G8569" t="s">
        <v>76</v>
      </c>
      <c r="H8569" t="s">
        <v>77</v>
      </c>
      <c r="I8569" t="s">
        <v>28</v>
      </c>
      <c r="J8569">
        <v>4171.09</v>
      </c>
      <c r="K8569">
        <v>0.04</v>
      </c>
      <c r="L8569">
        <v>0.69</v>
      </c>
      <c r="M8569">
        <v>105</v>
      </c>
      <c r="N8569">
        <v>842.24699999999996</v>
      </c>
      <c r="O8569" s="1" t="s">
        <v>40</v>
      </c>
      <c r="P8569" s="1" t="s">
        <v>12530</v>
      </c>
      <c r="Q8569" s="1" t="s">
        <v>12531</v>
      </c>
      <c r="R8569" s="1" t="s">
        <v>43</v>
      </c>
      <c r="S8569" s="1" t="s">
        <v>794</v>
      </c>
      <c r="T8569" s="1" t="s">
        <v>795</v>
      </c>
      <c r="U8569" s="2" t="s">
        <v>1513</v>
      </c>
      <c r="V8569" s="2" t="s">
        <v>83</v>
      </c>
      <c r="W8569" s="2" t="s">
        <v>84</v>
      </c>
      <c r="X8569" s="2">
        <v>398.93</v>
      </c>
    </row>
    <row r="8570" spans="1:24" x14ac:dyDescent="0.3">
      <c r="A8570">
        <v>26365</v>
      </c>
      <c r="B8570" t="s">
        <v>15804</v>
      </c>
      <c r="C8570" s="3">
        <v>40959</v>
      </c>
      <c r="D8570" t="s">
        <v>62</v>
      </c>
      <c r="E8570">
        <v>5</v>
      </c>
      <c r="F8570" s="3">
        <f ca="1">40959+(RANDBETWEEN(1,10))</f>
        <v>40961</v>
      </c>
      <c r="G8570" t="s">
        <v>76</v>
      </c>
      <c r="H8570" t="s">
        <v>77</v>
      </c>
      <c r="I8570" t="s">
        <v>97</v>
      </c>
      <c r="J8570">
        <v>5647.4250000000002</v>
      </c>
      <c r="K8570">
        <v>0</v>
      </c>
      <c r="L8570">
        <v>0.56000000000000005</v>
      </c>
      <c r="M8570">
        <v>92.855000000000004</v>
      </c>
      <c r="N8570">
        <v>3896.72325</v>
      </c>
      <c r="O8570" s="1" t="s">
        <v>29</v>
      </c>
      <c r="P8570" s="1" t="s">
        <v>9529</v>
      </c>
      <c r="Q8570" s="1" t="s">
        <v>9530</v>
      </c>
      <c r="R8570" s="1" t="s">
        <v>32</v>
      </c>
      <c r="S8570" s="1" t="s">
        <v>1928</v>
      </c>
      <c r="T8570" s="1" t="s">
        <v>1929</v>
      </c>
      <c r="U8570" s="2" t="s">
        <v>481</v>
      </c>
      <c r="V8570" s="2" t="s">
        <v>36</v>
      </c>
      <c r="W8570" s="2" t="s">
        <v>142</v>
      </c>
      <c r="X8570" s="2">
        <v>1071.49</v>
      </c>
    </row>
    <row r="8571" spans="1:24" x14ac:dyDescent="0.3">
      <c r="A8571">
        <v>26366</v>
      </c>
      <c r="B8571" t="s">
        <v>15805</v>
      </c>
      <c r="C8571" s="3">
        <v>41985</v>
      </c>
      <c r="D8571" t="s">
        <v>50</v>
      </c>
      <c r="E8571">
        <v>9</v>
      </c>
      <c r="F8571" s="3">
        <f ca="1">41987+(RANDBETWEEN(1,10))</f>
        <v>41997</v>
      </c>
      <c r="G8571" t="s">
        <v>26</v>
      </c>
      <c r="H8571" t="s">
        <v>51</v>
      </c>
      <c r="I8571" t="s">
        <v>28</v>
      </c>
      <c r="J8571">
        <v>3216.395</v>
      </c>
      <c r="K8571">
        <v>0.02</v>
      </c>
      <c r="L8571">
        <v>0.35</v>
      </c>
      <c r="M8571">
        <v>31.465</v>
      </c>
      <c r="N8571">
        <v>2219.3125500000001</v>
      </c>
      <c r="O8571" s="1" t="s">
        <v>87</v>
      </c>
      <c r="P8571" s="1" t="s">
        <v>15806</v>
      </c>
      <c r="Q8571" s="1" t="s">
        <v>15807</v>
      </c>
      <c r="R8571" s="1" t="s">
        <v>646</v>
      </c>
      <c r="S8571" s="1" t="s">
        <v>5762</v>
      </c>
      <c r="T8571" s="1" t="s">
        <v>5763</v>
      </c>
      <c r="U8571" s="2" t="s">
        <v>177</v>
      </c>
      <c r="V8571" s="2" t="s">
        <v>83</v>
      </c>
      <c r="W8571" s="2" t="s">
        <v>178</v>
      </c>
      <c r="X8571" s="2">
        <v>347.30500000000001</v>
      </c>
    </row>
    <row r="8572" spans="1:24" x14ac:dyDescent="0.3">
      <c r="A8572">
        <v>26367</v>
      </c>
      <c r="B8572" t="s">
        <v>15805</v>
      </c>
      <c r="C8572" s="3">
        <v>41985</v>
      </c>
      <c r="D8572" t="s">
        <v>50</v>
      </c>
      <c r="E8572">
        <v>12</v>
      </c>
      <c r="F8572" s="3">
        <f ca="1">41986+(RANDBETWEEN(1,10))</f>
        <v>41991</v>
      </c>
      <c r="G8572" t="s">
        <v>76</v>
      </c>
      <c r="H8572" t="s">
        <v>77</v>
      </c>
      <c r="I8572" t="s">
        <v>28</v>
      </c>
      <c r="J8572">
        <v>7714.49</v>
      </c>
      <c r="K8572">
        <v>0.04</v>
      </c>
      <c r="L8572">
        <v>0.69</v>
      </c>
      <c r="M8572">
        <v>105</v>
      </c>
      <c r="N8572">
        <v>1917.7267199999999</v>
      </c>
      <c r="O8572" s="1" t="s">
        <v>87</v>
      </c>
      <c r="P8572" s="1" t="s">
        <v>15808</v>
      </c>
      <c r="Q8572" s="1" t="s">
        <v>15809</v>
      </c>
      <c r="R8572" s="1" t="s">
        <v>497</v>
      </c>
      <c r="S8572" s="1" t="s">
        <v>15810</v>
      </c>
      <c r="T8572" s="1" t="s">
        <v>15811</v>
      </c>
      <c r="U8572" s="2" t="s">
        <v>5090</v>
      </c>
      <c r="V8572" s="2" t="s">
        <v>83</v>
      </c>
      <c r="W8572" s="2" t="s">
        <v>84</v>
      </c>
      <c r="X8572" s="2">
        <v>633.42999999999995</v>
      </c>
    </row>
    <row r="8573" spans="1:24" x14ac:dyDescent="0.3">
      <c r="A8573">
        <v>26368</v>
      </c>
      <c r="B8573" t="s">
        <v>15805</v>
      </c>
      <c r="C8573" s="3">
        <v>41985</v>
      </c>
      <c r="D8573" t="s">
        <v>50</v>
      </c>
      <c r="E8573">
        <v>14</v>
      </c>
      <c r="F8573" s="3">
        <f ca="1">41986+(RANDBETWEEN(1,10))</f>
        <v>41993</v>
      </c>
      <c r="G8573" t="s">
        <v>76</v>
      </c>
      <c r="H8573" t="s">
        <v>258</v>
      </c>
      <c r="I8573" t="s">
        <v>28</v>
      </c>
      <c r="J8573">
        <v>42684.53</v>
      </c>
      <c r="K8573">
        <v>0.04</v>
      </c>
      <c r="L8573">
        <v>0.62</v>
      </c>
      <c r="M8573">
        <v>155.92500000000001</v>
      </c>
      <c r="N8573">
        <v>-11303.606159999999</v>
      </c>
      <c r="O8573" s="1" t="s">
        <v>40</v>
      </c>
      <c r="P8573" s="1" t="s">
        <v>15795</v>
      </c>
      <c r="Q8573" s="1" t="s">
        <v>15796</v>
      </c>
      <c r="R8573" s="1" t="s">
        <v>220</v>
      </c>
      <c r="S8573" s="1" t="s">
        <v>9391</v>
      </c>
      <c r="T8573" s="1" t="s">
        <v>9392</v>
      </c>
      <c r="U8573" s="2" t="s">
        <v>1930</v>
      </c>
      <c r="V8573" s="2" t="s">
        <v>83</v>
      </c>
      <c r="W8573" s="2" t="s">
        <v>298</v>
      </c>
      <c r="X8573" s="2">
        <v>3083.43</v>
      </c>
    </row>
    <row r="8574" spans="1:24" x14ac:dyDescent="0.3">
      <c r="A8574">
        <v>26369</v>
      </c>
      <c r="B8574" t="s">
        <v>15805</v>
      </c>
      <c r="C8574" s="3">
        <v>41985</v>
      </c>
      <c r="D8574" t="s">
        <v>50</v>
      </c>
      <c r="E8574">
        <v>22</v>
      </c>
      <c r="F8574" s="3">
        <f ca="1">41986+(RANDBETWEEN(1,10))</f>
        <v>41994</v>
      </c>
      <c r="G8574" t="s">
        <v>156</v>
      </c>
      <c r="H8574" t="s">
        <v>27</v>
      </c>
      <c r="I8574" t="s">
        <v>28</v>
      </c>
      <c r="J8574">
        <v>469.38499999999999</v>
      </c>
      <c r="K8574">
        <v>0</v>
      </c>
      <c r="L8574">
        <v>0.35</v>
      </c>
      <c r="M8574">
        <v>18.55</v>
      </c>
      <c r="N8574">
        <v>-71.630160000000004</v>
      </c>
      <c r="O8574" s="1" t="s">
        <v>53</v>
      </c>
      <c r="P8574" s="1" t="s">
        <v>12669</v>
      </c>
      <c r="Q8574" s="1" t="s">
        <v>12670</v>
      </c>
      <c r="R8574" s="1" t="s">
        <v>56</v>
      </c>
      <c r="S8574" s="1" t="s">
        <v>159</v>
      </c>
      <c r="T8574" s="1" t="s">
        <v>12671</v>
      </c>
      <c r="U8574" s="2" t="s">
        <v>2464</v>
      </c>
      <c r="V8574" s="2" t="s">
        <v>47</v>
      </c>
      <c r="W8574" s="2" t="s">
        <v>48</v>
      </c>
      <c r="X8574" s="2">
        <v>19.53</v>
      </c>
    </row>
    <row r="8575" spans="1:24" x14ac:dyDescent="0.3">
      <c r="A8575">
        <v>26370</v>
      </c>
      <c r="B8575" t="s">
        <v>15805</v>
      </c>
      <c r="C8575" s="3">
        <v>41985</v>
      </c>
      <c r="D8575" t="s">
        <v>50</v>
      </c>
      <c r="E8575">
        <v>12</v>
      </c>
      <c r="F8575" s="3">
        <f ca="1">41986+(RANDBETWEEN(1,10))</f>
        <v>41994</v>
      </c>
      <c r="G8575" t="s">
        <v>26</v>
      </c>
      <c r="H8575" t="s">
        <v>27</v>
      </c>
      <c r="I8575" t="s">
        <v>28</v>
      </c>
      <c r="J8575">
        <v>302.95999999999998</v>
      </c>
      <c r="K8575">
        <v>0.1</v>
      </c>
      <c r="L8575">
        <v>0.37</v>
      </c>
      <c r="M8575">
        <v>39.024999999999999</v>
      </c>
      <c r="N8575">
        <v>-195.69816</v>
      </c>
      <c r="O8575" s="1" t="s">
        <v>53</v>
      </c>
      <c r="P8575" s="1" t="s">
        <v>12669</v>
      </c>
      <c r="Q8575" s="1" t="s">
        <v>12670</v>
      </c>
      <c r="R8575" s="1" t="s">
        <v>56</v>
      </c>
      <c r="S8575" s="1" t="s">
        <v>159</v>
      </c>
      <c r="T8575" s="1" t="s">
        <v>12671</v>
      </c>
      <c r="U8575" s="2" t="s">
        <v>4160</v>
      </c>
      <c r="V8575" s="2" t="s">
        <v>47</v>
      </c>
      <c r="W8575" s="2" t="s">
        <v>74</v>
      </c>
      <c r="X8575" s="2">
        <v>25.48</v>
      </c>
    </row>
    <row r="8576" spans="1:24" x14ac:dyDescent="0.3">
      <c r="A8576">
        <v>26371</v>
      </c>
      <c r="B8576" t="s">
        <v>15812</v>
      </c>
      <c r="C8576" s="3">
        <v>41140</v>
      </c>
      <c r="D8576" t="s">
        <v>25</v>
      </c>
      <c r="E8576">
        <v>16</v>
      </c>
      <c r="F8576" s="3">
        <f ca="1">41145+(RANDBETWEEN(1,10))</f>
        <v>41149</v>
      </c>
      <c r="G8576" t="s">
        <v>26</v>
      </c>
      <c r="H8576" t="s">
        <v>51</v>
      </c>
      <c r="I8576" t="s">
        <v>28</v>
      </c>
      <c r="J8576">
        <v>120.435</v>
      </c>
      <c r="K8576">
        <v>0.01</v>
      </c>
      <c r="L8576">
        <v>0.55000000000000004</v>
      </c>
      <c r="M8576">
        <v>8.9600000000000009</v>
      </c>
      <c r="N8576">
        <v>-109.3274</v>
      </c>
      <c r="O8576" s="1" t="s">
        <v>53</v>
      </c>
      <c r="P8576" s="1" t="s">
        <v>10096</v>
      </c>
      <c r="Q8576" s="1" t="s">
        <v>10097</v>
      </c>
      <c r="R8576" s="1" t="s">
        <v>440</v>
      </c>
      <c r="S8576" s="1" t="s">
        <v>10098</v>
      </c>
      <c r="T8576" s="1" t="s">
        <v>10099</v>
      </c>
      <c r="U8576" s="2" t="s">
        <v>401</v>
      </c>
      <c r="V8576" s="2" t="s">
        <v>47</v>
      </c>
      <c r="W8576" s="2" t="s">
        <v>94</v>
      </c>
      <c r="X8576" s="2">
        <v>7.28</v>
      </c>
    </row>
    <row r="8577" spans="1:24" x14ac:dyDescent="0.3">
      <c r="A8577">
        <v>26372</v>
      </c>
      <c r="B8577" t="s">
        <v>15813</v>
      </c>
      <c r="C8577" s="3">
        <v>41341</v>
      </c>
      <c r="D8577" t="s">
        <v>50</v>
      </c>
      <c r="E8577">
        <v>3</v>
      </c>
      <c r="F8577" s="3">
        <f ca="1">41343+(RANDBETWEEN(1,10))</f>
        <v>41353</v>
      </c>
      <c r="G8577" t="s">
        <v>26</v>
      </c>
      <c r="H8577" t="s">
        <v>27</v>
      </c>
      <c r="I8577" t="s">
        <v>97</v>
      </c>
      <c r="J8577">
        <v>121.345</v>
      </c>
      <c r="K8577">
        <v>0.08</v>
      </c>
      <c r="L8577">
        <v>0.4</v>
      </c>
      <c r="M8577">
        <v>19.704999999999998</v>
      </c>
      <c r="N8577">
        <v>-1109.605</v>
      </c>
      <c r="O8577" s="1" t="s">
        <v>64</v>
      </c>
      <c r="P8577" s="1" t="s">
        <v>14019</v>
      </c>
      <c r="Q8577" s="1" t="s">
        <v>14020</v>
      </c>
      <c r="R8577" s="1" t="s">
        <v>67</v>
      </c>
      <c r="S8577" s="1" t="s">
        <v>14021</v>
      </c>
      <c r="T8577" s="1" t="s">
        <v>14022</v>
      </c>
      <c r="U8577" s="2" t="s">
        <v>941</v>
      </c>
      <c r="V8577" s="2" t="s">
        <v>47</v>
      </c>
      <c r="W8577" s="2" t="s">
        <v>111</v>
      </c>
      <c r="X8577" s="2">
        <v>40.950000000000003</v>
      </c>
    </row>
    <row r="8578" spans="1:24" x14ac:dyDescent="0.3">
      <c r="A8578">
        <v>26373</v>
      </c>
      <c r="B8578" t="s">
        <v>15813</v>
      </c>
      <c r="C8578" s="3">
        <v>41341</v>
      </c>
      <c r="D8578" t="s">
        <v>50</v>
      </c>
      <c r="E8578">
        <v>4</v>
      </c>
      <c r="F8578" s="3">
        <f ca="1">41342+(RANDBETWEEN(1,10))</f>
        <v>41351</v>
      </c>
      <c r="G8578" t="s">
        <v>26</v>
      </c>
      <c r="H8578" t="s">
        <v>27</v>
      </c>
      <c r="I8578" t="s">
        <v>97</v>
      </c>
      <c r="J8578">
        <v>443.48500000000001</v>
      </c>
      <c r="K8578">
        <v>0.02</v>
      </c>
      <c r="L8578">
        <v>0.64</v>
      </c>
      <c r="M8578">
        <v>22.75</v>
      </c>
      <c r="N8578">
        <v>-595.74199999999996</v>
      </c>
      <c r="O8578" s="1" t="s">
        <v>64</v>
      </c>
      <c r="P8578" s="1" t="s">
        <v>14019</v>
      </c>
      <c r="Q8578" s="1" t="s">
        <v>14020</v>
      </c>
      <c r="R8578" s="1" t="s">
        <v>67</v>
      </c>
      <c r="S8578" s="1" t="s">
        <v>14021</v>
      </c>
      <c r="T8578" s="1" t="s">
        <v>14022</v>
      </c>
      <c r="U8578" s="2" t="s">
        <v>2033</v>
      </c>
      <c r="V8578" s="2" t="s">
        <v>36</v>
      </c>
      <c r="W8578" s="2" t="s">
        <v>60</v>
      </c>
      <c r="X8578" s="2">
        <v>108.43</v>
      </c>
    </row>
    <row r="8579" spans="1:24" x14ac:dyDescent="0.3">
      <c r="A8579">
        <v>26374</v>
      </c>
      <c r="B8579" t="s">
        <v>15814</v>
      </c>
      <c r="C8579" s="3">
        <v>41447</v>
      </c>
      <c r="D8579" t="s">
        <v>148</v>
      </c>
      <c r="E8579">
        <v>19</v>
      </c>
      <c r="F8579" s="3">
        <f ca="1">41447+(RANDBETWEEN(1,10))</f>
        <v>41450</v>
      </c>
      <c r="G8579" t="s">
        <v>26</v>
      </c>
      <c r="H8579" t="s">
        <v>27</v>
      </c>
      <c r="I8579" t="s">
        <v>52</v>
      </c>
      <c r="J8579">
        <v>13388.514999999999</v>
      </c>
      <c r="K8579">
        <v>0</v>
      </c>
      <c r="L8579">
        <v>0.71</v>
      </c>
      <c r="M8579">
        <v>69.965000000000003</v>
      </c>
      <c r="N8579">
        <v>6915.0060000000003</v>
      </c>
      <c r="O8579" s="1" t="s">
        <v>87</v>
      </c>
      <c r="P8579" s="1" t="s">
        <v>6241</v>
      </c>
      <c r="Q8579" s="1" t="s">
        <v>6242</v>
      </c>
      <c r="R8579" s="1" t="s">
        <v>497</v>
      </c>
      <c r="S8579" s="1" t="s">
        <v>6243</v>
      </c>
      <c r="T8579" s="1" t="s">
        <v>6244</v>
      </c>
      <c r="U8579" s="2" t="s">
        <v>624</v>
      </c>
      <c r="V8579" s="2" t="s">
        <v>47</v>
      </c>
      <c r="W8579" s="2" t="s">
        <v>119</v>
      </c>
      <c r="X8579" s="2">
        <v>676.09500000000003</v>
      </c>
    </row>
    <row r="8580" spans="1:24" x14ac:dyDescent="0.3">
      <c r="A8580">
        <v>26375</v>
      </c>
      <c r="B8580" t="s">
        <v>15814</v>
      </c>
      <c r="C8580" s="3">
        <v>41447</v>
      </c>
      <c r="D8580" t="s">
        <v>148</v>
      </c>
      <c r="E8580">
        <v>1</v>
      </c>
      <c r="F8580" s="3">
        <f ca="1">41448+(RANDBETWEEN(1,10))</f>
        <v>41449</v>
      </c>
      <c r="G8580" t="s">
        <v>26</v>
      </c>
      <c r="H8580" t="s">
        <v>51</v>
      </c>
      <c r="I8580" t="s">
        <v>52</v>
      </c>
      <c r="J8580">
        <v>50.715000000000003</v>
      </c>
      <c r="K8580">
        <v>0.06</v>
      </c>
      <c r="L8580">
        <v>0.48</v>
      </c>
      <c r="M8580">
        <v>17.43</v>
      </c>
      <c r="N8580">
        <v>-51.491999999999997</v>
      </c>
      <c r="O8580" s="1" t="s">
        <v>87</v>
      </c>
      <c r="P8580" s="1" t="s">
        <v>15815</v>
      </c>
      <c r="Q8580" s="1" t="s">
        <v>15816</v>
      </c>
      <c r="R8580" s="1" t="s">
        <v>90</v>
      </c>
      <c r="S8580" s="1" t="s">
        <v>1680</v>
      </c>
      <c r="T8580" s="1" t="s">
        <v>1681</v>
      </c>
      <c r="U8580" s="2" t="s">
        <v>430</v>
      </c>
      <c r="V8580" s="2" t="s">
        <v>83</v>
      </c>
      <c r="W8580" s="2" t="s">
        <v>178</v>
      </c>
      <c r="X8580" s="2">
        <v>44.24</v>
      </c>
    </row>
    <row r="8581" spans="1:24" x14ac:dyDescent="0.3">
      <c r="A8581">
        <v>26376</v>
      </c>
      <c r="B8581" t="s">
        <v>15817</v>
      </c>
      <c r="C8581" s="3">
        <v>41258</v>
      </c>
      <c r="D8581" t="s">
        <v>50</v>
      </c>
      <c r="E8581">
        <v>6</v>
      </c>
      <c r="F8581" s="3">
        <f ca="1">41260+(RANDBETWEEN(1,10))</f>
        <v>41268</v>
      </c>
      <c r="G8581" t="s">
        <v>26</v>
      </c>
      <c r="H8581" t="s">
        <v>96</v>
      </c>
      <c r="I8581" t="s">
        <v>52</v>
      </c>
      <c r="J8581">
        <v>77.349999999999994</v>
      </c>
      <c r="K8581">
        <v>0.09</v>
      </c>
      <c r="L8581">
        <v>0.35</v>
      </c>
      <c r="M8581">
        <v>6.7549999999999999</v>
      </c>
      <c r="N8581">
        <v>-1.855</v>
      </c>
      <c r="O8581" s="1" t="s">
        <v>87</v>
      </c>
      <c r="P8581" s="1" t="s">
        <v>15818</v>
      </c>
      <c r="Q8581" s="1" t="s">
        <v>15819</v>
      </c>
      <c r="R8581" s="1" t="s">
        <v>90</v>
      </c>
      <c r="S8581" s="1" t="s">
        <v>993</v>
      </c>
      <c r="T8581" s="1" t="s">
        <v>994</v>
      </c>
      <c r="U8581" s="2" t="s">
        <v>4373</v>
      </c>
      <c r="V8581" s="2" t="s">
        <v>47</v>
      </c>
      <c r="W8581" s="2" t="s">
        <v>74</v>
      </c>
      <c r="X8581" s="2">
        <v>12.984999999999999</v>
      </c>
    </row>
    <row r="8582" spans="1:24" x14ac:dyDescent="0.3">
      <c r="A8582">
        <v>26377</v>
      </c>
      <c r="B8582" t="s">
        <v>15820</v>
      </c>
      <c r="C8582" s="3">
        <v>40899</v>
      </c>
      <c r="D8582" t="s">
        <v>25</v>
      </c>
      <c r="E8582">
        <v>19</v>
      </c>
      <c r="F8582" s="3">
        <f ca="1">40903+(RANDBETWEEN(1,10))</f>
        <v>40908</v>
      </c>
      <c r="G8582" t="s">
        <v>26</v>
      </c>
      <c r="H8582" t="s">
        <v>96</v>
      </c>
      <c r="I8582" t="s">
        <v>52</v>
      </c>
      <c r="J8582">
        <v>316.82</v>
      </c>
      <c r="K8582">
        <v>0.04</v>
      </c>
      <c r="L8582">
        <v>0.8</v>
      </c>
      <c r="M8582">
        <v>2.4500000000000002</v>
      </c>
      <c r="N8582">
        <v>15.855</v>
      </c>
      <c r="O8582" s="1" t="s">
        <v>29</v>
      </c>
      <c r="P8582" s="1" t="s">
        <v>9714</v>
      </c>
      <c r="Q8582" s="1" t="s">
        <v>9715</v>
      </c>
      <c r="R8582" s="1" t="s">
        <v>32</v>
      </c>
      <c r="S8582" s="1" t="s">
        <v>9716</v>
      </c>
      <c r="T8582" s="1" t="s">
        <v>9717</v>
      </c>
      <c r="U8582" s="2" t="s">
        <v>1308</v>
      </c>
      <c r="V8582" s="2" t="s">
        <v>47</v>
      </c>
      <c r="W8582" s="2" t="s">
        <v>176</v>
      </c>
      <c r="X8582" s="2">
        <v>16.484999999999999</v>
      </c>
    </row>
    <row r="8583" spans="1:24" x14ac:dyDescent="0.3">
      <c r="A8583">
        <v>26378</v>
      </c>
      <c r="B8583" t="s">
        <v>15820</v>
      </c>
      <c r="C8583" s="3">
        <v>40899</v>
      </c>
      <c r="D8583" t="s">
        <v>25</v>
      </c>
      <c r="E8583">
        <v>13</v>
      </c>
      <c r="F8583" s="3">
        <f ca="1">40904+(RANDBETWEEN(1,10))</f>
        <v>40907</v>
      </c>
      <c r="G8583" t="s">
        <v>26</v>
      </c>
      <c r="H8583" t="s">
        <v>96</v>
      </c>
      <c r="I8583" t="s">
        <v>52</v>
      </c>
      <c r="J8583">
        <v>195.89500000000001</v>
      </c>
      <c r="K8583">
        <v>0.06</v>
      </c>
      <c r="L8583">
        <v>0.36</v>
      </c>
      <c r="M8583">
        <v>7.91</v>
      </c>
      <c r="N8583">
        <v>34.229999999999997</v>
      </c>
      <c r="O8583" s="1" t="s">
        <v>53</v>
      </c>
      <c r="P8583" s="1" t="s">
        <v>15821</v>
      </c>
      <c r="Q8583" s="1" t="s">
        <v>15822</v>
      </c>
      <c r="R8583" s="1" t="s">
        <v>56</v>
      </c>
      <c r="S8583" s="1" t="s">
        <v>2255</v>
      </c>
      <c r="T8583" s="1" t="s">
        <v>2256</v>
      </c>
      <c r="U8583" s="2" t="s">
        <v>11875</v>
      </c>
      <c r="V8583" s="2" t="s">
        <v>47</v>
      </c>
      <c r="W8583" s="2" t="s">
        <v>74</v>
      </c>
      <c r="X8583" s="2">
        <v>14.7</v>
      </c>
    </row>
    <row r="8584" spans="1:24" x14ac:dyDescent="0.3">
      <c r="A8584">
        <v>26379</v>
      </c>
      <c r="B8584" t="s">
        <v>15823</v>
      </c>
      <c r="C8584" s="3">
        <v>41787</v>
      </c>
      <c r="D8584" t="s">
        <v>39</v>
      </c>
      <c r="E8584">
        <v>2</v>
      </c>
      <c r="F8584" s="3">
        <f ca="1">41788+(RANDBETWEEN(1,10))</f>
        <v>41798</v>
      </c>
      <c r="G8584" t="s">
        <v>26</v>
      </c>
      <c r="H8584" t="s">
        <v>281</v>
      </c>
      <c r="I8584" t="s">
        <v>28</v>
      </c>
      <c r="J8584">
        <v>131.14500000000001</v>
      </c>
      <c r="K8584">
        <v>0.1</v>
      </c>
      <c r="L8584">
        <v>0.4</v>
      </c>
      <c r="M8584">
        <v>29.785</v>
      </c>
      <c r="N8584">
        <v>-163.60785000000001</v>
      </c>
      <c r="O8584" s="1" t="s">
        <v>40</v>
      </c>
      <c r="P8584" s="1" t="s">
        <v>15824</v>
      </c>
      <c r="Q8584" s="1" t="s">
        <v>15825</v>
      </c>
      <c r="R8584" s="1" t="s">
        <v>43</v>
      </c>
      <c r="S8584" s="1" t="s">
        <v>2373</v>
      </c>
      <c r="T8584" s="1" t="s">
        <v>15826</v>
      </c>
      <c r="U8584" s="2" t="s">
        <v>282</v>
      </c>
      <c r="V8584" s="2" t="s">
        <v>36</v>
      </c>
      <c r="W8584" s="2" t="s">
        <v>142</v>
      </c>
      <c r="X8584" s="2">
        <v>62.93</v>
      </c>
    </row>
    <row r="8585" spans="1:24" x14ac:dyDescent="0.3">
      <c r="A8585">
        <v>26380</v>
      </c>
      <c r="B8585" t="s">
        <v>15823</v>
      </c>
      <c r="C8585" s="3">
        <v>41787</v>
      </c>
      <c r="D8585" t="s">
        <v>39</v>
      </c>
      <c r="E8585">
        <v>7</v>
      </c>
      <c r="F8585" s="3">
        <f ca="1">41788+(RANDBETWEEN(1,10))</f>
        <v>41790</v>
      </c>
      <c r="G8585" t="s">
        <v>26</v>
      </c>
      <c r="H8585" t="s">
        <v>27</v>
      </c>
      <c r="I8585" t="s">
        <v>28</v>
      </c>
      <c r="J8585">
        <v>265.93</v>
      </c>
      <c r="K8585">
        <v>0.08</v>
      </c>
      <c r="L8585">
        <v>0.59</v>
      </c>
      <c r="M8585">
        <v>26.11</v>
      </c>
      <c r="N8585">
        <v>-320.77499999999998</v>
      </c>
      <c r="O8585" s="1" t="s">
        <v>40</v>
      </c>
      <c r="P8585" s="1" t="s">
        <v>15824</v>
      </c>
      <c r="Q8585" s="1" t="s">
        <v>15825</v>
      </c>
      <c r="R8585" s="1" t="s">
        <v>43</v>
      </c>
      <c r="S8585" s="1" t="s">
        <v>2373</v>
      </c>
      <c r="T8585" s="1" t="s">
        <v>15826</v>
      </c>
      <c r="U8585" s="2" t="s">
        <v>2766</v>
      </c>
      <c r="V8585" s="2" t="s">
        <v>47</v>
      </c>
      <c r="W8585" s="2" t="s">
        <v>119</v>
      </c>
      <c r="X8585" s="2">
        <v>38.15</v>
      </c>
    </row>
    <row r="8586" spans="1:24" x14ac:dyDescent="0.3">
      <c r="A8586">
        <v>26381</v>
      </c>
      <c r="B8586" t="s">
        <v>15827</v>
      </c>
      <c r="C8586" s="3">
        <v>41707</v>
      </c>
      <c r="D8586" t="s">
        <v>50</v>
      </c>
      <c r="E8586">
        <v>8</v>
      </c>
      <c r="F8586" s="3">
        <f ca="1">41709+(RANDBETWEEN(1,10))</f>
        <v>41717</v>
      </c>
      <c r="G8586" t="s">
        <v>156</v>
      </c>
      <c r="H8586" t="s">
        <v>51</v>
      </c>
      <c r="I8586" t="s">
        <v>28</v>
      </c>
      <c r="J8586">
        <v>837.72500000000002</v>
      </c>
      <c r="K8586">
        <v>0.04</v>
      </c>
      <c r="L8586">
        <v>0.39</v>
      </c>
      <c r="M8586">
        <v>11.55</v>
      </c>
      <c r="N8586">
        <v>262.48320000000001</v>
      </c>
      <c r="O8586" s="1" t="s">
        <v>225</v>
      </c>
      <c r="P8586" s="1" t="s">
        <v>15828</v>
      </c>
      <c r="Q8586" s="1" t="s">
        <v>15829</v>
      </c>
      <c r="R8586" s="1" t="s">
        <v>228</v>
      </c>
      <c r="S8586" s="1" t="s">
        <v>11250</v>
      </c>
      <c r="T8586" s="1" t="s">
        <v>11251</v>
      </c>
      <c r="U8586" s="2" t="s">
        <v>5976</v>
      </c>
      <c r="V8586" s="2" t="s">
        <v>36</v>
      </c>
      <c r="W8586" s="2" t="s">
        <v>37</v>
      </c>
      <c r="X8586" s="2">
        <v>125.965</v>
      </c>
    </row>
    <row r="8587" spans="1:24" x14ac:dyDescent="0.3">
      <c r="A8587">
        <v>26382</v>
      </c>
      <c r="B8587" t="s">
        <v>15830</v>
      </c>
      <c r="C8587" s="3">
        <v>41743</v>
      </c>
      <c r="D8587" t="s">
        <v>39</v>
      </c>
      <c r="E8587">
        <v>5</v>
      </c>
      <c r="F8587" s="3">
        <f ca="1">41745+(RANDBETWEEN(1,10))</f>
        <v>41752</v>
      </c>
      <c r="G8587" t="s">
        <v>26</v>
      </c>
      <c r="H8587" t="s">
        <v>51</v>
      </c>
      <c r="I8587" t="s">
        <v>86</v>
      </c>
      <c r="J8587">
        <v>146.685</v>
      </c>
      <c r="K8587">
        <v>0.09</v>
      </c>
      <c r="L8587">
        <v>0.49</v>
      </c>
      <c r="M8587">
        <v>6.9649999999999999</v>
      </c>
      <c r="N8587">
        <v>29.05</v>
      </c>
      <c r="O8587" s="1" t="s">
        <v>87</v>
      </c>
      <c r="P8587" s="1" t="s">
        <v>15831</v>
      </c>
      <c r="Q8587" s="1" t="s">
        <v>15832</v>
      </c>
      <c r="R8587" s="1" t="s">
        <v>497</v>
      </c>
      <c r="S8587" s="1" t="s">
        <v>1224</v>
      </c>
      <c r="T8587" s="1" t="s">
        <v>1225</v>
      </c>
      <c r="U8587" s="2" t="s">
        <v>2723</v>
      </c>
      <c r="V8587" s="2" t="s">
        <v>36</v>
      </c>
      <c r="W8587" s="2" t="s">
        <v>60</v>
      </c>
      <c r="X8587" s="2">
        <v>29.75</v>
      </c>
    </row>
    <row r="8588" spans="1:24" x14ac:dyDescent="0.3">
      <c r="A8588">
        <v>26383</v>
      </c>
      <c r="B8588" t="s">
        <v>15830</v>
      </c>
      <c r="C8588" s="3">
        <v>41743</v>
      </c>
      <c r="D8588" t="s">
        <v>39</v>
      </c>
      <c r="E8588">
        <v>2</v>
      </c>
      <c r="F8588" s="3">
        <f ca="1">41745+(RANDBETWEEN(1,10))</f>
        <v>41751</v>
      </c>
      <c r="G8588" t="s">
        <v>26</v>
      </c>
      <c r="H8588" t="s">
        <v>96</v>
      </c>
      <c r="I8588" t="s">
        <v>86</v>
      </c>
      <c r="J8588">
        <v>56.91</v>
      </c>
      <c r="K8588">
        <v>0</v>
      </c>
      <c r="L8588">
        <v>0.4</v>
      </c>
      <c r="M8588">
        <v>5.9850000000000003</v>
      </c>
      <c r="N8588">
        <v>20.824999999999999</v>
      </c>
      <c r="O8588" s="1" t="s">
        <v>87</v>
      </c>
      <c r="P8588" s="1" t="s">
        <v>15831</v>
      </c>
      <c r="Q8588" s="1" t="s">
        <v>15832</v>
      </c>
      <c r="R8588" s="1" t="s">
        <v>497</v>
      </c>
      <c r="S8588" s="1" t="s">
        <v>1224</v>
      </c>
      <c r="T8588" s="1" t="s">
        <v>1225</v>
      </c>
      <c r="U8588" s="2" t="s">
        <v>5167</v>
      </c>
      <c r="V8588" s="2" t="s">
        <v>47</v>
      </c>
      <c r="W8588" s="2" t="s">
        <v>74</v>
      </c>
      <c r="X8588" s="2">
        <v>25.9</v>
      </c>
    </row>
    <row r="8589" spans="1:24" x14ac:dyDescent="0.3">
      <c r="A8589">
        <v>26384</v>
      </c>
      <c r="B8589" t="s">
        <v>15830</v>
      </c>
      <c r="C8589" s="3">
        <v>41743</v>
      </c>
      <c r="D8589" t="s">
        <v>39</v>
      </c>
      <c r="E8589">
        <v>1</v>
      </c>
      <c r="F8589" s="3">
        <f ca="1">41744+(RANDBETWEEN(1,10))</f>
        <v>41754</v>
      </c>
      <c r="G8589" t="s">
        <v>156</v>
      </c>
      <c r="H8589" t="s">
        <v>96</v>
      </c>
      <c r="I8589" t="s">
        <v>86</v>
      </c>
      <c r="J8589">
        <v>18.55</v>
      </c>
      <c r="K8589">
        <v>0.01</v>
      </c>
      <c r="L8589">
        <v>0.44</v>
      </c>
      <c r="M8589">
        <v>4.2</v>
      </c>
      <c r="N8589">
        <v>9.1349999999999998</v>
      </c>
      <c r="O8589" s="1" t="s">
        <v>87</v>
      </c>
      <c r="P8589" s="1" t="s">
        <v>15831</v>
      </c>
      <c r="Q8589" s="1" t="s">
        <v>15832</v>
      </c>
      <c r="R8589" s="1" t="s">
        <v>497</v>
      </c>
      <c r="S8589" s="1" t="s">
        <v>1224</v>
      </c>
      <c r="T8589" s="1" t="s">
        <v>1225</v>
      </c>
      <c r="U8589" s="2" t="s">
        <v>103</v>
      </c>
      <c r="V8589" s="2" t="s">
        <v>47</v>
      </c>
      <c r="W8589" s="2" t="s">
        <v>104</v>
      </c>
      <c r="X8589" s="2">
        <v>14.91</v>
      </c>
    </row>
    <row r="8590" spans="1:24" x14ac:dyDescent="0.3">
      <c r="A8590">
        <v>26385</v>
      </c>
      <c r="B8590" t="s">
        <v>15833</v>
      </c>
      <c r="C8590" s="3">
        <v>41779</v>
      </c>
      <c r="D8590" t="s">
        <v>39</v>
      </c>
      <c r="E8590">
        <v>10</v>
      </c>
      <c r="F8590" s="3">
        <f ca="1">41781+(RANDBETWEEN(1,10))</f>
        <v>41788</v>
      </c>
      <c r="G8590" t="s">
        <v>26</v>
      </c>
      <c r="H8590" t="s">
        <v>96</v>
      </c>
      <c r="I8590" t="s">
        <v>97</v>
      </c>
      <c r="J8590">
        <v>311.64</v>
      </c>
      <c r="K8590">
        <v>0.03</v>
      </c>
      <c r="L8590">
        <v>0.4</v>
      </c>
      <c r="M8590">
        <v>7.5250000000000004</v>
      </c>
      <c r="N8590">
        <v>215.0316</v>
      </c>
      <c r="O8590" s="1" t="s">
        <v>87</v>
      </c>
      <c r="P8590" s="1" t="s">
        <v>11283</v>
      </c>
      <c r="Q8590" s="1" t="s">
        <v>11284</v>
      </c>
      <c r="R8590" s="1" t="s">
        <v>90</v>
      </c>
      <c r="S8590" s="1" t="s">
        <v>5257</v>
      </c>
      <c r="T8590" s="1" t="s">
        <v>5258</v>
      </c>
      <c r="U8590" s="2" t="s">
        <v>4359</v>
      </c>
      <c r="V8590" s="2" t="s">
        <v>47</v>
      </c>
      <c r="W8590" s="2" t="s">
        <v>74</v>
      </c>
      <c r="X8590" s="2">
        <v>31.885000000000002</v>
      </c>
    </row>
    <row r="8591" spans="1:24" x14ac:dyDescent="0.3">
      <c r="A8591">
        <v>26386</v>
      </c>
      <c r="B8591" t="s">
        <v>15834</v>
      </c>
      <c r="C8591" s="3">
        <v>41856</v>
      </c>
      <c r="D8591" t="s">
        <v>25</v>
      </c>
      <c r="E8591">
        <v>6</v>
      </c>
      <c r="F8591" s="3">
        <f ca="1">41858+(RANDBETWEEN(1,10))</f>
        <v>41866</v>
      </c>
      <c r="G8591" t="s">
        <v>76</v>
      </c>
      <c r="H8591" t="s">
        <v>77</v>
      </c>
      <c r="I8591" t="s">
        <v>86</v>
      </c>
      <c r="J8591">
        <v>2396.835</v>
      </c>
      <c r="K8591">
        <v>0.06</v>
      </c>
      <c r="L8591">
        <v>0.4</v>
      </c>
      <c r="M8591">
        <v>196.49</v>
      </c>
      <c r="N8591">
        <v>-434.2934904</v>
      </c>
      <c r="O8591" s="1" t="s">
        <v>40</v>
      </c>
      <c r="P8591" s="1" t="s">
        <v>15835</v>
      </c>
      <c r="Q8591" s="1" t="s">
        <v>15836</v>
      </c>
      <c r="R8591" s="1" t="s">
        <v>43</v>
      </c>
      <c r="S8591" s="1" t="s">
        <v>15837</v>
      </c>
      <c r="T8591" s="1" t="s">
        <v>15838</v>
      </c>
      <c r="U8591" s="2" t="s">
        <v>898</v>
      </c>
      <c r="V8591" s="2" t="s">
        <v>36</v>
      </c>
      <c r="W8591" s="2" t="s">
        <v>142</v>
      </c>
      <c r="X8591" s="2">
        <v>405.96499999999997</v>
      </c>
    </row>
    <row r="8592" spans="1:24" x14ac:dyDescent="0.3">
      <c r="A8592">
        <v>26387</v>
      </c>
      <c r="B8592" t="s">
        <v>15834</v>
      </c>
      <c r="C8592" s="3">
        <v>41856</v>
      </c>
      <c r="D8592" t="s">
        <v>25</v>
      </c>
      <c r="E8592">
        <v>23</v>
      </c>
      <c r="F8592" s="3">
        <f ca="1">41863+(RANDBETWEEN(1,10))</f>
        <v>41866</v>
      </c>
      <c r="G8592" t="s">
        <v>156</v>
      </c>
      <c r="H8592" t="s">
        <v>27</v>
      </c>
      <c r="I8592" t="s">
        <v>86</v>
      </c>
      <c r="J8592">
        <v>720.23</v>
      </c>
      <c r="K8592">
        <v>0.09</v>
      </c>
      <c r="L8592">
        <v>0.56999999999999995</v>
      </c>
      <c r="M8592">
        <v>25.48</v>
      </c>
      <c r="N8592">
        <v>-279.02168</v>
      </c>
      <c r="O8592" s="1" t="s">
        <v>40</v>
      </c>
      <c r="P8592" s="1" t="s">
        <v>15835</v>
      </c>
      <c r="Q8592" s="1" t="s">
        <v>15836</v>
      </c>
      <c r="R8592" s="1" t="s">
        <v>43</v>
      </c>
      <c r="S8592" s="1" t="s">
        <v>15837</v>
      </c>
      <c r="T8592" s="1" t="s">
        <v>15838</v>
      </c>
      <c r="U8592" s="2" t="s">
        <v>6887</v>
      </c>
      <c r="V8592" s="2" t="s">
        <v>47</v>
      </c>
      <c r="W8592" s="2" t="s">
        <v>119</v>
      </c>
      <c r="X8592" s="2">
        <v>32.83</v>
      </c>
    </row>
    <row r="8593" spans="1:24" x14ac:dyDescent="0.3">
      <c r="A8593">
        <v>26388</v>
      </c>
      <c r="B8593" t="s">
        <v>15839</v>
      </c>
      <c r="C8593" s="3">
        <v>41626</v>
      </c>
      <c r="D8593" t="s">
        <v>50</v>
      </c>
      <c r="E8593">
        <v>1</v>
      </c>
      <c r="F8593" s="3">
        <f ca="1">41627+(RANDBETWEEN(1,10))</f>
        <v>41635</v>
      </c>
      <c r="G8593" t="s">
        <v>26</v>
      </c>
      <c r="H8593" t="s">
        <v>96</v>
      </c>
      <c r="I8593" t="s">
        <v>28</v>
      </c>
      <c r="J8593">
        <v>37.064999999999998</v>
      </c>
      <c r="K8593">
        <v>0.1</v>
      </c>
      <c r="L8593">
        <v>0.4</v>
      </c>
      <c r="M8593">
        <v>7.5250000000000004</v>
      </c>
      <c r="N8593">
        <v>-808.10799999999995</v>
      </c>
      <c r="O8593" s="1" t="s">
        <v>64</v>
      </c>
      <c r="P8593" s="1" t="s">
        <v>3595</v>
      </c>
      <c r="Q8593" s="1" t="s">
        <v>3596</v>
      </c>
      <c r="R8593" s="1" t="s">
        <v>67</v>
      </c>
      <c r="S8593" s="1" t="s">
        <v>3597</v>
      </c>
      <c r="T8593" s="1" t="s">
        <v>3598</v>
      </c>
      <c r="U8593" s="2" t="s">
        <v>4359</v>
      </c>
      <c r="V8593" s="2" t="s">
        <v>47</v>
      </c>
      <c r="W8593" s="2" t="s">
        <v>74</v>
      </c>
      <c r="X8593" s="2">
        <v>31.885000000000002</v>
      </c>
    </row>
    <row r="8594" spans="1:24" x14ac:dyDescent="0.3">
      <c r="A8594">
        <v>26389</v>
      </c>
      <c r="B8594" t="s">
        <v>15840</v>
      </c>
      <c r="C8594" s="3">
        <v>40905</v>
      </c>
      <c r="D8594" t="s">
        <v>39</v>
      </c>
      <c r="E8594">
        <v>3</v>
      </c>
      <c r="F8594" s="3">
        <f ca="1">40906+(RANDBETWEEN(1,10))</f>
        <v>40912</v>
      </c>
      <c r="G8594" t="s">
        <v>26</v>
      </c>
      <c r="H8594" t="s">
        <v>27</v>
      </c>
      <c r="I8594" t="s">
        <v>86</v>
      </c>
      <c r="J8594">
        <v>353.95499999999998</v>
      </c>
      <c r="K8594">
        <v>0.02</v>
      </c>
      <c r="L8594">
        <v>0.4</v>
      </c>
      <c r="M8594">
        <v>59.78</v>
      </c>
      <c r="N8594">
        <v>-56.49</v>
      </c>
      <c r="O8594" s="1" t="s">
        <v>64</v>
      </c>
      <c r="P8594" s="1" t="s">
        <v>15651</v>
      </c>
      <c r="Q8594" s="1" t="s">
        <v>15652</v>
      </c>
      <c r="R8594" s="1" t="s">
        <v>67</v>
      </c>
      <c r="S8594" s="1" t="s">
        <v>7889</v>
      </c>
      <c r="T8594" s="1" t="s">
        <v>15653</v>
      </c>
      <c r="U8594" s="2" t="s">
        <v>6956</v>
      </c>
      <c r="V8594" s="2" t="s">
        <v>47</v>
      </c>
      <c r="W8594" s="2" t="s">
        <v>74</v>
      </c>
      <c r="X8594" s="2">
        <v>108.43</v>
      </c>
    </row>
    <row r="8595" spans="1:24" x14ac:dyDescent="0.3">
      <c r="A8595">
        <v>26390</v>
      </c>
      <c r="B8595" t="s">
        <v>15841</v>
      </c>
      <c r="C8595" s="3">
        <v>41153</v>
      </c>
      <c r="D8595" t="s">
        <v>148</v>
      </c>
      <c r="E8595">
        <v>19</v>
      </c>
      <c r="F8595" s="3">
        <f ca="1">41153+(RANDBETWEEN(1,10))</f>
        <v>41162</v>
      </c>
      <c r="G8595" t="s">
        <v>26</v>
      </c>
      <c r="H8595" t="s">
        <v>96</v>
      </c>
      <c r="I8595" t="s">
        <v>86</v>
      </c>
      <c r="J8595">
        <v>207.34</v>
      </c>
      <c r="K8595">
        <v>0.05</v>
      </c>
      <c r="L8595">
        <v>0.84</v>
      </c>
      <c r="M8595">
        <v>6.72</v>
      </c>
      <c r="N8595">
        <v>-91.433999999999997</v>
      </c>
      <c r="O8595" s="1" t="s">
        <v>40</v>
      </c>
      <c r="P8595" s="1" t="s">
        <v>4259</v>
      </c>
      <c r="Q8595" s="1" t="s">
        <v>4260</v>
      </c>
      <c r="R8595" s="1" t="s">
        <v>220</v>
      </c>
      <c r="S8595" s="1" t="s">
        <v>1455</v>
      </c>
      <c r="T8595" s="1" t="s">
        <v>1456</v>
      </c>
      <c r="U8595" s="2" t="s">
        <v>524</v>
      </c>
      <c r="V8595" s="2" t="s">
        <v>47</v>
      </c>
      <c r="W8595" s="2" t="s">
        <v>94</v>
      </c>
      <c r="X8595" s="2">
        <v>10.99</v>
      </c>
    </row>
    <row r="8596" spans="1:24" x14ac:dyDescent="0.3">
      <c r="A8596">
        <v>26391</v>
      </c>
      <c r="B8596" t="s">
        <v>15842</v>
      </c>
      <c r="C8596" s="3">
        <v>41678</v>
      </c>
      <c r="D8596" t="s">
        <v>148</v>
      </c>
      <c r="E8596">
        <v>12</v>
      </c>
      <c r="F8596" s="3">
        <f ca="1">41680+(RANDBETWEEN(1,10))</f>
        <v>41681</v>
      </c>
      <c r="G8596" t="s">
        <v>26</v>
      </c>
      <c r="H8596" t="s">
        <v>51</v>
      </c>
      <c r="I8596" t="s">
        <v>28</v>
      </c>
      <c r="J8596">
        <v>638.47</v>
      </c>
      <c r="K8596">
        <v>7.0000000000000007E-2</v>
      </c>
      <c r="L8596">
        <v>0.64</v>
      </c>
      <c r="M8596">
        <v>31.465</v>
      </c>
      <c r="N8596">
        <v>-940.27499999999998</v>
      </c>
      <c r="O8596" s="1" t="s">
        <v>29</v>
      </c>
      <c r="P8596" s="1" t="s">
        <v>11403</v>
      </c>
      <c r="Q8596" s="1" t="s">
        <v>11404</v>
      </c>
      <c r="R8596" s="1" t="s">
        <v>32</v>
      </c>
      <c r="S8596" s="1" t="s">
        <v>3689</v>
      </c>
      <c r="T8596" s="1" t="s">
        <v>3690</v>
      </c>
      <c r="U8596" s="2" t="s">
        <v>3697</v>
      </c>
      <c r="V8596" s="2" t="s">
        <v>36</v>
      </c>
      <c r="W8596" s="2" t="s">
        <v>60</v>
      </c>
      <c r="X8596" s="2">
        <v>55.93</v>
      </c>
    </row>
    <row r="8597" spans="1:24" x14ac:dyDescent="0.3">
      <c r="A8597">
        <v>26392</v>
      </c>
      <c r="B8597" t="s">
        <v>15843</v>
      </c>
      <c r="C8597" s="3">
        <v>41799</v>
      </c>
      <c r="D8597" t="s">
        <v>62</v>
      </c>
      <c r="E8597">
        <v>16</v>
      </c>
      <c r="F8597" s="3">
        <f ca="1">41800+(RANDBETWEEN(1,10))</f>
        <v>41802</v>
      </c>
      <c r="G8597" t="s">
        <v>26</v>
      </c>
      <c r="H8597" t="s">
        <v>27</v>
      </c>
      <c r="I8597" t="s">
        <v>97</v>
      </c>
      <c r="J8597">
        <v>885.11500000000001</v>
      </c>
      <c r="K8597">
        <v>0</v>
      </c>
      <c r="L8597">
        <v>0.39</v>
      </c>
      <c r="M8597">
        <v>29.4</v>
      </c>
      <c r="N8597">
        <v>24423.3066</v>
      </c>
      <c r="O8597" s="1" t="s">
        <v>53</v>
      </c>
      <c r="P8597" s="1" t="s">
        <v>14042</v>
      </c>
      <c r="Q8597" s="1" t="s">
        <v>14043</v>
      </c>
      <c r="R8597" s="1" t="s">
        <v>440</v>
      </c>
      <c r="S8597" s="1" t="s">
        <v>9191</v>
      </c>
      <c r="T8597" s="1" t="s">
        <v>9192</v>
      </c>
      <c r="U8597" s="2" t="s">
        <v>110</v>
      </c>
      <c r="V8597" s="2" t="s">
        <v>47</v>
      </c>
      <c r="W8597" s="2" t="s">
        <v>111</v>
      </c>
      <c r="X8597" s="2">
        <v>52.534999999999997</v>
      </c>
    </row>
    <row r="8598" spans="1:24" x14ac:dyDescent="0.3">
      <c r="A8598">
        <v>26393</v>
      </c>
      <c r="B8598" t="s">
        <v>15844</v>
      </c>
      <c r="C8598" s="3">
        <v>41650</v>
      </c>
      <c r="D8598" t="s">
        <v>39</v>
      </c>
      <c r="E8598">
        <v>12</v>
      </c>
      <c r="F8598" s="3">
        <f ca="1">41652+(RANDBETWEEN(1,10))</f>
        <v>41655</v>
      </c>
      <c r="G8598" t="s">
        <v>26</v>
      </c>
      <c r="H8598" t="s">
        <v>27</v>
      </c>
      <c r="I8598" t="s">
        <v>97</v>
      </c>
      <c r="J8598">
        <v>437.745</v>
      </c>
      <c r="K8598">
        <v>0.01</v>
      </c>
      <c r="L8598">
        <v>0.37</v>
      </c>
      <c r="M8598">
        <v>4.8650000000000002</v>
      </c>
      <c r="N8598">
        <v>-6.3209999999999997</v>
      </c>
      <c r="O8598" s="1" t="s">
        <v>87</v>
      </c>
      <c r="P8598" s="1" t="s">
        <v>15405</v>
      </c>
      <c r="Q8598" s="1" t="s">
        <v>15406</v>
      </c>
      <c r="R8598" s="1" t="s">
        <v>90</v>
      </c>
      <c r="S8598" s="1" t="s">
        <v>1318</v>
      </c>
      <c r="T8598" s="1" t="s">
        <v>1319</v>
      </c>
      <c r="U8598" s="2" t="s">
        <v>611</v>
      </c>
      <c r="V8598" s="2" t="s">
        <v>47</v>
      </c>
      <c r="W8598" s="2" t="s">
        <v>48</v>
      </c>
      <c r="X8598" s="2">
        <v>34.65</v>
      </c>
    </row>
    <row r="8599" spans="1:24" x14ac:dyDescent="0.3">
      <c r="A8599">
        <v>26394</v>
      </c>
      <c r="B8599" t="s">
        <v>15844</v>
      </c>
      <c r="C8599" s="3">
        <v>41650</v>
      </c>
      <c r="D8599" t="s">
        <v>39</v>
      </c>
      <c r="E8599">
        <v>4</v>
      </c>
      <c r="F8599" s="3">
        <f ca="1">41651+(RANDBETWEEN(1,10))</f>
        <v>41657</v>
      </c>
      <c r="G8599" t="s">
        <v>26</v>
      </c>
      <c r="H8599" t="s">
        <v>27</v>
      </c>
      <c r="I8599" t="s">
        <v>97</v>
      </c>
      <c r="J8599">
        <v>240.625</v>
      </c>
      <c r="K8599">
        <v>0</v>
      </c>
      <c r="L8599">
        <v>0.6</v>
      </c>
      <c r="M8599">
        <v>39.375</v>
      </c>
      <c r="N8599">
        <v>-164.00299999999999</v>
      </c>
      <c r="O8599" s="1" t="s">
        <v>87</v>
      </c>
      <c r="P8599" s="1" t="s">
        <v>15405</v>
      </c>
      <c r="Q8599" s="1" t="s">
        <v>15406</v>
      </c>
      <c r="R8599" s="1" t="s">
        <v>90</v>
      </c>
      <c r="S8599" s="1" t="s">
        <v>1318</v>
      </c>
      <c r="T8599" s="1" t="s">
        <v>1319</v>
      </c>
      <c r="U8599" s="2" t="s">
        <v>742</v>
      </c>
      <c r="V8599" s="2" t="s">
        <v>47</v>
      </c>
      <c r="W8599" s="2" t="s">
        <v>119</v>
      </c>
      <c r="X8599" s="2">
        <v>54.95</v>
      </c>
    </row>
    <row r="8600" spans="1:24" x14ac:dyDescent="0.3">
      <c r="A8600">
        <v>26395</v>
      </c>
      <c r="B8600" t="s">
        <v>15845</v>
      </c>
      <c r="C8600" s="3">
        <v>41425</v>
      </c>
      <c r="D8600" t="s">
        <v>62</v>
      </c>
      <c r="E8600">
        <v>10</v>
      </c>
      <c r="F8600" s="3">
        <f ca="1">41427+(RANDBETWEEN(1,10))</f>
        <v>41437</v>
      </c>
      <c r="G8600" t="s">
        <v>156</v>
      </c>
      <c r="H8600" t="s">
        <v>51</v>
      </c>
      <c r="I8600" t="s">
        <v>97</v>
      </c>
      <c r="J8600">
        <v>589.29499999999996</v>
      </c>
      <c r="K8600">
        <v>0.01</v>
      </c>
      <c r="L8600">
        <v>0.64</v>
      </c>
      <c r="M8600">
        <v>31.465</v>
      </c>
      <c r="N8600">
        <v>-440.3</v>
      </c>
      <c r="O8600" s="1" t="s">
        <v>53</v>
      </c>
      <c r="P8600" s="1" t="s">
        <v>13684</v>
      </c>
      <c r="Q8600" s="1" t="s">
        <v>13685</v>
      </c>
      <c r="R8600" s="1" t="s">
        <v>56</v>
      </c>
      <c r="S8600" s="1" t="s">
        <v>13686</v>
      </c>
      <c r="T8600" s="1" t="s">
        <v>13687</v>
      </c>
      <c r="U8600" s="2" t="s">
        <v>3697</v>
      </c>
      <c r="V8600" s="2" t="s">
        <v>36</v>
      </c>
      <c r="W8600" s="2" t="s">
        <v>60</v>
      </c>
      <c r="X8600" s="2">
        <v>55.93</v>
      </c>
    </row>
    <row r="8601" spans="1:24" x14ac:dyDescent="0.3">
      <c r="A8601">
        <v>26396</v>
      </c>
      <c r="B8601" t="s">
        <v>15845</v>
      </c>
      <c r="C8601" s="3">
        <v>41425</v>
      </c>
      <c r="D8601" t="s">
        <v>62</v>
      </c>
      <c r="E8601">
        <v>18</v>
      </c>
      <c r="F8601" s="3">
        <f ca="1">41427+(RANDBETWEEN(1,10))</f>
        <v>41430</v>
      </c>
      <c r="G8601" t="s">
        <v>26</v>
      </c>
      <c r="H8601" t="s">
        <v>27</v>
      </c>
      <c r="I8601" t="s">
        <v>97</v>
      </c>
      <c r="J8601">
        <v>720.79</v>
      </c>
      <c r="K8601">
        <v>0.08</v>
      </c>
      <c r="L8601">
        <v>0.38</v>
      </c>
      <c r="M8601">
        <v>22.645</v>
      </c>
      <c r="N8601">
        <v>-37.94</v>
      </c>
      <c r="O8601" s="1" t="s">
        <v>53</v>
      </c>
      <c r="P8601" s="1" t="s">
        <v>13684</v>
      </c>
      <c r="Q8601" s="1" t="s">
        <v>13685</v>
      </c>
      <c r="R8601" s="1" t="s">
        <v>56</v>
      </c>
      <c r="S8601" s="1" t="s">
        <v>13686</v>
      </c>
      <c r="T8601" s="1" t="s">
        <v>13687</v>
      </c>
      <c r="U8601" s="2" t="s">
        <v>2420</v>
      </c>
      <c r="V8601" s="2" t="s">
        <v>47</v>
      </c>
      <c r="W8601" s="2" t="s">
        <v>74</v>
      </c>
      <c r="X8601" s="2">
        <v>42.98</v>
      </c>
    </row>
    <row r="8602" spans="1:24" x14ac:dyDescent="0.3">
      <c r="A8602">
        <v>26397</v>
      </c>
      <c r="B8602" t="s">
        <v>15845</v>
      </c>
      <c r="C8602" s="3">
        <v>41425</v>
      </c>
      <c r="D8602" t="s">
        <v>62</v>
      </c>
      <c r="E8602">
        <v>5</v>
      </c>
      <c r="F8602" s="3">
        <f ca="1">41427+(RANDBETWEEN(1,10))</f>
        <v>41433</v>
      </c>
      <c r="G8602" t="s">
        <v>156</v>
      </c>
      <c r="H8602" t="s">
        <v>27</v>
      </c>
      <c r="I8602" t="s">
        <v>97</v>
      </c>
      <c r="J8602">
        <v>519.57500000000005</v>
      </c>
      <c r="K8602">
        <v>0.1</v>
      </c>
      <c r="L8602">
        <v>0.4</v>
      </c>
      <c r="M8602">
        <v>17.815000000000001</v>
      </c>
      <c r="N8602">
        <v>295.85500000000002</v>
      </c>
      <c r="O8602" s="1" t="s">
        <v>53</v>
      </c>
      <c r="P8602" s="1" t="s">
        <v>13684</v>
      </c>
      <c r="Q8602" s="1" t="s">
        <v>13685</v>
      </c>
      <c r="R8602" s="1" t="s">
        <v>56</v>
      </c>
      <c r="S8602" s="1" t="s">
        <v>13686</v>
      </c>
      <c r="T8602" s="1" t="s">
        <v>13687</v>
      </c>
      <c r="U8602" s="2" t="s">
        <v>4417</v>
      </c>
      <c r="V8602" s="2" t="s">
        <v>47</v>
      </c>
      <c r="W8602" s="2" t="s">
        <v>74</v>
      </c>
      <c r="X8602" s="2">
        <v>108.43</v>
      </c>
    </row>
    <row r="8603" spans="1:24" x14ac:dyDescent="0.3">
      <c r="A8603">
        <v>26398</v>
      </c>
      <c r="B8603" t="s">
        <v>15846</v>
      </c>
      <c r="C8603" s="3">
        <v>41593</v>
      </c>
      <c r="D8603" t="s">
        <v>25</v>
      </c>
      <c r="E8603">
        <v>25</v>
      </c>
      <c r="F8603" s="3">
        <f ca="1">41593+(RANDBETWEEN(1,10))</f>
        <v>41603</v>
      </c>
      <c r="G8603" t="s">
        <v>76</v>
      </c>
      <c r="H8603" t="s">
        <v>77</v>
      </c>
      <c r="I8603" t="s">
        <v>86</v>
      </c>
      <c r="J8603">
        <v>33309.605000000003</v>
      </c>
      <c r="K8603">
        <v>0.06</v>
      </c>
      <c r="L8603">
        <v>0.59</v>
      </c>
      <c r="M8603">
        <v>51.45</v>
      </c>
      <c r="N8603">
        <v>-73.843000000000004</v>
      </c>
      <c r="O8603" s="1" t="s">
        <v>64</v>
      </c>
      <c r="P8603" s="1" t="s">
        <v>15068</v>
      </c>
      <c r="Q8603" s="1" t="s">
        <v>15069</v>
      </c>
      <c r="R8603" s="1" t="s">
        <v>128</v>
      </c>
      <c r="S8603" s="1" t="s">
        <v>1532</v>
      </c>
      <c r="T8603" s="1" t="s">
        <v>1533</v>
      </c>
      <c r="U8603" s="2" t="s">
        <v>9752</v>
      </c>
      <c r="V8603" s="2" t="s">
        <v>36</v>
      </c>
      <c r="W8603" s="2" t="s">
        <v>142</v>
      </c>
      <c r="X8603" s="2">
        <v>1403.395</v>
      </c>
    </row>
    <row r="8604" spans="1:24" x14ac:dyDescent="0.3">
      <c r="A8604">
        <v>26399</v>
      </c>
      <c r="B8604" t="s">
        <v>15846</v>
      </c>
      <c r="C8604" s="3">
        <v>41593</v>
      </c>
      <c r="D8604" t="s">
        <v>25</v>
      </c>
      <c r="E8604">
        <v>26</v>
      </c>
      <c r="F8604" s="3">
        <f ca="1">41597+(RANDBETWEEN(1,10))</f>
        <v>41605</v>
      </c>
      <c r="G8604" t="s">
        <v>76</v>
      </c>
      <c r="H8604" t="s">
        <v>258</v>
      </c>
      <c r="I8604" t="s">
        <v>86</v>
      </c>
      <c r="J8604">
        <v>15114.924999999999</v>
      </c>
      <c r="K8604">
        <v>7.0000000000000007E-2</v>
      </c>
      <c r="L8604">
        <v>0.68</v>
      </c>
      <c r="M8604">
        <v>101.85</v>
      </c>
      <c r="N8604">
        <v>5.1051000000000002</v>
      </c>
      <c r="O8604" s="1" t="s">
        <v>64</v>
      </c>
      <c r="P8604" s="1" t="s">
        <v>15068</v>
      </c>
      <c r="Q8604" s="1" t="s">
        <v>15069</v>
      </c>
      <c r="R8604" s="1" t="s">
        <v>128</v>
      </c>
      <c r="S8604" s="1" t="s">
        <v>1532</v>
      </c>
      <c r="T8604" s="1" t="s">
        <v>1533</v>
      </c>
      <c r="U8604" s="2" t="s">
        <v>13573</v>
      </c>
      <c r="V8604" s="2" t="s">
        <v>83</v>
      </c>
      <c r="W8604" s="2" t="s">
        <v>263</v>
      </c>
      <c r="X8604" s="2">
        <v>762.47500000000002</v>
      </c>
    </row>
    <row r="8605" spans="1:24" x14ac:dyDescent="0.3">
      <c r="A8605">
        <v>265</v>
      </c>
      <c r="B8605" t="s">
        <v>15847</v>
      </c>
      <c r="C8605" s="3">
        <v>41766</v>
      </c>
      <c r="D8605" t="s">
        <v>39</v>
      </c>
      <c r="E8605">
        <v>62</v>
      </c>
      <c r="F8605" s="3">
        <f ca="1">41767+(RANDBETWEEN(1,10))</f>
        <v>41777</v>
      </c>
      <c r="G8605" t="s">
        <v>26</v>
      </c>
      <c r="H8605" t="s">
        <v>27</v>
      </c>
      <c r="I8605" t="s">
        <v>86</v>
      </c>
      <c r="J8605">
        <v>601.44000000000005</v>
      </c>
      <c r="K8605">
        <v>7.0000000000000007E-2</v>
      </c>
      <c r="L8605">
        <v>0.36</v>
      </c>
      <c r="M8605">
        <v>5.2149999999999999</v>
      </c>
      <c r="N8605">
        <v>23.562000000000001</v>
      </c>
      <c r="O8605" s="1" t="s">
        <v>40</v>
      </c>
      <c r="P8605" s="1" t="s">
        <v>15848</v>
      </c>
      <c r="Q8605" s="1" t="s">
        <v>15849</v>
      </c>
      <c r="R8605" s="1" t="s">
        <v>43</v>
      </c>
      <c r="S8605" s="1" t="s">
        <v>44</v>
      </c>
      <c r="T8605" s="1" t="s">
        <v>15850</v>
      </c>
      <c r="U8605" s="2" t="s">
        <v>1534</v>
      </c>
      <c r="V8605" s="2" t="s">
        <v>47</v>
      </c>
      <c r="W8605" s="2" t="s">
        <v>111</v>
      </c>
      <c r="X8605" s="2">
        <v>9.73</v>
      </c>
    </row>
    <row r="8606" spans="1:24" x14ac:dyDescent="0.3">
      <c r="A8606">
        <v>2655</v>
      </c>
      <c r="B8606" t="s">
        <v>15851</v>
      </c>
      <c r="C8606" s="3">
        <v>41116</v>
      </c>
      <c r="D8606" t="s">
        <v>148</v>
      </c>
      <c r="E8606">
        <v>56</v>
      </c>
      <c r="F8606" s="3">
        <f ca="1">41117+(RANDBETWEEN(1,10))</f>
        <v>41119</v>
      </c>
      <c r="G8606" t="s">
        <v>26</v>
      </c>
      <c r="H8606" t="s">
        <v>27</v>
      </c>
      <c r="I8606" t="s">
        <v>86</v>
      </c>
      <c r="J8606">
        <v>5385.2049999999999</v>
      </c>
      <c r="K8606">
        <v>0.04</v>
      </c>
      <c r="L8606">
        <v>0.39</v>
      </c>
      <c r="M8606">
        <v>20.51</v>
      </c>
      <c r="N8606">
        <v>1678.67</v>
      </c>
      <c r="O8606" s="1" t="s">
        <v>64</v>
      </c>
      <c r="P8606" s="1" t="s">
        <v>15852</v>
      </c>
      <c r="Q8606" s="1" t="s">
        <v>15853</v>
      </c>
      <c r="R8606" s="1" t="s">
        <v>128</v>
      </c>
      <c r="S8606" s="1" t="s">
        <v>129</v>
      </c>
      <c r="T8606" s="1" t="s">
        <v>15854</v>
      </c>
      <c r="U8606" s="2" t="s">
        <v>5644</v>
      </c>
      <c r="V8606" s="2" t="s">
        <v>47</v>
      </c>
      <c r="W8606" s="2" t="s">
        <v>74</v>
      </c>
      <c r="X8606" s="2">
        <v>92.33</v>
      </c>
    </row>
    <row r="8607" spans="1:24" x14ac:dyDescent="0.3">
      <c r="A8607">
        <v>2656</v>
      </c>
      <c r="B8607" t="s">
        <v>15851</v>
      </c>
      <c r="C8607" s="3">
        <v>41116</v>
      </c>
      <c r="D8607" t="s">
        <v>148</v>
      </c>
      <c r="E8607">
        <v>37</v>
      </c>
      <c r="F8607" s="3">
        <f ca="1">41118+(RANDBETWEEN(1,10))</f>
        <v>41121</v>
      </c>
      <c r="G8607" t="s">
        <v>26</v>
      </c>
      <c r="H8607" t="s">
        <v>96</v>
      </c>
      <c r="I8607" t="s">
        <v>86</v>
      </c>
      <c r="J8607">
        <v>451.04500000000002</v>
      </c>
      <c r="K8607">
        <v>0</v>
      </c>
      <c r="L8607">
        <v>0.41</v>
      </c>
      <c r="M8607">
        <v>6.51</v>
      </c>
      <c r="N8607">
        <v>8.26</v>
      </c>
      <c r="O8607" s="1" t="s">
        <v>64</v>
      </c>
      <c r="P8607" s="1" t="s">
        <v>15852</v>
      </c>
      <c r="Q8607" s="1" t="s">
        <v>15853</v>
      </c>
      <c r="R8607" s="1" t="s">
        <v>128</v>
      </c>
      <c r="S8607" s="1" t="s">
        <v>129</v>
      </c>
      <c r="T8607" s="1" t="s">
        <v>15854</v>
      </c>
      <c r="U8607" s="2" t="s">
        <v>2287</v>
      </c>
      <c r="V8607" s="2" t="s">
        <v>47</v>
      </c>
      <c r="W8607" s="2" t="s">
        <v>104</v>
      </c>
      <c r="X8607" s="2">
        <v>11.41</v>
      </c>
    </row>
    <row r="8608" spans="1:24" x14ac:dyDescent="0.3">
      <c r="A8608">
        <v>267</v>
      </c>
      <c r="B8608" t="s">
        <v>15855</v>
      </c>
      <c r="C8608" s="3">
        <v>41717</v>
      </c>
      <c r="D8608" t="s">
        <v>50</v>
      </c>
      <c r="E8608">
        <v>24</v>
      </c>
      <c r="F8608" s="3">
        <f ca="1">41719+(RANDBETWEEN(1,10))</f>
        <v>41720</v>
      </c>
      <c r="G8608" t="s">
        <v>26</v>
      </c>
      <c r="H8608" t="s">
        <v>63</v>
      </c>
      <c r="I8608" t="s">
        <v>97</v>
      </c>
      <c r="J8608">
        <v>5072.55</v>
      </c>
      <c r="K8608">
        <v>0.08</v>
      </c>
      <c r="L8608">
        <v>0.59</v>
      </c>
      <c r="M8608">
        <v>171.5</v>
      </c>
      <c r="N8608">
        <v>-2492.4899999999998</v>
      </c>
      <c r="O8608" s="1" t="s">
        <v>40</v>
      </c>
      <c r="P8608" s="1" t="s">
        <v>15856</v>
      </c>
      <c r="Q8608" s="1" t="s">
        <v>15857</v>
      </c>
      <c r="R8608" s="1" t="s">
        <v>220</v>
      </c>
      <c r="S8608" s="1" t="s">
        <v>221</v>
      </c>
      <c r="T8608" s="1" t="s">
        <v>15858</v>
      </c>
      <c r="U8608" s="2" t="s">
        <v>1546</v>
      </c>
      <c r="V8608" s="2" t="s">
        <v>47</v>
      </c>
      <c r="W8608" s="2" t="s">
        <v>71</v>
      </c>
      <c r="X8608" s="2">
        <v>213.43</v>
      </c>
    </row>
    <row r="8609" spans="1:24" x14ac:dyDescent="0.3">
      <c r="A8609">
        <v>2672</v>
      </c>
      <c r="B8609" t="s">
        <v>15859</v>
      </c>
      <c r="C8609" s="3">
        <v>41697</v>
      </c>
      <c r="D8609" t="s">
        <v>39</v>
      </c>
      <c r="E8609">
        <v>46</v>
      </c>
      <c r="F8609" s="3">
        <f ca="1">41699+(RANDBETWEEN(1,10))</f>
        <v>41701</v>
      </c>
      <c r="G8609" t="s">
        <v>76</v>
      </c>
      <c r="H8609" t="s">
        <v>258</v>
      </c>
      <c r="I8609" t="s">
        <v>52</v>
      </c>
      <c r="J8609">
        <v>28864.01</v>
      </c>
      <c r="K8609">
        <v>0.06</v>
      </c>
      <c r="L8609">
        <v>0.74</v>
      </c>
      <c r="M8609">
        <v>102.235</v>
      </c>
      <c r="N8609">
        <v>-1516.5155004999999</v>
      </c>
      <c r="O8609" s="1" t="s">
        <v>53</v>
      </c>
      <c r="P8609" s="1" t="s">
        <v>10270</v>
      </c>
      <c r="Q8609" s="1" t="s">
        <v>10271</v>
      </c>
      <c r="R8609" s="1" t="s">
        <v>100</v>
      </c>
      <c r="S8609" s="1" t="s">
        <v>101</v>
      </c>
      <c r="T8609" s="1" t="s">
        <v>10272</v>
      </c>
      <c r="U8609" s="2" t="s">
        <v>1724</v>
      </c>
      <c r="V8609" s="2" t="s">
        <v>83</v>
      </c>
      <c r="W8609" s="2" t="s">
        <v>263</v>
      </c>
      <c r="X8609" s="2">
        <v>627.51499999999999</v>
      </c>
    </row>
    <row r="8610" spans="1:24" x14ac:dyDescent="0.3">
      <c r="A8610">
        <v>2678</v>
      </c>
      <c r="B8610" t="s">
        <v>15860</v>
      </c>
      <c r="C8610" s="3">
        <v>41290</v>
      </c>
      <c r="D8610" t="s">
        <v>148</v>
      </c>
      <c r="E8610">
        <v>32</v>
      </c>
      <c r="F8610" s="3">
        <f ca="1">41291+(RANDBETWEEN(1,10))</f>
        <v>41296</v>
      </c>
      <c r="G8610" t="s">
        <v>26</v>
      </c>
      <c r="H8610" t="s">
        <v>27</v>
      </c>
      <c r="I8610" t="s">
        <v>86</v>
      </c>
      <c r="J8610">
        <v>702.24</v>
      </c>
      <c r="K8610">
        <v>0.03</v>
      </c>
      <c r="L8610">
        <v>0.36</v>
      </c>
      <c r="M8610">
        <v>18.2</v>
      </c>
      <c r="N8610">
        <v>-242.816</v>
      </c>
      <c r="O8610" s="1" t="s">
        <v>29</v>
      </c>
      <c r="P8610" s="1" t="s">
        <v>10720</v>
      </c>
      <c r="Q8610" s="1" t="s">
        <v>10721</v>
      </c>
      <c r="R8610" s="1" t="s">
        <v>32</v>
      </c>
      <c r="S8610" s="1" t="s">
        <v>33</v>
      </c>
      <c r="T8610" s="1" t="s">
        <v>10722</v>
      </c>
      <c r="U8610" s="2" t="s">
        <v>2553</v>
      </c>
      <c r="V8610" s="2" t="s">
        <v>47</v>
      </c>
      <c r="W8610" s="2" t="s">
        <v>74</v>
      </c>
      <c r="X8610" s="2">
        <v>20.93</v>
      </c>
    </row>
    <row r="8611" spans="1:24" x14ac:dyDescent="0.3">
      <c r="A8611">
        <v>268</v>
      </c>
      <c r="B8611" t="s">
        <v>15855</v>
      </c>
      <c r="C8611" s="3">
        <v>41717</v>
      </c>
      <c r="D8611" t="s">
        <v>50</v>
      </c>
      <c r="E8611">
        <v>43</v>
      </c>
      <c r="F8611" s="3">
        <f ca="1">41718+(RANDBETWEEN(1,10))</f>
        <v>41720</v>
      </c>
      <c r="G8611" t="s">
        <v>26</v>
      </c>
      <c r="H8611" t="s">
        <v>27</v>
      </c>
      <c r="I8611" t="s">
        <v>97</v>
      </c>
      <c r="J8611">
        <v>15311.415000000001</v>
      </c>
      <c r="K8611">
        <v>0.05</v>
      </c>
      <c r="L8611">
        <v>0.56999999999999995</v>
      </c>
      <c r="M8611">
        <v>28.28</v>
      </c>
      <c r="N8611">
        <v>3406.0635000000002</v>
      </c>
      <c r="O8611" s="1" t="s">
        <v>40</v>
      </c>
      <c r="P8611" s="1" t="s">
        <v>15856</v>
      </c>
      <c r="Q8611" s="1" t="s">
        <v>15857</v>
      </c>
      <c r="R8611" s="1" t="s">
        <v>220</v>
      </c>
      <c r="S8611" s="1" t="s">
        <v>221</v>
      </c>
      <c r="T8611" s="1" t="s">
        <v>15858</v>
      </c>
      <c r="U8611" s="2" t="s">
        <v>1547</v>
      </c>
      <c r="V8611" s="2" t="s">
        <v>36</v>
      </c>
      <c r="W8611" s="2" t="s">
        <v>37</v>
      </c>
      <c r="X8611" s="2">
        <v>440.96499999999997</v>
      </c>
    </row>
    <row r="8612" spans="1:24" x14ac:dyDescent="0.3">
      <c r="A8612">
        <v>2680</v>
      </c>
      <c r="B8612" t="s">
        <v>15861</v>
      </c>
      <c r="C8612" s="3">
        <v>41998</v>
      </c>
      <c r="D8612" t="s">
        <v>148</v>
      </c>
      <c r="E8612">
        <v>32</v>
      </c>
      <c r="F8612" s="3">
        <f ca="1">41999+(RANDBETWEEN(1,10))</f>
        <v>42001</v>
      </c>
      <c r="G8612" t="s">
        <v>26</v>
      </c>
      <c r="H8612" t="s">
        <v>96</v>
      </c>
      <c r="I8612" t="s">
        <v>28</v>
      </c>
      <c r="J8612">
        <v>1955.2750000000001</v>
      </c>
      <c r="K8612">
        <v>0.05</v>
      </c>
      <c r="L8612">
        <v>0.37</v>
      </c>
      <c r="M8612">
        <v>3.4649999999999999</v>
      </c>
      <c r="N8612">
        <v>263.24549999999999</v>
      </c>
      <c r="O8612" s="1" t="s">
        <v>64</v>
      </c>
      <c r="P8612" s="1" t="s">
        <v>265</v>
      </c>
      <c r="Q8612" s="1" t="s">
        <v>266</v>
      </c>
      <c r="R8612" s="1" t="s">
        <v>67</v>
      </c>
      <c r="S8612" s="1" t="s">
        <v>108</v>
      </c>
      <c r="T8612" s="1" t="s">
        <v>196</v>
      </c>
      <c r="U8612" s="2" t="s">
        <v>3359</v>
      </c>
      <c r="V8612" s="2" t="s">
        <v>36</v>
      </c>
      <c r="W8612" s="2" t="s">
        <v>37</v>
      </c>
      <c r="X8612" s="2">
        <v>73.465000000000003</v>
      </c>
    </row>
    <row r="8613" spans="1:24" x14ac:dyDescent="0.3">
      <c r="A8613">
        <v>2681</v>
      </c>
      <c r="B8613" t="s">
        <v>15861</v>
      </c>
      <c r="C8613" s="3">
        <v>41998</v>
      </c>
      <c r="D8613" t="s">
        <v>148</v>
      </c>
      <c r="E8613">
        <v>10</v>
      </c>
      <c r="F8613" s="3">
        <f ca="1">42001+(RANDBETWEEN(1,10))</f>
        <v>42010</v>
      </c>
      <c r="G8613" t="s">
        <v>26</v>
      </c>
      <c r="H8613" t="s">
        <v>27</v>
      </c>
      <c r="I8613" t="s">
        <v>28</v>
      </c>
      <c r="J8613">
        <v>3774.4349999999999</v>
      </c>
      <c r="K8613">
        <v>0.05</v>
      </c>
      <c r="L8613">
        <v>0.59</v>
      </c>
      <c r="M8613">
        <v>30.8</v>
      </c>
      <c r="N8613">
        <v>-1583.3510000000001</v>
      </c>
      <c r="O8613" s="1" t="s">
        <v>64</v>
      </c>
      <c r="P8613" s="1" t="s">
        <v>265</v>
      </c>
      <c r="Q8613" s="1" t="s">
        <v>266</v>
      </c>
      <c r="R8613" s="1" t="s">
        <v>67</v>
      </c>
      <c r="S8613" s="1" t="s">
        <v>108</v>
      </c>
      <c r="T8613" s="1" t="s">
        <v>196</v>
      </c>
      <c r="U8613" s="2" t="s">
        <v>1548</v>
      </c>
      <c r="V8613" s="2" t="s">
        <v>36</v>
      </c>
      <c r="W8613" s="2" t="s">
        <v>37</v>
      </c>
      <c r="X8613" s="2">
        <v>440.96499999999997</v>
      </c>
    </row>
    <row r="8614" spans="1:24" x14ac:dyDescent="0.3">
      <c r="A8614">
        <v>2685</v>
      </c>
      <c r="B8614" t="s">
        <v>15862</v>
      </c>
      <c r="C8614" s="3">
        <v>41875</v>
      </c>
      <c r="D8614" t="s">
        <v>50</v>
      </c>
      <c r="E8614">
        <v>4</v>
      </c>
      <c r="F8614" s="3">
        <f ca="1">41875+(RANDBETWEEN(1,10))</f>
        <v>41885</v>
      </c>
      <c r="G8614" t="s">
        <v>76</v>
      </c>
      <c r="H8614" t="s">
        <v>258</v>
      </c>
      <c r="I8614" t="s">
        <v>97</v>
      </c>
      <c r="J8614">
        <v>1681.68</v>
      </c>
      <c r="K8614">
        <v>0.05</v>
      </c>
      <c r="L8614">
        <v>0.63</v>
      </c>
      <c r="M8614">
        <v>181.79</v>
      </c>
      <c r="N8614">
        <v>-297.255</v>
      </c>
      <c r="O8614" s="1" t="s">
        <v>40</v>
      </c>
      <c r="P8614" s="1" t="s">
        <v>13080</v>
      </c>
      <c r="Q8614" s="1" t="s">
        <v>13081</v>
      </c>
      <c r="R8614" s="1" t="s">
        <v>220</v>
      </c>
      <c r="S8614" s="1" t="s">
        <v>221</v>
      </c>
      <c r="T8614" s="1" t="s">
        <v>13082</v>
      </c>
      <c r="U8614" s="2" t="s">
        <v>360</v>
      </c>
      <c r="V8614" s="2" t="s">
        <v>83</v>
      </c>
      <c r="W8614" s="2" t="s">
        <v>263</v>
      </c>
      <c r="X8614" s="2">
        <v>435.71499999999997</v>
      </c>
    </row>
    <row r="8615" spans="1:24" x14ac:dyDescent="0.3">
      <c r="A8615">
        <v>269</v>
      </c>
      <c r="B8615" t="s">
        <v>15855</v>
      </c>
      <c r="C8615" s="3">
        <v>41717</v>
      </c>
      <c r="D8615" t="s">
        <v>50</v>
      </c>
      <c r="E8615">
        <v>44</v>
      </c>
      <c r="F8615" s="3">
        <f ca="1">41718+(RANDBETWEEN(1,10))</f>
        <v>41721</v>
      </c>
      <c r="G8615" t="s">
        <v>26</v>
      </c>
      <c r="H8615" t="s">
        <v>27</v>
      </c>
      <c r="I8615" t="s">
        <v>97</v>
      </c>
      <c r="J8615">
        <v>14991.34</v>
      </c>
      <c r="K8615">
        <v>0.1</v>
      </c>
      <c r="L8615">
        <v>0.59</v>
      </c>
      <c r="M8615">
        <v>30.8</v>
      </c>
      <c r="N8615">
        <v>2366.4375</v>
      </c>
      <c r="O8615" s="1" t="s">
        <v>40</v>
      </c>
      <c r="P8615" s="1" t="s">
        <v>15856</v>
      </c>
      <c r="Q8615" s="1" t="s">
        <v>15857</v>
      </c>
      <c r="R8615" s="1" t="s">
        <v>220</v>
      </c>
      <c r="S8615" s="1" t="s">
        <v>221</v>
      </c>
      <c r="T8615" s="1" t="s">
        <v>15858</v>
      </c>
      <c r="U8615" s="2" t="s">
        <v>1548</v>
      </c>
      <c r="V8615" s="2" t="s">
        <v>36</v>
      </c>
      <c r="W8615" s="2" t="s">
        <v>37</v>
      </c>
      <c r="X8615" s="2">
        <v>440.96499999999997</v>
      </c>
    </row>
    <row r="8616" spans="1:24" x14ac:dyDescent="0.3">
      <c r="A8616">
        <v>27</v>
      </c>
      <c r="B8616" t="s">
        <v>15863</v>
      </c>
      <c r="C8616" s="3">
        <v>41128</v>
      </c>
      <c r="D8616" t="s">
        <v>62</v>
      </c>
      <c r="E8616">
        <v>25</v>
      </c>
      <c r="F8616" s="3">
        <f ca="1">41130+(RANDBETWEEN(1,10))</f>
        <v>41131</v>
      </c>
      <c r="G8616" t="s">
        <v>26</v>
      </c>
      <c r="H8616" t="s">
        <v>281</v>
      </c>
      <c r="I8616" t="s">
        <v>52</v>
      </c>
      <c r="J8616">
        <v>1093.05</v>
      </c>
      <c r="K8616">
        <v>0.06</v>
      </c>
      <c r="L8616">
        <v>0.56999999999999995</v>
      </c>
      <c r="M8616">
        <v>21.945</v>
      </c>
      <c r="N8616">
        <v>-129.63999999999999</v>
      </c>
      <c r="O8616" s="1" t="s">
        <v>40</v>
      </c>
      <c r="P8616" s="1" t="s">
        <v>15864</v>
      </c>
      <c r="Q8616" s="1" t="s">
        <v>15865</v>
      </c>
      <c r="R8616" s="1" t="s">
        <v>43</v>
      </c>
      <c r="S8616" s="1" t="s">
        <v>44</v>
      </c>
      <c r="T8616" s="1" t="s">
        <v>15866</v>
      </c>
      <c r="U8616" s="2" t="s">
        <v>517</v>
      </c>
      <c r="V8616" s="2" t="s">
        <v>47</v>
      </c>
      <c r="W8616" s="2" t="s">
        <v>119</v>
      </c>
      <c r="X8616" s="2">
        <v>43.54</v>
      </c>
    </row>
    <row r="8617" spans="1:24" x14ac:dyDescent="0.3">
      <c r="A8617">
        <v>2703</v>
      </c>
      <c r="B8617" t="s">
        <v>15867</v>
      </c>
      <c r="C8617" s="3">
        <v>41273</v>
      </c>
      <c r="D8617" t="s">
        <v>50</v>
      </c>
      <c r="E8617">
        <v>83</v>
      </c>
      <c r="F8617" s="3">
        <f ca="1">41290+(RANDBETWEEN(1,10))</f>
        <v>41295</v>
      </c>
      <c r="G8617" t="s">
        <v>76</v>
      </c>
      <c r="H8617" t="s">
        <v>77</v>
      </c>
      <c r="I8617" t="s">
        <v>52</v>
      </c>
      <c r="J8617">
        <v>37349.199999999997</v>
      </c>
      <c r="K8617">
        <v>7.0000000000000007E-2</v>
      </c>
      <c r="L8617">
        <v>0.78</v>
      </c>
      <c r="M8617">
        <v>105</v>
      </c>
      <c r="N8617">
        <v>-1483.1949999999999</v>
      </c>
      <c r="O8617" s="1" t="s">
        <v>53</v>
      </c>
      <c r="P8617" s="1" t="s">
        <v>114</v>
      </c>
      <c r="Q8617" s="1" t="s">
        <v>115</v>
      </c>
      <c r="R8617" s="1" t="s">
        <v>100</v>
      </c>
      <c r="S8617" s="1" t="s">
        <v>101</v>
      </c>
      <c r="T8617" s="1" t="s">
        <v>116</v>
      </c>
      <c r="U8617" s="2" t="s">
        <v>2894</v>
      </c>
      <c r="V8617" s="2" t="s">
        <v>83</v>
      </c>
      <c r="W8617" s="2" t="s">
        <v>84</v>
      </c>
      <c r="X8617" s="2">
        <v>458.43</v>
      </c>
    </row>
    <row r="8618" spans="1:24" x14ac:dyDescent="0.3">
      <c r="A8618">
        <v>2704</v>
      </c>
      <c r="B8618" t="s">
        <v>15867</v>
      </c>
      <c r="C8618" s="3">
        <v>41273</v>
      </c>
      <c r="D8618" t="s">
        <v>50</v>
      </c>
      <c r="E8618">
        <v>41</v>
      </c>
      <c r="F8618" s="3">
        <f ca="1">41284+(RANDBETWEEN(1,10))</f>
        <v>41293</v>
      </c>
      <c r="G8618" t="s">
        <v>26</v>
      </c>
      <c r="H8618" t="s">
        <v>27</v>
      </c>
      <c r="I8618" t="s">
        <v>52</v>
      </c>
      <c r="J8618">
        <v>7383.2849999999999</v>
      </c>
      <c r="K8618">
        <v>0.09</v>
      </c>
      <c r="L8618">
        <v>0.36</v>
      </c>
      <c r="M8618">
        <v>17.010000000000002</v>
      </c>
      <c r="N8618">
        <v>1643.915</v>
      </c>
      <c r="O8618" s="1" t="s">
        <v>53</v>
      </c>
      <c r="P8618" s="1" t="s">
        <v>114</v>
      </c>
      <c r="Q8618" s="1" t="s">
        <v>115</v>
      </c>
      <c r="R8618" s="1" t="s">
        <v>100</v>
      </c>
      <c r="S8618" s="1" t="s">
        <v>101</v>
      </c>
      <c r="T8618" s="1" t="s">
        <v>116</v>
      </c>
      <c r="U8618" s="2" t="s">
        <v>1690</v>
      </c>
      <c r="V8618" s="2" t="s">
        <v>47</v>
      </c>
      <c r="W8618" s="2" t="s">
        <v>74</v>
      </c>
      <c r="X8618" s="2">
        <v>195.93</v>
      </c>
    </row>
    <row r="8619" spans="1:24" x14ac:dyDescent="0.3">
      <c r="A8619">
        <v>2705</v>
      </c>
      <c r="B8619" t="s">
        <v>15867</v>
      </c>
      <c r="C8619" s="3">
        <v>41273</v>
      </c>
      <c r="D8619" t="s">
        <v>50</v>
      </c>
      <c r="E8619">
        <v>65</v>
      </c>
      <c r="F8619" s="3">
        <f ca="1">41301+(RANDBETWEEN(1,10))</f>
        <v>41305</v>
      </c>
      <c r="G8619" t="s">
        <v>26</v>
      </c>
      <c r="H8619" t="s">
        <v>27</v>
      </c>
      <c r="I8619" t="s">
        <v>52</v>
      </c>
      <c r="J8619">
        <v>21047.915000000001</v>
      </c>
      <c r="K8619">
        <v>0.08</v>
      </c>
      <c r="L8619">
        <v>0.56000000000000005</v>
      </c>
      <c r="M8619">
        <v>14.805</v>
      </c>
      <c r="N8619">
        <v>2545.7669999999998</v>
      </c>
      <c r="O8619" s="1" t="s">
        <v>53</v>
      </c>
      <c r="P8619" s="1" t="s">
        <v>114</v>
      </c>
      <c r="Q8619" s="1" t="s">
        <v>115</v>
      </c>
      <c r="R8619" s="1" t="s">
        <v>100</v>
      </c>
      <c r="S8619" s="1" t="s">
        <v>101</v>
      </c>
      <c r="T8619" s="1" t="s">
        <v>116</v>
      </c>
      <c r="U8619" s="2">
        <v>282</v>
      </c>
      <c r="V8619" s="2" t="s">
        <v>36</v>
      </c>
      <c r="W8619" s="2" t="s">
        <v>37</v>
      </c>
      <c r="X8619" s="2">
        <v>405.96499999999997</v>
      </c>
    </row>
    <row r="8620" spans="1:24" x14ac:dyDescent="0.3">
      <c r="A8620">
        <v>2744</v>
      </c>
      <c r="B8620" t="s">
        <v>15868</v>
      </c>
      <c r="C8620" s="3">
        <v>41001</v>
      </c>
      <c r="D8620" t="s">
        <v>25</v>
      </c>
      <c r="E8620">
        <v>3</v>
      </c>
      <c r="F8620" s="3">
        <f ca="1">41006+(RANDBETWEEN(1,10))</f>
        <v>41009</v>
      </c>
      <c r="G8620" t="s">
        <v>76</v>
      </c>
      <c r="H8620" t="s">
        <v>258</v>
      </c>
      <c r="I8620" t="s">
        <v>97</v>
      </c>
      <c r="J8620">
        <v>4755.7299999999996</v>
      </c>
      <c r="K8620">
        <v>0.01</v>
      </c>
      <c r="L8620">
        <v>0.71</v>
      </c>
      <c r="M8620">
        <v>159.94999999999999</v>
      </c>
      <c r="N8620">
        <v>-571.20000000000005</v>
      </c>
      <c r="O8620" s="1" t="s">
        <v>53</v>
      </c>
      <c r="P8620" s="1" t="s">
        <v>98</v>
      </c>
      <c r="Q8620" s="1" t="s">
        <v>99</v>
      </c>
      <c r="R8620" s="1" t="s">
        <v>100</v>
      </c>
      <c r="S8620" s="1" t="s">
        <v>101</v>
      </c>
      <c r="T8620" s="1" t="s">
        <v>102</v>
      </c>
      <c r="U8620" s="2" t="s">
        <v>3553</v>
      </c>
      <c r="V8620" s="2" t="s">
        <v>83</v>
      </c>
      <c r="W8620" s="2" t="s">
        <v>263</v>
      </c>
      <c r="X8620" s="2">
        <v>1928.43</v>
      </c>
    </row>
    <row r="8621" spans="1:24" x14ac:dyDescent="0.3">
      <c r="A8621">
        <v>2748</v>
      </c>
      <c r="B8621" t="s">
        <v>15869</v>
      </c>
      <c r="C8621" s="3">
        <v>41269</v>
      </c>
      <c r="D8621" t="s">
        <v>25</v>
      </c>
      <c r="E8621">
        <v>31</v>
      </c>
      <c r="F8621" s="3">
        <f ca="1">41296+(RANDBETWEEN(1,10))</f>
        <v>41301</v>
      </c>
      <c r="G8621" t="s">
        <v>26</v>
      </c>
      <c r="H8621" t="s">
        <v>51</v>
      </c>
      <c r="I8621" t="s">
        <v>28</v>
      </c>
      <c r="J8621">
        <v>1359.82</v>
      </c>
      <c r="K8621">
        <v>0.03</v>
      </c>
      <c r="L8621">
        <v>0.6</v>
      </c>
      <c r="M8621">
        <v>20.335000000000001</v>
      </c>
      <c r="N8621">
        <v>-111.09</v>
      </c>
      <c r="O8621" s="1" t="s">
        <v>40</v>
      </c>
      <c r="P8621" s="1" t="s">
        <v>15848</v>
      </c>
      <c r="Q8621" s="1" t="s">
        <v>15849</v>
      </c>
      <c r="R8621" s="1" t="s">
        <v>43</v>
      </c>
      <c r="S8621" s="1" t="s">
        <v>44</v>
      </c>
      <c r="T8621" s="1" t="s">
        <v>15850</v>
      </c>
      <c r="U8621" s="2" t="s">
        <v>1353</v>
      </c>
      <c r="V8621" s="2" t="s">
        <v>47</v>
      </c>
      <c r="W8621" s="2" t="s">
        <v>104</v>
      </c>
      <c r="X8621" s="2">
        <v>41.895000000000003</v>
      </c>
    </row>
    <row r="8622" spans="1:24" x14ac:dyDescent="0.3">
      <c r="A8622">
        <v>2749</v>
      </c>
      <c r="B8622" t="s">
        <v>15869</v>
      </c>
      <c r="C8622" s="3">
        <v>41269</v>
      </c>
      <c r="D8622" t="s">
        <v>25</v>
      </c>
      <c r="E8622">
        <v>13</v>
      </c>
      <c r="F8622" s="3">
        <f ca="1">41300+(RANDBETWEEN(1,10))</f>
        <v>41309</v>
      </c>
      <c r="G8622" t="s">
        <v>26</v>
      </c>
      <c r="H8622" t="s">
        <v>27</v>
      </c>
      <c r="I8622" t="s">
        <v>28</v>
      </c>
      <c r="J8622">
        <v>7322.1750000000002</v>
      </c>
      <c r="K8622">
        <v>0.08</v>
      </c>
      <c r="L8622">
        <v>0.6</v>
      </c>
      <c r="M8622">
        <v>14.7</v>
      </c>
      <c r="N8622">
        <v>-1952.8354999999999</v>
      </c>
      <c r="O8622" s="1" t="s">
        <v>40</v>
      </c>
      <c r="P8622" s="1" t="s">
        <v>15848</v>
      </c>
      <c r="Q8622" s="1" t="s">
        <v>15849</v>
      </c>
      <c r="R8622" s="1" t="s">
        <v>43</v>
      </c>
      <c r="S8622" s="1" t="s">
        <v>44</v>
      </c>
      <c r="T8622" s="1" t="s">
        <v>15850</v>
      </c>
      <c r="U8622" s="2">
        <v>688</v>
      </c>
      <c r="V8622" s="2" t="s">
        <v>36</v>
      </c>
      <c r="W8622" s="2" t="s">
        <v>37</v>
      </c>
      <c r="X8622" s="2">
        <v>685.96500000000003</v>
      </c>
    </row>
    <row r="8623" spans="1:24" x14ac:dyDescent="0.3">
      <c r="A8623">
        <v>2750</v>
      </c>
      <c r="B8623" t="s">
        <v>15870</v>
      </c>
      <c r="C8623" s="3">
        <v>41999</v>
      </c>
      <c r="D8623" t="s">
        <v>25</v>
      </c>
      <c r="E8623">
        <v>86</v>
      </c>
      <c r="F8623" s="3">
        <f ca="1">41653+(RANDBETWEEN(1,10))</f>
        <v>41663</v>
      </c>
      <c r="G8623" t="s">
        <v>156</v>
      </c>
      <c r="H8623" t="s">
        <v>27</v>
      </c>
      <c r="I8623" t="s">
        <v>28</v>
      </c>
      <c r="J8623">
        <v>32813.724999999999</v>
      </c>
      <c r="K8623">
        <v>0.06</v>
      </c>
      <c r="L8623">
        <v>0.56999999999999995</v>
      </c>
      <c r="M8623">
        <v>28.28</v>
      </c>
      <c r="N8623">
        <v>4565.9565000000002</v>
      </c>
      <c r="O8623" s="1" t="s">
        <v>40</v>
      </c>
      <c r="P8623" s="1" t="s">
        <v>15848</v>
      </c>
      <c r="Q8623" s="1" t="s">
        <v>15849</v>
      </c>
      <c r="R8623" s="1" t="s">
        <v>43</v>
      </c>
      <c r="S8623" s="1" t="s">
        <v>44</v>
      </c>
      <c r="T8623" s="1" t="s">
        <v>15850</v>
      </c>
      <c r="U8623" s="2" t="s">
        <v>1547</v>
      </c>
      <c r="V8623" s="2" t="s">
        <v>36</v>
      </c>
      <c r="W8623" s="2" t="s">
        <v>37</v>
      </c>
      <c r="X8623" s="2">
        <v>440.96499999999997</v>
      </c>
    </row>
    <row r="8624" spans="1:24" x14ac:dyDescent="0.3">
      <c r="A8624">
        <v>2758</v>
      </c>
      <c r="B8624" t="s">
        <v>15871</v>
      </c>
      <c r="C8624" s="3">
        <v>41956</v>
      </c>
      <c r="D8624" t="s">
        <v>62</v>
      </c>
      <c r="E8624">
        <v>68</v>
      </c>
      <c r="F8624" s="3">
        <f ca="1">41957+(RANDBETWEEN(1,10))</f>
        <v>41965</v>
      </c>
      <c r="G8624" t="s">
        <v>26</v>
      </c>
      <c r="H8624" t="s">
        <v>27</v>
      </c>
      <c r="I8624" t="s">
        <v>97</v>
      </c>
      <c r="J8624">
        <v>460.35500000000002</v>
      </c>
      <c r="K8624">
        <v>0.06</v>
      </c>
      <c r="L8624">
        <v>0.37</v>
      </c>
      <c r="M8624">
        <v>5.2149999999999999</v>
      </c>
      <c r="N8624">
        <v>-34.3735</v>
      </c>
      <c r="O8624" s="1" t="s">
        <v>40</v>
      </c>
      <c r="P8624" s="1" t="s">
        <v>355</v>
      </c>
      <c r="Q8624" s="1" t="s">
        <v>356</v>
      </c>
      <c r="R8624" s="1" t="s">
        <v>220</v>
      </c>
      <c r="S8624" s="1" t="s">
        <v>221</v>
      </c>
      <c r="T8624" s="1" t="s">
        <v>357</v>
      </c>
      <c r="U8624" s="2" t="s">
        <v>4275</v>
      </c>
      <c r="V8624" s="2" t="s">
        <v>47</v>
      </c>
      <c r="W8624" s="2" t="s">
        <v>111</v>
      </c>
      <c r="X8624" s="2">
        <v>6.58</v>
      </c>
    </row>
    <row r="8625" spans="1:24" x14ac:dyDescent="0.3">
      <c r="A8625">
        <v>2759</v>
      </c>
      <c r="B8625" t="s">
        <v>15871</v>
      </c>
      <c r="C8625" s="3">
        <v>41956</v>
      </c>
      <c r="D8625" t="s">
        <v>62</v>
      </c>
      <c r="E8625">
        <v>148</v>
      </c>
      <c r="F8625" s="3">
        <f ca="1">41957+(RANDBETWEEN(1,10))</f>
        <v>41960</v>
      </c>
      <c r="G8625" t="s">
        <v>26</v>
      </c>
      <c r="H8625" t="s">
        <v>51</v>
      </c>
      <c r="I8625" t="s">
        <v>97</v>
      </c>
      <c r="J8625">
        <v>14089.6</v>
      </c>
      <c r="K8625">
        <v>0.09</v>
      </c>
      <c r="L8625">
        <v>0.5</v>
      </c>
      <c r="M8625">
        <v>6.9649999999999999</v>
      </c>
      <c r="N8625">
        <v>1054.585</v>
      </c>
      <c r="O8625" s="1" t="s">
        <v>40</v>
      </c>
      <c r="P8625" s="1" t="s">
        <v>355</v>
      </c>
      <c r="Q8625" s="1" t="s">
        <v>356</v>
      </c>
      <c r="R8625" s="1" t="s">
        <v>220</v>
      </c>
      <c r="S8625" s="1" t="s">
        <v>221</v>
      </c>
      <c r="T8625" s="1" t="s">
        <v>357</v>
      </c>
      <c r="U8625" s="2" t="s">
        <v>124</v>
      </c>
      <c r="V8625" s="2" t="s">
        <v>36</v>
      </c>
      <c r="W8625" s="2" t="s">
        <v>60</v>
      </c>
      <c r="X8625" s="2">
        <v>104.61499999999999</v>
      </c>
    </row>
    <row r="8626" spans="1:24" x14ac:dyDescent="0.3">
      <c r="A8626">
        <v>2768</v>
      </c>
      <c r="B8626" t="s">
        <v>15872</v>
      </c>
      <c r="C8626" s="3">
        <v>40760</v>
      </c>
      <c r="D8626" t="s">
        <v>50</v>
      </c>
      <c r="E8626">
        <v>88</v>
      </c>
      <c r="F8626" s="3">
        <f ca="1">40761+(RANDBETWEEN(1,10))</f>
        <v>40769</v>
      </c>
      <c r="G8626" t="s">
        <v>26</v>
      </c>
      <c r="H8626" t="s">
        <v>96</v>
      </c>
      <c r="I8626" t="s">
        <v>86</v>
      </c>
      <c r="J8626">
        <v>519.26</v>
      </c>
      <c r="K8626">
        <v>0.08</v>
      </c>
      <c r="L8626">
        <v>0.59</v>
      </c>
      <c r="M8626">
        <v>5.4950000000000001</v>
      </c>
      <c r="N8626">
        <v>-161.875</v>
      </c>
      <c r="O8626" s="1" t="s">
        <v>53</v>
      </c>
      <c r="P8626" s="1" t="s">
        <v>157</v>
      </c>
      <c r="Q8626" s="1" t="s">
        <v>158</v>
      </c>
      <c r="R8626" s="1" t="s">
        <v>56</v>
      </c>
      <c r="S8626" s="1" t="s">
        <v>159</v>
      </c>
      <c r="T8626" s="1" t="s">
        <v>160</v>
      </c>
      <c r="U8626" s="2" t="s">
        <v>2439</v>
      </c>
      <c r="V8626" s="2" t="s">
        <v>47</v>
      </c>
      <c r="W8626" s="2" t="s">
        <v>104</v>
      </c>
      <c r="X8626" s="2">
        <v>5.88</v>
      </c>
    </row>
    <row r="8627" spans="1:24" x14ac:dyDescent="0.3">
      <c r="A8627">
        <v>2771</v>
      </c>
      <c r="B8627" t="s">
        <v>15873</v>
      </c>
      <c r="C8627" s="3">
        <v>41248</v>
      </c>
      <c r="D8627" t="s">
        <v>50</v>
      </c>
      <c r="E8627">
        <v>52</v>
      </c>
      <c r="F8627" s="3">
        <f ca="1">41251+(RANDBETWEEN(1,10))</f>
        <v>41254</v>
      </c>
      <c r="G8627" t="s">
        <v>76</v>
      </c>
      <c r="H8627" t="s">
        <v>258</v>
      </c>
      <c r="I8627" t="s">
        <v>28</v>
      </c>
      <c r="J8627">
        <v>28417.48</v>
      </c>
      <c r="K8627">
        <v>0.03</v>
      </c>
      <c r="L8627">
        <v>0.65</v>
      </c>
      <c r="M8627">
        <v>231.94499999999999</v>
      </c>
      <c r="N8627">
        <v>-1867.04</v>
      </c>
      <c r="O8627" s="1" t="s">
        <v>53</v>
      </c>
      <c r="P8627" s="1" t="s">
        <v>7631</v>
      </c>
      <c r="Q8627" s="1" t="s">
        <v>7632</v>
      </c>
      <c r="R8627" s="1" t="s">
        <v>56</v>
      </c>
      <c r="S8627" s="1" t="s">
        <v>159</v>
      </c>
      <c r="T8627" s="1" t="s">
        <v>7633</v>
      </c>
      <c r="U8627" s="2" t="s">
        <v>3398</v>
      </c>
      <c r="V8627" s="2" t="s">
        <v>83</v>
      </c>
      <c r="W8627" s="2" t="s">
        <v>298</v>
      </c>
      <c r="X8627" s="2">
        <v>528.42999999999995</v>
      </c>
    </row>
    <row r="8628" spans="1:24" x14ac:dyDescent="0.3">
      <c r="A8628">
        <v>2772</v>
      </c>
      <c r="B8628" t="s">
        <v>15873</v>
      </c>
      <c r="C8628" s="3">
        <v>41248</v>
      </c>
      <c r="D8628" t="s">
        <v>50</v>
      </c>
      <c r="E8628">
        <v>39</v>
      </c>
      <c r="F8628" s="3">
        <f ca="1">41250+(RANDBETWEEN(1,10))</f>
        <v>41254</v>
      </c>
      <c r="G8628" t="s">
        <v>26</v>
      </c>
      <c r="H8628" t="s">
        <v>27</v>
      </c>
      <c r="I8628" t="s">
        <v>28</v>
      </c>
      <c r="J8628">
        <v>11343.254999999999</v>
      </c>
      <c r="K8628">
        <v>0.03</v>
      </c>
      <c r="L8628">
        <v>0.56000000000000005</v>
      </c>
      <c r="M8628">
        <v>17.149999999999999</v>
      </c>
      <c r="N8628">
        <v>1075.3785</v>
      </c>
      <c r="O8628" s="1" t="s">
        <v>53</v>
      </c>
      <c r="P8628" s="1" t="s">
        <v>7631</v>
      </c>
      <c r="Q8628" s="1" t="s">
        <v>7632</v>
      </c>
      <c r="R8628" s="1" t="s">
        <v>56</v>
      </c>
      <c r="S8628" s="1" t="s">
        <v>159</v>
      </c>
      <c r="T8628" s="1" t="s">
        <v>7633</v>
      </c>
      <c r="U8628" s="2" t="s">
        <v>35</v>
      </c>
      <c r="V8628" s="2" t="s">
        <v>36</v>
      </c>
      <c r="W8628" s="2" t="s">
        <v>37</v>
      </c>
      <c r="X8628" s="2">
        <v>335.96499999999997</v>
      </c>
    </row>
    <row r="8629" spans="1:24" x14ac:dyDescent="0.3">
      <c r="A8629">
        <v>2773</v>
      </c>
      <c r="B8629" t="s">
        <v>15873</v>
      </c>
      <c r="C8629" s="3">
        <v>41248</v>
      </c>
      <c r="D8629" t="s">
        <v>50</v>
      </c>
      <c r="E8629">
        <v>46</v>
      </c>
      <c r="F8629" s="3">
        <f ca="1">41248+(RANDBETWEEN(1,10))</f>
        <v>41256</v>
      </c>
      <c r="G8629" t="s">
        <v>26</v>
      </c>
      <c r="H8629" t="s">
        <v>27</v>
      </c>
      <c r="I8629" t="s">
        <v>28</v>
      </c>
      <c r="J8629">
        <v>1870.575</v>
      </c>
      <c r="K8629">
        <v>0.1</v>
      </c>
      <c r="L8629">
        <v>0.57999999999999996</v>
      </c>
      <c r="M8629">
        <v>17.43</v>
      </c>
      <c r="N8629">
        <v>-110.425</v>
      </c>
      <c r="O8629" s="1" t="s">
        <v>53</v>
      </c>
      <c r="P8629" s="1" t="s">
        <v>7631</v>
      </c>
      <c r="Q8629" s="1" t="s">
        <v>7632</v>
      </c>
      <c r="R8629" s="1" t="s">
        <v>56</v>
      </c>
      <c r="S8629" s="1" t="s">
        <v>159</v>
      </c>
      <c r="T8629" s="1" t="s">
        <v>7633</v>
      </c>
      <c r="U8629" s="2" t="s">
        <v>5213</v>
      </c>
      <c r="V8629" s="2" t="s">
        <v>47</v>
      </c>
      <c r="W8629" s="2" t="s">
        <v>71</v>
      </c>
      <c r="X8629" s="2">
        <v>41.895000000000003</v>
      </c>
    </row>
    <row r="8630" spans="1:24" x14ac:dyDescent="0.3">
      <c r="A8630">
        <v>2774</v>
      </c>
      <c r="B8630" t="s">
        <v>15873</v>
      </c>
      <c r="C8630" s="3">
        <v>41248</v>
      </c>
      <c r="D8630" t="s">
        <v>50</v>
      </c>
      <c r="E8630">
        <v>81</v>
      </c>
      <c r="F8630" s="3">
        <f ca="1">41250+(RANDBETWEEN(1,10))</f>
        <v>41256</v>
      </c>
      <c r="G8630" t="s">
        <v>26</v>
      </c>
      <c r="H8630" t="s">
        <v>27</v>
      </c>
      <c r="I8630" t="s">
        <v>28</v>
      </c>
      <c r="J8630">
        <v>7779.4849999999997</v>
      </c>
      <c r="K8630">
        <v>0.03</v>
      </c>
      <c r="L8630">
        <v>0.75</v>
      </c>
      <c r="M8630">
        <v>20.614999999999998</v>
      </c>
      <c r="N8630">
        <v>-88.305000000000007</v>
      </c>
      <c r="O8630" s="1" t="s">
        <v>53</v>
      </c>
      <c r="P8630" s="1" t="s">
        <v>7631</v>
      </c>
      <c r="Q8630" s="1" t="s">
        <v>7632</v>
      </c>
      <c r="R8630" s="1" t="s">
        <v>56</v>
      </c>
      <c r="S8630" s="1" t="s">
        <v>159</v>
      </c>
      <c r="T8630" s="1" t="s">
        <v>7633</v>
      </c>
      <c r="U8630" s="2" t="s">
        <v>4016</v>
      </c>
      <c r="V8630" s="2" t="s">
        <v>36</v>
      </c>
      <c r="W8630" s="2" t="s">
        <v>60</v>
      </c>
      <c r="X8630" s="2">
        <v>92.084999999999994</v>
      </c>
    </row>
    <row r="8631" spans="1:24" x14ac:dyDescent="0.3">
      <c r="A8631">
        <v>2780</v>
      </c>
      <c r="B8631" t="s">
        <v>15874</v>
      </c>
      <c r="C8631" s="3">
        <v>41333</v>
      </c>
      <c r="D8631" t="s">
        <v>62</v>
      </c>
      <c r="E8631">
        <v>10</v>
      </c>
      <c r="F8631" s="3">
        <f ca="1">41333+(RANDBETWEEN(1,10))</f>
        <v>41334</v>
      </c>
      <c r="G8631" t="s">
        <v>26</v>
      </c>
      <c r="H8631" t="s">
        <v>27</v>
      </c>
      <c r="I8631" t="s">
        <v>97</v>
      </c>
      <c r="J8631">
        <v>206.815</v>
      </c>
      <c r="K8631">
        <v>0.09</v>
      </c>
      <c r="L8631">
        <v>0.39</v>
      </c>
      <c r="M8631">
        <v>24.43</v>
      </c>
      <c r="N8631">
        <v>-161.44274999999999</v>
      </c>
      <c r="O8631" s="1" t="s">
        <v>64</v>
      </c>
      <c r="P8631" s="1" t="s">
        <v>15875</v>
      </c>
      <c r="Q8631" s="1" t="s">
        <v>15876</v>
      </c>
      <c r="R8631" s="1" t="s">
        <v>128</v>
      </c>
      <c r="S8631" s="1" t="s">
        <v>129</v>
      </c>
      <c r="T8631" s="1" t="s">
        <v>278</v>
      </c>
      <c r="U8631" s="2" t="s">
        <v>4859</v>
      </c>
      <c r="V8631" s="2" t="s">
        <v>47</v>
      </c>
      <c r="W8631" s="2" t="s">
        <v>111</v>
      </c>
      <c r="X8631" s="2">
        <v>19.355</v>
      </c>
    </row>
    <row r="8632" spans="1:24" x14ac:dyDescent="0.3">
      <c r="A8632">
        <v>2807</v>
      </c>
      <c r="B8632" t="s">
        <v>15877</v>
      </c>
      <c r="C8632" s="3">
        <v>41779</v>
      </c>
      <c r="D8632" t="s">
        <v>148</v>
      </c>
      <c r="E8632">
        <v>33</v>
      </c>
      <c r="F8632" s="3">
        <f ca="1">41779+(RANDBETWEEN(1,10))</f>
        <v>41781</v>
      </c>
      <c r="G8632" t="s">
        <v>156</v>
      </c>
      <c r="H8632" t="s">
        <v>27</v>
      </c>
      <c r="I8632" t="s">
        <v>86</v>
      </c>
      <c r="J8632">
        <v>3472.0349999999999</v>
      </c>
      <c r="K8632">
        <v>0.09</v>
      </c>
      <c r="L8632">
        <v>0.37</v>
      </c>
      <c r="M8632">
        <v>44.17</v>
      </c>
      <c r="N8632">
        <v>234.87625</v>
      </c>
      <c r="O8632" s="1" t="s">
        <v>87</v>
      </c>
      <c r="P8632" s="1" t="s">
        <v>88</v>
      </c>
      <c r="Q8632" s="1" t="s">
        <v>89</v>
      </c>
      <c r="R8632" s="1" t="s">
        <v>90</v>
      </c>
      <c r="S8632" s="1" t="s">
        <v>91</v>
      </c>
      <c r="T8632" s="1" t="s">
        <v>92</v>
      </c>
      <c r="U8632" s="2" t="s">
        <v>4243</v>
      </c>
      <c r="V8632" s="2" t="s">
        <v>47</v>
      </c>
      <c r="W8632" s="2" t="s">
        <v>111</v>
      </c>
      <c r="X8632" s="2">
        <v>111.09</v>
      </c>
    </row>
    <row r="8633" spans="1:24" x14ac:dyDescent="0.3">
      <c r="A8633">
        <v>2808</v>
      </c>
      <c r="B8633" t="s">
        <v>15878</v>
      </c>
      <c r="C8633" s="3">
        <v>40683</v>
      </c>
      <c r="D8633" t="s">
        <v>148</v>
      </c>
      <c r="E8633">
        <v>52</v>
      </c>
      <c r="F8633" s="3">
        <f ca="1">40686+(RANDBETWEEN(1,10))</f>
        <v>40693</v>
      </c>
      <c r="G8633" t="s">
        <v>26</v>
      </c>
      <c r="H8633" t="s">
        <v>96</v>
      </c>
      <c r="I8633" t="s">
        <v>86</v>
      </c>
      <c r="J8633">
        <v>1114.645</v>
      </c>
      <c r="K8633">
        <v>0.04</v>
      </c>
      <c r="L8633">
        <v>0.39</v>
      </c>
      <c r="M8633">
        <v>3.57</v>
      </c>
      <c r="N8633">
        <v>286.685</v>
      </c>
      <c r="O8633" s="1" t="s">
        <v>87</v>
      </c>
      <c r="P8633" s="1" t="s">
        <v>88</v>
      </c>
      <c r="Q8633" s="1" t="s">
        <v>89</v>
      </c>
      <c r="R8633" s="1" t="s">
        <v>90</v>
      </c>
      <c r="S8633" s="1" t="s">
        <v>91</v>
      </c>
      <c r="T8633" s="1" t="s">
        <v>92</v>
      </c>
      <c r="U8633" s="2" t="s">
        <v>3728</v>
      </c>
      <c r="V8633" s="2" t="s">
        <v>47</v>
      </c>
      <c r="W8633" s="2" t="s">
        <v>74</v>
      </c>
      <c r="X8633" s="2">
        <v>22.225000000000001</v>
      </c>
    </row>
    <row r="8634" spans="1:24" x14ac:dyDescent="0.3">
      <c r="A8634">
        <v>2809</v>
      </c>
      <c r="B8634" t="s">
        <v>15877</v>
      </c>
      <c r="C8634" s="3">
        <v>41779</v>
      </c>
      <c r="D8634" t="s">
        <v>148</v>
      </c>
      <c r="E8634">
        <v>27</v>
      </c>
      <c r="F8634" s="3">
        <f ca="1">41780+(RANDBETWEEN(1,10))</f>
        <v>41781</v>
      </c>
      <c r="G8634" t="s">
        <v>156</v>
      </c>
      <c r="H8634" t="s">
        <v>27</v>
      </c>
      <c r="I8634" t="s">
        <v>86</v>
      </c>
      <c r="J8634">
        <v>5667.55</v>
      </c>
      <c r="K8634">
        <v>0.02</v>
      </c>
      <c r="L8634">
        <v>0.56000000000000005</v>
      </c>
      <c r="M8634">
        <v>31.465</v>
      </c>
      <c r="N8634">
        <v>588.82950000000005</v>
      </c>
      <c r="O8634" s="1" t="s">
        <v>87</v>
      </c>
      <c r="P8634" s="1" t="s">
        <v>88</v>
      </c>
      <c r="Q8634" s="1" t="s">
        <v>89</v>
      </c>
      <c r="R8634" s="1" t="s">
        <v>90</v>
      </c>
      <c r="S8634" s="1" t="s">
        <v>91</v>
      </c>
      <c r="T8634" s="1" t="s">
        <v>92</v>
      </c>
      <c r="U8634" s="2" t="s">
        <v>164</v>
      </c>
      <c r="V8634" s="2" t="s">
        <v>36</v>
      </c>
      <c r="W8634" s="2" t="s">
        <v>37</v>
      </c>
      <c r="X8634" s="2">
        <v>230.965</v>
      </c>
    </row>
    <row r="8635" spans="1:24" x14ac:dyDescent="0.3">
      <c r="A8635">
        <v>2886</v>
      </c>
      <c r="B8635" t="s">
        <v>15879</v>
      </c>
      <c r="C8635" s="3">
        <v>41841</v>
      </c>
      <c r="D8635" t="s">
        <v>50</v>
      </c>
      <c r="E8635">
        <v>22</v>
      </c>
      <c r="F8635" s="3">
        <f ca="1">41842+(RANDBETWEEN(1,10))</f>
        <v>41852</v>
      </c>
      <c r="G8635" t="s">
        <v>26</v>
      </c>
      <c r="H8635" t="s">
        <v>51</v>
      </c>
      <c r="I8635" t="s">
        <v>52</v>
      </c>
      <c r="J8635">
        <v>2247.1750000000002</v>
      </c>
      <c r="K8635">
        <v>0.1</v>
      </c>
      <c r="L8635">
        <v>0.39</v>
      </c>
      <c r="M8635">
        <v>11.55</v>
      </c>
      <c r="N8635">
        <v>289.863</v>
      </c>
      <c r="O8635" s="1" t="s">
        <v>40</v>
      </c>
      <c r="P8635" s="1" t="s">
        <v>15864</v>
      </c>
      <c r="Q8635" s="1" t="s">
        <v>15865</v>
      </c>
      <c r="R8635" s="1" t="s">
        <v>43</v>
      </c>
      <c r="S8635" s="1" t="s">
        <v>44</v>
      </c>
      <c r="T8635" s="1" t="s">
        <v>15866</v>
      </c>
      <c r="U8635" s="2" t="s">
        <v>5976</v>
      </c>
      <c r="V8635" s="2" t="s">
        <v>36</v>
      </c>
      <c r="W8635" s="2" t="s">
        <v>37</v>
      </c>
      <c r="X8635" s="2">
        <v>125.965</v>
      </c>
    </row>
    <row r="8636" spans="1:24" x14ac:dyDescent="0.3">
      <c r="A8636">
        <v>2887</v>
      </c>
      <c r="B8636" t="s">
        <v>15879</v>
      </c>
      <c r="C8636" s="3">
        <v>41841</v>
      </c>
      <c r="D8636" t="s">
        <v>50</v>
      </c>
      <c r="E8636">
        <v>55</v>
      </c>
      <c r="F8636" s="3">
        <f ca="1">41843+(RANDBETWEEN(1,10))</f>
        <v>41850</v>
      </c>
      <c r="G8636" t="s">
        <v>76</v>
      </c>
      <c r="H8636" t="s">
        <v>77</v>
      </c>
      <c r="I8636" t="s">
        <v>52</v>
      </c>
      <c r="J8636">
        <v>30368.205000000002</v>
      </c>
      <c r="K8636">
        <v>0.08</v>
      </c>
      <c r="L8636">
        <v>0.62</v>
      </c>
      <c r="M8636">
        <v>105</v>
      </c>
      <c r="N8636">
        <v>2688.21</v>
      </c>
      <c r="O8636" s="1" t="s">
        <v>40</v>
      </c>
      <c r="P8636" s="1" t="s">
        <v>15864</v>
      </c>
      <c r="Q8636" s="1" t="s">
        <v>15865</v>
      </c>
      <c r="R8636" s="1" t="s">
        <v>43</v>
      </c>
      <c r="S8636" s="1" t="s">
        <v>44</v>
      </c>
      <c r="T8636" s="1" t="s">
        <v>15866</v>
      </c>
      <c r="U8636" s="2" t="s">
        <v>2089</v>
      </c>
      <c r="V8636" s="2" t="s">
        <v>83</v>
      </c>
      <c r="W8636" s="2" t="s">
        <v>84</v>
      </c>
      <c r="X8636" s="2">
        <v>563.42999999999995</v>
      </c>
    </row>
    <row r="8637" spans="1:24" x14ac:dyDescent="0.3">
      <c r="A8637">
        <v>2901</v>
      </c>
      <c r="B8637" t="s">
        <v>15880</v>
      </c>
      <c r="C8637" s="3">
        <v>41596</v>
      </c>
      <c r="D8637" t="s">
        <v>25</v>
      </c>
      <c r="E8637">
        <v>65</v>
      </c>
      <c r="F8637" s="3">
        <f ca="1">41601+(RANDBETWEEN(1,10))</f>
        <v>41605</v>
      </c>
      <c r="G8637" t="s">
        <v>26</v>
      </c>
      <c r="H8637" t="s">
        <v>27</v>
      </c>
      <c r="I8637" t="s">
        <v>28</v>
      </c>
      <c r="J8637">
        <v>2346.3649999999998</v>
      </c>
      <c r="K8637">
        <v>0.1</v>
      </c>
      <c r="L8637">
        <v>0.64</v>
      </c>
      <c r="M8637">
        <v>22.75</v>
      </c>
      <c r="N8637">
        <v>-366.87</v>
      </c>
      <c r="O8637" s="1" t="s">
        <v>40</v>
      </c>
      <c r="P8637" s="1" t="s">
        <v>355</v>
      </c>
      <c r="Q8637" s="1" t="s">
        <v>356</v>
      </c>
      <c r="R8637" s="1" t="s">
        <v>220</v>
      </c>
      <c r="S8637" s="1" t="s">
        <v>221</v>
      </c>
      <c r="T8637" s="1" t="s">
        <v>357</v>
      </c>
      <c r="U8637" s="2" t="s">
        <v>337</v>
      </c>
      <c r="V8637" s="2" t="s">
        <v>36</v>
      </c>
      <c r="W8637" s="2" t="s">
        <v>60</v>
      </c>
      <c r="X8637" s="2">
        <v>38.395000000000003</v>
      </c>
    </row>
    <row r="8638" spans="1:24" x14ac:dyDescent="0.3">
      <c r="A8638">
        <v>2915</v>
      </c>
      <c r="B8638" t="s">
        <v>15881</v>
      </c>
      <c r="C8638" s="3">
        <v>41308</v>
      </c>
      <c r="D8638" t="s">
        <v>25</v>
      </c>
      <c r="E8638">
        <v>31</v>
      </c>
      <c r="F8638" s="3">
        <f ca="1">41315+(RANDBETWEEN(1,10))</f>
        <v>41324</v>
      </c>
      <c r="G8638" t="s">
        <v>26</v>
      </c>
      <c r="H8638" t="s">
        <v>51</v>
      </c>
      <c r="I8638" t="s">
        <v>28</v>
      </c>
      <c r="J8638">
        <v>4276.72</v>
      </c>
      <c r="K8638">
        <v>0.04</v>
      </c>
      <c r="L8638">
        <v>0.54</v>
      </c>
      <c r="M8638">
        <v>6.9649999999999999</v>
      </c>
      <c r="N8638">
        <v>594.71545000000003</v>
      </c>
      <c r="O8638" s="1" t="s">
        <v>64</v>
      </c>
      <c r="P8638" s="1" t="s">
        <v>15882</v>
      </c>
      <c r="Q8638" s="1" t="s">
        <v>15883</v>
      </c>
      <c r="R8638" s="1" t="s">
        <v>67</v>
      </c>
      <c r="S8638" s="1" t="s">
        <v>254</v>
      </c>
      <c r="T8638" s="1" t="s">
        <v>316</v>
      </c>
      <c r="U8638" s="2" t="s">
        <v>685</v>
      </c>
      <c r="V8638" s="2" t="s">
        <v>36</v>
      </c>
      <c r="W8638" s="2" t="s">
        <v>60</v>
      </c>
      <c r="X8638" s="2">
        <v>138.18</v>
      </c>
    </row>
    <row r="8639" spans="1:24" x14ac:dyDescent="0.3">
      <c r="A8639">
        <v>2932</v>
      </c>
      <c r="B8639" t="s">
        <v>15884</v>
      </c>
      <c r="C8639" s="3">
        <v>41171</v>
      </c>
      <c r="D8639" t="s">
        <v>25</v>
      </c>
      <c r="E8639">
        <v>40</v>
      </c>
      <c r="F8639" s="3">
        <f ca="1">41173+(RANDBETWEEN(1,10))</f>
        <v>41183</v>
      </c>
      <c r="G8639" t="s">
        <v>26</v>
      </c>
      <c r="H8639" t="s">
        <v>27</v>
      </c>
      <c r="I8639" t="s">
        <v>86</v>
      </c>
      <c r="J8639">
        <v>6890.5550000000003</v>
      </c>
      <c r="K8639">
        <v>0.02</v>
      </c>
      <c r="L8639">
        <v>0.56000000000000005</v>
      </c>
      <c r="M8639">
        <v>13.965</v>
      </c>
      <c r="N8639">
        <v>1047.7249999999999</v>
      </c>
      <c r="O8639" s="1" t="s">
        <v>53</v>
      </c>
      <c r="P8639" s="1" t="s">
        <v>10270</v>
      </c>
      <c r="Q8639" s="1" t="s">
        <v>10271</v>
      </c>
      <c r="R8639" s="1" t="s">
        <v>100</v>
      </c>
      <c r="S8639" s="1" t="s">
        <v>101</v>
      </c>
      <c r="T8639" s="1" t="s">
        <v>10272</v>
      </c>
      <c r="U8639" s="2" t="s">
        <v>1399</v>
      </c>
      <c r="V8639" s="2" t="s">
        <v>47</v>
      </c>
      <c r="W8639" s="2" t="s">
        <v>71</v>
      </c>
      <c r="X8639" s="2">
        <v>170.03</v>
      </c>
    </row>
    <row r="8640" spans="1:24" x14ac:dyDescent="0.3">
      <c r="A8640">
        <v>2933</v>
      </c>
      <c r="B8640" t="s">
        <v>15885</v>
      </c>
      <c r="C8640" s="3">
        <v>41901</v>
      </c>
      <c r="D8640" t="s">
        <v>25</v>
      </c>
      <c r="E8640">
        <v>15</v>
      </c>
      <c r="F8640" s="3">
        <f ca="1">41903+(RANDBETWEEN(1,10))</f>
        <v>41911</v>
      </c>
      <c r="G8640" t="s">
        <v>26</v>
      </c>
      <c r="H8640" t="s">
        <v>27</v>
      </c>
      <c r="I8640" t="s">
        <v>86</v>
      </c>
      <c r="J8640">
        <v>9451.5049999999992</v>
      </c>
      <c r="K8640">
        <v>0.03</v>
      </c>
      <c r="L8640">
        <v>0.6</v>
      </c>
      <c r="M8640">
        <v>31.465</v>
      </c>
      <c r="N8640">
        <v>-1830.4825000000001</v>
      </c>
      <c r="O8640" s="1" t="s">
        <v>53</v>
      </c>
      <c r="P8640" s="1" t="s">
        <v>10270</v>
      </c>
      <c r="Q8640" s="1" t="s">
        <v>10271</v>
      </c>
      <c r="R8640" s="1" t="s">
        <v>100</v>
      </c>
      <c r="S8640" s="1" t="s">
        <v>101</v>
      </c>
      <c r="T8640" s="1" t="s">
        <v>10272</v>
      </c>
      <c r="U8640" s="2" t="s">
        <v>2580</v>
      </c>
      <c r="V8640" s="2" t="s">
        <v>36</v>
      </c>
      <c r="W8640" s="2" t="s">
        <v>37</v>
      </c>
      <c r="X8640" s="2">
        <v>720.96500000000003</v>
      </c>
    </row>
    <row r="8641" spans="1:24" x14ac:dyDescent="0.3">
      <c r="A8641">
        <v>2981</v>
      </c>
      <c r="B8641" t="s">
        <v>15886</v>
      </c>
      <c r="C8641" s="3">
        <v>41829</v>
      </c>
      <c r="D8641" t="s">
        <v>148</v>
      </c>
      <c r="E8641">
        <v>25</v>
      </c>
      <c r="F8641" s="3">
        <f ca="1">41830+(RANDBETWEEN(1,10))</f>
        <v>41836</v>
      </c>
      <c r="G8641" t="s">
        <v>26</v>
      </c>
      <c r="H8641" t="s">
        <v>96</v>
      </c>
      <c r="I8641" t="s">
        <v>52</v>
      </c>
      <c r="J8641">
        <v>1886.7449999999999</v>
      </c>
      <c r="K8641">
        <v>0.04</v>
      </c>
      <c r="L8641">
        <v>0.39</v>
      </c>
      <c r="M8641">
        <v>29.12</v>
      </c>
      <c r="N8641">
        <v>140.38499999999999</v>
      </c>
      <c r="O8641" s="1" t="s">
        <v>64</v>
      </c>
      <c r="P8641" s="1" t="s">
        <v>183</v>
      </c>
      <c r="Q8641" s="1" t="s">
        <v>184</v>
      </c>
      <c r="R8641" s="1" t="s">
        <v>128</v>
      </c>
      <c r="S8641" s="1" t="s">
        <v>129</v>
      </c>
      <c r="T8641" s="1" t="s">
        <v>185</v>
      </c>
      <c r="U8641" s="2" t="s">
        <v>8015</v>
      </c>
      <c r="V8641" s="2" t="s">
        <v>47</v>
      </c>
      <c r="W8641" s="2" t="s">
        <v>74</v>
      </c>
      <c r="X8641" s="2">
        <v>76.930000000000007</v>
      </c>
    </row>
    <row r="8642" spans="1:24" x14ac:dyDescent="0.3">
      <c r="A8642">
        <v>2982</v>
      </c>
      <c r="B8642" t="s">
        <v>15887</v>
      </c>
      <c r="C8642" s="3">
        <v>41099</v>
      </c>
      <c r="D8642" t="s">
        <v>148</v>
      </c>
      <c r="E8642">
        <v>47</v>
      </c>
      <c r="F8642" s="3">
        <f ca="1">41099+(RANDBETWEEN(1,10))</f>
        <v>41102</v>
      </c>
      <c r="G8642" t="s">
        <v>26</v>
      </c>
      <c r="H8642" t="s">
        <v>63</v>
      </c>
      <c r="I8642" t="s">
        <v>52</v>
      </c>
      <c r="J8642">
        <v>9869.3349999999991</v>
      </c>
      <c r="K8642">
        <v>0.05</v>
      </c>
      <c r="L8642">
        <v>0.68</v>
      </c>
      <c r="M8642">
        <v>241.5</v>
      </c>
      <c r="N8642">
        <v>-6056.05</v>
      </c>
      <c r="O8642" s="1" t="s">
        <v>64</v>
      </c>
      <c r="P8642" s="1" t="s">
        <v>183</v>
      </c>
      <c r="Q8642" s="1" t="s">
        <v>184</v>
      </c>
      <c r="R8642" s="1" t="s">
        <v>128</v>
      </c>
      <c r="S8642" s="1" t="s">
        <v>129</v>
      </c>
      <c r="T8642" s="1" t="s">
        <v>185</v>
      </c>
      <c r="U8642" s="2" t="s">
        <v>1152</v>
      </c>
      <c r="V8642" s="2" t="s">
        <v>83</v>
      </c>
      <c r="W8642" s="2" t="s">
        <v>263</v>
      </c>
      <c r="X8642" s="2">
        <v>249.79499999999999</v>
      </c>
    </row>
    <row r="8643" spans="1:24" x14ac:dyDescent="0.3">
      <c r="A8643">
        <v>2986</v>
      </c>
      <c r="B8643" t="s">
        <v>15888</v>
      </c>
      <c r="C8643" s="3">
        <v>40587</v>
      </c>
      <c r="D8643" t="s">
        <v>62</v>
      </c>
      <c r="E8643">
        <v>42</v>
      </c>
      <c r="F8643" s="3">
        <f ca="1">40589+(RANDBETWEEN(1,10))</f>
        <v>40593</v>
      </c>
      <c r="G8643" t="s">
        <v>26</v>
      </c>
      <c r="H8643" t="s">
        <v>63</v>
      </c>
      <c r="I8643" t="s">
        <v>97</v>
      </c>
      <c r="J8643">
        <v>29921.64</v>
      </c>
      <c r="K8643">
        <v>0.03</v>
      </c>
      <c r="L8643">
        <v>0.59</v>
      </c>
      <c r="M8643">
        <v>40.39</v>
      </c>
      <c r="N8643">
        <v>10013.535</v>
      </c>
      <c r="O8643" s="1" t="s">
        <v>64</v>
      </c>
      <c r="P8643" s="1" t="s">
        <v>189</v>
      </c>
      <c r="Q8643" s="1" t="s">
        <v>190</v>
      </c>
      <c r="R8643" s="1" t="s">
        <v>67</v>
      </c>
      <c r="S8643" s="1" t="s">
        <v>108</v>
      </c>
      <c r="T8643" s="1" t="s">
        <v>191</v>
      </c>
      <c r="U8643" s="2" t="s">
        <v>5469</v>
      </c>
      <c r="V8643" s="2" t="s">
        <v>83</v>
      </c>
      <c r="W8643" s="2" t="s">
        <v>178</v>
      </c>
      <c r="X8643" s="2">
        <v>680.05</v>
      </c>
    </row>
    <row r="8644" spans="1:24" x14ac:dyDescent="0.3">
      <c r="A8644">
        <v>2990</v>
      </c>
      <c r="B8644" t="s">
        <v>15889</v>
      </c>
      <c r="C8644" s="3">
        <v>40923</v>
      </c>
      <c r="D8644" t="s">
        <v>62</v>
      </c>
      <c r="E8644">
        <v>33</v>
      </c>
      <c r="F8644" s="3">
        <f ca="1">40924+(RANDBETWEEN(1,10))</f>
        <v>40928</v>
      </c>
      <c r="G8644" t="s">
        <v>26</v>
      </c>
      <c r="H8644" t="s">
        <v>51</v>
      </c>
      <c r="I8644" t="s">
        <v>86</v>
      </c>
      <c r="J8644">
        <v>271.42500000000001</v>
      </c>
      <c r="K8644">
        <v>0</v>
      </c>
      <c r="L8644">
        <v>0.55000000000000004</v>
      </c>
      <c r="M8644">
        <v>6.9649999999999999</v>
      </c>
      <c r="N8644">
        <v>-208.32</v>
      </c>
      <c r="O8644" s="1" t="s">
        <v>64</v>
      </c>
      <c r="P8644" s="1" t="s">
        <v>173</v>
      </c>
      <c r="Q8644" s="1" t="s">
        <v>174</v>
      </c>
      <c r="R8644" s="1" t="s">
        <v>67</v>
      </c>
      <c r="S8644" s="1" t="s">
        <v>108</v>
      </c>
      <c r="T8644" s="1" t="s">
        <v>109</v>
      </c>
      <c r="U8644" s="2" t="s">
        <v>1910</v>
      </c>
      <c r="V8644" s="2" t="s">
        <v>36</v>
      </c>
      <c r="W8644" s="2" t="s">
        <v>60</v>
      </c>
      <c r="X8644" s="2">
        <v>7.42</v>
      </c>
    </row>
    <row r="8645" spans="1:24" x14ac:dyDescent="0.3">
      <c r="A8645">
        <v>2991</v>
      </c>
      <c r="B8645" t="s">
        <v>15890</v>
      </c>
      <c r="C8645" s="3">
        <v>41003</v>
      </c>
      <c r="D8645" t="s">
        <v>25</v>
      </c>
      <c r="E8645">
        <v>17</v>
      </c>
      <c r="F8645" s="3">
        <f ca="1">41010+(RANDBETWEEN(1,10))</f>
        <v>41020</v>
      </c>
      <c r="G8645" t="s">
        <v>26</v>
      </c>
      <c r="H8645" t="s">
        <v>96</v>
      </c>
      <c r="I8645" t="s">
        <v>97</v>
      </c>
      <c r="J8645">
        <v>593.17999999999995</v>
      </c>
      <c r="K8645">
        <v>0.03</v>
      </c>
      <c r="L8645">
        <v>0.36</v>
      </c>
      <c r="M8645">
        <v>7.9450000000000003</v>
      </c>
      <c r="N8645">
        <v>113.84975</v>
      </c>
      <c r="O8645" s="1" t="s">
        <v>53</v>
      </c>
      <c r="P8645" s="1" t="s">
        <v>284</v>
      </c>
      <c r="Q8645" s="1" t="s">
        <v>285</v>
      </c>
      <c r="R8645" s="1" t="s">
        <v>56</v>
      </c>
      <c r="S8645" s="1" t="s">
        <v>57</v>
      </c>
      <c r="T8645" s="1" t="s">
        <v>58</v>
      </c>
      <c r="U8645" s="2" t="s">
        <v>4659</v>
      </c>
      <c r="V8645" s="2" t="s">
        <v>47</v>
      </c>
      <c r="W8645" s="2" t="s">
        <v>74</v>
      </c>
      <c r="X8645" s="2">
        <v>35.49</v>
      </c>
    </row>
    <row r="8646" spans="1:24" x14ac:dyDescent="0.3">
      <c r="A8646">
        <v>2992</v>
      </c>
      <c r="B8646" t="s">
        <v>15891</v>
      </c>
      <c r="C8646" s="3">
        <v>41370</v>
      </c>
      <c r="D8646" t="s">
        <v>25</v>
      </c>
      <c r="E8646">
        <v>22</v>
      </c>
      <c r="F8646" s="3">
        <f ca="1">41370+(RANDBETWEEN(1,10))</f>
        <v>41373</v>
      </c>
      <c r="G8646" t="s">
        <v>26</v>
      </c>
      <c r="H8646" t="s">
        <v>63</v>
      </c>
      <c r="I8646" t="s">
        <v>52</v>
      </c>
      <c r="J8646">
        <v>8575.2450000000008</v>
      </c>
      <c r="K8646">
        <v>0.09</v>
      </c>
      <c r="L8646" t="s">
        <v>182</v>
      </c>
      <c r="M8646">
        <v>122.5</v>
      </c>
      <c r="N8646">
        <v>-2131.8150000000001</v>
      </c>
      <c r="O8646" s="1" t="s">
        <v>64</v>
      </c>
      <c r="P8646" s="1" t="s">
        <v>10969</v>
      </c>
      <c r="Q8646" s="1" t="s">
        <v>10970</v>
      </c>
      <c r="R8646" s="1" t="s">
        <v>128</v>
      </c>
      <c r="S8646" s="1" t="s">
        <v>129</v>
      </c>
      <c r="T8646" s="1" t="s">
        <v>10971</v>
      </c>
      <c r="U8646" s="2" t="s">
        <v>8035</v>
      </c>
      <c r="V8646" s="2" t="s">
        <v>47</v>
      </c>
      <c r="W8646" s="2" t="s">
        <v>119</v>
      </c>
      <c r="X8646" s="2">
        <v>397.74</v>
      </c>
    </row>
    <row r="8647" spans="1:24" x14ac:dyDescent="0.3">
      <c r="A8647">
        <v>3004</v>
      </c>
      <c r="B8647" t="s">
        <v>15892</v>
      </c>
      <c r="C8647" s="3">
        <v>40765</v>
      </c>
      <c r="D8647" t="s">
        <v>25</v>
      </c>
      <c r="E8647">
        <v>29</v>
      </c>
      <c r="F8647" s="3">
        <f ca="1">40772+(RANDBETWEEN(1,10))</f>
        <v>40774</v>
      </c>
      <c r="G8647" t="s">
        <v>156</v>
      </c>
      <c r="H8647" t="s">
        <v>27</v>
      </c>
      <c r="I8647" t="s">
        <v>97</v>
      </c>
      <c r="J8647">
        <v>2389.38</v>
      </c>
      <c r="K8647">
        <v>0</v>
      </c>
      <c r="L8647">
        <v>0.38</v>
      </c>
      <c r="M8647">
        <v>52.85</v>
      </c>
      <c r="N8647">
        <v>-184.2645</v>
      </c>
      <c r="O8647" s="1" t="s">
        <v>40</v>
      </c>
      <c r="P8647" s="1" t="s">
        <v>15893</v>
      </c>
      <c r="Q8647" s="1" t="s">
        <v>15894</v>
      </c>
      <c r="R8647" s="1" t="s">
        <v>43</v>
      </c>
      <c r="S8647" s="1" t="s">
        <v>44</v>
      </c>
      <c r="T8647" s="1" t="s">
        <v>15895</v>
      </c>
      <c r="U8647" s="2" t="s">
        <v>2602</v>
      </c>
      <c r="V8647" s="2" t="s">
        <v>47</v>
      </c>
      <c r="W8647" s="2" t="s">
        <v>111</v>
      </c>
      <c r="X8647" s="2">
        <v>78.33</v>
      </c>
    </row>
    <row r="8648" spans="1:24" x14ac:dyDescent="0.3">
      <c r="A8648">
        <v>3005</v>
      </c>
      <c r="B8648" t="s">
        <v>15892</v>
      </c>
      <c r="C8648" s="3">
        <v>40765</v>
      </c>
      <c r="D8648" t="s">
        <v>25</v>
      </c>
      <c r="E8648">
        <v>11</v>
      </c>
      <c r="F8648" s="3">
        <f ca="1">40770+(RANDBETWEEN(1,10))</f>
        <v>40773</v>
      </c>
      <c r="G8648" t="s">
        <v>26</v>
      </c>
      <c r="H8648" t="s">
        <v>27</v>
      </c>
      <c r="I8648" t="s">
        <v>97</v>
      </c>
      <c r="J8648">
        <v>257.04000000000002</v>
      </c>
      <c r="K8648">
        <v>7.0000000000000007E-2</v>
      </c>
      <c r="L8648">
        <v>0.68</v>
      </c>
      <c r="M8648">
        <v>16.414999999999999</v>
      </c>
      <c r="N8648">
        <v>-85.54</v>
      </c>
      <c r="O8648" s="1" t="s">
        <v>40</v>
      </c>
      <c r="P8648" s="1" t="s">
        <v>15893</v>
      </c>
      <c r="Q8648" s="1" t="s">
        <v>15894</v>
      </c>
      <c r="R8648" s="1" t="s">
        <v>43</v>
      </c>
      <c r="S8648" s="1" t="s">
        <v>44</v>
      </c>
      <c r="T8648" s="1" t="s">
        <v>15895</v>
      </c>
      <c r="U8648" s="2" t="s">
        <v>2362</v>
      </c>
      <c r="V8648" s="2" t="s">
        <v>47</v>
      </c>
      <c r="W8648" s="2" t="s">
        <v>119</v>
      </c>
      <c r="X8648" s="2">
        <v>20.93</v>
      </c>
    </row>
    <row r="8649" spans="1:24" x14ac:dyDescent="0.3">
      <c r="A8649">
        <v>3006</v>
      </c>
      <c r="B8649" t="s">
        <v>15892</v>
      </c>
      <c r="C8649" s="3">
        <v>40765</v>
      </c>
      <c r="D8649" t="s">
        <v>25</v>
      </c>
      <c r="E8649">
        <v>63</v>
      </c>
      <c r="F8649" s="3">
        <f ca="1">40765+(RANDBETWEEN(1,10))</f>
        <v>40774</v>
      </c>
      <c r="G8649" t="s">
        <v>26</v>
      </c>
      <c r="H8649" t="s">
        <v>51</v>
      </c>
      <c r="I8649" t="s">
        <v>97</v>
      </c>
      <c r="J8649">
        <v>10489.745000000001</v>
      </c>
      <c r="K8649">
        <v>0.02</v>
      </c>
      <c r="L8649">
        <v>0.59</v>
      </c>
      <c r="M8649">
        <v>11.55</v>
      </c>
      <c r="N8649">
        <v>1282.7745</v>
      </c>
      <c r="O8649" s="1" t="s">
        <v>40</v>
      </c>
      <c r="P8649" s="1" t="s">
        <v>15893</v>
      </c>
      <c r="Q8649" s="1" t="s">
        <v>15894</v>
      </c>
      <c r="R8649" s="1" t="s">
        <v>43</v>
      </c>
      <c r="S8649" s="1" t="s">
        <v>44</v>
      </c>
      <c r="T8649" s="1" t="s">
        <v>15895</v>
      </c>
      <c r="U8649" s="2" t="s">
        <v>3769</v>
      </c>
      <c r="V8649" s="2" t="s">
        <v>36</v>
      </c>
      <c r="W8649" s="2" t="s">
        <v>37</v>
      </c>
      <c r="X8649" s="2">
        <v>195.965</v>
      </c>
    </row>
    <row r="8650" spans="1:24" x14ac:dyDescent="0.3">
      <c r="A8650">
        <v>3013</v>
      </c>
      <c r="B8650" t="s">
        <v>15896</v>
      </c>
      <c r="C8650" s="3">
        <v>41285</v>
      </c>
      <c r="D8650" t="s">
        <v>39</v>
      </c>
      <c r="E8650">
        <v>27</v>
      </c>
      <c r="F8650" s="3">
        <f ca="1">41286+(RANDBETWEEN(1,10))</f>
        <v>41295</v>
      </c>
      <c r="G8650" t="s">
        <v>26</v>
      </c>
      <c r="H8650" t="s">
        <v>27</v>
      </c>
      <c r="I8650" t="s">
        <v>97</v>
      </c>
      <c r="J8650">
        <v>7738.01</v>
      </c>
      <c r="K8650">
        <v>0</v>
      </c>
      <c r="L8650">
        <v>0.43</v>
      </c>
      <c r="M8650">
        <v>69.965000000000003</v>
      </c>
      <c r="N8650">
        <v>1948.1087500000001</v>
      </c>
      <c r="O8650" s="1" t="s">
        <v>225</v>
      </c>
      <c r="P8650" s="1" t="s">
        <v>347</v>
      </c>
      <c r="Q8650" s="1" t="s">
        <v>348</v>
      </c>
      <c r="R8650" s="1" t="s">
        <v>228</v>
      </c>
      <c r="S8650" s="1" t="s">
        <v>349</v>
      </c>
      <c r="T8650" s="1" t="s">
        <v>350</v>
      </c>
      <c r="U8650" s="2" t="s">
        <v>7425</v>
      </c>
      <c r="V8650" s="2" t="s">
        <v>83</v>
      </c>
      <c r="W8650" s="2" t="s">
        <v>178</v>
      </c>
      <c r="X8650" s="2">
        <v>275.41500000000002</v>
      </c>
    </row>
    <row r="8651" spans="1:24" x14ac:dyDescent="0.3">
      <c r="A8651">
        <v>3025</v>
      </c>
      <c r="B8651" t="s">
        <v>15897</v>
      </c>
      <c r="C8651" s="3">
        <v>41304</v>
      </c>
      <c r="D8651" t="s">
        <v>50</v>
      </c>
      <c r="E8651">
        <v>10</v>
      </c>
      <c r="F8651" s="3">
        <f ca="1">41305+(RANDBETWEEN(1,10))</f>
        <v>41312</v>
      </c>
      <c r="G8651" t="s">
        <v>26</v>
      </c>
      <c r="H8651" t="s">
        <v>27</v>
      </c>
      <c r="I8651" t="s">
        <v>97</v>
      </c>
      <c r="J8651">
        <v>276.88499999999999</v>
      </c>
      <c r="K8651">
        <v>0.08</v>
      </c>
      <c r="L8651">
        <v>0.56000000000000005</v>
      </c>
      <c r="M8651">
        <v>18.234999999999999</v>
      </c>
      <c r="N8651">
        <v>2.6179999999999999</v>
      </c>
      <c r="O8651" s="1" t="s">
        <v>64</v>
      </c>
      <c r="P8651" s="1" t="s">
        <v>328</v>
      </c>
      <c r="Q8651" s="1" t="s">
        <v>329</v>
      </c>
      <c r="R8651" s="1" t="s">
        <v>128</v>
      </c>
      <c r="S8651" s="1" t="s">
        <v>129</v>
      </c>
      <c r="T8651" s="1" t="s">
        <v>330</v>
      </c>
      <c r="U8651" s="2" t="s">
        <v>256</v>
      </c>
      <c r="V8651" s="2" t="s">
        <v>83</v>
      </c>
      <c r="W8651" s="2" t="s">
        <v>178</v>
      </c>
      <c r="X8651" s="2">
        <v>25.83</v>
      </c>
    </row>
    <row r="8652" spans="1:24" x14ac:dyDescent="0.3">
      <c r="A8652">
        <v>3065</v>
      </c>
      <c r="B8652" t="s">
        <v>15898</v>
      </c>
      <c r="C8652" s="3">
        <v>40699</v>
      </c>
      <c r="D8652" t="s">
        <v>39</v>
      </c>
      <c r="E8652">
        <v>21</v>
      </c>
      <c r="F8652" s="3">
        <f ca="1">40700+(RANDBETWEEN(1,10))</f>
        <v>40704</v>
      </c>
      <c r="G8652" t="s">
        <v>26</v>
      </c>
      <c r="H8652" t="s">
        <v>27</v>
      </c>
      <c r="I8652" t="s">
        <v>52</v>
      </c>
      <c r="J8652">
        <v>26239.674999999999</v>
      </c>
      <c r="K8652">
        <v>0.09</v>
      </c>
      <c r="L8652">
        <v>0.56999999999999995</v>
      </c>
      <c r="M8652">
        <v>69.965000000000003</v>
      </c>
      <c r="N8652">
        <v>2562.9443000000001</v>
      </c>
      <c r="O8652" s="1" t="s">
        <v>53</v>
      </c>
      <c r="P8652" s="1" t="s">
        <v>54</v>
      </c>
      <c r="Q8652" s="1" t="s">
        <v>55</v>
      </c>
      <c r="R8652" s="1" t="s">
        <v>56</v>
      </c>
      <c r="S8652" s="1" t="s">
        <v>57</v>
      </c>
      <c r="T8652" s="1" t="s">
        <v>58</v>
      </c>
      <c r="U8652" s="2" t="s">
        <v>572</v>
      </c>
      <c r="V8652" s="2" t="s">
        <v>47</v>
      </c>
      <c r="W8652" s="2" t="s">
        <v>71</v>
      </c>
      <c r="X8652" s="2">
        <v>1271.375</v>
      </c>
    </row>
    <row r="8653" spans="1:24" x14ac:dyDescent="0.3">
      <c r="A8653">
        <v>3073</v>
      </c>
      <c r="B8653" t="s">
        <v>15899</v>
      </c>
      <c r="C8653" s="3">
        <v>41638</v>
      </c>
      <c r="D8653" t="s">
        <v>50</v>
      </c>
      <c r="E8653">
        <v>78</v>
      </c>
      <c r="F8653" s="3">
        <f ca="1">41640+(RANDBETWEEN(1,10))</f>
        <v>41644</v>
      </c>
      <c r="G8653" t="s">
        <v>26</v>
      </c>
      <c r="H8653" t="s">
        <v>27</v>
      </c>
      <c r="I8653" t="s">
        <v>28</v>
      </c>
      <c r="J8653">
        <v>1465.31</v>
      </c>
      <c r="K8653">
        <v>0.01</v>
      </c>
      <c r="L8653">
        <v>0.36</v>
      </c>
      <c r="M8653">
        <v>26.04</v>
      </c>
      <c r="N8653">
        <v>-562.48500000000001</v>
      </c>
      <c r="O8653" s="1" t="s">
        <v>40</v>
      </c>
      <c r="P8653" s="1" t="s">
        <v>7742</v>
      </c>
      <c r="Q8653" s="1" t="s">
        <v>7743</v>
      </c>
      <c r="R8653" s="1" t="s">
        <v>43</v>
      </c>
      <c r="S8653" s="1" t="s">
        <v>44</v>
      </c>
      <c r="T8653" s="1" t="s">
        <v>7744</v>
      </c>
      <c r="U8653" s="2" t="s">
        <v>131</v>
      </c>
      <c r="V8653" s="2" t="s">
        <v>47</v>
      </c>
      <c r="W8653" s="2" t="s">
        <v>74</v>
      </c>
      <c r="X8653" s="2">
        <v>17.43</v>
      </c>
    </row>
    <row r="8654" spans="1:24" x14ac:dyDescent="0.3">
      <c r="A8654">
        <v>3081</v>
      </c>
      <c r="B8654" t="s">
        <v>15900</v>
      </c>
      <c r="C8654" s="3">
        <v>41805</v>
      </c>
      <c r="D8654" t="s">
        <v>25</v>
      </c>
      <c r="E8654">
        <v>8</v>
      </c>
      <c r="F8654" s="3">
        <f ca="1">41805+(RANDBETWEEN(1,10))</f>
        <v>41808</v>
      </c>
      <c r="G8654" t="s">
        <v>76</v>
      </c>
      <c r="H8654" t="s">
        <v>77</v>
      </c>
      <c r="I8654" t="s">
        <v>52</v>
      </c>
      <c r="J8654">
        <v>4210.8500000000004</v>
      </c>
      <c r="K8654">
        <v>0.02</v>
      </c>
      <c r="L8654">
        <v>0.56000000000000005</v>
      </c>
      <c r="M8654">
        <v>62.475000000000001</v>
      </c>
      <c r="N8654">
        <v>-993.79665</v>
      </c>
      <c r="O8654" s="1" t="s">
        <v>64</v>
      </c>
      <c r="P8654" s="1" t="s">
        <v>173</v>
      </c>
      <c r="Q8654" s="1" t="s">
        <v>174</v>
      </c>
      <c r="R8654" s="1" t="s">
        <v>67</v>
      </c>
      <c r="S8654" s="1" t="s">
        <v>108</v>
      </c>
      <c r="T8654" s="1" t="s">
        <v>109</v>
      </c>
      <c r="U8654" s="2" t="s">
        <v>881</v>
      </c>
      <c r="V8654" s="2" t="s">
        <v>36</v>
      </c>
      <c r="W8654" s="2" t="s">
        <v>142</v>
      </c>
      <c r="X8654" s="2">
        <v>509.07499999999999</v>
      </c>
    </row>
    <row r="8655" spans="1:24" x14ac:dyDescent="0.3">
      <c r="A8655">
        <v>3086</v>
      </c>
      <c r="B8655" t="s">
        <v>15901</v>
      </c>
      <c r="C8655" s="3">
        <v>40559</v>
      </c>
      <c r="D8655" t="s">
        <v>25</v>
      </c>
      <c r="E8655">
        <v>37</v>
      </c>
      <c r="F8655" s="3">
        <f ca="1">40563+(RANDBETWEEN(1,10))</f>
        <v>40565</v>
      </c>
      <c r="G8655" t="s">
        <v>26</v>
      </c>
      <c r="H8655" t="s">
        <v>51</v>
      </c>
      <c r="I8655" t="s">
        <v>28</v>
      </c>
      <c r="J8655">
        <v>2912.49</v>
      </c>
      <c r="K8655">
        <v>0.04</v>
      </c>
      <c r="L8655">
        <v>0.44</v>
      </c>
      <c r="M8655">
        <v>31.465</v>
      </c>
      <c r="N8655">
        <v>245.09800000000001</v>
      </c>
      <c r="O8655" s="1" t="s">
        <v>87</v>
      </c>
      <c r="P8655" s="1" t="s">
        <v>15902</v>
      </c>
      <c r="Q8655" s="1" t="s">
        <v>15903</v>
      </c>
      <c r="R8655" s="1" t="s">
        <v>90</v>
      </c>
      <c r="S8655" s="1" t="s">
        <v>91</v>
      </c>
      <c r="T8655" s="1" t="s">
        <v>15904</v>
      </c>
      <c r="U8655" s="2" t="s">
        <v>2721</v>
      </c>
      <c r="V8655" s="2" t="s">
        <v>83</v>
      </c>
      <c r="W8655" s="2" t="s">
        <v>178</v>
      </c>
      <c r="X8655" s="2">
        <v>79.52</v>
      </c>
    </row>
    <row r="8656" spans="1:24" x14ac:dyDescent="0.3">
      <c r="A8656">
        <v>3130</v>
      </c>
      <c r="B8656" t="s">
        <v>15905</v>
      </c>
      <c r="C8656" s="3">
        <v>41070</v>
      </c>
      <c r="D8656" t="s">
        <v>50</v>
      </c>
      <c r="E8656">
        <v>21</v>
      </c>
      <c r="F8656" s="3">
        <f ca="1">41070+(RANDBETWEEN(1,10))</f>
        <v>41079</v>
      </c>
      <c r="G8656" t="s">
        <v>26</v>
      </c>
      <c r="H8656" t="s">
        <v>27</v>
      </c>
      <c r="I8656" t="s">
        <v>86</v>
      </c>
      <c r="J8656">
        <v>1696.345</v>
      </c>
      <c r="K8656">
        <v>0</v>
      </c>
      <c r="L8656">
        <v>0.37</v>
      </c>
      <c r="M8656">
        <v>30.905000000000001</v>
      </c>
      <c r="N8656">
        <v>145.32875000000001</v>
      </c>
      <c r="O8656" s="1" t="s">
        <v>29</v>
      </c>
      <c r="P8656" s="1" t="s">
        <v>367</v>
      </c>
      <c r="Q8656" s="1" t="s">
        <v>368</v>
      </c>
      <c r="R8656" s="1" t="s">
        <v>32</v>
      </c>
      <c r="S8656" s="1" t="s">
        <v>33</v>
      </c>
      <c r="T8656" s="1" t="s">
        <v>369</v>
      </c>
      <c r="U8656" s="2" t="s">
        <v>7151</v>
      </c>
      <c r="V8656" s="2" t="s">
        <v>47</v>
      </c>
      <c r="W8656" s="2" t="s">
        <v>111</v>
      </c>
      <c r="X8656" s="2">
        <v>73.430000000000007</v>
      </c>
    </row>
    <row r="8657" spans="1:24" x14ac:dyDescent="0.3">
      <c r="A8657">
        <v>3131</v>
      </c>
      <c r="B8657" t="s">
        <v>15905</v>
      </c>
      <c r="C8657" s="3">
        <v>41070</v>
      </c>
      <c r="D8657" t="s">
        <v>50</v>
      </c>
      <c r="E8657">
        <v>17</v>
      </c>
      <c r="F8657" s="3">
        <f ca="1">41071+(RANDBETWEEN(1,10))</f>
        <v>41079</v>
      </c>
      <c r="G8657" t="s">
        <v>26</v>
      </c>
      <c r="H8657" t="s">
        <v>96</v>
      </c>
      <c r="I8657" t="s">
        <v>86</v>
      </c>
      <c r="J8657">
        <v>352.13499999999999</v>
      </c>
      <c r="K8657">
        <v>0.03</v>
      </c>
      <c r="L8657">
        <v>0.39</v>
      </c>
      <c r="M8657">
        <v>5.1100000000000003</v>
      </c>
      <c r="N8657">
        <v>46.585000000000001</v>
      </c>
      <c r="O8657" s="1" t="s">
        <v>29</v>
      </c>
      <c r="P8657" s="1" t="s">
        <v>367</v>
      </c>
      <c r="Q8657" s="1" t="s">
        <v>368</v>
      </c>
      <c r="R8657" s="1" t="s">
        <v>32</v>
      </c>
      <c r="S8657" s="1" t="s">
        <v>33</v>
      </c>
      <c r="T8657" s="1" t="s">
        <v>369</v>
      </c>
      <c r="U8657" s="2" t="s">
        <v>8262</v>
      </c>
      <c r="V8657" s="2" t="s">
        <v>47</v>
      </c>
      <c r="W8657" s="2" t="s">
        <v>74</v>
      </c>
      <c r="X8657" s="2">
        <v>19.88</v>
      </c>
    </row>
    <row r="8658" spans="1:24" x14ac:dyDescent="0.3">
      <c r="A8658">
        <v>3132</v>
      </c>
      <c r="B8658" t="s">
        <v>15905</v>
      </c>
      <c r="C8658" s="3">
        <v>41070</v>
      </c>
      <c r="D8658" t="s">
        <v>50</v>
      </c>
      <c r="E8658">
        <v>29</v>
      </c>
      <c r="F8658" s="3">
        <f ca="1">41072+(RANDBETWEEN(1,10))</f>
        <v>41077</v>
      </c>
      <c r="G8658" t="s">
        <v>26</v>
      </c>
      <c r="H8658" t="s">
        <v>27</v>
      </c>
      <c r="I8658" t="s">
        <v>86</v>
      </c>
      <c r="J8658">
        <v>874.755</v>
      </c>
      <c r="K8658">
        <v>0</v>
      </c>
      <c r="L8658">
        <v>0.41</v>
      </c>
      <c r="M8658">
        <v>17.324999999999999</v>
      </c>
      <c r="N8658">
        <v>82.635000000000005</v>
      </c>
      <c r="O8658" s="1" t="s">
        <v>29</v>
      </c>
      <c r="P8658" s="1" t="s">
        <v>367</v>
      </c>
      <c r="Q8658" s="1" t="s">
        <v>368</v>
      </c>
      <c r="R8658" s="1" t="s">
        <v>32</v>
      </c>
      <c r="S8658" s="1" t="s">
        <v>33</v>
      </c>
      <c r="T8658" s="1" t="s">
        <v>369</v>
      </c>
      <c r="U8658" s="2" t="s">
        <v>3405</v>
      </c>
      <c r="V8658" s="2" t="s">
        <v>83</v>
      </c>
      <c r="W8658" s="2" t="s">
        <v>178</v>
      </c>
      <c r="X8658" s="2">
        <v>27.86</v>
      </c>
    </row>
    <row r="8659" spans="1:24" x14ac:dyDescent="0.3">
      <c r="A8659">
        <v>3155</v>
      </c>
      <c r="B8659" t="s">
        <v>15906</v>
      </c>
      <c r="C8659" s="3">
        <v>41265</v>
      </c>
      <c r="D8659" t="s">
        <v>50</v>
      </c>
      <c r="E8659">
        <v>19</v>
      </c>
      <c r="F8659" s="3">
        <f ca="1">41267+(RANDBETWEEN(1,10))</f>
        <v>41268</v>
      </c>
      <c r="G8659" t="s">
        <v>156</v>
      </c>
      <c r="H8659" t="s">
        <v>27</v>
      </c>
      <c r="I8659" t="s">
        <v>28</v>
      </c>
      <c r="J8659">
        <v>2056.8449999999998</v>
      </c>
      <c r="K8659">
        <v>0.05</v>
      </c>
      <c r="L8659">
        <v>0.64</v>
      </c>
      <c r="M8659">
        <v>22.75</v>
      </c>
      <c r="N8659">
        <v>-272.61500000000001</v>
      </c>
      <c r="O8659" s="1" t="s">
        <v>53</v>
      </c>
      <c r="P8659" s="1" t="s">
        <v>243</v>
      </c>
      <c r="Q8659" s="1" t="s">
        <v>244</v>
      </c>
      <c r="R8659" s="1" t="s">
        <v>100</v>
      </c>
      <c r="S8659" s="1" t="s">
        <v>101</v>
      </c>
      <c r="T8659" s="1" t="s">
        <v>245</v>
      </c>
      <c r="U8659" s="2" t="s">
        <v>2033</v>
      </c>
      <c r="V8659" s="2" t="s">
        <v>36</v>
      </c>
      <c r="W8659" s="2" t="s">
        <v>60</v>
      </c>
      <c r="X8659" s="2">
        <v>108.43</v>
      </c>
    </row>
    <row r="8660" spans="1:24" x14ac:dyDescent="0.3">
      <c r="A8660">
        <v>316</v>
      </c>
      <c r="B8660" t="s">
        <v>15907</v>
      </c>
      <c r="C8660" s="3">
        <v>41829</v>
      </c>
      <c r="D8660" t="s">
        <v>39</v>
      </c>
      <c r="E8660">
        <v>38</v>
      </c>
      <c r="F8660" s="3">
        <f ca="1">41831+(RANDBETWEEN(1,10))</f>
        <v>41833</v>
      </c>
      <c r="G8660" t="s">
        <v>76</v>
      </c>
      <c r="H8660" t="s">
        <v>77</v>
      </c>
      <c r="I8660" t="s">
        <v>52</v>
      </c>
      <c r="J8660">
        <v>46395.964999999997</v>
      </c>
      <c r="K8660">
        <v>0</v>
      </c>
      <c r="L8660">
        <v>0.56999999999999995</v>
      </c>
      <c r="M8660">
        <v>206.32499999999999</v>
      </c>
      <c r="N8660">
        <v>7858.34</v>
      </c>
      <c r="O8660" s="1" t="s">
        <v>53</v>
      </c>
      <c r="P8660" s="1" t="s">
        <v>2927</v>
      </c>
      <c r="Q8660" s="1" t="s">
        <v>2928</v>
      </c>
      <c r="R8660" s="1" t="s">
        <v>100</v>
      </c>
      <c r="S8660" s="1" t="s">
        <v>101</v>
      </c>
      <c r="T8660" s="1" t="s">
        <v>2929</v>
      </c>
      <c r="U8660" s="2" t="s">
        <v>850</v>
      </c>
      <c r="V8660" s="2" t="s">
        <v>83</v>
      </c>
      <c r="W8660" s="2" t="s">
        <v>84</v>
      </c>
      <c r="X8660" s="2">
        <v>1123.43</v>
      </c>
    </row>
    <row r="8661" spans="1:24" x14ac:dyDescent="0.3">
      <c r="A8661">
        <v>3164</v>
      </c>
      <c r="B8661" t="s">
        <v>15908</v>
      </c>
      <c r="C8661" s="3">
        <v>41458</v>
      </c>
      <c r="D8661" t="s">
        <v>50</v>
      </c>
      <c r="E8661">
        <v>61</v>
      </c>
      <c r="F8661" s="3">
        <f ca="1">41458+(RANDBETWEEN(1,10))</f>
        <v>41460</v>
      </c>
      <c r="G8661" t="s">
        <v>26</v>
      </c>
      <c r="H8661" t="s">
        <v>27</v>
      </c>
      <c r="I8661" t="s">
        <v>28</v>
      </c>
      <c r="J8661">
        <v>1408.26</v>
      </c>
      <c r="K8661">
        <v>7.0000000000000007E-2</v>
      </c>
      <c r="L8661">
        <v>0.36</v>
      </c>
      <c r="M8661">
        <v>23.274999999999999</v>
      </c>
      <c r="N8661">
        <v>-421.29500000000002</v>
      </c>
      <c r="O8661" s="1" t="s">
        <v>40</v>
      </c>
      <c r="P8661" s="1" t="s">
        <v>15909</v>
      </c>
      <c r="Q8661" s="1" t="s">
        <v>15910</v>
      </c>
      <c r="R8661" s="1" t="s">
        <v>220</v>
      </c>
      <c r="S8661" s="1" t="s">
        <v>221</v>
      </c>
      <c r="T8661" s="1" t="s">
        <v>15911</v>
      </c>
      <c r="U8661" s="2" t="s">
        <v>3190</v>
      </c>
      <c r="V8661" s="2" t="s">
        <v>47</v>
      </c>
      <c r="W8661" s="2" t="s">
        <v>74</v>
      </c>
      <c r="X8661" s="2">
        <v>22.68</v>
      </c>
    </row>
    <row r="8662" spans="1:24" x14ac:dyDescent="0.3">
      <c r="A8662">
        <v>3166</v>
      </c>
      <c r="B8662" t="s">
        <v>15912</v>
      </c>
      <c r="C8662" s="3">
        <v>41728</v>
      </c>
      <c r="D8662" t="s">
        <v>148</v>
      </c>
      <c r="E8662">
        <v>35</v>
      </c>
      <c r="F8662" s="3">
        <f ca="1">41729+(RANDBETWEEN(1,10))</f>
        <v>41738</v>
      </c>
      <c r="G8662" t="s">
        <v>26</v>
      </c>
      <c r="H8662" t="s">
        <v>27</v>
      </c>
      <c r="I8662" t="s">
        <v>97</v>
      </c>
      <c r="J8662">
        <v>657.44</v>
      </c>
      <c r="K8662">
        <v>0</v>
      </c>
      <c r="L8662">
        <v>0.36</v>
      </c>
      <c r="M8662">
        <v>19.88</v>
      </c>
      <c r="N8662">
        <v>-332.66624999999999</v>
      </c>
      <c r="O8662" s="1" t="s">
        <v>64</v>
      </c>
      <c r="P8662" s="1" t="s">
        <v>8714</v>
      </c>
      <c r="Q8662" s="1" t="s">
        <v>8715</v>
      </c>
      <c r="R8662" s="1" t="s">
        <v>128</v>
      </c>
      <c r="S8662" s="1" t="s">
        <v>129</v>
      </c>
      <c r="T8662" s="1" t="s">
        <v>8716</v>
      </c>
      <c r="U8662" s="2" t="s">
        <v>4013</v>
      </c>
      <c r="V8662" s="2" t="s">
        <v>47</v>
      </c>
      <c r="W8662" s="2" t="s">
        <v>111</v>
      </c>
      <c r="X8662" s="2">
        <v>17.184999999999999</v>
      </c>
    </row>
    <row r="8663" spans="1:24" x14ac:dyDescent="0.3">
      <c r="A8663">
        <v>3167</v>
      </c>
      <c r="B8663" t="s">
        <v>15913</v>
      </c>
      <c r="C8663" s="3">
        <v>40632</v>
      </c>
      <c r="D8663" t="s">
        <v>148</v>
      </c>
      <c r="E8663">
        <v>45</v>
      </c>
      <c r="F8663" s="3">
        <f ca="1">40634+(RANDBETWEEN(1,10))</f>
        <v>40643</v>
      </c>
      <c r="G8663" t="s">
        <v>26</v>
      </c>
      <c r="H8663" t="s">
        <v>27</v>
      </c>
      <c r="I8663" t="s">
        <v>97</v>
      </c>
      <c r="J8663">
        <v>842.1</v>
      </c>
      <c r="K8663">
        <v>0.04</v>
      </c>
      <c r="L8663">
        <v>0.38</v>
      </c>
      <c r="M8663">
        <v>10.465</v>
      </c>
      <c r="N8663">
        <v>12.0785</v>
      </c>
      <c r="O8663" s="1" t="s">
        <v>64</v>
      </c>
      <c r="P8663" s="1" t="s">
        <v>8714</v>
      </c>
      <c r="Q8663" s="1" t="s">
        <v>8715</v>
      </c>
      <c r="R8663" s="1" t="s">
        <v>128</v>
      </c>
      <c r="S8663" s="1" t="s">
        <v>129</v>
      </c>
      <c r="T8663" s="1" t="s">
        <v>8716</v>
      </c>
      <c r="U8663" s="2" t="s">
        <v>1125</v>
      </c>
      <c r="V8663" s="2" t="s">
        <v>47</v>
      </c>
      <c r="W8663" s="2" t="s">
        <v>111</v>
      </c>
      <c r="X8663" s="2">
        <v>18.690000000000001</v>
      </c>
    </row>
    <row r="8664" spans="1:24" x14ac:dyDescent="0.3">
      <c r="A8664">
        <v>3168</v>
      </c>
      <c r="B8664" t="s">
        <v>15913</v>
      </c>
      <c r="C8664" s="3">
        <v>40632</v>
      </c>
      <c r="D8664" t="s">
        <v>148</v>
      </c>
      <c r="E8664">
        <v>5</v>
      </c>
      <c r="F8664" s="3">
        <f ca="1">40634+(RANDBETWEEN(1,10))</f>
        <v>40637</v>
      </c>
      <c r="G8664" t="s">
        <v>26</v>
      </c>
      <c r="H8664" t="s">
        <v>51</v>
      </c>
      <c r="I8664" t="s">
        <v>97</v>
      </c>
      <c r="J8664">
        <v>829.08</v>
      </c>
      <c r="K8664">
        <v>0.06</v>
      </c>
      <c r="L8664">
        <v>0.8</v>
      </c>
      <c r="M8664">
        <v>17.5</v>
      </c>
      <c r="N8664">
        <v>-963.38549999999998</v>
      </c>
      <c r="O8664" s="1" t="s">
        <v>64</v>
      </c>
      <c r="P8664" s="1" t="s">
        <v>8714</v>
      </c>
      <c r="Q8664" s="1" t="s">
        <v>8715</v>
      </c>
      <c r="R8664" s="1" t="s">
        <v>128</v>
      </c>
      <c r="S8664" s="1" t="s">
        <v>129</v>
      </c>
      <c r="T8664" s="1" t="s">
        <v>8716</v>
      </c>
      <c r="U8664" s="2" t="s">
        <v>2876</v>
      </c>
      <c r="V8664" s="2" t="s">
        <v>36</v>
      </c>
      <c r="W8664" s="2" t="s">
        <v>37</v>
      </c>
      <c r="X8664" s="2">
        <v>195.965</v>
      </c>
    </row>
    <row r="8665" spans="1:24" x14ac:dyDescent="0.3">
      <c r="A8665">
        <v>3169</v>
      </c>
      <c r="B8665" t="s">
        <v>15914</v>
      </c>
      <c r="C8665" s="3">
        <v>41369</v>
      </c>
      <c r="D8665" t="s">
        <v>148</v>
      </c>
      <c r="E8665">
        <v>39</v>
      </c>
      <c r="F8665" s="3">
        <f ca="1">41369+(RANDBETWEEN(1,10))</f>
        <v>41373</v>
      </c>
      <c r="G8665" t="s">
        <v>156</v>
      </c>
      <c r="H8665" t="s">
        <v>96</v>
      </c>
      <c r="I8665" t="s">
        <v>28</v>
      </c>
      <c r="J8665">
        <v>181.125</v>
      </c>
      <c r="K8665">
        <v>0.06</v>
      </c>
      <c r="L8665">
        <v>0.81</v>
      </c>
      <c r="M8665">
        <v>2.4500000000000002</v>
      </c>
      <c r="N8665">
        <v>-57.05</v>
      </c>
      <c r="O8665" s="1" t="s">
        <v>40</v>
      </c>
      <c r="P8665" s="1" t="s">
        <v>15915</v>
      </c>
      <c r="Q8665" s="1" t="s">
        <v>15916</v>
      </c>
      <c r="R8665" s="1" t="s">
        <v>43</v>
      </c>
      <c r="S8665" s="1" t="s">
        <v>44</v>
      </c>
      <c r="T8665" s="1" t="s">
        <v>15917</v>
      </c>
      <c r="U8665" s="2" t="s">
        <v>925</v>
      </c>
      <c r="V8665" s="2" t="s">
        <v>47</v>
      </c>
      <c r="W8665" s="2" t="s">
        <v>176</v>
      </c>
      <c r="X8665" s="2">
        <v>4.41</v>
      </c>
    </row>
    <row r="8666" spans="1:24" x14ac:dyDescent="0.3">
      <c r="A8666">
        <v>317</v>
      </c>
      <c r="B8666" t="s">
        <v>15907</v>
      </c>
      <c r="C8666" s="3">
        <v>41829</v>
      </c>
      <c r="D8666" t="s">
        <v>39</v>
      </c>
      <c r="E8666">
        <v>1</v>
      </c>
      <c r="F8666" s="3">
        <f ca="1">41830+(RANDBETWEEN(1,10))</f>
        <v>41838</v>
      </c>
      <c r="G8666" t="s">
        <v>26</v>
      </c>
      <c r="H8666" t="s">
        <v>96</v>
      </c>
      <c r="I8666" t="s">
        <v>52</v>
      </c>
      <c r="J8666">
        <v>19.88</v>
      </c>
      <c r="K8666">
        <v>0.02</v>
      </c>
      <c r="L8666">
        <v>0.39</v>
      </c>
      <c r="M8666">
        <v>3.08</v>
      </c>
      <c r="N8666">
        <v>-6.37</v>
      </c>
      <c r="O8666" s="1" t="s">
        <v>53</v>
      </c>
      <c r="P8666" s="1" t="s">
        <v>2927</v>
      </c>
      <c r="Q8666" s="1" t="s">
        <v>2928</v>
      </c>
      <c r="R8666" s="1" t="s">
        <v>100</v>
      </c>
      <c r="S8666" s="1" t="s">
        <v>101</v>
      </c>
      <c r="T8666" s="1" t="s">
        <v>2929</v>
      </c>
      <c r="U8666" s="2" t="s">
        <v>1743</v>
      </c>
      <c r="V8666" s="2" t="s">
        <v>47</v>
      </c>
      <c r="W8666" s="2" t="s">
        <v>74</v>
      </c>
      <c r="X8666" s="2">
        <v>16.66</v>
      </c>
    </row>
    <row r="8667" spans="1:24" x14ac:dyDescent="0.3">
      <c r="A8667">
        <v>3176</v>
      </c>
      <c r="B8667" t="s">
        <v>15918</v>
      </c>
      <c r="C8667" s="3">
        <v>41618</v>
      </c>
      <c r="D8667" t="s">
        <v>50</v>
      </c>
      <c r="E8667">
        <v>40</v>
      </c>
      <c r="F8667" s="3">
        <f ca="1">41619+(RANDBETWEEN(1,10))</f>
        <v>41621</v>
      </c>
      <c r="G8667" t="s">
        <v>26</v>
      </c>
      <c r="H8667" t="s">
        <v>63</v>
      </c>
      <c r="I8667" t="s">
        <v>97</v>
      </c>
      <c r="J8667">
        <v>982.59</v>
      </c>
      <c r="K8667">
        <v>0.01</v>
      </c>
      <c r="L8667">
        <v>0.6</v>
      </c>
      <c r="M8667">
        <v>171.5</v>
      </c>
      <c r="N8667">
        <v>-3126.8649999999998</v>
      </c>
      <c r="O8667" s="1" t="s">
        <v>64</v>
      </c>
      <c r="P8667" s="1" t="s">
        <v>328</v>
      </c>
      <c r="Q8667" s="1" t="s">
        <v>329</v>
      </c>
      <c r="R8667" s="1" t="s">
        <v>128</v>
      </c>
      <c r="S8667" s="1" t="s">
        <v>129</v>
      </c>
      <c r="T8667" s="1" t="s">
        <v>330</v>
      </c>
      <c r="U8667" s="2" t="s">
        <v>919</v>
      </c>
      <c r="V8667" s="2" t="s">
        <v>47</v>
      </c>
      <c r="W8667" s="2" t="s">
        <v>71</v>
      </c>
      <c r="X8667" s="2">
        <v>15.68</v>
      </c>
    </row>
    <row r="8668" spans="1:24" x14ac:dyDescent="0.3">
      <c r="A8668">
        <v>3177</v>
      </c>
      <c r="B8668" t="s">
        <v>15918</v>
      </c>
      <c r="C8668" s="3">
        <v>41618</v>
      </c>
      <c r="D8668" t="s">
        <v>50</v>
      </c>
      <c r="E8668">
        <v>90</v>
      </c>
      <c r="F8668" s="3">
        <f ca="1">41620+(RANDBETWEEN(1,10))</f>
        <v>41624</v>
      </c>
      <c r="G8668" t="s">
        <v>76</v>
      </c>
      <c r="H8668" t="s">
        <v>77</v>
      </c>
      <c r="I8668" t="s">
        <v>97</v>
      </c>
      <c r="J8668">
        <v>41452.18</v>
      </c>
      <c r="K8668">
        <v>0.02</v>
      </c>
      <c r="L8668">
        <v>0.78</v>
      </c>
      <c r="M8668">
        <v>105</v>
      </c>
      <c r="N8668">
        <v>-1006.67</v>
      </c>
      <c r="O8668" s="1" t="s">
        <v>64</v>
      </c>
      <c r="P8668" s="1" t="s">
        <v>328</v>
      </c>
      <c r="Q8668" s="1" t="s">
        <v>329</v>
      </c>
      <c r="R8668" s="1" t="s">
        <v>128</v>
      </c>
      <c r="S8668" s="1" t="s">
        <v>129</v>
      </c>
      <c r="T8668" s="1" t="s">
        <v>330</v>
      </c>
      <c r="U8668" s="2" t="s">
        <v>2894</v>
      </c>
      <c r="V8668" s="2" t="s">
        <v>83</v>
      </c>
      <c r="W8668" s="2" t="s">
        <v>84</v>
      </c>
      <c r="X8668" s="2">
        <v>458.43</v>
      </c>
    </row>
    <row r="8669" spans="1:24" x14ac:dyDescent="0.3">
      <c r="A8669">
        <v>3178</v>
      </c>
      <c r="B8669" t="s">
        <v>15918</v>
      </c>
      <c r="C8669" s="3">
        <v>41618</v>
      </c>
      <c r="D8669" t="s">
        <v>50</v>
      </c>
      <c r="E8669">
        <v>8</v>
      </c>
      <c r="F8669" s="3">
        <f ca="1">41620+(RANDBETWEEN(1,10))</f>
        <v>41629</v>
      </c>
      <c r="G8669" t="s">
        <v>26</v>
      </c>
      <c r="H8669" t="s">
        <v>27</v>
      </c>
      <c r="I8669" t="s">
        <v>97</v>
      </c>
      <c r="J8669">
        <v>477.12</v>
      </c>
      <c r="K8669">
        <v>0.09</v>
      </c>
      <c r="L8669">
        <v>0.48</v>
      </c>
      <c r="M8669">
        <v>22.75</v>
      </c>
      <c r="N8669">
        <v>-183.54</v>
      </c>
      <c r="O8669" s="1" t="s">
        <v>64</v>
      </c>
      <c r="P8669" s="1" t="s">
        <v>328</v>
      </c>
      <c r="Q8669" s="1" t="s">
        <v>329</v>
      </c>
      <c r="R8669" s="1" t="s">
        <v>128</v>
      </c>
      <c r="S8669" s="1" t="s">
        <v>129</v>
      </c>
      <c r="T8669" s="1" t="s">
        <v>330</v>
      </c>
      <c r="U8669" s="2" t="s">
        <v>1006</v>
      </c>
      <c r="V8669" s="2" t="s">
        <v>36</v>
      </c>
      <c r="W8669" s="2" t="s">
        <v>60</v>
      </c>
      <c r="X8669" s="2">
        <v>55.93</v>
      </c>
    </row>
    <row r="8670" spans="1:24" x14ac:dyDescent="0.3">
      <c r="A8670">
        <v>318</v>
      </c>
      <c r="B8670" t="s">
        <v>15907</v>
      </c>
      <c r="C8670" s="3">
        <v>41829</v>
      </c>
      <c r="D8670" t="s">
        <v>39</v>
      </c>
      <c r="E8670">
        <v>59</v>
      </c>
      <c r="F8670" s="3">
        <f ca="1">41829+(RANDBETWEEN(1,10))</f>
        <v>41831</v>
      </c>
      <c r="G8670" t="s">
        <v>26</v>
      </c>
      <c r="H8670" t="s">
        <v>96</v>
      </c>
      <c r="I8670" t="s">
        <v>52</v>
      </c>
      <c r="J8670">
        <v>858.41</v>
      </c>
      <c r="K8670">
        <v>0.08</v>
      </c>
      <c r="L8670">
        <v>0.56000000000000005</v>
      </c>
      <c r="M8670">
        <v>3.29</v>
      </c>
      <c r="N8670">
        <v>90.58</v>
      </c>
      <c r="O8670" s="1" t="s">
        <v>53</v>
      </c>
      <c r="P8670" s="1" t="s">
        <v>2927</v>
      </c>
      <c r="Q8670" s="1" t="s">
        <v>2928</v>
      </c>
      <c r="R8670" s="1" t="s">
        <v>100</v>
      </c>
      <c r="S8670" s="1" t="s">
        <v>101</v>
      </c>
      <c r="T8670" s="1" t="s">
        <v>2929</v>
      </c>
      <c r="U8670" s="2" t="s">
        <v>331</v>
      </c>
      <c r="V8670" s="2" t="s">
        <v>47</v>
      </c>
      <c r="W8670" s="2" t="s">
        <v>104</v>
      </c>
      <c r="X8670" s="2">
        <v>14.98</v>
      </c>
    </row>
    <row r="8671" spans="1:24" x14ac:dyDescent="0.3">
      <c r="A8671">
        <v>319</v>
      </c>
      <c r="B8671" t="s">
        <v>15907</v>
      </c>
      <c r="C8671" s="3">
        <v>41829</v>
      </c>
      <c r="D8671" t="s">
        <v>39</v>
      </c>
      <c r="E8671">
        <v>18</v>
      </c>
      <c r="F8671" s="3">
        <f ca="1">41830+(RANDBETWEEN(1,10))</f>
        <v>41834</v>
      </c>
      <c r="G8671" t="s">
        <v>26</v>
      </c>
      <c r="H8671" t="s">
        <v>27</v>
      </c>
      <c r="I8671" t="s">
        <v>52</v>
      </c>
      <c r="J8671">
        <v>6132.8050000000003</v>
      </c>
      <c r="K8671">
        <v>0.1</v>
      </c>
      <c r="L8671">
        <v>0.59</v>
      </c>
      <c r="M8671">
        <v>10.5</v>
      </c>
      <c r="N8671">
        <v>-563.90949999999998</v>
      </c>
      <c r="O8671" s="1" t="s">
        <v>53</v>
      </c>
      <c r="P8671" s="1" t="s">
        <v>2927</v>
      </c>
      <c r="Q8671" s="1" t="s">
        <v>2928</v>
      </c>
      <c r="R8671" s="1" t="s">
        <v>100</v>
      </c>
      <c r="S8671" s="1" t="s">
        <v>101</v>
      </c>
      <c r="T8671" s="1" t="s">
        <v>2929</v>
      </c>
      <c r="U8671" s="2" t="s">
        <v>1744</v>
      </c>
      <c r="V8671" s="2" t="s">
        <v>36</v>
      </c>
      <c r="W8671" s="2" t="s">
        <v>37</v>
      </c>
      <c r="X8671" s="2">
        <v>440.96499999999997</v>
      </c>
    </row>
    <row r="8672" spans="1:24" x14ac:dyDescent="0.3">
      <c r="A8672">
        <v>3190</v>
      </c>
      <c r="B8672" t="s">
        <v>15919</v>
      </c>
      <c r="C8672" s="3">
        <v>41966</v>
      </c>
      <c r="D8672" t="s">
        <v>148</v>
      </c>
      <c r="E8672">
        <v>14</v>
      </c>
      <c r="F8672" s="3">
        <f ca="1">41968+(RANDBETWEEN(1,10))</f>
        <v>41970</v>
      </c>
      <c r="G8672" t="s">
        <v>26</v>
      </c>
      <c r="H8672" t="s">
        <v>96</v>
      </c>
      <c r="I8672" t="s">
        <v>97</v>
      </c>
      <c r="J8672">
        <v>691.77499999999998</v>
      </c>
      <c r="K8672">
        <v>0.05</v>
      </c>
      <c r="L8672">
        <v>0.82</v>
      </c>
      <c r="M8672">
        <v>16.065000000000001</v>
      </c>
      <c r="N8672">
        <v>-104.65</v>
      </c>
      <c r="O8672" s="1" t="s">
        <v>40</v>
      </c>
      <c r="P8672" s="1" t="s">
        <v>15920</v>
      </c>
      <c r="Q8672" s="1" t="s">
        <v>15921</v>
      </c>
      <c r="R8672" s="1" t="s">
        <v>43</v>
      </c>
      <c r="S8672" s="1" t="s">
        <v>44</v>
      </c>
      <c r="T8672" s="1" t="s">
        <v>15922</v>
      </c>
      <c r="U8672" s="2" t="s">
        <v>5077</v>
      </c>
      <c r="V8672" s="2" t="s">
        <v>47</v>
      </c>
      <c r="W8672" s="2" t="s">
        <v>94</v>
      </c>
      <c r="X8672" s="2">
        <v>45.08</v>
      </c>
    </row>
    <row r="8673" spans="1:24" x14ac:dyDescent="0.3">
      <c r="A8673">
        <v>3212</v>
      </c>
      <c r="B8673" t="s">
        <v>15923</v>
      </c>
      <c r="C8673" s="3">
        <v>40659</v>
      </c>
      <c r="D8673" t="s">
        <v>148</v>
      </c>
      <c r="E8673">
        <v>20</v>
      </c>
      <c r="F8673" s="3">
        <f ca="1">40660+(RANDBETWEEN(1,10))</f>
        <v>40665</v>
      </c>
      <c r="G8673" t="s">
        <v>26</v>
      </c>
      <c r="H8673" t="s">
        <v>27</v>
      </c>
      <c r="I8673" t="s">
        <v>97</v>
      </c>
      <c r="J8673">
        <v>28169.575000000001</v>
      </c>
      <c r="K8673">
        <v>0.04</v>
      </c>
      <c r="L8673">
        <v>0.57999999999999996</v>
      </c>
      <c r="M8673">
        <v>69.965000000000003</v>
      </c>
      <c r="N8673">
        <v>6816.8450000000003</v>
      </c>
      <c r="O8673" s="1" t="s">
        <v>64</v>
      </c>
      <c r="P8673" s="1" t="s">
        <v>328</v>
      </c>
      <c r="Q8673" s="1" t="s">
        <v>329</v>
      </c>
      <c r="R8673" s="1" t="s">
        <v>128</v>
      </c>
      <c r="S8673" s="1" t="s">
        <v>129</v>
      </c>
      <c r="T8673" s="1" t="s">
        <v>330</v>
      </c>
      <c r="U8673" s="2" t="s">
        <v>3569</v>
      </c>
      <c r="V8673" s="2" t="s">
        <v>47</v>
      </c>
      <c r="W8673" s="2" t="s">
        <v>119</v>
      </c>
      <c r="X8673" s="2">
        <v>1467.165</v>
      </c>
    </row>
    <row r="8674" spans="1:24" x14ac:dyDescent="0.3">
      <c r="A8674">
        <v>3224</v>
      </c>
      <c r="B8674" t="s">
        <v>15924</v>
      </c>
      <c r="C8674" s="3">
        <v>41678</v>
      </c>
      <c r="D8674" t="s">
        <v>39</v>
      </c>
      <c r="E8674">
        <v>18</v>
      </c>
      <c r="F8674" s="3">
        <f ca="1">41680+(RANDBETWEEN(1,10))</f>
        <v>41682</v>
      </c>
      <c r="G8674" t="s">
        <v>26</v>
      </c>
      <c r="H8674" t="s">
        <v>51</v>
      </c>
      <c r="I8674" t="s">
        <v>97</v>
      </c>
      <c r="J8674">
        <v>5998.3</v>
      </c>
      <c r="K8674">
        <v>0.05</v>
      </c>
      <c r="L8674">
        <v>0.35</v>
      </c>
      <c r="M8674">
        <v>31.465</v>
      </c>
      <c r="N8674">
        <v>3938.5149999999999</v>
      </c>
      <c r="O8674" s="1" t="s">
        <v>87</v>
      </c>
      <c r="P8674" s="1" t="s">
        <v>5156</v>
      </c>
      <c r="Q8674" s="1" t="s">
        <v>5157</v>
      </c>
      <c r="R8674" s="1" t="s">
        <v>398</v>
      </c>
      <c r="S8674" s="1" t="s">
        <v>3179</v>
      </c>
      <c r="T8674" s="1" t="s">
        <v>5158</v>
      </c>
      <c r="U8674" s="2" t="s">
        <v>177</v>
      </c>
      <c r="V8674" s="2" t="s">
        <v>83</v>
      </c>
      <c r="W8674" s="2" t="s">
        <v>178</v>
      </c>
      <c r="X8674" s="2">
        <v>347.30500000000001</v>
      </c>
    </row>
    <row r="8675" spans="1:24" x14ac:dyDescent="0.3">
      <c r="A8675">
        <v>3225</v>
      </c>
      <c r="B8675" t="s">
        <v>15924</v>
      </c>
      <c r="C8675" s="3">
        <v>41678</v>
      </c>
      <c r="D8675" t="s">
        <v>39</v>
      </c>
      <c r="E8675">
        <v>16</v>
      </c>
      <c r="F8675" s="3">
        <f ca="1">41678+(RANDBETWEEN(1,10))</f>
        <v>41682</v>
      </c>
      <c r="G8675" t="s">
        <v>26</v>
      </c>
      <c r="H8675" t="s">
        <v>96</v>
      </c>
      <c r="I8675" t="s">
        <v>97</v>
      </c>
      <c r="J8675">
        <v>408.41500000000002</v>
      </c>
      <c r="K8675">
        <v>0.02</v>
      </c>
      <c r="L8675">
        <v>0.47</v>
      </c>
      <c r="M8675">
        <v>8.2249999999999996</v>
      </c>
      <c r="N8675">
        <v>40.914999999999999</v>
      </c>
      <c r="O8675" s="1" t="s">
        <v>87</v>
      </c>
      <c r="P8675" s="1" t="s">
        <v>5156</v>
      </c>
      <c r="Q8675" s="1" t="s">
        <v>5157</v>
      </c>
      <c r="R8675" s="1" t="s">
        <v>398</v>
      </c>
      <c r="S8675" s="1" t="s">
        <v>3179</v>
      </c>
      <c r="T8675" s="1" t="s">
        <v>5158</v>
      </c>
      <c r="U8675" s="2" t="s">
        <v>6690</v>
      </c>
      <c r="V8675" s="2" t="s">
        <v>47</v>
      </c>
      <c r="W8675" s="2" t="s">
        <v>104</v>
      </c>
      <c r="X8675" s="2">
        <v>24.78</v>
      </c>
    </row>
    <row r="8676" spans="1:24" x14ac:dyDescent="0.3">
      <c r="A8676">
        <v>3230</v>
      </c>
      <c r="B8676" t="s">
        <v>15925</v>
      </c>
      <c r="C8676" s="3">
        <v>41753</v>
      </c>
      <c r="D8676" t="s">
        <v>25</v>
      </c>
      <c r="E8676">
        <v>13</v>
      </c>
      <c r="F8676" s="3">
        <f ca="1">41758+(RANDBETWEEN(1,10))</f>
        <v>41764</v>
      </c>
      <c r="G8676" t="s">
        <v>26</v>
      </c>
      <c r="H8676" t="s">
        <v>281</v>
      </c>
      <c r="I8676" t="s">
        <v>97</v>
      </c>
      <c r="J8676">
        <v>4171.0550000000003</v>
      </c>
      <c r="K8676">
        <v>7.0000000000000007E-2</v>
      </c>
      <c r="L8676">
        <v>0.38</v>
      </c>
      <c r="M8676">
        <v>48.965000000000003</v>
      </c>
      <c r="N8676">
        <v>516.6</v>
      </c>
      <c r="O8676" s="1" t="s">
        <v>53</v>
      </c>
      <c r="P8676" s="1" t="s">
        <v>98</v>
      </c>
      <c r="Q8676" s="1" t="s">
        <v>99</v>
      </c>
      <c r="R8676" s="1" t="s">
        <v>100</v>
      </c>
      <c r="S8676" s="1" t="s">
        <v>101</v>
      </c>
      <c r="T8676" s="1" t="s">
        <v>102</v>
      </c>
      <c r="U8676" s="2" t="s">
        <v>8415</v>
      </c>
      <c r="V8676" s="2" t="s">
        <v>36</v>
      </c>
      <c r="W8676" s="2" t="s">
        <v>142</v>
      </c>
      <c r="X8676" s="2">
        <v>337.57499999999999</v>
      </c>
    </row>
    <row r="8677" spans="1:24" x14ac:dyDescent="0.3">
      <c r="A8677">
        <v>3250</v>
      </c>
      <c r="B8677" t="s">
        <v>15926</v>
      </c>
      <c r="C8677" s="3">
        <v>41216</v>
      </c>
      <c r="D8677" t="s">
        <v>39</v>
      </c>
      <c r="E8677">
        <v>3</v>
      </c>
      <c r="F8677" s="3">
        <f ca="1">41217+(RANDBETWEEN(1,10))</f>
        <v>41218</v>
      </c>
      <c r="G8677" t="s">
        <v>76</v>
      </c>
      <c r="H8677" t="s">
        <v>77</v>
      </c>
      <c r="I8677" t="s">
        <v>86</v>
      </c>
      <c r="J8677">
        <v>8343.09</v>
      </c>
      <c r="K8677">
        <v>0.09</v>
      </c>
      <c r="L8677">
        <v>0.4</v>
      </c>
      <c r="M8677">
        <v>193.55</v>
      </c>
      <c r="N8677">
        <v>-6119.2015499999998</v>
      </c>
      <c r="O8677" s="1" t="s">
        <v>40</v>
      </c>
      <c r="P8677" s="1" t="s">
        <v>78</v>
      </c>
      <c r="Q8677" s="1" t="s">
        <v>79</v>
      </c>
      <c r="R8677" s="1" t="s">
        <v>43</v>
      </c>
      <c r="S8677" s="1" t="s">
        <v>80</v>
      </c>
      <c r="T8677" s="1" t="s">
        <v>81</v>
      </c>
      <c r="U8677" s="2" t="s">
        <v>8440</v>
      </c>
      <c r="V8677" s="2" t="s">
        <v>36</v>
      </c>
      <c r="W8677" s="2" t="s">
        <v>142</v>
      </c>
      <c r="X8677" s="2">
        <v>2829.7150000000001</v>
      </c>
    </row>
    <row r="8678" spans="1:24" x14ac:dyDescent="0.3">
      <c r="A8678">
        <v>3304</v>
      </c>
      <c r="B8678" t="s">
        <v>15927</v>
      </c>
      <c r="C8678" s="3">
        <v>41399</v>
      </c>
      <c r="D8678" t="s">
        <v>50</v>
      </c>
      <c r="E8678">
        <v>9</v>
      </c>
      <c r="F8678" s="3">
        <f ca="1">41401+(RANDBETWEEN(1,10))</f>
        <v>41411</v>
      </c>
      <c r="G8678" t="s">
        <v>156</v>
      </c>
      <c r="H8678" t="s">
        <v>27</v>
      </c>
      <c r="I8678" t="s">
        <v>52</v>
      </c>
      <c r="J8678">
        <v>1298.5350000000001</v>
      </c>
      <c r="K8678">
        <v>0.04</v>
      </c>
      <c r="L8678">
        <v>0.35</v>
      </c>
      <c r="M8678">
        <v>10.465</v>
      </c>
      <c r="N8678">
        <v>222.61924999999999</v>
      </c>
      <c r="O8678" s="1" t="s">
        <v>64</v>
      </c>
      <c r="P8678" s="1" t="s">
        <v>183</v>
      </c>
      <c r="Q8678" s="1" t="s">
        <v>184</v>
      </c>
      <c r="R8678" s="1" t="s">
        <v>128</v>
      </c>
      <c r="S8678" s="1" t="s">
        <v>129</v>
      </c>
      <c r="T8678" s="1" t="s">
        <v>185</v>
      </c>
      <c r="U8678" s="2" t="s">
        <v>1132</v>
      </c>
      <c r="V8678" s="2" t="s">
        <v>47</v>
      </c>
      <c r="W8678" s="2" t="s">
        <v>111</v>
      </c>
      <c r="X8678" s="2">
        <v>131.94999999999999</v>
      </c>
    </row>
    <row r="8679" spans="1:24" x14ac:dyDescent="0.3">
      <c r="A8679">
        <v>3323</v>
      </c>
      <c r="B8679" t="s">
        <v>15928</v>
      </c>
      <c r="C8679" s="3">
        <v>40620</v>
      </c>
      <c r="D8679" t="s">
        <v>148</v>
      </c>
      <c r="E8679">
        <v>44</v>
      </c>
      <c r="F8679" s="3">
        <f ca="1">40621+(RANDBETWEEN(1,10))</f>
        <v>40625</v>
      </c>
      <c r="G8679" t="s">
        <v>76</v>
      </c>
      <c r="H8679" t="s">
        <v>258</v>
      </c>
      <c r="I8679" t="s">
        <v>28</v>
      </c>
      <c r="J8679">
        <v>36275.26</v>
      </c>
      <c r="K8679">
        <v>0.01</v>
      </c>
      <c r="L8679">
        <v>0.62</v>
      </c>
      <c r="M8679">
        <v>226.31</v>
      </c>
      <c r="N8679">
        <v>3671.605</v>
      </c>
      <c r="O8679" s="1" t="s">
        <v>40</v>
      </c>
      <c r="P8679" s="1" t="s">
        <v>15915</v>
      </c>
      <c r="Q8679" s="1" t="s">
        <v>15916</v>
      </c>
      <c r="R8679" s="1" t="s">
        <v>43</v>
      </c>
      <c r="S8679" s="1" t="s">
        <v>44</v>
      </c>
      <c r="T8679" s="1" t="s">
        <v>15917</v>
      </c>
      <c r="U8679" s="2" t="s">
        <v>1292</v>
      </c>
      <c r="V8679" s="2" t="s">
        <v>83</v>
      </c>
      <c r="W8679" s="2" t="s">
        <v>298</v>
      </c>
      <c r="X8679" s="2">
        <v>773.43</v>
      </c>
    </row>
    <row r="8680" spans="1:24" x14ac:dyDescent="0.3">
      <c r="A8680">
        <v>3326</v>
      </c>
      <c r="B8680" t="s">
        <v>15929</v>
      </c>
      <c r="C8680" s="3">
        <v>41578</v>
      </c>
      <c r="D8680" t="s">
        <v>62</v>
      </c>
      <c r="E8680">
        <v>59</v>
      </c>
      <c r="F8680" s="3">
        <f ca="1">41580+(RANDBETWEEN(1,10))</f>
        <v>41583</v>
      </c>
      <c r="G8680" t="s">
        <v>26</v>
      </c>
      <c r="H8680" t="s">
        <v>27</v>
      </c>
      <c r="I8680" t="s">
        <v>97</v>
      </c>
      <c r="J8680">
        <v>1378.335</v>
      </c>
      <c r="K8680">
        <v>0</v>
      </c>
      <c r="L8680">
        <v>0.37</v>
      </c>
      <c r="M8680">
        <v>20.440000000000001</v>
      </c>
      <c r="N8680">
        <v>-278.60174999999998</v>
      </c>
      <c r="O8680" s="1" t="s">
        <v>53</v>
      </c>
      <c r="P8680" s="1" t="s">
        <v>284</v>
      </c>
      <c r="Q8680" s="1" t="s">
        <v>285</v>
      </c>
      <c r="R8680" s="1" t="s">
        <v>56</v>
      </c>
      <c r="S8680" s="1" t="s">
        <v>57</v>
      </c>
      <c r="T8680" s="1" t="s">
        <v>58</v>
      </c>
      <c r="U8680" s="2" t="s">
        <v>8568</v>
      </c>
      <c r="V8680" s="2" t="s">
        <v>47</v>
      </c>
      <c r="W8680" s="2" t="s">
        <v>74</v>
      </c>
      <c r="X8680" s="2">
        <v>22.68</v>
      </c>
    </row>
    <row r="8681" spans="1:24" x14ac:dyDescent="0.3">
      <c r="A8681">
        <v>3327</v>
      </c>
      <c r="B8681" t="s">
        <v>15930</v>
      </c>
      <c r="C8681" s="3">
        <v>40918</v>
      </c>
      <c r="D8681" t="s">
        <v>25</v>
      </c>
      <c r="E8681">
        <v>46</v>
      </c>
      <c r="F8681" s="3">
        <f ca="1">40918+(RANDBETWEEN(1,10))</f>
        <v>40926</v>
      </c>
      <c r="G8681" t="s">
        <v>76</v>
      </c>
      <c r="H8681" t="s">
        <v>77</v>
      </c>
      <c r="I8681" t="s">
        <v>28</v>
      </c>
      <c r="J8681">
        <v>74866.539999999994</v>
      </c>
      <c r="K8681">
        <v>0.09</v>
      </c>
      <c r="L8681">
        <v>0.6</v>
      </c>
      <c r="M8681">
        <v>91</v>
      </c>
      <c r="N8681">
        <v>12581.933349999999</v>
      </c>
      <c r="O8681" s="1" t="s">
        <v>64</v>
      </c>
      <c r="P8681" s="1" t="s">
        <v>15882</v>
      </c>
      <c r="Q8681" s="1" t="s">
        <v>15883</v>
      </c>
      <c r="R8681" s="1" t="s">
        <v>67</v>
      </c>
      <c r="S8681" s="1" t="s">
        <v>254</v>
      </c>
      <c r="T8681" s="1" t="s">
        <v>316</v>
      </c>
      <c r="U8681" s="2" t="s">
        <v>1670</v>
      </c>
      <c r="V8681" s="2" t="s">
        <v>83</v>
      </c>
      <c r="W8681" s="2" t="s">
        <v>84</v>
      </c>
      <c r="X8681" s="2">
        <v>1753.43</v>
      </c>
    </row>
    <row r="8682" spans="1:24" x14ac:dyDescent="0.3">
      <c r="A8682">
        <v>3328</v>
      </c>
      <c r="B8682" t="s">
        <v>15930</v>
      </c>
      <c r="C8682" s="3">
        <v>40918</v>
      </c>
      <c r="D8682" t="s">
        <v>25</v>
      </c>
      <c r="E8682">
        <v>7</v>
      </c>
      <c r="F8682" s="3">
        <f ca="1">40923+(RANDBETWEEN(1,10))</f>
        <v>40928</v>
      </c>
      <c r="G8682" t="s">
        <v>26</v>
      </c>
      <c r="H8682" t="s">
        <v>63</v>
      </c>
      <c r="I8682" t="s">
        <v>28</v>
      </c>
      <c r="J8682">
        <v>594.125</v>
      </c>
      <c r="K8682">
        <v>0.09</v>
      </c>
      <c r="L8682">
        <v>0.84</v>
      </c>
      <c r="M8682">
        <v>122.5</v>
      </c>
      <c r="N8682">
        <v>-907.02674999999999</v>
      </c>
      <c r="O8682" s="1" t="s">
        <v>64</v>
      </c>
      <c r="P8682" s="1" t="s">
        <v>15882</v>
      </c>
      <c r="Q8682" s="1" t="s">
        <v>15883</v>
      </c>
      <c r="R8682" s="1" t="s">
        <v>67</v>
      </c>
      <c r="S8682" s="1" t="s">
        <v>254</v>
      </c>
      <c r="T8682" s="1" t="s">
        <v>316</v>
      </c>
      <c r="U8682" s="2" t="s">
        <v>2742</v>
      </c>
      <c r="V8682" s="2" t="s">
        <v>47</v>
      </c>
      <c r="W8682" s="2" t="s">
        <v>119</v>
      </c>
      <c r="X8682" s="2">
        <v>71.19</v>
      </c>
    </row>
    <row r="8683" spans="1:24" x14ac:dyDescent="0.3">
      <c r="A8683">
        <v>3338</v>
      </c>
      <c r="B8683" t="s">
        <v>15931</v>
      </c>
      <c r="C8683" s="3">
        <v>40736</v>
      </c>
      <c r="D8683" t="s">
        <v>50</v>
      </c>
      <c r="E8683">
        <v>37</v>
      </c>
      <c r="F8683" s="3">
        <f ca="1">40736+(RANDBETWEEN(1,10))</f>
        <v>40746</v>
      </c>
      <c r="G8683" t="s">
        <v>26</v>
      </c>
      <c r="H8683" t="s">
        <v>27</v>
      </c>
      <c r="I8683" t="s">
        <v>97</v>
      </c>
      <c r="J8683">
        <v>6786.6049999999996</v>
      </c>
      <c r="K8683">
        <v>7.0000000000000007E-2</v>
      </c>
      <c r="L8683">
        <v>0.57999999999999996</v>
      </c>
      <c r="M8683">
        <v>30.8</v>
      </c>
      <c r="N8683">
        <v>384.42599999999999</v>
      </c>
      <c r="O8683" s="1" t="s">
        <v>64</v>
      </c>
      <c r="P8683" s="1" t="s">
        <v>328</v>
      </c>
      <c r="Q8683" s="1" t="s">
        <v>329</v>
      </c>
      <c r="R8683" s="1" t="s">
        <v>128</v>
      </c>
      <c r="S8683" s="1" t="s">
        <v>129</v>
      </c>
      <c r="T8683" s="1" t="s">
        <v>330</v>
      </c>
      <c r="U8683" s="2">
        <v>6120</v>
      </c>
      <c r="V8683" s="2" t="s">
        <v>36</v>
      </c>
      <c r="W8683" s="2" t="s">
        <v>37</v>
      </c>
      <c r="X8683" s="2">
        <v>230.965</v>
      </c>
    </row>
    <row r="8684" spans="1:24" x14ac:dyDescent="0.3">
      <c r="A8684">
        <v>3339</v>
      </c>
      <c r="B8684" t="s">
        <v>15931</v>
      </c>
      <c r="C8684" s="3">
        <v>40736</v>
      </c>
      <c r="D8684" t="s">
        <v>50</v>
      </c>
      <c r="E8684">
        <v>42</v>
      </c>
      <c r="F8684" s="3">
        <f ca="1">40738+(RANDBETWEEN(1,10))</f>
        <v>40741</v>
      </c>
      <c r="G8684" t="s">
        <v>156</v>
      </c>
      <c r="H8684" t="s">
        <v>51</v>
      </c>
      <c r="I8684" t="s">
        <v>97</v>
      </c>
      <c r="J8684">
        <v>1601.7049999999999</v>
      </c>
      <c r="K8684">
        <v>0</v>
      </c>
      <c r="L8684">
        <v>0.41</v>
      </c>
      <c r="M8684">
        <v>6.9649999999999999</v>
      </c>
      <c r="N8684">
        <v>448.10500000000002</v>
      </c>
      <c r="O8684" s="1" t="s">
        <v>64</v>
      </c>
      <c r="P8684" s="1" t="s">
        <v>328</v>
      </c>
      <c r="Q8684" s="1" t="s">
        <v>329</v>
      </c>
      <c r="R8684" s="1" t="s">
        <v>128</v>
      </c>
      <c r="S8684" s="1" t="s">
        <v>129</v>
      </c>
      <c r="T8684" s="1" t="s">
        <v>330</v>
      </c>
      <c r="U8684" s="2" t="s">
        <v>1365</v>
      </c>
      <c r="V8684" s="2" t="s">
        <v>36</v>
      </c>
      <c r="W8684" s="2" t="s">
        <v>60</v>
      </c>
      <c r="X8684" s="2">
        <v>35.034999999999997</v>
      </c>
    </row>
    <row r="8685" spans="1:24" x14ac:dyDescent="0.3">
      <c r="A8685">
        <v>3346</v>
      </c>
      <c r="B8685" t="s">
        <v>15932</v>
      </c>
      <c r="C8685" s="3">
        <v>41372</v>
      </c>
      <c r="D8685" t="s">
        <v>148</v>
      </c>
      <c r="E8685">
        <v>22</v>
      </c>
      <c r="F8685" s="3">
        <f ca="1">41373+(RANDBETWEEN(1,10))</f>
        <v>41380</v>
      </c>
      <c r="G8685" t="s">
        <v>26</v>
      </c>
      <c r="H8685" t="s">
        <v>63</v>
      </c>
      <c r="I8685" t="s">
        <v>97</v>
      </c>
      <c r="J8685">
        <v>533.29499999999996</v>
      </c>
      <c r="K8685">
        <v>0.03</v>
      </c>
      <c r="L8685">
        <v>0.6</v>
      </c>
      <c r="M8685">
        <v>171.5</v>
      </c>
      <c r="N8685">
        <v>-4167.3422</v>
      </c>
      <c r="O8685" s="1" t="s">
        <v>64</v>
      </c>
      <c r="P8685" s="1" t="s">
        <v>252</v>
      </c>
      <c r="Q8685" s="1" t="s">
        <v>253</v>
      </c>
      <c r="R8685" s="1" t="s">
        <v>67</v>
      </c>
      <c r="S8685" s="1" t="s">
        <v>254</v>
      </c>
      <c r="T8685" s="1" t="s">
        <v>255</v>
      </c>
      <c r="U8685" s="2" t="s">
        <v>919</v>
      </c>
      <c r="V8685" s="2" t="s">
        <v>47</v>
      </c>
      <c r="W8685" s="2" t="s">
        <v>71</v>
      </c>
      <c r="X8685" s="2">
        <v>15.68</v>
      </c>
    </row>
    <row r="8686" spans="1:24" x14ac:dyDescent="0.3">
      <c r="A8686">
        <v>3347</v>
      </c>
      <c r="B8686" t="s">
        <v>15932</v>
      </c>
      <c r="C8686" s="3">
        <v>41372</v>
      </c>
      <c r="D8686" t="s">
        <v>148</v>
      </c>
      <c r="E8686">
        <v>12</v>
      </c>
      <c r="F8686" s="3">
        <f ca="1">41375+(RANDBETWEEN(1,10))</f>
        <v>41385</v>
      </c>
      <c r="G8686" t="s">
        <v>76</v>
      </c>
      <c r="H8686" t="s">
        <v>77</v>
      </c>
      <c r="I8686" t="s">
        <v>97</v>
      </c>
      <c r="J8686">
        <v>6626.7950000000001</v>
      </c>
      <c r="K8686">
        <v>0.02</v>
      </c>
      <c r="L8686">
        <v>0.77</v>
      </c>
      <c r="M8686">
        <v>210.7</v>
      </c>
      <c r="N8686">
        <v>-2357.43165</v>
      </c>
      <c r="O8686" s="1" t="s">
        <v>64</v>
      </c>
      <c r="P8686" s="1" t="s">
        <v>252</v>
      </c>
      <c r="Q8686" s="1" t="s">
        <v>253</v>
      </c>
      <c r="R8686" s="1" t="s">
        <v>67</v>
      </c>
      <c r="S8686" s="1" t="s">
        <v>254</v>
      </c>
      <c r="T8686" s="1" t="s">
        <v>255</v>
      </c>
      <c r="U8686" s="2" t="s">
        <v>779</v>
      </c>
      <c r="V8686" s="2" t="s">
        <v>83</v>
      </c>
      <c r="W8686" s="2" t="s">
        <v>84</v>
      </c>
      <c r="X8686" s="2">
        <v>528.11500000000001</v>
      </c>
    </row>
    <row r="8687" spans="1:24" x14ac:dyDescent="0.3">
      <c r="A8687">
        <v>3349</v>
      </c>
      <c r="B8687" t="s">
        <v>15933</v>
      </c>
      <c r="C8687" s="3">
        <v>41337</v>
      </c>
      <c r="D8687" t="s">
        <v>62</v>
      </c>
      <c r="E8687">
        <v>21</v>
      </c>
      <c r="F8687" s="3">
        <f ca="1">41340+(RANDBETWEEN(1,10))</f>
        <v>41341</v>
      </c>
      <c r="G8687" t="s">
        <v>26</v>
      </c>
      <c r="H8687" t="s">
        <v>27</v>
      </c>
      <c r="I8687" t="s">
        <v>28</v>
      </c>
      <c r="J8687">
        <v>493.15</v>
      </c>
      <c r="K8687">
        <v>0.05</v>
      </c>
      <c r="L8687">
        <v>0.37</v>
      </c>
      <c r="M8687">
        <v>20.440000000000001</v>
      </c>
      <c r="N8687">
        <v>-146.965</v>
      </c>
      <c r="O8687" s="1" t="s">
        <v>64</v>
      </c>
      <c r="P8687" s="1" t="s">
        <v>339</v>
      </c>
      <c r="Q8687" s="1" t="s">
        <v>340</v>
      </c>
      <c r="R8687" s="1" t="s">
        <v>128</v>
      </c>
      <c r="S8687" s="1" t="s">
        <v>129</v>
      </c>
      <c r="T8687" s="1" t="s">
        <v>341</v>
      </c>
      <c r="U8687" s="2" t="s">
        <v>8568</v>
      </c>
      <c r="V8687" s="2" t="s">
        <v>47</v>
      </c>
      <c r="W8687" s="2" t="s">
        <v>74</v>
      </c>
      <c r="X8687" s="2">
        <v>22.68</v>
      </c>
    </row>
    <row r="8688" spans="1:24" x14ac:dyDescent="0.3">
      <c r="A8688">
        <v>3392</v>
      </c>
      <c r="B8688" t="s">
        <v>15934</v>
      </c>
      <c r="C8688" s="3">
        <v>40616</v>
      </c>
      <c r="D8688" t="s">
        <v>50</v>
      </c>
      <c r="E8688">
        <v>45</v>
      </c>
      <c r="F8688" s="3">
        <f ca="1">40618+(RANDBETWEEN(1,10))</f>
        <v>40619</v>
      </c>
      <c r="G8688" t="s">
        <v>76</v>
      </c>
      <c r="H8688" t="s">
        <v>258</v>
      </c>
      <c r="I8688" t="s">
        <v>86</v>
      </c>
      <c r="J8688">
        <v>33388.6</v>
      </c>
      <c r="K8688">
        <v>0.02</v>
      </c>
      <c r="L8688">
        <v>0.75</v>
      </c>
      <c r="M8688">
        <v>195.86</v>
      </c>
      <c r="N8688">
        <v>-572.70500000000004</v>
      </c>
      <c r="O8688" s="1" t="s">
        <v>87</v>
      </c>
      <c r="P8688" s="1" t="s">
        <v>10867</v>
      </c>
      <c r="Q8688" s="1" t="s">
        <v>10868</v>
      </c>
      <c r="R8688" s="1" t="s">
        <v>398</v>
      </c>
      <c r="S8688" s="1" t="s">
        <v>3179</v>
      </c>
      <c r="T8688" s="1" t="s">
        <v>10869</v>
      </c>
      <c r="U8688" s="2" t="s">
        <v>8671</v>
      </c>
      <c r="V8688" s="2" t="s">
        <v>83</v>
      </c>
      <c r="W8688" s="2" t="s">
        <v>298</v>
      </c>
      <c r="X8688" s="2">
        <v>703.43</v>
      </c>
    </row>
    <row r="8689" spans="1:24" x14ac:dyDescent="0.3">
      <c r="A8689">
        <v>3393</v>
      </c>
      <c r="B8689" t="s">
        <v>15934</v>
      </c>
      <c r="C8689" s="3">
        <v>40616</v>
      </c>
      <c r="D8689" t="s">
        <v>50</v>
      </c>
      <c r="E8689">
        <v>24</v>
      </c>
      <c r="F8689" s="3">
        <f ca="1">40617+(RANDBETWEEN(1,10))</f>
        <v>40622</v>
      </c>
      <c r="G8689" t="s">
        <v>26</v>
      </c>
      <c r="H8689" t="s">
        <v>27</v>
      </c>
      <c r="I8689" t="s">
        <v>86</v>
      </c>
      <c r="J8689">
        <v>384.51</v>
      </c>
      <c r="K8689">
        <v>0.02</v>
      </c>
      <c r="L8689">
        <v>0.4</v>
      </c>
      <c r="M8689">
        <v>18.094999999999999</v>
      </c>
      <c r="N8689">
        <v>-223.54499999999999</v>
      </c>
      <c r="O8689" s="1" t="s">
        <v>87</v>
      </c>
      <c r="P8689" s="1" t="s">
        <v>10867</v>
      </c>
      <c r="Q8689" s="1" t="s">
        <v>10868</v>
      </c>
      <c r="R8689" s="1" t="s">
        <v>398</v>
      </c>
      <c r="S8689" s="1" t="s">
        <v>3179</v>
      </c>
      <c r="T8689" s="1" t="s">
        <v>10869</v>
      </c>
      <c r="U8689" s="2" t="s">
        <v>7083</v>
      </c>
      <c r="V8689" s="2" t="s">
        <v>47</v>
      </c>
      <c r="W8689" s="2" t="s">
        <v>74</v>
      </c>
      <c r="X8689" s="2">
        <v>14.98</v>
      </c>
    </row>
    <row r="8690" spans="1:24" x14ac:dyDescent="0.3">
      <c r="A8690">
        <v>3394</v>
      </c>
      <c r="B8690" t="s">
        <v>15934</v>
      </c>
      <c r="C8690" s="3">
        <v>40616</v>
      </c>
      <c r="D8690" t="s">
        <v>50</v>
      </c>
      <c r="E8690">
        <v>19</v>
      </c>
      <c r="F8690" s="3">
        <f ca="1">40618+(RANDBETWEEN(1,10))</f>
        <v>40623</v>
      </c>
      <c r="G8690" t="s">
        <v>26</v>
      </c>
      <c r="H8690" t="s">
        <v>96</v>
      </c>
      <c r="I8690" t="s">
        <v>86</v>
      </c>
      <c r="J8690">
        <v>4992.7849999999999</v>
      </c>
      <c r="K8690">
        <v>0.04</v>
      </c>
      <c r="L8690">
        <v>0.85</v>
      </c>
      <c r="M8690">
        <v>3.4649999999999999</v>
      </c>
      <c r="N8690">
        <v>-613.11249999999995</v>
      </c>
      <c r="O8690" s="1" t="s">
        <v>87</v>
      </c>
      <c r="P8690" s="1" t="s">
        <v>10867</v>
      </c>
      <c r="Q8690" s="1" t="s">
        <v>10868</v>
      </c>
      <c r="R8690" s="1" t="s">
        <v>398</v>
      </c>
      <c r="S8690" s="1" t="s">
        <v>3179</v>
      </c>
      <c r="T8690" s="1" t="s">
        <v>10869</v>
      </c>
      <c r="U8690" s="2" t="s">
        <v>678</v>
      </c>
      <c r="V8690" s="2" t="s">
        <v>36</v>
      </c>
      <c r="W8690" s="2" t="s">
        <v>37</v>
      </c>
      <c r="X8690" s="2">
        <v>300.96499999999997</v>
      </c>
    </row>
    <row r="8691" spans="1:24" x14ac:dyDescent="0.3">
      <c r="A8691">
        <v>340</v>
      </c>
      <c r="B8691" t="s">
        <v>15935</v>
      </c>
      <c r="C8691" s="3">
        <v>41520</v>
      </c>
      <c r="D8691" t="s">
        <v>25</v>
      </c>
      <c r="E8691">
        <v>14</v>
      </c>
      <c r="F8691" s="3">
        <f ca="1">41522+(RANDBETWEEN(1,10))</f>
        <v>41524</v>
      </c>
      <c r="G8691" t="s">
        <v>26</v>
      </c>
      <c r="H8691" t="s">
        <v>27</v>
      </c>
      <c r="I8691" t="s">
        <v>52</v>
      </c>
      <c r="J8691">
        <v>189.07</v>
      </c>
      <c r="K8691">
        <v>0.05</v>
      </c>
      <c r="L8691">
        <v>0.38</v>
      </c>
      <c r="M8691">
        <v>5.2149999999999999</v>
      </c>
      <c r="N8691">
        <v>-4.5482500000000003</v>
      </c>
      <c r="O8691" s="1" t="s">
        <v>64</v>
      </c>
      <c r="P8691" s="1" t="s">
        <v>173</v>
      </c>
      <c r="Q8691" s="1" t="s">
        <v>174</v>
      </c>
      <c r="R8691" s="1" t="s">
        <v>67</v>
      </c>
      <c r="S8691" s="1" t="s">
        <v>108</v>
      </c>
      <c r="T8691" s="1" t="s">
        <v>109</v>
      </c>
      <c r="U8691" s="2" t="s">
        <v>1763</v>
      </c>
      <c r="V8691" s="2" t="s">
        <v>47</v>
      </c>
      <c r="W8691" s="2" t="s">
        <v>111</v>
      </c>
      <c r="X8691" s="2">
        <v>13.3</v>
      </c>
    </row>
    <row r="8692" spans="1:24" x14ac:dyDescent="0.3">
      <c r="A8692">
        <v>3406</v>
      </c>
      <c r="B8692" t="s">
        <v>15936</v>
      </c>
      <c r="C8692" s="3">
        <v>40757</v>
      </c>
      <c r="D8692" t="s">
        <v>50</v>
      </c>
      <c r="E8692">
        <v>43</v>
      </c>
      <c r="F8692" s="3">
        <f ca="1">40758+(RANDBETWEEN(1,10))</f>
        <v>40762</v>
      </c>
      <c r="G8692" t="s">
        <v>76</v>
      </c>
      <c r="H8692" t="s">
        <v>77</v>
      </c>
      <c r="I8692" t="s">
        <v>97</v>
      </c>
      <c r="J8692">
        <v>30512.125</v>
      </c>
      <c r="K8692">
        <v>0.03</v>
      </c>
      <c r="L8692">
        <v>0.36</v>
      </c>
      <c r="M8692">
        <v>54.564999999999998</v>
      </c>
      <c r="N8692">
        <v>6829.55</v>
      </c>
      <c r="O8692" s="1" t="s">
        <v>40</v>
      </c>
      <c r="P8692" s="1" t="s">
        <v>9728</v>
      </c>
      <c r="Q8692" s="1" t="s">
        <v>9729</v>
      </c>
      <c r="R8692" s="1" t="s">
        <v>43</v>
      </c>
      <c r="S8692" s="1" t="s">
        <v>80</v>
      </c>
      <c r="T8692" s="1" t="s">
        <v>9730</v>
      </c>
      <c r="U8692" s="2" t="s">
        <v>6020</v>
      </c>
      <c r="V8692" s="2" t="s">
        <v>36</v>
      </c>
      <c r="W8692" s="2" t="s">
        <v>142</v>
      </c>
      <c r="X8692" s="2">
        <v>703.39499999999998</v>
      </c>
    </row>
    <row r="8693" spans="1:24" x14ac:dyDescent="0.3">
      <c r="A8693">
        <v>341</v>
      </c>
      <c r="B8693" t="s">
        <v>15937</v>
      </c>
      <c r="C8693" s="3">
        <v>41395</v>
      </c>
      <c r="D8693" t="s">
        <v>39</v>
      </c>
      <c r="E8693">
        <v>49</v>
      </c>
      <c r="F8693" s="3">
        <f ca="1">41396+(RANDBETWEEN(1,10))</f>
        <v>41400</v>
      </c>
      <c r="G8693" t="s">
        <v>26</v>
      </c>
      <c r="H8693" t="s">
        <v>27</v>
      </c>
      <c r="I8693" t="s">
        <v>97</v>
      </c>
      <c r="J8693">
        <v>7325.22</v>
      </c>
      <c r="K8693">
        <v>0.01</v>
      </c>
      <c r="L8693">
        <v>0.56999999999999995</v>
      </c>
      <c r="M8693">
        <v>66.430000000000007</v>
      </c>
      <c r="N8693">
        <v>332.36</v>
      </c>
      <c r="O8693" s="1" t="s">
        <v>64</v>
      </c>
      <c r="P8693" s="1" t="s">
        <v>8714</v>
      </c>
      <c r="Q8693" s="1" t="s">
        <v>8715</v>
      </c>
      <c r="R8693" s="1" t="s">
        <v>128</v>
      </c>
      <c r="S8693" s="1" t="s">
        <v>129</v>
      </c>
      <c r="T8693" s="1" t="s">
        <v>8716</v>
      </c>
      <c r="U8693" s="2" t="s">
        <v>1823</v>
      </c>
      <c r="V8693" s="2" t="s">
        <v>83</v>
      </c>
      <c r="W8693" s="2" t="s">
        <v>178</v>
      </c>
      <c r="X8693" s="2">
        <v>143.11500000000001</v>
      </c>
    </row>
    <row r="8694" spans="1:24" x14ac:dyDescent="0.3">
      <c r="A8694">
        <v>3410</v>
      </c>
      <c r="B8694" t="s">
        <v>15938</v>
      </c>
      <c r="C8694" s="3">
        <v>41040</v>
      </c>
      <c r="D8694" t="s">
        <v>148</v>
      </c>
      <c r="E8694">
        <v>54</v>
      </c>
      <c r="F8694" s="3">
        <f ca="1">41042+(RANDBETWEEN(1,10))</f>
        <v>41048</v>
      </c>
      <c r="G8694" t="s">
        <v>76</v>
      </c>
      <c r="H8694" t="s">
        <v>77</v>
      </c>
      <c r="I8694" t="s">
        <v>52</v>
      </c>
      <c r="J8694">
        <v>64426.845000000001</v>
      </c>
      <c r="K8694">
        <v>0.06</v>
      </c>
      <c r="L8694">
        <v>0.55000000000000004</v>
      </c>
      <c r="M8694">
        <v>136.5</v>
      </c>
      <c r="N8694">
        <v>11637.605</v>
      </c>
      <c r="O8694" s="1" t="s">
        <v>53</v>
      </c>
      <c r="P8694" s="1" t="s">
        <v>10270</v>
      </c>
      <c r="Q8694" s="1" t="s">
        <v>10271</v>
      </c>
      <c r="R8694" s="1" t="s">
        <v>100</v>
      </c>
      <c r="S8694" s="1" t="s">
        <v>101</v>
      </c>
      <c r="T8694" s="1" t="s">
        <v>10272</v>
      </c>
      <c r="U8694" s="2" t="s">
        <v>3927</v>
      </c>
      <c r="V8694" s="2" t="s">
        <v>83</v>
      </c>
      <c r="W8694" s="2" t="s">
        <v>84</v>
      </c>
      <c r="X8694" s="2">
        <v>1228.4649999999999</v>
      </c>
    </row>
    <row r="8695" spans="1:24" x14ac:dyDescent="0.3">
      <c r="A8695">
        <v>3430</v>
      </c>
      <c r="B8695" t="s">
        <v>15939</v>
      </c>
      <c r="C8695" s="3">
        <v>41979</v>
      </c>
      <c r="D8695" t="s">
        <v>50</v>
      </c>
      <c r="E8695">
        <v>16</v>
      </c>
      <c r="F8695" s="3">
        <f ca="1">41981+(RANDBETWEEN(1,10))</f>
        <v>41989</v>
      </c>
      <c r="G8695" t="s">
        <v>26</v>
      </c>
      <c r="H8695" t="s">
        <v>51</v>
      </c>
      <c r="I8695" t="s">
        <v>97</v>
      </c>
      <c r="J8695">
        <v>1183.77</v>
      </c>
      <c r="K8695">
        <v>0</v>
      </c>
      <c r="L8695">
        <v>0.48</v>
      </c>
      <c r="M8695">
        <v>6.9649999999999999</v>
      </c>
      <c r="N8695">
        <v>-37.064999999999998</v>
      </c>
      <c r="O8695" s="1" t="s">
        <v>40</v>
      </c>
      <c r="P8695" s="1" t="s">
        <v>15893</v>
      </c>
      <c r="Q8695" s="1" t="s">
        <v>15894</v>
      </c>
      <c r="R8695" s="1" t="s">
        <v>43</v>
      </c>
      <c r="S8695" s="1" t="s">
        <v>44</v>
      </c>
      <c r="T8695" s="1" t="s">
        <v>15895</v>
      </c>
      <c r="U8695" s="2" t="s">
        <v>5583</v>
      </c>
      <c r="V8695" s="2" t="s">
        <v>36</v>
      </c>
      <c r="W8695" s="2" t="s">
        <v>60</v>
      </c>
      <c r="X8695" s="2">
        <v>73.114999999999995</v>
      </c>
    </row>
    <row r="8696" spans="1:24" x14ac:dyDescent="0.3">
      <c r="A8696">
        <v>3431</v>
      </c>
      <c r="B8696" t="s">
        <v>15940</v>
      </c>
      <c r="C8696" s="3">
        <v>40883</v>
      </c>
      <c r="D8696" t="s">
        <v>50</v>
      </c>
      <c r="E8696">
        <v>76</v>
      </c>
      <c r="F8696" s="3">
        <f ca="1">40886+(RANDBETWEEN(1,10))</f>
        <v>40889</v>
      </c>
      <c r="G8696" t="s">
        <v>26</v>
      </c>
      <c r="H8696" t="s">
        <v>96</v>
      </c>
      <c r="I8696" t="s">
        <v>97</v>
      </c>
      <c r="J8696">
        <v>989.97500000000002</v>
      </c>
      <c r="K8696">
        <v>7.0000000000000007E-2</v>
      </c>
      <c r="L8696">
        <v>0.51</v>
      </c>
      <c r="M8696">
        <v>2.9049999999999998</v>
      </c>
      <c r="N8696">
        <v>95.83</v>
      </c>
      <c r="O8696" s="1" t="s">
        <v>40</v>
      </c>
      <c r="P8696" s="1" t="s">
        <v>15893</v>
      </c>
      <c r="Q8696" s="1" t="s">
        <v>15894</v>
      </c>
      <c r="R8696" s="1" t="s">
        <v>43</v>
      </c>
      <c r="S8696" s="1" t="s">
        <v>44</v>
      </c>
      <c r="T8696" s="1" t="s">
        <v>15895</v>
      </c>
      <c r="U8696" s="2" t="s">
        <v>4777</v>
      </c>
      <c r="V8696" s="2" t="s">
        <v>47</v>
      </c>
      <c r="W8696" s="2" t="s">
        <v>104</v>
      </c>
      <c r="X8696" s="2">
        <v>13.93</v>
      </c>
    </row>
    <row r="8697" spans="1:24" x14ac:dyDescent="0.3">
      <c r="A8697">
        <v>3432</v>
      </c>
      <c r="B8697" t="s">
        <v>15941</v>
      </c>
      <c r="C8697" s="3">
        <v>41386</v>
      </c>
      <c r="D8697" t="s">
        <v>148</v>
      </c>
      <c r="E8697">
        <v>3</v>
      </c>
      <c r="F8697" s="3">
        <f ca="1">41387+(RANDBETWEEN(1,10))</f>
        <v>41397</v>
      </c>
      <c r="G8697" t="s">
        <v>26</v>
      </c>
      <c r="H8697" t="s">
        <v>51</v>
      </c>
      <c r="I8697" t="s">
        <v>52</v>
      </c>
      <c r="J8697">
        <v>98.385000000000005</v>
      </c>
      <c r="K8697">
        <v>0.03</v>
      </c>
      <c r="L8697">
        <v>0.77</v>
      </c>
      <c r="M8697">
        <v>9.9049999999999994</v>
      </c>
      <c r="N8697">
        <v>-110.67</v>
      </c>
      <c r="O8697" s="1" t="s">
        <v>53</v>
      </c>
      <c r="P8697" s="1" t="s">
        <v>2927</v>
      </c>
      <c r="Q8697" s="1" t="s">
        <v>2928</v>
      </c>
      <c r="R8697" s="1" t="s">
        <v>100</v>
      </c>
      <c r="S8697" s="1" t="s">
        <v>101</v>
      </c>
      <c r="T8697" s="1" t="s">
        <v>2929</v>
      </c>
      <c r="U8697" s="2" t="s">
        <v>2563</v>
      </c>
      <c r="V8697" s="2" t="s">
        <v>36</v>
      </c>
      <c r="W8697" s="2" t="s">
        <v>60</v>
      </c>
      <c r="X8697" s="2">
        <v>28.42</v>
      </c>
    </row>
    <row r="8698" spans="1:24" x14ac:dyDescent="0.3">
      <c r="A8698">
        <v>3433</v>
      </c>
      <c r="B8698" t="s">
        <v>15941</v>
      </c>
      <c r="C8698" s="3">
        <v>41386</v>
      </c>
      <c r="D8698" t="s">
        <v>148</v>
      </c>
      <c r="E8698">
        <v>16</v>
      </c>
      <c r="F8698" s="3">
        <f ca="1">41387+(RANDBETWEEN(1,10))</f>
        <v>41392</v>
      </c>
      <c r="G8698" t="s">
        <v>26</v>
      </c>
      <c r="H8698" t="s">
        <v>96</v>
      </c>
      <c r="I8698" t="s">
        <v>52</v>
      </c>
      <c r="J8698">
        <v>108.255</v>
      </c>
      <c r="K8698">
        <v>0</v>
      </c>
      <c r="L8698">
        <v>0.56000000000000005</v>
      </c>
      <c r="M8698">
        <v>2.4500000000000002</v>
      </c>
      <c r="N8698">
        <v>-0.21</v>
      </c>
      <c r="O8698" s="1" t="s">
        <v>53</v>
      </c>
      <c r="P8698" s="1" t="s">
        <v>2927</v>
      </c>
      <c r="Q8698" s="1" t="s">
        <v>2928</v>
      </c>
      <c r="R8698" s="1" t="s">
        <v>100</v>
      </c>
      <c r="S8698" s="1" t="s">
        <v>101</v>
      </c>
      <c r="T8698" s="1" t="s">
        <v>2929</v>
      </c>
      <c r="U8698" s="2" t="s">
        <v>384</v>
      </c>
      <c r="V8698" s="2" t="s">
        <v>47</v>
      </c>
      <c r="W8698" s="2" t="s">
        <v>104</v>
      </c>
      <c r="X8698" s="2">
        <v>6.16</v>
      </c>
    </row>
    <row r="8699" spans="1:24" x14ac:dyDescent="0.3">
      <c r="A8699">
        <v>3435</v>
      </c>
      <c r="B8699" t="s">
        <v>15942</v>
      </c>
      <c r="C8699" s="3">
        <v>41436</v>
      </c>
      <c r="D8699" t="s">
        <v>62</v>
      </c>
      <c r="E8699">
        <v>36</v>
      </c>
      <c r="F8699" s="3">
        <f ca="1">41437+(RANDBETWEEN(1,10))</f>
        <v>41438</v>
      </c>
      <c r="G8699" t="s">
        <v>26</v>
      </c>
      <c r="H8699" t="s">
        <v>27</v>
      </c>
      <c r="I8699" t="s">
        <v>52</v>
      </c>
      <c r="J8699">
        <v>730.55499999999995</v>
      </c>
      <c r="K8699">
        <v>0.03</v>
      </c>
      <c r="L8699">
        <v>0.39</v>
      </c>
      <c r="M8699">
        <v>19.704999999999998</v>
      </c>
      <c r="N8699">
        <v>-212.52</v>
      </c>
      <c r="O8699" s="1" t="s">
        <v>87</v>
      </c>
      <c r="P8699" s="1" t="s">
        <v>88</v>
      </c>
      <c r="Q8699" s="1" t="s">
        <v>89</v>
      </c>
      <c r="R8699" s="1" t="s">
        <v>90</v>
      </c>
      <c r="S8699" s="1" t="s">
        <v>91</v>
      </c>
      <c r="T8699" s="1" t="s">
        <v>92</v>
      </c>
      <c r="U8699" s="2" t="s">
        <v>2773</v>
      </c>
      <c r="V8699" s="2" t="s">
        <v>47</v>
      </c>
      <c r="W8699" s="2" t="s">
        <v>111</v>
      </c>
      <c r="X8699" s="2">
        <v>18.690000000000001</v>
      </c>
    </row>
    <row r="8700" spans="1:24" x14ac:dyDescent="0.3">
      <c r="A8700">
        <v>344</v>
      </c>
      <c r="B8700" t="s">
        <v>15943</v>
      </c>
      <c r="C8700" s="3">
        <v>41140</v>
      </c>
      <c r="D8700" t="s">
        <v>62</v>
      </c>
      <c r="E8700">
        <v>65</v>
      </c>
      <c r="F8700" s="3">
        <f ca="1">41142+(RANDBETWEEN(1,10))</f>
        <v>41150</v>
      </c>
      <c r="G8700" t="s">
        <v>26</v>
      </c>
      <c r="H8700" t="s">
        <v>27</v>
      </c>
      <c r="I8700" t="s">
        <v>52</v>
      </c>
      <c r="J8700">
        <v>3214.89</v>
      </c>
      <c r="K8700">
        <v>0.08</v>
      </c>
      <c r="L8700">
        <v>0.43</v>
      </c>
      <c r="M8700">
        <v>46.62</v>
      </c>
      <c r="N8700">
        <v>-1069.11385</v>
      </c>
      <c r="O8700" s="1" t="s">
        <v>53</v>
      </c>
      <c r="P8700" s="1" t="s">
        <v>54</v>
      </c>
      <c r="Q8700" s="1" t="s">
        <v>55</v>
      </c>
      <c r="R8700" s="1" t="s">
        <v>56</v>
      </c>
      <c r="S8700" s="1" t="s">
        <v>57</v>
      </c>
      <c r="T8700" s="1" t="s">
        <v>58</v>
      </c>
      <c r="U8700" s="2" t="s">
        <v>1840</v>
      </c>
      <c r="V8700" s="2" t="s">
        <v>47</v>
      </c>
      <c r="W8700" s="2" t="s">
        <v>71</v>
      </c>
      <c r="X8700" s="2">
        <v>51.835000000000001</v>
      </c>
    </row>
    <row r="8701" spans="1:24" x14ac:dyDescent="0.3">
      <c r="A8701">
        <v>3443</v>
      </c>
      <c r="B8701" t="s">
        <v>15944</v>
      </c>
      <c r="C8701" s="3">
        <v>40969</v>
      </c>
      <c r="D8701" t="s">
        <v>148</v>
      </c>
      <c r="E8701">
        <v>8</v>
      </c>
      <c r="F8701" s="3">
        <f ca="1">40970+(RANDBETWEEN(1,10))</f>
        <v>40977</v>
      </c>
      <c r="G8701" t="s">
        <v>26</v>
      </c>
      <c r="H8701" t="s">
        <v>27</v>
      </c>
      <c r="I8701" t="s">
        <v>28</v>
      </c>
      <c r="J8701">
        <v>632.76499999999999</v>
      </c>
      <c r="K8701">
        <v>0.05</v>
      </c>
      <c r="L8701">
        <v>0.39</v>
      </c>
      <c r="M8701">
        <v>19.145</v>
      </c>
      <c r="N8701">
        <v>70.314999999999998</v>
      </c>
      <c r="O8701" s="1" t="s">
        <v>64</v>
      </c>
      <c r="P8701" s="1" t="s">
        <v>7301</v>
      </c>
      <c r="Q8701" s="1" t="s">
        <v>7302</v>
      </c>
      <c r="R8701" s="1" t="s">
        <v>128</v>
      </c>
      <c r="S8701" s="1" t="s">
        <v>129</v>
      </c>
      <c r="T8701" s="1" t="s">
        <v>7303</v>
      </c>
      <c r="U8701" s="2" t="s">
        <v>1861</v>
      </c>
      <c r="V8701" s="2" t="s">
        <v>47</v>
      </c>
      <c r="W8701" s="2" t="s">
        <v>74</v>
      </c>
      <c r="X8701" s="2">
        <v>79.94</v>
      </c>
    </row>
    <row r="8702" spans="1:24" x14ac:dyDescent="0.3">
      <c r="A8702">
        <v>3451</v>
      </c>
      <c r="B8702" t="s">
        <v>15945</v>
      </c>
      <c r="C8702" s="3">
        <v>40926</v>
      </c>
      <c r="D8702" t="s">
        <v>50</v>
      </c>
      <c r="E8702">
        <v>4</v>
      </c>
      <c r="F8702" s="3">
        <f ca="1">40928+(RANDBETWEEN(1,10))</f>
        <v>40929</v>
      </c>
      <c r="G8702" t="s">
        <v>76</v>
      </c>
      <c r="H8702" t="s">
        <v>77</v>
      </c>
      <c r="I8702" t="s">
        <v>97</v>
      </c>
      <c r="J8702">
        <v>3091.585</v>
      </c>
      <c r="K8702">
        <v>0.01</v>
      </c>
      <c r="L8702">
        <v>0.57999999999999996</v>
      </c>
      <c r="M8702">
        <v>83.16</v>
      </c>
      <c r="N8702">
        <v>-447.77600000000001</v>
      </c>
      <c r="O8702" s="1" t="s">
        <v>40</v>
      </c>
      <c r="P8702" s="1" t="s">
        <v>13080</v>
      </c>
      <c r="Q8702" s="1" t="s">
        <v>13081</v>
      </c>
      <c r="R8702" s="1" t="s">
        <v>220</v>
      </c>
      <c r="S8702" s="1" t="s">
        <v>221</v>
      </c>
      <c r="T8702" s="1" t="s">
        <v>13082</v>
      </c>
      <c r="U8702" s="2" t="s">
        <v>3990</v>
      </c>
      <c r="V8702" s="2" t="s">
        <v>83</v>
      </c>
      <c r="W8702" s="2" t="s">
        <v>84</v>
      </c>
      <c r="X8702" s="2">
        <v>703.43</v>
      </c>
    </row>
    <row r="8703" spans="1:24" x14ac:dyDescent="0.3">
      <c r="A8703">
        <v>3487</v>
      </c>
      <c r="B8703" t="s">
        <v>15946</v>
      </c>
      <c r="C8703" s="3">
        <v>41158</v>
      </c>
      <c r="D8703" t="s">
        <v>50</v>
      </c>
      <c r="E8703">
        <v>36</v>
      </c>
      <c r="F8703" s="3">
        <f ca="1">41160+(RANDBETWEEN(1,10))</f>
        <v>41163</v>
      </c>
      <c r="G8703" t="s">
        <v>26</v>
      </c>
      <c r="H8703" t="s">
        <v>27</v>
      </c>
      <c r="I8703" t="s">
        <v>86</v>
      </c>
      <c r="J8703">
        <v>705.77499999999998</v>
      </c>
      <c r="K8703">
        <v>0.05</v>
      </c>
      <c r="L8703">
        <v>0.36</v>
      </c>
      <c r="M8703">
        <v>20.09</v>
      </c>
      <c r="N8703">
        <v>-202.98075</v>
      </c>
      <c r="O8703" s="1" t="s">
        <v>29</v>
      </c>
      <c r="P8703" s="1" t="s">
        <v>10720</v>
      </c>
      <c r="Q8703" s="1" t="s">
        <v>10721</v>
      </c>
      <c r="R8703" s="1" t="s">
        <v>32</v>
      </c>
      <c r="S8703" s="1" t="s">
        <v>33</v>
      </c>
      <c r="T8703" s="1" t="s">
        <v>10722</v>
      </c>
      <c r="U8703" s="2" t="s">
        <v>1239</v>
      </c>
      <c r="V8703" s="2" t="s">
        <v>47</v>
      </c>
      <c r="W8703" s="2" t="s">
        <v>111</v>
      </c>
      <c r="X8703" s="2">
        <v>18.13</v>
      </c>
    </row>
    <row r="8704" spans="1:24" x14ac:dyDescent="0.3">
      <c r="A8704">
        <v>349</v>
      </c>
      <c r="B8704" t="s">
        <v>15947</v>
      </c>
      <c r="C8704" s="3">
        <v>40776</v>
      </c>
      <c r="D8704" t="s">
        <v>50</v>
      </c>
      <c r="E8704">
        <v>25</v>
      </c>
      <c r="F8704" s="3">
        <f ca="1">40776+(RANDBETWEEN(1,10))</f>
        <v>40778</v>
      </c>
      <c r="G8704" t="s">
        <v>76</v>
      </c>
      <c r="H8704" t="s">
        <v>77</v>
      </c>
      <c r="I8704" t="s">
        <v>28</v>
      </c>
      <c r="J8704">
        <v>150661.70000000001</v>
      </c>
      <c r="K8704">
        <v>7.0000000000000007E-2</v>
      </c>
      <c r="L8704">
        <v>0.55000000000000004</v>
      </c>
      <c r="M8704">
        <v>51.45</v>
      </c>
      <c r="N8704">
        <v>14256.375</v>
      </c>
      <c r="O8704" s="1" t="s">
        <v>64</v>
      </c>
      <c r="P8704" s="1" t="s">
        <v>126</v>
      </c>
      <c r="Q8704" s="1" t="s">
        <v>127</v>
      </c>
      <c r="R8704" s="1" t="s">
        <v>128</v>
      </c>
      <c r="S8704" s="1" t="s">
        <v>129</v>
      </c>
      <c r="T8704" s="1" t="s">
        <v>130</v>
      </c>
      <c r="U8704" s="2" t="s">
        <v>1855</v>
      </c>
      <c r="V8704" s="2" t="s">
        <v>36</v>
      </c>
      <c r="W8704" s="2" t="s">
        <v>142</v>
      </c>
      <c r="X8704" s="2">
        <v>7127.68</v>
      </c>
    </row>
    <row r="8705" spans="1:24" x14ac:dyDescent="0.3">
      <c r="A8705">
        <v>3490</v>
      </c>
      <c r="B8705" t="s">
        <v>15948</v>
      </c>
      <c r="C8705" s="3">
        <v>40704</v>
      </c>
      <c r="D8705" t="s">
        <v>50</v>
      </c>
      <c r="E8705">
        <v>21</v>
      </c>
      <c r="F8705" s="3">
        <f ca="1">40705+(RANDBETWEEN(1,10))</f>
        <v>40711</v>
      </c>
      <c r="G8705" t="s">
        <v>26</v>
      </c>
      <c r="H8705" t="s">
        <v>27</v>
      </c>
      <c r="I8705" t="s">
        <v>52</v>
      </c>
      <c r="J8705">
        <v>696.78</v>
      </c>
      <c r="K8705">
        <v>0.05</v>
      </c>
      <c r="L8705">
        <v>0.36</v>
      </c>
      <c r="M8705">
        <v>19.600000000000001</v>
      </c>
      <c r="N8705">
        <v>-32.119500000000002</v>
      </c>
      <c r="O8705" s="1" t="s">
        <v>64</v>
      </c>
      <c r="P8705" s="1" t="s">
        <v>10969</v>
      </c>
      <c r="Q8705" s="1" t="s">
        <v>10970</v>
      </c>
      <c r="R8705" s="1" t="s">
        <v>128</v>
      </c>
      <c r="S8705" s="1" t="s">
        <v>129</v>
      </c>
      <c r="T8705" s="1" t="s">
        <v>10971</v>
      </c>
      <c r="U8705" s="2" t="s">
        <v>3792</v>
      </c>
      <c r="V8705" s="2" t="s">
        <v>47</v>
      </c>
      <c r="W8705" s="2" t="s">
        <v>111</v>
      </c>
      <c r="X8705" s="2">
        <v>30.975000000000001</v>
      </c>
    </row>
    <row r="8706" spans="1:24" x14ac:dyDescent="0.3">
      <c r="A8706">
        <v>3496</v>
      </c>
      <c r="B8706" t="s">
        <v>15949</v>
      </c>
      <c r="C8706" s="3">
        <v>41201</v>
      </c>
      <c r="D8706" t="s">
        <v>25</v>
      </c>
      <c r="E8706">
        <v>59</v>
      </c>
      <c r="F8706" s="3">
        <f ca="1">41208+(RANDBETWEEN(1,10))</f>
        <v>41213</v>
      </c>
      <c r="G8706" t="s">
        <v>26</v>
      </c>
      <c r="H8706" t="s">
        <v>27</v>
      </c>
      <c r="I8706" t="s">
        <v>28</v>
      </c>
      <c r="J8706">
        <v>10302.915000000001</v>
      </c>
      <c r="K8706">
        <v>0.05</v>
      </c>
      <c r="L8706">
        <v>0.38</v>
      </c>
      <c r="M8706">
        <v>20.335000000000001</v>
      </c>
      <c r="N8706">
        <v>2082.0520000000001</v>
      </c>
      <c r="O8706" s="1" t="s">
        <v>40</v>
      </c>
      <c r="P8706" s="1" t="s">
        <v>15950</v>
      </c>
      <c r="Q8706" s="1" t="s">
        <v>15951</v>
      </c>
      <c r="R8706" s="1" t="s">
        <v>43</v>
      </c>
      <c r="S8706" s="1" t="s">
        <v>44</v>
      </c>
      <c r="T8706" s="1" t="s">
        <v>15952</v>
      </c>
      <c r="U8706" s="2" t="s">
        <v>1912</v>
      </c>
      <c r="V8706" s="2" t="s">
        <v>47</v>
      </c>
      <c r="W8706" s="2" t="s">
        <v>74</v>
      </c>
      <c r="X8706" s="2">
        <v>171.185</v>
      </c>
    </row>
    <row r="8707" spans="1:24" x14ac:dyDescent="0.3">
      <c r="A8707">
        <v>3497</v>
      </c>
      <c r="B8707" t="s">
        <v>15953</v>
      </c>
      <c r="C8707" s="3">
        <v>41585</v>
      </c>
      <c r="D8707" t="s">
        <v>25</v>
      </c>
      <c r="E8707">
        <v>31</v>
      </c>
      <c r="F8707" s="3">
        <f ca="1">41589+(RANDBETWEEN(1,10))</f>
        <v>41597</v>
      </c>
      <c r="G8707" t="s">
        <v>26</v>
      </c>
      <c r="H8707" t="s">
        <v>27</v>
      </c>
      <c r="I8707" t="s">
        <v>97</v>
      </c>
      <c r="J8707">
        <v>1804.0050000000001</v>
      </c>
      <c r="K8707">
        <v>0.05</v>
      </c>
      <c r="L8707">
        <v>0.36</v>
      </c>
      <c r="M8707">
        <v>17.78</v>
      </c>
      <c r="N8707">
        <v>48.195</v>
      </c>
      <c r="O8707" s="1" t="s">
        <v>87</v>
      </c>
      <c r="P8707" s="1" t="s">
        <v>5156</v>
      </c>
      <c r="Q8707" s="1" t="s">
        <v>5157</v>
      </c>
      <c r="R8707" s="1" t="s">
        <v>398</v>
      </c>
      <c r="S8707" s="1" t="s">
        <v>3179</v>
      </c>
      <c r="T8707" s="1" t="s">
        <v>5158</v>
      </c>
      <c r="U8707" s="2" t="s">
        <v>8826</v>
      </c>
      <c r="V8707" s="2" t="s">
        <v>47</v>
      </c>
      <c r="W8707" s="2" t="s">
        <v>111</v>
      </c>
      <c r="X8707" s="2">
        <v>58.59</v>
      </c>
    </row>
    <row r="8708" spans="1:24" x14ac:dyDescent="0.3">
      <c r="A8708">
        <v>3508</v>
      </c>
      <c r="B8708" t="s">
        <v>15954</v>
      </c>
      <c r="C8708" s="3">
        <v>41709</v>
      </c>
      <c r="D8708" t="s">
        <v>39</v>
      </c>
      <c r="E8708">
        <v>36</v>
      </c>
      <c r="F8708" s="3">
        <f ca="1">41711+(RANDBETWEEN(1,10))</f>
        <v>41716</v>
      </c>
      <c r="G8708" t="s">
        <v>26</v>
      </c>
      <c r="H8708" t="s">
        <v>51</v>
      </c>
      <c r="I8708" t="s">
        <v>86</v>
      </c>
      <c r="J8708">
        <v>5464.27</v>
      </c>
      <c r="K8708">
        <v>0.09</v>
      </c>
      <c r="L8708">
        <v>0.83</v>
      </c>
      <c r="M8708">
        <v>8.75</v>
      </c>
      <c r="N8708">
        <v>-793.87</v>
      </c>
      <c r="O8708" s="1" t="s">
        <v>87</v>
      </c>
      <c r="P8708" s="1" t="s">
        <v>10867</v>
      </c>
      <c r="Q8708" s="1" t="s">
        <v>10868</v>
      </c>
      <c r="R8708" s="1" t="s">
        <v>398</v>
      </c>
      <c r="S8708" s="1" t="s">
        <v>3179</v>
      </c>
      <c r="T8708" s="1" t="s">
        <v>10869</v>
      </c>
      <c r="U8708" s="2" t="s">
        <v>3513</v>
      </c>
      <c r="V8708" s="2" t="s">
        <v>36</v>
      </c>
      <c r="W8708" s="2" t="s">
        <v>37</v>
      </c>
      <c r="X8708" s="2">
        <v>195.965</v>
      </c>
    </row>
    <row r="8709" spans="1:24" x14ac:dyDescent="0.3">
      <c r="A8709">
        <v>3520</v>
      </c>
      <c r="B8709" t="s">
        <v>15955</v>
      </c>
      <c r="C8709" s="3">
        <v>41212</v>
      </c>
      <c r="D8709" t="s">
        <v>62</v>
      </c>
      <c r="E8709">
        <v>9</v>
      </c>
      <c r="F8709" s="3">
        <f ca="1">41214+(RANDBETWEEN(1,10))</f>
        <v>41219</v>
      </c>
      <c r="G8709" t="s">
        <v>26</v>
      </c>
      <c r="H8709" t="s">
        <v>281</v>
      </c>
      <c r="I8709" t="s">
        <v>52</v>
      </c>
      <c r="J8709">
        <v>496.37</v>
      </c>
      <c r="K8709">
        <v>0.03</v>
      </c>
      <c r="L8709">
        <v>0.52</v>
      </c>
      <c r="M8709">
        <v>23.625</v>
      </c>
      <c r="N8709">
        <v>-99.104950000000002</v>
      </c>
      <c r="O8709" s="1" t="s">
        <v>53</v>
      </c>
      <c r="P8709" s="1" t="s">
        <v>54</v>
      </c>
      <c r="Q8709" s="1" t="s">
        <v>55</v>
      </c>
      <c r="R8709" s="1" t="s">
        <v>56</v>
      </c>
      <c r="S8709" s="1" t="s">
        <v>57</v>
      </c>
      <c r="T8709" s="1" t="s">
        <v>58</v>
      </c>
      <c r="U8709" s="2" t="s">
        <v>1196</v>
      </c>
      <c r="V8709" s="2" t="s">
        <v>47</v>
      </c>
      <c r="W8709" s="2" t="s">
        <v>71</v>
      </c>
      <c r="X8709" s="2">
        <v>50.47</v>
      </c>
    </row>
    <row r="8710" spans="1:24" x14ac:dyDescent="0.3">
      <c r="A8710">
        <v>3521</v>
      </c>
      <c r="B8710" t="s">
        <v>15955</v>
      </c>
      <c r="C8710" s="3">
        <v>41212</v>
      </c>
      <c r="D8710" t="s">
        <v>62</v>
      </c>
      <c r="E8710">
        <v>16</v>
      </c>
      <c r="F8710" s="3">
        <f ca="1">41214+(RANDBETWEEN(1,10))</f>
        <v>41220</v>
      </c>
      <c r="G8710" t="s">
        <v>26</v>
      </c>
      <c r="H8710" t="s">
        <v>27</v>
      </c>
      <c r="I8710" t="s">
        <v>52</v>
      </c>
      <c r="J8710">
        <v>24442.46</v>
      </c>
      <c r="K8710">
        <v>0.04</v>
      </c>
      <c r="L8710">
        <v>0.35</v>
      </c>
      <c r="M8710">
        <v>69.965000000000003</v>
      </c>
      <c r="N8710">
        <v>3149.9130424999998</v>
      </c>
      <c r="O8710" s="1" t="s">
        <v>53</v>
      </c>
      <c r="P8710" s="1" t="s">
        <v>54</v>
      </c>
      <c r="Q8710" s="1" t="s">
        <v>55</v>
      </c>
      <c r="R8710" s="1" t="s">
        <v>56</v>
      </c>
      <c r="S8710" s="1" t="s">
        <v>57</v>
      </c>
      <c r="T8710" s="1" t="s">
        <v>58</v>
      </c>
      <c r="U8710" s="2" t="s">
        <v>1352</v>
      </c>
      <c r="V8710" s="2" t="s">
        <v>47</v>
      </c>
      <c r="W8710" s="2" t="s">
        <v>111</v>
      </c>
      <c r="X8710" s="2">
        <v>1473.43</v>
      </c>
    </row>
    <row r="8711" spans="1:24" x14ac:dyDescent="0.3">
      <c r="A8711">
        <v>355</v>
      </c>
      <c r="B8711" t="s">
        <v>15956</v>
      </c>
      <c r="C8711" s="3">
        <v>41470</v>
      </c>
      <c r="D8711" t="s">
        <v>50</v>
      </c>
      <c r="E8711">
        <v>41</v>
      </c>
      <c r="F8711" s="3">
        <f ca="1">41471+(RANDBETWEEN(1,10))</f>
        <v>41474</v>
      </c>
      <c r="G8711" t="s">
        <v>76</v>
      </c>
      <c r="H8711" t="s">
        <v>77</v>
      </c>
      <c r="I8711" t="s">
        <v>28</v>
      </c>
      <c r="J8711">
        <v>19838.735000000001</v>
      </c>
      <c r="K8711">
        <v>0.09</v>
      </c>
      <c r="L8711">
        <v>0.56000000000000005</v>
      </c>
      <c r="M8711">
        <v>62.475000000000001</v>
      </c>
      <c r="N8711">
        <v>2053.1350000000002</v>
      </c>
      <c r="O8711" s="1" t="s">
        <v>40</v>
      </c>
      <c r="P8711" s="1" t="s">
        <v>133</v>
      </c>
      <c r="Q8711" s="1" t="s">
        <v>134</v>
      </c>
      <c r="R8711" s="1" t="s">
        <v>43</v>
      </c>
      <c r="S8711" s="1" t="s">
        <v>44</v>
      </c>
      <c r="T8711" s="1" t="s">
        <v>135</v>
      </c>
      <c r="U8711" s="2" t="s">
        <v>881</v>
      </c>
      <c r="V8711" s="2" t="s">
        <v>36</v>
      </c>
      <c r="W8711" s="2" t="s">
        <v>142</v>
      </c>
      <c r="X8711" s="2">
        <v>509.07499999999999</v>
      </c>
    </row>
    <row r="8712" spans="1:24" x14ac:dyDescent="0.3">
      <c r="A8712">
        <v>356</v>
      </c>
      <c r="B8712" t="s">
        <v>15957</v>
      </c>
      <c r="C8712" s="3">
        <v>41877</v>
      </c>
      <c r="D8712" t="s">
        <v>62</v>
      </c>
      <c r="E8712">
        <v>42</v>
      </c>
      <c r="F8712" s="3">
        <f ca="1">41879+(RANDBETWEEN(1,10))</f>
        <v>41889</v>
      </c>
      <c r="G8712" t="s">
        <v>26</v>
      </c>
      <c r="H8712" t="s">
        <v>27</v>
      </c>
      <c r="I8712" t="s">
        <v>28</v>
      </c>
      <c r="J8712">
        <v>25403.84</v>
      </c>
      <c r="K8712">
        <v>0.06</v>
      </c>
      <c r="L8712">
        <v>0.56000000000000005</v>
      </c>
      <c r="M8712">
        <v>18.41</v>
      </c>
      <c r="N8712">
        <v>2226.105</v>
      </c>
      <c r="O8712" s="1" t="s">
        <v>40</v>
      </c>
      <c r="P8712" s="1" t="s">
        <v>7742</v>
      </c>
      <c r="Q8712" s="1" t="s">
        <v>7743</v>
      </c>
      <c r="R8712" s="1" t="s">
        <v>43</v>
      </c>
      <c r="S8712" s="1" t="s">
        <v>44</v>
      </c>
      <c r="T8712" s="1" t="s">
        <v>7744</v>
      </c>
      <c r="U8712" s="2" t="s">
        <v>1881</v>
      </c>
      <c r="V8712" s="2" t="s">
        <v>36</v>
      </c>
      <c r="W8712" s="2" t="s">
        <v>37</v>
      </c>
      <c r="X8712" s="2">
        <v>720.96500000000003</v>
      </c>
    </row>
    <row r="8713" spans="1:24" x14ac:dyDescent="0.3">
      <c r="A8713">
        <v>3571</v>
      </c>
      <c r="B8713" t="s">
        <v>15958</v>
      </c>
      <c r="C8713" s="3">
        <v>41926</v>
      </c>
      <c r="D8713" t="s">
        <v>39</v>
      </c>
      <c r="E8713">
        <v>76</v>
      </c>
      <c r="F8713" s="3">
        <f ca="1">41928+(RANDBETWEEN(1,10))</f>
        <v>41937</v>
      </c>
      <c r="G8713" t="s">
        <v>76</v>
      </c>
      <c r="H8713" t="s">
        <v>77</v>
      </c>
      <c r="I8713" t="s">
        <v>28</v>
      </c>
      <c r="J8713">
        <v>127863.61</v>
      </c>
      <c r="K8713">
        <v>0.05</v>
      </c>
      <c r="L8713">
        <v>0.38</v>
      </c>
      <c r="M8713">
        <v>98.49</v>
      </c>
      <c r="N8713">
        <v>26020.68</v>
      </c>
      <c r="O8713" s="1" t="s">
        <v>40</v>
      </c>
      <c r="P8713" s="1" t="s">
        <v>41</v>
      </c>
      <c r="Q8713" s="1" t="s">
        <v>42</v>
      </c>
      <c r="R8713" s="1" t="s">
        <v>43</v>
      </c>
      <c r="S8713" s="1" t="s">
        <v>44</v>
      </c>
      <c r="T8713" s="1" t="s">
        <v>45</v>
      </c>
      <c r="U8713" s="2" t="s">
        <v>720</v>
      </c>
      <c r="V8713" s="2" t="s">
        <v>36</v>
      </c>
      <c r="W8713" s="2" t="s">
        <v>142</v>
      </c>
      <c r="X8713" s="2">
        <v>1753.43</v>
      </c>
    </row>
    <row r="8714" spans="1:24" x14ac:dyDescent="0.3">
      <c r="A8714">
        <v>3572</v>
      </c>
      <c r="B8714" t="s">
        <v>15958</v>
      </c>
      <c r="C8714" s="3">
        <v>41926</v>
      </c>
      <c r="D8714" t="s">
        <v>39</v>
      </c>
      <c r="E8714">
        <v>42</v>
      </c>
      <c r="F8714" s="3">
        <f ca="1">41929+(RANDBETWEEN(1,10))</f>
        <v>41939</v>
      </c>
      <c r="G8714" t="s">
        <v>26</v>
      </c>
      <c r="H8714" t="s">
        <v>27</v>
      </c>
      <c r="I8714" t="s">
        <v>28</v>
      </c>
      <c r="J8714">
        <v>5838.2449999999999</v>
      </c>
      <c r="K8714">
        <v>0.08</v>
      </c>
      <c r="L8714">
        <v>0.36</v>
      </c>
      <c r="M8714">
        <v>61.18</v>
      </c>
      <c r="N8714">
        <v>236.63499999999999</v>
      </c>
      <c r="O8714" s="1" t="s">
        <v>40</v>
      </c>
      <c r="P8714" s="1" t="s">
        <v>41</v>
      </c>
      <c r="Q8714" s="1" t="s">
        <v>42</v>
      </c>
      <c r="R8714" s="1" t="s">
        <v>43</v>
      </c>
      <c r="S8714" s="1" t="s">
        <v>44</v>
      </c>
      <c r="T8714" s="1" t="s">
        <v>45</v>
      </c>
      <c r="U8714" s="2" t="s">
        <v>1688</v>
      </c>
      <c r="V8714" s="2" t="s">
        <v>47</v>
      </c>
      <c r="W8714" s="2" t="s">
        <v>74</v>
      </c>
      <c r="X8714" s="2">
        <v>143.465</v>
      </c>
    </row>
    <row r="8715" spans="1:24" x14ac:dyDescent="0.3">
      <c r="A8715">
        <v>3584</v>
      </c>
      <c r="B8715" t="s">
        <v>15959</v>
      </c>
      <c r="C8715" s="3">
        <v>41829</v>
      </c>
      <c r="D8715" t="s">
        <v>39</v>
      </c>
      <c r="E8715">
        <v>38</v>
      </c>
      <c r="F8715" s="3">
        <f ca="1">41831+(RANDBETWEEN(1,10))</f>
        <v>41834</v>
      </c>
      <c r="G8715" t="s">
        <v>26</v>
      </c>
      <c r="H8715" t="s">
        <v>27</v>
      </c>
      <c r="I8715" t="s">
        <v>86</v>
      </c>
      <c r="J8715">
        <v>1533</v>
      </c>
      <c r="K8715">
        <v>0.09</v>
      </c>
      <c r="L8715">
        <v>0.38</v>
      </c>
      <c r="M8715">
        <v>22.645</v>
      </c>
      <c r="N8715">
        <v>-65.309650000000005</v>
      </c>
      <c r="O8715" s="1" t="s">
        <v>64</v>
      </c>
      <c r="P8715" s="1" t="s">
        <v>15960</v>
      </c>
      <c r="Q8715" s="1" t="s">
        <v>15961</v>
      </c>
      <c r="R8715" s="1" t="s">
        <v>67</v>
      </c>
      <c r="S8715" s="1" t="s">
        <v>254</v>
      </c>
      <c r="T8715" s="1" t="s">
        <v>15962</v>
      </c>
      <c r="U8715" s="2" t="s">
        <v>2420</v>
      </c>
      <c r="V8715" s="2" t="s">
        <v>47</v>
      </c>
      <c r="W8715" s="2" t="s">
        <v>74</v>
      </c>
      <c r="X8715" s="2">
        <v>42.98</v>
      </c>
    </row>
    <row r="8716" spans="1:24" x14ac:dyDescent="0.3">
      <c r="A8716">
        <v>3600</v>
      </c>
      <c r="B8716" t="s">
        <v>15963</v>
      </c>
      <c r="C8716" s="3">
        <v>41290</v>
      </c>
      <c r="D8716" t="s">
        <v>62</v>
      </c>
      <c r="E8716">
        <v>13</v>
      </c>
      <c r="F8716" s="3">
        <f ca="1">41290+(RANDBETWEEN(1,10))</f>
        <v>41292</v>
      </c>
      <c r="G8716" t="s">
        <v>26</v>
      </c>
      <c r="H8716" t="s">
        <v>27</v>
      </c>
      <c r="I8716" t="s">
        <v>86</v>
      </c>
      <c r="J8716">
        <v>173.005</v>
      </c>
      <c r="K8716">
        <v>0.02</v>
      </c>
      <c r="L8716">
        <v>0.38</v>
      </c>
      <c r="M8716">
        <v>1.75</v>
      </c>
      <c r="N8716">
        <v>21.588000000000001</v>
      </c>
      <c r="O8716" s="1" t="s">
        <v>40</v>
      </c>
      <c r="P8716" s="1" t="s">
        <v>78</v>
      </c>
      <c r="Q8716" s="1" t="s">
        <v>79</v>
      </c>
      <c r="R8716" s="1" t="s">
        <v>43</v>
      </c>
      <c r="S8716" s="1" t="s">
        <v>80</v>
      </c>
      <c r="T8716" s="1" t="s">
        <v>81</v>
      </c>
      <c r="U8716" s="2" t="s">
        <v>312</v>
      </c>
      <c r="V8716" s="2" t="s">
        <v>47</v>
      </c>
      <c r="W8716" s="2" t="s">
        <v>203</v>
      </c>
      <c r="X8716" s="2">
        <v>12.914999999999999</v>
      </c>
    </row>
    <row r="8717" spans="1:24" x14ac:dyDescent="0.3">
      <c r="A8717">
        <v>3601</v>
      </c>
      <c r="B8717" t="s">
        <v>15964</v>
      </c>
      <c r="C8717" s="3">
        <v>41390</v>
      </c>
      <c r="D8717" t="s">
        <v>25</v>
      </c>
      <c r="E8717">
        <v>52</v>
      </c>
      <c r="F8717" s="3">
        <f ca="1">41390+(RANDBETWEEN(1,10))</f>
        <v>41394</v>
      </c>
      <c r="G8717" t="s">
        <v>26</v>
      </c>
      <c r="H8717" t="s">
        <v>51</v>
      </c>
      <c r="I8717" t="s">
        <v>52</v>
      </c>
      <c r="J8717">
        <v>1583.61</v>
      </c>
      <c r="K8717">
        <v>0.02</v>
      </c>
      <c r="L8717">
        <v>0.61</v>
      </c>
      <c r="M8717">
        <v>12.67</v>
      </c>
      <c r="N8717">
        <v>-174.5625</v>
      </c>
      <c r="O8717" s="1" t="s">
        <v>225</v>
      </c>
      <c r="P8717" s="1" t="s">
        <v>347</v>
      </c>
      <c r="Q8717" s="1" t="s">
        <v>348</v>
      </c>
      <c r="R8717" s="1" t="s">
        <v>228</v>
      </c>
      <c r="S8717" s="1" t="s">
        <v>349</v>
      </c>
      <c r="T8717" s="1" t="s">
        <v>350</v>
      </c>
      <c r="U8717" s="2" t="s">
        <v>1117</v>
      </c>
      <c r="V8717" s="2" t="s">
        <v>36</v>
      </c>
      <c r="W8717" s="2" t="s">
        <v>60</v>
      </c>
      <c r="X8717" s="2">
        <v>29.61</v>
      </c>
    </row>
    <row r="8718" spans="1:24" x14ac:dyDescent="0.3">
      <c r="A8718">
        <v>3618</v>
      </c>
      <c r="B8718" t="s">
        <v>15965</v>
      </c>
      <c r="C8718" s="3">
        <v>41035</v>
      </c>
      <c r="D8718" t="s">
        <v>25</v>
      </c>
      <c r="E8718">
        <v>7</v>
      </c>
      <c r="F8718" s="3">
        <f ca="1">41035+(RANDBETWEEN(1,10))</f>
        <v>41036</v>
      </c>
      <c r="G8718" t="s">
        <v>26</v>
      </c>
      <c r="H8718" t="s">
        <v>27</v>
      </c>
      <c r="I8718" t="s">
        <v>52</v>
      </c>
      <c r="J8718">
        <v>124.18</v>
      </c>
      <c r="K8718">
        <v>0.1</v>
      </c>
      <c r="L8718">
        <v>0.6</v>
      </c>
      <c r="M8718">
        <v>24.114999999999998</v>
      </c>
      <c r="N8718">
        <v>-74.515000000000001</v>
      </c>
      <c r="O8718" s="1" t="s">
        <v>40</v>
      </c>
      <c r="P8718" s="1" t="s">
        <v>15864</v>
      </c>
      <c r="Q8718" s="1" t="s">
        <v>15865</v>
      </c>
      <c r="R8718" s="1" t="s">
        <v>43</v>
      </c>
      <c r="S8718" s="1" t="s">
        <v>44</v>
      </c>
      <c r="T8718" s="1" t="s">
        <v>15866</v>
      </c>
      <c r="U8718" s="2" t="s">
        <v>3815</v>
      </c>
      <c r="V8718" s="2" t="s">
        <v>47</v>
      </c>
      <c r="W8718" s="2" t="s">
        <v>71</v>
      </c>
      <c r="X8718" s="2">
        <v>14.21</v>
      </c>
    </row>
    <row r="8719" spans="1:24" x14ac:dyDescent="0.3">
      <c r="A8719">
        <v>3619</v>
      </c>
      <c r="B8719" t="s">
        <v>15965</v>
      </c>
      <c r="C8719" s="3">
        <v>41035</v>
      </c>
      <c r="D8719" t="s">
        <v>25</v>
      </c>
      <c r="E8719">
        <v>16</v>
      </c>
      <c r="F8719" s="3">
        <f ca="1">41040+(RANDBETWEEN(1,10))</f>
        <v>41048</v>
      </c>
      <c r="G8719" t="s">
        <v>26</v>
      </c>
      <c r="H8719" t="s">
        <v>27</v>
      </c>
      <c r="I8719" t="s">
        <v>52</v>
      </c>
      <c r="J8719">
        <v>909.09</v>
      </c>
      <c r="K8719">
        <v>0.05</v>
      </c>
      <c r="L8719">
        <v>0.36</v>
      </c>
      <c r="M8719">
        <v>38.185000000000002</v>
      </c>
      <c r="N8719">
        <v>-130.85274999999999</v>
      </c>
      <c r="O8719" s="1" t="s">
        <v>40</v>
      </c>
      <c r="P8719" s="1" t="s">
        <v>15864</v>
      </c>
      <c r="Q8719" s="1" t="s">
        <v>15865</v>
      </c>
      <c r="R8719" s="1" t="s">
        <v>43</v>
      </c>
      <c r="S8719" s="1" t="s">
        <v>44</v>
      </c>
      <c r="T8719" s="1" t="s">
        <v>15866</v>
      </c>
      <c r="U8719" s="2" t="s">
        <v>5084</v>
      </c>
      <c r="V8719" s="2" t="s">
        <v>47</v>
      </c>
      <c r="W8719" s="2" t="s">
        <v>111</v>
      </c>
      <c r="X8719" s="2">
        <v>53.48</v>
      </c>
    </row>
    <row r="8720" spans="1:24" x14ac:dyDescent="0.3">
      <c r="A8720">
        <v>3640</v>
      </c>
      <c r="B8720" t="s">
        <v>15966</v>
      </c>
      <c r="C8720" s="3">
        <v>41896</v>
      </c>
      <c r="D8720" t="s">
        <v>62</v>
      </c>
      <c r="E8720">
        <v>36</v>
      </c>
      <c r="F8720" s="3">
        <f ca="1">41898+(RANDBETWEEN(1,10))</f>
        <v>41907</v>
      </c>
      <c r="G8720" t="s">
        <v>26</v>
      </c>
      <c r="H8720" t="s">
        <v>281</v>
      </c>
      <c r="I8720" t="s">
        <v>52</v>
      </c>
      <c r="J8720">
        <v>2435.7199999999998</v>
      </c>
      <c r="K8720">
        <v>0</v>
      </c>
      <c r="L8720">
        <v>0.57999999999999996</v>
      </c>
      <c r="M8720">
        <v>16.835000000000001</v>
      </c>
      <c r="N8720">
        <v>-27.181000000000001</v>
      </c>
      <c r="O8720" s="1" t="s">
        <v>64</v>
      </c>
      <c r="P8720" s="1" t="s">
        <v>328</v>
      </c>
      <c r="Q8720" s="1" t="s">
        <v>329</v>
      </c>
      <c r="R8720" s="1" t="s">
        <v>128</v>
      </c>
      <c r="S8720" s="1" t="s">
        <v>129</v>
      </c>
      <c r="T8720" s="1" t="s">
        <v>330</v>
      </c>
      <c r="U8720" s="2" t="s">
        <v>1890</v>
      </c>
      <c r="V8720" s="2" t="s">
        <v>36</v>
      </c>
      <c r="W8720" s="2" t="s">
        <v>37</v>
      </c>
      <c r="X8720" s="2">
        <v>73.465000000000003</v>
      </c>
    </row>
    <row r="8721" spans="1:24" x14ac:dyDescent="0.3">
      <c r="A8721">
        <v>3660</v>
      </c>
      <c r="B8721" t="s">
        <v>15967</v>
      </c>
      <c r="C8721" s="3">
        <v>41598</v>
      </c>
      <c r="D8721" t="s">
        <v>148</v>
      </c>
      <c r="E8721">
        <v>65</v>
      </c>
      <c r="F8721" s="3">
        <f ca="1">41599+(RANDBETWEEN(1,10))</f>
        <v>41606</v>
      </c>
      <c r="G8721" t="s">
        <v>156</v>
      </c>
      <c r="H8721" t="s">
        <v>27</v>
      </c>
      <c r="I8721" t="s">
        <v>86</v>
      </c>
      <c r="J8721">
        <v>3660.125</v>
      </c>
      <c r="K8721">
        <v>0.1</v>
      </c>
      <c r="L8721">
        <v>0.4</v>
      </c>
      <c r="M8721">
        <v>4.8650000000000002</v>
      </c>
      <c r="N8721">
        <v>448.59500000000003</v>
      </c>
      <c r="O8721" s="1" t="s">
        <v>87</v>
      </c>
      <c r="P8721" s="1" t="s">
        <v>10867</v>
      </c>
      <c r="Q8721" s="1" t="s">
        <v>10868</v>
      </c>
      <c r="R8721" s="1" t="s">
        <v>398</v>
      </c>
      <c r="S8721" s="1" t="s">
        <v>3179</v>
      </c>
      <c r="T8721" s="1" t="s">
        <v>10869</v>
      </c>
      <c r="U8721" s="2" t="s">
        <v>1095</v>
      </c>
      <c r="V8721" s="2" t="s">
        <v>47</v>
      </c>
      <c r="W8721" s="2" t="s">
        <v>48</v>
      </c>
      <c r="X8721" s="2">
        <v>55.09</v>
      </c>
    </row>
    <row r="8722" spans="1:24" x14ac:dyDescent="0.3">
      <c r="A8722">
        <v>3661</v>
      </c>
      <c r="B8722" t="s">
        <v>15967</v>
      </c>
      <c r="C8722" s="3">
        <v>41598</v>
      </c>
      <c r="D8722" t="s">
        <v>148</v>
      </c>
      <c r="E8722">
        <v>139</v>
      </c>
      <c r="F8722" s="3">
        <f ca="1">41599+(RANDBETWEEN(1,10))</f>
        <v>41607</v>
      </c>
      <c r="G8722" t="s">
        <v>26</v>
      </c>
      <c r="H8722" t="s">
        <v>27</v>
      </c>
      <c r="I8722" t="s">
        <v>86</v>
      </c>
      <c r="J8722">
        <v>22560.44</v>
      </c>
      <c r="K8722">
        <v>0.08</v>
      </c>
      <c r="L8722">
        <v>0.44</v>
      </c>
      <c r="M8722">
        <v>23.695</v>
      </c>
      <c r="N8722">
        <v>3047.8</v>
      </c>
      <c r="O8722" s="1" t="s">
        <v>87</v>
      </c>
      <c r="P8722" s="1" t="s">
        <v>10867</v>
      </c>
      <c r="Q8722" s="1" t="s">
        <v>10868</v>
      </c>
      <c r="R8722" s="1" t="s">
        <v>398</v>
      </c>
      <c r="S8722" s="1" t="s">
        <v>3179</v>
      </c>
      <c r="T8722" s="1" t="s">
        <v>10869</v>
      </c>
      <c r="U8722" s="2" t="s">
        <v>4573</v>
      </c>
      <c r="V8722" s="2" t="s">
        <v>83</v>
      </c>
      <c r="W8722" s="2" t="s">
        <v>178</v>
      </c>
      <c r="X8722" s="2">
        <v>164.29</v>
      </c>
    </row>
    <row r="8723" spans="1:24" x14ac:dyDescent="0.3">
      <c r="A8723">
        <v>3667</v>
      </c>
      <c r="B8723" t="s">
        <v>15968</v>
      </c>
      <c r="C8723" s="3">
        <v>41802</v>
      </c>
      <c r="D8723" t="s">
        <v>50</v>
      </c>
      <c r="E8723">
        <v>62</v>
      </c>
      <c r="F8723" s="3">
        <f ca="1">41803+(RANDBETWEEN(1,10))</f>
        <v>41807</v>
      </c>
      <c r="G8723" t="s">
        <v>26</v>
      </c>
      <c r="H8723" t="s">
        <v>96</v>
      </c>
      <c r="I8723" t="s">
        <v>28</v>
      </c>
      <c r="J8723">
        <v>1999.7249999999999</v>
      </c>
      <c r="K8723">
        <v>0.06</v>
      </c>
      <c r="L8723">
        <v>0.4</v>
      </c>
      <c r="M8723">
        <v>7.5250000000000004</v>
      </c>
      <c r="N8723">
        <v>427.21</v>
      </c>
      <c r="O8723" s="1" t="s">
        <v>40</v>
      </c>
      <c r="P8723" s="1" t="s">
        <v>15969</v>
      </c>
      <c r="Q8723" s="1" t="s">
        <v>15970</v>
      </c>
      <c r="R8723" s="1" t="s">
        <v>43</v>
      </c>
      <c r="S8723" s="1" t="s">
        <v>44</v>
      </c>
      <c r="T8723" s="1" t="s">
        <v>15971</v>
      </c>
      <c r="U8723" s="2" t="s">
        <v>4359</v>
      </c>
      <c r="V8723" s="2" t="s">
        <v>47</v>
      </c>
      <c r="W8723" s="2" t="s">
        <v>74</v>
      </c>
      <c r="X8723" s="2">
        <v>31.885000000000002</v>
      </c>
    </row>
    <row r="8724" spans="1:24" x14ac:dyDescent="0.3">
      <c r="A8724">
        <v>3684</v>
      </c>
      <c r="B8724" t="s">
        <v>15972</v>
      </c>
      <c r="C8724" s="3">
        <v>40834</v>
      </c>
      <c r="D8724" t="s">
        <v>25</v>
      </c>
      <c r="E8724">
        <v>43</v>
      </c>
      <c r="F8724" s="3">
        <f ca="1">40843+(RANDBETWEEN(1,10))</f>
        <v>40852</v>
      </c>
      <c r="G8724" t="s">
        <v>26</v>
      </c>
      <c r="H8724" t="s">
        <v>27</v>
      </c>
      <c r="I8724" t="s">
        <v>97</v>
      </c>
      <c r="J8724">
        <v>1663.97</v>
      </c>
      <c r="K8724">
        <v>0.02</v>
      </c>
      <c r="L8724">
        <v>0.4</v>
      </c>
      <c r="M8724">
        <v>40.564999999999998</v>
      </c>
      <c r="N8724">
        <v>-599.05195000000003</v>
      </c>
      <c r="O8724" s="1" t="s">
        <v>64</v>
      </c>
      <c r="P8724" s="1" t="s">
        <v>252</v>
      </c>
      <c r="Q8724" s="1" t="s">
        <v>253</v>
      </c>
      <c r="R8724" s="1" t="s">
        <v>67</v>
      </c>
      <c r="S8724" s="1" t="s">
        <v>254</v>
      </c>
      <c r="T8724" s="1" t="s">
        <v>255</v>
      </c>
      <c r="U8724" s="2" t="s">
        <v>4430</v>
      </c>
      <c r="V8724" s="2" t="s">
        <v>47</v>
      </c>
      <c r="W8724" s="2" t="s">
        <v>74</v>
      </c>
      <c r="X8724" s="2">
        <v>34.965000000000003</v>
      </c>
    </row>
    <row r="8725" spans="1:24" x14ac:dyDescent="0.3">
      <c r="A8725">
        <v>3685</v>
      </c>
      <c r="B8725" t="s">
        <v>15972</v>
      </c>
      <c r="C8725" s="3">
        <v>40834</v>
      </c>
      <c r="D8725" t="s">
        <v>25</v>
      </c>
      <c r="E8725">
        <v>74</v>
      </c>
      <c r="F8725" s="3">
        <f ca="1">40839+(RANDBETWEEN(1,10))</f>
        <v>40842</v>
      </c>
      <c r="G8725" t="s">
        <v>26</v>
      </c>
      <c r="H8725" t="s">
        <v>27</v>
      </c>
      <c r="I8725" t="s">
        <v>97</v>
      </c>
      <c r="J8725">
        <v>12595.87</v>
      </c>
      <c r="K8725">
        <v>0.02</v>
      </c>
      <c r="L8725">
        <v>0.37</v>
      </c>
      <c r="M8725">
        <v>20.265000000000001</v>
      </c>
      <c r="N8725">
        <v>2184.8364999999999</v>
      </c>
      <c r="O8725" s="1" t="s">
        <v>64</v>
      </c>
      <c r="P8725" s="1" t="s">
        <v>252</v>
      </c>
      <c r="Q8725" s="1" t="s">
        <v>253</v>
      </c>
      <c r="R8725" s="1" t="s">
        <v>67</v>
      </c>
      <c r="S8725" s="1" t="s">
        <v>254</v>
      </c>
      <c r="T8725" s="1" t="s">
        <v>255</v>
      </c>
      <c r="U8725" s="2" t="s">
        <v>8002</v>
      </c>
      <c r="V8725" s="2" t="s">
        <v>47</v>
      </c>
      <c r="W8725" s="2" t="s">
        <v>74</v>
      </c>
      <c r="X8725" s="2">
        <v>168.14</v>
      </c>
    </row>
    <row r="8726" spans="1:24" x14ac:dyDescent="0.3">
      <c r="A8726">
        <v>3686</v>
      </c>
      <c r="B8726" t="s">
        <v>15972</v>
      </c>
      <c r="C8726" s="3">
        <v>40834</v>
      </c>
      <c r="D8726" t="s">
        <v>25</v>
      </c>
      <c r="E8726">
        <v>5</v>
      </c>
      <c r="F8726" s="3">
        <f ca="1">40841+(RANDBETWEEN(1,10))</f>
        <v>40848</v>
      </c>
      <c r="G8726" t="s">
        <v>26</v>
      </c>
      <c r="H8726" t="s">
        <v>27</v>
      </c>
      <c r="I8726" t="s">
        <v>97</v>
      </c>
      <c r="J8726">
        <v>144.27000000000001</v>
      </c>
      <c r="K8726">
        <v>0.04</v>
      </c>
      <c r="L8726">
        <v>0.37</v>
      </c>
      <c r="M8726">
        <v>17.184999999999999</v>
      </c>
      <c r="N8726">
        <v>-50.134349999999998</v>
      </c>
      <c r="O8726" s="1" t="s">
        <v>64</v>
      </c>
      <c r="P8726" s="1" t="s">
        <v>252</v>
      </c>
      <c r="Q8726" s="1" t="s">
        <v>253</v>
      </c>
      <c r="R8726" s="1" t="s">
        <v>67</v>
      </c>
      <c r="S8726" s="1" t="s">
        <v>254</v>
      </c>
      <c r="T8726" s="1" t="s">
        <v>255</v>
      </c>
      <c r="U8726" s="2" t="s">
        <v>9164</v>
      </c>
      <c r="V8726" s="2" t="s">
        <v>47</v>
      </c>
      <c r="W8726" s="2" t="s">
        <v>74</v>
      </c>
      <c r="X8726" s="2">
        <v>23.38</v>
      </c>
    </row>
    <row r="8727" spans="1:24" x14ac:dyDescent="0.3">
      <c r="A8727">
        <v>3688</v>
      </c>
      <c r="B8727" t="s">
        <v>15973</v>
      </c>
      <c r="C8727" s="3">
        <v>41494</v>
      </c>
      <c r="D8727" t="s">
        <v>50</v>
      </c>
      <c r="E8727">
        <v>24</v>
      </c>
      <c r="F8727" s="3">
        <f ca="1">41496+(RANDBETWEEN(1,10))</f>
        <v>41504</v>
      </c>
      <c r="G8727" t="s">
        <v>26</v>
      </c>
      <c r="H8727" t="s">
        <v>27</v>
      </c>
      <c r="I8727" t="s">
        <v>97</v>
      </c>
      <c r="J8727">
        <v>1891.61</v>
      </c>
      <c r="K8727">
        <v>0.08</v>
      </c>
      <c r="L8727">
        <v>0.39</v>
      </c>
      <c r="M8727">
        <v>19.145</v>
      </c>
      <c r="N8727">
        <v>182.07</v>
      </c>
      <c r="O8727" s="1" t="s">
        <v>40</v>
      </c>
      <c r="P8727" s="1" t="s">
        <v>15893</v>
      </c>
      <c r="Q8727" s="1" t="s">
        <v>15894</v>
      </c>
      <c r="R8727" s="1" t="s">
        <v>43</v>
      </c>
      <c r="S8727" s="1" t="s">
        <v>44</v>
      </c>
      <c r="T8727" s="1" t="s">
        <v>15895</v>
      </c>
      <c r="U8727" s="2" t="s">
        <v>1861</v>
      </c>
      <c r="V8727" s="2" t="s">
        <v>47</v>
      </c>
      <c r="W8727" s="2" t="s">
        <v>74</v>
      </c>
      <c r="X8727" s="2">
        <v>79.94</v>
      </c>
    </row>
    <row r="8728" spans="1:24" x14ac:dyDescent="0.3">
      <c r="A8728">
        <v>3689</v>
      </c>
      <c r="B8728" t="s">
        <v>15973</v>
      </c>
      <c r="C8728" s="3">
        <v>41494</v>
      </c>
      <c r="D8728" t="s">
        <v>50</v>
      </c>
      <c r="E8728">
        <v>39</v>
      </c>
      <c r="F8728" s="3">
        <f ca="1">41496+(RANDBETWEEN(1,10))</f>
        <v>41497</v>
      </c>
      <c r="G8728" t="s">
        <v>156</v>
      </c>
      <c r="H8728" t="s">
        <v>27</v>
      </c>
      <c r="I8728" t="s">
        <v>97</v>
      </c>
      <c r="J8728">
        <v>4506.3549999999996</v>
      </c>
      <c r="K8728">
        <v>0.09</v>
      </c>
      <c r="L8728">
        <v>0.6</v>
      </c>
      <c r="M8728">
        <v>19.215</v>
      </c>
      <c r="N8728">
        <v>223.405</v>
      </c>
      <c r="O8728" s="1" t="s">
        <v>40</v>
      </c>
      <c r="P8728" s="1" t="s">
        <v>15893</v>
      </c>
      <c r="Q8728" s="1" t="s">
        <v>15894</v>
      </c>
      <c r="R8728" s="1" t="s">
        <v>43</v>
      </c>
      <c r="S8728" s="1" t="s">
        <v>44</v>
      </c>
      <c r="T8728" s="1" t="s">
        <v>15895</v>
      </c>
      <c r="U8728" s="2" t="s">
        <v>2651</v>
      </c>
      <c r="V8728" s="2" t="s">
        <v>47</v>
      </c>
      <c r="W8728" s="2" t="s">
        <v>119</v>
      </c>
      <c r="X8728" s="2">
        <v>121.66</v>
      </c>
    </row>
    <row r="8729" spans="1:24" x14ac:dyDescent="0.3">
      <c r="A8729">
        <v>3691</v>
      </c>
      <c r="B8729" t="s">
        <v>15974</v>
      </c>
      <c r="C8729" s="3">
        <v>41112</v>
      </c>
      <c r="D8729" t="s">
        <v>148</v>
      </c>
      <c r="E8729">
        <v>8</v>
      </c>
      <c r="F8729" s="3">
        <f ca="1">41115+(RANDBETWEEN(1,10))</f>
        <v>41121</v>
      </c>
      <c r="G8729" t="s">
        <v>26</v>
      </c>
      <c r="H8729" t="s">
        <v>27</v>
      </c>
      <c r="I8729" t="s">
        <v>86</v>
      </c>
      <c r="J8729">
        <v>1140.335</v>
      </c>
      <c r="K8729">
        <v>0.08</v>
      </c>
      <c r="L8729">
        <v>0.56999999999999995</v>
      </c>
      <c r="M8729">
        <v>18.655000000000001</v>
      </c>
      <c r="N8729">
        <v>8.0500000000000007</v>
      </c>
      <c r="O8729" s="1" t="s">
        <v>87</v>
      </c>
      <c r="P8729" s="1" t="s">
        <v>3177</v>
      </c>
      <c r="Q8729" s="1" t="s">
        <v>3178</v>
      </c>
      <c r="R8729" s="1" t="s">
        <v>398</v>
      </c>
      <c r="S8729" s="1" t="s">
        <v>3179</v>
      </c>
      <c r="T8729" s="1" t="s">
        <v>3180</v>
      </c>
      <c r="U8729" s="2" t="s">
        <v>1712</v>
      </c>
      <c r="V8729" s="2" t="s">
        <v>47</v>
      </c>
      <c r="W8729" s="2" t="s">
        <v>71</v>
      </c>
      <c r="X8729" s="2">
        <v>143.43</v>
      </c>
    </row>
    <row r="8730" spans="1:24" x14ac:dyDescent="0.3">
      <c r="A8730">
        <v>3694</v>
      </c>
      <c r="B8730" t="s">
        <v>15975</v>
      </c>
      <c r="C8730" s="3">
        <v>41376</v>
      </c>
      <c r="D8730" t="s">
        <v>50</v>
      </c>
      <c r="E8730">
        <v>45</v>
      </c>
      <c r="F8730" s="3">
        <f ca="1">41379+(RANDBETWEEN(1,10))</f>
        <v>41384</v>
      </c>
      <c r="G8730" t="s">
        <v>26</v>
      </c>
      <c r="H8730" t="s">
        <v>27</v>
      </c>
      <c r="I8730" t="s">
        <v>97</v>
      </c>
      <c r="J8730">
        <v>659.36500000000001</v>
      </c>
      <c r="K8730">
        <v>0.09</v>
      </c>
      <c r="L8730">
        <v>0.35</v>
      </c>
      <c r="M8730">
        <v>18.934999999999999</v>
      </c>
      <c r="N8730">
        <v>-470.03949999999998</v>
      </c>
      <c r="O8730" s="1" t="s">
        <v>64</v>
      </c>
      <c r="P8730" s="1" t="s">
        <v>233</v>
      </c>
      <c r="Q8730" s="1" t="s">
        <v>234</v>
      </c>
      <c r="R8730" s="1" t="s">
        <v>67</v>
      </c>
      <c r="S8730" s="1" t="s">
        <v>68</v>
      </c>
      <c r="T8730" s="1" t="s">
        <v>235</v>
      </c>
      <c r="U8730" s="2" t="s">
        <v>231</v>
      </c>
      <c r="V8730" s="2" t="s">
        <v>47</v>
      </c>
      <c r="W8730" s="2" t="s">
        <v>111</v>
      </c>
      <c r="X8730" s="2">
        <v>14.84</v>
      </c>
    </row>
    <row r="8731" spans="1:24" x14ac:dyDescent="0.3">
      <c r="A8731">
        <v>370</v>
      </c>
      <c r="B8731" t="s">
        <v>15976</v>
      </c>
      <c r="C8731" s="3">
        <v>41231</v>
      </c>
      <c r="D8731" t="s">
        <v>50</v>
      </c>
      <c r="E8731">
        <v>41</v>
      </c>
      <c r="F8731" s="3">
        <f ca="1">41232+(RANDBETWEEN(1,10))</f>
        <v>41236</v>
      </c>
      <c r="G8731" t="s">
        <v>26</v>
      </c>
      <c r="H8731" t="s">
        <v>27</v>
      </c>
      <c r="I8731" t="s">
        <v>86</v>
      </c>
      <c r="J8731">
        <v>379.92500000000001</v>
      </c>
      <c r="K8731">
        <v>0.04</v>
      </c>
      <c r="L8731">
        <v>0.39</v>
      </c>
      <c r="M8731">
        <v>1.75</v>
      </c>
      <c r="N8731">
        <v>29.19</v>
      </c>
      <c r="O8731" s="1" t="s">
        <v>40</v>
      </c>
      <c r="P8731" s="1" t="s">
        <v>7320</v>
      </c>
      <c r="Q8731" s="1" t="s">
        <v>7321</v>
      </c>
      <c r="R8731" s="1" t="s">
        <v>43</v>
      </c>
      <c r="S8731" s="1" t="s">
        <v>44</v>
      </c>
      <c r="T8731" s="1" t="s">
        <v>7322</v>
      </c>
      <c r="U8731" s="2" t="s">
        <v>1726</v>
      </c>
      <c r="V8731" s="2" t="s">
        <v>47</v>
      </c>
      <c r="W8731" s="2" t="s">
        <v>203</v>
      </c>
      <c r="X8731" s="2">
        <v>9.1349999999999998</v>
      </c>
    </row>
    <row r="8732" spans="1:24" x14ac:dyDescent="0.3">
      <c r="A8732">
        <v>3702</v>
      </c>
      <c r="B8732" t="s">
        <v>15977</v>
      </c>
      <c r="C8732" s="3">
        <v>41532</v>
      </c>
      <c r="D8732" t="s">
        <v>148</v>
      </c>
      <c r="E8732">
        <v>74</v>
      </c>
      <c r="F8732" s="3">
        <f ca="1">41533+(RANDBETWEEN(1,10))</f>
        <v>41536</v>
      </c>
      <c r="G8732" t="s">
        <v>26</v>
      </c>
      <c r="H8732" t="s">
        <v>27</v>
      </c>
      <c r="I8732" t="s">
        <v>28</v>
      </c>
      <c r="J8732">
        <v>8389.08</v>
      </c>
      <c r="K8732">
        <v>0</v>
      </c>
      <c r="L8732">
        <v>0.64</v>
      </c>
      <c r="M8732">
        <v>22.75</v>
      </c>
      <c r="N8732">
        <v>264.25</v>
      </c>
      <c r="O8732" s="1" t="s">
        <v>64</v>
      </c>
      <c r="P8732" s="1" t="s">
        <v>15978</v>
      </c>
      <c r="Q8732" s="1" t="s">
        <v>15979</v>
      </c>
      <c r="R8732" s="1" t="s">
        <v>128</v>
      </c>
      <c r="S8732" s="1" t="s">
        <v>129</v>
      </c>
      <c r="T8732" s="1" t="s">
        <v>15980</v>
      </c>
      <c r="U8732" s="2" t="s">
        <v>2033</v>
      </c>
      <c r="V8732" s="2" t="s">
        <v>36</v>
      </c>
      <c r="W8732" s="2" t="s">
        <v>60</v>
      </c>
      <c r="X8732" s="2">
        <v>108.43</v>
      </c>
    </row>
    <row r="8733" spans="1:24" x14ac:dyDescent="0.3">
      <c r="A8733">
        <v>3703</v>
      </c>
      <c r="B8733" t="s">
        <v>15977</v>
      </c>
      <c r="C8733" s="3">
        <v>41532</v>
      </c>
      <c r="D8733" t="s">
        <v>148</v>
      </c>
      <c r="E8733">
        <v>72</v>
      </c>
      <c r="F8733" s="3">
        <f ca="1">41532+(RANDBETWEEN(1,10))</f>
        <v>41542</v>
      </c>
      <c r="G8733" t="s">
        <v>26</v>
      </c>
      <c r="H8733" t="s">
        <v>27</v>
      </c>
      <c r="I8733" t="s">
        <v>28</v>
      </c>
      <c r="J8733">
        <v>1157.345</v>
      </c>
      <c r="K8733">
        <v>0.04</v>
      </c>
      <c r="L8733">
        <v>0.4</v>
      </c>
      <c r="M8733">
        <v>20.09</v>
      </c>
      <c r="N8733">
        <v>-400.22500000000002</v>
      </c>
      <c r="O8733" s="1" t="s">
        <v>64</v>
      </c>
      <c r="P8733" s="1" t="s">
        <v>15978</v>
      </c>
      <c r="Q8733" s="1" t="s">
        <v>15979</v>
      </c>
      <c r="R8733" s="1" t="s">
        <v>128</v>
      </c>
      <c r="S8733" s="1" t="s">
        <v>129</v>
      </c>
      <c r="T8733" s="1" t="s">
        <v>15980</v>
      </c>
      <c r="U8733" s="2" t="s">
        <v>6105</v>
      </c>
      <c r="V8733" s="2" t="s">
        <v>47</v>
      </c>
      <c r="W8733" s="2" t="s">
        <v>74</v>
      </c>
      <c r="X8733" s="2">
        <v>14.98</v>
      </c>
    </row>
    <row r="8734" spans="1:24" x14ac:dyDescent="0.3">
      <c r="A8734">
        <v>3704</v>
      </c>
      <c r="B8734" t="s">
        <v>15977</v>
      </c>
      <c r="C8734" s="3">
        <v>41532</v>
      </c>
      <c r="D8734" t="s">
        <v>148</v>
      </c>
      <c r="E8734">
        <v>45</v>
      </c>
      <c r="F8734" s="3">
        <f ca="1">41534+(RANDBETWEEN(1,10))</f>
        <v>41536</v>
      </c>
      <c r="G8734" t="s">
        <v>26</v>
      </c>
      <c r="H8734" t="s">
        <v>27</v>
      </c>
      <c r="I8734" t="s">
        <v>28</v>
      </c>
      <c r="J8734">
        <v>8059.52</v>
      </c>
      <c r="K8734">
        <v>0.1</v>
      </c>
      <c r="L8734">
        <v>0.57999999999999996</v>
      </c>
      <c r="M8734">
        <v>17.465</v>
      </c>
      <c r="N8734">
        <v>187.7715</v>
      </c>
      <c r="O8734" s="1" t="s">
        <v>64</v>
      </c>
      <c r="P8734" s="1" t="s">
        <v>15978</v>
      </c>
      <c r="Q8734" s="1" t="s">
        <v>15979</v>
      </c>
      <c r="R8734" s="1" t="s">
        <v>128</v>
      </c>
      <c r="S8734" s="1" t="s">
        <v>129</v>
      </c>
      <c r="T8734" s="1" t="s">
        <v>15980</v>
      </c>
      <c r="U8734" s="2" t="s">
        <v>9193</v>
      </c>
      <c r="V8734" s="2" t="s">
        <v>36</v>
      </c>
      <c r="W8734" s="2" t="s">
        <v>37</v>
      </c>
      <c r="X8734" s="2">
        <v>230.965</v>
      </c>
    </row>
    <row r="8735" spans="1:24" x14ac:dyDescent="0.3">
      <c r="A8735">
        <v>371</v>
      </c>
      <c r="B8735" t="s">
        <v>15976</v>
      </c>
      <c r="C8735" s="3">
        <v>41231</v>
      </c>
      <c r="D8735" t="s">
        <v>50</v>
      </c>
      <c r="E8735">
        <v>112</v>
      </c>
      <c r="F8735" s="3">
        <f ca="1">41232+(RANDBETWEEN(1,10))</f>
        <v>41239</v>
      </c>
      <c r="G8735" t="s">
        <v>26</v>
      </c>
      <c r="H8735" t="s">
        <v>96</v>
      </c>
      <c r="I8735" t="s">
        <v>86</v>
      </c>
      <c r="J8735">
        <v>2471.3850000000002</v>
      </c>
      <c r="K8735">
        <v>0.01</v>
      </c>
      <c r="L8735">
        <v>0.6</v>
      </c>
      <c r="M8735">
        <v>3.36</v>
      </c>
      <c r="N8735">
        <v>161.035</v>
      </c>
      <c r="O8735" s="1" t="s">
        <v>40</v>
      </c>
      <c r="P8735" s="1" t="s">
        <v>7320</v>
      </c>
      <c r="Q8735" s="1" t="s">
        <v>7321</v>
      </c>
      <c r="R8735" s="1" t="s">
        <v>43</v>
      </c>
      <c r="S8735" s="1" t="s">
        <v>44</v>
      </c>
      <c r="T8735" s="1" t="s">
        <v>7322</v>
      </c>
      <c r="U8735" s="2" t="s">
        <v>1918</v>
      </c>
      <c r="V8735" s="2" t="s">
        <v>47</v>
      </c>
      <c r="W8735" s="2" t="s">
        <v>104</v>
      </c>
      <c r="X8735" s="2">
        <v>20.93</v>
      </c>
    </row>
    <row r="8736" spans="1:24" x14ac:dyDescent="0.3">
      <c r="A8736">
        <v>3730</v>
      </c>
      <c r="B8736" t="s">
        <v>15981</v>
      </c>
      <c r="C8736" s="3">
        <v>41716</v>
      </c>
      <c r="D8736" t="s">
        <v>148</v>
      </c>
      <c r="E8736">
        <v>1</v>
      </c>
      <c r="F8736" s="3">
        <f ca="1">41716+(RANDBETWEEN(1,10))</f>
        <v>41722</v>
      </c>
      <c r="G8736" t="s">
        <v>26</v>
      </c>
      <c r="H8736" t="s">
        <v>96</v>
      </c>
      <c r="I8736" t="s">
        <v>97</v>
      </c>
      <c r="J8736">
        <v>35.805</v>
      </c>
      <c r="K8736">
        <v>0.1</v>
      </c>
      <c r="L8736">
        <v>0.39</v>
      </c>
      <c r="M8736">
        <v>7.0350000000000001</v>
      </c>
      <c r="N8736">
        <v>-14.77</v>
      </c>
      <c r="O8736" s="1" t="s">
        <v>64</v>
      </c>
      <c r="P8736" s="1" t="s">
        <v>15875</v>
      </c>
      <c r="Q8736" s="1" t="s">
        <v>15876</v>
      </c>
      <c r="R8736" s="1" t="s">
        <v>128</v>
      </c>
      <c r="S8736" s="1" t="s">
        <v>129</v>
      </c>
      <c r="T8736" s="1" t="s">
        <v>278</v>
      </c>
      <c r="U8736" s="2" t="s">
        <v>7728</v>
      </c>
      <c r="V8736" s="2" t="s">
        <v>47</v>
      </c>
      <c r="W8736" s="2" t="s">
        <v>74</v>
      </c>
      <c r="X8736" s="2">
        <v>31.324999999999999</v>
      </c>
    </row>
    <row r="8737" spans="1:24" x14ac:dyDescent="0.3">
      <c r="A8737">
        <v>3737</v>
      </c>
      <c r="B8737" t="s">
        <v>15982</v>
      </c>
      <c r="C8737" s="3">
        <v>41066</v>
      </c>
      <c r="D8737" t="s">
        <v>50</v>
      </c>
      <c r="E8737">
        <v>65</v>
      </c>
      <c r="F8737" s="3">
        <f ca="1">41068+(RANDBETWEEN(1,10))</f>
        <v>41072</v>
      </c>
      <c r="G8737" t="s">
        <v>26</v>
      </c>
      <c r="H8737" t="s">
        <v>96</v>
      </c>
      <c r="I8737" t="s">
        <v>28</v>
      </c>
      <c r="J8737">
        <v>1942.2550000000001</v>
      </c>
      <c r="K8737">
        <v>0.01</v>
      </c>
      <c r="L8737">
        <v>0.35</v>
      </c>
      <c r="M8737">
        <v>5.0049999999999999</v>
      </c>
      <c r="N8737">
        <v>571.97</v>
      </c>
      <c r="O8737" s="1" t="s">
        <v>64</v>
      </c>
      <c r="P8737" s="1" t="s">
        <v>15978</v>
      </c>
      <c r="Q8737" s="1" t="s">
        <v>15979</v>
      </c>
      <c r="R8737" s="1" t="s">
        <v>128</v>
      </c>
      <c r="S8737" s="1" t="s">
        <v>129</v>
      </c>
      <c r="T8737" s="1" t="s">
        <v>15980</v>
      </c>
      <c r="U8737" s="2" t="s">
        <v>2263</v>
      </c>
      <c r="V8737" s="2" t="s">
        <v>47</v>
      </c>
      <c r="W8737" s="2" t="s">
        <v>74</v>
      </c>
      <c r="X8737" s="2">
        <v>29.19</v>
      </c>
    </row>
    <row r="8738" spans="1:24" x14ac:dyDescent="0.3">
      <c r="A8738">
        <v>3743</v>
      </c>
      <c r="B8738" t="s">
        <v>15983</v>
      </c>
      <c r="C8738" s="3">
        <v>41769</v>
      </c>
      <c r="D8738" t="s">
        <v>148</v>
      </c>
      <c r="E8738">
        <v>33</v>
      </c>
      <c r="F8738" s="3">
        <f ca="1">41769+(RANDBETWEEN(1,10))</f>
        <v>41779</v>
      </c>
      <c r="G8738" t="s">
        <v>26</v>
      </c>
      <c r="H8738" t="s">
        <v>27</v>
      </c>
      <c r="I8738" t="s">
        <v>97</v>
      </c>
      <c r="J8738">
        <v>3544.73</v>
      </c>
      <c r="K8738">
        <v>7.0000000000000007E-2</v>
      </c>
      <c r="L8738">
        <v>0.74</v>
      </c>
      <c r="M8738">
        <v>14</v>
      </c>
      <c r="N8738">
        <v>-103.46</v>
      </c>
      <c r="O8738" s="1" t="s">
        <v>40</v>
      </c>
      <c r="P8738" s="1" t="s">
        <v>355</v>
      </c>
      <c r="Q8738" s="1" t="s">
        <v>356</v>
      </c>
      <c r="R8738" s="1" t="s">
        <v>220</v>
      </c>
      <c r="S8738" s="1" t="s">
        <v>221</v>
      </c>
      <c r="T8738" s="1" t="s">
        <v>357</v>
      </c>
      <c r="U8738" s="2" t="s">
        <v>2704</v>
      </c>
      <c r="V8738" s="2" t="s">
        <v>36</v>
      </c>
      <c r="W8738" s="2" t="s">
        <v>60</v>
      </c>
      <c r="X8738" s="2">
        <v>108.395</v>
      </c>
    </row>
    <row r="8739" spans="1:24" x14ac:dyDescent="0.3">
      <c r="A8739">
        <v>3744</v>
      </c>
      <c r="B8739" t="s">
        <v>15983</v>
      </c>
      <c r="C8739" s="3">
        <v>41769</v>
      </c>
      <c r="D8739" t="s">
        <v>148</v>
      </c>
      <c r="E8739">
        <v>52</v>
      </c>
      <c r="F8739" s="3">
        <f ca="1">41771+(RANDBETWEEN(1,10))</f>
        <v>41777</v>
      </c>
      <c r="G8739" t="s">
        <v>26</v>
      </c>
      <c r="H8739" t="s">
        <v>27</v>
      </c>
      <c r="I8739" t="s">
        <v>97</v>
      </c>
      <c r="J8739">
        <v>1155.21</v>
      </c>
      <c r="K8739">
        <v>0.09</v>
      </c>
      <c r="L8739">
        <v>0.37</v>
      </c>
      <c r="M8739">
        <v>21.77</v>
      </c>
      <c r="N8739">
        <v>-363.19499999999999</v>
      </c>
      <c r="O8739" s="1" t="s">
        <v>40</v>
      </c>
      <c r="P8739" s="1" t="s">
        <v>355</v>
      </c>
      <c r="Q8739" s="1" t="s">
        <v>356</v>
      </c>
      <c r="R8739" s="1" t="s">
        <v>220</v>
      </c>
      <c r="S8739" s="1" t="s">
        <v>221</v>
      </c>
      <c r="T8739" s="1" t="s">
        <v>357</v>
      </c>
      <c r="U8739" s="2" t="s">
        <v>4158</v>
      </c>
      <c r="V8739" s="2" t="s">
        <v>47</v>
      </c>
      <c r="W8739" s="2" t="s">
        <v>74</v>
      </c>
      <c r="X8739" s="2">
        <v>22.68</v>
      </c>
    </row>
    <row r="8740" spans="1:24" x14ac:dyDescent="0.3">
      <c r="A8740">
        <v>3745</v>
      </c>
      <c r="B8740" t="s">
        <v>15983</v>
      </c>
      <c r="C8740" s="3">
        <v>41769</v>
      </c>
      <c r="D8740" t="s">
        <v>148</v>
      </c>
      <c r="E8740">
        <v>26</v>
      </c>
      <c r="F8740" s="3">
        <f ca="1">41771+(RANDBETWEEN(1,10))</f>
        <v>41778</v>
      </c>
      <c r="G8740" t="s">
        <v>26</v>
      </c>
      <c r="H8740" t="s">
        <v>27</v>
      </c>
      <c r="I8740" t="s">
        <v>97</v>
      </c>
      <c r="J8740">
        <v>581.94500000000005</v>
      </c>
      <c r="K8740">
        <v>7.0000000000000007E-2</v>
      </c>
      <c r="L8740">
        <v>0.37</v>
      </c>
      <c r="M8740">
        <v>25.795000000000002</v>
      </c>
      <c r="N8740">
        <v>-281.435</v>
      </c>
      <c r="O8740" s="1" t="s">
        <v>40</v>
      </c>
      <c r="P8740" s="1" t="s">
        <v>355</v>
      </c>
      <c r="Q8740" s="1" t="s">
        <v>356</v>
      </c>
      <c r="R8740" s="1" t="s">
        <v>220</v>
      </c>
      <c r="S8740" s="1" t="s">
        <v>221</v>
      </c>
      <c r="T8740" s="1" t="s">
        <v>357</v>
      </c>
      <c r="U8740" s="2" t="s">
        <v>2975</v>
      </c>
      <c r="V8740" s="2" t="s">
        <v>47</v>
      </c>
      <c r="W8740" s="2" t="s">
        <v>74</v>
      </c>
      <c r="X8740" s="2">
        <v>22.68</v>
      </c>
    </row>
    <row r="8741" spans="1:24" x14ac:dyDescent="0.3">
      <c r="A8741">
        <v>3749</v>
      </c>
      <c r="B8741" t="s">
        <v>15984</v>
      </c>
      <c r="C8741" s="3">
        <v>41113</v>
      </c>
      <c r="D8741" t="s">
        <v>62</v>
      </c>
      <c r="E8741">
        <v>14</v>
      </c>
      <c r="F8741" s="3">
        <f ca="1">41114+(RANDBETWEEN(1,10))</f>
        <v>41117</v>
      </c>
      <c r="G8741" t="s">
        <v>76</v>
      </c>
      <c r="H8741" t="s">
        <v>77</v>
      </c>
      <c r="I8741" t="s">
        <v>52</v>
      </c>
      <c r="J8741">
        <v>5990.04</v>
      </c>
      <c r="K8741">
        <v>0.02</v>
      </c>
      <c r="L8741">
        <v>0.64</v>
      </c>
      <c r="M8741">
        <v>105</v>
      </c>
      <c r="N8741">
        <v>-224.49</v>
      </c>
      <c r="O8741" s="1" t="s">
        <v>64</v>
      </c>
      <c r="P8741" s="1" t="s">
        <v>183</v>
      </c>
      <c r="Q8741" s="1" t="s">
        <v>184</v>
      </c>
      <c r="R8741" s="1" t="s">
        <v>128</v>
      </c>
      <c r="S8741" s="1" t="s">
        <v>129</v>
      </c>
      <c r="T8741" s="1" t="s">
        <v>185</v>
      </c>
      <c r="U8741" s="2" t="s">
        <v>2044</v>
      </c>
      <c r="V8741" s="2" t="s">
        <v>83</v>
      </c>
      <c r="W8741" s="2" t="s">
        <v>84</v>
      </c>
      <c r="X8741" s="2">
        <v>423.43</v>
      </c>
    </row>
    <row r="8742" spans="1:24" x14ac:dyDescent="0.3">
      <c r="A8742">
        <v>3750</v>
      </c>
      <c r="B8742" t="s">
        <v>15985</v>
      </c>
      <c r="C8742" s="3">
        <v>41843</v>
      </c>
      <c r="D8742" t="s">
        <v>62</v>
      </c>
      <c r="E8742">
        <v>46</v>
      </c>
      <c r="F8742" s="3">
        <f ca="1">41844+(RANDBETWEEN(1,10))</f>
        <v>41845</v>
      </c>
      <c r="G8742" t="s">
        <v>26</v>
      </c>
      <c r="H8742" t="s">
        <v>281</v>
      </c>
      <c r="I8742" t="s">
        <v>52</v>
      </c>
      <c r="J8742">
        <v>2147.7750000000001</v>
      </c>
      <c r="K8742">
        <v>0.09</v>
      </c>
      <c r="L8742">
        <v>0.39</v>
      </c>
      <c r="M8742">
        <v>26.285</v>
      </c>
      <c r="N8742">
        <v>-132.79245</v>
      </c>
      <c r="O8742" s="1" t="s">
        <v>64</v>
      </c>
      <c r="P8742" s="1" t="s">
        <v>183</v>
      </c>
      <c r="Q8742" s="1" t="s">
        <v>184</v>
      </c>
      <c r="R8742" s="1" t="s">
        <v>128</v>
      </c>
      <c r="S8742" s="1" t="s">
        <v>129</v>
      </c>
      <c r="T8742" s="1" t="s">
        <v>185</v>
      </c>
      <c r="U8742" s="2" t="s">
        <v>1079</v>
      </c>
      <c r="V8742" s="2" t="s">
        <v>36</v>
      </c>
      <c r="W8742" s="2" t="s">
        <v>142</v>
      </c>
      <c r="X8742" s="2">
        <v>48.965000000000003</v>
      </c>
    </row>
    <row r="8743" spans="1:24" x14ac:dyDescent="0.3">
      <c r="A8743">
        <v>3754</v>
      </c>
      <c r="B8743" t="s">
        <v>15986</v>
      </c>
      <c r="C8743" s="3">
        <v>41647</v>
      </c>
      <c r="D8743" t="s">
        <v>50</v>
      </c>
      <c r="E8743">
        <v>25</v>
      </c>
      <c r="F8743" s="3">
        <f ca="1">41648+(RANDBETWEEN(1,10))</f>
        <v>41658</v>
      </c>
      <c r="G8743" t="s">
        <v>26</v>
      </c>
      <c r="H8743" t="s">
        <v>27</v>
      </c>
      <c r="I8743" t="s">
        <v>86</v>
      </c>
      <c r="J8743">
        <v>771.68</v>
      </c>
      <c r="K8743">
        <v>0.05</v>
      </c>
      <c r="L8743">
        <v>0.36</v>
      </c>
      <c r="M8743">
        <v>19.600000000000001</v>
      </c>
      <c r="N8743">
        <v>-90.684055000000001</v>
      </c>
      <c r="O8743" s="1" t="s">
        <v>225</v>
      </c>
      <c r="P8743" s="1" t="s">
        <v>15987</v>
      </c>
      <c r="Q8743" s="1" t="s">
        <v>15988</v>
      </c>
      <c r="R8743" s="1" t="s">
        <v>228</v>
      </c>
      <c r="S8743" s="1" t="s">
        <v>349</v>
      </c>
      <c r="T8743" s="1" t="s">
        <v>350</v>
      </c>
      <c r="U8743" s="2" t="s">
        <v>3792</v>
      </c>
      <c r="V8743" s="2" t="s">
        <v>47</v>
      </c>
      <c r="W8743" s="2" t="s">
        <v>111</v>
      </c>
      <c r="X8743" s="2">
        <v>30.975000000000001</v>
      </c>
    </row>
    <row r="8744" spans="1:24" x14ac:dyDescent="0.3">
      <c r="A8744">
        <v>3755</v>
      </c>
      <c r="B8744" t="s">
        <v>15986</v>
      </c>
      <c r="C8744" s="3">
        <v>41647</v>
      </c>
      <c r="D8744" t="s">
        <v>50</v>
      </c>
      <c r="E8744">
        <v>6</v>
      </c>
      <c r="F8744" s="3">
        <f ca="1">41649+(RANDBETWEEN(1,10))</f>
        <v>41655</v>
      </c>
      <c r="G8744" t="s">
        <v>156</v>
      </c>
      <c r="H8744" t="s">
        <v>27</v>
      </c>
      <c r="I8744" t="s">
        <v>86</v>
      </c>
      <c r="J8744">
        <v>329.245</v>
      </c>
      <c r="K8744">
        <v>0.01</v>
      </c>
      <c r="L8744">
        <v>0.57999999999999996</v>
      </c>
      <c r="M8744">
        <v>17.43</v>
      </c>
      <c r="N8744">
        <v>-24.0198</v>
      </c>
      <c r="O8744" s="1" t="s">
        <v>225</v>
      </c>
      <c r="P8744" s="1" t="s">
        <v>15987</v>
      </c>
      <c r="Q8744" s="1" t="s">
        <v>15988</v>
      </c>
      <c r="R8744" s="1" t="s">
        <v>228</v>
      </c>
      <c r="S8744" s="1" t="s">
        <v>349</v>
      </c>
      <c r="T8744" s="1" t="s">
        <v>350</v>
      </c>
      <c r="U8744" s="2" t="s">
        <v>5213</v>
      </c>
      <c r="V8744" s="2" t="s">
        <v>47</v>
      </c>
      <c r="W8744" s="2" t="s">
        <v>71</v>
      </c>
      <c r="X8744" s="2">
        <v>41.895000000000003</v>
      </c>
    </row>
    <row r="8745" spans="1:24" x14ac:dyDescent="0.3">
      <c r="A8745">
        <v>3756</v>
      </c>
      <c r="B8745" t="s">
        <v>15986</v>
      </c>
      <c r="C8745" s="3">
        <v>41647</v>
      </c>
      <c r="D8745" t="s">
        <v>50</v>
      </c>
      <c r="E8745">
        <v>40</v>
      </c>
      <c r="F8745" s="3">
        <f ca="1">41648+(RANDBETWEEN(1,10))</f>
        <v>41652</v>
      </c>
      <c r="G8745" t="s">
        <v>26</v>
      </c>
      <c r="H8745" t="s">
        <v>27</v>
      </c>
      <c r="I8745" t="s">
        <v>86</v>
      </c>
      <c r="J8745">
        <v>977.44500000000005</v>
      </c>
      <c r="K8745">
        <v>0.1</v>
      </c>
      <c r="L8745">
        <v>0.38</v>
      </c>
      <c r="M8745">
        <v>27.02</v>
      </c>
      <c r="N8745">
        <v>-755.02238</v>
      </c>
      <c r="O8745" s="1" t="s">
        <v>225</v>
      </c>
      <c r="P8745" s="1" t="s">
        <v>15987</v>
      </c>
      <c r="Q8745" s="1" t="s">
        <v>15988</v>
      </c>
      <c r="R8745" s="1" t="s">
        <v>228</v>
      </c>
      <c r="S8745" s="1" t="s">
        <v>349</v>
      </c>
      <c r="T8745" s="1" t="s">
        <v>350</v>
      </c>
      <c r="U8745" s="2" t="s">
        <v>823</v>
      </c>
      <c r="V8745" s="2" t="s">
        <v>47</v>
      </c>
      <c r="W8745" s="2" t="s">
        <v>111</v>
      </c>
      <c r="X8745" s="2">
        <v>25.55</v>
      </c>
    </row>
    <row r="8746" spans="1:24" x14ac:dyDescent="0.3">
      <c r="A8746">
        <v>3757</v>
      </c>
      <c r="B8746" t="s">
        <v>15989</v>
      </c>
      <c r="C8746" s="3">
        <v>41479</v>
      </c>
      <c r="D8746" t="s">
        <v>39</v>
      </c>
      <c r="E8746">
        <v>59</v>
      </c>
      <c r="F8746" s="3">
        <f ca="1">41481+(RANDBETWEEN(1,10))</f>
        <v>41488</v>
      </c>
      <c r="G8746" t="s">
        <v>26</v>
      </c>
      <c r="H8746" t="s">
        <v>51</v>
      </c>
      <c r="I8746" t="s">
        <v>28</v>
      </c>
      <c r="J8746">
        <v>345.59</v>
      </c>
      <c r="K8746">
        <v>7.0000000000000007E-2</v>
      </c>
      <c r="L8746">
        <v>0.51</v>
      </c>
      <c r="M8746">
        <v>6.9649999999999999</v>
      </c>
      <c r="N8746">
        <v>-206.04499999999999</v>
      </c>
      <c r="O8746" s="1" t="s">
        <v>64</v>
      </c>
      <c r="P8746" s="1" t="s">
        <v>15990</v>
      </c>
      <c r="Q8746" s="1" t="s">
        <v>15991</v>
      </c>
      <c r="R8746" s="1" t="s">
        <v>128</v>
      </c>
      <c r="S8746" s="1" t="s">
        <v>129</v>
      </c>
      <c r="T8746" s="1" t="s">
        <v>15992</v>
      </c>
      <c r="U8746" s="2" t="s">
        <v>6841</v>
      </c>
      <c r="V8746" s="2" t="s">
        <v>36</v>
      </c>
      <c r="W8746" s="2" t="s">
        <v>60</v>
      </c>
      <c r="X8746" s="2">
        <v>5.95</v>
      </c>
    </row>
    <row r="8747" spans="1:24" x14ac:dyDescent="0.3">
      <c r="A8747">
        <v>3763</v>
      </c>
      <c r="B8747" t="s">
        <v>15993</v>
      </c>
      <c r="C8747" s="3">
        <v>41409</v>
      </c>
      <c r="D8747" t="s">
        <v>62</v>
      </c>
      <c r="E8747">
        <v>60</v>
      </c>
      <c r="F8747" s="3">
        <f ca="1">41410+(RANDBETWEEN(1,10))</f>
        <v>41414</v>
      </c>
      <c r="G8747" t="s">
        <v>156</v>
      </c>
      <c r="H8747" t="s">
        <v>27</v>
      </c>
      <c r="I8747" t="s">
        <v>86</v>
      </c>
      <c r="J8747">
        <v>9050.8950000000004</v>
      </c>
      <c r="K8747">
        <v>0.08</v>
      </c>
      <c r="L8747">
        <v>0.56000000000000005</v>
      </c>
      <c r="M8747">
        <v>16.170000000000002</v>
      </c>
      <c r="N8747">
        <v>1615.7750000000001</v>
      </c>
      <c r="O8747" s="1" t="s">
        <v>40</v>
      </c>
      <c r="P8747" s="1" t="s">
        <v>209</v>
      </c>
      <c r="Q8747" s="1" t="s">
        <v>210</v>
      </c>
      <c r="R8747" s="1" t="s">
        <v>43</v>
      </c>
      <c r="S8747" s="1" t="s">
        <v>44</v>
      </c>
      <c r="T8747" s="1" t="s">
        <v>211</v>
      </c>
      <c r="U8747" s="2" t="s">
        <v>5674</v>
      </c>
      <c r="V8747" s="2" t="s">
        <v>47</v>
      </c>
      <c r="W8747" s="2" t="s">
        <v>71</v>
      </c>
      <c r="X8747" s="2">
        <v>150.43</v>
      </c>
    </row>
    <row r="8748" spans="1:24" x14ac:dyDescent="0.3">
      <c r="A8748">
        <v>3764</v>
      </c>
      <c r="B8748" t="s">
        <v>15993</v>
      </c>
      <c r="C8748" s="3">
        <v>41409</v>
      </c>
      <c r="D8748" t="s">
        <v>62</v>
      </c>
      <c r="E8748">
        <v>36</v>
      </c>
      <c r="F8748" s="3">
        <f ca="1">41409+(RANDBETWEEN(1,10))</f>
        <v>41412</v>
      </c>
      <c r="G8748" t="s">
        <v>156</v>
      </c>
      <c r="H8748" t="s">
        <v>27</v>
      </c>
      <c r="I8748" t="s">
        <v>86</v>
      </c>
      <c r="J8748">
        <v>1061.9000000000001</v>
      </c>
      <c r="K8748">
        <v>7.0000000000000007E-2</v>
      </c>
      <c r="L8748">
        <v>0.4</v>
      </c>
      <c r="M8748">
        <v>31.29</v>
      </c>
      <c r="N8748">
        <v>-409.86574999999999</v>
      </c>
      <c r="O8748" s="1" t="s">
        <v>40</v>
      </c>
      <c r="P8748" s="1" t="s">
        <v>209</v>
      </c>
      <c r="Q8748" s="1" t="s">
        <v>210</v>
      </c>
      <c r="R8748" s="1" t="s">
        <v>43</v>
      </c>
      <c r="S8748" s="1" t="s">
        <v>44</v>
      </c>
      <c r="T8748" s="1" t="s">
        <v>211</v>
      </c>
      <c r="U8748" s="2" t="s">
        <v>2966</v>
      </c>
      <c r="V8748" s="2" t="s">
        <v>47</v>
      </c>
      <c r="W8748" s="2" t="s">
        <v>111</v>
      </c>
      <c r="X8748" s="2">
        <v>28.14</v>
      </c>
    </row>
    <row r="8749" spans="1:24" x14ac:dyDescent="0.3">
      <c r="A8749">
        <v>3787</v>
      </c>
      <c r="B8749" t="s">
        <v>15994</v>
      </c>
      <c r="C8749" s="3">
        <v>41881</v>
      </c>
      <c r="D8749" t="s">
        <v>148</v>
      </c>
      <c r="E8749">
        <v>26</v>
      </c>
      <c r="F8749" s="3">
        <f ca="1">41881+(RANDBETWEEN(1,10))</f>
        <v>41888</v>
      </c>
      <c r="G8749" t="s">
        <v>26</v>
      </c>
      <c r="H8749" t="s">
        <v>51</v>
      </c>
      <c r="I8749" t="s">
        <v>97</v>
      </c>
      <c r="J8749">
        <v>4223.415</v>
      </c>
      <c r="K8749">
        <v>0.08</v>
      </c>
      <c r="L8749">
        <v>0.35</v>
      </c>
      <c r="M8749">
        <v>4.375</v>
      </c>
      <c r="N8749">
        <v>500.44049999999999</v>
      </c>
      <c r="O8749" s="1" t="s">
        <v>64</v>
      </c>
      <c r="P8749" s="1" t="s">
        <v>189</v>
      </c>
      <c r="Q8749" s="1" t="s">
        <v>190</v>
      </c>
      <c r="R8749" s="1" t="s">
        <v>67</v>
      </c>
      <c r="S8749" s="1" t="s">
        <v>108</v>
      </c>
      <c r="T8749" s="1" t="s">
        <v>191</v>
      </c>
      <c r="U8749" s="2" t="s">
        <v>2368</v>
      </c>
      <c r="V8749" s="2" t="s">
        <v>36</v>
      </c>
      <c r="W8749" s="2" t="s">
        <v>37</v>
      </c>
      <c r="X8749" s="2">
        <v>195.965</v>
      </c>
    </row>
    <row r="8750" spans="1:24" x14ac:dyDescent="0.3">
      <c r="A8750">
        <v>3788</v>
      </c>
      <c r="B8750" t="s">
        <v>15994</v>
      </c>
      <c r="C8750" s="3">
        <v>41881</v>
      </c>
      <c r="D8750" t="s">
        <v>148</v>
      </c>
      <c r="E8750">
        <v>88</v>
      </c>
      <c r="F8750" s="3">
        <f ca="1">41882+(RANDBETWEEN(1,10))</f>
        <v>41883</v>
      </c>
      <c r="G8750" t="s">
        <v>26</v>
      </c>
      <c r="H8750" t="s">
        <v>27</v>
      </c>
      <c r="I8750" t="s">
        <v>97</v>
      </c>
      <c r="J8750">
        <v>5393.71</v>
      </c>
      <c r="K8750">
        <v>0.04</v>
      </c>
      <c r="L8750">
        <v>0.57999999999999996</v>
      </c>
      <c r="M8750">
        <v>21.875</v>
      </c>
      <c r="N8750">
        <v>105.595</v>
      </c>
      <c r="O8750" s="1" t="s">
        <v>64</v>
      </c>
      <c r="P8750" s="1" t="s">
        <v>189</v>
      </c>
      <c r="Q8750" s="1" t="s">
        <v>190</v>
      </c>
      <c r="R8750" s="1" t="s">
        <v>67</v>
      </c>
      <c r="S8750" s="1" t="s">
        <v>108</v>
      </c>
      <c r="T8750" s="1" t="s">
        <v>191</v>
      </c>
      <c r="U8750" s="2" t="s">
        <v>306</v>
      </c>
      <c r="V8750" s="2" t="s">
        <v>47</v>
      </c>
      <c r="W8750" s="2" t="s">
        <v>119</v>
      </c>
      <c r="X8750" s="2">
        <v>59.185000000000002</v>
      </c>
    </row>
    <row r="8751" spans="1:24" x14ac:dyDescent="0.3">
      <c r="A8751">
        <v>3791</v>
      </c>
      <c r="B8751" t="s">
        <v>15995</v>
      </c>
      <c r="C8751" s="3">
        <v>40729</v>
      </c>
      <c r="D8751" t="s">
        <v>25</v>
      </c>
      <c r="E8751">
        <v>34</v>
      </c>
      <c r="F8751" s="3">
        <f ca="1">40733+(RANDBETWEEN(1,10))</f>
        <v>40735</v>
      </c>
      <c r="G8751" t="s">
        <v>26</v>
      </c>
      <c r="H8751" t="s">
        <v>63</v>
      </c>
      <c r="I8751" t="s">
        <v>97</v>
      </c>
      <c r="J8751">
        <v>9486.6450000000004</v>
      </c>
      <c r="K8751">
        <v>0.05</v>
      </c>
      <c r="L8751">
        <v>0.81</v>
      </c>
      <c r="M8751">
        <v>122.5</v>
      </c>
      <c r="N8751">
        <v>-2612.54</v>
      </c>
      <c r="O8751" s="1" t="s">
        <v>64</v>
      </c>
      <c r="P8751" s="1" t="s">
        <v>8714</v>
      </c>
      <c r="Q8751" s="1" t="s">
        <v>8715</v>
      </c>
      <c r="R8751" s="1" t="s">
        <v>128</v>
      </c>
      <c r="S8751" s="1" t="s">
        <v>129</v>
      </c>
      <c r="T8751" s="1" t="s">
        <v>8716</v>
      </c>
      <c r="U8751" s="2" t="s">
        <v>166</v>
      </c>
      <c r="V8751" s="2" t="s">
        <v>47</v>
      </c>
      <c r="W8751" s="2" t="s">
        <v>119</v>
      </c>
      <c r="X8751" s="2">
        <v>283.43</v>
      </c>
    </row>
    <row r="8752" spans="1:24" x14ac:dyDescent="0.3">
      <c r="A8752">
        <v>3792</v>
      </c>
      <c r="B8752" t="s">
        <v>15995</v>
      </c>
      <c r="C8752" s="3">
        <v>40729</v>
      </c>
      <c r="D8752" t="s">
        <v>25</v>
      </c>
      <c r="E8752">
        <v>31</v>
      </c>
      <c r="F8752" s="3">
        <f ca="1">40729+(RANDBETWEEN(1,10))</f>
        <v>40739</v>
      </c>
      <c r="G8752" t="s">
        <v>26</v>
      </c>
      <c r="H8752" t="s">
        <v>63</v>
      </c>
      <c r="I8752" t="s">
        <v>97</v>
      </c>
      <c r="J8752">
        <v>29241.555</v>
      </c>
      <c r="K8752">
        <v>0.05</v>
      </c>
      <c r="L8752">
        <v>0.8</v>
      </c>
      <c r="M8752">
        <v>122.5</v>
      </c>
      <c r="N8752">
        <v>-962.32500000000005</v>
      </c>
      <c r="O8752" s="1" t="s">
        <v>64</v>
      </c>
      <c r="P8752" s="1" t="s">
        <v>8714</v>
      </c>
      <c r="Q8752" s="1" t="s">
        <v>8715</v>
      </c>
      <c r="R8752" s="1" t="s">
        <v>128</v>
      </c>
      <c r="S8752" s="1" t="s">
        <v>129</v>
      </c>
      <c r="T8752" s="1" t="s">
        <v>8716</v>
      </c>
      <c r="U8752" s="2" t="s">
        <v>2645</v>
      </c>
      <c r="V8752" s="2" t="s">
        <v>47</v>
      </c>
      <c r="W8752" s="2" t="s">
        <v>119</v>
      </c>
      <c r="X8752" s="2">
        <v>978.18</v>
      </c>
    </row>
    <row r="8753" spans="1:24" x14ac:dyDescent="0.3">
      <c r="A8753">
        <v>3794</v>
      </c>
      <c r="B8753" t="s">
        <v>15996</v>
      </c>
      <c r="C8753" s="3">
        <v>41235</v>
      </c>
      <c r="D8753" t="s">
        <v>39</v>
      </c>
      <c r="E8753">
        <v>85</v>
      </c>
      <c r="F8753" s="3">
        <f ca="1">41236+(RANDBETWEEN(1,10))</f>
        <v>41239</v>
      </c>
      <c r="G8753" t="s">
        <v>26</v>
      </c>
      <c r="H8753" t="s">
        <v>63</v>
      </c>
      <c r="I8753" t="s">
        <v>52</v>
      </c>
      <c r="J8753">
        <v>169465.03</v>
      </c>
      <c r="K8753">
        <v>0.06</v>
      </c>
      <c r="L8753">
        <v>0.5</v>
      </c>
      <c r="M8753">
        <v>85.715000000000003</v>
      </c>
      <c r="N8753">
        <v>10950.415000000001</v>
      </c>
      <c r="O8753" s="1" t="s">
        <v>40</v>
      </c>
      <c r="P8753" s="1" t="s">
        <v>303</v>
      </c>
      <c r="Q8753" s="1" t="s">
        <v>304</v>
      </c>
      <c r="R8753" s="1" t="s">
        <v>43</v>
      </c>
      <c r="S8753" s="1" t="s">
        <v>44</v>
      </c>
      <c r="T8753" s="1" t="s">
        <v>305</v>
      </c>
      <c r="U8753" s="2" t="s">
        <v>5807</v>
      </c>
      <c r="V8753" s="2" t="s">
        <v>36</v>
      </c>
      <c r="W8753" s="2" t="s">
        <v>1327</v>
      </c>
      <c r="X8753" s="2">
        <v>2099.9650000000001</v>
      </c>
    </row>
    <row r="8754" spans="1:24" x14ac:dyDescent="0.3">
      <c r="A8754">
        <v>3795</v>
      </c>
      <c r="B8754" t="s">
        <v>15996</v>
      </c>
      <c r="C8754" s="3">
        <v>41235</v>
      </c>
      <c r="D8754" t="s">
        <v>39</v>
      </c>
      <c r="E8754">
        <v>129</v>
      </c>
      <c r="F8754" s="3">
        <f ca="1">41236+(RANDBETWEEN(1,10))</f>
        <v>41246</v>
      </c>
      <c r="G8754" t="s">
        <v>26</v>
      </c>
      <c r="H8754" t="s">
        <v>27</v>
      </c>
      <c r="I8754" t="s">
        <v>52</v>
      </c>
      <c r="J8754">
        <v>1989.085</v>
      </c>
      <c r="K8754">
        <v>0.05</v>
      </c>
      <c r="L8754">
        <v>0.4</v>
      </c>
      <c r="M8754">
        <v>23.52</v>
      </c>
      <c r="N8754">
        <v>-565.495</v>
      </c>
      <c r="O8754" s="1" t="s">
        <v>40</v>
      </c>
      <c r="P8754" s="1" t="s">
        <v>303</v>
      </c>
      <c r="Q8754" s="1" t="s">
        <v>304</v>
      </c>
      <c r="R8754" s="1" t="s">
        <v>43</v>
      </c>
      <c r="S8754" s="1" t="s">
        <v>44</v>
      </c>
      <c r="T8754" s="1" t="s">
        <v>305</v>
      </c>
      <c r="U8754" s="2" t="s">
        <v>2298</v>
      </c>
      <c r="V8754" s="2" t="s">
        <v>47</v>
      </c>
      <c r="W8754" s="2" t="s">
        <v>74</v>
      </c>
      <c r="X8754" s="2">
        <v>14.98</v>
      </c>
    </row>
    <row r="8755" spans="1:24" x14ac:dyDescent="0.3">
      <c r="A8755">
        <v>3796</v>
      </c>
      <c r="B8755" t="s">
        <v>15997</v>
      </c>
      <c r="C8755" s="3">
        <v>40983</v>
      </c>
      <c r="D8755" t="s">
        <v>62</v>
      </c>
      <c r="E8755">
        <v>11</v>
      </c>
      <c r="F8755" s="3">
        <f ca="1">40985+(RANDBETWEEN(1,10))</f>
        <v>40986</v>
      </c>
      <c r="G8755" t="s">
        <v>26</v>
      </c>
      <c r="H8755" t="s">
        <v>281</v>
      </c>
      <c r="I8755" t="s">
        <v>86</v>
      </c>
      <c r="J8755">
        <v>5645.2550000000001</v>
      </c>
      <c r="K8755">
        <v>0</v>
      </c>
      <c r="L8755">
        <v>0.37</v>
      </c>
      <c r="M8755">
        <v>48.965000000000003</v>
      </c>
      <c r="N8755">
        <v>753.33124999999995</v>
      </c>
      <c r="O8755" s="1" t="s">
        <v>64</v>
      </c>
      <c r="P8755" s="1" t="s">
        <v>15960</v>
      </c>
      <c r="Q8755" s="1" t="s">
        <v>15961</v>
      </c>
      <c r="R8755" s="1" t="s">
        <v>67</v>
      </c>
      <c r="S8755" s="1" t="s">
        <v>254</v>
      </c>
      <c r="T8755" s="1" t="s">
        <v>15962</v>
      </c>
      <c r="U8755" s="2" t="s">
        <v>7910</v>
      </c>
      <c r="V8755" s="2" t="s">
        <v>36</v>
      </c>
      <c r="W8755" s="2" t="s">
        <v>142</v>
      </c>
      <c r="X8755" s="2">
        <v>493.46499999999997</v>
      </c>
    </row>
    <row r="8756" spans="1:24" x14ac:dyDescent="0.3">
      <c r="A8756">
        <v>3810</v>
      </c>
      <c r="B8756" t="s">
        <v>15998</v>
      </c>
      <c r="C8756" s="3">
        <v>41789</v>
      </c>
      <c r="D8756" t="s">
        <v>39</v>
      </c>
      <c r="E8756">
        <v>40</v>
      </c>
      <c r="F8756" s="3">
        <f ca="1">41791+(RANDBETWEEN(1,10))</f>
        <v>41794</v>
      </c>
      <c r="G8756" t="s">
        <v>76</v>
      </c>
      <c r="H8756" t="s">
        <v>258</v>
      </c>
      <c r="I8756" t="s">
        <v>97</v>
      </c>
      <c r="J8756">
        <v>13440.945</v>
      </c>
      <c r="K8756">
        <v>7.0000000000000007E-2</v>
      </c>
      <c r="L8756">
        <v>0.62</v>
      </c>
      <c r="M8756">
        <v>125.44</v>
      </c>
      <c r="N8756">
        <v>-971.70500000000004</v>
      </c>
      <c r="O8756" s="1" t="s">
        <v>64</v>
      </c>
      <c r="P8756" s="1" t="s">
        <v>126</v>
      </c>
      <c r="Q8756" s="1" t="s">
        <v>127</v>
      </c>
      <c r="R8756" s="1" t="s">
        <v>128</v>
      </c>
      <c r="S8756" s="1" t="s">
        <v>129</v>
      </c>
      <c r="T8756" s="1" t="s">
        <v>130</v>
      </c>
      <c r="U8756" s="2" t="s">
        <v>1271</v>
      </c>
      <c r="V8756" s="2" t="s">
        <v>83</v>
      </c>
      <c r="W8756" s="2" t="s">
        <v>298</v>
      </c>
      <c r="X8756" s="2">
        <v>353.43</v>
      </c>
    </row>
    <row r="8757" spans="1:24" x14ac:dyDescent="0.3">
      <c r="A8757">
        <v>3811</v>
      </c>
      <c r="B8757" t="s">
        <v>15998</v>
      </c>
      <c r="C8757" s="3">
        <v>41789</v>
      </c>
      <c r="D8757" t="s">
        <v>39</v>
      </c>
      <c r="E8757">
        <v>48</v>
      </c>
      <c r="F8757" s="3">
        <f ca="1">41791+(RANDBETWEEN(1,10))</f>
        <v>41800</v>
      </c>
      <c r="G8757" t="s">
        <v>26</v>
      </c>
      <c r="H8757" t="s">
        <v>27</v>
      </c>
      <c r="I8757" t="s">
        <v>97</v>
      </c>
      <c r="J8757">
        <v>8600.5499999999993</v>
      </c>
      <c r="K8757">
        <v>0.1</v>
      </c>
      <c r="L8757">
        <v>0.57999999999999996</v>
      </c>
      <c r="M8757">
        <v>31.465</v>
      </c>
      <c r="N8757">
        <v>471.55500000000001</v>
      </c>
      <c r="O8757" s="1" t="s">
        <v>64</v>
      </c>
      <c r="P8757" s="1" t="s">
        <v>126</v>
      </c>
      <c r="Q8757" s="1" t="s">
        <v>127</v>
      </c>
      <c r="R8757" s="1" t="s">
        <v>128</v>
      </c>
      <c r="S8757" s="1" t="s">
        <v>129</v>
      </c>
      <c r="T8757" s="1" t="s">
        <v>130</v>
      </c>
      <c r="U8757" s="2" t="s">
        <v>4501</v>
      </c>
      <c r="V8757" s="2" t="s">
        <v>36</v>
      </c>
      <c r="W8757" s="2" t="s">
        <v>37</v>
      </c>
      <c r="X8757" s="2">
        <v>230.965</v>
      </c>
    </row>
    <row r="8758" spans="1:24" x14ac:dyDescent="0.3">
      <c r="A8758">
        <v>3815</v>
      </c>
      <c r="B8758" t="s">
        <v>15999</v>
      </c>
      <c r="C8758" s="3">
        <v>41555</v>
      </c>
      <c r="D8758" t="s">
        <v>62</v>
      </c>
      <c r="E8758">
        <v>33</v>
      </c>
      <c r="F8758" s="3">
        <f ca="1">41557+(RANDBETWEEN(1,10))</f>
        <v>41559</v>
      </c>
      <c r="G8758" t="s">
        <v>26</v>
      </c>
      <c r="H8758" t="s">
        <v>27</v>
      </c>
      <c r="I8758" t="s">
        <v>28</v>
      </c>
      <c r="J8758">
        <v>3244.22</v>
      </c>
      <c r="K8758">
        <v>0.09</v>
      </c>
      <c r="L8758">
        <v>0.85</v>
      </c>
      <c r="M8758">
        <v>17.5</v>
      </c>
      <c r="N8758">
        <v>-1031.3688</v>
      </c>
      <c r="O8758" s="1" t="s">
        <v>40</v>
      </c>
      <c r="P8758" s="1" t="s">
        <v>15856</v>
      </c>
      <c r="Q8758" s="1" t="s">
        <v>15857</v>
      </c>
      <c r="R8758" s="1" t="s">
        <v>220</v>
      </c>
      <c r="S8758" s="1" t="s">
        <v>221</v>
      </c>
      <c r="T8758" s="1" t="s">
        <v>15858</v>
      </c>
      <c r="U8758" s="2" t="s">
        <v>6099</v>
      </c>
      <c r="V8758" s="2" t="s">
        <v>36</v>
      </c>
      <c r="W8758" s="2" t="s">
        <v>37</v>
      </c>
      <c r="X8758" s="2">
        <v>125.965</v>
      </c>
    </row>
    <row r="8759" spans="1:24" x14ac:dyDescent="0.3">
      <c r="A8759">
        <v>3822</v>
      </c>
      <c r="B8759" t="s">
        <v>16000</v>
      </c>
      <c r="C8759" s="3">
        <v>41765</v>
      </c>
      <c r="D8759" t="s">
        <v>62</v>
      </c>
      <c r="E8759">
        <v>64</v>
      </c>
      <c r="F8759" s="3">
        <f ca="1">41765+(RANDBETWEEN(1,10))</f>
        <v>41766</v>
      </c>
      <c r="G8759" t="s">
        <v>26</v>
      </c>
      <c r="H8759" t="s">
        <v>63</v>
      </c>
      <c r="I8759" t="s">
        <v>28</v>
      </c>
      <c r="J8759">
        <v>68487.964999999997</v>
      </c>
      <c r="K8759">
        <v>0.02</v>
      </c>
      <c r="L8759">
        <v>0.5</v>
      </c>
      <c r="M8759">
        <v>40.74</v>
      </c>
      <c r="N8759">
        <v>-6270.25</v>
      </c>
      <c r="O8759" s="1" t="s">
        <v>87</v>
      </c>
      <c r="P8759" s="1" t="s">
        <v>15902</v>
      </c>
      <c r="Q8759" s="1" t="s">
        <v>15903</v>
      </c>
      <c r="R8759" s="1" t="s">
        <v>90</v>
      </c>
      <c r="S8759" s="1" t="s">
        <v>91</v>
      </c>
      <c r="T8759" s="1" t="s">
        <v>15904</v>
      </c>
      <c r="U8759" s="2" t="s">
        <v>2872</v>
      </c>
      <c r="V8759" s="2" t="s">
        <v>36</v>
      </c>
      <c r="W8759" s="2" t="s">
        <v>1327</v>
      </c>
      <c r="X8759" s="2">
        <v>1049.9649999999999</v>
      </c>
    </row>
    <row r="8760" spans="1:24" x14ac:dyDescent="0.3">
      <c r="A8760">
        <v>3823</v>
      </c>
      <c r="B8760" t="s">
        <v>16000</v>
      </c>
      <c r="C8760" s="3">
        <v>41765</v>
      </c>
      <c r="D8760" t="s">
        <v>62</v>
      </c>
      <c r="E8760">
        <v>47</v>
      </c>
      <c r="F8760" s="3">
        <f ca="1">41766+(RANDBETWEEN(1,10))</f>
        <v>41768</v>
      </c>
      <c r="G8760" t="s">
        <v>156</v>
      </c>
      <c r="H8760" t="s">
        <v>27</v>
      </c>
      <c r="I8760" t="s">
        <v>28</v>
      </c>
      <c r="J8760">
        <v>25530.400000000001</v>
      </c>
      <c r="K8760">
        <v>0.05</v>
      </c>
      <c r="L8760">
        <v>0.39</v>
      </c>
      <c r="M8760">
        <v>69.965000000000003</v>
      </c>
      <c r="N8760">
        <v>7889.56</v>
      </c>
      <c r="O8760" s="1" t="s">
        <v>87</v>
      </c>
      <c r="P8760" s="1" t="s">
        <v>15902</v>
      </c>
      <c r="Q8760" s="1" t="s">
        <v>15903</v>
      </c>
      <c r="R8760" s="1" t="s">
        <v>90</v>
      </c>
      <c r="S8760" s="1" t="s">
        <v>91</v>
      </c>
      <c r="T8760" s="1" t="s">
        <v>15904</v>
      </c>
      <c r="U8760" s="2" t="s">
        <v>2128</v>
      </c>
      <c r="V8760" s="2" t="s">
        <v>47</v>
      </c>
      <c r="W8760" s="2" t="s">
        <v>48</v>
      </c>
      <c r="X8760" s="2">
        <v>570.255</v>
      </c>
    </row>
    <row r="8761" spans="1:24" x14ac:dyDescent="0.3">
      <c r="A8761">
        <v>3824</v>
      </c>
      <c r="B8761" t="s">
        <v>16000</v>
      </c>
      <c r="C8761" s="3">
        <v>41765</v>
      </c>
      <c r="D8761" t="s">
        <v>62</v>
      </c>
      <c r="E8761">
        <v>64</v>
      </c>
      <c r="F8761" s="3">
        <f ca="1">41767+(RANDBETWEEN(1,10))</f>
        <v>41770</v>
      </c>
      <c r="G8761" t="s">
        <v>156</v>
      </c>
      <c r="H8761" t="s">
        <v>96</v>
      </c>
      <c r="I8761" t="s">
        <v>28</v>
      </c>
      <c r="J8761">
        <v>1834.91</v>
      </c>
      <c r="K8761">
        <v>0.03</v>
      </c>
      <c r="L8761">
        <v>0.43</v>
      </c>
      <c r="M8761">
        <v>3.36</v>
      </c>
      <c r="N8761">
        <v>566.82500000000005</v>
      </c>
      <c r="O8761" s="1" t="s">
        <v>87</v>
      </c>
      <c r="P8761" s="1" t="s">
        <v>15902</v>
      </c>
      <c r="Q8761" s="1" t="s">
        <v>15903</v>
      </c>
      <c r="R8761" s="1" t="s">
        <v>90</v>
      </c>
      <c r="S8761" s="1" t="s">
        <v>91</v>
      </c>
      <c r="T8761" s="1" t="s">
        <v>15904</v>
      </c>
      <c r="U8761" s="2" t="s">
        <v>2587</v>
      </c>
      <c r="V8761" s="2" t="s">
        <v>83</v>
      </c>
      <c r="W8761" s="2" t="s">
        <v>178</v>
      </c>
      <c r="X8761" s="2">
        <v>29.19</v>
      </c>
    </row>
    <row r="8762" spans="1:24" x14ac:dyDescent="0.3">
      <c r="A8762">
        <v>3847</v>
      </c>
      <c r="B8762" t="s">
        <v>16001</v>
      </c>
      <c r="C8762" s="3">
        <v>40643</v>
      </c>
      <c r="D8762" t="s">
        <v>50</v>
      </c>
      <c r="E8762">
        <v>29</v>
      </c>
      <c r="F8762" s="3">
        <f ca="1">40644+(RANDBETWEEN(1,10))</f>
        <v>40646</v>
      </c>
      <c r="G8762" t="s">
        <v>76</v>
      </c>
      <c r="H8762" t="s">
        <v>77</v>
      </c>
      <c r="I8762" t="s">
        <v>97</v>
      </c>
      <c r="J8762">
        <v>33225.22</v>
      </c>
      <c r="K8762">
        <v>0.05</v>
      </c>
      <c r="L8762">
        <v>0.56999999999999995</v>
      </c>
      <c r="M8762">
        <v>318.67500000000001</v>
      </c>
      <c r="N8762">
        <v>2702.14</v>
      </c>
      <c r="O8762" s="1" t="s">
        <v>40</v>
      </c>
      <c r="P8762" s="1" t="s">
        <v>13707</v>
      </c>
      <c r="Q8762" s="1" t="s">
        <v>13708</v>
      </c>
      <c r="R8762" s="1" t="s">
        <v>43</v>
      </c>
      <c r="S8762" s="1" t="s">
        <v>44</v>
      </c>
      <c r="T8762" s="1" t="s">
        <v>13709</v>
      </c>
      <c r="U8762" s="2" t="s">
        <v>1589</v>
      </c>
      <c r="V8762" s="2" t="s">
        <v>47</v>
      </c>
      <c r="W8762" s="2" t="s">
        <v>71</v>
      </c>
      <c r="X8762" s="2">
        <v>1148.49</v>
      </c>
    </row>
    <row r="8763" spans="1:24" x14ac:dyDescent="0.3">
      <c r="A8763">
        <v>3870</v>
      </c>
      <c r="B8763" t="s">
        <v>16002</v>
      </c>
      <c r="C8763" s="3">
        <v>41850</v>
      </c>
      <c r="D8763" t="s">
        <v>25</v>
      </c>
      <c r="E8763">
        <v>4</v>
      </c>
      <c r="F8763" s="3">
        <f ca="1">41852+(RANDBETWEEN(1,10))</f>
        <v>41858</v>
      </c>
      <c r="G8763" t="s">
        <v>26</v>
      </c>
      <c r="H8763" t="s">
        <v>63</v>
      </c>
      <c r="I8763" t="s">
        <v>97</v>
      </c>
      <c r="J8763">
        <v>2865.9749999999999</v>
      </c>
      <c r="K8763">
        <v>0.09</v>
      </c>
      <c r="L8763">
        <v>0.46</v>
      </c>
      <c r="M8763">
        <v>85.715000000000003</v>
      </c>
      <c r="N8763">
        <v>-2573.4450000000002</v>
      </c>
      <c r="O8763" s="1" t="s">
        <v>40</v>
      </c>
      <c r="P8763" s="1" t="s">
        <v>259</v>
      </c>
      <c r="Q8763" s="1" t="s">
        <v>260</v>
      </c>
      <c r="R8763" s="1" t="s">
        <v>43</v>
      </c>
      <c r="S8763" s="1" t="s">
        <v>44</v>
      </c>
      <c r="T8763" s="1" t="s">
        <v>261</v>
      </c>
      <c r="U8763" s="2" t="s">
        <v>7870</v>
      </c>
      <c r="V8763" s="2" t="s">
        <v>36</v>
      </c>
      <c r="W8763" s="2" t="s">
        <v>1327</v>
      </c>
      <c r="X8763" s="2">
        <v>699.96500000000003</v>
      </c>
    </row>
    <row r="8764" spans="1:24" x14ac:dyDescent="0.3">
      <c r="A8764">
        <v>3899</v>
      </c>
      <c r="B8764" t="s">
        <v>16003</v>
      </c>
      <c r="C8764" s="3">
        <v>41337</v>
      </c>
      <c r="D8764" t="s">
        <v>50</v>
      </c>
      <c r="E8764">
        <v>35</v>
      </c>
      <c r="F8764" s="3">
        <f ca="1">41339+(RANDBETWEEN(1,10))</f>
        <v>41348</v>
      </c>
      <c r="G8764" t="s">
        <v>26</v>
      </c>
      <c r="H8764" t="s">
        <v>27</v>
      </c>
      <c r="I8764" t="s">
        <v>86</v>
      </c>
      <c r="J8764">
        <v>780.81500000000005</v>
      </c>
      <c r="K8764">
        <v>0.09</v>
      </c>
      <c r="L8764">
        <v>0.37</v>
      </c>
      <c r="M8764">
        <v>19.18</v>
      </c>
      <c r="N8764">
        <v>-257.68049999999999</v>
      </c>
      <c r="O8764" s="1" t="s">
        <v>64</v>
      </c>
      <c r="P8764" s="1" t="s">
        <v>15852</v>
      </c>
      <c r="Q8764" s="1" t="s">
        <v>15853</v>
      </c>
      <c r="R8764" s="1" t="s">
        <v>128</v>
      </c>
      <c r="S8764" s="1" t="s">
        <v>129</v>
      </c>
      <c r="T8764" s="1" t="s">
        <v>15854</v>
      </c>
      <c r="U8764" s="2" t="s">
        <v>5054</v>
      </c>
      <c r="V8764" s="2" t="s">
        <v>47</v>
      </c>
      <c r="W8764" s="2" t="s">
        <v>111</v>
      </c>
      <c r="X8764" s="2">
        <v>23.835000000000001</v>
      </c>
    </row>
    <row r="8765" spans="1:24" x14ac:dyDescent="0.3">
      <c r="A8765">
        <v>3900</v>
      </c>
      <c r="B8765" t="s">
        <v>16003</v>
      </c>
      <c r="C8765" s="3">
        <v>41337</v>
      </c>
      <c r="D8765" t="s">
        <v>50</v>
      </c>
      <c r="E8765">
        <v>4</v>
      </c>
      <c r="F8765" s="3">
        <f ca="1">41338+(RANDBETWEEN(1,10))</f>
        <v>41343</v>
      </c>
      <c r="G8765" t="s">
        <v>26</v>
      </c>
      <c r="H8765" t="s">
        <v>27</v>
      </c>
      <c r="I8765" t="s">
        <v>86</v>
      </c>
      <c r="J8765">
        <v>258.64999999999998</v>
      </c>
      <c r="K8765">
        <v>0.06</v>
      </c>
      <c r="L8765">
        <v>0.37</v>
      </c>
      <c r="M8765">
        <v>46.13</v>
      </c>
      <c r="N8765">
        <v>-138.74175</v>
      </c>
      <c r="O8765" s="1" t="s">
        <v>64</v>
      </c>
      <c r="P8765" s="1" t="s">
        <v>15852</v>
      </c>
      <c r="Q8765" s="1" t="s">
        <v>15853</v>
      </c>
      <c r="R8765" s="1" t="s">
        <v>128</v>
      </c>
      <c r="S8765" s="1" t="s">
        <v>129</v>
      </c>
      <c r="T8765" s="1" t="s">
        <v>15854</v>
      </c>
      <c r="U8765" s="2" t="s">
        <v>197</v>
      </c>
      <c r="V8765" s="2" t="s">
        <v>47</v>
      </c>
      <c r="W8765" s="2" t="s">
        <v>111</v>
      </c>
      <c r="X8765" s="2">
        <v>55.965000000000003</v>
      </c>
    </row>
    <row r="8766" spans="1:24" x14ac:dyDescent="0.3">
      <c r="A8766">
        <v>3903</v>
      </c>
      <c r="B8766" t="s">
        <v>16004</v>
      </c>
      <c r="C8766" s="3">
        <v>41898</v>
      </c>
      <c r="D8766" t="s">
        <v>39</v>
      </c>
      <c r="E8766">
        <v>69</v>
      </c>
      <c r="F8766" s="3">
        <f ca="1">41900+(RANDBETWEEN(1,10))</f>
        <v>41903</v>
      </c>
      <c r="G8766" t="s">
        <v>26</v>
      </c>
      <c r="H8766" t="s">
        <v>96</v>
      </c>
      <c r="I8766" t="s">
        <v>28</v>
      </c>
      <c r="J8766">
        <v>496.54500000000002</v>
      </c>
      <c r="K8766">
        <v>0.05</v>
      </c>
      <c r="L8766">
        <v>0.56999999999999995</v>
      </c>
      <c r="M8766">
        <v>2.4500000000000002</v>
      </c>
      <c r="N8766">
        <v>3.6749999999999998</v>
      </c>
      <c r="O8766" s="1" t="s">
        <v>40</v>
      </c>
      <c r="P8766" s="1" t="s">
        <v>133</v>
      </c>
      <c r="Q8766" s="1" t="s">
        <v>134</v>
      </c>
      <c r="R8766" s="1" t="s">
        <v>43</v>
      </c>
      <c r="S8766" s="1" t="s">
        <v>44</v>
      </c>
      <c r="T8766" s="1" t="s">
        <v>135</v>
      </c>
      <c r="U8766" s="2" t="s">
        <v>6803</v>
      </c>
      <c r="V8766" s="2" t="s">
        <v>47</v>
      </c>
      <c r="W8766" s="2" t="s">
        <v>104</v>
      </c>
      <c r="X8766" s="2">
        <v>7.35</v>
      </c>
    </row>
    <row r="8767" spans="1:24" x14ac:dyDescent="0.3">
      <c r="A8767">
        <v>3908</v>
      </c>
      <c r="B8767" t="s">
        <v>16005</v>
      </c>
      <c r="C8767" s="3">
        <v>41560</v>
      </c>
      <c r="D8767" t="s">
        <v>50</v>
      </c>
      <c r="E8767">
        <v>49</v>
      </c>
      <c r="F8767" s="3">
        <f ca="1">41562+(RANDBETWEEN(1,10))</f>
        <v>41563</v>
      </c>
      <c r="G8767" t="s">
        <v>26</v>
      </c>
      <c r="H8767" t="s">
        <v>27</v>
      </c>
      <c r="I8767" t="s">
        <v>28</v>
      </c>
      <c r="J8767">
        <v>2666.5450000000001</v>
      </c>
      <c r="K8767">
        <v>0.01</v>
      </c>
      <c r="L8767">
        <v>0.38</v>
      </c>
      <c r="M8767">
        <v>25.445</v>
      </c>
      <c r="N8767">
        <v>102.0068</v>
      </c>
      <c r="O8767" s="1" t="s">
        <v>64</v>
      </c>
      <c r="P8767" s="1" t="s">
        <v>16006</v>
      </c>
      <c r="Q8767" s="1" t="s">
        <v>16007</v>
      </c>
      <c r="R8767" s="1" t="s">
        <v>128</v>
      </c>
      <c r="S8767" s="1" t="s">
        <v>129</v>
      </c>
      <c r="T8767" s="1" t="s">
        <v>16008</v>
      </c>
      <c r="U8767" s="2" t="s">
        <v>3821</v>
      </c>
      <c r="V8767" s="2" t="s">
        <v>47</v>
      </c>
      <c r="W8767" s="2" t="s">
        <v>111</v>
      </c>
      <c r="X8767" s="2">
        <v>49.945</v>
      </c>
    </row>
    <row r="8768" spans="1:24" x14ac:dyDescent="0.3">
      <c r="A8768">
        <v>3926</v>
      </c>
      <c r="B8768" t="s">
        <v>16009</v>
      </c>
      <c r="C8768" s="3">
        <v>40708</v>
      </c>
      <c r="D8768" t="s">
        <v>62</v>
      </c>
      <c r="E8768">
        <v>62</v>
      </c>
      <c r="F8768" s="3">
        <f ca="1">40708+(RANDBETWEEN(1,10))</f>
        <v>40714</v>
      </c>
      <c r="G8768" t="s">
        <v>26</v>
      </c>
      <c r="H8768" t="s">
        <v>63</v>
      </c>
      <c r="I8768" t="s">
        <v>97</v>
      </c>
      <c r="J8768">
        <v>47414.29</v>
      </c>
      <c r="K8768">
        <v>0.02</v>
      </c>
      <c r="L8768">
        <v>0.59</v>
      </c>
      <c r="M8768">
        <v>74.234999999999999</v>
      </c>
      <c r="N8768">
        <v>9075.99</v>
      </c>
      <c r="O8768" s="1" t="s">
        <v>64</v>
      </c>
      <c r="P8768" s="1" t="s">
        <v>16010</v>
      </c>
      <c r="Q8768" s="1" t="s">
        <v>16011</v>
      </c>
      <c r="R8768" s="1" t="s">
        <v>128</v>
      </c>
      <c r="S8768" s="1" t="s">
        <v>129</v>
      </c>
      <c r="T8768" s="1" t="s">
        <v>16012</v>
      </c>
      <c r="U8768" s="2" t="s">
        <v>3118</v>
      </c>
      <c r="V8768" s="2" t="s">
        <v>83</v>
      </c>
      <c r="W8768" s="2" t="s">
        <v>178</v>
      </c>
      <c r="X8768" s="2">
        <v>734.44</v>
      </c>
    </row>
    <row r="8769" spans="1:24" x14ac:dyDescent="0.3">
      <c r="A8769">
        <v>3927</v>
      </c>
      <c r="B8769" t="s">
        <v>16009</v>
      </c>
      <c r="C8769" s="3">
        <v>40708</v>
      </c>
      <c r="D8769" t="s">
        <v>62</v>
      </c>
      <c r="E8769">
        <v>32</v>
      </c>
      <c r="F8769" s="3">
        <f ca="1">40710+(RANDBETWEEN(1,10))</f>
        <v>40718</v>
      </c>
      <c r="G8769" t="s">
        <v>26</v>
      </c>
      <c r="H8769" t="s">
        <v>63</v>
      </c>
      <c r="I8769" t="s">
        <v>97</v>
      </c>
      <c r="J8769">
        <v>22405.775000000001</v>
      </c>
      <c r="K8769">
        <v>0.01</v>
      </c>
      <c r="L8769">
        <v>0.59</v>
      </c>
      <c r="M8769">
        <v>40.39</v>
      </c>
      <c r="N8769">
        <v>4069.66</v>
      </c>
      <c r="O8769" s="1" t="s">
        <v>64</v>
      </c>
      <c r="P8769" s="1" t="s">
        <v>16010</v>
      </c>
      <c r="Q8769" s="1" t="s">
        <v>16011</v>
      </c>
      <c r="R8769" s="1" t="s">
        <v>128</v>
      </c>
      <c r="S8769" s="1" t="s">
        <v>129</v>
      </c>
      <c r="T8769" s="1" t="s">
        <v>16012</v>
      </c>
      <c r="U8769" s="2" t="s">
        <v>5469</v>
      </c>
      <c r="V8769" s="2" t="s">
        <v>83</v>
      </c>
      <c r="W8769" s="2" t="s">
        <v>178</v>
      </c>
      <c r="X8769" s="2">
        <v>680.05</v>
      </c>
    </row>
    <row r="8770" spans="1:24" x14ac:dyDescent="0.3">
      <c r="A8770">
        <v>3956</v>
      </c>
      <c r="B8770" t="s">
        <v>16013</v>
      </c>
      <c r="C8770" s="3">
        <v>40565</v>
      </c>
      <c r="D8770" t="s">
        <v>62</v>
      </c>
      <c r="E8770">
        <v>9</v>
      </c>
      <c r="F8770" s="3">
        <f ca="1">40565+(RANDBETWEEN(1,10))</f>
        <v>40569</v>
      </c>
      <c r="G8770" t="s">
        <v>26</v>
      </c>
      <c r="H8770" t="s">
        <v>27</v>
      </c>
      <c r="I8770" t="s">
        <v>28</v>
      </c>
      <c r="J8770">
        <v>721.14</v>
      </c>
      <c r="K8770">
        <v>0</v>
      </c>
      <c r="L8770">
        <v>0.47</v>
      </c>
      <c r="M8770">
        <v>50.365000000000002</v>
      </c>
      <c r="N8770">
        <v>-231.86555000000001</v>
      </c>
      <c r="O8770" s="1" t="s">
        <v>64</v>
      </c>
      <c r="P8770" s="1" t="s">
        <v>252</v>
      </c>
      <c r="Q8770" s="1" t="s">
        <v>253</v>
      </c>
      <c r="R8770" s="1" t="s">
        <v>67</v>
      </c>
      <c r="S8770" s="1" t="s">
        <v>254</v>
      </c>
      <c r="T8770" s="1" t="s">
        <v>255</v>
      </c>
      <c r="U8770" s="2" t="s">
        <v>3841</v>
      </c>
      <c r="V8770" s="2" t="s">
        <v>83</v>
      </c>
      <c r="W8770" s="2" t="s">
        <v>178</v>
      </c>
      <c r="X8770" s="2">
        <v>70.98</v>
      </c>
    </row>
    <row r="8771" spans="1:24" x14ac:dyDescent="0.3">
      <c r="A8771">
        <v>3968</v>
      </c>
      <c r="B8771" t="s">
        <v>16014</v>
      </c>
      <c r="C8771" s="3">
        <v>41122</v>
      </c>
      <c r="D8771" t="s">
        <v>148</v>
      </c>
      <c r="E8771">
        <v>50</v>
      </c>
      <c r="F8771" s="3">
        <f ca="1">41122+(RANDBETWEEN(1,10))</f>
        <v>41130</v>
      </c>
      <c r="G8771" t="s">
        <v>26</v>
      </c>
      <c r="H8771" t="s">
        <v>27</v>
      </c>
      <c r="I8771" t="s">
        <v>52</v>
      </c>
      <c r="J8771">
        <v>565.63499999999999</v>
      </c>
      <c r="K8771">
        <v>0.03</v>
      </c>
      <c r="L8771">
        <v>0.37</v>
      </c>
      <c r="M8771">
        <v>3.4649999999999999</v>
      </c>
      <c r="N8771">
        <v>86.484999999999999</v>
      </c>
      <c r="O8771" s="1" t="s">
        <v>29</v>
      </c>
      <c r="P8771" s="1" t="s">
        <v>367</v>
      </c>
      <c r="Q8771" s="1" t="s">
        <v>368</v>
      </c>
      <c r="R8771" s="1" t="s">
        <v>32</v>
      </c>
      <c r="S8771" s="1" t="s">
        <v>33</v>
      </c>
      <c r="T8771" s="1" t="s">
        <v>369</v>
      </c>
      <c r="U8771" s="2" t="s">
        <v>7368</v>
      </c>
      <c r="V8771" s="2" t="s">
        <v>47</v>
      </c>
      <c r="W8771" s="2" t="s">
        <v>203</v>
      </c>
      <c r="X8771" s="2">
        <v>10.78</v>
      </c>
    </row>
    <row r="8772" spans="1:24" x14ac:dyDescent="0.3">
      <c r="A8772">
        <v>3984</v>
      </c>
      <c r="B8772" t="s">
        <v>16015</v>
      </c>
      <c r="C8772" s="3">
        <v>42001</v>
      </c>
      <c r="D8772" t="s">
        <v>62</v>
      </c>
      <c r="E8772">
        <v>52</v>
      </c>
      <c r="F8772" s="3">
        <f ca="1">42001+(RANDBETWEEN(1,10))</f>
        <v>42008</v>
      </c>
      <c r="G8772" t="s">
        <v>26</v>
      </c>
      <c r="H8772" t="s">
        <v>281</v>
      </c>
      <c r="I8772" t="s">
        <v>97</v>
      </c>
      <c r="J8772">
        <v>3920.21</v>
      </c>
      <c r="K8772">
        <v>0.04</v>
      </c>
      <c r="L8772">
        <v>0.52</v>
      </c>
      <c r="M8772">
        <v>48.965000000000003</v>
      </c>
      <c r="N8772">
        <v>-489.54500000000002</v>
      </c>
      <c r="O8772" s="1" t="s">
        <v>40</v>
      </c>
      <c r="P8772" s="1" t="s">
        <v>15909</v>
      </c>
      <c r="Q8772" s="1" t="s">
        <v>15910</v>
      </c>
      <c r="R8772" s="1" t="s">
        <v>220</v>
      </c>
      <c r="S8772" s="1" t="s">
        <v>221</v>
      </c>
      <c r="T8772" s="1" t="s">
        <v>15911</v>
      </c>
      <c r="U8772" s="2" t="s">
        <v>5849</v>
      </c>
      <c r="V8772" s="2" t="s">
        <v>47</v>
      </c>
      <c r="W8772" s="2" t="s">
        <v>71</v>
      </c>
      <c r="X8772" s="2">
        <v>75.81</v>
      </c>
    </row>
    <row r="8773" spans="1:24" x14ac:dyDescent="0.3">
      <c r="A8773">
        <v>3989</v>
      </c>
      <c r="B8773" t="s">
        <v>16016</v>
      </c>
      <c r="C8773" s="3">
        <v>40976</v>
      </c>
      <c r="D8773" t="s">
        <v>62</v>
      </c>
      <c r="E8773">
        <v>22</v>
      </c>
      <c r="F8773" s="3">
        <f ca="1">40978+(RANDBETWEEN(1,10))</f>
        <v>40987</v>
      </c>
      <c r="G8773" t="s">
        <v>26</v>
      </c>
      <c r="H8773" t="s">
        <v>96</v>
      </c>
      <c r="I8773" t="s">
        <v>97</v>
      </c>
      <c r="J8773">
        <v>418.70499999999998</v>
      </c>
      <c r="K8773">
        <v>0.03</v>
      </c>
      <c r="L8773">
        <v>0.51</v>
      </c>
      <c r="M8773">
        <v>12.705</v>
      </c>
      <c r="N8773">
        <v>-95.864999999999995</v>
      </c>
      <c r="O8773" s="1" t="s">
        <v>225</v>
      </c>
      <c r="P8773" s="1" t="s">
        <v>226</v>
      </c>
      <c r="Q8773" s="1" t="s">
        <v>227</v>
      </c>
      <c r="R8773" s="1" t="s">
        <v>228</v>
      </c>
      <c r="S8773" s="1" t="s">
        <v>229</v>
      </c>
      <c r="T8773" s="1" t="s">
        <v>230</v>
      </c>
      <c r="U8773" s="2" t="s">
        <v>4165</v>
      </c>
      <c r="V8773" s="2" t="s">
        <v>83</v>
      </c>
      <c r="W8773" s="2" t="s">
        <v>178</v>
      </c>
      <c r="X8773" s="2">
        <v>17.78</v>
      </c>
    </row>
    <row r="8774" spans="1:24" x14ac:dyDescent="0.3">
      <c r="A8774">
        <v>3990</v>
      </c>
      <c r="B8774" t="s">
        <v>16017</v>
      </c>
      <c r="C8774" s="3">
        <v>41706</v>
      </c>
      <c r="D8774" t="s">
        <v>62</v>
      </c>
      <c r="E8774">
        <v>40</v>
      </c>
      <c r="F8774" s="3">
        <f ca="1">41706+(RANDBETWEEN(1,10))</f>
        <v>41711</v>
      </c>
      <c r="G8774" t="s">
        <v>26</v>
      </c>
      <c r="H8774" t="s">
        <v>27</v>
      </c>
      <c r="I8774" t="s">
        <v>97</v>
      </c>
      <c r="J8774">
        <v>622.72</v>
      </c>
      <c r="K8774">
        <v>0</v>
      </c>
      <c r="L8774">
        <v>0.4</v>
      </c>
      <c r="M8774">
        <v>23.52</v>
      </c>
      <c r="N8774">
        <v>-587.72</v>
      </c>
      <c r="O8774" s="1" t="s">
        <v>225</v>
      </c>
      <c r="P8774" s="1" t="s">
        <v>226</v>
      </c>
      <c r="Q8774" s="1" t="s">
        <v>227</v>
      </c>
      <c r="R8774" s="1" t="s">
        <v>228</v>
      </c>
      <c r="S8774" s="1" t="s">
        <v>229</v>
      </c>
      <c r="T8774" s="1" t="s">
        <v>230</v>
      </c>
      <c r="U8774" s="2" t="s">
        <v>2298</v>
      </c>
      <c r="V8774" s="2" t="s">
        <v>47</v>
      </c>
      <c r="W8774" s="2" t="s">
        <v>74</v>
      </c>
      <c r="X8774" s="2">
        <v>14.98</v>
      </c>
    </row>
    <row r="8775" spans="1:24" x14ac:dyDescent="0.3">
      <c r="A8775">
        <v>4003</v>
      </c>
      <c r="B8775" t="s">
        <v>16018</v>
      </c>
      <c r="C8775" s="3">
        <v>41615</v>
      </c>
      <c r="D8775" t="s">
        <v>148</v>
      </c>
      <c r="E8775">
        <v>2</v>
      </c>
      <c r="F8775" s="3">
        <f ca="1">41617+(RANDBETWEEN(1,10))</f>
        <v>41623</v>
      </c>
      <c r="G8775" t="s">
        <v>26</v>
      </c>
      <c r="H8775" t="s">
        <v>27</v>
      </c>
      <c r="I8775" t="s">
        <v>97</v>
      </c>
      <c r="J8775">
        <v>254.8</v>
      </c>
      <c r="K8775">
        <v>0.06</v>
      </c>
      <c r="L8775">
        <v>0.39</v>
      </c>
      <c r="M8775">
        <v>45.43</v>
      </c>
      <c r="N8775">
        <v>-145.46350000000001</v>
      </c>
      <c r="O8775" s="1" t="s">
        <v>64</v>
      </c>
      <c r="P8775" s="1" t="s">
        <v>15875</v>
      </c>
      <c r="Q8775" s="1" t="s">
        <v>15876</v>
      </c>
      <c r="R8775" s="1" t="s">
        <v>128</v>
      </c>
      <c r="S8775" s="1" t="s">
        <v>129</v>
      </c>
      <c r="T8775" s="1" t="s">
        <v>278</v>
      </c>
      <c r="U8775" s="2" t="s">
        <v>559</v>
      </c>
      <c r="V8775" s="2" t="s">
        <v>47</v>
      </c>
      <c r="W8775" s="2" t="s">
        <v>111</v>
      </c>
      <c r="X8775" s="2">
        <v>87.22</v>
      </c>
    </row>
    <row r="8776" spans="1:24" x14ac:dyDescent="0.3">
      <c r="A8776">
        <v>4004</v>
      </c>
      <c r="B8776" t="s">
        <v>16018</v>
      </c>
      <c r="C8776" s="3">
        <v>41615</v>
      </c>
      <c r="D8776" t="s">
        <v>148</v>
      </c>
      <c r="E8776">
        <v>72</v>
      </c>
      <c r="F8776" s="3">
        <f ca="1">41617+(RANDBETWEEN(1,10))</f>
        <v>41621</v>
      </c>
      <c r="G8776" t="s">
        <v>26</v>
      </c>
      <c r="H8776" t="s">
        <v>96</v>
      </c>
      <c r="I8776" t="s">
        <v>97</v>
      </c>
      <c r="J8776">
        <v>1234.45</v>
      </c>
      <c r="K8776">
        <v>0.04</v>
      </c>
      <c r="L8776">
        <v>0.36</v>
      </c>
      <c r="M8776">
        <v>2.8</v>
      </c>
      <c r="N8776">
        <v>255.67500000000001</v>
      </c>
      <c r="O8776" s="1" t="s">
        <v>64</v>
      </c>
      <c r="P8776" s="1" t="s">
        <v>15875</v>
      </c>
      <c r="Q8776" s="1" t="s">
        <v>15876</v>
      </c>
      <c r="R8776" s="1" t="s">
        <v>128</v>
      </c>
      <c r="S8776" s="1" t="s">
        <v>129</v>
      </c>
      <c r="T8776" s="1" t="s">
        <v>278</v>
      </c>
      <c r="U8776" s="2" t="s">
        <v>1416</v>
      </c>
      <c r="V8776" s="2" t="s">
        <v>47</v>
      </c>
      <c r="W8776" s="2" t="s">
        <v>74</v>
      </c>
      <c r="X8776" s="2">
        <v>17.43</v>
      </c>
    </row>
    <row r="8777" spans="1:24" x14ac:dyDescent="0.3">
      <c r="A8777">
        <v>4005</v>
      </c>
      <c r="B8777" t="s">
        <v>16019</v>
      </c>
      <c r="C8777" s="3">
        <v>41661</v>
      </c>
      <c r="D8777" t="s">
        <v>50</v>
      </c>
      <c r="E8777">
        <v>44</v>
      </c>
      <c r="F8777" s="3">
        <f ca="1">41662+(RANDBETWEEN(1,10))</f>
        <v>41672</v>
      </c>
      <c r="G8777" t="s">
        <v>156</v>
      </c>
      <c r="H8777" t="s">
        <v>51</v>
      </c>
      <c r="I8777" t="s">
        <v>97</v>
      </c>
      <c r="J8777">
        <v>5775.665</v>
      </c>
      <c r="K8777">
        <v>0.06</v>
      </c>
      <c r="L8777">
        <v>0.51</v>
      </c>
      <c r="M8777">
        <v>6.9649999999999999</v>
      </c>
      <c r="N8777">
        <v>593.41800000000001</v>
      </c>
      <c r="O8777" s="1" t="s">
        <v>40</v>
      </c>
      <c r="P8777" s="1" t="s">
        <v>15856</v>
      </c>
      <c r="Q8777" s="1" t="s">
        <v>15857</v>
      </c>
      <c r="R8777" s="1" t="s">
        <v>220</v>
      </c>
      <c r="S8777" s="1" t="s">
        <v>221</v>
      </c>
      <c r="T8777" s="1" t="s">
        <v>15858</v>
      </c>
      <c r="U8777" s="2" t="s">
        <v>7488</v>
      </c>
      <c r="V8777" s="2" t="s">
        <v>36</v>
      </c>
      <c r="W8777" s="2" t="s">
        <v>60</v>
      </c>
      <c r="X8777" s="2">
        <v>137.34</v>
      </c>
    </row>
    <row r="8778" spans="1:24" x14ac:dyDescent="0.3">
      <c r="A8778">
        <v>4006</v>
      </c>
      <c r="B8778" t="s">
        <v>16019</v>
      </c>
      <c r="C8778" s="3">
        <v>41661</v>
      </c>
      <c r="D8778" t="s">
        <v>50</v>
      </c>
      <c r="E8778">
        <v>50</v>
      </c>
      <c r="F8778" s="3">
        <f ca="1">41662+(RANDBETWEEN(1,10))</f>
        <v>41669</v>
      </c>
      <c r="G8778" t="s">
        <v>26</v>
      </c>
      <c r="H8778" t="s">
        <v>96</v>
      </c>
      <c r="I8778" t="s">
        <v>97</v>
      </c>
      <c r="J8778">
        <v>1467.3050000000001</v>
      </c>
      <c r="K8778">
        <v>0.02</v>
      </c>
      <c r="L8778">
        <v>0.4</v>
      </c>
      <c r="M8778">
        <v>10.045</v>
      </c>
      <c r="N8778">
        <v>123.14400000000001</v>
      </c>
      <c r="O8778" s="1" t="s">
        <v>40</v>
      </c>
      <c r="P8778" s="1" t="s">
        <v>15856</v>
      </c>
      <c r="Q8778" s="1" t="s">
        <v>15857</v>
      </c>
      <c r="R8778" s="1" t="s">
        <v>220</v>
      </c>
      <c r="S8778" s="1" t="s">
        <v>221</v>
      </c>
      <c r="T8778" s="1" t="s">
        <v>15858</v>
      </c>
      <c r="U8778" s="2" t="s">
        <v>1846</v>
      </c>
      <c r="V8778" s="2" t="s">
        <v>47</v>
      </c>
      <c r="W8778" s="2" t="s">
        <v>74</v>
      </c>
      <c r="X8778" s="2">
        <v>28.035</v>
      </c>
    </row>
    <row r="8779" spans="1:24" x14ac:dyDescent="0.3">
      <c r="A8779">
        <v>4015</v>
      </c>
      <c r="B8779" t="s">
        <v>16020</v>
      </c>
      <c r="C8779" s="3">
        <v>40616</v>
      </c>
      <c r="D8779" t="s">
        <v>62</v>
      </c>
      <c r="E8779">
        <v>38</v>
      </c>
      <c r="F8779" s="3">
        <f ca="1">40617+(RANDBETWEEN(1,10))</f>
        <v>40622</v>
      </c>
      <c r="G8779" t="s">
        <v>156</v>
      </c>
      <c r="H8779" t="s">
        <v>63</v>
      </c>
      <c r="I8779" t="s">
        <v>28</v>
      </c>
      <c r="J8779">
        <v>19878.564999999999</v>
      </c>
      <c r="K8779">
        <v>0.09</v>
      </c>
      <c r="L8779">
        <v>0.68</v>
      </c>
      <c r="M8779">
        <v>241.5</v>
      </c>
      <c r="N8779">
        <v>-6173.1169499999996</v>
      </c>
      <c r="O8779" s="1" t="s">
        <v>64</v>
      </c>
      <c r="P8779" s="1" t="s">
        <v>15875</v>
      </c>
      <c r="Q8779" s="1" t="s">
        <v>15876</v>
      </c>
      <c r="R8779" s="1" t="s">
        <v>128</v>
      </c>
      <c r="S8779" s="1" t="s">
        <v>129</v>
      </c>
      <c r="T8779" s="1" t="s">
        <v>278</v>
      </c>
      <c r="U8779" s="2" t="s">
        <v>7427</v>
      </c>
      <c r="V8779" s="2" t="s">
        <v>83</v>
      </c>
      <c r="W8779" s="2" t="s">
        <v>263</v>
      </c>
      <c r="X8779" s="2">
        <v>539.45500000000004</v>
      </c>
    </row>
    <row r="8780" spans="1:24" x14ac:dyDescent="0.3">
      <c r="A8780">
        <v>4038</v>
      </c>
      <c r="B8780" t="s">
        <v>16021</v>
      </c>
      <c r="C8780" s="3">
        <v>41364</v>
      </c>
      <c r="D8780" t="s">
        <v>39</v>
      </c>
      <c r="E8780">
        <v>10</v>
      </c>
      <c r="F8780" s="3">
        <f ca="1">41365+(RANDBETWEEN(1,10))</f>
        <v>41372</v>
      </c>
      <c r="G8780" t="s">
        <v>156</v>
      </c>
      <c r="H8780" t="s">
        <v>27</v>
      </c>
      <c r="I8780" t="s">
        <v>52</v>
      </c>
      <c r="J8780">
        <v>230.79</v>
      </c>
      <c r="K8780">
        <v>0.02</v>
      </c>
      <c r="L8780">
        <v>0.38</v>
      </c>
      <c r="M8780">
        <v>29.155000000000001</v>
      </c>
      <c r="N8780">
        <v>-149.13499999999999</v>
      </c>
      <c r="O8780" s="1" t="s">
        <v>40</v>
      </c>
      <c r="P8780" s="1" t="s">
        <v>303</v>
      </c>
      <c r="Q8780" s="1" t="s">
        <v>304</v>
      </c>
      <c r="R8780" s="1" t="s">
        <v>43</v>
      </c>
      <c r="S8780" s="1" t="s">
        <v>44</v>
      </c>
      <c r="T8780" s="1" t="s">
        <v>305</v>
      </c>
      <c r="U8780" s="2" t="s">
        <v>867</v>
      </c>
      <c r="V8780" s="2" t="s">
        <v>47</v>
      </c>
      <c r="W8780" s="2" t="s">
        <v>74</v>
      </c>
      <c r="X8780" s="2">
        <v>17.43</v>
      </c>
    </row>
    <row r="8781" spans="1:24" x14ac:dyDescent="0.3">
      <c r="A8781">
        <v>4048</v>
      </c>
      <c r="B8781" t="s">
        <v>16022</v>
      </c>
      <c r="C8781" s="3">
        <v>41734</v>
      </c>
      <c r="D8781" t="s">
        <v>39</v>
      </c>
      <c r="E8781">
        <v>30</v>
      </c>
      <c r="F8781" s="3">
        <f ca="1">41735+(RANDBETWEEN(1,10))</f>
        <v>41737</v>
      </c>
      <c r="G8781" t="s">
        <v>26</v>
      </c>
      <c r="H8781" t="s">
        <v>27</v>
      </c>
      <c r="I8781" t="s">
        <v>86</v>
      </c>
      <c r="J8781">
        <v>715.71500000000003</v>
      </c>
      <c r="K8781">
        <v>0.05</v>
      </c>
      <c r="L8781">
        <v>0.37</v>
      </c>
      <c r="M8781">
        <v>30.555</v>
      </c>
      <c r="N8781">
        <v>-498.05</v>
      </c>
      <c r="O8781" s="1" t="s">
        <v>87</v>
      </c>
      <c r="P8781" s="1" t="s">
        <v>3177</v>
      </c>
      <c r="Q8781" s="1" t="s">
        <v>3178</v>
      </c>
      <c r="R8781" s="1" t="s">
        <v>398</v>
      </c>
      <c r="S8781" s="1" t="s">
        <v>3179</v>
      </c>
      <c r="T8781" s="1" t="s">
        <v>3180</v>
      </c>
      <c r="U8781" s="2" t="s">
        <v>2564</v>
      </c>
      <c r="V8781" s="2" t="s">
        <v>47</v>
      </c>
      <c r="W8781" s="2" t="s">
        <v>74</v>
      </c>
      <c r="X8781" s="2">
        <v>22.68</v>
      </c>
    </row>
    <row r="8782" spans="1:24" x14ac:dyDescent="0.3">
      <c r="A8782">
        <v>407</v>
      </c>
      <c r="B8782" t="s">
        <v>16023</v>
      </c>
      <c r="C8782" s="3">
        <v>41474</v>
      </c>
      <c r="D8782" t="s">
        <v>39</v>
      </c>
      <c r="E8782">
        <v>57</v>
      </c>
      <c r="F8782" s="3">
        <f ca="1">41475+(RANDBETWEEN(1,10))</f>
        <v>41476</v>
      </c>
      <c r="G8782" t="s">
        <v>156</v>
      </c>
      <c r="H8782" t="s">
        <v>51</v>
      </c>
      <c r="I8782" t="s">
        <v>28</v>
      </c>
      <c r="J8782">
        <v>2704.2750000000001</v>
      </c>
      <c r="K8782">
        <v>0.05</v>
      </c>
      <c r="L8782">
        <v>0.6</v>
      </c>
      <c r="M8782">
        <v>10.99</v>
      </c>
      <c r="N8782">
        <v>295.33</v>
      </c>
      <c r="O8782" s="1" t="s">
        <v>40</v>
      </c>
      <c r="P8782" s="1" t="s">
        <v>15909</v>
      </c>
      <c r="Q8782" s="1" t="s">
        <v>15910</v>
      </c>
      <c r="R8782" s="1" t="s">
        <v>220</v>
      </c>
      <c r="S8782" s="1" t="s">
        <v>221</v>
      </c>
      <c r="T8782" s="1" t="s">
        <v>15911</v>
      </c>
      <c r="U8782" s="2" t="s">
        <v>536</v>
      </c>
      <c r="V8782" s="2" t="s">
        <v>47</v>
      </c>
      <c r="W8782" s="2" t="s">
        <v>94</v>
      </c>
      <c r="X8782" s="2">
        <v>45.43</v>
      </c>
    </row>
    <row r="8783" spans="1:24" x14ac:dyDescent="0.3">
      <c r="A8783">
        <v>408</v>
      </c>
      <c r="B8783" t="s">
        <v>16024</v>
      </c>
      <c r="C8783" s="3">
        <v>41237</v>
      </c>
      <c r="D8783" t="s">
        <v>50</v>
      </c>
      <c r="E8783">
        <v>85</v>
      </c>
      <c r="F8783" s="3">
        <f ca="1">41239+(RANDBETWEEN(1,10))</f>
        <v>41246</v>
      </c>
      <c r="G8783" t="s">
        <v>26</v>
      </c>
      <c r="H8783" t="s">
        <v>27</v>
      </c>
      <c r="I8783" t="s">
        <v>86</v>
      </c>
      <c r="J8783">
        <v>9846.9</v>
      </c>
      <c r="K8783">
        <v>0</v>
      </c>
      <c r="L8783">
        <v>0.64</v>
      </c>
      <c r="M8783">
        <v>22.75</v>
      </c>
      <c r="N8783">
        <v>158.79499999999999</v>
      </c>
      <c r="O8783" s="1" t="s">
        <v>40</v>
      </c>
      <c r="P8783" s="1" t="s">
        <v>7320</v>
      </c>
      <c r="Q8783" s="1" t="s">
        <v>7321</v>
      </c>
      <c r="R8783" s="1" t="s">
        <v>43</v>
      </c>
      <c r="S8783" s="1" t="s">
        <v>44</v>
      </c>
      <c r="T8783" s="1" t="s">
        <v>7322</v>
      </c>
      <c r="U8783" s="2" t="s">
        <v>2033</v>
      </c>
      <c r="V8783" s="2" t="s">
        <v>36</v>
      </c>
      <c r="W8783" s="2" t="s">
        <v>60</v>
      </c>
      <c r="X8783" s="2">
        <v>108.43</v>
      </c>
    </row>
    <row r="8784" spans="1:24" x14ac:dyDescent="0.3">
      <c r="A8784">
        <v>4080</v>
      </c>
      <c r="B8784" t="s">
        <v>16025</v>
      </c>
      <c r="C8784" s="3">
        <v>41655</v>
      </c>
      <c r="D8784" t="s">
        <v>148</v>
      </c>
      <c r="E8784">
        <v>26</v>
      </c>
      <c r="F8784" s="3">
        <f ca="1">41656+(RANDBETWEEN(1,10))</f>
        <v>41662</v>
      </c>
      <c r="G8784" t="s">
        <v>26</v>
      </c>
      <c r="H8784" t="s">
        <v>27</v>
      </c>
      <c r="I8784" t="s">
        <v>52</v>
      </c>
      <c r="J8784">
        <v>375.76</v>
      </c>
      <c r="K8784">
        <v>0.02</v>
      </c>
      <c r="L8784">
        <v>0.39</v>
      </c>
      <c r="M8784">
        <v>3.4649999999999999</v>
      </c>
      <c r="N8784">
        <v>39.787999999999997</v>
      </c>
      <c r="O8784" s="1" t="s">
        <v>40</v>
      </c>
      <c r="P8784" s="1" t="s">
        <v>381</v>
      </c>
      <c r="Q8784" s="1" t="s">
        <v>382</v>
      </c>
      <c r="R8784" s="1" t="s">
        <v>220</v>
      </c>
      <c r="S8784" s="1" t="s">
        <v>221</v>
      </c>
      <c r="T8784" s="1" t="s">
        <v>383</v>
      </c>
      <c r="U8784" s="2" t="s">
        <v>2720</v>
      </c>
      <c r="V8784" s="2" t="s">
        <v>47</v>
      </c>
      <c r="W8784" s="2" t="s">
        <v>203</v>
      </c>
      <c r="X8784" s="2">
        <v>14.455</v>
      </c>
    </row>
    <row r="8785" spans="1:24" x14ac:dyDescent="0.3">
      <c r="A8785">
        <v>4081</v>
      </c>
      <c r="B8785" t="s">
        <v>16025</v>
      </c>
      <c r="C8785" s="3">
        <v>41655</v>
      </c>
      <c r="D8785" t="s">
        <v>148</v>
      </c>
      <c r="E8785">
        <v>40</v>
      </c>
      <c r="F8785" s="3">
        <f ca="1">41655+(RANDBETWEEN(1,10))</f>
        <v>41665</v>
      </c>
      <c r="G8785" t="s">
        <v>26</v>
      </c>
      <c r="H8785" t="s">
        <v>27</v>
      </c>
      <c r="I8785" t="s">
        <v>52</v>
      </c>
      <c r="J8785">
        <v>1479.1</v>
      </c>
      <c r="K8785">
        <v>0.02</v>
      </c>
      <c r="L8785">
        <v>0.57999999999999996</v>
      </c>
      <c r="M8785">
        <v>24.184999999999999</v>
      </c>
      <c r="N8785">
        <v>-605.91999999999996</v>
      </c>
      <c r="O8785" s="1" t="s">
        <v>40</v>
      </c>
      <c r="P8785" s="1" t="s">
        <v>381</v>
      </c>
      <c r="Q8785" s="1" t="s">
        <v>382</v>
      </c>
      <c r="R8785" s="1" t="s">
        <v>220</v>
      </c>
      <c r="S8785" s="1" t="s">
        <v>221</v>
      </c>
      <c r="T8785" s="1" t="s">
        <v>383</v>
      </c>
      <c r="U8785" s="2" t="s">
        <v>9760</v>
      </c>
      <c r="V8785" s="2" t="s">
        <v>47</v>
      </c>
      <c r="W8785" s="2" t="s">
        <v>119</v>
      </c>
      <c r="X8785" s="2">
        <v>36.68</v>
      </c>
    </row>
    <row r="8786" spans="1:24" x14ac:dyDescent="0.3">
      <c r="A8786">
        <v>4087</v>
      </c>
      <c r="B8786" t="s">
        <v>16026</v>
      </c>
      <c r="C8786" s="3">
        <v>41478</v>
      </c>
      <c r="D8786" t="s">
        <v>25</v>
      </c>
      <c r="E8786">
        <v>4</v>
      </c>
      <c r="F8786" s="3">
        <f ca="1">41482+(RANDBETWEEN(1,10))</f>
        <v>41483</v>
      </c>
      <c r="G8786" t="s">
        <v>26</v>
      </c>
      <c r="H8786" t="s">
        <v>51</v>
      </c>
      <c r="I8786" t="s">
        <v>86</v>
      </c>
      <c r="J8786">
        <v>273.59500000000003</v>
      </c>
      <c r="K8786">
        <v>0</v>
      </c>
      <c r="L8786">
        <v>0.45</v>
      </c>
      <c r="M8786">
        <v>6.9649999999999999</v>
      </c>
      <c r="N8786">
        <v>-190.20330000000001</v>
      </c>
      <c r="O8786" s="1" t="s">
        <v>53</v>
      </c>
      <c r="P8786" s="1" t="s">
        <v>284</v>
      </c>
      <c r="Q8786" s="1" t="s">
        <v>285</v>
      </c>
      <c r="R8786" s="1" t="s">
        <v>56</v>
      </c>
      <c r="S8786" s="1" t="s">
        <v>57</v>
      </c>
      <c r="T8786" s="1" t="s">
        <v>58</v>
      </c>
      <c r="U8786" s="2" t="s">
        <v>59</v>
      </c>
      <c r="V8786" s="2" t="s">
        <v>36</v>
      </c>
      <c r="W8786" s="2" t="s">
        <v>60</v>
      </c>
      <c r="X8786" s="2">
        <v>61.18</v>
      </c>
    </row>
    <row r="8787" spans="1:24" x14ac:dyDescent="0.3">
      <c r="A8787">
        <v>4088</v>
      </c>
      <c r="B8787" t="s">
        <v>16026</v>
      </c>
      <c r="C8787" s="3">
        <v>41478</v>
      </c>
      <c r="D8787" t="s">
        <v>25</v>
      </c>
      <c r="E8787">
        <v>18</v>
      </c>
      <c r="F8787" s="3">
        <f ca="1">41478+(RANDBETWEEN(1,10))</f>
        <v>41486</v>
      </c>
      <c r="G8787" t="s">
        <v>26</v>
      </c>
      <c r="H8787" t="s">
        <v>27</v>
      </c>
      <c r="I8787" t="s">
        <v>86</v>
      </c>
      <c r="J8787">
        <v>460.32</v>
      </c>
      <c r="K8787">
        <v>0.06</v>
      </c>
      <c r="L8787">
        <v>0.83</v>
      </c>
      <c r="M8787">
        <v>33.914999999999999</v>
      </c>
      <c r="N8787">
        <v>-494.77994999999999</v>
      </c>
      <c r="O8787" s="1" t="s">
        <v>53</v>
      </c>
      <c r="P8787" s="1" t="s">
        <v>284</v>
      </c>
      <c r="Q8787" s="1" t="s">
        <v>285</v>
      </c>
      <c r="R8787" s="1" t="s">
        <v>56</v>
      </c>
      <c r="S8787" s="1" t="s">
        <v>57</v>
      </c>
      <c r="T8787" s="1" t="s">
        <v>58</v>
      </c>
      <c r="U8787" s="2" t="s">
        <v>6865</v>
      </c>
      <c r="V8787" s="2" t="s">
        <v>47</v>
      </c>
      <c r="W8787" s="2" t="s">
        <v>119</v>
      </c>
      <c r="X8787" s="2">
        <v>24.43</v>
      </c>
    </row>
    <row r="8788" spans="1:24" x14ac:dyDescent="0.3">
      <c r="A8788">
        <v>4109</v>
      </c>
      <c r="B8788" t="s">
        <v>16027</v>
      </c>
      <c r="C8788" s="3">
        <v>41438</v>
      </c>
      <c r="D8788" t="s">
        <v>25</v>
      </c>
      <c r="E8788">
        <v>20</v>
      </c>
      <c r="F8788" s="3">
        <f ca="1">41442+(RANDBETWEEN(1,10))</f>
        <v>41447</v>
      </c>
      <c r="G8788" t="s">
        <v>26</v>
      </c>
      <c r="H8788" t="s">
        <v>63</v>
      </c>
      <c r="I8788" t="s">
        <v>28</v>
      </c>
      <c r="J8788">
        <v>18413.5</v>
      </c>
      <c r="K8788">
        <v>0.1</v>
      </c>
      <c r="L8788" t="s">
        <v>182</v>
      </c>
      <c r="M8788">
        <v>85.715000000000003</v>
      </c>
      <c r="N8788">
        <v>1589.91</v>
      </c>
      <c r="O8788" s="1" t="s">
        <v>40</v>
      </c>
      <c r="P8788" s="1" t="s">
        <v>16028</v>
      </c>
      <c r="Q8788" s="1" t="s">
        <v>16029</v>
      </c>
      <c r="R8788" s="1" t="s">
        <v>43</v>
      </c>
      <c r="S8788" s="1" t="s">
        <v>44</v>
      </c>
      <c r="T8788" s="1" t="s">
        <v>16030</v>
      </c>
      <c r="U8788" s="2" t="s">
        <v>1520</v>
      </c>
      <c r="V8788" s="2" t="s">
        <v>83</v>
      </c>
      <c r="W8788" s="2" t="s">
        <v>84</v>
      </c>
      <c r="X8788" s="2">
        <v>966.7</v>
      </c>
    </row>
    <row r="8789" spans="1:24" x14ac:dyDescent="0.3">
      <c r="A8789">
        <v>4110</v>
      </c>
      <c r="B8789" t="s">
        <v>16027</v>
      </c>
      <c r="C8789" s="3">
        <v>41438</v>
      </c>
      <c r="D8789" t="s">
        <v>25</v>
      </c>
      <c r="E8789">
        <v>78</v>
      </c>
      <c r="F8789" s="3">
        <f ca="1">41443+(RANDBETWEEN(1,10))</f>
        <v>41444</v>
      </c>
      <c r="G8789" t="s">
        <v>156</v>
      </c>
      <c r="H8789" t="s">
        <v>96</v>
      </c>
      <c r="I8789" t="s">
        <v>28</v>
      </c>
      <c r="J8789">
        <v>1758.19</v>
      </c>
      <c r="K8789">
        <v>0.05</v>
      </c>
      <c r="L8789">
        <v>0.39</v>
      </c>
      <c r="M8789">
        <v>3.57</v>
      </c>
      <c r="N8789">
        <v>439.77499999999998</v>
      </c>
      <c r="O8789" s="1" t="s">
        <v>40</v>
      </c>
      <c r="P8789" s="1" t="s">
        <v>16028</v>
      </c>
      <c r="Q8789" s="1" t="s">
        <v>16029</v>
      </c>
      <c r="R8789" s="1" t="s">
        <v>43</v>
      </c>
      <c r="S8789" s="1" t="s">
        <v>44</v>
      </c>
      <c r="T8789" s="1" t="s">
        <v>16030</v>
      </c>
      <c r="U8789" s="2" t="s">
        <v>3728</v>
      </c>
      <c r="V8789" s="2" t="s">
        <v>47</v>
      </c>
      <c r="W8789" s="2" t="s">
        <v>74</v>
      </c>
      <c r="X8789" s="2">
        <v>22.225000000000001</v>
      </c>
    </row>
    <row r="8790" spans="1:24" x14ac:dyDescent="0.3">
      <c r="A8790">
        <v>4112</v>
      </c>
      <c r="B8790" t="s">
        <v>16031</v>
      </c>
      <c r="C8790" s="3">
        <v>41611</v>
      </c>
      <c r="D8790" t="s">
        <v>25</v>
      </c>
      <c r="E8790">
        <v>22</v>
      </c>
      <c r="F8790" s="3">
        <f ca="1">41615+(RANDBETWEEN(1,10))</f>
        <v>41620</v>
      </c>
      <c r="G8790" t="s">
        <v>156</v>
      </c>
      <c r="H8790" t="s">
        <v>27</v>
      </c>
      <c r="I8790" t="s">
        <v>52</v>
      </c>
      <c r="J8790">
        <v>4320.54</v>
      </c>
      <c r="K8790">
        <v>0.03</v>
      </c>
      <c r="L8790">
        <v>0.57999999999999996</v>
      </c>
      <c r="M8790">
        <v>31.465</v>
      </c>
      <c r="N8790">
        <v>-633.50825999999995</v>
      </c>
      <c r="O8790" s="1" t="s">
        <v>53</v>
      </c>
      <c r="P8790" s="1" t="s">
        <v>54</v>
      </c>
      <c r="Q8790" s="1" t="s">
        <v>55</v>
      </c>
      <c r="R8790" s="1" t="s">
        <v>56</v>
      </c>
      <c r="S8790" s="1" t="s">
        <v>57</v>
      </c>
      <c r="T8790" s="1" t="s">
        <v>58</v>
      </c>
      <c r="U8790" s="2">
        <v>8260</v>
      </c>
      <c r="V8790" s="2" t="s">
        <v>36</v>
      </c>
      <c r="W8790" s="2" t="s">
        <v>37</v>
      </c>
      <c r="X8790" s="2">
        <v>230.965</v>
      </c>
    </row>
    <row r="8791" spans="1:24" x14ac:dyDescent="0.3">
      <c r="A8791">
        <v>4125</v>
      </c>
      <c r="B8791" t="s">
        <v>16032</v>
      </c>
      <c r="C8791" s="3">
        <v>40567</v>
      </c>
      <c r="D8791" t="s">
        <v>25</v>
      </c>
      <c r="E8791">
        <v>30</v>
      </c>
      <c r="F8791" s="3">
        <f ca="1">40569+(RANDBETWEEN(1,10))</f>
        <v>40570</v>
      </c>
      <c r="G8791" t="s">
        <v>26</v>
      </c>
      <c r="H8791" t="s">
        <v>63</v>
      </c>
      <c r="I8791" t="s">
        <v>86</v>
      </c>
      <c r="J8791">
        <v>23290.365000000002</v>
      </c>
      <c r="K8791">
        <v>0.1</v>
      </c>
      <c r="L8791" t="s">
        <v>182</v>
      </c>
      <c r="M8791">
        <v>85.715000000000003</v>
      </c>
      <c r="N8791">
        <v>1612.366</v>
      </c>
      <c r="O8791" s="1" t="s">
        <v>29</v>
      </c>
      <c r="P8791" s="1" t="s">
        <v>10720</v>
      </c>
      <c r="Q8791" s="1" t="s">
        <v>10721</v>
      </c>
      <c r="R8791" s="1" t="s">
        <v>32</v>
      </c>
      <c r="S8791" s="1" t="s">
        <v>33</v>
      </c>
      <c r="T8791" s="1" t="s">
        <v>10722</v>
      </c>
      <c r="U8791" s="2" t="s">
        <v>9819</v>
      </c>
      <c r="V8791" s="2" t="s">
        <v>83</v>
      </c>
      <c r="W8791" s="2" t="s">
        <v>84</v>
      </c>
      <c r="X8791" s="2">
        <v>834.4</v>
      </c>
    </row>
    <row r="8792" spans="1:24" x14ac:dyDescent="0.3">
      <c r="A8792">
        <v>4126</v>
      </c>
      <c r="B8792" t="s">
        <v>16032</v>
      </c>
      <c r="C8792" s="3">
        <v>40567</v>
      </c>
      <c r="D8792" t="s">
        <v>25</v>
      </c>
      <c r="E8792">
        <v>21</v>
      </c>
      <c r="F8792" s="3">
        <f ca="1">40569+(RANDBETWEEN(1,10))</f>
        <v>40574</v>
      </c>
      <c r="G8792" t="s">
        <v>156</v>
      </c>
      <c r="H8792" t="s">
        <v>63</v>
      </c>
      <c r="I8792" t="s">
        <v>86</v>
      </c>
      <c r="J8792">
        <v>15503.915000000001</v>
      </c>
      <c r="K8792">
        <v>0.03</v>
      </c>
      <c r="L8792">
        <v>0.46</v>
      </c>
      <c r="M8792">
        <v>85.715000000000003</v>
      </c>
      <c r="N8792">
        <v>1376.97</v>
      </c>
      <c r="O8792" s="1" t="s">
        <v>29</v>
      </c>
      <c r="P8792" s="1" t="s">
        <v>10720</v>
      </c>
      <c r="Q8792" s="1" t="s">
        <v>10721</v>
      </c>
      <c r="R8792" s="1" t="s">
        <v>32</v>
      </c>
      <c r="S8792" s="1" t="s">
        <v>33</v>
      </c>
      <c r="T8792" s="1" t="s">
        <v>10722</v>
      </c>
      <c r="U8792" s="2" t="s">
        <v>7870</v>
      </c>
      <c r="V8792" s="2" t="s">
        <v>36</v>
      </c>
      <c r="W8792" s="2" t="s">
        <v>1327</v>
      </c>
      <c r="X8792" s="2">
        <v>699.96500000000003</v>
      </c>
    </row>
    <row r="8793" spans="1:24" x14ac:dyDescent="0.3">
      <c r="A8793">
        <v>4131</v>
      </c>
      <c r="B8793" t="s">
        <v>16033</v>
      </c>
      <c r="C8793" s="3">
        <v>40780</v>
      </c>
      <c r="D8793" t="s">
        <v>39</v>
      </c>
      <c r="E8793">
        <v>85</v>
      </c>
      <c r="F8793" s="3">
        <f ca="1">40782+(RANDBETWEEN(1,10))</f>
        <v>40784</v>
      </c>
      <c r="G8793" t="s">
        <v>26</v>
      </c>
      <c r="H8793" t="s">
        <v>27</v>
      </c>
      <c r="I8793" t="s">
        <v>52</v>
      </c>
      <c r="J8793">
        <v>15948.205</v>
      </c>
      <c r="K8793">
        <v>0.05</v>
      </c>
      <c r="L8793">
        <v>0.39</v>
      </c>
      <c r="M8793">
        <v>56.384999999999998</v>
      </c>
      <c r="N8793">
        <v>2073.8427499999998</v>
      </c>
      <c r="O8793" s="1" t="s">
        <v>64</v>
      </c>
      <c r="P8793" s="1" t="s">
        <v>173</v>
      </c>
      <c r="Q8793" s="1" t="s">
        <v>174</v>
      </c>
      <c r="R8793" s="1" t="s">
        <v>67</v>
      </c>
      <c r="S8793" s="1" t="s">
        <v>108</v>
      </c>
      <c r="T8793" s="1" t="s">
        <v>109</v>
      </c>
      <c r="U8793" s="2" t="s">
        <v>6436</v>
      </c>
      <c r="V8793" s="2" t="s">
        <v>47</v>
      </c>
      <c r="W8793" s="2" t="s">
        <v>111</v>
      </c>
      <c r="X8793" s="2">
        <v>183.4</v>
      </c>
    </row>
    <row r="8794" spans="1:24" x14ac:dyDescent="0.3">
      <c r="A8794">
        <v>4132</v>
      </c>
      <c r="B8794" t="s">
        <v>16034</v>
      </c>
      <c r="C8794" s="3">
        <v>41876</v>
      </c>
      <c r="D8794" t="s">
        <v>39</v>
      </c>
      <c r="E8794">
        <v>20</v>
      </c>
      <c r="F8794" s="3">
        <f ca="1">41879+(RANDBETWEEN(1,10))</f>
        <v>41886</v>
      </c>
      <c r="G8794" t="s">
        <v>26</v>
      </c>
      <c r="H8794" t="s">
        <v>27</v>
      </c>
      <c r="I8794" t="s">
        <v>52</v>
      </c>
      <c r="J8794">
        <v>1052.31</v>
      </c>
      <c r="K8794">
        <v>0.1</v>
      </c>
      <c r="L8794">
        <v>0.81</v>
      </c>
      <c r="M8794">
        <v>15.855</v>
      </c>
      <c r="N8794">
        <v>-167.58</v>
      </c>
      <c r="O8794" s="1" t="s">
        <v>64</v>
      </c>
      <c r="P8794" s="1" t="s">
        <v>173</v>
      </c>
      <c r="Q8794" s="1" t="s">
        <v>174</v>
      </c>
      <c r="R8794" s="1" t="s">
        <v>67</v>
      </c>
      <c r="S8794" s="1" t="s">
        <v>108</v>
      </c>
      <c r="T8794" s="1" t="s">
        <v>109</v>
      </c>
      <c r="U8794" s="2" t="s">
        <v>2304</v>
      </c>
      <c r="V8794" s="2" t="s">
        <v>47</v>
      </c>
      <c r="W8794" s="2" t="s">
        <v>119</v>
      </c>
      <c r="X8794" s="2">
        <v>52.99</v>
      </c>
    </row>
    <row r="8795" spans="1:24" x14ac:dyDescent="0.3">
      <c r="A8795">
        <v>4133</v>
      </c>
      <c r="B8795" t="s">
        <v>16033</v>
      </c>
      <c r="C8795" s="3">
        <v>40780</v>
      </c>
      <c r="D8795" t="s">
        <v>39</v>
      </c>
      <c r="E8795">
        <v>83</v>
      </c>
      <c r="F8795" s="3">
        <f ca="1">40781+(RANDBETWEEN(1,10))</f>
        <v>40786</v>
      </c>
      <c r="G8795" t="s">
        <v>156</v>
      </c>
      <c r="H8795" t="s">
        <v>96</v>
      </c>
      <c r="I8795" t="s">
        <v>52</v>
      </c>
      <c r="J8795">
        <v>10320.135</v>
      </c>
      <c r="K8795">
        <v>0.05</v>
      </c>
      <c r="L8795">
        <v>0.41</v>
      </c>
      <c r="M8795">
        <v>48.615000000000002</v>
      </c>
      <c r="N8795">
        <v>814.8</v>
      </c>
      <c r="O8795" s="1" t="s">
        <v>64</v>
      </c>
      <c r="P8795" s="1" t="s">
        <v>173</v>
      </c>
      <c r="Q8795" s="1" t="s">
        <v>174</v>
      </c>
      <c r="R8795" s="1" t="s">
        <v>67</v>
      </c>
      <c r="S8795" s="1" t="s">
        <v>108</v>
      </c>
      <c r="T8795" s="1" t="s">
        <v>109</v>
      </c>
      <c r="U8795" s="2" t="s">
        <v>530</v>
      </c>
      <c r="V8795" s="2" t="s">
        <v>47</v>
      </c>
      <c r="W8795" s="2" t="s">
        <v>104</v>
      </c>
      <c r="X8795" s="2">
        <v>127.925</v>
      </c>
    </row>
    <row r="8796" spans="1:24" x14ac:dyDescent="0.3">
      <c r="A8796">
        <v>4162</v>
      </c>
      <c r="B8796" t="s">
        <v>16035</v>
      </c>
      <c r="C8796" s="3">
        <v>41679</v>
      </c>
      <c r="D8796" t="s">
        <v>25</v>
      </c>
      <c r="E8796">
        <v>14</v>
      </c>
      <c r="F8796" s="3">
        <f ca="1">41681+(RANDBETWEEN(1,10))</f>
        <v>41686</v>
      </c>
      <c r="G8796" t="s">
        <v>76</v>
      </c>
      <c r="H8796" t="s">
        <v>258</v>
      </c>
      <c r="I8796" t="s">
        <v>52</v>
      </c>
      <c r="J8796">
        <v>10673.705</v>
      </c>
      <c r="K8796">
        <v>0.04</v>
      </c>
      <c r="L8796">
        <v>0.66</v>
      </c>
      <c r="M8796">
        <v>124.845</v>
      </c>
      <c r="N8796">
        <v>-3160.9515237999999</v>
      </c>
      <c r="O8796" s="1" t="s">
        <v>53</v>
      </c>
      <c r="P8796" s="1" t="s">
        <v>54</v>
      </c>
      <c r="Q8796" s="1" t="s">
        <v>55</v>
      </c>
      <c r="R8796" s="1" t="s">
        <v>56</v>
      </c>
      <c r="S8796" s="1" t="s">
        <v>57</v>
      </c>
      <c r="T8796" s="1" t="s">
        <v>58</v>
      </c>
      <c r="U8796" s="2" t="s">
        <v>1073</v>
      </c>
      <c r="V8796" s="2" t="s">
        <v>83</v>
      </c>
      <c r="W8796" s="2" t="s">
        <v>263</v>
      </c>
      <c r="X8796" s="2">
        <v>983.43</v>
      </c>
    </row>
    <row r="8797" spans="1:24" x14ac:dyDescent="0.3">
      <c r="A8797">
        <v>4163</v>
      </c>
      <c r="B8797" t="s">
        <v>16035</v>
      </c>
      <c r="C8797" s="3">
        <v>41679</v>
      </c>
      <c r="D8797" t="s">
        <v>25</v>
      </c>
      <c r="E8797">
        <v>41</v>
      </c>
      <c r="F8797" s="3">
        <f ca="1">41684+(RANDBETWEEN(1,10))</f>
        <v>41691</v>
      </c>
      <c r="G8797" t="s">
        <v>26</v>
      </c>
      <c r="H8797" t="s">
        <v>27</v>
      </c>
      <c r="I8797" t="s">
        <v>52</v>
      </c>
      <c r="J8797">
        <v>4462.3249999999998</v>
      </c>
      <c r="K8797">
        <v>0.05</v>
      </c>
      <c r="L8797">
        <v>0.55000000000000004</v>
      </c>
      <c r="M8797">
        <v>3.85</v>
      </c>
      <c r="N8797">
        <v>977.83686</v>
      </c>
      <c r="O8797" s="1" t="s">
        <v>53</v>
      </c>
      <c r="P8797" s="1" t="s">
        <v>54</v>
      </c>
      <c r="Q8797" s="1" t="s">
        <v>55</v>
      </c>
      <c r="R8797" s="1" t="s">
        <v>56</v>
      </c>
      <c r="S8797" s="1" t="s">
        <v>57</v>
      </c>
      <c r="T8797" s="1" t="s">
        <v>58</v>
      </c>
      <c r="U8797" s="2" t="s">
        <v>1451</v>
      </c>
      <c r="V8797" s="2" t="s">
        <v>36</v>
      </c>
      <c r="W8797" s="2" t="s">
        <v>37</v>
      </c>
      <c r="X8797" s="2">
        <v>125.965</v>
      </c>
    </row>
    <row r="8798" spans="1:24" x14ac:dyDescent="0.3">
      <c r="A8798">
        <v>4168</v>
      </c>
      <c r="B8798" t="s">
        <v>16036</v>
      </c>
      <c r="C8798" s="3">
        <v>41901</v>
      </c>
      <c r="D8798" t="s">
        <v>25</v>
      </c>
      <c r="E8798">
        <v>63</v>
      </c>
      <c r="F8798" s="3">
        <f ca="1">41910+(RANDBETWEEN(1,10))</f>
        <v>41912</v>
      </c>
      <c r="G8798" t="s">
        <v>156</v>
      </c>
      <c r="H8798" t="s">
        <v>27</v>
      </c>
      <c r="I8798" t="s">
        <v>97</v>
      </c>
      <c r="J8798">
        <v>2341.4299999999998</v>
      </c>
      <c r="K8798">
        <v>0.08</v>
      </c>
      <c r="L8798">
        <v>0.59</v>
      </c>
      <c r="M8798">
        <v>15.75</v>
      </c>
      <c r="N8798">
        <v>-108.395</v>
      </c>
      <c r="O8798" s="1" t="s">
        <v>64</v>
      </c>
      <c r="P8798" s="1" t="s">
        <v>16037</v>
      </c>
      <c r="Q8798" s="1" t="s">
        <v>16038</v>
      </c>
      <c r="R8798" s="1" t="s">
        <v>128</v>
      </c>
      <c r="S8798" s="1" t="s">
        <v>129</v>
      </c>
      <c r="T8798" s="1" t="s">
        <v>16008</v>
      </c>
      <c r="U8798" s="2" t="s">
        <v>767</v>
      </c>
      <c r="V8798" s="2" t="s">
        <v>47</v>
      </c>
      <c r="W8798" s="2" t="s">
        <v>71</v>
      </c>
      <c r="X8798" s="2">
        <v>38.115000000000002</v>
      </c>
    </row>
    <row r="8799" spans="1:24" x14ac:dyDescent="0.3">
      <c r="A8799">
        <v>4172</v>
      </c>
      <c r="B8799" t="s">
        <v>16039</v>
      </c>
      <c r="C8799" s="3">
        <v>41063</v>
      </c>
      <c r="D8799" t="s">
        <v>50</v>
      </c>
      <c r="E8799">
        <v>27</v>
      </c>
      <c r="F8799" s="3">
        <f ca="1">41064+(RANDBETWEEN(1,10))</f>
        <v>41071</v>
      </c>
      <c r="G8799" t="s">
        <v>76</v>
      </c>
      <c r="H8799" t="s">
        <v>258</v>
      </c>
      <c r="I8799" t="s">
        <v>97</v>
      </c>
      <c r="J8799">
        <v>13952.19</v>
      </c>
      <c r="K8799">
        <v>0.1</v>
      </c>
      <c r="L8799">
        <v>0.7</v>
      </c>
      <c r="M8799">
        <v>56.034999999999997</v>
      </c>
      <c r="N8799">
        <v>296.12319975000003</v>
      </c>
      <c r="O8799" s="1" t="s">
        <v>53</v>
      </c>
      <c r="P8799" s="1" t="s">
        <v>54</v>
      </c>
      <c r="Q8799" s="1" t="s">
        <v>55</v>
      </c>
      <c r="R8799" s="1" t="s">
        <v>56</v>
      </c>
      <c r="S8799" s="1" t="s">
        <v>57</v>
      </c>
      <c r="T8799" s="1" t="s">
        <v>58</v>
      </c>
      <c r="U8799" s="2" t="s">
        <v>342</v>
      </c>
      <c r="V8799" s="2" t="s">
        <v>83</v>
      </c>
      <c r="W8799" s="2" t="s">
        <v>263</v>
      </c>
      <c r="X8799" s="2">
        <v>528.42999999999995</v>
      </c>
    </row>
    <row r="8800" spans="1:24" x14ac:dyDescent="0.3">
      <c r="A8800">
        <v>4181</v>
      </c>
      <c r="B8800" t="s">
        <v>16040</v>
      </c>
      <c r="C8800" s="3">
        <v>41720</v>
      </c>
      <c r="D8800" t="s">
        <v>62</v>
      </c>
      <c r="E8800">
        <v>43</v>
      </c>
      <c r="F8800" s="3">
        <f ca="1">41721+(RANDBETWEEN(1,10))</f>
        <v>41725</v>
      </c>
      <c r="G8800" t="s">
        <v>26</v>
      </c>
      <c r="H8800" t="s">
        <v>27</v>
      </c>
      <c r="I8800" t="s">
        <v>52</v>
      </c>
      <c r="J8800">
        <v>5290.95</v>
      </c>
      <c r="K8800">
        <v>0.02</v>
      </c>
      <c r="L8800">
        <v>0.59</v>
      </c>
      <c r="M8800">
        <v>27.055</v>
      </c>
      <c r="N8800">
        <v>775.70500000000004</v>
      </c>
      <c r="O8800" s="1" t="s">
        <v>87</v>
      </c>
      <c r="P8800" s="1" t="s">
        <v>88</v>
      </c>
      <c r="Q8800" s="1" t="s">
        <v>89</v>
      </c>
      <c r="R8800" s="1" t="s">
        <v>90</v>
      </c>
      <c r="S8800" s="1" t="s">
        <v>91</v>
      </c>
      <c r="T8800" s="1" t="s">
        <v>92</v>
      </c>
      <c r="U8800" s="2" t="s">
        <v>9353</v>
      </c>
      <c r="V8800" s="2" t="s">
        <v>47</v>
      </c>
      <c r="W8800" s="2" t="s">
        <v>104</v>
      </c>
      <c r="X8800" s="2">
        <v>122.465</v>
      </c>
    </row>
    <row r="8801" spans="1:24" x14ac:dyDescent="0.3">
      <c r="A8801">
        <v>4182</v>
      </c>
      <c r="B8801" t="s">
        <v>16041</v>
      </c>
      <c r="C8801" s="3">
        <v>41005</v>
      </c>
      <c r="D8801" t="s">
        <v>148</v>
      </c>
      <c r="E8801">
        <v>9</v>
      </c>
      <c r="F8801" s="3">
        <f ca="1">41006+(RANDBETWEEN(1,10))</f>
        <v>41016</v>
      </c>
      <c r="G8801" t="s">
        <v>26</v>
      </c>
      <c r="H8801" t="s">
        <v>27</v>
      </c>
      <c r="I8801" t="s">
        <v>52</v>
      </c>
      <c r="J8801">
        <v>106.22499999999999</v>
      </c>
      <c r="K8801">
        <v>0.01</v>
      </c>
      <c r="L8801">
        <v>0.37</v>
      </c>
      <c r="M8801">
        <v>3.4649999999999999</v>
      </c>
      <c r="N8801">
        <v>17.57</v>
      </c>
      <c r="O8801" s="1" t="s">
        <v>64</v>
      </c>
      <c r="P8801" s="1" t="s">
        <v>173</v>
      </c>
      <c r="Q8801" s="1" t="s">
        <v>174</v>
      </c>
      <c r="R8801" s="1" t="s">
        <v>67</v>
      </c>
      <c r="S8801" s="1" t="s">
        <v>108</v>
      </c>
      <c r="T8801" s="1" t="s">
        <v>109</v>
      </c>
      <c r="U8801" s="2" t="s">
        <v>796</v>
      </c>
      <c r="V8801" s="2" t="s">
        <v>47</v>
      </c>
      <c r="W8801" s="2" t="s">
        <v>203</v>
      </c>
      <c r="X8801" s="2">
        <v>10.78</v>
      </c>
    </row>
    <row r="8802" spans="1:24" x14ac:dyDescent="0.3">
      <c r="A8802">
        <v>4189</v>
      </c>
      <c r="B8802" t="s">
        <v>16042</v>
      </c>
      <c r="C8802" s="3">
        <v>41842</v>
      </c>
      <c r="D8802" t="s">
        <v>62</v>
      </c>
      <c r="E8802">
        <v>14</v>
      </c>
      <c r="F8802" s="3">
        <f ca="1">41843+(RANDBETWEEN(1,10))</f>
        <v>41849</v>
      </c>
      <c r="G8802" t="s">
        <v>156</v>
      </c>
      <c r="H8802" t="s">
        <v>27</v>
      </c>
      <c r="I8802" t="s">
        <v>86</v>
      </c>
      <c r="J8802">
        <v>808.95500000000004</v>
      </c>
      <c r="K8802">
        <v>0</v>
      </c>
      <c r="L8802">
        <v>0.39</v>
      </c>
      <c r="M8802">
        <v>29.4</v>
      </c>
      <c r="N8802">
        <v>-30.066749999999999</v>
      </c>
      <c r="O8802" s="1" t="s">
        <v>53</v>
      </c>
      <c r="P8802" s="1" t="s">
        <v>10270</v>
      </c>
      <c r="Q8802" s="1" t="s">
        <v>10271</v>
      </c>
      <c r="R8802" s="1" t="s">
        <v>100</v>
      </c>
      <c r="S8802" s="1" t="s">
        <v>101</v>
      </c>
      <c r="T8802" s="1" t="s">
        <v>10272</v>
      </c>
      <c r="U8802" s="2" t="s">
        <v>110</v>
      </c>
      <c r="V8802" s="2" t="s">
        <v>47</v>
      </c>
      <c r="W8802" s="2" t="s">
        <v>111</v>
      </c>
      <c r="X8802" s="2">
        <v>52.534999999999997</v>
      </c>
    </row>
    <row r="8803" spans="1:24" x14ac:dyDescent="0.3">
      <c r="A8803">
        <v>4204</v>
      </c>
      <c r="B8803" t="s">
        <v>16043</v>
      </c>
      <c r="C8803" s="3">
        <v>40881</v>
      </c>
      <c r="D8803" t="s">
        <v>50</v>
      </c>
      <c r="E8803">
        <v>81</v>
      </c>
      <c r="F8803" s="3">
        <f ca="1">40884+(RANDBETWEEN(1,10))</f>
        <v>40891</v>
      </c>
      <c r="G8803" t="s">
        <v>26</v>
      </c>
      <c r="H8803" t="s">
        <v>96</v>
      </c>
      <c r="I8803" t="s">
        <v>86</v>
      </c>
      <c r="J8803">
        <v>1568.91</v>
      </c>
      <c r="K8803">
        <v>0.09</v>
      </c>
      <c r="L8803">
        <v>0.51</v>
      </c>
      <c r="M8803">
        <v>5.8449999999999998</v>
      </c>
      <c r="N8803">
        <v>83.545000000000002</v>
      </c>
      <c r="O8803" s="1" t="s">
        <v>64</v>
      </c>
      <c r="P8803" s="1" t="s">
        <v>15852</v>
      </c>
      <c r="Q8803" s="1" t="s">
        <v>15853</v>
      </c>
      <c r="R8803" s="1" t="s">
        <v>128</v>
      </c>
      <c r="S8803" s="1" t="s">
        <v>129</v>
      </c>
      <c r="T8803" s="1" t="s">
        <v>15854</v>
      </c>
      <c r="U8803" s="2" t="s">
        <v>9962</v>
      </c>
      <c r="V8803" s="2" t="s">
        <v>47</v>
      </c>
      <c r="W8803" s="2" t="s">
        <v>104</v>
      </c>
      <c r="X8803" s="2">
        <v>20.93</v>
      </c>
    </row>
    <row r="8804" spans="1:24" x14ac:dyDescent="0.3">
      <c r="A8804">
        <v>4216</v>
      </c>
      <c r="B8804" t="s">
        <v>16044</v>
      </c>
      <c r="C8804" s="3">
        <v>41280</v>
      </c>
      <c r="D8804" t="s">
        <v>39</v>
      </c>
      <c r="E8804">
        <v>53</v>
      </c>
      <c r="F8804" s="3">
        <f ca="1">41281+(RANDBETWEEN(1,10))</f>
        <v>41283</v>
      </c>
      <c r="G8804" t="s">
        <v>26</v>
      </c>
      <c r="H8804" t="s">
        <v>27</v>
      </c>
      <c r="I8804" t="s">
        <v>52</v>
      </c>
      <c r="J8804">
        <v>1213.905</v>
      </c>
      <c r="K8804">
        <v>0</v>
      </c>
      <c r="L8804">
        <v>0.38</v>
      </c>
      <c r="M8804">
        <v>18.164999999999999</v>
      </c>
      <c r="N8804">
        <v>-404.88279999999997</v>
      </c>
      <c r="O8804" s="1" t="s">
        <v>53</v>
      </c>
      <c r="P8804" s="1" t="s">
        <v>10270</v>
      </c>
      <c r="Q8804" s="1" t="s">
        <v>10271</v>
      </c>
      <c r="R8804" s="1" t="s">
        <v>100</v>
      </c>
      <c r="S8804" s="1" t="s">
        <v>101</v>
      </c>
      <c r="T8804" s="1" t="s">
        <v>10272</v>
      </c>
      <c r="U8804" s="2" t="s">
        <v>1111</v>
      </c>
      <c r="V8804" s="2" t="s">
        <v>47</v>
      </c>
      <c r="W8804" s="2" t="s">
        <v>111</v>
      </c>
      <c r="X8804" s="2">
        <v>22.295000000000002</v>
      </c>
    </row>
    <row r="8805" spans="1:24" x14ac:dyDescent="0.3">
      <c r="A8805">
        <v>4217</v>
      </c>
      <c r="B8805" t="s">
        <v>16044</v>
      </c>
      <c r="C8805" s="3">
        <v>41280</v>
      </c>
      <c r="D8805" t="s">
        <v>39</v>
      </c>
      <c r="E8805">
        <v>36</v>
      </c>
      <c r="F8805" s="3">
        <f ca="1">41282+(RANDBETWEEN(1,10))</f>
        <v>41283</v>
      </c>
      <c r="G8805" t="s">
        <v>76</v>
      </c>
      <c r="H8805" t="s">
        <v>77</v>
      </c>
      <c r="I8805" t="s">
        <v>52</v>
      </c>
      <c r="J8805">
        <v>58515.45</v>
      </c>
      <c r="K8805">
        <v>0.1</v>
      </c>
      <c r="L8805">
        <v>0.6</v>
      </c>
      <c r="M8805">
        <v>91</v>
      </c>
      <c r="N8805">
        <v>4771.6059999999998</v>
      </c>
      <c r="O8805" s="1" t="s">
        <v>53</v>
      </c>
      <c r="P8805" s="1" t="s">
        <v>10270</v>
      </c>
      <c r="Q8805" s="1" t="s">
        <v>10271</v>
      </c>
      <c r="R8805" s="1" t="s">
        <v>100</v>
      </c>
      <c r="S8805" s="1" t="s">
        <v>101</v>
      </c>
      <c r="T8805" s="1" t="s">
        <v>10272</v>
      </c>
      <c r="U8805" s="2" t="s">
        <v>1670</v>
      </c>
      <c r="V8805" s="2" t="s">
        <v>83</v>
      </c>
      <c r="W8805" s="2" t="s">
        <v>84</v>
      </c>
      <c r="X8805" s="2">
        <v>1753.43</v>
      </c>
    </row>
    <row r="8806" spans="1:24" x14ac:dyDescent="0.3">
      <c r="A8806">
        <v>4219</v>
      </c>
      <c r="B8806" t="s">
        <v>16045</v>
      </c>
      <c r="C8806" s="3">
        <v>41831</v>
      </c>
      <c r="D8806" t="s">
        <v>62</v>
      </c>
      <c r="E8806">
        <v>31</v>
      </c>
      <c r="F8806" s="3">
        <f ca="1">41832+(RANDBETWEEN(1,10))</f>
        <v>41842</v>
      </c>
      <c r="G8806" t="s">
        <v>156</v>
      </c>
      <c r="H8806" t="s">
        <v>27</v>
      </c>
      <c r="I8806" t="s">
        <v>28</v>
      </c>
      <c r="J8806">
        <v>970.34</v>
      </c>
      <c r="K8806">
        <v>0.03</v>
      </c>
      <c r="L8806">
        <v>0.41</v>
      </c>
      <c r="M8806">
        <v>17.324999999999999</v>
      </c>
      <c r="N8806">
        <v>0.30485000000000001</v>
      </c>
      <c r="O8806" s="1" t="s">
        <v>64</v>
      </c>
      <c r="P8806" s="1" t="s">
        <v>252</v>
      </c>
      <c r="Q8806" s="1" t="s">
        <v>253</v>
      </c>
      <c r="R8806" s="1" t="s">
        <v>67</v>
      </c>
      <c r="S8806" s="1" t="s">
        <v>254</v>
      </c>
      <c r="T8806" s="1" t="s">
        <v>255</v>
      </c>
      <c r="U8806" s="2" t="s">
        <v>3405</v>
      </c>
      <c r="V8806" s="2" t="s">
        <v>83</v>
      </c>
      <c r="W8806" s="2" t="s">
        <v>178</v>
      </c>
      <c r="X8806" s="2">
        <v>27.86</v>
      </c>
    </row>
    <row r="8807" spans="1:24" x14ac:dyDescent="0.3">
      <c r="A8807">
        <v>4229</v>
      </c>
      <c r="B8807" t="s">
        <v>16046</v>
      </c>
      <c r="C8807" s="3">
        <v>41438</v>
      </c>
      <c r="D8807" t="s">
        <v>148</v>
      </c>
      <c r="E8807">
        <v>73</v>
      </c>
      <c r="F8807" s="3">
        <f ca="1">41440+(RANDBETWEEN(1,10))</f>
        <v>41450</v>
      </c>
      <c r="G8807" t="s">
        <v>76</v>
      </c>
      <c r="H8807" t="s">
        <v>77</v>
      </c>
      <c r="I8807" t="s">
        <v>97</v>
      </c>
      <c r="J8807">
        <v>45090.71</v>
      </c>
      <c r="K8807">
        <v>0.06</v>
      </c>
      <c r="L8807">
        <v>0.56999999999999995</v>
      </c>
      <c r="M8807">
        <v>193.34</v>
      </c>
      <c r="N8807">
        <v>1517.7049999999999</v>
      </c>
      <c r="O8807" s="1" t="s">
        <v>40</v>
      </c>
      <c r="P8807" s="1" t="s">
        <v>121</v>
      </c>
      <c r="Q8807" s="1" t="s">
        <v>122</v>
      </c>
      <c r="R8807" s="1" t="s">
        <v>43</v>
      </c>
      <c r="S8807" s="1" t="s">
        <v>44</v>
      </c>
      <c r="T8807" s="1" t="s">
        <v>123</v>
      </c>
      <c r="U8807" s="2" t="s">
        <v>4544</v>
      </c>
      <c r="V8807" s="2" t="s">
        <v>47</v>
      </c>
      <c r="W8807" s="2" t="s">
        <v>71</v>
      </c>
      <c r="X8807" s="2">
        <v>633.42999999999995</v>
      </c>
    </row>
    <row r="8808" spans="1:24" x14ac:dyDescent="0.3">
      <c r="A8808">
        <v>4235</v>
      </c>
      <c r="B8808" t="s">
        <v>16047</v>
      </c>
      <c r="C8808" s="3">
        <v>41137</v>
      </c>
      <c r="D8808" t="s">
        <v>25</v>
      </c>
      <c r="E8808">
        <v>13</v>
      </c>
      <c r="F8808" s="3">
        <f ca="1">41144+(RANDBETWEEN(1,10))</f>
        <v>41153</v>
      </c>
      <c r="G8808" t="s">
        <v>156</v>
      </c>
      <c r="H8808" t="s">
        <v>63</v>
      </c>
      <c r="I8808" t="s">
        <v>28</v>
      </c>
      <c r="J8808">
        <v>30337.334999999999</v>
      </c>
      <c r="K8808">
        <v>0.09</v>
      </c>
      <c r="L8808">
        <v>0.41</v>
      </c>
      <c r="M8808">
        <v>85.715000000000003</v>
      </c>
      <c r="N8808">
        <v>-1270.08</v>
      </c>
      <c r="O8808" s="1" t="s">
        <v>40</v>
      </c>
      <c r="P8808" s="1" t="s">
        <v>133</v>
      </c>
      <c r="Q8808" s="1" t="s">
        <v>134</v>
      </c>
      <c r="R8808" s="1" t="s">
        <v>43</v>
      </c>
      <c r="S8808" s="1" t="s">
        <v>44</v>
      </c>
      <c r="T8808" s="1" t="s">
        <v>135</v>
      </c>
      <c r="U8808" s="2" t="s">
        <v>1326</v>
      </c>
      <c r="V8808" s="2" t="s">
        <v>36</v>
      </c>
      <c r="W8808" s="2" t="s">
        <v>1327</v>
      </c>
      <c r="X8808" s="2">
        <v>2449.9650000000001</v>
      </c>
    </row>
    <row r="8809" spans="1:24" x14ac:dyDescent="0.3">
      <c r="A8809">
        <v>4258</v>
      </c>
      <c r="B8809" t="s">
        <v>16048</v>
      </c>
      <c r="C8809" s="3">
        <v>40937</v>
      </c>
      <c r="D8809" t="s">
        <v>148</v>
      </c>
      <c r="E8809">
        <v>28</v>
      </c>
      <c r="F8809" s="3">
        <f ca="1">40939+(RANDBETWEEN(1,10))</f>
        <v>40943</v>
      </c>
      <c r="G8809" t="s">
        <v>26</v>
      </c>
      <c r="H8809" t="s">
        <v>27</v>
      </c>
      <c r="I8809" t="s">
        <v>28</v>
      </c>
      <c r="J8809">
        <v>18042.744999999999</v>
      </c>
      <c r="K8809">
        <v>0.06</v>
      </c>
      <c r="L8809">
        <v>0.71</v>
      </c>
      <c r="M8809">
        <v>69.965000000000003</v>
      </c>
      <c r="N8809">
        <v>516.30600000000004</v>
      </c>
      <c r="O8809" s="1" t="s">
        <v>40</v>
      </c>
      <c r="P8809" s="1" t="s">
        <v>133</v>
      </c>
      <c r="Q8809" s="1" t="s">
        <v>134</v>
      </c>
      <c r="R8809" s="1" t="s">
        <v>43</v>
      </c>
      <c r="S8809" s="1" t="s">
        <v>44</v>
      </c>
      <c r="T8809" s="1" t="s">
        <v>135</v>
      </c>
      <c r="U8809" s="2" t="s">
        <v>624</v>
      </c>
      <c r="V8809" s="2" t="s">
        <v>47</v>
      </c>
      <c r="W8809" s="2" t="s">
        <v>119</v>
      </c>
      <c r="X8809" s="2">
        <v>676.09500000000003</v>
      </c>
    </row>
    <row r="8810" spans="1:24" x14ac:dyDescent="0.3">
      <c r="A8810">
        <v>4267</v>
      </c>
      <c r="B8810" t="s">
        <v>16049</v>
      </c>
      <c r="C8810" s="3">
        <v>41151</v>
      </c>
      <c r="D8810" t="s">
        <v>39</v>
      </c>
      <c r="E8810">
        <v>2</v>
      </c>
      <c r="F8810" s="3">
        <f ca="1">41153+(RANDBETWEEN(1,10))</f>
        <v>41156</v>
      </c>
      <c r="G8810" t="s">
        <v>26</v>
      </c>
      <c r="H8810" t="s">
        <v>51</v>
      </c>
      <c r="I8810" t="s">
        <v>28</v>
      </c>
      <c r="J8810">
        <v>100.8</v>
      </c>
      <c r="K8810">
        <v>0.1</v>
      </c>
      <c r="L8810">
        <v>0.55000000000000004</v>
      </c>
      <c r="M8810">
        <v>9.9749999999999996</v>
      </c>
      <c r="N8810">
        <v>-25.864999999999998</v>
      </c>
      <c r="O8810" s="1" t="s">
        <v>53</v>
      </c>
      <c r="P8810" s="1" t="s">
        <v>168</v>
      </c>
      <c r="Q8810" s="1" t="s">
        <v>169</v>
      </c>
      <c r="R8810" s="1" t="s">
        <v>100</v>
      </c>
      <c r="S8810" s="1" t="s">
        <v>101</v>
      </c>
      <c r="T8810" s="1" t="s">
        <v>170</v>
      </c>
      <c r="U8810" s="2" t="s">
        <v>3256</v>
      </c>
      <c r="V8810" s="2" t="s">
        <v>83</v>
      </c>
      <c r="W8810" s="2" t="s">
        <v>178</v>
      </c>
      <c r="X8810" s="2">
        <v>42.77</v>
      </c>
    </row>
    <row r="8811" spans="1:24" x14ac:dyDescent="0.3">
      <c r="A8811">
        <v>4270</v>
      </c>
      <c r="B8811" t="s">
        <v>16050</v>
      </c>
      <c r="C8811" s="3">
        <v>41762</v>
      </c>
      <c r="D8811" t="s">
        <v>25</v>
      </c>
      <c r="E8811">
        <v>26</v>
      </c>
      <c r="F8811" s="3">
        <f ca="1">41766+(RANDBETWEEN(1,10))</f>
        <v>41773</v>
      </c>
      <c r="G8811" t="s">
        <v>26</v>
      </c>
      <c r="H8811" t="s">
        <v>27</v>
      </c>
      <c r="I8811" t="s">
        <v>28</v>
      </c>
      <c r="J8811">
        <v>325.11500000000001</v>
      </c>
      <c r="K8811">
        <v>0.03</v>
      </c>
      <c r="L8811">
        <v>0.4</v>
      </c>
      <c r="M8811">
        <v>21.945</v>
      </c>
      <c r="N8811">
        <v>-325.34075000000001</v>
      </c>
      <c r="O8811" s="1" t="s">
        <v>87</v>
      </c>
      <c r="P8811" s="1" t="s">
        <v>15902</v>
      </c>
      <c r="Q8811" s="1" t="s">
        <v>15903</v>
      </c>
      <c r="R8811" s="1" t="s">
        <v>90</v>
      </c>
      <c r="S8811" s="1" t="s">
        <v>91</v>
      </c>
      <c r="T8811" s="1" t="s">
        <v>15904</v>
      </c>
      <c r="U8811" s="2" t="s">
        <v>1887</v>
      </c>
      <c r="V8811" s="2" t="s">
        <v>47</v>
      </c>
      <c r="W8811" s="2" t="s">
        <v>111</v>
      </c>
      <c r="X8811" s="2">
        <v>11.76</v>
      </c>
    </row>
    <row r="8812" spans="1:24" x14ac:dyDescent="0.3">
      <c r="A8812">
        <v>4280</v>
      </c>
      <c r="B8812" t="s">
        <v>16051</v>
      </c>
      <c r="C8812" s="3">
        <v>41311</v>
      </c>
      <c r="D8812" t="s">
        <v>62</v>
      </c>
      <c r="E8812">
        <v>38</v>
      </c>
      <c r="F8812" s="3">
        <f ca="1">41313+(RANDBETWEEN(1,10))</f>
        <v>41317</v>
      </c>
      <c r="G8812" t="s">
        <v>156</v>
      </c>
      <c r="H8812" t="s">
        <v>27</v>
      </c>
      <c r="I8812" t="s">
        <v>28</v>
      </c>
      <c r="J8812">
        <v>2765.28</v>
      </c>
      <c r="K8812">
        <v>0.03</v>
      </c>
      <c r="L8812">
        <v>0.37</v>
      </c>
      <c r="M8812">
        <v>30.905000000000001</v>
      </c>
      <c r="N8812">
        <v>299.88</v>
      </c>
      <c r="O8812" s="1" t="s">
        <v>64</v>
      </c>
      <c r="P8812" s="1" t="s">
        <v>7301</v>
      </c>
      <c r="Q8812" s="1" t="s">
        <v>7302</v>
      </c>
      <c r="R8812" s="1" t="s">
        <v>128</v>
      </c>
      <c r="S8812" s="1" t="s">
        <v>129</v>
      </c>
      <c r="T8812" s="1" t="s">
        <v>7303</v>
      </c>
      <c r="U8812" s="2" t="s">
        <v>7151</v>
      </c>
      <c r="V8812" s="2" t="s">
        <v>47</v>
      </c>
      <c r="W8812" s="2" t="s">
        <v>111</v>
      </c>
      <c r="X8812" s="2">
        <v>73.430000000000007</v>
      </c>
    </row>
    <row r="8813" spans="1:24" x14ac:dyDescent="0.3">
      <c r="A8813">
        <v>4281</v>
      </c>
      <c r="B8813" t="s">
        <v>16051</v>
      </c>
      <c r="C8813" s="3">
        <v>41311</v>
      </c>
      <c r="D8813" t="s">
        <v>62</v>
      </c>
      <c r="E8813">
        <v>35</v>
      </c>
      <c r="F8813" s="3">
        <f ca="1">41313+(RANDBETWEEN(1,10))</f>
        <v>41316</v>
      </c>
      <c r="G8813" t="s">
        <v>26</v>
      </c>
      <c r="H8813" t="s">
        <v>27</v>
      </c>
      <c r="I8813" t="s">
        <v>28</v>
      </c>
      <c r="J8813">
        <v>751.03</v>
      </c>
      <c r="K8813">
        <v>0.06</v>
      </c>
      <c r="L8813">
        <v>0.4</v>
      </c>
      <c r="M8813">
        <v>18.725000000000001</v>
      </c>
      <c r="N8813">
        <v>-216.65</v>
      </c>
      <c r="O8813" s="1" t="s">
        <v>64</v>
      </c>
      <c r="P8813" s="1" t="s">
        <v>7301</v>
      </c>
      <c r="Q8813" s="1" t="s">
        <v>7302</v>
      </c>
      <c r="R8813" s="1" t="s">
        <v>128</v>
      </c>
      <c r="S8813" s="1" t="s">
        <v>129</v>
      </c>
      <c r="T8813" s="1" t="s">
        <v>7303</v>
      </c>
      <c r="U8813" s="2" t="s">
        <v>2740</v>
      </c>
      <c r="V8813" s="2" t="s">
        <v>47</v>
      </c>
      <c r="W8813" s="2" t="s">
        <v>74</v>
      </c>
      <c r="X8813" s="2">
        <v>20.93</v>
      </c>
    </row>
    <row r="8814" spans="1:24" x14ac:dyDescent="0.3">
      <c r="A8814">
        <v>4308</v>
      </c>
      <c r="B8814" t="s">
        <v>16052</v>
      </c>
      <c r="C8814" s="3">
        <v>41887</v>
      </c>
      <c r="D8814" t="s">
        <v>62</v>
      </c>
      <c r="E8814">
        <v>34</v>
      </c>
      <c r="F8814" s="3">
        <f ca="1">41890+(RANDBETWEEN(1,10))</f>
        <v>41893</v>
      </c>
      <c r="G8814" t="s">
        <v>26</v>
      </c>
      <c r="H8814" t="s">
        <v>63</v>
      </c>
      <c r="I8814" t="s">
        <v>86</v>
      </c>
      <c r="J8814">
        <v>7335.4049999999997</v>
      </c>
      <c r="K8814">
        <v>0.02</v>
      </c>
      <c r="L8814">
        <v>0.68</v>
      </c>
      <c r="M8814">
        <v>241.5</v>
      </c>
      <c r="N8814">
        <v>-2264.9760000000001</v>
      </c>
      <c r="O8814" s="1" t="s">
        <v>87</v>
      </c>
      <c r="P8814" s="1" t="s">
        <v>3177</v>
      </c>
      <c r="Q8814" s="1" t="s">
        <v>3178</v>
      </c>
      <c r="R8814" s="1" t="s">
        <v>398</v>
      </c>
      <c r="S8814" s="1" t="s">
        <v>3179</v>
      </c>
      <c r="T8814" s="1" t="s">
        <v>3180</v>
      </c>
      <c r="U8814" s="2" t="s">
        <v>1152</v>
      </c>
      <c r="V8814" s="2" t="s">
        <v>83</v>
      </c>
      <c r="W8814" s="2" t="s">
        <v>263</v>
      </c>
      <c r="X8814" s="2">
        <v>249.79499999999999</v>
      </c>
    </row>
    <row r="8815" spans="1:24" x14ac:dyDescent="0.3">
      <c r="A8815">
        <v>4319</v>
      </c>
      <c r="B8815" t="s">
        <v>16053</v>
      </c>
      <c r="C8815" s="3">
        <v>41766</v>
      </c>
      <c r="D8815" t="s">
        <v>148</v>
      </c>
      <c r="E8815">
        <v>13</v>
      </c>
      <c r="F8815" s="3">
        <f ca="1">41768+(RANDBETWEEN(1,10))</f>
        <v>41776</v>
      </c>
      <c r="G8815" t="s">
        <v>76</v>
      </c>
      <c r="H8815" t="s">
        <v>258</v>
      </c>
      <c r="I8815" t="s">
        <v>86</v>
      </c>
      <c r="J8815">
        <v>3218.2150000000001</v>
      </c>
      <c r="K8815">
        <v>0.06</v>
      </c>
      <c r="L8815">
        <v>0.6</v>
      </c>
      <c r="M8815">
        <v>93.59</v>
      </c>
      <c r="N8815">
        <v>-447.79</v>
      </c>
      <c r="O8815" s="1" t="s">
        <v>40</v>
      </c>
      <c r="P8815" s="1" t="s">
        <v>15848</v>
      </c>
      <c r="Q8815" s="1" t="s">
        <v>15849</v>
      </c>
      <c r="R8815" s="1" t="s">
        <v>43</v>
      </c>
      <c r="S8815" s="1" t="s">
        <v>44</v>
      </c>
      <c r="T8815" s="1" t="s">
        <v>15850</v>
      </c>
      <c r="U8815" s="2" t="s">
        <v>3851</v>
      </c>
      <c r="V8815" s="2" t="s">
        <v>83</v>
      </c>
      <c r="W8815" s="2" t="s">
        <v>298</v>
      </c>
      <c r="X8815" s="2">
        <v>248.43</v>
      </c>
    </row>
    <row r="8816" spans="1:24" x14ac:dyDescent="0.3">
      <c r="A8816">
        <v>4320</v>
      </c>
      <c r="B8816" t="s">
        <v>16053</v>
      </c>
      <c r="C8816" s="3">
        <v>41766</v>
      </c>
      <c r="D8816" t="s">
        <v>148</v>
      </c>
      <c r="E8816">
        <v>62</v>
      </c>
      <c r="F8816" s="3">
        <f ca="1">41767+(RANDBETWEEN(1,10))</f>
        <v>41768</v>
      </c>
      <c r="G8816" t="s">
        <v>26</v>
      </c>
      <c r="H8816" t="s">
        <v>96</v>
      </c>
      <c r="I8816" t="s">
        <v>86</v>
      </c>
      <c r="J8816">
        <v>1517.39</v>
      </c>
      <c r="K8816">
        <v>0.02</v>
      </c>
      <c r="L8816">
        <v>0.52</v>
      </c>
      <c r="M8816">
        <v>5.46</v>
      </c>
      <c r="N8816">
        <v>280.45499999999998</v>
      </c>
      <c r="O8816" s="1" t="s">
        <v>40</v>
      </c>
      <c r="P8816" s="1" t="s">
        <v>15848</v>
      </c>
      <c r="Q8816" s="1" t="s">
        <v>15849</v>
      </c>
      <c r="R8816" s="1" t="s">
        <v>43</v>
      </c>
      <c r="S8816" s="1" t="s">
        <v>44</v>
      </c>
      <c r="T8816" s="1" t="s">
        <v>15850</v>
      </c>
      <c r="U8816" s="2" t="s">
        <v>6290</v>
      </c>
      <c r="V8816" s="2" t="s">
        <v>47</v>
      </c>
      <c r="W8816" s="2" t="s">
        <v>104</v>
      </c>
      <c r="X8816" s="2">
        <v>23.45</v>
      </c>
    </row>
    <row r="8817" spans="1:24" x14ac:dyDescent="0.3">
      <c r="A8817">
        <v>4321</v>
      </c>
      <c r="B8817" t="s">
        <v>16054</v>
      </c>
      <c r="C8817" s="3">
        <v>40727</v>
      </c>
      <c r="D8817" t="s">
        <v>39</v>
      </c>
      <c r="E8817">
        <v>8</v>
      </c>
      <c r="F8817" s="3">
        <f ca="1">40729+(RANDBETWEEN(1,10))</f>
        <v>40737</v>
      </c>
      <c r="G8817" t="s">
        <v>26</v>
      </c>
      <c r="H8817" t="s">
        <v>27</v>
      </c>
      <c r="I8817" t="s">
        <v>97</v>
      </c>
      <c r="J8817">
        <v>223.23</v>
      </c>
      <c r="K8817">
        <v>0.03</v>
      </c>
      <c r="L8817">
        <v>0.37</v>
      </c>
      <c r="M8817">
        <v>30.555</v>
      </c>
      <c r="N8817">
        <v>-122.64</v>
      </c>
      <c r="O8817" s="1" t="s">
        <v>40</v>
      </c>
      <c r="P8817" s="1" t="s">
        <v>15920</v>
      </c>
      <c r="Q8817" s="1" t="s">
        <v>15921</v>
      </c>
      <c r="R8817" s="1" t="s">
        <v>43</v>
      </c>
      <c r="S8817" s="1" t="s">
        <v>44</v>
      </c>
      <c r="T8817" s="1" t="s">
        <v>15922</v>
      </c>
      <c r="U8817" s="2" t="s">
        <v>2564</v>
      </c>
      <c r="V8817" s="2" t="s">
        <v>47</v>
      </c>
      <c r="W8817" s="2" t="s">
        <v>74</v>
      </c>
      <c r="X8817" s="2">
        <v>22.68</v>
      </c>
    </row>
    <row r="8818" spans="1:24" x14ac:dyDescent="0.3">
      <c r="A8818">
        <v>4322</v>
      </c>
      <c r="B8818" t="s">
        <v>16054</v>
      </c>
      <c r="C8818" s="3">
        <v>40727</v>
      </c>
      <c r="D8818" t="s">
        <v>39</v>
      </c>
      <c r="E8818">
        <v>46</v>
      </c>
      <c r="F8818" s="3">
        <f ca="1">40730+(RANDBETWEEN(1,10))</f>
        <v>40732</v>
      </c>
      <c r="G8818" t="s">
        <v>26</v>
      </c>
      <c r="H8818" t="s">
        <v>96</v>
      </c>
      <c r="I8818" t="s">
        <v>97</v>
      </c>
      <c r="J8818">
        <v>1580.635</v>
      </c>
      <c r="K8818">
        <v>7.0000000000000007E-2</v>
      </c>
      <c r="L8818">
        <v>0.43</v>
      </c>
      <c r="M8818">
        <v>3.8149999999999999</v>
      </c>
      <c r="N8818">
        <v>523.35500000000002</v>
      </c>
      <c r="O8818" s="1" t="s">
        <v>40</v>
      </c>
      <c r="P8818" s="1" t="s">
        <v>15920</v>
      </c>
      <c r="Q8818" s="1" t="s">
        <v>15921</v>
      </c>
      <c r="R8818" s="1" t="s">
        <v>43</v>
      </c>
      <c r="S8818" s="1" t="s">
        <v>44</v>
      </c>
      <c r="T8818" s="1" t="s">
        <v>15922</v>
      </c>
      <c r="U8818" s="2" t="s">
        <v>1067</v>
      </c>
      <c r="V8818" s="2" t="s">
        <v>47</v>
      </c>
      <c r="W8818" s="2" t="s">
        <v>104</v>
      </c>
      <c r="X8818" s="2">
        <v>34.755000000000003</v>
      </c>
    </row>
    <row r="8819" spans="1:24" x14ac:dyDescent="0.3">
      <c r="A8819">
        <v>4332</v>
      </c>
      <c r="B8819" t="s">
        <v>16055</v>
      </c>
      <c r="C8819" s="3">
        <v>41872</v>
      </c>
      <c r="D8819" t="s">
        <v>148</v>
      </c>
      <c r="E8819">
        <v>60</v>
      </c>
      <c r="F8819" s="3">
        <f ca="1">41873+(RANDBETWEEN(1,10))</f>
        <v>41881</v>
      </c>
      <c r="G8819" t="s">
        <v>26</v>
      </c>
      <c r="H8819" t="s">
        <v>96</v>
      </c>
      <c r="I8819" t="s">
        <v>97</v>
      </c>
      <c r="J8819">
        <v>1409.59</v>
      </c>
      <c r="K8819">
        <v>0.1</v>
      </c>
      <c r="L8819">
        <v>0.38</v>
      </c>
      <c r="M8819">
        <v>5.6</v>
      </c>
      <c r="N8819">
        <v>209.44</v>
      </c>
      <c r="O8819" s="1" t="s">
        <v>40</v>
      </c>
      <c r="P8819" s="1" t="s">
        <v>15856</v>
      </c>
      <c r="Q8819" s="1" t="s">
        <v>15857</v>
      </c>
      <c r="R8819" s="1" t="s">
        <v>220</v>
      </c>
      <c r="S8819" s="1" t="s">
        <v>221</v>
      </c>
      <c r="T8819" s="1" t="s">
        <v>15858</v>
      </c>
      <c r="U8819" s="2" t="s">
        <v>4250</v>
      </c>
      <c r="V8819" s="2" t="s">
        <v>47</v>
      </c>
      <c r="W8819" s="2" t="s">
        <v>74</v>
      </c>
      <c r="X8819" s="2">
        <v>24.43</v>
      </c>
    </row>
    <row r="8820" spans="1:24" x14ac:dyDescent="0.3">
      <c r="A8820">
        <v>4351</v>
      </c>
      <c r="B8820" t="s">
        <v>16056</v>
      </c>
      <c r="C8820" s="3">
        <v>41166</v>
      </c>
      <c r="D8820" t="s">
        <v>50</v>
      </c>
      <c r="E8820">
        <v>42</v>
      </c>
      <c r="F8820" s="3">
        <f ca="1">41168+(RANDBETWEEN(1,10))</f>
        <v>41171</v>
      </c>
      <c r="G8820" t="s">
        <v>26</v>
      </c>
      <c r="H8820" t="s">
        <v>27</v>
      </c>
      <c r="I8820" t="s">
        <v>28</v>
      </c>
      <c r="J8820">
        <v>5579.42</v>
      </c>
      <c r="K8820">
        <v>0.1</v>
      </c>
      <c r="L8820">
        <v>0.7</v>
      </c>
      <c r="M8820">
        <v>14</v>
      </c>
      <c r="N8820">
        <v>-79.204999999999998</v>
      </c>
      <c r="O8820" s="1" t="s">
        <v>40</v>
      </c>
      <c r="P8820" s="1" t="s">
        <v>133</v>
      </c>
      <c r="Q8820" s="1" t="s">
        <v>134</v>
      </c>
      <c r="R8820" s="1" t="s">
        <v>43</v>
      </c>
      <c r="S8820" s="1" t="s">
        <v>44</v>
      </c>
      <c r="T8820" s="1" t="s">
        <v>135</v>
      </c>
      <c r="U8820" s="2" t="s">
        <v>2111</v>
      </c>
      <c r="V8820" s="2" t="s">
        <v>36</v>
      </c>
      <c r="W8820" s="2" t="s">
        <v>60</v>
      </c>
      <c r="X8820" s="2">
        <v>139.93</v>
      </c>
    </row>
    <row r="8821" spans="1:24" x14ac:dyDescent="0.3">
      <c r="A8821">
        <v>4352</v>
      </c>
      <c r="B8821" t="s">
        <v>16056</v>
      </c>
      <c r="C8821" s="3">
        <v>41166</v>
      </c>
      <c r="D8821" t="s">
        <v>50</v>
      </c>
      <c r="E8821">
        <v>35</v>
      </c>
      <c r="F8821" s="3">
        <f ca="1">41168+(RANDBETWEEN(1,10))</f>
        <v>41169</v>
      </c>
      <c r="G8821" t="s">
        <v>26</v>
      </c>
      <c r="H8821" t="s">
        <v>27</v>
      </c>
      <c r="I8821" t="s">
        <v>28</v>
      </c>
      <c r="J8821">
        <v>3518.41</v>
      </c>
      <c r="K8821">
        <v>0.1</v>
      </c>
      <c r="L8821">
        <v>0.7</v>
      </c>
      <c r="M8821">
        <v>23.24</v>
      </c>
      <c r="N8821">
        <v>-124.145</v>
      </c>
      <c r="O8821" s="1" t="s">
        <v>40</v>
      </c>
      <c r="P8821" s="1" t="s">
        <v>133</v>
      </c>
      <c r="Q8821" s="1" t="s">
        <v>134</v>
      </c>
      <c r="R8821" s="1" t="s">
        <v>43</v>
      </c>
      <c r="S8821" s="1" t="s">
        <v>44</v>
      </c>
      <c r="T8821" s="1" t="s">
        <v>135</v>
      </c>
      <c r="U8821" s="2" t="s">
        <v>4355</v>
      </c>
      <c r="V8821" s="2" t="s">
        <v>47</v>
      </c>
      <c r="W8821" s="2" t="s">
        <v>119</v>
      </c>
      <c r="X8821" s="2">
        <v>104.09</v>
      </c>
    </row>
    <row r="8822" spans="1:24" x14ac:dyDescent="0.3">
      <c r="A8822">
        <v>4371</v>
      </c>
      <c r="B8822" t="s">
        <v>16057</v>
      </c>
      <c r="C8822" s="3">
        <v>41306</v>
      </c>
      <c r="D8822" t="s">
        <v>62</v>
      </c>
      <c r="E8822">
        <v>4</v>
      </c>
      <c r="F8822" s="3">
        <f ca="1">41307+(RANDBETWEEN(1,10))</f>
        <v>41316</v>
      </c>
      <c r="G8822" t="s">
        <v>26</v>
      </c>
      <c r="H8822" t="s">
        <v>27</v>
      </c>
      <c r="I8822" t="s">
        <v>97</v>
      </c>
      <c r="J8822">
        <v>46.97</v>
      </c>
      <c r="K8822">
        <v>0.03</v>
      </c>
      <c r="L8822">
        <v>0.37</v>
      </c>
      <c r="M8822">
        <v>3.4649999999999999</v>
      </c>
      <c r="N8822">
        <v>-4.41</v>
      </c>
      <c r="O8822" s="1" t="s">
        <v>40</v>
      </c>
      <c r="P8822" s="1" t="s">
        <v>259</v>
      </c>
      <c r="Q8822" s="1" t="s">
        <v>260</v>
      </c>
      <c r="R8822" s="1" t="s">
        <v>43</v>
      </c>
      <c r="S8822" s="1" t="s">
        <v>44</v>
      </c>
      <c r="T8822" s="1" t="s">
        <v>261</v>
      </c>
      <c r="U8822" s="2" t="s">
        <v>796</v>
      </c>
      <c r="V8822" s="2" t="s">
        <v>47</v>
      </c>
      <c r="W8822" s="2" t="s">
        <v>203</v>
      </c>
      <c r="X8822" s="2">
        <v>10.78</v>
      </c>
    </row>
    <row r="8823" spans="1:24" x14ac:dyDescent="0.3">
      <c r="A8823">
        <v>4374</v>
      </c>
      <c r="B8823" t="s">
        <v>16058</v>
      </c>
      <c r="C8823" s="3">
        <v>41737</v>
      </c>
      <c r="D8823" t="s">
        <v>50</v>
      </c>
      <c r="E8823">
        <v>37</v>
      </c>
      <c r="F8823" s="3">
        <f ca="1">41738+(RANDBETWEEN(1,10))</f>
        <v>41748</v>
      </c>
      <c r="G8823" t="s">
        <v>26</v>
      </c>
      <c r="H8823" t="s">
        <v>27</v>
      </c>
      <c r="I8823" t="s">
        <v>97</v>
      </c>
      <c r="J8823">
        <v>563.57000000000005</v>
      </c>
      <c r="K8823">
        <v>0.08</v>
      </c>
      <c r="L8823">
        <v>0.35</v>
      </c>
      <c r="M8823">
        <v>5.2149999999999999</v>
      </c>
      <c r="N8823">
        <v>112.66325000000001</v>
      </c>
      <c r="O8823" s="1" t="s">
        <v>53</v>
      </c>
      <c r="P8823" s="1" t="s">
        <v>16059</v>
      </c>
      <c r="Q8823" s="1" t="s">
        <v>16060</v>
      </c>
      <c r="R8823" s="1" t="s">
        <v>100</v>
      </c>
      <c r="S8823" s="1" t="s">
        <v>101</v>
      </c>
      <c r="T8823" s="1" t="s">
        <v>16061</v>
      </c>
      <c r="U8823" s="2" t="s">
        <v>5253</v>
      </c>
      <c r="V8823" s="2" t="s">
        <v>47</v>
      </c>
      <c r="W8823" s="2" t="s">
        <v>111</v>
      </c>
      <c r="X8823" s="2">
        <v>15.925000000000001</v>
      </c>
    </row>
    <row r="8824" spans="1:24" x14ac:dyDescent="0.3">
      <c r="A8824">
        <v>4375</v>
      </c>
      <c r="B8824" t="s">
        <v>16062</v>
      </c>
      <c r="C8824" s="3">
        <v>41869</v>
      </c>
      <c r="D8824" t="s">
        <v>25</v>
      </c>
      <c r="E8824">
        <v>48</v>
      </c>
      <c r="F8824" s="3">
        <f ca="1">41876+(RANDBETWEEN(1,10))</f>
        <v>41882</v>
      </c>
      <c r="G8824" t="s">
        <v>156</v>
      </c>
      <c r="H8824" t="s">
        <v>281</v>
      </c>
      <c r="I8824" t="s">
        <v>52</v>
      </c>
      <c r="J8824">
        <v>1185.4849999999999</v>
      </c>
      <c r="K8824">
        <v>0.09</v>
      </c>
      <c r="L8824">
        <v>0.6</v>
      </c>
      <c r="M8824">
        <v>17.605</v>
      </c>
      <c r="N8824">
        <v>-391.66704499999997</v>
      </c>
      <c r="O8824" s="1" t="s">
        <v>53</v>
      </c>
      <c r="P8824" s="1" t="s">
        <v>54</v>
      </c>
      <c r="Q8824" s="1" t="s">
        <v>55</v>
      </c>
      <c r="R8824" s="1" t="s">
        <v>56</v>
      </c>
      <c r="S8824" s="1" t="s">
        <v>57</v>
      </c>
      <c r="T8824" s="1" t="s">
        <v>58</v>
      </c>
      <c r="U8824" s="2" t="s">
        <v>408</v>
      </c>
      <c r="V8824" s="2" t="s">
        <v>36</v>
      </c>
      <c r="W8824" s="2" t="s">
        <v>37</v>
      </c>
      <c r="X8824" s="2">
        <v>27.965</v>
      </c>
    </row>
    <row r="8825" spans="1:24" x14ac:dyDescent="0.3">
      <c r="A8825">
        <v>439</v>
      </c>
      <c r="B8825" t="s">
        <v>16063</v>
      </c>
      <c r="C8825" s="3">
        <v>41389</v>
      </c>
      <c r="D8825" t="s">
        <v>62</v>
      </c>
      <c r="E8825">
        <v>9</v>
      </c>
      <c r="F8825" s="3">
        <f ca="1">41391+(RANDBETWEEN(1,10))</f>
        <v>41398</v>
      </c>
      <c r="G8825" t="s">
        <v>26</v>
      </c>
      <c r="H8825" t="s">
        <v>27</v>
      </c>
      <c r="I8825" t="s">
        <v>52</v>
      </c>
      <c r="J8825">
        <v>224.595</v>
      </c>
      <c r="K8825">
        <v>0.05</v>
      </c>
      <c r="L8825">
        <v>0.36</v>
      </c>
      <c r="M8825">
        <v>23.835000000000001</v>
      </c>
      <c r="N8825">
        <v>-101.71</v>
      </c>
      <c r="O8825" s="1" t="s">
        <v>53</v>
      </c>
      <c r="P8825" s="1" t="s">
        <v>2927</v>
      </c>
      <c r="Q8825" s="1" t="s">
        <v>2928</v>
      </c>
      <c r="R8825" s="1" t="s">
        <v>100</v>
      </c>
      <c r="S8825" s="1" t="s">
        <v>101</v>
      </c>
      <c r="T8825" s="1" t="s">
        <v>2929</v>
      </c>
      <c r="U8825" s="2" t="s">
        <v>2113</v>
      </c>
      <c r="V8825" s="2" t="s">
        <v>47</v>
      </c>
      <c r="W8825" s="2" t="s">
        <v>74</v>
      </c>
      <c r="X8825" s="2">
        <v>22.68</v>
      </c>
    </row>
    <row r="8826" spans="1:24" x14ac:dyDescent="0.3">
      <c r="A8826">
        <v>4396</v>
      </c>
      <c r="B8826" t="s">
        <v>16064</v>
      </c>
      <c r="C8826" s="3">
        <v>41200</v>
      </c>
      <c r="D8826" t="s">
        <v>25</v>
      </c>
      <c r="E8826">
        <v>56</v>
      </c>
      <c r="F8826" s="3">
        <f ca="1">41202+(RANDBETWEEN(1,10))</f>
        <v>41210</v>
      </c>
      <c r="G8826" t="s">
        <v>26</v>
      </c>
      <c r="H8826" t="s">
        <v>27</v>
      </c>
      <c r="I8826" t="s">
        <v>52</v>
      </c>
      <c r="J8826">
        <v>694.08500000000004</v>
      </c>
      <c r="K8826">
        <v>0.06</v>
      </c>
      <c r="L8826">
        <v>0.37</v>
      </c>
      <c r="M8826">
        <v>1.75</v>
      </c>
      <c r="N8826">
        <v>122.556</v>
      </c>
      <c r="O8826" s="1" t="s">
        <v>87</v>
      </c>
      <c r="P8826" s="1" t="s">
        <v>88</v>
      </c>
      <c r="Q8826" s="1" t="s">
        <v>89</v>
      </c>
      <c r="R8826" s="1" t="s">
        <v>90</v>
      </c>
      <c r="S8826" s="1" t="s">
        <v>91</v>
      </c>
      <c r="T8826" s="1" t="s">
        <v>92</v>
      </c>
      <c r="U8826" s="2" t="s">
        <v>2907</v>
      </c>
      <c r="V8826" s="2" t="s">
        <v>47</v>
      </c>
      <c r="W8826" s="2" t="s">
        <v>203</v>
      </c>
      <c r="X8826" s="2">
        <v>13.125</v>
      </c>
    </row>
    <row r="8827" spans="1:24" x14ac:dyDescent="0.3">
      <c r="A8827">
        <v>4398</v>
      </c>
      <c r="B8827" t="s">
        <v>16065</v>
      </c>
      <c r="C8827" s="3">
        <v>41353</v>
      </c>
      <c r="D8827" t="s">
        <v>25</v>
      </c>
      <c r="E8827">
        <v>56</v>
      </c>
      <c r="F8827" s="3">
        <f ca="1">41355+(RANDBETWEEN(1,10))</f>
        <v>41360</v>
      </c>
      <c r="G8827" t="s">
        <v>156</v>
      </c>
      <c r="H8827" t="s">
        <v>27</v>
      </c>
      <c r="I8827" t="s">
        <v>97</v>
      </c>
      <c r="J8827">
        <v>1200.0450000000001</v>
      </c>
      <c r="K8827">
        <v>0.09</v>
      </c>
      <c r="L8827">
        <v>0.39</v>
      </c>
      <c r="M8827">
        <v>5.2149999999999999</v>
      </c>
      <c r="N8827">
        <v>306.6035</v>
      </c>
      <c r="O8827" s="1" t="s">
        <v>64</v>
      </c>
      <c r="P8827" s="1" t="s">
        <v>16010</v>
      </c>
      <c r="Q8827" s="1" t="s">
        <v>16011</v>
      </c>
      <c r="R8827" s="1" t="s">
        <v>128</v>
      </c>
      <c r="S8827" s="1" t="s">
        <v>129</v>
      </c>
      <c r="T8827" s="1" t="s">
        <v>16012</v>
      </c>
      <c r="U8827" s="2" t="s">
        <v>1062</v>
      </c>
      <c r="V8827" s="2" t="s">
        <v>47</v>
      </c>
      <c r="W8827" s="2" t="s">
        <v>111</v>
      </c>
      <c r="X8827" s="2">
        <v>20.93</v>
      </c>
    </row>
    <row r="8828" spans="1:24" x14ac:dyDescent="0.3">
      <c r="A8828">
        <v>441</v>
      </c>
      <c r="B8828" t="s">
        <v>16066</v>
      </c>
      <c r="C8828" s="3">
        <v>41396</v>
      </c>
      <c r="D8828" t="s">
        <v>62</v>
      </c>
      <c r="E8828">
        <v>53</v>
      </c>
      <c r="F8828" s="3">
        <f ca="1">41397+(RANDBETWEEN(1,10))</f>
        <v>41404</v>
      </c>
      <c r="G8828" t="s">
        <v>26</v>
      </c>
      <c r="H8828" t="s">
        <v>27</v>
      </c>
      <c r="I8828" t="s">
        <v>28</v>
      </c>
      <c r="J8828">
        <v>34176.660000000003</v>
      </c>
      <c r="K8828">
        <v>0.01</v>
      </c>
      <c r="L8828">
        <v>0.6</v>
      </c>
      <c r="M8828">
        <v>69.965000000000003</v>
      </c>
      <c r="N8828">
        <v>4592.1329999999998</v>
      </c>
      <c r="O8828" s="1" t="s">
        <v>40</v>
      </c>
      <c r="P8828" s="1" t="s">
        <v>15969</v>
      </c>
      <c r="Q8828" s="1" t="s">
        <v>15970</v>
      </c>
      <c r="R8828" s="1" t="s">
        <v>43</v>
      </c>
      <c r="S8828" s="1" t="s">
        <v>44</v>
      </c>
      <c r="T8828" s="1" t="s">
        <v>15971</v>
      </c>
      <c r="U8828" s="2" t="s">
        <v>2123</v>
      </c>
      <c r="V8828" s="2" t="s">
        <v>36</v>
      </c>
      <c r="W8828" s="2" t="s">
        <v>37</v>
      </c>
      <c r="X8828" s="2">
        <v>720.96500000000003</v>
      </c>
    </row>
    <row r="8829" spans="1:24" x14ac:dyDescent="0.3">
      <c r="A8829">
        <v>4411</v>
      </c>
      <c r="B8829" t="s">
        <v>16067</v>
      </c>
      <c r="C8829" s="3">
        <v>41197</v>
      </c>
      <c r="D8829" t="s">
        <v>62</v>
      </c>
      <c r="E8829">
        <v>47</v>
      </c>
      <c r="F8829" s="3">
        <f ca="1">41199+(RANDBETWEEN(1,10))</f>
        <v>41202</v>
      </c>
      <c r="G8829" t="s">
        <v>26</v>
      </c>
      <c r="H8829" t="s">
        <v>27</v>
      </c>
      <c r="I8829" t="s">
        <v>86</v>
      </c>
      <c r="J8829">
        <v>2035.25</v>
      </c>
      <c r="K8829">
        <v>0.04</v>
      </c>
      <c r="L8829">
        <v>0.57999999999999996</v>
      </c>
      <c r="M8829">
        <v>17.43</v>
      </c>
      <c r="N8829">
        <v>-51.45</v>
      </c>
      <c r="O8829" s="1" t="s">
        <v>53</v>
      </c>
      <c r="P8829" s="1" t="s">
        <v>157</v>
      </c>
      <c r="Q8829" s="1" t="s">
        <v>158</v>
      </c>
      <c r="R8829" s="1" t="s">
        <v>56</v>
      </c>
      <c r="S8829" s="1" t="s">
        <v>159</v>
      </c>
      <c r="T8829" s="1" t="s">
        <v>160</v>
      </c>
      <c r="U8829" s="2" t="s">
        <v>5213</v>
      </c>
      <c r="V8829" s="2" t="s">
        <v>47</v>
      </c>
      <c r="W8829" s="2" t="s">
        <v>71</v>
      </c>
      <c r="X8829" s="2">
        <v>41.895000000000003</v>
      </c>
    </row>
    <row r="8830" spans="1:24" x14ac:dyDescent="0.3">
      <c r="A8830">
        <v>4412</v>
      </c>
      <c r="B8830" t="s">
        <v>16067</v>
      </c>
      <c r="C8830" s="3">
        <v>41197</v>
      </c>
      <c r="D8830" t="s">
        <v>62</v>
      </c>
      <c r="E8830">
        <v>61</v>
      </c>
      <c r="F8830" s="3">
        <f ca="1">41200+(RANDBETWEEN(1,10))</f>
        <v>41201</v>
      </c>
      <c r="G8830" t="s">
        <v>156</v>
      </c>
      <c r="H8830" t="s">
        <v>27</v>
      </c>
      <c r="I8830" t="s">
        <v>86</v>
      </c>
      <c r="J8830">
        <v>6103.2650000000003</v>
      </c>
      <c r="K8830">
        <v>0.09</v>
      </c>
      <c r="L8830">
        <v>0.7</v>
      </c>
      <c r="M8830">
        <v>23.24</v>
      </c>
      <c r="N8830">
        <v>-88.62</v>
      </c>
      <c r="O8830" s="1" t="s">
        <v>53</v>
      </c>
      <c r="P8830" s="1" t="s">
        <v>157</v>
      </c>
      <c r="Q8830" s="1" t="s">
        <v>158</v>
      </c>
      <c r="R8830" s="1" t="s">
        <v>56</v>
      </c>
      <c r="S8830" s="1" t="s">
        <v>159</v>
      </c>
      <c r="T8830" s="1" t="s">
        <v>160</v>
      </c>
      <c r="U8830" s="2" t="s">
        <v>4355</v>
      </c>
      <c r="V8830" s="2" t="s">
        <v>47</v>
      </c>
      <c r="W8830" s="2" t="s">
        <v>119</v>
      </c>
      <c r="X8830" s="2">
        <v>104.09</v>
      </c>
    </row>
    <row r="8831" spans="1:24" x14ac:dyDescent="0.3">
      <c r="A8831">
        <v>4413</v>
      </c>
      <c r="B8831" t="s">
        <v>16067</v>
      </c>
      <c r="C8831" s="3">
        <v>41197</v>
      </c>
      <c r="D8831" t="s">
        <v>62</v>
      </c>
      <c r="E8831">
        <v>41</v>
      </c>
      <c r="F8831" s="3">
        <f ca="1">41198+(RANDBETWEEN(1,10))</f>
        <v>41208</v>
      </c>
      <c r="G8831" t="s">
        <v>26</v>
      </c>
      <c r="H8831" t="s">
        <v>27</v>
      </c>
      <c r="I8831" t="s">
        <v>86</v>
      </c>
      <c r="J8831">
        <v>13408.08</v>
      </c>
      <c r="K8831">
        <v>0.03</v>
      </c>
      <c r="L8831">
        <v>0.79</v>
      </c>
      <c r="M8831">
        <v>69.965000000000003</v>
      </c>
      <c r="N8831">
        <v>-989.35199999999998</v>
      </c>
      <c r="O8831" s="1" t="s">
        <v>53</v>
      </c>
      <c r="P8831" s="1" t="s">
        <v>157</v>
      </c>
      <c r="Q8831" s="1" t="s">
        <v>158</v>
      </c>
      <c r="R8831" s="1" t="s">
        <v>56</v>
      </c>
      <c r="S8831" s="1" t="s">
        <v>159</v>
      </c>
      <c r="T8831" s="1" t="s">
        <v>160</v>
      </c>
      <c r="U8831" s="2" t="s">
        <v>1101</v>
      </c>
      <c r="V8831" s="2" t="s">
        <v>47</v>
      </c>
      <c r="W8831" s="2" t="s">
        <v>119</v>
      </c>
      <c r="X8831" s="2">
        <v>334.005</v>
      </c>
    </row>
    <row r="8832" spans="1:24" x14ac:dyDescent="0.3">
      <c r="A8832">
        <v>442</v>
      </c>
      <c r="B8832" t="s">
        <v>16066</v>
      </c>
      <c r="C8832" s="3">
        <v>41396</v>
      </c>
      <c r="D8832" t="s">
        <v>62</v>
      </c>
      <c r="E8832">
        <v>57</v>
      </c>
      <c r="F8832" s="3">
        <f ca="1">41398+(RANDBETWEEN(1,10))</f>
        <v>41402</v>
      </c>
      <c r="G8832" t="s">
        <v>26</v>
      </c>
      <c r="H8832" t="s">
        <v>27</v>
      </c>
      <c r="I8832" t="s">
        <v>28</v>
      </c>
      <c r="J8832">
        <v>29985.69</v>
      </c>
      <c r="K8832">
        <v>0.09</v>
      </c>
      <c r="L8832">
        <v>0.39</v>
      </c>
      <c r="M8832">
        <v>69.965000000000003</v>
      </c>
      <c r="N8832">
        <v>7272.6850000000004</v>
      </c>
      <c r="O8832" s="1" t="s">
        <v>40</v>
      </c>
      <c r="P8832" s="1" t="s">
        <v>15969</v>
      </c>
      <c r="Q8832" s="1" t="s">
        <v>15970</v>
      </c>
      <c r="R8832" s="1" t="s">
        <v>43</v>
      </c>
      <c r="S8832" s="1" t="s">
        <v>44</v>
      </c>
      <c r="T8832" s="1" t="s">
        <v>15971</v>
      </c>
      <c r="U8832" s="2" t="s">
        <v>2128</v>
      </c>
      <c r="V8832" s="2" t="s">
        <v>47</v>
      </c>
      <c r="W8832" s="2" t="s">
        <v>48</v>
      </c>
      <c r="X8832" s="2">
        <v>570.255</v>
      </c>
    </row>
    <row r="8833" spans="1:24" x14ac:dyDescent="0.3">
      <c r="A8833">
        <v>4420</v>
      </c>
      <c r="B8833" t="s">
        <v>16068</v>
      </c>
      <c r="C8833" s="3">
        <v>41706</v>
      </c>
      <c r="D8833" t="s">
        <v>25</v>
      </c>
      <c r="E8833">
        <v>17</v>
      </c>
      <c r="F8833" s="3">
        <f ca="1">41708+(RANDBETWEEN(1,10))</f>
        <v>41717</v>
      </c>
      <c r="G8833" t="s">
        <v>26</v>
      </c>
      <c r="H8833" t="s">
        <v>51</v>
      </c>
      <c r="I8833" t="s">
        <v>97</v>
      </c>
      <c r="J8833">
        <v>370.47500000000002</v>
      </c>
      <c r="K8833">
        <v>0.1</v>
      </c>
      <c r="L8833">
        <v>0.71</v>
      </c>
      <c r="M8833">
        <v>9.59</v>
      </c>
      <c r="N8833">
        <v>-157.01</v>
      </c>
      <c r="O8833" s="1" t="s">
        <v>64</v>
      </c>
      <c r="P8833" s="1" t="s">
        <v>16037</v>
      </c>
      <c r="Q8833" s="1" t="s">
        <v>16038</v>
      </c>
      <c r="R8833" s="1" t="s">
        <v>128</v>
      </c>
      <c r="S8833" s="1" t="s">
        <v>129</v>
      </c>
      <c r="T8833" s="1" t="s">
        <v>16008</v>
      </c>
      <c r="U8833" s="2" t="s">
        <v>3887</v>
      </c>
      <c r="V8833" s="2" t="s">
        <v>36</v>
      </c>
      <c r="W8833" s="2" t="s">
        <v>60</v>
      </c>
      <c r="X8833" s="2">
        <v>22.68</v>
      </c>
    </row>
    <row r="8834" spans="1:24" x14ac:dyDescent="0.3">
      <c r="A8834">
        <v>4421</v>
      </c>
      <c r="B8834" t="s">
        <v>16068</v>
      </c>
      <c r="C8834" s="3">
        <v>41706</v>
      </c>
      <c r="D8834" t="s">
        <v>25</v>
      </c>
      <c r="E8834">
        <v>19</v>
      </c>
      <c r="F8834" s="3">
        <f ca="1">41711+(RANDBETWEEN(1,10))</f>
        <v>41719</v>
      </c>
      <c r="G8834" t="s">
        <v>26</v>
      </c>
      <c r="H8834" t="s">
        <v>27</v>
      </c>
      <c r="I8834" t="s">
        <v>97</v>
      </c>
      <c r="J8834">
        <v>627.65499999999997</v>
      </c>
      <c r="K8834">
        <v>0</v>
      </c>
      <c r="L8834">
        <v>0.38</v>
      </c>
      <c r="M8834">
        <v>29.015000000000001</v>
      </c>
      <c r="N8834">
        <v>-205.66</v>
      </c>
      <c r="O8834" s="1" t="s">
        <v>64</v>
      </c>
      <c r="P8834" s="1" t="s">
        <v>16037</v>
      </c>
      <c r="Q8834" s="1" t="s">
        <v>16038</v>
      </c>
      <c r="R8834" s="1" t="s">
        <v>128</v>
      </c>
      <c r="S8834" s="1" t="s">
        <v>129</v>
      </c>
      <c r="T8834" s="1" t="s">
        <v>16008</v>
      </c>
      <c r="U8834" s="2" t="s">
        <v>1682</v>
      </c>
      <c r="V8834" s="2" t="s">
        <v>47</v>
      </c>
      <c r="W8834" s="2" t="s">
        <v>48</v>
      </c>
      <c r="X8834" s="2">
        <v>30.59</v>
      </c>
    </row>
    <row r="8835" spans="1:24" x14ac:dyDescent="0.3">
      <c r="A8835">
        <v>443</v>
      </c>
      <c r="B8835" t="s">
        <v>16066</v>
      </c>
      <c r="C8835" s="3">
        <v>41396</v>
      </c>
      <c r="D8835" t="s">
        <v>62</v>
      </c>
      <c r="E8835">
        <v>44</v>
      </c>
      <c r="F8835" s="3">
        <f ca="1">41397+(RANDBETWEEN(1,10))</f>
        <v>41407</v>
      </c>
      <c r="G8835" t="s">
        <v>26</v>
      </c>
      <c r="H8835" t="s">
        <v>27</v>
      </c>
      <c r="I8835" t="s">
        <v>28</v>
      </c>
      <c r="J8835">
        <v>25691.33</v>
      </c>
      <c r="K8835">
        <v>7.0000000000000007E-2</v>
      </c>
      <c r="L8835">
        <v>0.59</v>
      </c>
      <c r="M8835">
        <v>14.7</v>
      </c>
      <c r="N8835">
        <v>3315.5954999999999</v>
      </c>
      <c r="O8835" s="1" t="s">
        <v>40</v>
      </c>
      <c r="P8835" s="1" t="s">
        <v>15969</v>
      </c>
      <c r="Q8835" s="1" t="s">
        <v>15970</v>
      </c>
      <c r="R8835" s="1" t="s">
        <v>43</v>
      </c>
      <c r="S8835" s="1" t="s">
        <v>44</v>
      </c>
      <c r="T8835" s="1" t="s">
        <v>15971</v>
      </c>
      <c r="U8835" s="2" t="s">
        <v>2133</v>
      </c>
      <c r="V8835" s="2" t="s">
        <v>36</v>
      </c>
      <c r="W8835" s="2" t="s">
        <v>37</v>
      </c>
      <c r="X8835" s="2">
        <v>703.46500000000003</v>
      </c>
    </row>
    <row r="8836" spans="1:24" x14ac:dyDescent="0.3">
      <c r="A8836">
        <v>444</v>
      </c>
      <c r="B8836" t="s">
        <v>16069</v>
      </c>
      <c r="C8836" s="3">
        <v>41585</v>
      </c>
      <c r="D8836" t="s">
        <v>148</v>
      </c>
      <c r="E8836">
        <v>139</v>
      </c>
      <c r="F8836" s="3">
        <f ca="1">41586+(RANDBETWEEN(1,10))</f>
        <v>41592</v>
      </c>
      <c r="G8836" t="s">
        <v>26</v>
      </c>
      <c r="H8836" t="s">
        <v>27</v>
      </c>
      <c r="I8836" t="s">
        <v>52</v>
      </c>
      <c r="J8836">
        <v>81064.2</v>
      </c>
      <c r="K8836">
        <v>0.01</v>
      </c>
      <c r="L8836">
        <v>0.39</v>
      </c>
      <c r="M8836">
        <v>69.965000000000003</v>
      </c>
      <c r="N8836">
        <v>10783.57</v>
      </c>
      <c r="O8836" s="1" t="s">
        <v>53</v>
      </c>
      <c r="P8836" s="1" t="s">
        <v>114</v>
      </c>
      <c r="Q8836" s="1" t="s">
        <v>115</v>
      </c>
      <c r="R8836" s="1" t="s">
        <v>100</v>
      </c>
      <c r="S8836" s="1" t="s">
        <v>101</v>
      </c>
      <c r="T8836" s="1" t="s">
        <v>116</v>
      </c>
      <c r="U8836" s="2" t="s">
        <v>2128</v>
      </c>
      <c r="V8836" s="2" t="s">
        <v>47</v>
      </c>
      <c r="W8836" s="2" t="s">
        <v>48</v>
      </c>
      <c r="X8836" s="2">
        <v>570.255</v>
      </c>
    </row>
    <row r="8837" spans="1:24" x14ac:dyDescent="0.3">
      <c r="A8837">
        <v>4444</v>
      </c>
      <c r="B8837" t="s">
        <v>16070</v>
      </c>
      <c r="C8837" s="3">
        <v>41950</v>
      </c>
      <c r="D8837" t="s">
        <v>50</v>
      </c>
      <c r="E8837">
        <v>137</v>
      </c>
      <c r="F8837" s="3">
        <f ca="1">41951+(RANDBETWEEN(1,10))</f>
        <v>41961</v>
      </c>
      <c r="G8837" t="s">
        <v>26</v>
      </c>
      <c r="H8837" t="s">
        <v>27</v>
      </c>
      <c r="I8837" t="s">
        <v>28</v>
      </c>
      <c r="J8837">
        <v>2676.625</v>
      </c>
      <c r="K8837">
        <v>0.02</v>
      </c>
      <c r="L8837">
        <v>0.4</v>
      </c>
      <c r="M8837">
        <v>19.809999999999999</v>
      </c>
      <c r="N8837">
        <v>-328.23</v>
      </c>
      <c r="O8837" s="1" t="s">
        <v>64</v>
      </c>
      <c r="P8837" s="1" t="s">
        <v>7301</v>
      </c>
      <c r="Q8837" s="1" t="s">
        <v>7302</v>
      </c>
      <c r="R8837" s="1" t="s">
        <v>128</v>
      </c>
      <c r="S8837" s="1" t="s">
        <v>129</v>
      </c>
      <c r="T8837" s="1" t="s">
        <v>7303</v>
      </c>
      <c r="U8837" s="2" t="s">
        <v>9988</v>
      </c>
      <c r="V8837" s="2" t="s">
        <v>47</v>
      </c>
      <c r="W8837" s="2" t="s">
        <v>74</v>
      </c>
      <c r="X8837" s="2">
        <v>18.48</v>
      </c>
    </row>
    <row r="8838" spans="1:24" x14ac:dyDescent="0.3">
      <c r="A8838">
        <v>4465</v>
      </c>
      <c r="B8838" t="s">
        <v>16071</v>
      </c>
      <c r="C8838" s="3">
        <v>41106</v>
      </c>
      <c r="D8838" t="s">
        <v>148</v>
      </c>
      <c r="E8838">
        <v>11</v>
      </c>
      <c r="F8838" s="3">
        <f ca="1">41107+(RANDBETWEEN(1,10))</f>
        <v>41115</v>
      </c>
      <c r="G8838" t="s">
        <v>26</v>
      </c>
      <c r="H8838" t="s">
        <v>51</v>
      </c>
      <c r="I8838" t="s">
        <v>28</v>
      </c>
      <c r="J8838">
        <v>672.73500000000001</v>
      </c>
      <c r="K8838">
        <v>0.06</v>
      </c>
      <c r="L8838">
        <v>0.45</v>
      </c>
      <c r="M8838">
        <v>6.9649999999999999</v>
      </c>
      <c r="N8838">
        <v>-65.94</v>
      </c>
      <c r="O8838" s="1" t="s">
        <v>40</v>
      </c>
      <c r="P8838" s="1" t="s">
        <v>16028</v>
      </c>
      <c r="Q8838" s="1" t="s">
        <v>16029</v>
      </c>
      <c r="R8838" s="1" t="s">
        <v>43</v>
      </c>
      <c r="S8838" s="1" t="s">
        <v>44</v>
      </c>
      <c r="T8838" s="1" t="s">
        <v>16030</v>
      </c>
      <c r="U8838" s="2" t="s">
        <v>59</v>
      </c>
      <c r="V8838" s="2" t="s">
        <v>36</v>
      </c>
      <c r="W8838" s="2" t="s">
        <v>60</v>
      </c>
      <c r="X8838" s="2">
        <v>61.18</v>
      </c>
    </row>
    <row r="8839" spans="1:24" x14ac:dyDescent="0.3">
      <c r="A8839">
        <v>4471</v>
      </c>
      <c r="B8839" t="s">
        <v>16072</v>
      </c>
      <c r="C8839" s="3">
        <v>41158</v>
      </c>
      <c r="D8839" t="s">
        <v>25</v>
      </c>
      <c r="E8839">
        <v>62</v>
      </c>
      <c r="F8839" s="3">
        <f ca="1">41162+(RANDBETWEEN(1,10))</f>
        <v>41163</v>
      </c>
      <c r="G8839" t="s">
        <v>156</v>
      </c>
      <c r="H8839" t="s">
        <v>27</v>
      </c>
      <c r="I8839" t="s">
        <v>97</v>
      </c>
      <c r="J8839">
        <v>18082.435000000001</v>
      </c>
      <c r="K8839">
        <v>0.06</v>
      </c>
      <c r="L8839">
        <v>0.38</v>
      </c>
      <c r="M8839">
        <v>17.535</v>
      </c>
      <c r="N8839">
        <v>4934.5450000000001</v>
      </c>
      <c r="O8839" s="1" t="s">
        <v>64</v>
      </c>
      <c r="P8839" s="1" t="s">
        <v>189</v>
      </c>
      <c r="Q8839" s="1" t="s">
        <v>190</v>
      </c>
      <c r="R8839" s="1" t="s">
        <v>67</v>
      </c>
      <c r="S8839" s="1" t="s">
        <v>108</v>
      </c>
      <c r="T8839" s="1" t="s">
        <v>191</v>
      </c>
      <c r="U8839" s="2" t="s">
        <v>9050</v>
      </c>
      <c r="V8839" s="2" t="s">
        <v>47</v>
      </c>
      <c r="W8839" s="2" t="s">
        <v>48</v>
      </c>
      <c r="X8839" s="2">
        <v>293.93</v>
      </c>
    </row>
    <row r="8840" spans="1:24" x14ac:dyDescent="0.3">
      <c r="A8840">
        <v>4472</v>
      </c>
      <c r="B8840" t="s">
        <v>16072</v>
      </c>
      <c r="C8840" s="3">
        <v>41158</v>
      </c>
      <c r="D8840" t="s">
        <v>25</v>
      </c>
      <c r="E8840">
        <v>55</v>
      </c>
      <c r="F8840" s="3">
        <f ca="1">41162+(RANDBETWEEN(1,10))</f>
        <v>41170</v>
      </c>
      <c r="G8840" t="s">
        <v>76</v>
      </c>
      <c r="H8840" t="s">
        <v>77</v>
      </c>
      <c r="I8840" t="s">
        <v>97</v>
      </c>
      <c r="J8840">
        <v>28571.165000000001</v>
      </c>
      <c r="K8840">
        <v>0.09</v>
      </c>
      <c r="L8840">
        <v>0.55000000000000004</v>
      </c>
      <c r="M8840">
        <v>210</v>
      </c>
      <c r="N8840">
        <v>-927.92700000000002</v>
      </c>
      <c r="O8840" s="1" t="s">
        <v>64</v>
      </c>
      <c r="P8840" s="1" t="s">
        <v>189</v>
      </c>
      <c r="Q8840" s="1" t="s">
        <v>190</v>
      </c>
      <c r="R8840" s="1" t="s">
        <v>67</v>
      </c>
      <c r="S8840" s="1" t="s">
        <v>108</v>
      </c>
      <c r="T8840" s="1" t="s">
        <v>191</v>
      </c>
      <c r="U8840" s="2" t="s">
        <v>1963</v>
      </c>
      <c r="V8840" s="2" t="s">
        <v>83</v>
      </c>
      <c r="W8840" s="2" t="s">
        <v>263</v>
      </c>
      <c r="X8840" s="2">
        <v>557.58500000000004</v>
      </c>
    </row>
    <row r="8841" spans="1:24" x14ac:dyDescent="0.3">
      <c r="A8841">
        <v>448</v>
      </c>
      <c r="B8841" t="s">
        <v>16073</v>
      </c>
      <c r="C8841" s="3">
        <v>40867</v>
      </c>
      <c r="D8841" t="s">
        <v>148</v>
      </c>
      <c r="E8841">
        <v>88</v>
      </c>
      <c r="F8841" s="3">
        <f ca="1">40868+(RANDBETWEEN(1,10))</f>
        <v>40869</v>
      </c>
      <c r="G8841" t="s">
        <v>26</v>
      </c>
      <c r="H8841" t="s">
        <v>96</v>
      </c>
      <c r="I8841" t="s">
        <v>52</v>
      </c>
      <c r="J8841">
        <v>1230.46</v>
      </c>
      <c r="K8841">
        <v>0.1</v>
      </c>
      <c r="L8841">
        <v>0.44</v>
      </c>
      <c r="M8841">
        <v>4.2</v>
      </c>
      <c r="N8841">
        <v>53.97</v>
      </c>
      <c r="O8841" s="1" t="s">
        <v>64</v>
      </c>
      <c r="P8841" s="1" t="s">
        <v>183</v>
      </c>
      <c r="Q8841" s="1" t="s">
        <v>184</v>
      </c>
      <c r="R8841" s="1" t="s">
        <v>128</v>
      </c>
      <c r="S8841" s="1" t="s">
        <v>129</v>
      </c>
      <c r="T8841" s="1" t="s">
        <v>185</v>
      </c>
      <c r="U8841" s="2" t="s">
        <v>103</v>
      </c>
      <c r="V8841" s="2" t="s">
        <v>47</v>
      </c>
      <c r="W8841" s="2" t="s">
        <v>104</v>
      </c>
      <c r="X8841" s="2">
        <v>14.91</v>
      </c>
    </row>
    <row r="8842" spans="1:24" x14ac:dyDescent="0.3">
      <c r="A8842">
        <v>4480</v>
      </c>
      <c r="B8842" t="s">
        <v>16074</v>
      </c>
      <c r="C8842" s="3">
        <v>41819</v>
      </c>
      <c r="D8842" t="s">
        <v>148</v>
      </c>
      <c r="E8842">
        <v>51</v>
      </c>
      <c r="F8842" s="3">
        <f ca="1">41819+(RANDBETWEEN(1,10))</f>
        <v>41823</v>
      </c>
      <c r="G8842" t="s">
        <v>26</v>
      </c>
      <c r="H8842" t="s">
        <v>63</v>
      </c>
      <c r="I8842" t="s">
        <v>52</v>
      </c>
      <c r="J8842">
        <v>1496.5650000000001</v>
      </c>
      <c r="K8842">
        <v>0.08</v>
      </c>
      <c r="L8842">
        <v>0.59</v>
      </c>
      <c r="M8842">
        <v>35.56</v>
      </c>
      <c r="N8842">
        <v>-740.39</v>
      </c>
      <c r="O8842" s="1" t="s">
        <v>87</v>
      </c>
      <c r="P8842" s="1" t="s">
        <v>88</v>
      </c>
      <c r="Q8842" s="1" t="s">
        <v>89</v>
      </c>
      <c r="R8842" s="1" t="s">
        <v>90</v>
      </c>
      <c r="S8842" s="1" t="s">
        <v>91</v>
      </c>
      <c r="T8842" s="1" t="s">
        <v>92</v>
      </c>
      <c r="U8842" s="2" t="s">
        <v>4990</v>
      </c>
      <c r="V8842" s="2" t="s">
        <v>83</v>
      </c>
      <c r="W8842" s="2" t="s">
        <v>178</v>
      </c>
      <c r="X8842" s="2">
        <v>29.295000000000002</v>
      </c>
    </row>
    <row r="8843" spans="1:24" x14ac:dyDescent="0.3">
      <c r="A8843">
        <v>4487</v>
      </c>
      <c r="B8843" t="s">
        <v>16075</v>
      </c>
      <c r="C8843" s="3">
        <v>41450</v>
      </c>
      <c r="D8843" t="s">
        <v>39</v>
      </c>
      <c r="E8843">
        <v>21</v>
      </c>
      <c r="F8843" s="3">
        <f ca="1">41452+(RANDBETWEEN(1,10))</f>
        <v>41456</v>
      </c>
      <c r="G8843" t="s">
        <v>26</v>
      </c>
      <c r="H8843" t="s">
        <v>27</v>
      </c>
      <c r="I8843" t="s">
        <v>86</v>
      </c>
      <c r="J8843">
        <v>8519.42</v>
      </c>
      <c r="K8843">
        <v>7.0000000000000007E-2</v>
      </c>
      <c r="L8843">
        <v>0.59</v>
      </c>
      <c r="M8843">
        <v>14.7</v>
      </c>
      <c r="N8843">
        <v>-349.16689500000001</v>
      </c>
      <c r="O8843" s="1" t="s">
        <v>53</v>
      </c>
      <c r="P8843" s="1" t="s">
        <v>284</v>
      </c>
      <c r="Q8843" s="1" t="s">
        <v>285</v>
      </c>
      <c r="R8843" s="1" t="s">
        <v>56</v>
      </c>
      <c r="S8843" s="1" t="s">
        <v>57</v>
      </c>
      <c r="T8843" s="1" t="s">
        <v>58</v>
      </c>
      <c r="U8843" s="2">
        <v>7160</v>
      </c>
      <c r="V8843" s="2" t="s">
        <v>36</v>
      </c>
      <c r="W8843" s="2" t="s">
        <v>37</v>
      </c>
      <c r="X8843" s="2">
        <v>493.46499999999997</v>
      </c>
    </row>
    <row r="8844" spans="1:24" x14ac:dyDescent="0.3">
      <c r="A8844">
        <v>4501</v>
      </c>
      <c r="B8844" t="s">
        <v>16076</v>
      </c>
      <c r="C8844" s="3">
        <v>40590</v>
      </c>
      <c r="D8844" t="s">
        <v>25</v>
      </c>
      <c r="E8844">
        <v>37</v>
      </c>
      <c r="F8844" s="3">
        <f ca="1">40597+(RANDBETWEEN(1,10))</f>
        <v>40601</v>
      </c>
      <c r="G8844" t="s">
        <v>26</v>
      </c>
      <c r="H8844" t="s">
        <v>27</v>
      </c>
      <c r="I8844" t="s">
        <v>97</v>
      </c>
      <c r="J8844">
        <v>1090.81</v>
      </c>
      <c r="K8844">
        <v>0.04</v>
      </c>
      <c r="L8844">
        <v>0.38</v>
      </c>
      <c r="M8844">
        <v>21.664999999999999</v>
      </c>
      <c r="N8844">
        <v>-223.34725</v>
      </c>
      <c r="O8844" s="1" t="s">
        <v>64</v>
      </c>
      <c r="P8844" s="1" t="s">
        <v>233</v>
      </c>
      <c r="Q8844" s="1" t="s">
        <v>234</v>
      </c>
      <c r="R8844" s="1" t="s">
        <v>67</v>
      </c>
      <c r="S8844" s="1" t="s">
        <v>68</v>
      </c>
      <c r="T8844" s="1" t="s">
        <v>235</v>
      </c>
      <c r="U8844" s="2" t="s">
        <v>1202</v>
      </c>
      <c r="V8844" s="2" t="s">
        <v>47</v>
      </c>
      <c r="W8844" s="2" t="s">
        <v>111</v>
      </c>
      <c r="X8844" s="2">
        <v>30.1</v>
      </c>
    </row>
    <row r="8845" spans="1:24" x14ac:dyDescent="0.3">
      <c r="A8845">
        <v>4502</v>
      </c>
      <c r="B8845" t="s">
        <v>16076</v>
      </c>
      <c r="C8845" s="3">
        <v>40590</v>
      </c>
      <c r="D8845" t="s">
        <v>25</v>
      </c>
      <c r="E8845">
        <v>15</v>
      </c>
      <c r="F8845" s="3">
        <f ca="1">40594+(RANDBETWEEN(1,10))</f>
        <v>40602</v>
      </c>
      <c r="G8845" t="s">
        <v>26</v>
      </c>
      <c r="H8845" t="s">
        <v>63</v>
      </c>
      <c r="I8845" t="s">
        <v>97</v>
      </c>
      <c r="J8845">
        <v>34518.785000000003</v>
      </c>
      <c r="K8845">
        <v>7.0000000000000007E-2</v>
      </c>
      <c r="L8845">
        <v>0.54</v>
      </c>
      <c r="M8845">
        <v>85.715000000000003</v>
      </c>
      <c r="N8845">
        <v>1138.5150000000001</v>
      </c>
      <c r="O8845" s="1" t="s">
        <v>64</v>
      </c>
      <c r="P8845" s="1" t="s">
        <v>233</v>
      </c>
      <c r="Q8845" s="1" t="s">
        <v>234</v>
      </c>
      <c r="R8845" s="1" t="s">
        <v>67</v>
      </c>
      <c r="S8845" s="1" t="s">
        <v>68</v>
      </c>
      <c r="T8845" s="1" t="s">
        <v>235</v>
      </c>
      <c r="U8845" s="2" t="s">
        <v>7907</v>
      </c>
      <c r="V8845" s="2" t="s">
        <v>36</v>
      </c>
      <c r="W8845" s="2" t="s">
        <v>1327</v>
      </c>
      <c r="X8845" s="2">
        <v>2449.9650000000001</v>
      </c>
    </row>
    <row r="8846" spans="1:24" x14ac:dyDescent="0.3">
      <c r="A8846">
        <v>4504</v>
      </c>
      <c r="B8846" t="s">
        <v>16077</v>
      </c>
      <c r="C8846" s="3">
        <v>41610</v>
      </c>
      <c r="D8846" t="s">
        <v>148</v>
      </c>
      <c r="E8846">
        <v>50</v>
      </c>
      <c r="F8846" s="3">
        <f ca="1">41611+(RANDBETWEEN(1,10))</f>
        <v>41612</v>
      </c>
      <c r="G8846" t="s">
        <v>26</v>
      </c>
      <c r="H8846" t="s">
        <v>281</v>
      </c>
      <c r="I8846" t="s">
        <v>28</v>
      </c>
      <c r="J8846">
        <v>3151.96</v>
      </c>
      <c r="K8846">
        <v>0.09</v>
      </c>
      <c r="L8846">
        <v>0.4</v>
      </c>
      <c r="M8846">
        <v>29.785</v>
      </c>
      <c r="N8846">
        <v>-43.208550000000002</v>
      </c>
      <c r="O8846" s="1" t="s">
        <v>225</v>
      </c>
      <c r="P8846" s="1" t="s">
        <v>427</v>
      </c>
      <c r="Q8846" s="1" t="s">
        <v>428</v>
      </c>
      <c r="R8846" s="1" t="s">
        <v>228</v>
      </c>
      <c r="S8846" s="1" t="s">
        <v>229</v>
      </c>
      <c r="T8846" s="1" t="s">
        <v>429</v>
      </c>
      <c r="U8846" s="2" t="s">
        <v>282</v>
      </c>
      <c r="V8846" s="2" t="s">
        <v>36</v>
      </c>
      <c r="W8846" s="2" t="s">
        <v>142</v>
      </c>
      <c r="X8846" s="2">
        <v>62.93</v>
      </c>
    </row>
    <row r="8847" spans="1:24" x14ac:dyDescent="0.3">
      <c r="A8847">
        <v>4509</v>
      </c>
      <c r="B8847" t="s">
        <v>16078</v>
      </c>
      <c r="C8847" s="3">
        <v>41034</v>
      </c>
      <c r="D8847" t="s">
        <v>50</v>
      </c>
      <c r="E8847">
        <v>59</v>
      </c>
      <c r="F8847" s="3">
        <f ca="1">41034+(RANDBETWEEN(1,10))</f>
        <v>41035</v>
      </c>
      <c r="G8847" t="s">
        <v>26</v>
      </c>
      <c r="H8847" t="s">
        <v>27</v>
      </c>
      <c r="I8847" t="s">
        <v>97</v>
      </c>
      <c r="J8847">
        <v>2552.1999999999998</v>
      </c>
      <c r="K8847">
        <v>0.08</v>
      </c>
      <c r="L8847">
        <v>0.38</v>
      </c>
      <c r="M8847">
        <v>22.645</v>
      </c>
      <c r="N8847">
        <v>89.53</v>
      </c>
      <c r="O8847" s="1" t="s">
        <v>40</v>
      </c>
      <c r="P8847" s="1" t="s">
        <v>16079</v>
      </c>
      <c r="Q8847" s="1" t="s">
        <v>16080</v>
      </c>
      <c r="R8847" s="1" t="s">
        <v>43</v>
      </c>
      <c r="S8847" s="1" t="s">
        <v>44</v>
      </c>
      <c r="T8847" s="1" t="s">
        <v>16081</v>
      </c>
      <c r="U8847" s="2" t="s">
        <v>2420</v>
      </c>
      <c r="V8847" s="2" t="s">
        <v>47</v>
      </c>
      <c r="W8847" s="2" t="s">
        <v>74</v>
      </c>
      <c r="X8847" s="2">
        <v>42.98</v>
      </c>
    </row>
    <row r="8848" spans="1:24" x14ac:dyDescent="0.3">
      <c r="A8848">
        <v>4518</v>
      </c>
      <c r="B8848" t="s">
        <v>16082</v>
      </c>
      <c r="C8848" s="3">
        <v>40941</v>
      </c>
      <c r="D8848" t="s">
        <v>50</v>
      </c>
      <c r="E8848">
        <v>12</v>
      </c>
      <c r="F8848" s="3">
        <f ca="1">40942+(RANDBETWEEN(1,10))</f>
        <v>40950</v>
      </c>
      <c r="G8848" t="s">
        <v>26</v>
      </c>
      <c r="H8848" t="s">
        <v>27</v>
      </c>
      <c r="I8848" t="s">
        <v>86</v>
      </c>
      <c r="J8848">
        <v>269.53500000000003</v>
      </c>
      <c r="K8848">
        <v>0.02</v>
      </c>
      <c r="L8848">
        <v>0.36</v>
      </c>
      <c r="M8848">
        <v>17.36</v>
      </c>
      <c r="N8848">
        <v>-66.64</v>
      </c>
      <c r="O8848" s="1" t="s">
        <v>29</v>
      </c>
      <c r="P8848" s="1" t="s">
        <v>318</v>
      </c>
      <c r="Q8848" s="1" t="s">
        <v>319</v>
      </c>
      <c r="R8848" s="1" t="s">
        <v>32</v>
      </c>
      <c r="S8848" s="1" t="s">
        <v>33</v>
      </c>
      <c r="T8848" s="1" t="s">
        <v>320</v>
      </c>
      <c r="U8848" s="2" t="s">
        <v>1834</v>
      </c>
      <c r="V8848" s="2" t="s">
        <v>47</v>
      </c>
      <c r="W8848" s="2" t="s">
        <v>74</v>
      </c>
      <c r="X8848" s="2">
        <v>20.23</v>
      </c>
    </row>
    <row r="8849" spans="1:24" x14ac:dyDescent="0.3">
      <c r="A8849">
        <v>4519</v>
      </c>
      <c r="B8849" t="s">
        <v>16082</v>
      </c>
      <c r="C8849" s="3">
        <v>40941</v>
      </c>
      <c r="D8849" t="s">
        <v>50</v>
      </c>
      <c r="E8849">
        <v>34</v>
      </c>
      <c r="F8849" s="3">
        <f ca="1">40942+(RANDBETWEEN(1,10))</f>
        <v>40944</v>
      </c>
      <c r="G8849" t="s">
        <v>26</v>
      </c>
      <c r="H8849" t="s">
        <v>96</v>
      </c>
      <c r="I8849" t="s">
        <v>86</v>
      </c>
      <c r="J8849">
        <v>391.40499999999997</v>
      </c>
      <c r="K8849">
        <v>7.0000000000000007E-2</v>
      </c>
      <c r="L8849">
        <v>0.56000000000000005</v>
      </c>
      <c r="M8849">
        <v>13.895</v>
      </c>
      <c r="N8849">
        <v>-322.56</v>
      </c>
      <c r="O8849" s="1" t="s">
        <v>29</v>
      </c>
      <c r="P8849" s="1" t="s">
        <v>318</v>
      </c>
      <c r="Q8849" s="1" t="s">
        <v>319</v>
      </c>
      <c r="R8849" s="1" t="s">
        <v>32</v>
      </c>
      <c r="S8849" s="1" t="s">
        <v>33</v>
      </c>
      <c r="T8849" s="1" t="s">
        <v>320</v>
      </c>
      <c r="U8849" s="2" t="s">
        <v>4166</v>
      </c>
      <c r="V8849" s="2" t="s">
        <v>47</v>
      </c>
      <c r="W8849" s="2" t="s">
        <v>104</v>
      </c>
      <c r="X8849" s="2">
        <v>11.48</v>
      </c>
    </row>
    <row r="8850" spans="1:24" x14ac:dyDescent="0.3">
      <c r="A8850">
        <v>4520</v>
      </c>
      <c r="B8850" t="s">
        <v>16082</v>
      </c>
      <c r="C8850" s="3">
        <v>40941</v>
      </c>
      <c r="D8850" t="s">
        <v>50</v>
      </c>
      <c r="E8850">
        <v>23</v>
      </c>
      <c r="F8850" s="3">
        <f ca="1">40942+(RANDBETWEEN(1,10))</f>
        <v>40944</v>
      </c>
      <c r="G8850" t="s">
        <v>76</v>
      </c>
      <c r="H8850" t="s">
        <v>258</v>
      </c>
      <c r="I8850" t="s">
        <v>86</v>
      </c>
      <c r="J8850">
        <v>22935.15</v>
      </c>
      <c r="K8850">
        <v>0.1</v>
      </c>
      <c r="L8850">
        <v>0.76</v>
      </c>
      <c r="M8850">
        <v>189.42</v>
      </c>
      <c r="N8850">
        <v>-1615.075</v>
      </c>
      <c r="O8850" s="1" t="s">
        <v>29</v>
      </c>
      <c r="P8850" s="1" t="s">
        <v>318</v>
      </c>
      <c r="Q8850" s="1" t="s">
        <v>319</v>
      </c>
      <c r="R8850" s="1" t="s">
        <v>32</v>
      </c>
      <c r="S8850" s="1" t="s">
        <v>33</v>
      </c>
      <c r="T8850" s="1" t="s">
        <v>320</v>
      </c>
      <c r="U8850" s="2" t="s">
        <v>1007</v>
      </c>
      <c r="V8850" s="2" t="s">
        <v>83</v>
      </c>
      <c r="W8850" s="2" t="s">
        <v>263</v>
      </c>
      <c r="X8850" s="2">
        <v>1036.6300000000001</v>
      </c>
    </row>
    <row r="8851" spans="1:24" x14ac:dyDescent="0.3">
      <c r="A8851">
        <v>4534</v>
      </c>
      <c r="B8851" t="s">
        <v>16083</v>
      </c>
      <c r="C8851" s="3">
        <v>41870</v>
      </c>
      <c r="D8851" t="s">
        <v>39</v>
      </c>
      <c r="E8851">
        <v>92</v>
      </c>
      <c r="F8851" s="3">
        <f ca="1">41871+(RANDBETWEEN(1,10))</f>
        <v>41879</v>
      </c>
      <c r="G8851" t="s">
        <v>26</v>
      </c>
      <c r="H8851" t="s">
        <v>96</v>
      </c>
      <c r="I8851" t="s">
        <v>52</v>
      </c>
      <c r="J8851">
        <v>12276.25</v>
      </c>
      <c r="K8851">
        <v>7.0000000000000007E-2</v>
      </c>
      <c r="L8851">
        <v>0.65</v>
      </c>
      <c r="M8851">
        <v>32.200000000000003</v>
      </c>
      <c r="N8851">
        <v>752.88499999999999</v>
      </c>
      <c r="O8851" s="1" t="s">
        <v>64</v>
      </c>
      <c r="P8851" s="1" t="s">
        <v>138</v>
      </c>
      <c r="Q8851" s="1" t="s">
        <v>139</v>
      </c>
      <c r="R8851" s="1" t="s">
        <v>128</v>
      </c>
      <c r="S8851" s="1" t="s">
        <v>129</v>
      </c>
      <c r="T8851" s="1" t="s">
        <v>140</v>
      </c>
      <c r="U8851" s="2" t="s">
        <v>5818</v>
      </c>
      <c r="V8851" s="2" t="s">
        <v>83</v>
      </c>
      <c r="W8851" s="2" t="s">
        <v>178</v>
      </c>
      <c r="X8851" s="2">
        <v>139.93</v>
      </c>
    </row>
    <row r="8852" spans="1:24" x14ac:dyDescent="0.3">
      <c r="A8852">
        <v>4538</v>
      </c>
      <c r="B8852" t="s">
        <v>16084</v>
      </c>
      <c r="C8852" s="3">
        <v>41685</v>
      </c>
      <c r="D8852" t="s">
        <v>25</v>
      </c>
      <c r="E8852">
        <v>49</v>
      </c>
      <c r="F8852" s="3">
        <f ca="1">41692+(RANDBETWEEN(1,10))</f>
        <v>41696</v>
      </c>
      <c r="G8852" t="s">
        <v>26</v>
      </c>
      <c r="H8852" t="s">
        <v>27</v>
      </c>
      <c r="I8852" t="s">
        <v>28</v>
      </c>
      <c r="J8852">
        <v>17530.66</v>
      </c>
      <c r="K8852">
        <v>0.04</v>
      </c>
      <c r="L8852">
        <v>0.56999999999999995</v>
      </c>
      <c r="M8852">
        <v>20.965</v>
      </c>
      <c r="N8852">
        <v>3755.8458000000001</v>
      </c>
      <c r="O8852" s="1" t="s">
        <v>64</v>
      </c>
      <c r="P8852" s="1" t="s">
        <v>16085</v>
      </c>
      <c r="Q8852" s="1" t="s">
        <v>16086</v>
      </c>
      <c r="R8852" s="1" t="s">
        <v>67</v>
      </c>
      <c r="S8852" s="1" t="s">
        <v>254</v>
      </c>
      <c r="T8852" s="1" t="s">
        <v>255</v>
      </c>
      <c r="U8852" s="2">
        <v>2160</v>
      </c>
      <c r="V8852" s="2" t="s">
        <v>36</v>
      </c>
      <c r="W8852" s="2" t="s">
        <v>37</v>
      </c>
      <c r="X8852" s="2">
        <v>405.96499999999997</v>
      </c>
    </row>
    <row r="8853" spans="1:24" x14ac:dyDescent="0.3">
      <c r="A8853">
        <v>4539</v>
      </c>
      <c r="B8853" t="s">
        <v>16084</v>
      </c>
      <c r="C8853" s="3">
        <v>41685</v>
      </c>
      <c r="D8853" t="s">
        <v>25</v>
      </c>
      <c r="E8853">
        <v>1</v>
      </c>
      <c r="F8853" s="3">
        <f ca="1">41687+(RANDBETWEEN(1,10))</f>
        <v>41694</v>
      </c>
      <c r="G8853" t="s">
        <v>26</v>
      </c>
      <c r="H8853" t="s">
        <v>96</v>
      </c>
      <c r="I8853" t="s">
        <v>28</v>
      </c>
      <c r="J8853">
        <v>47.354999999999997</v>
      </c>
      <c r="K8853">
        <v>7.0000000000000007E-2</v>
      </c>
      <c r="L8853">
        <v>0.55000000000000004</v>
      </c>
      <c r="M8853">
        <v>8.26</v>
      </c>
      <c r="N8853">
        <v>-31.328150000000001</v>
      </c>
      <c r="O8853" s="1" t="s">
        <v>64</v>
      </c>
      <c r="P8853" s="1" t="s">
        <v>16085</v>
      </c>
      <c r="Q8853" s="1" t="s">
        <v>16086</v>
      </c>
      <c r="R8853" s="1" t="s">
        <v>67</v>
      </c>
      <c r="S8853" s="1" t="s">
        <v>254</v>
      </c>
      <c r="T8853" s="1" t="s">
        <v>255</v>
      </c>
      <c r="U8853" s="2" t="s">
        <v>2967</v>
      </c>
      <c r="V8853" s="2" t="s">
        <v>47</v>
      </c>
      <c r="W8853" s="2" t="s">
        <v>104</v>
      </c>
      <c r="X8853" s="2">
        <v>40.424999999999997</v>
      </c>
    </row>
    <row r="8854" spans="1:24" x14ac:dyDescent="0.3">
      <c r="A8854">
        <v>4544</v>
      </c>
      <c r="B8854" t="s">
        <v>16087</v>
      </c>
      <c r="C8854" s="3">
        <v>41944</v>
      </c>
      <c r="D8854" t="s">
        <v>62</v>
      </c>
      <c r="E8854">
        <v>162</v>
      </c>
      <c r="F8854" s="3">
        <f ca="1">41945+(RANDBETWEEN(1,10))</f>
        <v>41946</v>
      </c>
      <c r="G8854" t="s">
        <v>26</v>
      </c>
      <c r="H8854" t="s">
        <v>27</v>
      </c>
      <c r="I8854" t="s">
        <v>28</v>
      </c>
      <c r="J8854">
        <v>13907.004999999999</v>
      </c>
      <c r="K8854">
        <v>0</v>
      </c>
      <c r="L8854">
        <v>0.51</v>
      </c>
      <c r="M8854">
        <v>26.53</v>
      </c>
      <c r="N8854">
        <v>662.48</v>
      </c>
      <c r="O8854" s="1" t="s">
        <v>64</v>
      </c>
      <c r="P8854" s="1" t="s">
        <v>265</v>
      </c>
      <c r="Q8854" s="1" t="s">
        <v>266</v>
      </c>
      <c r="R8854" s="1" t="s">
        <v>67</v>
      </c>
      <c r="S8854" s="1" t="s">
        <v>108</v>
      </c>
      <c r="T8854" s="1" t="s">
        <v>196</v>
      </c>
      <c r="U8854" s="2" t="s">
        <v>1676</v>
      </c>
      <c r="V8854" s="2" t="s">
        <v>83</v>
      </c>
      <c r="W8854" s="2" t="s">
        <v>178</v>
      </c>
      <c r="X8854" s="2">
        <v>80.430000000000007</v>
      </c>
    </row>
    <row r="8855" spans="1:24" x14ac:dyDescent="0.3">
      <c r="A8855">
        <v>4556</v>
      </c>
      <c r="B8855" t="s">
        <v>16088</v>
      </c>
      <c r="C8855" s="3">
        <v>40753</v>
      </c>
      <c r="D8855" t="s">
        <v>148</v>
      </c>
      <c r="E8855">
        <v>42</v>
      </c>
      <c r="F8855" s="3">
        <f ca="1">40755+(RANDBETWEEN(1,10))</f>
        <v>40758</v>
      </c>
      <c r="G8855" t="s">
        <v>26</v>
      </c>
      <c r="H8855" t="s">
        <v>51</v>
      </c>
      <c r="I8855" t="s">
        <v>52</v>
      </c>
      <c r="J8855">
        <v>735.35</v>
      </c>
      <c r="K8855">
        <v>7.0000000000000007E-2</v>
      </c>
      <c r="L8855">
        <v>0.79</v>
      </c>
      <c r="M8855">
        <v>17.989999999999998</v>
      </c>
      <c r="N8855">
        <v>-590.52</v>
      </c>
      <c r="O8855" s="1" t="s">
        <v>64</v>
      </c>
      <c r="P8855" s="1" t="s">
        <v>183</v>
      </c>
      <c r="Q8855" s="1" t="s">
        <v>184</v>
      </c>
      <c r="R8855" s="1" t="s">
        <v>128</v>
      </c>
      <c r="S8855" s="1" t="s">
        <v>129</v>
      </c>
      <c r="T8855" s="1" t="s">
        <v>185</v>
      </c>
      <c r="U8855" s="2" t="s">
        <v>1639</v>
      </c>
      <c r="V8855" s="2" t="s">
        <v>36</v>
      </c>
      <c r="W8855" s="2" t="s">
        <v>60</v>
      </c>
      <c r="X8855" s="2">
        <v>17.57</v>
      </c>
    </row>
    <row r="8856" spans="1:24" x14ac:dyDescent="0.3">
      <c r="A8856">
        <v>4557</v>
      </c>
      <c r="B8856" t="s">
        <v>16088</v>
      </c>
      <c r="C8856" s="3">
        <v>40753</v>
      </c>
      <c r="D8856" t="s">
        <v>148</v>
      </c>
      <c r="E8856">
        <v>23</v>
      </c>
      <c r="F8856" s="3">
        <f ca="1">40755+(RANDBETWEEN(1,10))</f>
        <v>40758</v>
      </c>
      <c r="G8856" t="s">
        <v>76</v>
      </c>
      <c r="H8856" t="s">
        <v>77</v>
      </c>
      <c r="I8856" t="s">
        <v>52</v>
      </c>
      <c r="J8856">
        <v>22749.544999999998</v>
      </c>
      <c r="K8856">
        <v>7.0000000000000007E-2</v>
      </c>
      <c r="L8856">
        <v>0.78</v>
      </c>
      <c r="M8856">
        <v>199.5</v>
      </c>
      <c r="N8856">
        <v>-1538.67</v>
      </c>
      <c r="O8856" s="1" t="s">
        <v>64</v>
      </c>
      <c r="P8856" s="1" t="s">
        <v>183</v>
      </c>
      <c r="Q8856" s="1" t="s">
        <v>184</v>
      </c>
      <c r="R8856" s="1" t="s">
        <v>128</v>
      </c>
      <c r="S8856" s="1" t="s">
        <v>129</v>
      </c>
      <c r="T8856" s="1" t="s">
        <v>185</v>
      </c>
      <c r="U8856" s="2" t="s">
        <v>3811</v>
      </c>
      <c r="V8856" s="2" t="s">
        <v>83</v>
      </c>
      <c r="W8856" s="2" t="s">
        <v>84</v>
      </c>
      <c r="X8856" s="2">
        <v>983.43</v>
      </c>
    </row>
    <row r="8857" spans="1:24" x14ac:dyDescent="0.3">
      <c r="A8857">
        <v>4561</v>
      </c>
      <c r="B8857" t="s">
        <v>16089</v>
      </c>
      <c r="C8857" s="3">
        <v>41627</v>
      </c>
      <c r="D8857" t="s">
        <v>148</v>
      </c>
      <c r="E8857">
        <v>74</v>
      </c>
      <c r="F8857" s="3">
        <f ca="1">41627+(RANDBETWEEN(1,10))</f>
        <v>41637</v>
      </c>
      <c r="G8857" t="s">
        <v>76</v>
      </c>
      <c r="H8857" t="s">
        <v>258</v>
      </c>
      <c r="I8857" t="s">
        <v>86</v>
      </c>
      <c r="J8857">
        <v>18471.53</v>
      </c>
      <c r="K8857">
        <v>0.1</v>
      </c>
      <c r="L8857">
        <v>0.69</v>
      </c>
      <c r="M8857">
        <v>312.55</v>
      </c>
      <c r="N8857">
        <v>189.807975</v>
      </c>
      <c r="O8857" s="1" t="s">
        <v>53</v>
      </c>
      <c r="P8857" s="1" t="s">
        <v>10270</v>
      </c>
      <c r="Q8857" s="1" t="s">
        <v>10271</v>
      </c>
      <c r="R8857" s="1" t="s">
        <v>100</v>
      </c>
      <c r="S8857" s="1" t="s">
        <v>101</v>
      </c>
      <c r="T8857" s="1" t="s">
        <v>10272</v>
      </c>
      <c r="U8857" s="2" t="s">
        <v>407</v>
      </c>
      <c r="V8857" s="2" t="s">
        <v>83</v>
      </c>
      <c r="W8857" s="2" t="s">
        <v>263</v>
      </c>
      <c r="X8857" s="2">
        <v>248.11500000000001</v>
      </c>
    </row>
    <row r="8858" spans="1:24" x14ac:dyDescent="0.3">
      <c r="A8858">
        <v>4564</v>
      </c>
      <c r="B8858" t="s">
        <v>16090</v>
      </c>
      <c r="C8858" s="3">
        <v>41364</v>
      </c>
      <c r="D8858" t="s">
        <v>62</v>
      </c>
      <c r="E8858">
        <v>13</v>
      </c>
      <c r="F8858" s="3">
        <f ca="1">41365+(RANDBETWEEN(1,10))</f>
        <v>41366</v>
      </c>
      <c r="G8858" t="s">
        <v>26</v>
      </c>
      <c r="H8858" t="s">
        <v>27</v>
      </c>
      <c r="I8858" t="s">
        <v>52</v>
      </c>
      <c r="J8858">
        <v>318.08</v>
      </c>
      <c r="K8858">
        <v>0.05</v>
      </c>
      <c r="L8858">
        <v>0.37</v>
      </c>
      <c r="M8858">
        <v>19.18</v>
      </c>
      <c r="N8858">
        <v>-103.56325</v>
      </c>
      <c r="O8858" s="1" t="s">
        <v>53</v>
      </c>
      <c r="P8858" s="1" t="s">
        <v>16091</v>
      </c>
      <c r="Q8858" s="1" t="s">
        <v>16092</v>
      </c>
      <c r="R8858" s="1" t="s">
        <v>100</v>
      </c>
      <c r="S8858" s="1" t="s">
        <v>101</v>
      </c>
      <c r="T8858" s="1" t="s">
        <v>16093</v>
      </c>
      <c r="U8858" s="2" t="s">
        <v>5054</v>
      </c>
      <c r="V8858" s="2" t="s">
        <v>47</v>
      </c>
      <c r="W8858" s="2" t="s">
        <v>111</v>
      </c>
      <c r="X8858" s="2">
        <v>23.835000000000001</v>
      </c>
    </row>
    <row r="8859" spans="1:24" x14ac:dyDescent="0.3">
      <c r="A8859">
        <v>4589</v>
      </c>
      <c r="B8859" t="s">
        <v>16094</v>
      </c>
      <c r="C8859" s="3">
        <v>40989</v>
      </c>
      <c r="D8859" t="s">
        <v>39</v>
      </c>
      <c r="E8859">
        <v>18</v>
      </c>
      <c r="F8859" s="3">
        <f ca="1">40990+(RANDBETWEEN(1,10))</f>
        <v>40995</v>
      </c>
      <c r="G8859" t="s">
        <v>26</v>
      </c>
      <c r="H8859" t="s">
        <v>27</v>
      </c>
      <c r="I8859" t="s">
        <v>97</v>
      </c>
      <c r="J8859">
        <v>586.35500000000002</v>
      </c>
      <c r="K8859">
        <v>0.05</v>
      </c>
      <c r="L8859">
        <v>0.36</v>
      </c>
      <c r="M8859">
        <v>19.600000000000001</v>
      </c>
      <c r="N8859">
        <v>-33.488</v>
      </c>
      <c r="O8859" s="1" t="s">
        <v>64</v>
      </c>
      <c r="P8859" s="1" t="s">
        <v>8714</v>
      </c>
      <c r="Q8859" s="1" t="s">
        <v>8715</v>
      </c>
      <c r="R8859" s="1" t="s">
        <v>128</v>
      </c>
      <c r="S8859" s="1" t="s">
        <v>129</v>
      </c>
      <c r="T8859" s="1" t="s">
        <v>8716</v>
      </c>
      <c r="U8859" s="2" t="s">
        <v>3792</v>
      </c>
      <c r="V8859" s="2" t="s">
        <v>47</v>
      </c>
      <c r="W8859" s="2" t="s">
        <v>111</v>
      </c>
      <c r="X8859" s="2">
        <v>30.975000000000001</v>
      </c>
    </row>
    <row r="8860" spans="1:24" x14ac:dyDescent="0.3">
      <c r="A8860">
        <v>4591</v>
      </c>
      <c r="B8860" t="s">
        <v>16095</v>
      </c>
      <c r="C8860" s="3">
        <v>41596</v>
      </c>
      <c r="D8860" t="s">
        <v>39</v>
      </c>
      <c r="E8860">
        <v>109</v>
      </c>
      <c r="F8860" s="3">
        <f ca="1">41598+(RANDBETWEEN(1,10))</f>
        <v>41605</v>
      </c>
      <c r="G8860" t="s">
        <v>26</v>
      </c>
      <c r="H8860" t="s">
        <v>27</v>
      </c>
      <c r="I8860" t="s">
        <v>52</v>
      </c>
      <c r="J8860">
        <v>8008.5249999999996</v>
      </c>
      <c r="K8860">
        <v>7.0000000000000007E-2</v>
      </c>
      <c r="L8860">
        <v>0.77</v>
      </c>
      <c r="M8860">
        <v>14</v>
      </c>
      <c r="N8860">
        <v>-198.905</v>
      </c>
      <c r="O8860" s="1" t="s">
        <v>87</v>
      </c>
      <c r="P8860" s="1" t="s">
        <v>16096</v>
      </c>
      <c r="Q8860" s="1" t="s">
        <v>16097</v>
      </c>
      <c r="R8860" s="1" t="s">
        <v>398</v>
      </c>
      <c r="S8860" s="1" t="s">
        <v>3179</v>
      </c>
      <c r="T8860" s="1" t="s">
        <v>16098</v>
      </c>
      <c r="U8860" s="2" t="s">
        <v>1138</v>
      </c>
      <c r="V8860" s="2" t="s">
        <v>36</v>
      </c>
      <c r="W8860" s="2" t="s">
        <v>60</v>
      </c>
      <c r="X8860" s="2">
        <v>73.394999999999996</v>
      </c>
    </row>
    <row r="8861" spans="1:24" x14ac:dyDescent="0.3">
      <c r="A8861">
        <v>4592</v>
      </c>
      <c r="B8861" t="s">
        <v>16095</v>
      </c>
      <c r="C8861" s="3">
        <v>41596</v>
      </c>
      <c r="D8861" t="s">
        <v>39</v>
      </c>
      <c r="E8861">
        <v>92</v>
      </c>
      <c r="F8861" s="3">
        <f ca="1">41598+(RANDBETWEEN(1,10))</f>
        <v>41608</v>
      </c>
      <c r="G8861" t="s">
        <v>76</v>
      </c>
      <c r="H8861" t="s">
        <v>258</v>
      </c>
      <c r="I8861" t="s">
        <v>52</v>
      </c>
      <c r="J8861">
        <v>113785.735</v>
      </c>
      <c r="K8861">
        <v>0.06</v>
      </c>
      <c r="L8861">
        <v>0.66</v>
      </c>
      <c r="M8861">
        <v>296.94</v>
      </c>
      <c r="N8861">
        <v>1220.94</v>
      </c>
      <c r="O8861" s="1" t="s">
        <v>87</v>
      </c>
      <c r="P8861" s="1" t="s">
        <v>16096</v>
      </c>
      <c r="Q8861" s="1" t="s">
        <v>16097</v>
      </c>
      <c r="R8861" s="1" t="s">
        <v>398</v>
      </c>
      <c r="S8861" s="1" t="s">
        <v>3179</v>
      </c>
      <c r="T8861" s="1" t="s">
        <v>16098</v>
      </c>
      <c r="U8861" s="2" t="s">
        <v>3482</v>
      </c>
      <c r="V8861" s="2" t="s">
        <v>83</v>
      </c>
      <c r="W8861" s="2" t="s">
        <v>263</v>
      </c>
      <c r="X8861" s="2">
        <v>1218.7349999999999</v>
      </c>
    </row>
    <row r="8862" spans="1:24" x14ac:dyDescent="0.3">
      <c r="A8862">
        <v>4596</v>
      </c>
      <c r="B8862" t="s">
        <v>16099</v>
      </c>
      <c r="C8862" s="3">
        <v>40863</v>
      </c>
      <c r="D8862" t="s">
        <v>39</v>
      </c>
      <c r="E8862">
        <v>146</v>
      </c>
      <c r="F8862" s="3">
        <f ca="1">40864+(RANDBETWEEN(1,10))</f>
        <v>40866</v>
      </c>
      <c r="G8862" t="s">
        <v>26</v>
      </c>
      <c r="H8862" t="s">
        <v>281</v>
      </c>
      <c r="I8862" t="s">
        <v>28</v>
      </c>
      <c r="J8862">
        <v>6421.1350000000002</v>
      </c>
      <c r="K8862">
        <v>0.04</v>
      </c>
      <c r="L8862">
        <v>0.56999999999999995</v>
      </c>
      <c r="M8862">
        <v>21.945</v>
      </c>
      <c r="N8862">
        <v>-206.71</v>
      </c>
      <c r="O8862" s="1" t="s">
        <v>53</v>
      </c>
      <c r="P8862" s="1" t="s">
        <v>7631</v>
      </c>
      <c r="Q8862" s="1" t="s">
        <v>7632</v>
      </c>
      <c r="R8862" s="1" t="s">
        <v>56</v>
      </c>
      <c r="S8862" s="1" t="s">
        <v>159</v>
      </c>
      <c r="T8862" s="1" t="s">
        <v>7633</v>
      </c>
      <c r="U8862" s="2" t="s">
        <v>517</v>
      </c>
      <c r="V8862" s="2" t="s">
        <v>47</v>
      </c>
      <c r="W8862" s="2" t="s">
        <v>119</v>
      </c>
      <c r="X8862" s="2">
        <v>43.54</v>
      </c>
    </row>
    <row r="8863" spans="1:24" x14ac:dyDescent="0.3">
      <c r="A8863">
        <v>4605</v>
      </c>
      <c r="B8863" t="s">
        <v>16100</v>
      </c>
      <c r="C8863" s="3">
        <v>41891</v>
      </c>
      <c r="D8863" t="s">
        <v>148</v>
      </c>
      <c r="E8863">
        <v>103</v>
      </c>
      <c r="F8863" s="3">
        <f ca="1">41892+(RANDBETWEEN(1,10))</f>
        <v>41893</v>
      </c>
      <c r="G8863" t="s">
        <v>26</v>
      </c>
      <c r="H8863" t="s">
        <v>27</v>
      </c>
      <c r="I8863" t="s">
        <v>28</v>
      </c>
      <c r="J8863">
        <v>1286.1099999999999</v>
      </c>
      <c r="K8863">
        <v>7.0000000000000007E-2</v>
      </c>
      <c r="L8863">
        <v>0.37</v>
      </c>
      <c r="M8863">
        <v>1.75</v>
      </c>
      <c r="N8863">
        <v>261.87</v>
      </c>
      <c r="O8863" s="1" t="s">
        <v>40</v>
      </c>
      <c r="P8863" s="1" t="s">
        <v>15909</v>
      </c>
      <c r="Q8863" s="1" t="s">
        <v>15910</v>
      </c>
      <c r="R8863" s="1" t="s">
        <v>220</v>
      </c>
      <c r="S8863" s="1" t="s">
        <v>221</v>
      </c>
      <c r="T8863" s="1" t="s">
        <v>15911</v>
      </c>
      <c r="U8863" s="2" t="s">
        <v>2907</v>
      </c>
      <c r="V8863" s="2" t="s">
        <v>47</v>
      </c>
      <c r="W8863" s="2" t="s">
        <v>203</v>
      </c>
      <c r="X8863" s="2">
        <v>13.125</v>
      </c>
    </row>
    <row r="8864" spans="1:24" x14ac:dyDescent="0.3">
      <c r="A8864">
        <v>4606</v>
      </c>
      <c r="B8864" t="s">
        <v>16100</v>
      </c>
      <c r="C8864" s="3">
        <v>41891</v>
      </c>
      <c r="D8864" t="s">
        <v>148</v>
      </c>
      <c r="E8864">
        <v>42</v>
      </c>
      <c r="F8864" s="3">
        <f ca="1">41893+(RANDBETWEEN(1,10))</f>
        <v>41894</v>
      </c>
      <c r="G8864" t="s">
        <v>26</v>
      </c>
      <c r="H8864" t="s">
        <v>27</v>
      </c>
      <c r="I8864" t="s">
        <v>28</v>
      </c>
      <c r="J8864">
        <v>657.89499999999998</v>
      </c>
      <c r="K8864">
        <v>0.02</v>
      </c>
      <c r="L8864">
        <v>0.38</v>
      </c>
      <c r="M8864">
        <v>18.41</v>
      </c>
      <c r="N8864">
        <v>-216.94749999999999</v>
      </c>
      <c r="O8864" s="1" t="s">
        <v>40</v>
      </c>
      <c r="P8864" s="1" t="s">
        <v>15909</v>
      </c>
      <c r="Q8864" s="1" t="s">
        <v>15910</v>
      </c>
      <c r="R8864" s="1" t="s">
        <v>220</v>
      </c>
      <c r="S8864" s="1" t="s">
        <v>221</v>
      </c>
      <c r="T8864" s="1" t="s">
        <v>15911</v>
      </c>
      <c r="U8864" s="2" t="s">
        <v>1287</v>
      </c>
      <c r="V8864" s="2" t="s">
        <v>47</v>
      </c>
      <c r="W8864" s="2" t="s">
        <v>111</v>
      </c>
      <c r="X8864" s="2">
        <v>13.93</v>
      </c>
    </row>
    <row r="8865" spans="1:24" x14ac:dyDescent="0.3">
      <c r="A8865">
        <v>4608</v>
      </c>
      <c r="B8865" t="s">
        <v>16101</v>
      </c>
      <c r="C8865" s="3">
        <v>41446</v>
      </c>
      <c r="D8865" t="s">
        <v>39</v>
      </c>
      <c r="E8865">
        <v>79</v>
      </c>
      <c r="F8865" s="3">
        <f ca="1">41447+(RANDBETWEEN(1,10))</f>
        <v>41455</v>
      </c>
      <c r="G8865" t="s">
        <v>156</v>
      </c>
      <c r="H8865" t="s">
        <v>27</v>
      </c>
      <c r="I8865" t="s">
        <v>97</v>
      </c>
      <c r="J8865">
        <v>1013.775</v>
      </c>
      <c r="K8865">
        <v>0.1</v>
      </c>
      <c r="L8865">
        <v>0.38</v>
      </c>
      <c r="M8865">
        <v>1.75</v>
      </c>
      <c r="N8865">
        <v>270.55</v>
      </c>
      <c r="O8865" s="1" t="s">
        <v>40</v>
      </c>
      <c r="P8865" s="1" t="s">
        <v>15909</v>
      </c>
      <c r="Q8865" s="1" t="s">
        <v>15910</v>
      </c>
      <c r="R8865" s="1" t="s">
        <v>220</v>
      </c>
      <c r="S8865" s="1" t="s">
        <v>221</v>
      </c>
      <c r="T8865" s="1" t="s">
        <v>15911</v>
      </c>
      <c r="U8865" s="2" t="s">
        <v>312</v>
      </c>
      <c r="V8865" s="2" t="s">
        <v>47</v>
      </c>
      <c r="W8865" s="2" t="s">
        <v>203</v>
      </c>
      <c r="X8865" s="2">
        <v>12.914999999999999</v>
      </c>
    </row>
    <row r="8866" spans="1:24" x14ac:dyDescent="0.3">
      <c r="A8866">
        <v>4609</v>
      </c>
      <c r="B8866" t="s">
        <v>16101</v>
      </c>
      <c r="C8866" s="3">
        <v>41446</v>
      </c>
      <c r="D8866" t="s">
        <v>39</v>
      </c>
      <c r="E8866">
        <v>54</v>
      </c>
      <c r="F8866" s="3">
        <f ca="1">41448+(RANDBETWEEN(1,10))</f>
        <v>41449</v>
      </c>
      <c r="G8866" t="s">
        <v>26</v>
      </c>
      <c r="H8866" t="s">
        <v>27</v>
      </c>
      <c r="I8866" t="s">
        <v>97</v>
      </c>
      <c r="J8866">
        <v>1267.0350000000001</v>
      </c>
      <c r="K8866">
        <v>0.02</v>
      </c>
      <c r="L8866">
        <v>0.37</v>
      </c>
      <c r="M8866">
        <v>18.2</v>
      </c>
      <c r="N8866">
        <v>-158.51499999999999</v>
      </c>
      <c r="O8866" s="1" t="s">
        <v>40</v>
      </c>
      <c r="P8866" s="1" t="s">
        <v>15909</v>
      </c>
      <c r="Q8866" s="1" t="s">
        <v>15910</v>
      </c>
      <c r="R8866" s="1" t="s">
        <v>220</v>
      </c>
      <c r="S8866" s="1" t="s">
        <v>221</v>
      </c>
      <c r="T8866" s="1" t="s">
        <v>15911</v>
      </c>
      <c r="U8866" s="2" t="s">
        <v>4079</v>
      </c>
      <c r="V8866" s="2" t="s">
        <v>47</v>
      </c>
      <c r="W8866" s="2" t="s">
        <v>74</v>
      </c>
      <c r="X8866" s="2">
        <v>23.38</v>
      </c>
    </row>
    <row r="8867" spans="1:24" x14ac:dyDescent="0.3">
      <c r="A8867">
        <v>461</v>
      </c>
      <c r="B8867" t="s">
        <v>16102</v>
      </c>
      <c r="C8867" s="3">
        <v>41860</v>
      </c>
      <c r="D8867" t="s">
        <v>50</v>
      </c>
      <c r="E8867">
        <v>16</v>
      </c>
      <c r="F8867" s="3">
        <f ca="1">41862+(RANDBETWEEN(1,10))</f>
        <v>41869</v>
      </c>
      <c r="G8867" t="s">
        <v>26</v>
      </c>
      <c r="H8867" t="s">
        <v>51</v>
      </c>
      <c r="I8867" t="s">
        <v>28</v>
      </c>
      <c r="J8867">
        <v>1671.18</v>
      </c>
      <c r="K8867">
        <v>0.1</v>
      </c>
      <c r="L8867">
        <v>0.57999999999999996</v>
      </c>
      <c r="M8867">
        <v>31.465</v>
      </c>
      <c r="N8867">
        <v>-136.11500000000001</v>
      </c>
      <c r="O8867" s="1" t="s">
        <v>40</v>
      </c>
      <c r="P8867" s="1" t="s">
        <v>15950</v>
      </c>
      <c r="Q8867" s="1" t="s">
        <v>15951</v>
      </c>
      <c r="R8867" s="1" t="s">
        <v>43</v>
      </c>
      <c r="S8867" s="1" t="s">
        <v>44</v>
      </c>
      <c r="T8867" s="1" t="s">
        <v>15952</v>
      </c>
      <c r="U8867" s="2" t="s">
        <v>1439</v>
      </c>
      <c r="V8867" s="2" t="s">
        <v>47</v>
      </c>
      <c r="W8867" s="2" t="s">
        <v>104</v>
      </c>
      <c r="X8867" s="2">
        <v>108.43</v>
      </c>
    </row>
    <row r="8868" spans="1:24" x14ac:dyDescent="0.3">
      <c r="A8868">
        <v>4613</v>
      </c>
      <c r="B8868" t="s">
        <v>16103</v>
      </c>
      <c r="C8868" s="3">
        <v>40629</v>
      </c>
      <c r="D8868" t="s">
        <v>148</v>
      </c>
      <c r="E8868">
        <v>41</v>
      </c>
      <c r="F8868" s="3">
        <f ca="1">40630+(RANDBETWEEN(1,10))</f>
        <v>40636</v>
      </c>
      <c r="G8868" t="s">
        <v>26</v>
      </c>
      <c r="H8868" t="s">
        <v>51</v>
      </c>
      <c r="I8868" t="s">
        <v>28</v>
      </c>
      <c r="J8868">
        <v>1127.105</v>
      </c>
      <c r="K8868">
        <v>0.06</v>
      </c>
      <c r="L8868">
        <v>0.77</v>
      </c>
      <c r="M8868">
        <v>9.9049999999999994</v>
      </c>
      <c r="N8868">
        <v>-289.90499999999997</v>
      </c>
      <c r="O8868" s="1" t="s">
        <v>53</v>
      </c>
      <c r="P8868" s="1" t="s">
        <v>168</v>
      </c>
      <c r="Q8868" s="1" t="s">
        <v>169</v>
      </c>
      <c r="R8868" s="1" t="s">
        <v>100</v>
      </c>
      <c r="S8868" s="1" t="s">
        <v>101</v>
      </c>
      <c r="T8868" s="1" t="s">
        <v>170</v>
      </c>
      <c r="U8868" s="2" t="s">
        <v>2563</v>
      </c>
      <c r="V8868" s="2" t="s">
        <v>36</v>
      </c>
      <c r="W8868" s="2" t="s">
        <v>60</v>
      </c>
      <c r="X8868" s="2">
        <v>28.42</v>
      </c>
    </row>
    <row r="8869" spans="1:24" x14ac:dyDescent="0.3">
      <c r="A8869">
        <v>4614</v>
      </c>
      <c r="B8869" t="s">
        <v>16103</v>
      </c>
      <c r="C8869" s="3">
        <v>40629</v>
      </c>
      <c r="D8869" t="s">
        <v>148</v>
      </c>
      <c r="E8869">
        <v>49</v>
      </c>
      <c r="F8869" s="3">
        <f ca="1">40630+(RANDBETWEEN(1,10))</f>
        <v>40639</v>
      </c>
      <c r="G8869" t="s">
        <v>26</v>
      </c>
      <c r="H8869" t="s">
        <v>281</v>
      </c>
      <c r="I8869" t="s">
        <v>28</v>
      </c>
      <c r="J8869">
        <v>8647.94</v>
      </c>
      <c r="K8869">
        <v>0.05</v>
      </c>
      <c r="L8869">
        <v>0.65</v>
      </c>
      <c r="M8869">
        <v>64.575000000000003</v>
      </c>
      <c r="N8869">
        <v>87.64</v>
      </c>
      <c r="O8869" s="1" t="s">
        <v>53</v>
      </c>
      <c r="P8869" s="1" t="s">
        <v>168</v>
      </c>
      <c r="Q8869" s="1" t="s">
        <v>169</v>
      </c>
      <c r="R8869" s="1" t="s">
        <v>100</v>
      </c>
      <c r="S8869" s="1" t="s">
        <v>101</v>
      </c>
      <c r="T8869" s="1" t="s">
        <v>170</v>
      </c>
      <c r="U8869" s="2" t="s">
        <v>3758</v>
      </c>
      <c r="V8869" s="2" t="s">
        <v>83</v>
      </c>
      <c r="W8869" s="2" t="s">
        <v>178</v>
      </c>
      <c r="X8869" s="2">
        <v>180.77500000000001</v>
      </c>
    </row>
    <row r="8870" spans="1:24" x14ac:dyDescent="0.3">
      <c r="A8870">
        <v>4615</v>
      </c>
      <c r="B8870" t="s">
        <v>16104</v>
      </c>
      <c r="C8870" s="3">
        <v>41725</v>
      </c>
      <c r="D8870" t="s">
        <v>148</v>
      </c>
      <c r="E8870">
        <v>2</v>
      </c>
      <c r="F8870" s="3">
        <f ca="1">41726+(RANDBETWEEN(1,10))</f>
        <v>41731</v>
      </c>
      <c r="G8870" t="s">
        <v>26</v>
      </c>
      <c r="H8870" t="s">
        <v>96</v>
      </c>
      <c r="I8870" t="s">
        <v>28</v>
      </c>
      <c r="J8870">
        <v>53.41</v>
      </c>
      <c r="K8870">
        <v>0.01</v>
      </c>
      <c r="L8870">
        <v>0.48</v>
      </c>
      <c r="M8870">
        <v>5.25</v>
      </c>
      <c r="N8870">
        <v>-26.285</v>
      </c>
      <c r="O8870" s="1" t="s">
        <v>53</v>
      </c>
      <c r="P8870" s="1" t="s">
        <v>168</v>
      </c>
      <c r="Q8870" s="1" t="s">
        <v>169</v>
      </c>
      <c r="R8870" s="1" t="s">
        <v>100</v>
      </c>
      <c r="S8870" s="1" t="s">
        <v>101</v>
      </c>
      <c r="T8870" s="1" t="s">
        <v>170</v>
      </c>
      <c r="U8870" s="2" t="s">
        <v>2494</v>
      </c>
      <c r="V8870" s="2" t="s">
        <v>47</v>
      </c>
      <c r="W8870" s="2" t="s">
        <v>104</v>
      </c>
      <c r="X8870" s="2">
        <v>23.38</v>
      </c>
    </row>
    <row r="8871" spans="1:24" x14ac:dyDescent="0.3">
      <c r="A8871">
        <v>4616</v>
      </c>
      <c r="B8871" t="s">
        <v>16103</v>
      </c>
      <c r="C8871" s="3">
        <v>40629</v>
      </c>
      <c r="D8871" t="s">
        <v>148</v>
      </c>
      <c r="E8871">
        <v>39</v>
      </c>
      <c r="F8871" s="3">
        <f ca="1">40630+(RANDBETWEEN(1,10))</f>
        <v>40638</v>
      </c>
      <c r="G8871" t="s">
        <v>26</v>
      </c>
      <c r="H8871" t="s">
        <v>27</v>
      </c>
      <c r="I8871" t="s">
        <v>28</v>
      </c>
      <c r="J8871">
        <v>18377.310000000001</v>
      </c>
      <c r="K8871">
        <v>0.1</v>
      </c>
      <c r="L8871">
        <v>0.56999999999999995</v>
      </c>
      <c r="M8871">
        <v>31.465</v>
      </c>
      <c r="N8871">
        <v>3258.4544999999998</v>
      </c>
      <c r="O8871" s="1" t="s">
        <v>53</v>
      </c>
      <c r="P8871" s="1" t="s">
        <v>168</v>
      </c>
      <c r="Q8871" s="1" t="s">
        <v>169</v>
      </c>
      <c r="R8871" s="1" t="s">
        <v>100</v>
      </c>
      <c r="S8871" s="1" t="s">
        <v>101</v>
      </c>
      <c r="T8871" s="1" t="s">
        <v>170</v>
      </c>
      <c r="U8871" s="2">
        <v>2180</v>
      </c>
      <c r="V8871" s="2" t="s">
        <v>36</v>
      </c>
      <c r="W8871" s="2" t="s">
        <v>37</v>
      </c>
      <c r="X8871" s="2">
        <v>615.96500000000003</v>
      </c>
    </row>
    <row r="8872" spans="1:24" x14ac:dyDescent="0.3">
      <c r="A8872">
        <v>462</v>
      </c>
      <c r="B8872" t="s">
        <v>16105</v>
      </c>
      <c r="C8872" s="3">
        <v>40582</v>
      </c>
      <c r="D8872" t="s">
        <v>50</v>
      </c>
      <c r="E8872">
        <v>4</v>
      </c>
      <c r="F8872" s="3">
        <f ca="1">40582+(RANDBETWEEN(1,10))</f>
        <v>40590</v>
      </c>
      <c r="G8872" t="s">
        <v>156</v>
      </c>
      <c r="H8872" t="s">
        <v>27</v>
      </c>
      <c r="I8872" t="s">
        <v>52</v>
      </c>
      <c r="J8872">
        <v>2513.105</v>
      </c>
      <c r="K8872">
        <v>7.0000000000000007E-2</v>
      </c>
      <c r="L8872">
        <v>0.48</v>
      </c>
      <c r="M8872">
        <v>69.965000000000003</v>
      </c>
      <c r="N8872">
        <v>-1989.87285</v>
      </c>
      <c r="O8872" s="1" t="s">
        <v>225</v>
      </c>
      <c r="P8872" s="1" t="s">
        <v>3977</v>
      </c>
      <c r="Q8872" s="1" t="s">
        <v>3978</v>
      </c>
      <c r="R8872" s="1" t="s">
        <v>228</v>
      </c>
      <c r="S8872" s="1" t="s">
        <v>349</v>
      </c>
      <c r="T8872" s="1" t="s">
        <v>350</v>
      </c>
      <c r="U8872" s="2" t="s">
        <v>2205</v>
      </c>
      <c r="V8872" s="2" t="s">
        <v>36</v>
      </c>
      <c r="W8872" s="2" t="s">
        <v>60</v>
      </c>
      <c r="X8872" s="2">
        <v>629.96500000000003</v>
      </c>
    </row>
    <row r="8873" spans="1:24" x14ac:dyDescent="0.3">
      <c r="A8873">
        <v>4627</v>
      </c>
      <c r="B8873" t="s">
        <v>16106</v>
      </c>
      <c r="C8873" s="3">
        <v>40954</v>
      </c>
      <c r="D8873" t="s">
        <v>25</v>
      </c>
      <c r="E8873">
        <v>31</v>
      </c>
      <c r="F8873" s="3">
        <f ca="1">40961+(RANDBETWEEN(1,10))</f>
        <v>40965</v>
      </c>
      <c r="G8873" t="s">
        <v>26</v>
      </c>
      <c r="H8873" t="s">
        <v>27</v>
      </c>
      <c r="I8873" t="s">
        <v>28</v>
      </c>
      <c r="J8873">
        <v>301.35000000000002</v>
      </c>
      <c r="K8873">
        <v>0.06</v>
      </c>
      <c r="L8873">
        <v>0.36</v>
      </c>
      <c r="M8873">
        <v>1.75</v>
      </c>
      <c r="N8873">
        <v>114.45</v>
      </c>
      <c r="O8873" s="1" t="s">
        <v>64</v>
      </c>
      <c r="P8873" s="1" t="s">
        <v>16006</v>
      </c>
      <c r="Q8873" s="1" t="s">
        <v>16007</v>
      </c>
      <c r="R8873" s="1" t="s">
        <v>128</v>
      </c>
      <c r="S8873" s="1" t="s">
        <v>129</v>
      </c>
      <c r="T8873" s="1" t="s">
        <v>16008</v>
      </c>
      <c r="U8873" s="2" t="s">
        <v>10639</v>
      </c>
      <c r="V8873" s="2" t="s">
        <v>47</v>
      </c>
      <c r="W8873" s="2" t="s">
        <v>203</v>
      </c>
      <c r="X8873" s="2">
        <v>10.08</v>
      </c>
    </row>
    <row r="8874" spans="1:24" x14ac:dyDescent="0.3">
      <c r="A8874">
        <v>4628</v>
      </c>
      <c r="B8874" t="s">
        <v>16106</v>
      </c>
      <c r="C8874" s="3">
        <v>40954</v>
      </c>
      <c r="D8874" t="s">
        <v>25</v>
      </c>
      <c r="E8874">
        <v>25</v>
      </c>
      <c r="F8874" s="3">
        <f ca="1">40959+(RANDBETWEEN(1,10))</f>
        <v>40960</v>
      </c>
      <c r="G8874" t="s">
        <v>26</v>
      </c>
      <c r="H8874" t="s">
        <v>281</v>
      </c>
      <c r="I8874" t="s">
        <v>28</v>
      </c>
      <c r="J8874">
        <v>1043.385</v>
      </c>
      <c r="K8874">
        <v>0.08</v>
      </c>
      <c r="L8874">
        <v>0.56999999999999995</v>
      </c>
      <c r="M8874">
        <v>21.945</v>
      </c>
      <c r="N8874">
        <v>-212.76499999999999</v>
      </c>
      <c r="O8874" s="1" t="s">
        <v>64</v>
      </c>
      <c r="P8874" s="1" t="s">
        <v>16006</v>
      </c>
      <c r="Q8874" s="1" t="s">
        <v>16007</v>
      </c>
      <c r="R8874" s="1" t="s">
        <v>128</v>
      </c>
      <c r="S8874" s="1" t="s">
        <v>129</v>
      </c>
      <c r="T8874" s="1" t="s">
        <v>16008</v>
      </c>
      <c r="U8874" s="2" t="s">
        <v>517</v>
      </c>
      <c r="V8874" s="2" t="s">
        <v>47</v>
      </c>
      <c r="W8874" s="2" t="s">
        <v>119</v>
      </c>
      <c r="X8874" s="2">
        <v>43.54</v>
      </c>
    </row>
    <row r="8875" spans="1:24" x14ac:dyDescent="0.3">
      <c r="A8875">
        <v>4654</v>
      </c>
      <c r="B8875" t="s">
        <v>16107</v>
      </c>
      <c r="C8875" s="3">
        <v>41234</v>
      </c>
      <c r="D8875" t="s">
        <v>62</v>
      </c>
      <c r="E8875">
        <v>65</v>
      </c>
      <c r="F8875" s="3">
        <f ca="1">41236+(RANDBETWEEN(1,10))</f>
        <v>41245</v>
      </c>
      <c r="G8875" t="s">
        <v>26</v>
      </c>
      <c r="H8875" t="s">
        <v>27</v>
      </c>
      <c r="I8875" t="s">
        <v>28</v>
      </c>
      <c r="J8875">
        <v>30767.904999999999</v>
      </c>
      <c r="K8875">
        <v>0</v>
      </c>
      <c r="L8875">
        <v>0.55000000000000004</v>
      </c>
      <c r="M8875">
        <v>31.465</v>
      </c>
      <c r="N8875">
        <v>1393.0245</v>
      </c>
      <c r="O8875" s="1" t="s">
        <v>40</v>
      </c>
      <c r="P8875" s="1" t="s">
        <v>133</v>
      </c>
      <c r="Q8875" s="1" t="s">
        <v>134</v>
      </c>
      <c r="R8875" s="1" t="s">
        <v>43</v>
      </c>
      <c r="S8875" s="1" t="s">
        <v>44</v>
      </c>
      <c r="T8875" s="1" t="s">
        <v>135</v>
      </c>
      <c r="U8875" s="2" t="s">
        <v>9184</v>
      </c>
      <c r="V8875" s="2" t="s">
        <v>36</v>
      </c>
      <c r="W8875" s="2" t="s">
        <v>37</v>
      </c>
      <c r="X8875" s="2">
        <v>545.96500000000003</v>
      </c>
    </row>
    <row r="8876" spans="1:24" x14ac:dyDescent="0.3">
      <c r="A8876">
        <v>4666</v>
      </c>
      <c r="B8876" t="s">
        <v>16108</v>
      </c>
      <c r="C8876" s="3">
        <v>41618</v>
      </c>
      <c r="D8876" t="s">
        <v>39</v>
      </c>
      <c r="E8876">
        <v>64</v>
      </c>
      <c r="F8876" s="3">
        <f ca="1">41619+(RANDBETWEEN(1,10))</f>
        <v>41620</v>
      </c>
      <c r="G8876" t="s">
        <v>76</v>
      </c>
      <c r="H8876" t="s">
        <v>77</v>
      </c>
      <c r="I8876" t="s">
        <v>52</v>
      </c>
      <c r="J8876">
        <v>51393.72</v>
      </c>
      <c r="K8876">
        <v>0</v>
      </c>
      <c r="L8876">
        <v>0.59</v>
      </c>
      <c r="M8876">
        <v>224.7</v>
      </c>
      <c r="N8876">
        <v>2677.3249999999998</v>
      </c>
      <c r="O8876" s="1" t="s">
        <v>87</v>
      </c>
      <c r="P8876" s="1" t="s">
        <v>88</v>
      </c>
      <c r="Q8876" s="1" t="s">
        <v>89</v>
      </c>
      <c r="R8876" s="1" t="s">
        <v>90</v>
      </c>
      <c r="S8876" s="1" t="s">
        <v>91</v>
      </c>
      <c r="T8876" s="1" t="s">
        <v>92</v>
      </c>
      <c r="U8876" s="2" t="s">
        <v>2488</v>
      </c>
      <c r="V8876" s="2" t="s">
        <v>83</v>
      </c>
      <c r="W8876" s="2" t="s">
        <v>84</v>
      </c>
      <c r="X8876" s="2">
        <v>758.1</v>
      </c>
    </row>
    <row r="8877" spans="1:24" x14ac:dyDescent="0.3">
      <c r="A8877">
        <v>4669</v>
      </c>
      <c r="B8877" t="s">
        <v>16109</v>
      </c>
      <c r="C8877" s="3">
        <v>41809</v>
      </c>
      <c r="D8877" t="s">
        <v>148</v>
      </c>
      <c r="E8877">
        <v>27</v>
      </c>
      <c r="F8877" s="3">
        <f ca="1">41811+(RANDBETWEEN(1,10))</f>
        <v>41821</v>
      </c>
      <c r="G8877" t="s">
        <v>26</v>
      </c>
      <c r="H8877" t="s">
        <v>27</v>
      </c>
      <c r="I8877" t="s">
        <v>97</v>
      </c>
      <c r="J8877">
        <v>2208.9899999999998</v>
      </c>
      <c r="K8877">
        <v>0.05</v>
      </c>
      <c r="L8877">
        <v>0.38</v>
      </c>
      <c r="M8877">
        <v>52.85</v>
      </c>
      <c r="N8877">
        <v>-196.74199999999999</v>
      </c>
      <c r="O8877" s="1" t="s">
        <v>64</v>
      </c>
      <c r="P8877" s="1" t="s">
        <v>328</v>
      </c>
      <c r="Q8877" s="1" t="s">
        <v>329</v>
      </c>
      <c r="R8877" s="1" t="s">
        <v>128</v>
      </c>
      <c r="S8877" s="1" t="s">
        <v>129</v>
      </c>
      <c r="T8877" s="1" t="s">
        <v>330</v>
      </c>
      <c r="U8877" s="2" t="s">
        <v>2602</v>
      </c>
      <c r="V8877" s="2" t="s">
        <v>47</v>
      </c>
      <c r="W8877" s="2" t="s">
        <v>111</v>
      </c>
      <c r="X8877" s="2">
        <v>78.33</v>
      </c>
    </row>
    <row r="8878" spans="1:24" x14ac:dyDescent="0.3">
      <c r="A8878">
        <v>4670</v>
      </c>
      <c r="B8878" t="s">
        <v>16109</v>
      </c>
      <c r="C8878" s="3">
        <v>41809</v>
      </c>
      <c r="D8878" t="s">
        <v>148</v>
      </c>
      <c r="E8878">
        <v>45</v>
      </c>
      <c r="F8878" s="3">
        <f ca="1">41810+(RANDBETWEEN(1,10))</f>
        <v>41813</v>
      </c>
      <c r="G8878" t="s">
        <v>76</v>
      </c>
      <c r="H8878" t="s">
        <v>77</v>
      </c>
      <c r="I8878" t="s">
        <v>97</v>
      </c>
      <c r="J8878">
        <v>8801.4150000000009</v>
      </c>
      <c r="K8878">
        <v>0.1</v>
      </c>
      <c r="L8878">
        <v>0.7</v>
      </c>
      <c r="M8878">
        <v>105</v>
      </c>
      <c r="N8878">
        <v>-2191.2800000000002</v>
      </c>
      <c r="O8878" s="1" t="s">
        <v>64</v>
      </c>
      <c r="P8878" s="1" t="s">
        <v>328</v>
      </c>
      <c r="Q8878" s="1" t="s">
        <v>329</v>
      </c>
      <c r="R8878" s="1" t="s">
        <v>128</v>
      </c>
      <c r="S8878" s="1" t="s">
        <v>129</v>
      </c>
      <c r="T8878" s="1" t="s">
        <v>330</v>
      </c>
      <c r="U8878" s="2" t="s">
        <v>5111</v>
      </c>
      <c r="V8878" s="2" t="s">
        <v>83</v>
      </c>
      <c r="W8878" s="2" t="s">
        <v>84</v>
      </c>
      <c r="X8878" s="2">
        <v>213.43</v>
      </c>
    </row>
    <row r="8879" spans="1:24" x14ac:dyDescent="0.3">
      <c r="A8879">
        <v>4671</v>
      </c>
      <c r="B8879" t="s">
        <v>16109</v>
      </c>
      <c r="C8879" s="3">
        <v>41809</v>
      </c>
      <c r="D8879" t="s">
        <v>148</v>
      </c>
      <c r="E8879">
        <v>72</v>
      </c>
      <c r="F8879" s="3">
        <f ca="1">41811+(RANDBETWEEN(1,10))</f>
        <v>41815</v>
      </c>
      <c r="G8879" t="s">
        <v>26</v>
      </c>
      <c r="H8879" t="s">
        <v>96</v>
      </c>
      <c r="I8879" t="s">
        <v>97</v>
      </c>
      <c r="J8879">
        <v>764.71500000000003</v>
      </c>
      <c r="K8879">
        <v>0.02</v>
      </c>
      <c r="L8879">
        <v>0.56000000000000005</v>
      </c>
      <c r="M8879">
        <v>2.4500000000000002</v>
      </c>
      <c r="N8879">
        <v>101.11499999999999</v>
      </c>
      <c r="O8879" s="1" t="s">
        <v>64</v>
      </c>
      <c r="P8879" s="1" t="s">
        <v>328</v>
      </c>
      <c r="Q8879" s="1" t="s">
        <v>329</v>
      </c>
      <c r="R8879" s="1" t="s">
        <v>128</v>
      </c>
      <c r="S8879" s="1" t="s">
        <v>129</v>
      </c>
      <c r="T8879" s="1" t="s">
        <v>330</v>
      </c>
      <c r="U8879" s="2" t="s">
        <v>1393</v>
      </c>
      <c r="V8879" s="2" t="s">
        <v>47</v>
      </c>
      <c r="W8879" s="2" t="s">
        <v>104</v>
      </c>
      <c r="X8879" s="2">
        <v>10.08</v>
      </c>
    </row>
    <row r="8880" spans="1:24" x14ac:dyDescent="0.3">
      <c r="A8880">
        <v>4680</v>
      </c>
      <c r="B8880" t="s">
        <v>16110</v>
      </c>
      <c r="C8880" s="3">
        <v>41386</v>
      </c>
      <c r="D8880" t="s">
        <v>62</v>
      </c>
      <c r="E8880">
        <v>49</v>
      </c>
      <c r="F8880" s="3">
        <f ca="1">41389+(RANDBETWEEN(1,10))</f>
        <v>41395</v>
      </c>
      <c r="G8880" t="s">
        <v>76</v>
      </c>
      <c r="H8880" t="s">
        <v>77</v>
      </c>
      <c r="I8880" t="s">
        <v>86</v>
      </c>
      <c r="J8880">
        <v>46400.69</v>
      </c>
      <c r="K8880">
        <v>0</v>
      </c>
      <c r="L8880">
        <v>0.56000000000000005</v>
      </c>
      <c r="M8880">
        <v>98.21</v>
      </c>
      <c r="N8880">
        <v>13682.655000000001</v>
      </c>
      <c r="O8880" s="1" t="s">
        <v>40</v>
      </c>
      <c r="P8880" s="1" t="s">
        <v>269</v>
      </c>
      <c r="Q8880" s="1" t="s">
        <v>270</v>
      </c>
      <c r="R8880" s="1" t="s">
        <v>43</v>
      </c>
      <c r="S8880" s="1" t="s">
        <v>44</v>
      </c>
      <c r="T8880" s="1" t="s">
        <v>271</v>
      </c>
      <c r="U8880" s="2" t="s">
        <v>6948</v>
      </c>
      <c r="V8880" s="2" t="s">
        <v>36</v>
      </c>
      <c r="W8880" s="2" t="s">
        <v>142</v>
      </c>
      <c r="X8880" s="2">
        <v>948.39499999999998</v>
      </c>
    </row>
    <row r="8881" spans="1:24" x14ac:dyDescent="0.3">
      <c r="A8881">
        <v>4697</v>
      </c>
      <c r="B8881" t="s">
        <v>16111</v>
      </c>
      <c r="C8881" s="3">
        <v>41931</v>
      </c>
      <c r="D8881" t="s">
        <v>39</v>
      </c>
      <c r="E8881">
        <v>59</v>
      </c>
      <c r="F8881" s="3">
        <f ca="1">41933+(RANDBETWEEN(1,10))</f>
        <v>41937</v>
      </c>
      <c r="G8881" t="s">
        <v>26</v>
      </c>
      <c r="H8881" t="s">
        <v>27</v>
      </c>
      <c r="I8881" t="s">
        <v>86</v>
      </c>
      <c r="J8881">
        <v>1985.9349999999999</v>
      </c>
      <c r="K8881">
        <v>0.08</v>
      </c>
      <c r="L8881">
        <v>0.37</v>
      </c>
      <c r="M8881">
        <v>3.4649999999999999</v>
      </c>
      <c r="N8881">
        <v>397.70499999999998</v>
      </c>
      <c r="O8881" s="1" t="s">
        <v>87</v>
      </c>
      <c r="P8881" s="1" t="s">
        <v>88</v>
      </c>
      <c r="Q8881" s="1" t="s">
        <v>89</v>
      </c>
      <c r="R8881" s="1" t="s">
        <v>90</v>
      </c>
      <c r="S8881" s="1" t="s">
        <v>91</v>
      </c>
      <c r="T8881" s="1" t="s">
        <v>92</v>
      </c>
      <c r="U8881" s="2" t="s">
        <v>4343</v>
      </c>
      <c r="V8881" s="2" t="s">
        <v>47</v>
      </c>
      <c r="W8881" s="2" t="s">
        <v>203</v>
      </c>
      <c r="X8881" s="2">
        <v>36.225000000000001</v>
      </c>
    </row>
    <row r="8882" spans="1:24" x14ac:dyDescent="0.3">
      <c r="A8882">
        <v>4698</v>
      </c>
      <c r="B8882" t="s">
        <v>16112</v>
      </c>
      <c r="C8882" s="3">
        <v>41074</v>
      </c>
      <c r="D8882" t="s">
        <v>39</v>
      </c>
      <c r="E8882">
        <v>32</v>
      </c>
      <c r="F8882" s="3">
        <f ca="1">41076+(RANDBETWEEN(1,10))</f>
        <v>41084</v>
      </c>
      <c r="G8882" t="s">
        <v>156</v>
      </c>
      <c r="H8882" t="s">
        <v>96</v>
      </c>
      <c r="I8882" t="s">
        <v>52</v>
      </c>
      <c r="J8882">
        <v>671.47500000000002</v>
      </c>
      <c r="K8882">
        <v>0.04</v>
      </c>
      <c r="L8882">
        <v>0.36</v>
      </c>
      <c r="M8882">
        <v>10.64</v>
      </c>
      <c r="N8882">
        <v>20.475000000000001</v>
      </c>
      <c r="O8882" s="1" t="s">
        <v>64</v>
      </c>
      <c r="P8882" s="1" t="s">
        <v>16113</v>
      </c>
      <c r="Q8882" s="1" t="s">
        <v>16114</v>
      </c>
      <c r="R8882" s="1" t="s">
        <v>67</v>
      </c>
      <c r="S8882" s="1" t="s">
        <v>108</v>
      </c>
      <c r="T8882" s="1" t="s">
        <v>196</v>
      </c>
      <c r="U8882" s="2" t="s">
        <v>2918</v>
      </c>
      <c r="V8882" s="2" t="s">
        <v>47</v>
      </c>
      <c r="W8882" s="2" t="s">
        <v>74</v>
      </c>
      <c r="X8882" s="2">
        <v>20.58</v>
      </c>
    </row>
    <row r="8883" spans="1:24" x14ac:dyDescent="0.3">
      <c r="A8883">
        <v>4702</v>
      </c>
      <c r="B8883" t="s">
        <v>16115</v>
      </c>
      <c r="C8883" s="3">
        <v>41177</v>
      </c>
      <c r="D8883" t="s">
        <v>25</v>
      </c>
      <c r="E8883">
        <v>58</v>
      </c>
      <c r="F8883" s="3">
        <f ca="1">41181+(RANDBETWEEN(1,10))</f>
        <v>41184</v>
      </c>
      <c r="G8883" t="s">
        <v>26</v>
      </c>
      <c r="H8883" t="s">
        <v>96</v>
      </c>
      <c r="I8883" t="s">
        <v>52</v>
      </c>
      <c r="J8883">
        <v>747.18</v>
      </c>
      <c r="K8883">
        <v>0.09</v>
      </c>
      <c r="L8883">
        <v>0.37</v>
      </c>
      <c r="M8883">
        <v>4.55</v>
      </c>
      <c r="N8883">
        <v>72.87</v>
      </c>
      <c r="O8883" s="1" t="s">
        <v>53</v>
      </c>
      <c r="P8883" s="1" t="s">
        <v>2927</v>
      </c>
      <c r="Q8883" s="1" t="s">
        <v>2928</v>
      </c>
      <c r="R8883" s="1" t="s">
        <v>100</v>
      </c>
      <c r="S8883" s="1" t="s">
        <v>101</v>
      </c>
      <c r="T8883" s="1" t="s">
        <v>2929</v>
      </c>
      <c r="U8883" s="2" t="s">
        <v>2823</v>
      </c>
      <c r="V8883" s="2" t="s">
        <v>47</v>
      </c>
      <c r="W8883" s="2" t="s">
        <v>74</v>
      </c>
      <c r="X8883" s="2">
        <v>14</v>
      </c>
    </row>
    <row r="8884" spans="1:24" x14ac:dyDescent="0.3">
      <c r="A8884">
        <v>4703</v>
      </c>
      <c r="B8884" t="s">
        <v>16115</v>
      </c>
      <c r="C8884" s="3">
        <v>41177</v>
      </c>
      <c r="D8884" t="s">
        <v>25</v>
      </c>
      <c r="E8884">
        <v>64</v>
      </c>
      <c r="F8884" s="3">
        <f ca="1">41177+(RANDBETWEEN(1,10))</f>
        <v>41184</v>
      </c>
      <c r="G8884" t="s">
        <v>156</v>
      </c>
      <c r="H8884" t="s">
        <v>27</v>
      </c>
      <c r="I8884" t="s">
        <v>52</v>
      </c>
      <c r="J8884">
        <v>15764.735000000001</v>
      </c>
      <c r="K8884">
        <v>7.0000000000000007E-2</v>
      </c>
      <c r="L8884">
        <v>0.57999999999999996</v>
      </c>
      <c r="M8884">
        <v>37.729999999999997</v>
      </c>
      <c r="N8884">
        <v>1087.002</v>
      </c>
      <c r="O8884" s="1" t="s">
        <v>53</v>
      </c>
      <c r="P8884" s="1" t="s">
        <v>2927</v>
      </c>
      <c r="Q8884" s="1" t="s">
        <v>2928</v>
      </c>
      <c r="R8884" s="1" t="s">
        <v>100</v>
      </c>
      <c r="S8884" s="1" t="s">
        <v>101</v>
      </c>
      <c r="T8884" s="1" t="s">
        <v>2929</v>
      </c>
      <c r="U8884" s="2">
        <v>3395</v>
      </c>
      <c r="V8884" s="2" t="s">
        <v>36</v>
      </c>
      <c r="W8884" s="2" t="s">
        <v>37</v>
      </c>
      <c r="X8884" s="2">
        <v>300.96499999999997</v>
      </c>
    </row>
    <row r="8885" spans="1:24" x14ac:dyDescent="0.3">
      <c r="A8885">
        <v>4708</v>
      </c>
      <c r="B8885" t="s">
        <v>16116</v>
      </c>
      <c r="C8885" s="3">
        <v>41431</v>
      </c>
      <c r="D8885" t="s">
        <v>25</v>
      </c>
      <c r="E8885">
        <v>35</v>
      </c>
      <c r="F8885" s="3">
        <f ca="1">41435+(RANDBETWEEN(1,10))</f>
        <v>41441</v>
      </c>
      <c r="G8885" t="s">
        <v>26</v>
      </c>
      <c r="H8885" t="s">
        <v>96</v>
      </c>
      <c r="I8885" t="s">
        <v>52</v>
      </c>
      <c r="J8885">
        <v>1114.1199999999999</v>
      </c>
      <c r="K8885">
        <v>0.1</v>
      </c>
      <c r="L8885">
        <v>0.47</v>
      </c>
      <c r="M8885">
        <v>16.87</v>
      </c>
      <c r="N8885">
        <v>-95.025000000000006</v>
      </c>
      <c r="O8885" s="1" t="s">
        <v>53</v>
      </c>
      <c r="P8885" s="1" t="s">
        <v>10270</v>
      </c>
      <c r="Q8885" s="1" t="s">
        <v>10271</v>
      </c>
      <c r="R8885" s="1" t="s">
        <v>100</v>
      </c>
      <c r="S8885" s="1" t="s">
        <v>101</v>
      </c>
      <c r="T8885" s="1" t="s">
        <v>10272</v>
      </c>
      <c r="U8885" s="2" t="s">
        <v>9076</v>
      </c>
      <c r="V8885" s="2" t="s">
        <v>47</v>
      </c>
      <c r="W8885" s="2" t="s">
        <v>104</v>
      </c>
      <c r="X8885" s="2">
        <v>34.475000000000001</v>
      </c>
    </row>
    <row r="8886" spans="1:24" x14ac:dyDescent="0.3">
      <c r="A8886">
        <v>4720</v>
      </c>
      <c r="B8886" t="s">
        <v>16117</v>
      </c>
      <c r="C8886" s="3">
        <v>41732</v>
      </c>
      <c r="D8886" t="s">
        <v>62</v>
      </c>
      <c r="E8886">
        <v>42</v>
      </c>
      <c r="F8886" s="3">
        <f ca="1">41734+(RANDBETWEEN(1,10))</f>
        <v>41735</v>
      </c>
      <c r="G8886" t="s">
        <v>26</v>
      </c>
      <c r="H8886" t="s">
        <v>27</v>
      </c>
      <c r="I8886" t="s">
        <v>28</v>
      </c>
      <c r="J8886">
        <v>535.53499999999997</v>
      </c>
      <c r="K8886">
        <v>0.04</v>
      </c>
      <c r="L8886">
        <v>0.38</v>
      </c>
      <c r="M8886">
        <v>23.905000000000001</v>
      </c>
      <c r="N8886">
        <v>-764.87075000000004</v>
      </c>
      <c r="O8886" s="1" t="s">
        <v>53</v>
      </c>
      <c r="P8886" s="1" t="s">
        <v>7631</v>
      </c>
      <c r="Q8886" s="1" t="s">
        <v>7632</v>
      </c>
      <c r="R8886" s="1" t="s">
        <v>56</v>
      </c>
      <c r="S8886" s="1" t="s">
        <v>159</v>
      </c>
      <c r="T8886" s="1" t="s">
        <v>7633</v>
      </c>
      <c r="U8886" s="2" t="s">
        <v>6885</v>
      </c>
      <c r="V8886" s="2" t="s">
        <v>47</v>
      </c>
      <c r="W8886" s="2" t="s">
        <v>111</v>
      </c>
      <c r="X8886" s="2">
        <v>12.32</v>
      </c>
    </row>
    <row r="8887" spans="1:24" x14ac:dyDescent="0.3">
      <c r="A8887">
        <v>4722</v>
      </c>
      <c r="B8887" t="s">
        <v>16118</v>
      </c>
      <c r="C8887" s="3">
        <v>40981</v>
      </c>
      <c r="D8887" t="s">
        <v>62</v>
      </c>
      <c r="E8887">
        <v>8</v>
      </c>
      <c r="F8887" s="3">
        <f ca="1">40982+(RANDBETWEEN(1,10))</f>
        <v>40991</v>
      </c>
      <c r="G8887" t="s">
        <v>26</v>
      </c>
      <c r="H8887" t="s">
        <v>27</v>
      </c>
      <c r="I8887" t="s">
        <v>97</v>
      </c>
      <c r="J8887">
        <v>2672.7750000000001</v>
      </c>
      <c r="K8887">
        <v>0.06</v>
      </c>
      <c r="L8887">
        <v>0.56999999999999995</v>
      </c>
      <c r="M8887">
        <v>18.41</v>
      </c>
      <c r="N8887">
        <v>-972.2405</v>
      </c>
      <c r="O8887" s="1" t="s">
        <v>40</v>
      </c>
      <c r="P8887" s="1" t="s">
        <v>15856</v>
      </c>
      <c r="Q8887" s="1" t="s">
        <v>15857</v>
      </c>
      <c r="R8887" s="1" t="s">
        <v>220</v>
      </c>
      <c r="S8887" s="1" t="s">
        <v>221</v>
      </c>
      <c r="T8887" s="1" t="s">
        <v>15858</v>
      </c>
      <c r="U8887" s="2">
        <v>636</v>
      </c>
      <c r="V8887" s="2" t="s">
        <v>36</v>
      </c>
      <c r="W8887" s="2" t="s">
        <v>37</v>
      </c>
      <c r="X8887" s="2">
        <v>405.96499999999997</v>
      </c>
    </row>
    <row r="8888" spans="1:24" x14ac:dyDescent="0.3">
      <c r="A8888">
        <v>4724</v>
      </c>
      <c r="B8888" t="s">
        <v>16119</v>
      </c>
      <c r="C8888" s="3">
        <v>40736</v>
      </c>
      <c r="D8888" t="s">
        <v>39</v>
      </c>
      <c r="E8888">
        <v>6</v>
      </c>
      <c r="F8888" s="3">
        <f ca="1">40737+(RANDBETWEEN(1,10))</f>
        <v>40747</v>
      </c>
      <c r="G8888" t="s">
        <v>76</v>
      </c>
      <c r="H8888" t="s">
        <v>77</v>
      </c>
      <c r="I8888" t="s">
        <v>86</v>
      </c>
      <c r="J8888">
        <v>2006.585</v>
      </c>
      <c r="K8888">
        <v>0.04</v>
      </c>
      <c r="L8888">
        <v>0.38</v>
      </c>
      <c r="M8888">
        <v>98</v>
      </c>
      <c r="N8888">
        <v>-605.83320000000003</v>
      </c>
      <c r="O8888" s="1" t="s">
        <v>40</v>
      </c>
      <c r="P8888" s="1" t="s">
        <v>199</v>
      </c>
      <c r="Q8888" s="1" t="s">
        <v>200</v>
      </c>
      <c r="R8888" s="1" t="s">
        <v>43</v>
      </c>
      <c r="S8888" s="1" t="s">
        <v>44</v>
      </c>
      <c r="T8888" s="1" t="s">
        <v>201</v>
      </c>
      <c r="U8888" s="2" t="s">
        <v>4632</v>
      </c>
      <c r="V8888" s="2" t="s">
        <v>36</v>
      </c>
      <c r="W8888" s="2" t="s">
        <v>142</v>
      </c>
      <c r="X8888" s="2">
        <v>318.39499999999998</v>
      </c>
    </row>
    <row r="8889" spans="1:24" x14ac:dyDescent="0.3">
      <c r="A8889">
        <v>4725</v>
      </c>
      <c r="B8889" t="s">
        <v>16119</v>
      </c>
      <c r="C8889" s="3">
        <v>40736</v>
      </c>
      <c r="D8889" t="s">
        <v>39</v>
      </c>
      <c r="E8889">
        <v>5</v>
      </c>
      <c r="F8889" s="3">
        <f ca="1">40737+(RANDBETWEEN(1,10))</f>
        <v>40744</v>
      </c>
      <c r="G8889" t="s">
        <v>26</v>
      </c>
      <c r="H8889" t="s">
        <v>63</v>
      </c>
      <c r="I8889" t="s">
        <v>86</v>
      </c>
      <c r="J8889">
        <v>490.80500000000001</v>
      </c>
      <c r="K8889">
        <v>7.0000000000000007E-2</v>
      </c>
      <c r="L8889">
        <v>0.84</v>
      </c>
      <c r="M8889">
        <v>122.5</v>
      </c>
      <c r="N8889">
        <v>-336.56</v>
      </c>
      <c r="O8889" s="1" t="s">
        <v>40</v>
      </c>
      <c r="P8889" s="1" t="s">
        <v>199</v>
      </c>
      <c r="Q8889" s="1" t="s">
        <v>200</v>
      </c>
      <c r="R8889" s="1" t="s">
        <v>43</v>
      </c>
      <c r="S8889" s="1" t="s">
        <v>44</v>
      </c>
      <c r="T8889" s="1" t="s">
        <v>201</v>
      </c>
      <c r="U8889" s="2" t="s">
        <v>2742</v>
      </c>
      <c r="V8889" s="2" t="s">
        <v>47</v>
      </c>
      <c r="W8889" s="2" t="s">
        <v>119</v>
      </c>
      <c r="X8889" s="2">
        <v>71.19</v>
      </c>
    </row>
    <row r="8890" spans="1:24" x14ac:dyDescent="0.3">
      <c r="A8890">
        <v>473</v>
      </c>
      <c r="B8890" t="s">
        <v>16120</v>
      </c>
      <c r="C8890" s="3">
        <v>41349</v>
      </c>
      <c r="D8890" t="s">
        <v>25</v>
      </c>
      <c r="E8890">
        <v>4</v>
      </c>
      <c r="F8890" s="3">
        <f ca="1">41353+(RANDBETWEEN(1,10))</f>
        <v>41360</v>
      </c>
      <c r="G8890" t="s">
        <v>26</v>
      </c>
      <c r="H8890" t="s">
        <v>27</v>
      </c>
      <c r="I8890" t="s">
        <v>28</v>
      </c>
      <c r="J8890">
        <v>59.92</v>
      </c>
      <c r="K8890">
        <v>0.03</v>
      </c>
      <c r="L8890">
        <v>0.38</v>
      </c>
      <c r="M8890">
        <v>5.2149999999999999</v>
      </c>
      <c r="N8890">
        <v>-8.9354999999999993</v>
      </c>
      <c r="O8890" s="1" t="s">
        <v>64</v>
      </c>
      <c r="P8890" s="1" t="s">
        <v>233</v>
      </c>
      <c r="Q8890" s="1" t="s">
        <v>234</v>
      </c>
      <c r="R8890" s="1" t="s">
        <v>67</v>
      </c>
      <c r="S8890" s="1" t="s">
        <v>68</v>
      </c>
      <c r="T8890" s="1" t="s">
        <v>235</v>
      </c>
      <c r="U8890" s="2" t="s">
        <v>1763</v>
      </c>
      <c r="V8890" s="2" t="s">
        <v>47</v>
      </c>
      <c r="W8890" s="2" t="s">
        <v>111</v>
      </c>
      <c r="X8890" s="2">
        <v>13.3</v>
      </c>
    </row>
    <row r="8891" spans="1:24" x14ac:dyDescent="0.3">
      <c r="A8891">
        <v>474</v>
      </c>
      <c r="B8891" t="s">
        <v>16121</v>
      </c>
      <c r="C8891" s="3">
        <v>41639</v>
      </c>
      <c r="D8891" t="s">
        <v>62</v>
      </c>
      <c r="E8891">
        <v>90</v>
      </c>
      <c r="F8891" s="3">
        <f ca="1">41639+(RANDBETWEEN(1,10))</f>
        <v>41641</v>
      </c>
      <c r="G8891" t="s">
        <v>76</v>
      </c>
      <c r="H8891" t="s">
        <v>77</v>
      </c>
      <c r="I8891" t="s">
        <v>97</v>
      </c>
      <c r="J8891">
        <v>80730.929999999993</v>
      </c>
      <c r="K8891">
        <v>7.0000000000000007E-2</v>
      </c>
      <c r="L8891">
        <v>0.57999999999999996</v>
      </c>
      <c r="M8891">
        <v>62.51</v>
      </c>
      <c r="N8891">
        <v>6456.6995500000003</v>
      </c>
      <c r="O8891" s="1" t="s">
        <v>225</v>
      </c>
      <c r="P8891" s="1" t="s">
        <v>347</v>
      </c>
      <c r="Q8891" s="1" t="s">
        <v>348</v>
      </c>
      <c r="R8891" s="1" t="s">
        <v>228</v>
      </c>
      <c r="S8891" s="1" t="s">
        <v>349</v>
      </c>
      <c r="T8891" s="1" t="s">
        <v>350</v>
      </c>
      <c r="U8891" s="2" t="s">
        <v>2262</v>
      </c>
      <c r="V8891" s="2" t="s">
        <v>36</v>
      </c>
      <c r="W8891" s="2" t="s">
        <v>142</v>
      </c>
      <c r="X8891" s="2">
        <v>927.43</v>
      </c>
    </row>
    <row r="8892" spans="1:24" x14ac:dyDescent="0.3">
      <c r="A8892">
        <v>4745</v>
      </c>
      <c r="B8892" t="s">
        <v>16122</v>
      </c>
      <c r="C8892" s="3">
        <v>41879</v>
      </c>
      <c r="D8892" t="s">
        <v>50</v>
      </c>
      <c r="E8892">
        <v>66</v>
      </c>
      <c r="F8892" s="3">
        <f ca="1">41880+(RANDBETWEEN(1,10))</f>
        <v>41882</v>
      </c>
      <c r="G8892" t="s">
        <v>26</v>
      </c>
      <c r="H8892" t="s">
        <v>27</v>
      </c>
      <c r="I8892" t="s">
        <v>28</v>
      </c>
      <c r="J8892">
        <v>2330.65</v>
      </c>
      <c r="K8892">
        <v>0.05</v>
      </c>
      <c r="L8892">
        <v>0.55000000000000004</v>
      </c>
      <c r="M8892">
        <v>21.77</v>
      </c>
      <c r="N8892">
        <v>-98.56</v>
      </c>
      <c r="O8892" s="1" t="s">
        <v>64</v>
      </c>
      <c r="P8892" s="1" t="s">
        <v>15990</v>
      </c>
      <c r="Q8892" s="1" t="s">
        <v>15991</v>
      </c>
      <c r="R8892" s="1" t="s">
        <v>128</v>
      </c>
      <c r="S8892" s="1" t="s">
        <v>129</v>
      </c>
      <c r="T8892" s="1" t="s">
        <v>15992</v>
      </c>
      <c r="U8892" s="2" t="s">
        <v>1422</v>
      </c>
      <c r="V8892" s="2" t="s">
        <v>83</v>
      </c>
      <c r="W8892" s="2" t="s">
        <v>178</v>
      </c>
      <c r="X8892" s="2">
        <v>33.774999999999999</v>
      </c>
    </row>
    <row r="8893" spans="1:24" x14ac:dyDescent="0.3">
      <c r="A8893">
        <v>4748</v>
      </c>
      <c r="B8893" t="s">
        <v>16123</v>
      </c>
      <c r="C8893" s="3">
        <v>41175</v>
      </c>
      <c r="D8893" t="s">
        <v>50</v>
      </c>
      <c r="E8893">
        <v>42</v>
      </c>
      <c r="F8893" s="3">
        <f ca="1">41177+(RANDBETWEEN(1,10))</f>
        <v>41182</v>
      </c>
      <c r="G8893" t="s">
        <v>26</v>
      </c>
      <c r="H8893" t="s">
        <v>63</v>
      </c>
      <c r="I8893" t="s">
        <v>28</v>
      </c>
      <c r="J8893">
        <v>68971</v>
      </c>
      <c r="K8893">
        <v>0.08</v>
      </c>
      <c r="L8893">
        <v>0.36</v>
      </c>
      <c r="M8893">
        <v>85.715000000000003</v>
      </c>
      <c r="N8893">
        <v>-821.76499999999999</v>
      </c>
      <c r="O8893" s="1" t="s">
        <v>53</v>
      </c>
      <c r="P8893" s="1" t="s">
        <v>243</v>
      </c>
      <c r="Q8893" s="1" t="s">
        <v>244</v>
      </c>
      <c r="R8893" s="1" t="s">
        <v>100</v>
      </c>
      <c r="S8893" s="1" t="s">
        <v>101</v>
      </c>
      <c r="T8893" s="1" t="s">
        <v>245</v>
      </c>
      <c r="U8893" s="2" t="s">
        <v>3414</v>
      </c>
      <c r="V8893" s="2" t="s">
        <v>36</v>
      </c>
      <c r="W8893" s="2" t="s">
        <v>1327</v>
      </c>
      <c r="X8893" s="2">
        <v>1749.9649999999999</v>
      </c>
    </row>
    <row r="8894" spans="1:24" x14ac:dyDescent="0.3">
      <c r="A8894">
        <v>475</v>
      </c>
      <c r="B8894" t="s">
        <v>16121</v>
      </c>
      <c r="C8894" s="3">
        <v>41639</v>
      </c>
      <c r="D8894" t="s">
        <v>62</v>
      </c>
      <c r="E8894">
        <v>36</v>
      </c>
      <c r="F8894" s="3">
        <f ca="1">41640+(RANDBETWEEN(1,10))</f>
        <v>41645</v>
      </c>
      <c r="G8894" t="s">
        <v>156</v>
      </c>
      <c r="H8894" t="s">
        <v>96</v>
      </c>
      <c r="I8894" t="s">
        <v>97</v>
      </c>
      <c r="J8894">
        <v>1022.7</v>
      </c>
      <c r="K8894">
        <v>0.06</v>
      </c>
      <c r="L8894">
        <v>0.35</v>
      </c>
      <c r="M8894">
        <v>5.0049999999999999</v>
      </c>
      <c r="N8894">
        <v>119.9233</v>
      </c>
      <c r="O8894" s="1" t="s">
        <v>225</v>
      </c>
      <c r="P8894" s="1" t="s">
        <v>347</v>
      </c>
      <c r="Q8894" s="1" t="s">
        <v>348</v>
      </c>
      <c r="R8894" s="1" t="s">
        <v>228</v>
      </c>
      <c r="S8894" s="1" t="s">
        <v>349</v>
      </c>
      <c r="T8894" s="1" t="s">
        <v>350</v>
      </c>
      <c r="U8894" s="2" t="s">
        <v>2263</v>
      </c>
      <c r="V8894" s="2" t="s">
        <v>47</v>
      </c>
      <c r="W8894" s="2" t="s">
        <v>74</v>
      </c>
      <c r="X8894" s="2">
        <v>29.19</v>
      </c>
    </row>
    <row r="8895" spans="1:24" x14ac:dyDescent="0.3">
      <c r="A8895">
        <v>4760</v>
      </c>
      <c r="B8895" t="s">
        <v>16124</v>
      </c>
      <c r="C8895" s="3">
        <v>41262</v>
      </c>
      <c r="D8895" t="s">
        <v>25</v>
      </c>
      <c r="E8895">
        <v>24</v>
      </c>
      <c r="F8895" s="3">
        <f ca="1">41266+(RANDBETWEEN(1,10))</f>
        <v>41275</v>
      </c>
      <c r="G8895" t="s">
        <v>26</v>
      </c>
      <c r="H8895" t="s">
        <v>51</v>
      </c>
      <c r="I8895" t="s">
        <v>86</v>
      </c>
      <c r="J8895">
        <v>1200.7449999999999</v>
      </c>
      <c r="K8895">
        <v>0.03</v>
      </c>
      <c r="L8895">
        <v>0.49</v>
      </c>
      <c r="M8895">
        <v>17.5</v>
      </c>
      <c r="N8895">
        <v>136.3852</v>
      </c>
      <c r="O8895" s="1" t="s">
        <v>53</v>
      </c>
      <c r="P8895" s="1" t="s">
        <v>284</v>
      </c>
      <c r="Q8895" s="1" t="s">
        <v>285</v>
      </c>
      <c r="R8895" s="1" t="s">
        <v>56</v>
      </c>
      <c r="S8895" s="1" t="s">
        <v>57</v>
      </c>
      <c r="T8895" s="1" t="s">
        <v>58</v>
      </c>
      <c r="U8895" s="2" t="s">
        <v>830</v>
      </c>
      <c r="V8895" s="2" t="s">
        <v>83</v>
      </c>
      <c r="W8895" s="2" t="s">
        <v>178</v>
      </c>
      <c r="X8895" s="2">
        <v>50.19</v>
      </c>
    </row>
    <row r="8896" spans="1:24" x14ac:dyDescent="0.3">
      <c r="A8896">
        <v>4784</v>
      </c>
      <c r="B8896" t="s">
        <v>16125</v>
      </c>
      <c r="C8896" s="3">
        <v>41851</v>
      </c>
      <c r="D8896" t="s">
        <v>62</v>
      </c>
      <c r="E8896">
        <v>32</v>
      </c>
      <c r="F8896" s="3">
        <f ca="1">41852+(RANDBETWEEN(1,10))</f>
        <v>41857</v>
      </c>
      <c r="G8896" t="s">
        <v>76</v>
      </c>
      <c r="H8896" t="s">
        <v>258</v>
      </c>
      <c r="I8896" t="s">
        <v>28</v>
      </c>
      <c r="J8896">
        <v>1789.7249999999999</v>
      </c>
      <c r="K8896">
        <v>0.03</v>
      </c>
      <c r="L8896">
        <v>0.76</v>
      </c>
      <c r="M8896">
        <v>97.125</v>
      </c>
      <c r="N8896">
        <v>27.32147775</v>
      </c>
      <c r="O8896" s="1" t="s">
        <v>64</v>
      </c>
      <c r="P8896" s="1" t="s">
        <v>16085</v>
      </c>
      <c r="Q8896" s="1" t="s">
        <v>16086</v>
      </c>
      <c r="R8896" s="1" t="s">
        <v>67</v>
      </c>
      <c r="S8896" s="1" t="s">
        <v>254</v>
      </c>
      <c r="T8896" s="1" t="s">
        <v>255</v>
      </c>
      <c r="U8896" s="2" t="s">
        <v>365</v>
      </c>
      <c r="V8896" s="2" t="s">
        <v>83</v>
      </c>
      <c r="W8896" s="2" t="s">
        <v>263</v>
      </c>
      <c r="X8896" s="2">
        <v>53.305</v>
      </c>
    </row>
    <row r="8897" spans="1:24" x14ac:dyDescent="0.3">
      <c r="A8897">
        <v>4788</v>
      </c>
      <c r="B8897" t="s">
        <v>16126</v>
      </c>
      <c r="C8897" s="3">
        <v>40625</v>
      </c>
      <c r="D8897" t="s">
        <v>39</v>
      </c>
      <c r="E8897">
        <v>20</v>
      </c>
      <c r="F8897" s="3">
        <f ca="1">40625+(RANDBETWEEN(1,10))</f>
        <v>40633</v>
      </c>
      <c r="G8897" t="s">
        <v>156</v>
      </c>
      <c r="H8897" t="s">
        <v>96</v>
      </c>
      <c r="I8897" t="s">
        <v>28</v>
      </c>
      <c r="J8897">
        <v>361.86500000000001</v>
      </c>
      <c r="K8897">
        <v>0.05</v>
      </c>
      <c r="L8897">
        <v>0.52</v>
      </c>
      <c r="M8897">
        <v>2.4849999999999999</v>
      </c>
      <c r="N8897">
        <v>102.095</v>
      </c>
      <c r="O8897" s="1" t="s">
        <v>40</v>
      </c>
      <c r="P8897" s="1" t="s">
        <v>15950</v>
      </c>
      <c r="Q8897" s="1" t="s">
        <v>15951</v>
      </c>
      <c r="R8897" s="1" t="s">
        <v>43</v>
      </c>
      <c r="S8897" s="1" t="s">
        <v>44</v>
      </c>
      <c r="T8897" s="1" t="s">
        <v>15952</v>
      </c>
      <c r="U8897" s="2" t="s">
        <v>2636</v>
      </c>
      <c r="V8897" s="2" t="s">
        <v>47</v>
      </c>
      <c r="W8897" s="2" t="s">
        <v>104</v>
      </c>
      <c r="X8897" s="2">
        <v>16.940000000000001</v>
      </c>
    </row>
    <row r="8898" spans="1:24" x14ac:dyDescent="0.3">
      <c r="A8898">
        <v>4789</v>
      </c>
      <c r="B8898" t="s">
        <v>16126</v>
      </c>
      <c r="C8898" s="3">
        <v>40625</v>
      </c>
      <c r="D8898" t="s">
        <v>39</v>
      </c>
      <c r="E8898">
        <v>28</v>
      </c>
      <c r="F8898" s="3">
        <f ca="1">40627+(RANDBETWEEN(1,10))</f>
        <v>40628</v>
      </c>
      <c r="G8898" t="s">
        <v>26</v>
      </c>
      <c r="H8898" t="s">
        <v>27</v>
      </c>
      <c r="I8898" t="s">
        <v>28</v>
      </c>
      <c r="J8898">
        <v>1523.865</v>
      </c>
      <c r="K8898">
        <v>0.01</v>
      </c>
      <c r="L8898">
        <v>0.56999999999999995</v>
      </c>
      <c r="M8898">
        <v>26.914999999999999</v>
      </c>
      <c r="N8898">
        <v>-171.39500000000001</v>
      </c>
      <c r="O8898" s="1" t="s">
        <v>40</v>
      </c>
      <c r="P8898" s="1" t="s">
        <v>15950</v>
      </c>
      <c r="Q8898" s="1" t="s">
        <v>15951</v>
      </c>
      <c r="R8898" s="1" t="s">
        <v>43</v>
      </c>
      <c r="S8898" s="1" t="s">
        <v>44</v>
      </c>
      <c r="T8898" s="1" t="s">
        <v>15952</v>
      </c>
      <c r="U8898" s="2" t="s">
        <v>3304</v>
      </c>
      <c r="V8898" s="2" t="s">
        <v>47</v>
      </c>
      <c r="W8898" s="2" t="s">
        <v>119</v>
      </c>
      <c r="X8898" s="2">
        <v>52.43</v>
      </c>
    </row>
    <row r="8899" spans="1:24" x14ac:dyDescent="0.3">
      <c r="A8899">
        <v>4792</v>
      </c>
      <c r="B8899" t="s">
        <v>16127</v>
      </c>
      <c r="C8899" s="3">
        <v>41361</v>
      </c>
      <c r="D8899" t="s">
        <v>25</v>
      </c>
      <c r="E8899">
        <v>1</v>
      </c>
      <c r="F8899" s="3">
        <f ca="1">41363+(RANDBETWEEN(1,10))</f>
        <v>41373</v>
      </c>
      <c r="G8899" t="s">
        <v>26</v>
      </c>
      <c r="H8899" t="s">
        <v>51</v>
      </c>
      <c r="I8899" t="s">
        <v>28</v>
      </c>
      <c r="J8899">
        <v>93.38</v>
      </c>
      <c r="K8899">
        <v>0.04</v>
      </c>
      <c r="L8899">
        <v>0.52</v>
      </c>
      <c r="M8899">
        <v>12.705</v>
      </c>
      <c r="N8899">
        <v>-37.590000000000003</v>
      </c>
      <c r="O8899" s="1" t="s">
        <v>53</v>
      </c>
      <c r="P8899" s="1" t="s">
        <v>168</v>
      </c>
      <c r="Q8899" s="1" t="s">
        <v>169</v>
      </c>
      <c r="R8899" s="1" t="s">
        <v>100</v>
      </c>
      <c r="S8899" s="1" t="s">
        <v>101</v>
      </c>
      <c r="T8899" s="1" t="s">
        <v>170</v>
      </c>
      <c r="U8899" s="2" t="s">
        <v>6058</v>
      </c>
      <c r="V8899" s="2" t="s">
        <v>83</v>
      </c>
      <c r="W8899" s="2" t="s">
        <v>178</v>
      </c>
      <c r="X8899" s="2">
        <v>77.805000000000007</v>
      </c>
    </row>
    <row r="8900" spans="1:24" x14ac:dyDescent="0.3">
      <c r="A8900">
        <v>4797</v>
      </c>
      <c r="B8900" t="s">
        <v>16128</v>
      </c>
      <c r="C8900" s="3">
        <v>41758</v>
      </c>
      <c r="D8900" t="s">
        <v>39</v>
      </c>
      <c r="E8900">
        <v>41</v>
      </c>
      <c r="F8900" s="3">
        <f ca="1">41760+(RANDBETWEEN(1,10))</f>
        <v>41767</v>
      </c>
      <c r="G8900" t="s">
        <v>26</v>
      </c>
      <c r="H8900" t="s">
        <v>27</v>
      </c>
      <c r="I8900" t="s">
        <v>52</v>
      </c>
      <c r="J8900">
        <v>7881.6850000000004</v>
      </c>
      <c r="K8900">
        <v>0.04</v>
      </c>
      <c r="L8900">
        <v>0.55000000000000004</v>
      </c>
      <c r="M8900">
        <v>8.75</v>
      </c>
      <c r="N8900">
        <v>2295.6885000000002</v>
      </c>
      <c r="O8900" s="1" t="s">
        <v>64</v>
      </c>
      <c r="P8900" s="1" t="s">
        <v>10969</v>
      </c>
      <c r="Q8900" s="1" t="s">
        <v>10970</v>
      </c>
      <c r="R8900" s="1" t="s">
        <v>128</v>
      </c>
      <c r="S8900" s="1" t="s">
        <v>129</v>
      </c>
      <c r="T8900" s="1" t="s">
        <v>10971</v>
      </c>
      <c r="U8900" s="2">
        <v>6190</v>
      </c>
      <c r="V8900" s="2" t="s">
        <v>36</v>
      </c>
      <c r="W8900" s="2" t="s">
        <v>37</v>
      </c>
      <c r="X8900" s="2">
        <v>230.965</v>
      </c>
    </row>
    <row r="8901" spans="1:24" x14ac:dyDescent="0.3">
      <c r="A8901">
        <v>480</v>
      </c>
      <c r="B8901" t="s">
        <v>16129</v>
      </c>
      <c r="C8901" s="3">
        <v>40851</v>
      </c>
      <c r="D8901" t="s">
        <v>62</v>
      </c>
      <c r="E8901">
        <v>20</v>
      </c>
      <c r="F8901" s="3">
        <f ca="1">40853+(RANDBETWEEN(1,10))</f>
        <v>40854</v>
      </c>
      <c r="G8901" t="s">
        <v>26</v>
      </c>
      <c r="H8901" t="s">
        <v>96</v>
      </c>
      <c r="I8901" t="s">
        <v>28</v>
      </c>
      <c r="J8901">
        <v>258.89499999999998</v>
      </c>
      <c r="K8901">
        <v>0.01</v>
      </c>
      <c r="L8901">
        <v>0.41</v>
      </c>
      <c r="M8901">
        <v>6.51</v>
      </c>
      <c r="N8901">
        <v>-16.33905</v>
      </c>
      <c r="O8901" s="1" t="s">
        <v>64</v>
      </c>
      <c r="P8901" s="1" t="s">
        <v>16085</v>
      </c>
      <c r="Q8901" s="1" t="s">
        <v>16086</v>
      </c>
      <c r="R8901" s="1" t="s">
        <v>67</v>
      </c>
      <c r="S8901" s="1" t="s">
        <v>254</v>
      </c>
      <c r="T8901" s="1" t="s">
        <v>255</v>
      </c>
      <c r="U8901" s="2" t="s">
        <v>2287</v>
      </c>
      <c r="V8901" s="2" t="s">
        <v>47</v>
      </c>
      <c r="W8901" s="2" t="s">
        <v>104</v>
      </c>
      <c r="X8901" s="2">
        <v>11.41</v>
      </c>
    </row>
    <row r="8902" spans="1:24" x14ac:dyDescent="0.3">
      <c r="A8902">
        <v>4817</v>
      </c>
      <c r="B8902" t="s">
        <v>16130</v>
      </c>
      <c r="C8902" s="3">
        <v>41181</v>
      </c>
      <c r="D8902" t="s">
        <v>25</v>
      </c>
      <c r="E8902">
        <v>46</v>
      </c>
      <c r="F8902" s="3">
        <f ca="1">41190+(RANDBETWEEN(1,10))</f>
        <v>41193</v>
      </c>
      <c r="G8902" t="s">
        <v>156</v>
      </c>
      <c r="H8902" t="s">
        <v>51</v>
      </c>
      <c r="I8902" t="s">
        <v>52</v>
      </c>
      <c r="J8902">
        <v>1322.125</v>
      </c>
      <c r="K8902">
        <v>0</v>
      </c>
      <c r="L8902">
        <v>0.69</v>
      </c>
      <c r="M8902">
        <v>19.355</v>
      </c>
      <c r="N8902">
        <v>-313.45999999999998</v>
      </c>
      <c r="O8902" s="1" t="s">
        <v>87</v>
      </c>
      <c r="P8902" s="1" t="s">
        <v>88</v>
      </c>
      <c r="Q8902" s="1" t="s">
        <v>89</v>
      </c>
      <c r="R8902" s="1" t="s">
        <v>90</v>
      </c>
      <c r="S8902" s="1" t="s">
        <v>91</v>
      </c>
      <c r="T8902" s="1" t="s">
        <v>92</v>
      </c>
      <c r="U8902" s="2" t="s">
        <v>3244</v>
      </c>
      <c r="V8902" s="2" t="s">
        <v>36</v>
      </c>
      <c r="W8902" s="2" t="s">
        <v>60</v>
      </c>
      <c r="X8902" s="2">
        <v>25.795000000000002</v>
      </c>
    </row>
    <row r="8903" spans="1:24" x14ac:dyDescent="0.3">
      <c r="A8903">
        <v>4818</v>
      </c>
      <c r="B8903" t="s">
        <v>16130</v>
      </c>
      <c r="C8903" s="3">
        <v>41181</v>
      </c>
      <c r="D8903" t="s">
        <v>25</v>
      </c>
      <c r="E8903">
        <v>7</v>
      </c>
      <c r="F8903" s="3">
        <f ca="1">41183+(RANDBETWEEN(1,10))</f>
        <v>41186</v>
      </c>
      <c r="G8903" t="s">
        <v>26</v>
      </c>
      <c r="H8903" t="s">
        <v>51</v>
      </c>
      <c r="I8903" t="s">
        <v>52</v>
      </c>
      <c r="J8903">
        <v>769.93</v>
      </c>
      <c r="K8903">
        <v>0.04</v>
      </c>
      <c r="L8903">
        <v>0.42</v>
      </c>
      <c r="M8903">
        <v>6.9649999999999999</v>
      </c>
      <c r="N8903">
        <v>-219.69499999999999</v>
      </c>
      <c r="O8903" s="1" t="s">
        <v>87</v>
      </c>
      <c r="P8903" s="1" t="s">
        <v>88</v>
      </c>
      <c r="Q8903" s="1" t="s">
        <v>89</v>
      </c>
      <c r="R8903" s="1" t="s">
        <v>90</v>
      </c>
      <c r="S8903" s="1" t="s">
        <v>91</v>
      </c>
      <c r="T8903" s="1" t="s">
        <v>92</v>
      </c>
      <c r="U8903" s="2" t="s">
        <v>1226</v>
      </c>
      <c r="V8903" s="2" t="s">
        <v>36</v>
      </c>
      <c r="W8903" s="2" t="s">
        <v>60</v>
      </c>
      <c r="X8903" s="2">
        <v>111.23</v>
      </c>
    </row>
    <row r="8904" spans="1:24" x14ac:dyDescent="0.3">
      <c r="A8904">
        <v>4820</v>
      </c>
      <c r="B8904" t="s">
        <v>16131</v>
      </c>
      <c r="C8904" s="3">
        <v>41189</v>
      </c>
      <c r="D8904" t="s">
        <v>62</v>
      </c>
      <c r="E8904">
        <v>88</v>
      </c>
      <c r="F8904" s="3">
        <f ca="1">41190+(RANDBETWEEN(1,10))</f>
        <v>41193</v>
      </c>
      <c r="G8904" t="s">
        <v>26</v>
      </c>
      <c r="H8904" t="s">
        <v>27</v>
      </c>
      <c r="I8904" t="s">
        <v>97</v>
      </c>
      <c r="J8904">
        <v>1256.2550000000001</v>
      </c>
      <c r="K8904">
        <v>0.03</v>
      </c>
      <c r="L8904">
        <v>0.6</v>
      </c>
      <c r="M8904">
        <v>24.114999999999998</v>
      </c>
      <c r="N8904">
        <v>-1079.8620000000001</v>
      </c>
      <c r="O8904" s="1" t="s">
        <v>40</v>
      </c>
      <c r="P8904" s="1" t="s">
        <v>9728</v>
      </c>
      <c r="Q8904" s="1" t="s">
        <v>9729</v>
      </c>
      <c r="R8904" s="1" t="s">
        <v>43</v>
      </c>
      <c r="S8904" s="1" t="s">
        <v>80</v>
      </c>
      <c r="T8904" s="1" t="s">
        <v>9730</v>
      </c>
      <c r="U8904" s="2" t="s">
        <v>3815</v>
      </c>
      <c r="V8904" s="2" t="s">
        <v>47</v>
      </c>
      <c r="W8904" s="2" t="s">
        <v>71</v>
      </c>
      <c r="X8904" s="2">
        <v>14.21</v>
      </c>
    </row>
    <row r="8905" spans="1:24" x14ac:dyDescent="0.3">
      <c r="A8905">
        <v>4821</v>
      </c>
      <c r="B8905" t="s">
        <v>16131</v>
      </c>
      <c r="C8905" s="3">
        <v>41189</v>
      </c>
      <c r="D8905" t="s">
        <v>62</v>
      </c>
      <c r="E8905">
        <v>32</v>
      </c>
      <c r="F8905" s="3">
        <f ca="1">41190+(RANDBETWEEN(1,10))</f>
        <v>41193</v>
      </c>
      <c r="G8905" t="s">
        <v>26</v>
      </c>
      <c r="H8905" t="s">
        <v>27</v>
      </c>
      <c r="I8905" t="s">
        <v>97</v>
      </c>
      <c r="J8905">
        <v>11747.68</v>
      </c>
      <c r="K8905">
        <v>0.03</v>
      </c>
      <c r="L8905">
        <v>0.52</v>
      </c>
      <c r="M8905">
        <v>69.965000000000003</v>
      </c>
      <c r="N8905">
        <v>538.524</v>
      </c>
      <c r="O8905" s="1" t="s">
        <v>40</v>
      </c>
      <c r="P8905" s="1" t="s">
        <v>9728</v>
      </c>
      <c r="Q8905" s="1" t="s">
        <v>9729</v>
      </c>
      <c r="R8905" s="1" t="s">
        <v>43</v>
      </c>
      <c r="S8905" s="1" t="s">
        <v>80</v>
      </c>
      <c r="T8905" s="1" t="s">
        <v>9730</v>
      </c>
      <c r="U8905" s="2" t="s">
        <v>4088</v>
      </c>
      <c r="V8905" s="2" t="s">
        <v>36</v>
      </c>
      <c r="W8905" s="2" t="s">
        <v>142</v>
      </c>
      <c r="X8905" s="2">
        <v>349.96499999999997</v>
      </c>
    </row>
    <row r="8906" spans="1:24" x14ac:dyDescent="0.3">
      <c r="A8906">
        <v>4822</v>
      </c>
      <c r="B8906" t="s">
        <v>16131</v>
      </c>
      <c r="C8906" s="3">
        <v>41189</v>
      </c>
      <c r="D8906" t="s">
        <v>62</v>
      </c>
      <c r="E8906">
        <v>49</v>
      </c>
      <c r="F8906" s="3">
        <f ca="1">41191+(RANDBETWEEN(1,10))</f>
        <v>41197</v>
      </c>
      <c r="G8906" t="s">
        <v>26</v>
      </c>
      <c r="H8906" t="s">
        <v>27</v>
      </c>
      <c r="I8906" t="s">
        <v>97</v>
      </c>
      <c r="J8906">
        <v>2049.67</v>
      </c>
      <c r="K8906">
        <v>0.01</v>
      </c>
      <c r="L8906">
        <v>0.35</v>
      </c>
      <c r="M8906">
        <v>24.395</v>
      </c>
      <c r="N8906">
        <v>5.3479999999999999</v>
      </c>
      <c r="O8906" s="1" t="s">
        <v>40</v>
      </c>
      <c r="P8906" s="1" t="s">
        <v>9728</v>
      </c>
      <c r="Q8906" s="1" t="s">
        <v>9729</v>
      </c>
      <c r="R8906" s="1" t="s">
        <v>43</v>
      </c>
      <c r="S8906" s="1" t="s">
        <v>80</v>
      </c>
      <c r="T8906" s="1" t="s">
        <v>9730</v>
      </c>
      <c r="U8906" s="2" t="s">
        <v>2886</v>
      </c>
      <c r="V8906" s="2" t="s">
        <v>47</v>
      </c>
      <c r="W8906" s="2" t="s">
        <v>48</v>
      </c>
      <c r="X8906" s="2">
        <v>40.53</v>
      </c>
    </row>
    <row r="8907" spans="1:24" x14ac:dyDescent="0.3">
      <c r="A8907">
        <v>4833</v>
      </c>
      <c r="B8907" t="s">
        <v>16132</v>
      </c>
      <c r="C8907" s="3">
        <v>41997</v>
      </c>
      <c r="D8907" t="s">
        <v>25</v>
      </c>
      <c r="E8907">
        <v>50</v>
      </c>
      <c r="F8907" s="3">
        <f ca="1">42001+(RANDBETWEEN(1,10))</f>
        <v>42002</v>
      </c>
      <c r="G8907" t="s">
        <v>26</v>
      </c>
      <c r="H8907" t="s">
        <v>51</v>
      </c>
      <c r="I8907" t="s">
        <v>28</v>
      </c>
      <c r="J8907">
        <v>647.71</v>
      </c>
      <c r="K8907">
        <v>0.01</v>
      </c>
      <c r="L8907">
        <v>0.59</v>
      </c>
      <c r="M8907">
        <v>14.595000000000001</v>
      </c>
      <c r="N8907">
        <v>-250.32</v>
      </c>
      <c r="O8907" s="1" t="s">
        <v>40</v>
      </c>
      <c r="P8907" s="1" t="s">
        <v>16028</v>
      </c>
      <c r="Q8907" s="1" t="s">
        <v>16029</v>
      </c>
      <c r="R8907" s="1" t="s">
        <v>43</v>
      </c>
      <c r="S8907" s="1" t="s">
        <v>44</v>
      </c>
      <c r="T8907" s="1" t="s">
        <v>16030</v>
      </c>
      <c r="U8907" s="2" t="s">
        <v>1747</v>
      </c>
      <c r="V8907" s="2" t="s">
        <v>47</v>
      </c>
      <c r="W8907" s="2" t="s">
        <v>104</v>
      </c>
      <c r="X8907" s="2">
        <v>12.494999999999999</v>
      </c>
    </row>
    <row r="8908" spans="1:24" x14ac:dyDescent="0.3">
      <c r="A8908">
        <v>4834</v>
      </c>
      <c r="B8908" t="s">
        <v>16132</v>
      </c>
      <c r="C8908" s="3">
        <v>41997</v>
      </c>
      <c r="D8908" t="s">
        <v>25</v>
      </c>
      <c r="E8908">
        <v>34</v>
      </c>
      <c r="F8908" s="3">
        <f ca="1">42002+(RANDBETWEEN(1,10))</f>
        <v>42008</v>
      </c>
      <c r="G8908" t="s">
        <v>26</v>
      </c>
      <c r="H8908" t="s">
        <v>27</v>
      </c>
      <c r="I8908" t="s">
        <v>28</v>
      </c>
      <c r="J8908">
        <v>6920.5150000000003</v>
      </c>
      <c r="K8908">
        <v>0.04</v>
      </c>
      <c r="L8908">
        <v>0.59</v>
      </c>
      <c r="M8908">
        <v>14.7</v>
      </c>
      <c r="N8908">
        <v>314.62200000000001</v>
      </c>
      <c r="O8908" s="1" t="s">
        <v>40</v>
      </c>
      <c r="P8908" s="1" t="s">
        <v>16028</v>
      </c>
      <c r="Q8908" s="1" t="s">
        <v>16029</v>
      </c>
      <c r="R8908" s="1" t="s">
        <v>43</v>
      </c>
      <c r="S8908" s="1" t="s">
        <v>44</v>
      </c>
      <c r="T8908" s="1" t="s">
        <v>16030</v>
      </c>
      <c r="U8908" s="2">
        <v>5170</v>
      </c>
      <c r="V8908" s="2" t="s">
        <v>36</v>
      </c>
      <c r="W8908" s="2" t="s">
        <v>37</v>
      </c>
      <c r="X8908" s="2">
        <v>230.965</v>
      </c>
    </row>
    <row r="8909" spans="1:24" x14ac:dyDescent="0.3">
      <c r="A8909">
        <v>4843</v>
      </c>
      <c r="B8909" t="s">
        <v>16133</v>
      </c>
      <c r="C8909" s="3">
        <v>40760</v>
      </c>
      <c r="D8909" t="s">
        <v>25</v>
      </c>
      <c r="E8909">
        <v>76</v>
      </c>
      <c r="F8909" s="3">
        <f ca="1">40762+(RANDBETWEEN(1,10))</f>
        <v>40764</v>
      </c>
      <c r="G8909" t="s">
        <v>26</v>
      </c>
      <c r="H8909" t="s">
        <v>51</v>
      </c>
      <c r="I8909" t="s">
        <v>52</v>
      </c>
      <c r="J8909">
        <v>2833.2849999999999</v>
      </c>
      <c r="K8909">
        <v>0.01</v>
      </c>
      <c r="L8909">
        <v>0.6</v>
      </c>
      <c r="M8909">
        <v>10.115</v>
      </c>
      <c r="N8909">
        <v>143.22</v>
      </c>
      <c r="O8909" s="1" t="s">
        <v>40</v>
      </c>
      <c r="P8909" s="1" t="s">
        <v>15864</v>
      </c>
      <c r="Q8909" s="1" t="s">
        <v>15865</v>
      </c>
      <c r="R8909" s="1" t="s">
        <v>43</v>
      </c>
      <c r="S8909" s="1" t="s">
        <v>44</v>
      </c>
      <c r="T8909" s="1" t="s">
        <v>15866</v>
      </c>
      <c r="U8909" s="2" t="s">
        <v>6149</v>
      </c>
      <c r="V8909" s="2" t="s">
        <v>47</v>
      </c>
      <c r="W8909" s="2" t="s">
        <v>104</v>
      </c>
      <c r="X8909" s="2">
        <v>36.68</v>
      </c>
    </row>
    <row r="8910" spans="1:24" x14ac:dyDescent="0.3">
      <c r="A8910">
        <v>4866</v>
      </c>
      <c r="B8910" t="s">
        <v>16134</v>
      </c>
      <c r="C8910" s="3">
        <v>41034</v>
      </c>
      <c r="D8910" t="s">
        <v>25</v>
      </c>
      <c r="E8910">
        <v>67</v>
      </c>
      <c r="F8910" s="3">
        <f ca="1">41043+(RANDBETWEEN(1,10))</f>
        <v>41052</v>
      </c>
      <c r="G8910" t="s">
        <v>156</v>
      </c>
      <c r="H8910" t="s">
        <v>27</v>
      </c>
      <c r="I8910" t="s">
        <v>28</v>
      </c>
      <c r="J8910">
        <v>7120.4</v>
      </c>
      <c r="K8910">
        <v>0.04</v>
      </c>
      <c r="L8910">
        <v>0.36</v>
      </c>
      <c r="M8910">
        <v>68.284999999999997</v>
      </c>
      <c r="N8910">
        <v>-264.95</v>
      </c>
      <c r="O8910" s="1" t="s">
        <v>29</v>
      </c>
      <c r="P8910" s="1" t="s">
        <v>323</v>
      </c>
      <c r="Q8910" s="1" t="s">
        <v>324</v>
      </c>
      <c r="R8910" s="1" t="s">
        <v>32</v>
      </c>
      <c r="S8910" s="1" t="s">
        <v>33</v>
      </c>
      <c r="T8910" s="1" t="s">
        <v>325</v>
      </c>
      <c r="U8910" s="2" t="s">
        <v>4107</v>
      </c>
      <c r="V8910" s="2" t="s">
        <v>47</v>
      </c>
      <c r="W8910" s="2" t="s">
        <v>48</v>
      </c>
      <c r="X8910" s="2">
        <v>108.43</v>
      </c>
    </row>
    <row r="8911" spans="1:24" x14ac:dyDescent="0.3">
      <c r="A8911">
        <v>4896</v>
      </c>
      <c r="B8911" t="s">
        <v>16135</v>
      </c>
      <c r="C8911" s="3">
        <v>41194</v>
      </c>
      <c r="D8911" t="s">
        <v>62</v>
      </c>
      <c r="E8911">
        <v>5</v>
      </c>
      <c r="F8911" s="3">
        <f ca="1">41196+(RANDBETWEEN(1,10))</f>
        <v>41206</v>
      </c>
      <c r="G8911" t="s">
        <v>26</v>
      </c>
      <c r="H8911" t="s">
        <v>27</v>
      </c>
      <c r="I8911" t="s">
        <v>97</v>
      </c>
      <c r="J8911">
        <v>68.599999999999994</v>
      </c>
      <c r="K8911">
        <v>0.1</v>
      </c>
      <c r="L8911">
        <v>0.39</v>
      </c>
      <c r="M8911">
        <v>1.75</v>
      </c>
      <c r="N8911">
        <v>-11.885999999999999</v>
      </c>
      <c r="O8911" s="1" t="s">
        <v>40</v>
      </c>
      <c r="P8911" s="1" t="s">
        <v>15909</v>
      </c>
      <c r="Q8911" s="1" t="s">
        <v>15910</v>
      </c>
      <c r="R8911" s="1" t="s">
        <v>220</v>
      </c>
      <c r="S8911" s="1" t="s">
        <v>221</v>
      </c>
      <c r="T8911" s="1" t="s">
        <v>15911</v>
      </c>
      <c r="U8911" s="2" t="s">
        <v>1889</v>
      </c>
      <c r="V8911" s="2" t="s">
        <v>47</v>
      </c>
      <c r="W8911" s="2" t="s">
        <v>203</v>
      </c>
      <c r="X8911" s="2">
        <v>14.455</v>
      </c>
    </row>
    <row r="8912" spans="1:24" x14ac:dyDescent="0.3">
      <c r="A8912">
        <v>4897</v>
      </c>
      <c r="B8912" t="s">
        <v>16135</v>
      </c>
      <c r="C8912" s="3">
        <v>41194</v>
      </c>
      <c r="D8912" t="s">
        <v>62</v>
      </c>
      <c r="E8912">
        <v>40</v>
      </c>
      <c r="F8912" s="3">
        <f ca="1">41195+(RANDBETWEEN(1,10))</f>
        <v>41197</v>
      </c>
      <c r="G8912" t="s">
        <v>26</v>
      </c>
      <c r="H8912" t="s">
        <v>96</v>
      </c>
      <c r="I8912" t="s">
        <v>97</v>
      </c>
      <c r="J8912">
        <v>637.17499999999995</v>
      </c>
      <c r="K8912">
        <v>0.08</v>
      </c>
      <c r="L8912">
        <v>0.36</v>
      </c>
      <c r="M8912">
        <v>5.32</v>
      </c>
      <c r="N8912">
        <v>55.356000000000002</v>
      </c>
      <c r="O8912" s="1" t="s">
        <v>40</v>
      </c>
      <c r="P8912" s="1" t="s">
        <v>15909</v>
      </c>
      <c r="Q8912" s="1" t="s">
        <v>15910</v>
      </c>
      <c r="R8912" s="1" t="s">
        <v>220</v>
      </c>
      <c r="S8912" s="1" t="s">
        <v>221</v>
      </c>
      <c r="T8912" s="1" t="s">
        <v>15911</v>
      </c>
      <c r="U8912" s="2" t="s">
        <v>1951</v>
      </c>
      <c r="V8912" s="2" t="s">
        <v>47</v>
      </c>
      <c r="W8912" s="2" t="s">
        <v>74</v>
      </c>
      <c r="X8912" s="2">
        <v>16.555</v>
      </c>
    </row>
    <row r="8913" spans="1:24" x14ac:dyDescent="0.3">
      <c r="A8913">
        <v>4898</v>
      </c>
      <c r="B8913" t="s">
        <v>16135</v>
      </c>
      <c r="C8913" s="3">
        <v>41194</v>
      </c>
      <c r="D8913" t="s">
        <v>62</v>
      </c>
      <c r="E8913">
        <v>5</v>
      </c>
      <c r="F8913" s="3">
        <f ca="1">41195+(RANDBETWEEN(1,10))</f>
        <v>41204</v>
      </c>
      <c r="G8913" t="s">
        <v>26</v>
      </c>
      <c r="H8913" t="s">
        <v>27</v>
      </c>
      <c r="I8913" t="s">
        <v>97</v>
      </c>
      <c r="J8913">
        <v>6958.77</v>
      </c>
      <c r="K8913">
        <v>7.0000000000000007E-2</v>
      </c>
      <c r="L8913">
        <v>0.57999999999999996</v>
      </c>
      <c r="M8913">
        <v>69.965000000000003</v>
      </c>
      <c r="N8913">
        <v>-1826.202</v>
      </c>
      <c r="O8913" s="1" t="s">
        <v>40</v>
      </c>
      <c r="P8913" s="1" t="s">
        <v>15909</v>
      </c>
      <c r="Q8913" s="1" t="s">
        <v>15910</v>
      </c>
      <c r="R8913" s="1" t="s">
        <v>220</v>
      </c>
      <c r="S8913" s="1" t="s">
        <v>221</v>
      </c>
      <c r="T8913" s="1" t="s">
        <v>15911</v>
      </c>
      <c r="U8913" s="2" t="s">
        <v>3569</v>
      </c>
      <c r="V8913" s="2" t="s">
        <v>47</v>
      </c>
      <c r="W8913" s="2" t="s">
        <v>119</v>
      </c>
      <c r="X8913" s="2">
        <v>1467.165</v>
      </c>
    </row>
    <row r="8914" spans="1:24" x14ac:dyDescent="0.3">
      <c r="A8914">
        <v>4902</v>
      </c>
      <c r="B8914" t="s">
        <v>16136</v>
      </c>
      <c r="C8914" s="3">
        <v>41312</v>
      </c>
      <c r="D8914" t="s">
        <v>148</v>
      </c>
      <c r="E8914">
        <v>41</v>
      </c>
      <c r="F8914" s="3">
        <f ca="1">41314+(RANDBETWEEN(1,10))</f>
        <v>41318</v>
      </c>
      <c r="G8914" t="s">
        <v>26</v>
      </c>
      <c r="H8914" t="s">
        <v>27</v>
      </c>
      <c r="I8914" t="s">
        <v>28</v>
      </c>
      <c r="J8914">
        <v>726.70500000000004</v>
      </c>
      <c r="K8914">
        <v>0.01</v>
      </c>
      <c r="L8914">
        <v>0.37</v>
      </c>
      <c r="M8914">
        <v>17.324999999999999</v>
      </c>
      <c r="N8914">
        <v>-297.52800000000002</v>
      </c>
      <c r="O8914" s="1" t="s">
        <v>40</v>
      </c>
      <c r="P8914" s="1" t="s">
        <v>133</v>
      </c>
      <c r="Q8914" s="1" t="s">
        <v>134</v>
      </c>
      <c r="R8914" s="1" t="s">
        <v>43</v>
      </c>
      <c r="S8914" s="1" t="s">
        <v>44</v>
      </c>
      <c r="T8914" s="1" t="s">
        <v>135</v>
      </c>
      <c r="U8914" s="2" t="s">
        <v>5209</v>
      </c>
      <c r="V8914" s="2" t="s">
        <v>47</v>
      </c>
      <c r="W8914" s="2" t="s">
        <v>111</v>
      </c>
      <c r="X8914" s="2">
        <v>17.43</v>
      </c>
    </row>
    <row r="8915" spans="1:24" x14ac:dyDescent="0.3">
      <c r="A8915">
        <v>4903</v>
      </c>
      <c r="B8915" t="s">
        <v>16137</v>
      </c>
      <c r="C8915" s="3">
        <v>40748</v>
      </c>
      <c r="D8915" t="s">
        <v>62</v>
      </c>
      <c r="E8915">
        <v>52</v>
      </c>
      <c r="F8915" s="3">
        <f ca="1">40749+(RANDBETWEEN(1,10))</f>
        <v>40756</v>
      </c>
      <c r="G8915" t="s">
        <v>26</v>
      </c>
      <c r="H8915" t="s">
        <v>27</v>
      </c>
      <c r="I8915" t="s">
        <v>97</v>
      </c>
      <c r="J8915">
        <v>358.12</v>
      </c>
      <c r="K8915">
        <v>0.03</v>
      </c>
      <c r="L8915">
        <v>0.37</v>
      </c>
      <c r="M8915">
        <v>5.2149999999999999</v>
      </c>
      <c r="N8915">
        <v>-52.84825</v>
      </c>
      <c r="O8915" s="1" t="s">
        <v>64</v>
      </c>
      <c r="P8915" s="1" t="s">
        <v>15875</v>
      </c>
      <c r="Q8915" s="1" t="s">
        <v>15876</v>
      </c>
      <c r="R8915" s="1" t="s">
        <v>128</v>
      </c>
      <c r="S8915" s="1" t="s">
        <v>129</v>
      </c>
      <c r="T8915" s="1" t="s">
        <v>278</v>
      </c>
      <c r="U8915" s="2" t="s">
        <v>4275</v>
      </c>
      <c r="V8915" s="2" t="s">
        <v>47</v>
      </c>
      <c r="W8915" s="2" t="s">
        <v>111</v>
      </c>
      <c r="X8915" s="2">
        <v>6.58</v>
      </c>
    </row>
    <row r="8916" spans="1:24" x14ac:dyDescent="0.3">
      <c r="A8916">
        <v>4925</v>
      </c>
      <c r="B8916" t="s">
        <v>16138</v>
      </c>
      <c r="C8916" s="3">
        <v>41731</v>
      </c>
      <c r="D8916" t="s">
        <v>148</v>
      </c>
      <c r="E8916">
        <v>44</v>
      </c>
      <c r="F8916" s="3">
        <f ca="1">41733+(RANDBETWEEN(1,10))</f>
        <v>41737</v>
      </c>
      <c r="G8916" t="s">
        <v>26</v>
      </c>
      <c r="H8916" t="s">
        <v>27</v>
      </c>
      <c r="I8916" t="s">
        <v>86</v>
      </c>
      <c r="J8916">
        <v>1977.5350000000001</v>
      </c>
      <c r="K8916">
        <v>0.1</v>
      </c>
      <c r="L8916">
        <v>0.59</v>
      </c>
      <c r="M8916">
        <v>15.785</v>
      </c>
      <c r="N8916">
        <v>-36.155000000000001</v>
      </c>
      <c r="O8916" s="1" t="s">
        <v>40</v>
      </c>
      <c r="P8916" s="1" t="s">
        <v>199</v>
      </c>
      <c r="Q8916" s="1" t="s">
        <v>200</v>
      </c>
      <c r="R8916" s="1" t="s">
        <v>43</v>
      </c>
      <c r="S8916" s="1" t="s">
        <v>44</v>
      </c>
      <c r="T8916" s="1" t="s">
        <v>201</v>
      </c>
      <c r="U8916" s="2" t="s">
        <v>1495</v>
      </c>
      <c r="V8916" s="2" t="s">
        <v>47</v>
      </c>
      <c r="W8916" s="2" t="s">
        <v>119</v>
      </c>
      <c r="X8916" s="2">
        <v>47.18</v>
      </c>
    </row>
    <row r="8917" spans="1:24" x14ac:dyDescent="0.3">
      <c r="A8917">
        <v>4926</v>
      </c>
      <c r="B8917" t="s">
        <v>16139</v>
      </c>
      <c r="C8917" s="3">
        <v>41114</v>
      </c>
      <c r="D8917" t="s">
        <v>148</v>
      </c>
      <c r="E8917">
        <v>25</v>
      </c>
      <c r="F8917" s="3">
        <f ca="1">41114+(RANDBETWEEN(1,10))</f>
        <v>41123</v>
      </c>
      <c r="G8917" t="s">
        <v>156</v>
      </c>
      <c r="H8917" t="s">
        <v>27</v>
      </c>
      <c r="I8917" t="s">
        <v>28</v>
      </c>
      <c r="J8917">
        <v>632.76499999999999</v>
      </c>
      <c r="K8917">
        <v>0.1</v>
      </c>
      <c r="L8917">
        <v>0.39</v>
      </c>
      <c r="M8917">
        <v>21.175000000000001</v>
      </c>
      <c r="N8917">
        <v>-191.3485</v>
      </c>
      <c r="O8917" s="1" t="s">
        <v>64</v>
      </c>
      <c r="P8917" s="1" t="s">
        <v>126</v>
      </c>
      <c r="Q8917" s="1" t="s">
        <v>127</v>
      </c>
      <c r="R8917" s="1" t="s">
        <v>128</v>
      </c>
      <c r="S8917" s="1" t="s">
        <v>129</v>
      </c>
      <c r="T8917" s="1" t="s">
        <v>130</v>
      </c>
      <c r="U8917" s="2" t="s">
        <v>2669</v>
      </c>
      <c r="V8917" s="2" t="s">
        <v>47</v>
      </c>
      <c r="W8917" s="2" t="s">
        <v>111</v>
      </c>
      <c r="X8917" s="2">
        <v>24.85</v>
      </c>
    </row>
    <row r="8918" spans="1:24" x14ac:dyDescent="0.3">
      <c r="A8918">
        <v>4927</v>
      </c>
      <c r="B8918" t="s">
        <v>16139</v>
      </c>
      <c r="C8918" s="3">
        <v>41114</v>
      </c>
      <c r="D8918" t="s">
        <v>148</v>
      </c>
      <c r="E8918">
        <v>16</v>
      </c>
      <c r="F8918" s="3">
        <f ca="1">41115+(RANDBETWEEN(1,10))</f>
        <v>41120</v>
      </c>
      <c r="G8918" t="s">
        <v>76</v>
      </c>
      <c r="H8918" t="s">
        <v>77</v>
      </c>
      <c r="I8918" t="s">
        <v>28</v>
      </c>
      <c r="J8918">
        <v>15438.22</v>
      </c>
      <c r="K8918">
        <v>7.0000000000000007E-2</v>
      </c>
      <c r="L8918">
        <v>0.6</v>
      </c>
      <c r="M8918">
        <v>243.42500000000001</v>
      </c>
      <c r="N8918">
        <v>-395.78</v>
      </c>
      <c r="O8918" s="1" t="s">
        <v>64</v>
      </c>
      <c r="P8918" s="1" t="s">
        <v>126</v>
      </c>
      <c r="Q8918" s="1" t="s">
        <v>127</v>
      </c>
      <c r="R8918" s="1" t="s">
        <v>128</v>
      </c>
      <c r="S8918" s="1" t="s">
        <v>129</v>
      </c>
      <c r="T8918" s="1" t="s">
        <v>130</v>
      </c>
      <c r="U8918" s="2" t="s">
        <v>5566</v>
      </c>
      <c r="V8918" s="2" t="s">
        <v>83</v>
      </c>
      <c r="W8918" s="2" t="s">
        <v>84</v>
      </c>
      <c r="X8918" s="2">
        <v>997.43</v>
      </c>
    </row>
    <row r="8919" spans="1:24" x14ac:dyDescent="0.3">
      <c r="A8919">
        <v>4928</v>
      </c>
      <c r="B8919" t="s">
        <v>16139</v>
      </c>
      <c r="C8919" s="3">
        <v>41114</v>
      </c>
      <c r="D8919" t="s">
        <v>148</v>
      </c>
      <c r="E8919">
        <v>54</v>
      </c>
      <c r="F8919" s="3">
        <f ca="1">41115+(RANDBETWEEN(1,10))</f>
        <v>41122</v>
      </c>
      <c r="G8919" t="s">
        <v>156</v>
      </c>
      <c r="H8919" t="s">
        <v>281</v>
      </c>
      <c r="I8919" t="s">
        <v>28</v>
      </c>
      <c r="J8919">
        <v>20795.705000000002</v>
      </c>
      <c r="K8919">
        <v>0.03</v>
      </c>
      <c r="L8919">
        <v>0.65</v>
      </c>
      <c r="M8919">
        <v>20.335000000000001</v>
      </c>
      <c r="N8919">
        <v>6159.02</v>
      </c>
      <c r="O8919" s="1" t="s">
        <v>64</v>
      </c>
      <c r="P8919" s="1" t="s">
        <v>126</v>
      </c>
      <c r="Q8919" s="1" t="s">
        <v>127</v>
      </c>
      <c r="R8919" s="1" t="s">
        <v>128</v>
      </c>
      <c r="S8919" s="1" t="s">
        <v>129</v>
      </c>
      <c r="T8919" s="1" t="s">
        <v>130</v>
      </c>
      <c r="U8919" s="2" t="s">
        <v>351</v>
      </c>
      <c r="V8919" s="2" t="s">
        <v>83</v>
      </c>
      <c r="W8919" s="2" t="s">
        <v>178</v>
      </c>
      <c r="X8919" s="2">
        <v>376.35500000000002</v>
      </c>
    </row>
    <row r="8920" spans="1:24" x14ac:dyDescent="0.3">
      <c r="A8920">
        <v>494</v>
      </c>
      <c r="B8920" t="s">
        <v>16140</v>
      </c>
      <c r="C8920" s="3">
        <v>40716</v>
      </c>
      <c r="D8920" t="s">
        <v>148</v>
      </c>
      <c r="E8920">
        <v>65</v>
      </c>
      <c r="F8920" s="3">
        <f ca="1">40718+(RANDBETWEEN(1,10))</f>
        <v>40723</v>
      </c>
      <c r="G8920" t="s">
        <v>26</v>
      </c>
      <c r="H8920" t="s">
        <v>27</v>
      </c>
      <c r="I8920" t="s">
        <v>52</v>
      </c>
      <c r="J8920">
        <v>4316.62</v>
      </c>
      <c r="K8920">
        <v>0.1</v>
      </c>
      <c r="L8920">
        <v>0.68</v>
      </c>
      <c r="M8920">
        <v>14</v>
      </c>
      <c r="N8920">
        <v>-70.875</v>
      </c>
      <c r="O8920" s="1" t="s">
        <v>64</v>
      </c>
      <c r="P8920" s="1" t="s">
        <v>333</v>
      </c>
      <c r="Q8920" s="1" t="s">
        <v>334</v>
      </c>
      <c r="R8920" s="1" t="s">
        <v>67</v>
      </c>
      <c r="S8920" s="1" t="s">
        <v>68</v>
      </c>
      <c r="T8920" s="1" t="s">
        <v>335</v>
      </c>
      <c r="U8920" s="2" t="s">
        <v>2334</v>
      </c>
      <c r="V8920" s="2" t="s">
        <v>36</v>
      </c>
      <c r="W8920" s="2" t="s">
        <v>60</v>
      </c>
      <c r="X8920" s="2">
        <v>69.930000000000007</v>
      </c>
    </row>
    <row r="8921" spans="1:24" x14ac:dyDescent="0.3">
      <c r="A8921">
        <v>4949</v>
      </c>
      <c r="B8921" t="s">
        <v>16141</v>
      </c>
      <c r="C8921" s="3">
        <v>40579</v>
      </c>
      <c r="D8921" t="s">
        <v>148</v>
      </c>
      <c r="E8921">
        <v>15</v>
      </c>
      <c r="F8921" s="3">
        <f ca="1">40581+(RANDBETWEEN(1,10))</f>
        <v>40589</v>
      </c>
      <c r="G8921" t="s">
        <v>26</v>
      </c>
      <c r="H8921" t="s">
        <v>27</v>
      </c>
      <c r="I8921" t="s">
        <v>28</v>
      </c>
      <c r="J8921">
        <v>525.84</v>
      </c>
      <c r="K8921">
        <v>0.08</v>
      </c>
      <c r="L8921">
        <v>0.56999999999999995</v>
      </c>
      <c r="M8921">
        <v>43.82</v>
      </c>
      <c r="N8921">
        <v>-360.255</v>
      </c>
      <c r="O8921" s="1" t="s">
        <v>40</v>
      </c>
      <c r="P8921" s="1" t="s">
        <v>15915</v>
      </c>
      <c r="Q8921" s="1" t="s">
        <v>15916</v>
      </c>
      <c r="R8921" s="1" t="s">
        <v>43</v>
      </c>
      <c r="S8921" s="1" t="s">
        <v>44</v>
      </c>
      <c r="T8921" s="1" t="s">
        <v>15917</v>
      </c>
      <c r="U8921" s="2" t="s">
        <v>8087</v>
      </c>
      <c r="V8921" s="2" t="s">
        <v>83</v>
      </c>
      <c r="W8921" s="2" t="s">
        <v>178</v>
      </c>
      <c r="X8921" s="2">
        <v>34.93</v>
      </c>
    </row>
    <row r="8922" spans="1:24" x14ac:dyDescent="0.3">
      <c r="A8922">
        <v>495</v>
      </c>
      <c r="B8922" t="s">
        <v>16140</v>
      </c>
      <c r="C8922" s="3">
        <v>40716</v>
      </c>
      <c r="D8922" t="s">
        <v>148</v>
      </c>
      <c r="E8922">
        <v>17</v>
      </c>
      <c r="F8922" s="3">
        <f ca="1">40717+(RANDBETWEEN(1,10))</f>
        <v>40725</v>
      </c>
      <c r="G8922" t="s">
        <v>26</v>
      </c>
      <c r="H8922" t="s">
        <v>27</v>
      </c>
      <c r="I8922" t="s">
        <v>52</v>
      </c>
      <c r="J8922">
        <v>165.58500000000001</v>
      </c>
      <c r="K8922">
        <v>0.09</v>
      </c>
      <c r="L8922">
        <v>0.36</v>
      </c>
      <c r="M8922">
        <v>5.2149999999999999</v>
      </c>
      <c r="N8922">
        <v>-11.833500000000001</v>
      </c>
      <c r="O8922" s="1" t="s">
        <v>64</v>
      </c>
      <c r="P8922" s="1" t="s">
        <v>333</v>
      </c>
      <c r="Q8922" s="1" t="s">
        <v>334</v>
      </c>
      <c r="R8922" s="1" t="s">
        <v>67</v>
      </c>
      <c r="S8922" s="1" t="s">
        <v>68</v>
      </c>
      <c r="T8922" s="1" t="s">
        <v>335</v>
      </c>
      <c r="U8922" s="2" t="s">
        <v>2339</v>
      </c>
      <c r="V8922" s="2" t="s">
        <v>47</v>
      </c>
      <c r="W8922" s="2" t="s">
        <v>111</v>
      </c>
      <c r="X8922" s="2">
        <v>10.08</v>
      </c>
    </row>
    <row r="8923" spans="1:24" x14ac:dyDescent="0.3">
      <c r="A8923">
        <v>500</v>
      </c>
      <c r="B8923" t="s">
        <v>16142</v>
      </c>
      <c r="C8923" s="3">
        <v>41549</v>
      </c>
      <c r="D8923" t="s">
        <v>39</v>
      </c>
      <c r="E8923">
        <v>53</v>
      </c>
      <c r="F8923" s="3">
        <f ca="1">41551+(RANDBETWEEN(1,10))</f>
        <v>41559</v>
      </c>
      <c r="G8923" t="s">
        <v>26</v>
      </c>
      <c r="H8923" t="s">
        <v>27</v>
      </c>
      <c r="I8923" t="s">
        <v>52</v>
      </c>
      <c r="J8923">
        <v>1052.73</v>
      </c>
      <c r="K8923">
        <v>0.08</v>
      </c>
      <c r="L8923">
        <v>0.68</v>
      </c>
      <c r="M8923">
        <v>16.414999999999999</v>
      </c>
      <c r="N8923">
        <v>-399.63</v>
      </c>
      <c r="O8923" s="1" t="s">
        <v>29</v>
      </c>
      <c r="P8923" s="1" t="s">
        <v>367</v>
      </c>
      <c r="Q8923" s="1" t="s">
        <v>368</v>
      </c>
      <c r="R8923" s="1" t="s">
        <v>32</v>
      </c>
      <c r="S8923" s="1" t="s">
        <v>33</v>
      </c>
      <c r="T8923" s="1" t="s">
        <v>369</v>
      </c>
      <c r="U8923" s="2" t="s">
        <v>2362</v>
      </c>
      <c r="V8923" s="2" t="s">
        <v>47</v>
      </c>
      <c r="W8923" s="2" t="s">
        <v>119</v>
      </c>
      <c r="X8923" s="2">
        <v>20.93</v>
      </c>
    </row>
    <row r="8924" spans="1:24" x14ac:dyDescent="0.3">
      <c r="A8924">
        <v>5001</v>
      </c>
      <c r="B8924" t="s">
        <v>16143</v>
      </c>
      <c r="C8924" s="3">
        <v>41556</v>
      </c>
      <c r="D8924" t="s">
        <v>148</v>
      </c>
      <c r="E8924">
        <v>18</v>
      </c>
      <c r="F8924" s="3">
        <f ca="1">41558+(RANDBETWEEN(1,10))</f>
        <v>41559</v>
      </c>
      <c r="G8924" t="s">
        <v>26</v>
      </c>
      <c r="H8924" t="s">
        <v>27</v>
      </c>
      <c r="I8924" t="s">
        <v>52</v>
      </c>
      <c r="J8924">
        <v>302.82</v>
      </c>
      <c r="K8924">
        <v>0.1</v>
      </c>
      <c r="L8924">
        <v>0.36</v>
      </c>
      <c r="M8924">
        <v>5.2149999999999999</v>
      </c>
      <c r="N8924">
        <v>10.924200000000001</v>
      </c>
      <c r="O8924" s="1" t="s">
        <v>40</v>
      </c>
      <c r="P8924" s="1" t="s">
        <v>15864</v>
      </c>
      <c r="Q8924" s="1" t="s">
        <v>15865</v>
      </c>
      <c r="R8924" s="1" t="s">
        <v>43</v>
      </c>
      <c r="S8924" s="1" t="s">
        <v>44</v>
      </c>
      <c r="T8924" s="1" t="s">
        <v>15866</v>
      </c>
      <c r="U8924" s="2" t="s">
        <v>6365</v>
      </c>
      <c r="V8924" s="2" t="s">
        <v>47</v>
      </c>
      <c r="W8924" s="2" t="s">
        <v>111</v>
      </c>
      <c r="X8924" s="2">
        <v>16.87</v>
      </c>
    </row>
    <row r="8925" spans="1:24" x14ac:dyDescent="0.3">
      <c r="A8925">
        <v>5002</v>
      </c>
      <c r="B8925" t="s">
        <v>16143</v>
      </c>
      <c r="C8925" s="3">
        <v>41556</v>
      </c>
      <c r="D8925" t="s">
        <v>148</v>
      </c>
      <c r="E8925">
        <v>49</v>
      </c>
      <c r="F8925" s="3">
        <f ca="1">41558+(RANDBETWEEN(1,10))</f>
        <v>41559</v>
      </c>
      <c r="G8925" t="s">
        <v>26</v>
      </c>
      <c r="H8925" t="s">
        <v>27</v>
      </c>
      <c r="I8925" t="s">
        <v>52</v>
      </c>
      <c r="J8925">
        <v>1193.8499999999999</v>
      </c>
      <c r="K8925">
        <v>0.02</v>
      </c>
      <c r="L8925">
        <v>0.37</v>
      </c>
      <c r="M8925">
        <v>20.09</v>
      </c>
      <c r="N8925">
        <v>-177.95400000000001</v>
      </c>
      <c r="O8925" s="1" t="s">
        <v>40</v>
      </c>
      <c r="P8925" s="1" t="s">
        <v>15864</v>
      </c>
      <c r="Q8925" s="1" t="s">
        <v>15865</v>
      </c>
      <c r="R8925" s="1" t="s">
        <v>43</v>
      </c>
      <c r="S8925" s="1" t="s">
        <v>44</v>
      </c>
      <c r="T8925" s="1" t="s">
        <v>15866</v>
      </c>
      <c r="U8925" s="2" t="s">
        <v>5165</v>
      </c>
      <c r="V8925" s="2" t="s">
        <v>47</v>
      </c>
      <c r="W8925" s="2" t="s">
        <v>74</v>
      </c>
      <c r="X8925" s="2">
        <v>22.68</v>
      </c>
    </row>
    <row r="8926" spans="1:24" x14ac:dyDescent="0.3">
      <c r="A8926">
        <v>5004</v>
      </c>
      <c r="B8926" t="s">
        <v>16144</v>
      </c>
      <c r="C8926" s="3">
        <v>41489</v>
      </c>
      <c r="D8926" t="s">
        <v>25</v>
      </c>
      <c r="E8926">
        <v>20</v>
      </c>
      <c r="F8926" s="3">
        <f ca="1">41494+(RANDBETWEEN(1,10))</f>
        <v>41495</v>
      </c>
      <c r="G8926" t="s">
        <v>26</v>
      </c>
      <c r="H8926" t="s">
        <v>281</v>
      </c>
      <c r="I8926" t="s">
        <v>28</v>
      </c>
      <c r="J8926">
        <v>6376.86</v>
      </c>
      <c r="K8926">
        <v>7.0000000000000007E-2</v>
      </c>
      <c r="L8926">
        <v>0.38</v>
      </c>
      <c r="M8926">
        <v>48.965000000000003</v>
      </c>
      <c r="N8926">
        <v>65.694999999999993</v>
      </c>
      <c r="O8926" s="1" t="s">
        <v>64</v>
      </c>
      <c r="P8926" s="1" t="s">
        <v>126</v>
      </c>
      <c r="Q8926" s="1" t="s">
        <v>127</v>
      </c>
      <c r="R8926" s="1" t="s">
        <v>128</v>
      </c>
      <c r="S8926" s="1" t="s">
        <v>129</v>
      </c>
      <c r="T8926" s="1" t="s">
        <v>130</v>
      </c>
      <c r="U8926" s="2" t="s">
        <v>8415</v>
      </c>
      <c r="V8926" s="2" t="s">
        <v>36</v>
      </c>
      <c r="W8926" s="2" t="s">
        <v>142</v>
      </c>
      <c r="X8926" s="2">
        <v>337.57499999999999</v>
      </c>
    </row>
    <row r="8927" spans="1:24" x14ac:dyDescent="0.3">
      <c r="A8927">
        <v>5007</v>
      </c>
      <c r="B8927" t="s">
        <v>16145</v>
      </c>
      <c r="C8927" s="3">
        <v>41935</v>
      </c>
      <c r="D8927" t="s">
        <v>39</v>
      </c>
      <c r="E8927">
        <v>88</v>
      </c>
      <c r="F8927" s="3">
        <f ca="1">41936+(RANDBETWEEN(1,10))</f>
        <v>41945</v>
      </c>
      <c r="G8927" t="s">
        <v>26</v>
      </c>
      <c r="H8927" t="s">
        <v>27</v>
      </c>
      <c r="I8927" t="s">
        <v>52</v>
      </c>
      <c r="J8927">
        <v>28828.59</v>
      </c>
      <c r="K8927">
        <v>0.1</v>
      </c>
      <c r="L8927">
        <v>0.46</v>
      </c>
      <c r="M8927">
        <v>25.13</v>
      </c>
      <c r="N8927">
        <v>4109.07</v>
      </c>
      <c r="O8927" s="1" t="s">
        <v>29</v>
      </c>
      <c r="P8927" s="1" t="s">
        <v>367</v>
      </c>
      <c r="Q8927" s="1" t="s">
        <v>368</v>
      </c>
      <c r="R8927" s="1" t="s">
        <v>32</v>
      </c>
      <c r="S8927" s="1" t="s">
        <v>33</v>
      </c>
      <c r="T8927" s="1" t="s">
        <v>369</v>
      </c>
      <c r="U8927" s="2" t="s">
        <v>8699</v>
      </c>
      <c r="V8927" s="2" t="s">
        <v>36</v>
      </c>
      <c r="W8927" s="2" t="s">
        <v>60</v>
      </c>
      <c r="X8927" s="2">
        <v>353.39499999999998</v>
      </c>
    </row>
    <row r="8928" spans="1:24" x14ac:dyDescent="0.3">
      <c r="A8928">
        <v>5008</v>
      </c>
      <c r="B8928" t="s">
        <v>16145</v>
      </c>
      <c r="C8928" s="3">
        <v>41935</v>
      </c>
      <c r="D8928" t="s">
        <v>39</v>
      </c>
      <c r="E8928">
        <v>50</v>
      </c>
      <c r="F8928" s="3">
        <f ca="1">41935+(RANDBETWEEN(1,10))</f>
        <v>41945</v>
      </c>
      <c r="G8928" t="s">
        <v>26</v>
      </c>
      <c r="H8928" t="s">
        <v>27</v>
      </c>
      <c r="I8928" t="s">
        <v>52</v>
      </c>
      <c r="J8928">
        <v>983.5</v>
      </c>
      <c r="K8928">
        <v>0</v>
      </c>
      <c r="L8928">
        <v>0.4</v>
      </c>
      <c r="M8928">
        <v>28.56</v>
      </c>
      <c r="N8928">
        <v>-427.73500000000001</v>
      </c>
      <c r="O8928" s="1" t="s">
        <v>29</v>
      </c>
      <c r="P8928" s="1" t="s">
        <v>367</v>
      </c>
      <c r="Q8928" s="1" t="s">
        <v>368</v>
      </c>
      <c r="R8928" s="1" t="s">
        <v>32</v>
      </c>
      <c r="S8928" s="1" t="s">
        <v>33</v>
      </c>
      <c r="T8928" s="1" t="s">
        <v>369</v>
      </c>
      <c r="U8928" s="2" t="s">
        <v>7827</v>
      </c>
      <c r="V8928" s="2" t="s">
        <v>47</v>
      </c>
      <c r="W8928" s="2" t="s">
        <v>74</v>
      </c>
      <c r="X8928" s="2">
        <v>18.48</v>
      </c>
    </row>
    <row r="8929" spans="1:24" x14ac:dyDescent="0.3">
      <c r="A8929">
        <v>5013</v>
      </c>
      <c r="B8929" t="s">
        <v>16146</v>
      </c>
      <c r="C8929" s="3">
        <v>41160</v>
      </c>
      <c r="D8929" t="s">
        <v>62</v>
      </c>
      <c r="E8929">
        <v>64</v>
      </c>
      <c r="F8929" s="3">
        <f ca="1">41162+(RANDBETWEEN(1,10))</f>
        <v>41166</v>
      </c>
      <c r="G8929" t="s">
        <v>26</v>
      </c>
      <c r="H8929" t="s">
        <v>96</v>
      </c>
      <c r="I8929" t="s">
        <v>97</v>
      </c>
      <c r="J8929">
        <v>875</v>
      </c>
      <c r="K8929">
        <v>0.09</v>
      </c>
      <c r="L8929">
        <v>0.55000000000000004</v>
      </c>
      <c r="M8929">
        <v>4.3049999999999997</v>
      </c>
      <c r="N8929">
        <v>20.684999999999999</v>
      </c>
      <c r="O8929" s="1" t="s">
        <v>64</v>
      </c>
      <c r="P8929" s="1" t="s">
        <v>16010</v>
      </c>
      <c r="Q8929" s="1" t="s">
        <v>16011</v>
      </c>
      <c r="R8929" s="1" t="s">
        <v>128</v>
      </c>
      <c r="S8929" s="1" t="s">
        <v>129</v>
      </c>
      <c r="T8929" s="1" t="s">
        <v>16012</v>
      </c>
      <c r="U8929" s="2" t="s">
        <v>10766</v>
      </c>
      <c r="V8929" s="2" t="s">
        <v>47</v>
      </c>
      <c r="W8929" s="2" t="s">
        <v>104</v>
      </c>
      <c r="X8929" s="2">
        <v>14.455</v>
      </c>
    </row>
    <row r="8930" spans="1:24" x14ac:dyDescent="0.3">
      <c r="A8930">
        <v>5025</v>
      </c>
      <c r="B8930" t="s">
        <v>16147</v>
      </c>
      <c r="C8930" s="3">
        <v>41058</v>
      </c>
      <c r="D8930" t="s">
        <v>39</v>
      </c>
      <c r="E8930">
        <v>52</v>
      </c>
      <c r="F8930" s="3">
        <f ca="1">41059+(RANDBETWEEN(1,10))</f>
        <v>41061</v>
      </c>
      <c r="G8930" t="s">
        <v>26</v>
      </c>
      <c r="H8930" t="s">
        <v>27</v>
      </c>
      <c r="I8930" t="s">
        <v>97</v>
      </c>
      <c r="J8930">
        <v>875</v>
      </c>
      <c r="K8930">
        <v>0.04</v>
      </c>
      <c r="L8930">
        <v>0.36</v>
      </c>
      <c r="M8930">
        <v>1.75</v>
      </c>
      <c r="N8930">
        <v>191.42234999999999</v>
      </c>
      <c r="O8930" s="1" t="s">
        <v>53</v>
      </c>
      <c r="P8930" s="1" t="s">
        <v>284</v>
      </c>
      <c r="Q8930" s="1" t="s">
        <v>285</v>
      </c>
      <c r="R8930" s="1" t="s">
        <v>56</v>
      </c>
      <c r="S8930" s="1" t="s">
        <v>57</v>
      </c>
      <c r="T8930" s="1" t="s">
        <v>58</v>
      </c>
      <c r="U8930" s="2" t="s">
        <v>2281</v>
      </c>
      <c r="V8930" s="2" t="s">
        <v>47</v>
      </c>
      <c r="W8930" s="2" t="s">
        <v>203</v>
      </c>
      <c r="X8930" s="2">
        <v>17.184999999999999</v>
      </c>
    </row>
    <row r="8931" spans="1:24" x14ac:dyDescent="0.3">
      <c r="A8931">
        <v>5026</v>
      </c>
      <c r="B8931" t="s">
        <v>16147</v>
      </c>
      <c r="C8931" s="3">
        <v>41058</v>
      </c>
      <c r="D8931" t="s">
        <v>39</v>
      </c>
      <c r="E8931">
        <v>71</v>
      </c>
      <c r="F8931" s="3">
        <f ca="1">41060+(RANDBETWEEN(1,10))</f>
        <v>41064</v>
      </c>
      <c r="G8931" t="s">
        <v>26</v>
      </c>
      <c r="H8931" t="s">
        <v>96</v>
      </c>
      <c r="I8931" t="s">
        <v>97</v>
      </c>
      <c r="J8931">
        <v>17712.764999999999</v>
      </c>
      <c r="K8931">
        <v>0.08</v>
      </c>
      <c r="L8931">
        <v>0.55000000000000004</v>
      </c>
      <c r="M8931">
        <v>3.4649999999999999</v>
      </c>
      <c r="N8931">
        <v>2771.3397599999998</v>
      </c>
      <c r="O8931" s="1" t="s">
        <v>53</v>
      </c>
      <c r="P8931" s="1" t="s">
        <v>284</v>
      </c>
      <c r="Q8931" s="1" t="s">
        <v>285</v>
      </c>
      <c r="R8931" s="1" t="s">
        <v>56</v>
      </c>
      <c r="S8931" s="1" t="s">
        <v>57</v>
      </c>
      <c r="T8931" s="1" t="s">
        <v>58</v>
      </c>
      <c r="U8931" s="2" t="s">
        <v>5311</v>
      </c>
      <c r="V8931" s="2" t="s">
        <v>36</v>
      </c>
      <c r="W8931" s="2" t="s">
        <v>37</v>
      </c>
      <c r="X8931" s="2">
        <v>300.96499999999997</v>
      </c>
    </row>
    <row r="8932" spans="1:24" x14ac:dyDescent="0.3">
      <c r="A8932">
        <v>5029</v>
      </c>
      <c r="B8932" t="s">
        <v>16148</v>
      </c>
      <c r="C8932" s="3">
        <v>41783</v>
      </c>
      <c r="D8932" t="s">
        <v>39</v>
      </c>
      <c r="E8932">
        <v>23</v>
      </c>
      <c r="F8932" s="3">
        <f ca="1">41785+(RANDBETWEEN(1,10))</f>
        <v>41791</v>
      </c>
      <c r="G8932" t="s">
        <v>26</v>
      </c>
      <c r="H8932" t="s">
        <v>27</v>
      </c>
      <c r="I8932" t="s">
        <v>97</v>
      </c>
      <c r="J8932">
        <v>240.55500000000001</v>
      </c>
      <c r="K8932">
        <v>0.03</v>
      </c>
      <c r="L8932">
        <v>0.36</v>
      </c>
      <c r="M8932">
        <v>3.4649999999999999</v>
      </c>
      <c r="N8932">
        <v>40.424999999999997</v>
      </c>
      <c r="O8932" s="1" t="s">
        <v>40</v>
      </c>
      <c r="P8932" s="1" t="s">
        <v>259</v>
      </c>
      <c r="Q8932" s="1" t="s">
        <v>260</v>
      </c>
      <c r="R8932" s="1" t="s">
        <v>43</v>
      </c>
      <c r="S8932" s="1" t="s">
        <v>44</v>
      </c>
      <c r="T8932" s="1" t="s">
        <v>261</v>
      </c>
      <c r="U8932" s="2" t="s">
        <v>3527</v>
      </c>
      <c r="V8932" s="2" t="s">
        <v>47</v>
      </c>
      <c r="W8932" s="2" t="s">
        <v>203</v>
      </c>
      <c r="X8932" s="2">
        <v>10.08</v>
      </c>
    </row>
    <row r="8933" spans="1:24" x14ac:dyDescent="0.3">
      <c r="A8933">
        <v>5055</v>
      </c>
      <c r="B8933" t="s">
        <v>16149</v>
      </c>
      <c r="C8933" s="3">
        <v>41867</v>
      </c>
      <c r="D8933" t="s">
        <v>39</v>
      </c>
      <c r="E8933">
        <v>52</v>
      </c>
      <c r="F8933" s="3">
        <f ca="1">41869+(RANDBETWEEN(1,10))</f>
        <v>41874</v>
      </c>
      <c r="G8933" t="s">
        <v>26</v>
      </c>
      <c r="H8933" t="s">
        <v>96</v>
      </c>
      <c r="I8933" t="s">
        <v>97</v>
      </c>
      <c r="J8933">
        <v>666.82</v>
      </c>
      <c r="K8933">
        <v>0.02</v>
      </c>
      <c r="L8933">
        <v>0.56000000000000005</v>
      </c>
      <c r="M8933">
        <v>17.5</v>
      </c>
      <c r="N8933">
        <v>-311.70999999999998</v>
      </c>
      <c r="O8933" s="1" t="s">
        <v>53</v>
      </c>
      <c r="P8933" s="1" t="s">
        <v>98</v>
      </c>
      <c r="Q8933" s="1" t="s">
        <v>99</v>
      </c>
      <c r="R8933" s="1" t="s">
        <v>100</v>
      </c>
      <c r="S8933" s="1" t="s">
        <v>101</v>
      </c>
      <c r="T8933" s="1" t="s">
        <v>102</v>
      </c>
      <c r="U8933" s="2" t="s">
        <v>2523</v>
      </c>
      <c r="V8933" s="2" t="s">
        <v>47</v>
      </c>
      <c r="W8933" s="2" t="s">
        <v>104</v>
      </c>
      <c r="X8933" s="2">
        <v>11.48</v>
      </c>
    </row>
    <row r="8934" spans="1:24" x14ac:dyDescent="0.3">
      <c r="A8934">
        <v>5056</v>
      </c>
      <c r="B8934" t="s">
        <v>16150</v>
      </c>
      <c r="C8934" s="3">
        <v>40956</v>
      </c>
      <c r="D8934" t="s">
        <v>39</v>
      </c>
      <c r="E8934">
        <v>31</v>
      </c>
      <c r="F8934" s="3">
        <f ca="1">40956+(RANDBETWEEN(1,10))</f>
        <v>40960</v>
      </c>
      <c r="G8934" t="s">
        <v>26</v>
      </c>
      <c r="H8934" t="s">
        <v>27</v>
      </c>
      <c r="I8934" t="s">
        <v>86</v>
      </c>
      <c r="J8934">
        <v>1884.05</v>
      </c>
      <c r="K8934">
        <v>0.03</v>
      </c>
      <c r="L8934">
        <v>0.35</v>
      </c>
      <c r="M8934">
        <v>43.365000000000002</v>
      </c>
      <c r="N8934">
        <v>-297.82690000000002</v>
      </c>
      <c r="O8934" s="1" t="s">
        <v>225</v>
      </c>
      <c r="P8934" s="1" t="s">
        <v>15987</v>
      </c>
      <c r="Q8934" s="1" t="s">
        <v>15988</v>
      </c>
      <c r="R8934" s="1" t="s">
        <v>228</v>
      </c>
      <c r="S8934" s="1" t="s">
        <v>349</v>
      </c>
      <c r="T8934" s="1" t="s">
        <v>350</v>
      </c>
      <c r="U8934" s="2" t="s">
        <v>46</v>
      </c>
      <c r="V8934" s="2" t="s">
        <v>47</v>
      </c>
      <c r="W8934" s="2" t="s">
        <v>48</v>
      </c>
      <c r="X8934" s="2">
        <v>59.43</v>
      </c>
    </row>
    <row r="8935" spans="1:24" x14ac:dyDescent="0.3">
      <c r="A8935">
        <v>5059</v>
      </c>
      <c r="B8935" t="s">
        <v>16151</v>
      </c>
      <c r="C8935" s="3">
        <v>40882</v>
      </c>
      <c r="D8935" t="s">
        <v>25</v>
      </c>
      <c r="E8935">
        <v>24</v>
      </c>
      <c r="F8935" s="3">
        <f ca="1">40887+(RANDBETWEEN(1,10))</f>
        <v>40892</v>
      </c>
      <c r="G8935" t="s">
        <v>26</v>
      </c>
      <c r="H8935" t="s">
        <v>27</v>
      </c>
      <c r="I8935" t="s">
        <v>97</v>
      </c>
      <c r="J8935">
        <v>2927.645</v>
      </c>
      <c r="K8935">
        <v>0.09</v>
      </c>
      <c r="L8935">
        <v>0.4</v>
      </c>
      <c r="M8935">
        <v>23.31</v>
      </c>
      <c r="N8935">
        <v>252.65029999999999</v>
      </c>
      <c r="O8935" s="1" t="s">
        <v>53</v>
      </c>
      <c r="P8935" s="1" t="s">
        <v>284</v>
      </c>
      <c r="Q8935" s="1" t="s">
        <v>285</v>
      </c>
      <c r="R8935" s="1" t="s">
        <v>56</v>
      </c>
      <c r="S8935" s="1" t="s">
        <v>57</v>
      </c>
      <c r="T8935" s="1" t="s">
        <v>58</v>
      </c>
      <c r="U8935" s="2" t="s">
        <v>6760</v>
      </c>
      <c r="V8935" s="2" t="s">
        <v>47</v>
      </c>
      <c r="W8935" s="2" t="s">
        <v>48</v>
      </c>
      <c r="X8935" s="2">
        <v>125.79</v>
      </c>
    </row>
    <row r="8936" spans="1:24" x14ac:dyDescent="0.3">
      <c r="A8936">
        <v>5060</v>
      </c>
      <c r="B8936" t="s">
        <v>16152</v>
      </c>
      <c r="C8936" s="3">
        <v>41978</v>
      </c>
      <c r="D8936" t="s">
        <v>25</v>
      </c>
      <c r="E8936">
        <v>30</v>
      </c>
      <c r="F8936" s="3">
        <f ca="1">41985+(RANDBETWEEN(1,10))</f>
        <v>41991</v>
      </c>
      <c r="G8936" t="s">
        <v>26</v>
      </c>
      <c r="H8936" t="s">
        <v>281</v>
      </c>
      <c r="I8936" t="s">
        <v>97</v>
      </c>
      <c r="J8936">
        <v>19307.54</v>
      </c>
      <c r="K8936">
        <v>0</v>
      </c>
      <c r="L8936">
        <v>0.75</v>
      </c>
      <c r="M8936">
        <v>48.965000000000003</v>
      </c>
      <c r="N8936">
        <v>2267.1694499999999</v>
      </c>
      <c r="O8936" s="1" t="s">
        <v>53</v>
      </c>
      <c r="P8936" s="1" t="s">
        <v>284</v>
      </c>
      <c r="Q8936" s="1" t="s">
        <v>285</v>
      </c>
      <c r="R8936" s="1" t="s">
        <v>56</v>
      </c>
      <c r="S8936" s="1" t="s">
        <v>57</v>
      </c>
      <c r="T8936" s="1" t="s">
        <v>58</v>
      </c>
      <c r="U8936" s="2" t="s">
        <v>9141</v>
      </c>
      <c r="V8936" s="2" t="s">
        <v>83</v>
      </c>
      <c r="W8936" s="2" t="s">
        <v>178</v>
      </c>
      <c r="X8936" s="2">
        <v>598.42999999999995</v>
      </c>
    </row>
    <row r="8937" spans="1:24" x14ac:dyDescent="0.3">
      <c r="A8937">
        <v>5061</v>
      </c>
      <c r="B8937" t="s">
        <v>16151</v>
      </c>
      <c r="C8937" s="3">
        <v>40882</v>
      </c>
      <c r="D8937" t="s">
        <v>25</v>
      </c>
      <c r="E8937">
        <v>37</v>
      </c>
      <c r="F8937" s="3">
        <f ca="1">40884+(RANDBETWEEN(1,10))</f>
        <v>40890</v>
      </c>
      <c r="G8937" t="s">
        <v>26</v>
      </c>
      <c r="H8937" t="s">
        <v>27</v>
      </c>
      <c r="I8937" t="s">
        <v>97</v>
      </c>
      <c r="J8937">
        <v>664.40499999999997</v>
      </c>
      <c r="K8937">
        <v>0.09</v>
      </c>
      <c r="L8937">
        <v>0.36</v>
      </c>
      <c r="M8937">
        <v>26.04</v>
      </c>
      <c r="N8937">
        <v>-428.30655000000002</v>
      </c>
      <c r="O8937" s="1" t="s">
        <v>53</v>
      </c>
      <c r="P8937" s="1" t="s">
        <v>284</v>
      </c>
      <c r="Q8937" s="1" t="s">
        <v>285</v>
      </c>
      <c r="R8937" s="1" t="s">
        <v>56</v>
      </c>
      <c r="S8937" s="1" t="s">
        <v>57</v>
      </c>
      <c r="T8937" s="1" t="s">
        <v>58</v>
      </c>
      <c r="U8937" s="2" t="s">
        <v>131</v>
      </c>
      <c r="V8937" s="2" t="s">
        <v>47</v>
      </c>
      <c r="W8937" s="2" t="s">
        <v>74</v>
      </c>
      <c r="X8937" s="2">
        <v>17.43</v>
      </c>
    </row>
    <row r="8938" spans="1:24" x14ac:dyDescent="0.3">
      <c r="A8938">
        <v>5062</v>
      </c>
      <c r="B8938" t="s">
        <v>16153</v>
      </c>
      <c r="C8938" s="3">
        <v>41899</v>
      </c>
      <c r="D8938" t="s">
        <v>25</v>
      </c>
      <c r="E8938">
        <v>67</v>
      </c>
      <c r="F8938" s="3">
        <f ca="1">41904+(RANDBETWEEN(1,10))</f>
        <v>41912</v>
      </c>
      <c r="G8938" t="s">
        <v>26</v>
      </c>
      <c r="H8938" t="s">
        <v>96</v>
      </c>
      <c r="I8938" t="s">
        <v>97</v>
      </c>
      <c r="J8938">
        <v>626.46500000000003</v>
      </c>
      <c r="K8938">
        <v>0.08</v>
      </c>
      <c r="L8938">
        <v>0.56000000000000005</v>
      </c>
      <c r="M8938">
        <v>2.4500000000000002</v>
      </c>
      <c r="N8938">
        <v>20.02</v>
      </c>
      <c r="O8938" s="1" t="s">
        <v>40</v>
      </c>
      <c r="P8938" s="1" t="s">
        <v>15920</v>
      </c>
      <c r="Q8938" s="1" t="s">
        <v>15921</v>
      </c>
      <c r="R8938" s="1" t="s">
        <v>43</v>
      </c>
      <c r="S8938" s="1" t="s">
        <v>44</v>
      </c>
      <c r="T8938" s="1" t="s">
        <v>15922</v>
      </c>
      <c r="U8938" s="2" t="s">
        <v>443</v>
      </c>
      <c r="V8938" s="2" t="s">
        <v>47</v>
      </c>
      <c r="W8938" s="2" t="s">
        <v>104</v>
      </c>
      <c r="X8938" s="2">
        <v>10.08</v>
      </c>
    </row>
    <row r="8939" spans="1:24" x14ac:dyDescent="0.3">
      <c r="A8939">
        <v>5063</v>
      </c>
      <c r="B8939" t="s">
        <v>16154</v>
      </c>
      <c r="C8939" s="3">
        <v>41169</v>
      </c>
      <c r="D8939" t="s">
        <v>25</v>
      </c>
      <c r="E8939">
        <v>27</v>
      </c>
      <c r="F8939" s="3">
        <f ca="1">41174+(RANDBETWEEN(1,10))</f>
        <v>41178</v>
      </c>
      <c r="G8939" t="s">
        <v>26</v>
      </c>
      <c r="H8939" t="s">
        <v>63</v>
      </c>
      <c r="I8939" t="s">
        <v>97</v>
      </c>
      <c r="J8939">
        <v>5835.69</v>
      </c>
      <c r="K8939">
        <v>0.09</v>
      </c>
      <c r="L8939">
        <v>0.8</v>
      </c>
      <c r="M8939">
        <v>122.5</v>
      </c>
      <c r="N8939">
        <v>-1763.3</v>
      </c>
      <c r="O8939" s="1" t="s">
        <v>40</v>
      </c>
      <c r="P8939" s="1" t="s">
        <v>15920</v>
      </c>
      <c r="Q8939" s="1" t="s">
        <v>15921</v>
      </c>
      <c r="R8939" s="1" t="s">
        <v>43</v>
      </c>
      <c r="S8939" s="1" t="s">
        <v>44</v>
      </c>
      <c r="T8939" s="1" t="s">
        <v>15922</v>
      </c>
      <c r="U8939" s="2" t="s">
        <v>3893</v>
      </c>
      <c r="V8939" s="2" t="s">
        <v>47</v>
      </c>
      <c r="W8939" s="2" t="s">
        <v>119</v>
      </c>
      <c r="X8939" s="2">
        <v>226.27500000000001</v>
      </c>
    </row>
    <row r="8940" spans="1:24" x14ac:dyDescent="0.3">
      <c r="A8940">
        <v>5079</v>
      </c>
      <c r="B8940" t="s">
        <v>16155</v>
      </c>
      <c r="C8940" s="3">
        <v>41492</v>
      </c>
      <c r="D8940" t="s">
        <v>50</v>
      </c>
      <c r="E8940">
        <v>14</v>
      </c>
      <c r="F8940" s="3">
        <f ca="1">41494+(RANDBETWEEN(1,10))</f>
        <v>41503</v>
      </c>
      <c r="G8940" t="s">
        <v>26</v>
      </c>
      <c r="H8940" t="s">
        <v>51</v>
      </c>
      <c r="I8940" t="s">
        <v>52</v>
      </c>
      <c r="J8940">
        <v>273.07</v>
      </c>
      <c r="K8940">
        <v>7.0000000000000007E-2</v>
      </c>
      <c r="L8940">
        <v>0.64</v>
      </c>
      <c r="M8940">
        <v>15.12</v>
      </c>
      <c r="N8940">
        <v>-134.54</v>
      </c>
      <c r="O8940" s="1" t="s">
        <v>64</v>
      </c>
      <c r="P8940" s="1" t="s">
        <v>183</v>
      </c>
      <c r="Q8940" s="1" t="s">
        <v>184</v>
      </c>
      <c r="R8940" s="1" t="s">
        <v>128</v>
      </c>
      <c r="S8940" s="1" t="s">
        <v>129</v>
      </c>
      <c r="T8940" s="1" t="s">
        <v>185</v>
      </c>
      <c r="U8940" s="2" t="s">
        <v>6443</v>
      </c>
      <c r="V8940" s="2" t="s">
        <v>36</v>
      </c>
      <c r="W8940" s="2" t="s">
        <v>60</v>
      </c>
      <c r="X8940" s="2">
        <v>17.43</v>
      </c>
    </row>
    <row r="8941" spans="1:24" x14ac:dyDescent="0.3">
      <c r="A8941">
        <v>5080</v>
      </c>
      <c r="B8941" t="s">
        <v>16155</v>
      </c>
      <c r="C8941" s="3">
        <v>41492</v>
      </c>
      <c r="D8941" t="s">
        <v>50</v>
      </c>
      <c r="E8941">
        <v>12</v>
      </c>
      <c r="F8941" s="3">
        <f ca="1">41493+(RANDBETWEEN(1,10))</f>
        <v>41497</v>
      </c>
      <c r="G8941" t="s">
        <v>26</v>
      </c>
      <c r="H8941" t="s">
        <v>281</v>
      </c>
      <c r="I8941" t="s">
        <v>52</v>
      </c>
      <c r="J8941">
        <v>434.21</v>
      </c>
      <c r="K8941">
        <v>0.09</v>
      </c>
      <c r="L8941">
        <v>0.48</v>
      </c>
      <c r="M8941">
        <v>21.07</v>
      </c>
      <c r="N8941">
        <v>60.585000000000001</v>
      </c>
      <c r="O8941" s="1" t="s">
        <v>64</v>
      </c>
      <c r="P8941" s="1" t="s">
        <v>183</v>
      </c>
      <c r="Q8941" s="1" t="s">
        <v>184</v>
      </c>
      <c r="R8941" s="1" t="s">
        <v>128</v>
      </c>
      <c r="S8941" s="1" t="s">
        <v>129</v>
      </c>
      <c r="T8941" s="1" t="s">
        <v>185</v>
      </c>
      <c r="U8941" s="2" t="s">
        <v>3578</v>
      </c>
      <c r="V8941" s="2" t="s">
        <v>83</v>
      </c>
      <c r="W8941" s="2" t="s">
        <v>178</v>
      </c>
      <c r="X8941" s="2">
        <v>34.195</v>
      </c>
    </row>
    <row r="8942" spans="1:24" x14ac:dyDescent="0.3">
      <c r="A8942">
        <v>5101</v>
      </c>
      <c r="B8942" t="s">
        <v>16156</v>
      </c>
      <c r="C8942" s="3">
        <v>41633</v>
      </c>
      <c r="D8942" t="s">
        <v>148</v>
      </c>
      <c r="E8942">
        <v>90</v>
      </c>
      <c r="F8942" s="3">
        <f ca="1">41635+(RANDBETWEEN(1,10))</f>
        <v>41642</v>
      </c>
      <c r="G8942" t="s">
        <v>76</v>
      </c>
      <c r="H8942" t="s">
        <v>77</v>
      </c>
      <c r="I8942" t="s">
        <v>52</v>
      </c>
      <c r="J8942">
        <v>33380.129999999997</v>
      </c>
      <c r="K8942">
        <v>0.01</v>
      </c>
      <c r="L8942">
        <v>0.69</v>
      </c>
      <c r="M8942">
        <v>157.5</v>
      </c>
      <c r="N8942">
        <v>-2078.3000000000002</v>
      </c>
      <c r="O8942" s="1" t="s">
        <v>64</v>
      </c>
      <c r="P8942" s="1" t="s">
        <v>183</v>
      </c>
      <c r="Q8942" s="1" t="s">
        <v>184</v>
      </c>
      <c r="R8942" s="1" t="s">
        <v>128</v>
      </c>
      <c r="S8942" s="1" t="s">
        <v>129</v>
      </c>
      <c r="T8942" s="1" t="s">
        <v>185</v>
      </c>
      <c r="U8942" s="2" t="s">
        <v>11353</v>
      </c>
      <c r="V8942" s="2" t="s">
        <v>83</v>
      </c>
      <c r="W8942" s="2" t="s">
        <v>84</v>
      </c>
      <c r="X8942" s="2">
        <v>353.43</v>
      </c>
    </row>
    <row r="8943" spans="1:24" x14ac:dyDescent="0.3">
      <c r="A8943">
        <v>5102</v>
      </c>
      <c r="B8943" t="s">
        <v>16156</v>
      </c>
      <c r="C8943" s="3">
        <v>41633</v>
      </c>
      <c r="D8943" t="s">
        <v>148</v>
      </c>
      <c r="E8943">
        <v>66</v>
      </c>
      <c r="F8943" s="3">
        <f ca="1">41635+(RANDBETWEEN(1,10))</f>
        <v>41640</v>
      </c>
      <c r="G8943" t="s">
        <v>26</v>
      </c>
      <c r="H8943" t="s">
        <v>27</v>
      </c>
      <c r="I8943" t="s">
        <v>52</v>
      </c>
      <c r="J8943">
        <v>824.39</v>
      </c>
      <c r="K8943">
        <v>0.08</v>
      </c>
      <c r="L8943">
        <v>0.37</v>
      </c>
      <c r="M8943">
        <v>1.75</v>
      </c>
      <c r="N8943">
        <v>167.93</v>
      </c>
      <c r="O8943" s="1" t="s">
        <v>64</v>
      </c>
      <c r="P8943" s="1" t="s">
        <v>183</v>
      </c>
      <c r="Q8943" s="1" t="s">
        <v>184</v>
      </c>
      <c r="R8943" s="1" t="s">
        <v>128</v>
      </c>
      <c r="S8943" s="1" t="s">
        <v>129</v>
      </c>
      <c r="T8943" s="1" t="s">
        <v>185</v>
      </c>
      <c r="U8943" s="2" t="s">
        <v>2907</v>
      </c>
      <c r="V8943" s="2" t="s">
        <v>47</v>
      </c>
      <c r="W8943" s="2" t="s">
        <v>203</v>
      </c>
      <c r="X8943" s="2">
        <v>13.125</v>
      </c>
    </row>
    <row r="8944" spans="1:24" x14ac:dyDescent="0.3">
      <c r="A8944">
        <v>5117</v>
      </c>
      <c r="B8944" t="s">
        <v>16157</v>
      </c>
      <c r="C8944" s="3">
        <v>40638</v>
      </c>
      <c r="D8944" t="s">
        <v>39</v>
      </c>
      <c r="E8944">
        <v>26</v>
      </c>
      <c r="F8944" s="3">
        <f ca="1">40639+(RANDBETWEEN(1,10))</f>
        <v>40642</v>
      </c>
      <c r="G8944" t="s">
        <v>26</v>
      </c>
      <c r="H8944" t="s">
        <v>27</v>
      </c>
      <c r="I8944" t="s">
        <v>97</v>
      </c>
      <c r="J8944">
        <v>1977.43</v>
      </c>
      <c r="K8944">
        <v>0.1</v>
      </c>
      <c r="L8944">
        <v>0.38</v>
      </c>
      <c r="M8944">
        <v>52.85</v>
      </c>
      <c r="N8944">
        <v>-376.29725000000002</v>
      </c>
      <c r="O8944" s="1" t="s">
        <v>40</v>
      </c>
      <c r="P8944" s="1" t="s">
        <v>16158</v>
      </c>
      <c r="Q8944" s="1" t="s">
        <v>16159</v>
      </c>
      <c r="R8944" s="1" t="s">
        <v>43</v>
      </c>
      <c r="S8944" s="1" t="s">
        <v>44</v>
      </c>
      <c r="T8944" s="1" t="s">
        <v>16160</v>
      </c>
      <c r="U8944" s="2" t="s">
        <v>2602</v>
      </c>
      <c r="V8944" s="2" t="s">
        <v>47</v>
      </c>
      <c r="W8944" s="2" t="s">
        <v>111</v>
      </c>
      <c r="X8944" s="2">
        <v>78.33</v>
      </c>
    </row>
    <row r="8945" spans="1:24" x14ac:dyDescent="0.3">
      <c r="A8945">
        <v>5118</v>
      </c>
      <c r="B8945" t="s">
        <v>16157</v>
      </c>
      <c r="C8945" s="3">
        <v>40638</v>
      </c>
      <c r="D8945" t="s">
        <v>39</v>
      </c>
      <c r="E8945">
        <v>18</v>
      </c>
      <c r="F8945" s="3">
        <f ca="1">40640+(RANDBETWEEN(1,10))</f>
        <v>40650</v>
      </c>
      <c r="G8945" t="s">
        <v>26</v>
      </c>
      <c r="H8945" t="s">
        <v>51</v>
      </c>
      <c r="I8945" t="s">
        <v>97</v>
      </c>
      <c r="J8945">
        <v>453.18</v>
      </c>
      <c r="K8945">
        <v>0.04</v>
      </c>
      <c r="L8945">
        <v>0.37</v>
      </c>
      <c r="M8945">
        <v>9.9049999999999994</v>
      </c>
      <c r="N8945">
        <v>161.035</v>
      </c>
      <c r="O8945" s="1" t="s">
        <v>40</v>
      </c>
      <c r="P8945" s="1" t="s">
        <v>16158</v>
      </c>
      <c r="Q8945" s="1" t="s">
        <v>16159</v>
      </c>
      <c r="R8945" s="1" t="s">
        <v>43</v>
      </c>
      <c r="S8945" s="1" t="s">
        <v>44</v>
      </c>
      <c r="T8945" s="1" t="s">
        <v>16160</v>
      </c>
      <c r="U8945" s="2" t="s">
        <v>7020</v>
      </c>
      <c r="V8945" s="2" t="s">
        <v>83</v>
      </c>
      <c r="W8945" s="2" t="s">
        <v>178</v>
      </c>
      <c r="X8945" s="2">
        <v>24.43</v>
      </c>
    </row>
    <row r="8946" spans="1:24" x14ac:dyDescent="0.3">
      <c r="A8946">
        <v>5122</v>
      </c>
      <c r="B8946" t="s">
        <v>16161</v>
      </c>
      <c r="C8946" s="3">
        <v>41460</v>
      </c>
      <c r="D8946" t="s">
        <v>148</v>
      </c>
      <c r="E8946">
        <v>9</v>
      </c>
      <c r="F8946" s="3">
        <f ca="1">41461+(RANDBETWEEN(1,10))</f>
        <v>41464</v>
      </c>
      <c r="G8946" t="s">
        <v>156</v>
      </c>
      <c r="H8946" t="s">
        <v>27</v>
      </c>
      <c r="I8946" t="s">
        <v>86</v>
      </c>
      <c r="J8946">
        <v>250.565</v>
      </c>
      <c r="K8946">
        <v>0.1</v>
      </c>
      <c r="L8946">
        <v>0.36</v>
      </c>
      <c r="M8946">
        <v>18.024999999999999</v>
      </c>
      <c r="N8946">
        <v>-25.9</v>
      </c>
      <c r="O8946" s="1" t="s">
        <v>29</v>
      </c>
      <c r="P8946" s="1" t="s">
        <v>318</v>
      </c>
      <c r="Q8946" s="1" t="s">
        <v>319</v>
      </c>
      <c r="R8946" s="1" t="s">
        <v>32</v>
      </c>
      <c r="S8946" s="1" t="s">
        <v>33</v>
      </c>
      <c r="T8946" s="1" t="s">
        <v>320</v>
      </c>
      <c r="U8946" s="2" t="s">
        <v>542</v>
      </c>
      <c r="V8946" s="2" t="s">
        <v>47</v>
      </c>
      <c r="W8946" s="2" t="s">
        <v>74</v>
      </c>
      <c r="X8946" s="2">
        <v>20.93</v>
      </c>
    </row>
    <row r="8947" spans="1:24" x14ac:dyDescent="0.3">
      <c r="A8947">
        <v>5123</v>
      </c>
      <c r="B8947" t="s">
        <v>16161</v>
      </c>
      <c r="C8947" s="3">
        <v>41460</v>
      </c>
      <c r="D8947" t="s">
        <v>148</v>
      </c>
      <c r="E8947">
        <v>63</v>
      </c>
      <c r="F8947" s="3">
        <f ca="1">41461+(RANDBETWEEN(1,10))</f>
        <v>41471</v>
      </c>
      <c r="G8947" t="s">
        <v>76</v>
      </c>
      <c r="H8947" t="s">
        <v>77</v>
      </c>
      <c r="I8947" t="s">
        <v>86</v>
      </c>
      <c r="J8947">
        <v>68440.75</v>
      </c>
      <c r="K8947">
        <v>0.06</v>
      </c>
      <c r="L8947">
        <v>0.56999999999999995</v>
      </c>
      <c r="M8947">
        <v>318.67500000000001</v>
      </c>
      <c r="N8947">
        <v>3016.23</v>
      </c>
      <c r="O8947" s="1" t="s">
        <v>29</v>
      </c>
      <c r="P8947" s="1" t="s">
        <v>318</v>
      </c>
      <c r="Q8947" s="1" t="s">
        <v>319</v>
      </c>
      <c r="R8947" s="1" t="s">
        <v>32</v>
      </c>
      <c r="S8947" s="1" t="s">
        <v>33</v>
      </c>
      <c r="T8947" s="1" t="s">
        <v>320</v>
      </c>
      <c r="U8947" s="2" t="s">
        <v>1589</v>
      </c>
      <c r="V8947" s="2" t="s">
        <v>47</v>
      </c>
      <c r="W8947" s="2" t="s">
        <v>71</v>
      </c>
      <c r="X8947" s="2">
        <v>1148.49</v>
      </c>
    </row>
    <row r="8948" spans="1:24" x14ac:dyDescent="0.3">
      <c r="A8948">
        <v>5124</v>
      </c>
      <c r="B8948" t="s">
        <v>16161</v>
      </c>
      <c r="C8948" s="3">
        <v>41460</v>
      </c>
      <c r="D8948" t="s">
        <v>148</v>
      </c>
      <c r="E8948">
        <v>36</v>
      </c>
      <c r="F8948" s="3">
        <f ca="1">41462+(RANDBETWEEN(1,10))</f>
        <v>41465</v>
      </c>
      <c r="G8948" t="s">
        <v>156</v>
      </c>
      <c r="H8948" t="s">
        <v>63</v>
      </c>
      <c r="I8948" t="s">
        <v>86</v>
      </c>
      <c r="J8948">
        <v>12483.695</v>
      </c>
      <c r="K8948">
        <v>7.0000000000000007E-2</v>
      </c>
      <c r="L8948">
        <v>0.61</v>
      </c>
      <c r="M8948">
        <v>85.715000000000003</v>
      </c>
      <c r="N8948">
        <v>1713.53</v>
      </c>
      <c r="O8948" s="1" t="s">
        <v>29</v>
      </c>
      <c r="P8948" s="1" t="s">
        <v>318</v>
      </c>
      <c r="Q8948" s="1" t="s">
        <v>319</v>
      </c>
      <c r="R8948" s="1" t="s">
        <v>32</v>
      </c>
      <c r="S8948" s="1" t="s">
        <v>33</v>
      </c>
      <c r="T8948" s="1" t="s">
        <v>320</v>
      </c>
      <c r="U8948" s="2" t="s">
        <v>4335</v>
      </c>
      <c r="V8948" s="2" t="s">
        <v>83</v>
      </c>
      <c r="W8948" s="2" t="s">
        <v>178</v>
      </c>
      <c r="X8948" s="2">
        <v>368.69</v>
      </c>
    </row>
    <row r="8949" spans="1:24" x14ac:dyDescent="0.3">
      <c r="A8949">
        <v>513</v>
      </c>
      <c r="B8949" t="s">
        <v>16162</v>
      </c>
      <c r="C8949" s="3">
        <v>41761</v>
      </c>
      <c r="D8949" t="s">
        <v>39</v>
      </c>
      <c r="E8949">
        <v>27</v>
      </c>
      <c r="F8949" s="3">
        <f ca="1">41762+(RANDBETWEEN(1,10))</f>
        <v>41768</v>
      </c>
      <c r="G8949" t="s">
        <v>26</v>
      </c>
      <c r="H8949" t="s">
        <v>27</v>
      </c>
      <c r="I8949" t="s">
        <v>86</v>
      </c>
      <c r="J8949">
        <v>1922.9349999999999</v>
      </c>
      <c r="K8949">
        <v>0</v>
      </c>
      <c r="L8949">
        <v>0.37</v>
      </c>
      <c r="M8949">
        <v>31.605</v>
      </c>
      <c r="N8949">
        <v>183.22499999999999</v>
      </c>
      <c r="O8949" s="1" t="s">
        <v>53</v>
      </c>
      <c r="P8949" s="1" t="s">
        <v>157</v>
      </c>
      <c r="Q8949" s="1" t="s">
        <v>158</v>
      </c>
      <c r="R8949" s="1" t="s">
        <v>56</v>
      </c>
      <c r="S8949" s="1" t="s">
        <v>159</v>
      </c>
      <c r="T8949" s="1" t="s">
        <v>160</v>
      </c>
      <c r="U8949" s="2" t="s">
        <v>482</v>
      </c>
      <c r="V8949" s="2" t="s">
        <v>47</v>
      </c>
      <c r="W8949" s="2" t="s">
        <v>74</v>
      </c>
      <c r="X8949" s="2">
        <v>66.394999999999996</v>
      </c>
    </row>
    <row r="8950" spans="1:24" x14ac:dyDescent="0.3">
      <c r="A8950">
        <v>5140</v>
      </c>
      <c r="B8950" t="s">
        <v>16163</v>
      </c>
      <c r="C8950" s="3">
        <v>40724</v>
      </c>
      <c r="D8950" t="s">
        <v>39</v>
      </c>
      <c r="E8950">
        <v>32</v>
      </c>
      <c r="F8950" s="3">
        <f ca="1">40725+(RANDBETWEEN(1,10))</f>
        <v>40732</v>
      </c>
      <c r="G8950" t="s">
        <v>26</v>
      </c>
      <c r="H8950" t="s">
        <v>96</v>
      </c>
      <c r="I8950" t="s">
        <v>52</v>
      </c>
      <c r="J8950">
        <v>959.91</v>
      </c>
      <c r="K8950">
        <v>0.01</v>
      </c>
      <c r="L8950">
        <v>0.4</v>
      </c>
      <c r="M8950">
        <v>9.8699999999999992</v>
      </c>
      <c r="N8950">
        <v>135.44999999999999</v>
      </c>
      <c r="O8950" s="1" t="s">
        <v>64</v>
      </c>
      <c r="P8950" s="1" t="s">
        <v>183</v>
      </c>
      <c r="Q8950" s="1" t="s">
        <v>184</v>
      </c>
      <c r="R8950" s="1" t="s">
        <v>128</v>
      </c>
      <c r="S8950" s="1" t="s">
        <v>129</v>
      </c>
      <c r="T8950" s="1" t="s">
        <v>185</v>
      </c>
      <c r="U8950" s="2" t="s">
        <v>8331</v>
      </c>
      <c r="V8950" s="2" t="s">
        <v>47</v>
      </c>
      <c r="W8950" s="2" t="s">
        <v>176</v>
      </c>
      <c r="X8950" s="2">
        <v>27.614999999999998</v>
      </c>
    </row>
    <row r="8951" spans="1:24" x14ac:dyDescent="0.3">
      <c r="A8951">
        <v>5141</v>
      </c>
      <c r="B8951" t="s">
        <v>16163</v>
      </c>
      <c r="C8951" s="3">
        <v>40724</v>
      </c>
      <c r="D8951" t="s">
        <v>39</v>
      </c>
      <c r="E8951">
        <v>24</v>
      </c>
      <c r="F8951" s="3">
        <f ca="1">40725+(RANDBETWEEN(1,10))</f>
        <v>40727</v>
      </c>
      <c r="G8951" t="s">
        <v>26</v>
      </c>
      <c r="H8951" t="s">
        <v>96</v>
      </c>
      <c r="I8951" t="s">
        <v>52</v>
      </c>
      <c r="J8951">
        <v>291.06</v>
      </c>
      <c r="K8951">
        <v>0.09</v>
      </c>
      <c r="L8951">
        <v>0.83</v>
      </c>
      <c r="M8951">
        <v>4.62</v>
      </c>
      <c r="N8951">
        <v>-76.685000000000002</v>
      </c>
      <c r="O8951" s="1" t="s">
        <v>64</v>
      </c>
      <c r="P8951" s="1" t="s">
        <v>183</v>
      </c>
      <c r="Q8951" s="1" t="s">
        <v>184</v>
      </c>
      <c r="R8951" s="1" t="s">
        <v>128</v>
      </c>
      <c r="S8951" s="1" t="s">
        <v>129</v>
      </c>
      <c r="T8951" s="1" t="s">
        <v>185</v>
      </c>
      <c r="U8951" s="2" t="s">
        <v>3023</v>
      </c>
      <c r="V8951" s="2" t="s">
        <v>47</v>
      </c>
      <c r="W8951" s="2" t="s">
        <v>94</v>
      </c>
      <c r="X8951" s="2">
        <v>12.88</v>
      </c>
    </row>
    <row r="8952" spans="1:24" x14ac:dyDescent="0.3">
      <c r="A8952">
        <v>5142</v>
      </c>
      <c r="B8952" t="s">
        <v>16163</v>
      </c>
      <c r="C8952" s="3">
        <v>40724</v>
      </c>
      <c r="D8952" t="s">
        <v>39</v>
      </c>
      <c r="E8952">
        <v>27</v>
      </c>
      <c r="F8952" s="3">
        <f ca="1">40727+(RANDBETWEEN(1,10))</f>
        <v>40728</v>
      </c>
      <c r="G8952" t="s">
        <v>26</v>
      </c>
      <c r="H8952" t="s">
        <v>27</v>
      </c>
      <c r="I8952" t="s">
        <v>52</v>
      </c>
      <c r="J8952">
        <v>916.755</v>
      </c>
      <c r="K8952">
        <v>0.1</v>
      </c>
      <c r="L8952">
        <v>0.6</v>
      </c>
      <c r="M8952">
        <v>33.075000000000003</v>
      </c>
      <c r="N8952">
        <v>-419.19499999999999</v>
      </c>
      <c r="O8952" s="1" t="s">
        <v>64</v>
      </c>
      <c r="P8952" s="1" t="s">
        <v>183</v>
      </c>
      <c r="Q8952" s="1" t="s">
        <v>184</v>
      </c>
      <c r="R8952" s="1" t="s">
        <v>128</v>
      </c>
      <c r="S8952" s="1" t="s">
        <v>129</v>
      </c>
      <c r="T8952" s="1" t="s">
        <v>185</v>
      </c>
      <c r="U8952" s="2" t="s">
        <v>483</v>
      </c>
      <c r="V8952" s="2" t="s">
        <v>47</v>
      </c>
      <c r="W8952" s="2" t="s">
        <v>119</v>
      </c>
      <c r="X8952" s="2">
        <v>33.984999999999999</v>
      </c>
    </row>
    <row r="8953" spans="1:24" x14ac:dyDescent="0.3">
      <c r="A8953">
        <v>5163</v>
      </c>
      <c r="B8953" t="s">
        <v>16164</v>
      </c>
      <c r="C8953" s="3">
        <v>41262</v>
      </c>
      <c r="D8953" t="s">
        <v>62</v>
      </c>
      <c r="E8953">
        <v>48</v>
      </c>
      <c r="F8953" s="3">
        <f ca="1">41265+(RANDBETWEEN(1,10))</f>
        <v>41268</v>
      </c>
      <c r="G8953" t="s">
        <v>26</v>
      </c>
      <c r="H8953" t="s">
        <v>96</v>
      </c>
      <c r="I8953" t="s">
        <v>97</v>
      </c>
      <c r="J8953">
        <v>913.67499999999995</v>
      </c>
      <c r="K8953">
        <v>0.08</v>
      </c>
      <c r="L8953">
        <v>0.39</v>
      </c>
      <c r="M8953">
        <v>5.1100000000000003</v>
      </c>
      <c r="N8953">
        <v>120.68</v>
      </c>
      <c r="O8953" s="1" t="s">
        <v>40</v>
      </c>
      <c r="P8953" s="1" t="s">
        <v>16165</v>
      </c>
      <c r="Q8953" s="1" t="s">
        <v>16166</v>
      </c>
      <c r="R8953" s="1" t="s">
        <v>43</v>
      </c>
      <c r="S8953" s="1" t="s">
        <v>44</v>
      </c>
      <c r="T8953" s="1" t="s">
        <v>16167</v>
      </c>
      <c r="U8953" s="2" t="s">
        <v>8262</v>
      </c>
      <c r="V8953" s="2" t="s">
        <v>47</v>
      </c>
      <c r="W8953" s="2" t="s">
        <v>74</v>
      </c>
      <c r="X8953" s="2">
        <v>19.88</v>
      </c>
    </row>
    <row r="8954" spans="1:24" x14ac:dyDescent="0.3">
      <c r="A8954">
        <v>5164</v>
      </c>
      <c r="B8954" t="s">
        <v>16164</v>
      </c>
      <c r="C8954" s="3">
        <v>41262</v>
      </c>
      <c r="D8954" t="s">
        <v>62</v>
      </c>
      <c r="E8954">
        <v>11</v>
      </c>
      <c r="F8954" s="3">
        <f ca="1">41264+(RANDBETWEEN(1,10))</f>
        <v>41270</v>
      </c>
      <c r="G8954" t="s">
        <v>26</v>
      </c>
      <c r="H8954" t="s">
        <v>51</v>
      </c>
      <c r="I8954" t="s">
        <v>97</v>
      </c>
      <c r="J8954">
        <v>1950.095</v>
      </c>
      <c r="K8954">
        <v>0.01</v>
      </c>
      <c r="L8954">
        <v>0.83</v>
      </c>
      <c r="M8954">
        <v>17.5</v>
      </c>
      <c r="N8954">
        <v>-890.274</v>
      </c>
      <c r="O8954" s="1" t="s">
        <v>40</v>
      </c>
      <c r="P8954" s="1" t="s">
        <v>16165</v>
      </c>
      <c r="Q8954" s="1" t="s">
        <v>16166</v>
      </c>
      <c r="R8954" s="1" t="s">
        <v>43</v>
      </c>
      <c r="S8954" s="1" t="s">
        <v>44</v>
      </c>
      <c r="T8954" s="1" t="s">
        <v>16167</v>
      </c>
      <c r="U8954" s="2" t="s">
        <v>4376</v>
      </c>
      <c r="V8954" s="2" t="s">
        <v>36</v>
      </c>
      <c r="W8954" s="2" t="s">
        <v>37</v>
      </c>
      <c r="X8954" s="2">
        <v>195.965</v>
      </c>
    </row>
    <row r="8955" spans="1:24" x14ac:dyDescent="0.3">
      <c r="A8955">
        <v>5165</v>
      </c>
      <c r="B8955" t="s">
        <v>16168</v>
      </c>
      <c r="C8955" s="3">
        <v>41890</v>
      </c>
      <c r="D8955" t="s">
        <v>62</v>
      </c>
      <c r="E8955">
        <v>6</v>
      </c>
      <c r="F8955" s="3">
        <f ca="1">41891+(RANDBETWEEN(1,10))</f>
        <v>41901</v>
      </c>
      <c r="G8955" t="s">
        <v>26</v>
      </c>
      <c r="H8955" t="s">
        <v>96</v>
      </c>
      <c r="I8955" t="s">
        <v>97</v>
      </c>
      <c r="J8955">
        <v>182.91</v>
      </c>
      <c r="K8955">
        <v>0.1</v>
      </c>
      <c r="L8955">
        <v>0.42</v>
      </c>
      <c r="M8955">
        <v>14</v>
      </c>
      <c r="N8955">
        <v>-37.134999999999998</v>
      </c>
      <c r="O8955" s="1" t="s">
        <v>225</v>
      </c>
      <c r="P8955" s="1" t="s">
        <v>427</v>
      </c>
      <c r="Q8955" s="1" t="s">
        <v>428</v>
      </c>
      <c r="R8955" s="1" t="s">
        <v>228</v>
      </c>
      <c r="S8955" s="1" t="s">
        <v>229</v>
      </c>
      <c r="T8955" s="1" t="s">
        <v>429</v>
      </c>
      <c r="U8955" s="2" t="s">
        <v>2801</v>
      </c>
      <c r="V8955" s="2" t="s">
        <v>83</v>
      </c>
      <c r="W8955" s="2" t="s">
        <v>178</v>
      </c>
      <c r="X8955" s="2">
        <v>26.565000000000001</v>
      </c>
    </row>
    <row r="8956" spans="1:24" x14ac:dyDescent="0.3">
      <c r="A8956">
        <v>5197</v>
      </c>
      <c r="B8956" t="s">
        <v>16169</v>
      </c>
      <c r="C8956" s="3">
        <v>41293</v>
      </c>
      <c r="D8956" t="s">
        <v>50</v>
      </c>
      <c r="E8956">
        <v>52</v>
      </c>
      <c r="F8956" s="3">
        <f ca="1">41293+(RANDBETWEEN(1,10))</f>
        <v>41297</v>
      </c>
      <c r="G8956" t="s">
        <v>26</v>
      </c>
      <c r="H8956" t="s">
        <v>96</v>
      </c>
      <c r="I8956" t="s">
        <v>97</v>
      </c>
      <c r="J8956">
        <v>714.38499999999999</v>
      </c>
      <c r="K8956">
        <v>0.1</v>
      </c>
      <c r="L8956">
        <v>0.57999999999999996</v>
      </c>
      <c r="M8956">
        <v>5.6</v>
      </c>
      <c r="N8956">
        <v>-73.502449999999996</v>
      </c>
      <c r="O8956" s="1" t="s">
        <v>53</v>
      </c>
      <c r="P8956" s="1" t="s">
        <v>284</v>
      </c>
      <c r="Q8956" s="1" t="s">
        <v>285</v>
      </c>
      <c r="R8956" s="1" t="s">
        <v>56</v>
      </c>
      <c r="S8956" s="1" t="s">
        <v>57</v>
      </c>
      <c r="T8956" s="1" t="s">
        <v>58</v>
      </c>
      <c r="U8956" s="2" t="s">
        <v>145</v>
      </c>
      <c r="V8956" s="2" t="s">
        <v>47</v>
      </c>
      <c r="W8956" s="2" t="s">
        <v>104</v>
      </c>
      <c r="X8956" s="2">
        <v>14.98</v>
      </c>
    </row>
    <row r="8957" spans="1:24" x14ac:dyDescent="0.3">
      <c r="A8957">
        <v>52</v>
      </c>
      <c r="B8957" t="s">
        <v>16170</v>
      </c>
      <c r="C8957" s="3">
        <v>41716</v>
      </c>
      <c r="D8957" t="s">
        <v>62</v>
      </c>
      <c r="E8957">
        <v>20</v>
      </c>
      <c r="F8957" s="3">
        <f ca="1">41718+(RANDBETWEEN(1,10))</f>
        <v>41728</v>
      </c>
      <c r="G8957" t="s">
        <v>26</v>
      </c>
      <c r="H8957" t="s">
        <v>27</v>
      </c>
      <c r="I8957" t="s">
        <v>28</v>
      </c>
      <c r="J8957">
        <v>9222.01</v>
      </c>
      <c r="K8957">
        <v>0.08</v>
      </c>
      <c r="L8957">
        <v>0.6</v>
      </c>
      <c r="M8957">
        <v>28.28</v>
      </c>
      <c r="N8957">
        <v>902.16</v>
      </c>
      <c r="O8957" s="1" t="s">
        <v>40</v>
      </c>
      <c r="P8957" s="1" t="s">
        <v>355</v>
      </c>
      <c r="Q8957" s="1" t="s">
        <v>356</v>
      </c>
      <c r="R8957" s="1" t="s">
        <v>220</v>
      </c>
      <c r="S8957" s="1" t="s">
        <v>221</v>
      </c>
      <c r="T8957" s="1" t="s">
        <v>357</v>
      </c>
      <c r="U8957" s="2" t="s">
        <v>630</v>
      </c>
      <c r="V8957" s="2" t="s">
        <v>36</v>
      </c>
      <c r="W8957" s="2" t="s">
        <v>37</v>
      </c>
      <c r="X8957" s="2">
        <v>545.96500000000003</v>
      </c>
    </row>
    <row r="8958" spans="1:24" x14ac:dyDescent="0.3">
      <c r="A8958">
        <v>521</v>
      </c>
      <c r="B8958" t="s">
        <v>16171</v>
      </c>
      <c r="C8958" s="3">
        <v>41965</v>
      </c>
      <c r="D8958" t="s">
        <v>39</v>
      </c>
      <c r="E8958">
        <v>97</v>
      </c>
      <c r="F8958" s="3">
        <f ca="1">41965+(RANDBETWEEN(1,10))</f>
        <v>41973</v>
      </c>
      <c r="G8958" t="s">
        <v>26</v>
      </c>
      <c r="H8958" t="s">
        <v>96</v>
      </c>
      <c r="I8958" t="s">
        <v>28</v>
      </c>
      <c r="J8958">
        <v>3265.7449999999999</v>
      </c>
      <c r="K8958">
        <v>7.0000000000000007E-2</v>
      </c>
      <c r="L8958">
        <v>0.39</v>
      </c>
      <c r="M8958">
        <v>7.21</v>
      </c>
      <c r="N8958">
        <v>273.17500000000001</v>
      </c>
      <c r="O8958" s="1" t="s">
        <v>40</v>
      </c>
      <c r="P8958" s="1" t="s">
        <v>78</v>
      </c>
      <c r="Q8958" s="1" t="s">
        <v>79</v>
      </c>
      <c r="R8958" s="1" t="s">
        <v>43</v>
      </c>
      <c r="S8958" s="1" t="s">
        <v>80</v>
      </c>
      <c r="T8958" s="1" t="s">
        <v>81</v>
      </c>
      <c r="U8958" s="2" t="s">
        <v>2438</v>
      </c>
      <c r="V8958" s="2" t="s">
        <v>47</v>
      </c>
      <c r="W8958" s="2" t="s">
        <v>74</v>
      </c>
      <c r="X8958" s="2">
        <v>35.21</v>
      </c>
    </row>
    <row r="8959" spans="1:24" x14ac:dyDescent="0.3">
      <c r="A8959">
        <v>5212</v>
      </c>
      <c r="B8959" t="s">
        <v>16172</v>
      </c>
      <c r="C8959" s="3">
        <v>41982</v>
      </c>
      <c r="D8959" t="s">
        <v>50</v>
      </c>
      <c r="E8959">
        <v>100</v>
      </c>
      <c r="F8959" s="3">
        <f ca="1">41983+(RANDBETWEEN(1,10))</f>
        <v>41987</v>
      </c>
      <c r="G8959" t="s">
        <v>26</v>
      </c>
      <c r="H8959" t="s">
        <v>51</v>
      </c>
      <c r="I8959" t="s">
        <v>97</v>
      </c>
      <c r="J8959">
        <v>6433</v>
      </c>
      <c r="K8959">
        <v>0</v>
      </c>
      <c r="L8959">
        <v>0.47</v>
      </c>
      <c r="M8959">
        <v>31.465</v>
      </c>
      <c r="N8959">
        <v>313.60000000000002</v>
      </c>
      <c r="O8959" s="1" t="s">
        <v>40</v>
      </c>
      <c r="P8959" s="1" t="s">
        <v>15856</v>
      </c>
      <c r="Q8959" s="1" t="s">
        <v>15857</v>
      </c>
      <c r="R8959" s="1" t="s">
        <v>220</v>
      </c>
      <c r="S8959" s="1" t="s">
        <v>221</v>
      </c>
      <c r="T8959" s="1" t="s">
        <v>15858</v>
      </c>
      <c r="U8959" s="2" t="s">
        <v>1320</v>
      </c>
      <c r="V8959" s="2" t="s">
        <v>83</v>
      </c>
      <c r="W8959" s="2" t="s">
        <v>178</v>
      </c>
      <c r="X8959" s="2">
        <v>61.844999999999999</v>
      </c>
    </row>
    <row r="8960" spans="1:24" x14ac:dyDescent="0.3">
      <c r="A8960">
        <v>522</v>
      </c>
      <c r="B8960" t="s">
        <v>16173</v>
      </c>
      <c r="C8960" s="3">
        <v>40869</v>
      </c>
      <c r="D8960" t="s">
        <v>39</v>
      </c>
      <c r="E8960">
        <v>116</v>
      </c>
      <c r="F8960" s="3">
        <f ca="1">40870+(RANDBETWEEN(1,10))</f>
        <v>40873</v>
      </c>
      <c r="G8960" t="s">
        <v>26</v>
      </c>
      <c r="H8960" t="s">
        <v>96</v>
      </c>
      <c r="I8960" t="s">
        <v>28</v>
      </c>
      <c r="J8960">
        <v>653.06500000000005</v>
      </c>
      <c r="K8960">
        <v>7.0000000000000007E-2</v>
      </c>
      <c r="L8960">
        <v>0.59</v>
      </c>
      <c r="M8960">
        <v>5.4950000000000001</v>
      </c>
      <c r="N8960">
        <v>-125.125</v>
      </c>
      <c r="O8960" s="1" t="s">
        <v>40</v>
      </c>
      <c r="P8960" s="1" t="s">
        <v>78</v>
      </c>
      <c r="Q8960" s="1" t="s">
        <v>79</v>
      </c>
      <c r="R8960" s="1" t="s">
        <v>43</v>
      </c>
      <c r="S8960" s="1" t="s">
        <v>80</v>
      </c>
      <c r="T8960" s="1" t="s">
        <v>81</v>
      </c>
      <c r="U8960" s="2" t="s">
        <v>2439</v>
      </c>
      <c r="V8960" s="2" t="s">
        <v>47</v>
      </c>
      <c r="W8960" s="2" t="s">
        <v>104</v>
      </c>
      <c r="X8960" s="2">
        <v>5.88</v>
      </c>
    </row>
    <row r="8961" spans="1:24" x14ac:dyDescent="0.3">
      <c r="A8961">
        <v>5224</v>
      </c>
      <c r="B8961" t="s">
        <v>16174</v>
      </c>
      <c r="C8961" s="3">
        <v>41702</v>
      </c>
      <c r="D8961" t="s">
        <v>62</v>
      </c>
      <c r="E8961">
        <v>24</v>
      </c>
      <c r="F8961" s="3">
        <f ca="1">41703+(RANDBETWEEN(1,10))</f>
        <v>41709</v>
      </c>
      <c r="G8961" t="s">
        <v>156</v>
      </c>
      <c r="H8961" t="s">
        <v>27</v>
      </c>
      <c r="I8961" t="s">
        <v>97</v>
      </c>
      <c r="J8961">
        <v>462.07</v>
      </c>
      <c r="K8961">
        <v>0.04</v>
      </c>
      <c r="L8961">
        <v>0.38</v>
      </c>
      <c r="M8961">
        <v>29.155000000000001</v>
      </c>
      <c r="N8961">
        <v>-431.48</v>
      </c>
      <c r="O8961" s="1" t="s">
        <v>64</v>
      </c>
      <c r="P8961" s="1" t="s">
        <v>15875</v>
      </c>
      <c r="Q8961" s="1" t="s">
        <v>15876</v>
      </c>
      <c r="R8961" s="1" t="s">
        <v>128</v>
      </c>
      <c r="S8961" s="1" t="s">
        <v>129</v>
      </c>
      <c r="T8961" s="1" t="s">
        <v>278</v>
      </c>
      <c r="U8961" s="2" t="s">
        <v>867</v>
      </c>
      <c r="V8961" s="2" t="s">
        <v>47</v>
      </c>
      <c r="W8961" s="2" t="s">
        <v>74</v>
      </c>
      <c r="X8961" s="2">
        <v>17.43</v>
      </c>
    </row>
    <row r="8962" spans="1:24" x14ac:dyDescent="0.3">
      <c r="A8962">
        <v>5225</v>
      </c>
      <c r="B8962" t="s">
        <v>16175</v>
      </c>
      <c r="C8962" s="3">
        <v>41243</v>
      </c>
      <c r="D8962" t="s">
        <v>39</v>
      </c>
      <c r="E8962">
        <v>82</v>
      </c>
      <c r="F8962" s="3">
        <f ca="1">41244+(RANDBETWEEN(1,10))</f>
        <v>41248</v>
      </c>
      <c r="G8962" t="s">
        <v>26</v>
      </c>
      <c r="H8962" t="s">
        <v>27</v>
      </c>
      <c r="I8962" t="s">
        <v>97</v>
      </c>
      <c r="J8962">
        <v>6305.04</v>
      </c>
      <c r="K8962">
        <v>0.01</v>
      </c>
      <c r="L8962">
        <v>0.37</v>
      </c>
      <c r="M8962">
        <v>30.905000000000001</v>
      </c>
      <c r="N8962">
        <v>259.03325000000001</v>
      </c>
      <c r="O8962" s="1" t="s">
        <v>40</v>
      </c>
      <c r="P8962" s="1" t="s">
        <v>16158</v>
      </c>
      <c r="Q8962" s="1" t="s">
        <v>16159</v>
      </c>
      <c r="R8962" s="1" t="s">
        <v>43</v>
      </c>
      <c r="S8962" s="1" t="s">
        <v>44</v>
      </c>
      <c r="T8962" s="1" t="s">
        <v>16160</v>
      </c>
      <c r="U8962" s="2" t="s">
        <v>7151</v>
      </c>
      <c r="V8962" s="2" t="s">
        <v>47</v>
      </c>
      <c r="W8962" s="2" t="s">
        <v>111</v>
      </c>
      <c r="X8962" s="2">
        <v>73.430000000000007</v>
      </c>
    </row>
    <row r="8963" spans="1:24" x14ac:dyDescent="0.3">
      <c r="A8963">
        <v>5231</v>
      </c>
      <c r="B8963" t="s">
        <v>16176</v>
      </c>
      <c r="C8963" s="3">
        <v>40922</v>
      </c>
      <c r="D8963" t="s">
        <v>39</v>
      </c>
      <c r="E8963">
        <v>13</v>
      </c>
      <c r="F8963" s="3">
        <f ca="1">40923+(RANDBETWEEN(1,10))</f>
        <v>40931</v>
      </c>
      <c r="G8963" t="s">
        <v>26</v>
      </c>
      <c r="H8963" t="s">
        <v>27</v>
      </c>
      <c r="I8963" t="s">
        <v>28</v>
      </c>
      <c r="J8963">
        <v>1657.11</v>
      </c>
      <c r="K8963">
        <v>0.03</v>
      </c>
      <c r="L8963">
        <v>0.4</v>
      </c>
      <c r="M8963">
        <v>23.31</v>
      </c>
      <c r="N8963">
        <v>179.35400000000001</v>
      </c>
      <c r="O8963" s="1" t="s">
        <v>64</v>
      </c>
      <c r="P8963" s="1" t="s">
        <v>214</v>
      </c>
      <c r="Q8963" s="1" t="s">
        <v>215</v>
      </c>
      <c r="R8963" s="1" t="s">
        <v>67</v>
      </c>
      <c r="S8963" s="1" t="s">
        <v>68</v>
      </c>
      <c r="T8963" s="1" t="s">
        <v>69</v>
      </c>
      <c r="U8963" s="2" t="s">
        <v>6760</v>
      </c>
      <c r="V8963" s="2" t="s">
        <v>47</v>
      </c>
      <c r="W8963" s="2" t="s">
        <v>48</v>
      </c>
      <c r="X8963" s="2">
        <v>125.79</v>
      </c>
    </row>
    <row r="8964" spans="1:24" x14ac:dyDescent="0.3">
      <c r="A8964">
        <v>5232</v>
      </c>
      <c r="B8964" t="s">
        <v>16177</v>
      </c>
      <c r="C8964" s="3">
        <v>41597</v>
      </c>
      <c r="D8964" t="s">
        <v>25</v>
      </c>
      <c r="E8964">
        <v>71</v>
      </c>
      <c r="F8964" s="3">
        <f ca="1">41599+(RANDBETWEEN(1,10))</f>
        <v>41606</v>
      </c>
      <c r="G8964" t="s">
        <v>26</v>
      </c>
      <c r="H8964" t="s">
        <v>27</v>
      </c>
      <c r="I8964" t="s">
        <v>28</v>
      </c>
      <c r="J8964">
        <v>17791.305</v>
      </c>
      <c r="K8964">
        <v>0.03</v>
      </c>
      <c r="L8964">
        <v>0.59</v>
      </c>
      <c r="M8964">
        <v>12.25</v>
      </c>
      <c r="N8964">
        <v>1430.5550000000001</v>
      </c>
      <c r="O8964" s="1" t="s">
        <v>64</v>
      </c>
      <c r="P8964" s="1" t="s">
        <v>7301</v>
      </c>
      <c r="Q8964" s="1" t="s">
        <v>7302</v>
      </c>
      <c r="R8964" s="1" t="s">
        <v>128</v>
      </c>
      <c r="S8964" s="1" t="s">
        <v>129</v>
      </c>
      <c r="T8964" s="1" t="s">
        <v>7303</v>
      </c>
      <c r="U8964" s="2" t="s">
        <v>989</v>
      </c>
      <c r="V8964" s="2" t="s">
        <v>47</v>
      </c>
      <c r="W8964" s="2" t="s">
        <v>71</v>
      </c>
      <c r="X8964" s="2">
        <v>248.39500000000001</v>
      </c>
    </row>
    <row r="8965" spans="1:24" x14ac:dyDescent="0.3">
      <c r="A8965">
        <v>5233</v>
      </c>
      <c r="B8965" t="s">
        <v>16177</v>
      </c>
      <c r="C8965" s="3">
        <v>41597</v>
      </c>
      <c r="D8965" t="s">
        <v>25</v>
      </c>
      <c r="E8965">
        <v>3</v>
      </c>
      <c r="F8965" s="3">
        <f ca="1">41601+(RANDBETWEEN(1,10))</f>
        <v>41602</v>
      </c>
      <c r="G8965" t="s">
        <v>26</v>
      </c>
      <c r="H8965" t="s">
        <v>51</v>
      </c>
      <c r="I8965" t="s">
        <v>28</v>
      </c>
      <c r="J8965">
        <v>111.51</v>
      </c>
      <c r="K8965">
        <v>0.02</v>
      </c>
      <c r="L8965">
        <v>0.74</v>
      </c>
      <c r="M8965">
        <v>8.33</v>
      </c>
      <c r="N8965">
        <v>-109.2</v>
      </c>
      <c r="O8965" s="1" t="s">
        <v>64</v>
      </c>
      <c r="P8965" s="1" t="s">
        <v>7301</v>
      </c>
      <c r="Q8965" s="1" t="s">
        <v>7302</v>
      </c>
      <c r="R8965" s="1" t="s">
        <v>128</v>
      </c>
      <c r="S8965" s="1" t="s">
        <v>129</v>
      </c>
      <c r="T8965" s="1" t="s">
        <v>7303</v>
      </c>
      <c r="U8965" s="2" t="s">
        <v>152</v>
      </c>
      <c r="V8965" s="2" t="s">
        <v>36</v>
      </c>
      <c r="W8965" s="2" t="s">
        <v>60</v>
      </c>
      <c r="X8965" s="2">
        <v>29.12</v>
      </c>
    </row>
    <row r="8966" spans="1:24" x14ac:dyDescent="0.3">
      <c r="A8966">
        <v>5234</v>
      </c>
      <c r="B8966" t="s">
        <v>16177</v>
      </c>
      <c r="C8966" s="3">
        <v>41597</v>
      </c>
      <c r="D8966" t="s">
        <v>25</v>
      </c>
      <c r="E8966">
        <v>170</v>
      </c>
      <c r="F8966" s="3">
        <f ca="1">41599+(RANDBETWEEN(1,10))</f>
        <v>41609</v>
      </c>
      <c r="G8966" t="s">
        <v>26</v>
      </c>
      <c r="H8966" t="s">
        <v>27</v>
      </c>
      <c r="I8966" t="s">
        <v>28</v>
      </c>
      <c r="J8966">
        <v>27810.65</v>
      </c>
      <c r="K8966">
        <v>0.1</v>
      </c>
      <c r="L8966">
        <v>0.45</v>
      </c>
      <c r="M8966">
        <v>69.965000000000003</v>
      </c>
      <c r="N8966">
        <v>-130.16499999999999</v>
      </c>
      <c r="O8966" s="1" t="s">
        <v>64</v>
      </c>
      <c r="P8966" s="1" t="s">
        <v>7301</v>
      </c>
      <c r="Q8966" s="1" t="s">
        <v>7302</v>
      </c>
      <c r="R8966" s="1" t="s">
        <v>128</v>
      </c>
      <c r="S8966" s="1" t="s">
        <v>129</v>
      </c>
      <c r="T8966" s="1" t="s">
        <v>7303</v>
      </c>
      <c r="U8966" s="2" t="s">
        <v>72</v>
      </c>
      <c r="V8966" s="2" t="s">
        <v>36</v>
      </c>
      <c r="W8966" s="2" t="s">
        <v>60</v>
      </c>
      <c r="X8966" s="2">
        <v>174.965</v>
      </c>
    </row>
    <row r="8967" spans="1:24" x14ac:dyDescent="0.3">
      <c r="A8967">
        <v>5235</v>
      </c>
      <c r="B8967" t="s">
        <v>16177</v>
      </c>
      <c r="C8967" s="3">
        <v>41597</v>
      </c>
      <c r="D8967" t="s">
        <v>25</v>
      </c>
      <c r="E8967">
        <v>116</v>
      </c>
      <c r="F8967" s="3">
        <f ca="1">41602+(RANDBETWEEN(1,10))</f>
        <v>41610</v>
      </c>
      <c r="G8967" t="s">
        <v>76</v>
      </c>
      <c r="H8967" t="s">
        <v>258</v>
      </c>
      <c r="I8967" t="s">
        <v>28</v>
      </c>
      <c r="J8967">
        <v>350417.06</v>
      </c>
      <c r="K8967">
        <v>0.03</v>
      </c>
      <c r="L8967">
        <v>0.62</v>
      </c>
      <c r="M8967">
        <v>155.92500000000001</v>
      </c>
      <c r="N8967">
        <v>26241.424999999999</v>
      </c>
      <c r="O8967" s="1" t="s">
        <v>64</v>
      </c>
      <c r="P8967" s="1" t="s">
        <v>7301</v>
      </c>
      <c r="Q8967" s="1" t="s">
        <v>7302</v>
      </c>
      <c r="R8967" s="1" t="s">
        <v>128</v>
      </c>
      <c r="S8967" s="1" t="s">
        <v>129</v>
      </c>
      <c r="T8967" s="1" t="s">
        <v>7303</v>
      </c>
      <c r="U8967" s="2" t="s">
        <v>1930</v>
      </c>
      <c r="V8967" s="2" t="s">
        <v>83</v>
      </c>
      <c r="W8967" s="2" t="s">
        <v>298</v>
      </c>
      <c r="X8967" s="2">
        <v>3083.43</v>
      </c>
    </row>
    <row r="8968" spans="1:24" x14ac:dyDescent="0.3">
      <c r="A8968">
        <v>5247</v>
      </c>
      <c r="B8968" t="s">
        <v>16178</v>
      </c>
      <c r="C8968" s="3">
        <v>41014</v>
      </c>
      <c r="D8968" t="s">
        <v>148</v>
      </c>
      <c r="E8968">
        <v>32</v>
      </c>
      <c r="F8968" s="3">
        <f ca="1">41016+(RANDBETWEEN(1,10))</f>
        <v>41018</v>
      </c>
      <c r="G8968" t="s">
        <v>26</v>
      </c>
      <c r="H8968" t="s">
        <v>27</v>
      </c>
      <c r="I8968" t="s">
        <v>52</v>
      </c>
      <c r="J8968">
        <v>3609.3049999999998</v>
      </c>
      <c r="K8968">
        <v>7.0000000000000007E-2</v>
      </c>
      <c r="L8968">
        <v>0.55000000000000004</v>
      </c>
      <c r="M8968">
        <v>69.965000000000003</v>
      </c>
      <c r="N8968">
        <v>-484.89</v>
      </c>
      <c r="O8968" s="1" t="s">
        <v>64</v>
      </c>
      <c r="P8968" s="1" t="s">
        <v>10969</v>
      </c>
      <c r="Q8968" s="1" t="s">
        <v>10970</v>
      </c>
      <c r="R8968" s="1" t="s">
        <v>128</v>
      </c>
      <c r="S8968" s="1" t="s">
        <v>129</v>
      </c>
      <c r="T8968" s="1" t="s">
        <v>10971</v>
      </c>
      <c r="U8968" s="2" t="s">
        <v>3861</v>
      </c>
      <c r="V8968" s="2" t="s">
        <v>83</v>
      </c>
      <c r="W8968" s="2" t="s">
        <v>178</v>
      </c>
      <c r="X8968" s="2">
        <v>118.93</v>
      </c>
    </row>
    <row r="8969" spans="1:24" x14ac:dyDescent="0.3">
      <c r="A8969">
        <v>5252</v>
      </c>
      <c r="B8969" t="s">
        <v>16179</v>
      </c>
      <c r="C8969" s="3">
        <v>41365</v>
      </c>
      <c r="D8969" t="s">
        <v>62</v>
      </c>
      <c r="E8969">
        <v>32</v>
      </c>
      <c r="F8969" s="3">
        <f ca="1">41366+(RANDBETWEEN(1,10))</f>
        <v>41372</v>
      </c>
      <c r="G8969" t="s">
        <v>26</v>
      </c>
      <c r="H8969" t="s">
        <v>281</v>
      </c>
      <c r="I8969" t="s">
        <v>97</v>
      </c>
      <c r="J8969">
        <v>2847.81</v>
      </c>
      <c r="K8969">
        <v>0.08</v>
      </c>
      <c r="L8969" t="s">
        <v>182</v>
      </c>
      <c r="M8969">
        <v>18.55</v>
      </c>
      <c r="N8969">
        <v>315.14</v>
      </c>
      <c r="O8969" s="1" t="s">
        <v>64</v>
      </c>
      <c r="P8969" s="1" t="s">
        <v>8714</v>
      </c>
      <c r="Q8969" s="1" t="s">
        <v>8715</v>
      </c>
      <c r="R8969" s="1" t="s">
        <v>128</v>
      </c>
      <c r="S8969" s="1" t="s">
        <v>129</v>
      </c>
      <c r="T8969" s="1" t="s">
        <v>8716</v>
      </c>
      <c r="U8969" s="2" t="s">
        <v>9528</v>
      </c>
      <c r="V8969" s="2" t="s">
        <v>83</v>
      </c>
      <c r="W8969" s="2" t="s">
        <v>84</v>
      </c>
      <c r="X8969" s="2">
        <v>93.24</v>
      </c>
    </row>
    <row r="8970" spans="1:24" x14ac:dyDescent="0.3">
      <c r="A8970">
        <v>5253</v>
      </c>
      <c r="B8970" t="s">
        <v>16179</v>
      </c>
      <c r="C8970" s="3">
        <v>41365</v>
      </c>
      <c r="D8970" t="s">
        <v>62</v>
      </c>
      <c r="E8970">
        <v>53</v>
      </c>
      <c r="F8970" s="3">
        <f ca="1">41366+(RANDBETWEEN(1,10))</f>
        <v>41368</v>
      </c>
      <c r="G8970" t="s">
        <v>26</v>
      </c>
      <c r="H8970" t="s">
        <v>27</v>
      </c>
      <c r="I8970" t="s">
        <v>97</v>
      </c>
      <c r="J8970">
        <v>2001.7550000000001</v>
      </c>
      <c r="K8970">
        <v>0</v>
      </c>
      <c r="L8970">
        <v>0.4</v>
      </c>
      <c r="M8970">
        <v>16.73</v>
      </c>
      <c r="N8970">
        <v>261.55500000000001</v>
      </c>
      <c r="O8970" s="1" t="s">
        <v>64</v>
      </c>
      <c r="P8970" s="1" t="s">
        <v>8714</v>
      </c>
      <c r="Q8970" s="1" t="s">
        <v>8715</v>
      </c>
      <c r="R8970" s="1" t="s">
        <v>128</v>
      </c>
      <c r="S8970" s="1" t="s">
        <v>129</v>
      </c>
      <c r="T8970" s="1" t="s">
        <v>8716</v>
      </c>
      <c r="U8970" s="2" t="s">
        <v>9387</v>
      </c>
      <c r="V8970" s="2" t="s">
        <v>47</v>
      </c>
      <c r="W8970" s="2" t="s">
        <v>74</v>
      </c>
      <c r="X8970" s="2">
        <v>34.965000000000003</v>
      </c>
    </row>
    <row r="8971" spans="1:24" x14ac:dyDescent="0.3">
      <c r="A8971">
        <v>5254</v>
      </c>
      <c r="B8971" t="s">
        <v>16179</v>
      </c>
      <c r="C8971" s="3">
        <v>41365</v>
      </c>
      <c r="D8971" t="s">
        <v>62</v>
      </c>
      <c r="E8971">
        <v>47</v>
      </c>
      <c r="F8971" s="3">
        <f ca="1">41366+(RANDBETWEEN(1,10))</f>
        <v>41369</v>
      </c>
      <c r="G8971" t="s">
        <v>26</v>
      </c>
      <c r="H8971" t="s">
        <v>96</v>
      </c>
      <c r="I8971" t="s">
        <v>97</v>
      </c>
      <c r="J8971">
        <v>592.16499999999996</v>
      </c>
      <c r="K8971">
        <v>7.0000000000000007E-2</v>
      </c>
      <c r="L8971">
        <v>0.38</v>
      </c>
      <c r="M8971">
        <v>5.0049999999999999</v>
      </c>
      <c r="N8971">
        <v>95.795000000000002</v>
      </c>
      <c r="O8971" s="1" t="s">
        <v>64</v>
      </c>
      <c r="P8971" s="1" t="s">
        <v>8714</v>
      </c>
      <c r="Q8971" s="1" t="s">
        <v>8715</v>
      </c>
      <c r="R8971" s="1" t="s">
        <v>128</v>
      </c>
      <c r="S8971" s="1" t="s">
        <v>129</v>
      </c>
      <c r="T8971" s="1" t="s">
        <v>8716</v>
      </c>
      <c r="U8971" s="2" t="s">
        <v>11577</v>
      </c>
      <c r="V8971" s="2" t="s">
        <v>47</v>
      </c>
      <c r="W8971" s="2" t="s">
        <v>176</v>
      </c>
      <c r="X8971" s="2">
        <v>12.425000000000001</v>
      </c>
    </row>
    <row r="8972" spans="1:24" x14ac:dyDescent="0.3">
      <c r="A8972">
        <v>5257</v>
      </c>
      <c r="B8972" t="s">
        <v>16180</v>
      </c>
      <c r="C8972" s="3">
        <v>41526</v>
      </c>
      <c r="D8972" t="s">
        <v>25</v>
      </c>
      <c r="E8972">
        <v>76</v>
      </c>
      <c r="F8972" s="3">
        <f ca="1">41528+(RANDBETWEEN(1,10))</f>
        <v>41535</v>
      </c>
      <c r="G8972" t="s">
        <v>76</v>
      </c>
      <c r="H8972" t="s">
        <v>258</v>
      </c>
      <c r="I8972" t="s">
        <v>97</v>
      </c>
      <c r="J8972">
        <v>140479.255</v>
      </c>
      <c r="K8972">
        <v>0.09</v>
      </c>
      <c r="L8972">
        <v>0.66</v>
      </c>
      <c r="M8972">
        <v>226.065</v>
      </c>
      <c r="N8972">
        <v>-6198.3809195000003</v>
      </c>
      <c r="O8972" s="1" t="s">
        <v>64</v>
      </c>
      <c r="P8972" s="1" t="s">
        <v>314</v>
      </c>
      <c r="Q8972" s="1" t="s">
        <v>315</v>
      </c>
      <c r="R8972" s="1" t="s">
        <v>67</v>
      </c>
      <c r="S8972" s="1" t="s">
        <v>254</v>
      </c>
      <c r="T8972" s="1" t="s">
        <v>316</v>
      </c>
      <c r="U8972" s="2" t="s">
        <v>5148</v>
      </c>
      <c r="V8972" s="2" t="s">
        <v>83</v>
      </c>
      <c r="W8972" s="2" t="s">
        <v>263</v>
      </c>
      <c r="X8972" s="2">
        <v>1928.43</v>
      </c>
    </row>
    <row r="8973" spans="1:24" x14ac:dyDescent="0.3">
      <c r="A8973">
        <v>5272</v>
      </c>
      <c r="B8973" t="s">
        <v>16181</v>
      </c>
      <c r="C8973" s="3">
        <v>40545</v>
      </c>
      <c r="D8973" t="s">
        <v>25</v>
      </c>
      <c r="E8973">
        <v>4</v>
      </c>
      <c r="F8973" s="3">
        <f ca="1">40545+(RANDBETWEEN(1,10))</f>
        <v>40554</v>
      </c>
      <c r="G8973" t="s">
        <v>76</v>
      </c>
      <c r="H8973" t="s">
        <v>77</v>
      </c>
      <c r="I8973" t="s">
        <v>28</v>
      </c>
      <c r="J8973">
        <v>4336.71</v>
      </c>
      <c r="K8973">
        <v>0</v>
      </c>
      <c r="L8973">
        <v>0.56000000000000005</v>
      </c>
      <c r="M8973">
        <v>170.8</v>
      </c>
      <c r="N8973">
        <v>-1081.248</v>
      </c>
      <c r="O8973" s="1" t="s">
        <v>40</v>
      </c>
      <c r="P8973" s="1" t="s">
        <v>15969</v>
      </c>
      <c r="Q8973" s="1" t="s">
        <v>15970</v>
      </c>
      <c r="R8973" s="1" t="s">
        <v>43</v>
      </c>
      <c r="S8973" s="1" t="s">
        <v>44</v>
      </c>
      <c r="T8973" s="1" t="s">
        <v>15971</v>
      </c>
      <c r="U8973" s="2" t="s">
        <v>2173</v>
      </c>
      <c r="V8973" s="2" t="s">
        <v>83</v>
      </c>
      <c r="W8973" s="2" t="s">
        <v>84</v>
      </c>
      <c r="X8973" s="2">
        <v>1021.0549999999999</v>
      </c>
    </row>
    <row r="8974" spans="1:24" x14ac:dyDescent="0.3">
      <c r="A8974">
        <v>5273</v>
      </c>
      <c r="B8974" t="s">
        <v>16181</v>
      </c>
      <c r="C8974" s="3">
        <v>40545</v>
      </c>
      <c r="D8974" t="s">
        <v>25</v>
      </c>
      <c r="E8974">
        <v>43</v>
      </c>
      <c r="F8974" s="3">
        <f ca="1">40547+(RANDBETWEEN(1,10))</f>
        <v>40550</v>
      </c>
      <c r="G8974" t="s">
        <v>76</v>
      </c>
      <c r="H8974" t="s">
        <v>77</v>
      </c>
      <c r="I8974" t="s">
        <v>28</v>
      </c>
      <c r="J8974">
        <v>14291.165000000001</v>
      </c>
      <c r="K8974">
        <v>7.0000000000000007E-2</v>
      </c>
      <c r="L8974">
        <v>0.69</v>
      </c>
      <c r="M8974">
        <v>157.5</v>
      </c>
      <c r="N8974">
        <v>-5879.16</v>
      </c>
      <c r="O8974" s="1" t="s">
        <v>40</v>
      </c>
      <c r="P8974" s="1" t="s">
        <v>15969</v>
      </c>
      <c r="Q8974" s="1" t="s">
        <v>15970</v>
      </c>
      <c r="R8974" s="1" t="s">
        <v>43</v>
      </c>
      <c r="S8974" s="1" t="s">
        <v>44</v>
      </c>
      <c r="T8974" s="1" t="s">
        <v>15971</v>
      </c>
      <c r="U8974" s="2" t="s">
        <v>11353</v>
      </c>
      <c r="V8974" s="2" t="s">
        <v>83</v>
      </c>
      <c r="W8974" s="2" t="s">
        <v>84</v>
      </c>
      <c r="X8974" s="2">
        <v>353.43</v>
      </c>
    </row>
    <row r="8975" spans="1:24" x14ac:dyDescent="0.3">
      <c r="A8975">
        <v>5274</v>
      </c>
      <c r="B8975" t="s">
        <v>16181</v>
      </c>
      <c r="C8975" s="3">
        <v>40545</v>
      </c>
      <c r="D8975" t="s">
        <v>25</v>
      </c>
      <c r="E8975">
        <v>32</v>
      </c>
      <c r="F8975" s="3">
        <f ca="1">40552+(RANDBETWEEN(1,10))</f>
        <v>40555</v>
      </c>
      <c r="G8975" t="s">
        <v>26</v>
      </c>
      <c r="H8975" t="s">
        <v>27</v>
      </c>
      <c r="I8975" t="s">
        <v>28</v>
      </c>
      <c r="J8975">
        <v>17158.330000000002</v>
      </c>
      <c r="K8975">
        <v>0.05</v>
      </c>
      <c r="L8975">
        <v>0.59</v>
      </c>
      <c r="M8975">
        <v>24.745000000000001</v>
      </c>
      <c r="N8975">
        <v>2013.886</v>
      </c>
      <c r="O8975" s="1" t="s">
        <v>40</v>
      </c>
      <c r="P8975" s="1" t="s">
        <v>15969</v>
      </c>
      <c r="Q8975" s="1" t="s">
        <v>15970</v>
      </c>
      <c r="R8975" s="1" t="s">
        <v>43</v>
      </c>
      <c r="S8975" s="1" t="s">
        <v>44</v>
      </c>
      <c r="T8975" s="1" t="s">
        <v>15971</v>
      </c>
      <c r="U8975" s="2" t="s">
        <v>3378</v>
      </c>
      <c r="V8975" s="2" t="s">
        <v>47</v>
      </c>
      <c r="W8975" s="2" t="s">
        <v>119</v>
      </c>
      <c r="X8975" s="2">
        <v>542.71</v>
      </c>
    </row>
    <row r="8976" spans="1:24" x14ac:dyDescent="0.3">
      <c r="A8976">
        <v>5283</v>
      </c>
      <c r="B8976" t="s">
        <v>16182</v>
      </c>
      <c r="C8976" s="3">
        <v>40961</v>
      </c>
      <c r="D8976" t="s">
        <v>62</v>
      </c>
      <c r="E8976">
        <v>1</v>
      </c>
      <c r="F8976" s="3">
        <f ca="1">40962+(RANDBETWEEN(1,10))</f>
        <v>40964</v>
      </c>
      <c r="G8976" t="s">
        <v>156</v>
      </c>
      <c r="H8976" t="s">
        <v>27</v>
      </c>
      <c r="I8976" t="s">
        <v>52</v>
      </c>
      <c r="J8976">
        <v>69.86</v>
      </c>
      <c r="K8976">
        <v>0.05</v>
      </c>
      <c r="L8976">
        <v>0.38</v>
      </c>
      <c r="M8976">
        <v>17.010000000000002</v>
      </c>
      <c r="N8976">
        <v>11.375</v>
      </c>
      <c r="O8976" s="1" t="s">
        <v>40</v>
      </c>
      <c r="P8976" s="1" t="s">
        <v>303</v>
      </c>
      <c r="Q8976" s="1" t="s">
        <v>304</v>
      </c>
      <c r="R8976" s="1" t="s">
        <v>43</v>
      </c>
      <c r="S8976" s="1" t="s">
        <v>44</v>
      </c>
      <c r="T8976" s="1" t="s">
        <v>305</v>
      </c>
      <c r="U8976" s="2" t="s">
        <v>727</v>
      </c>
      <c r="V8976" s="2" t="s">
        <v>47</v>
      </c>
      <c r="W8976" s="2" t="s">
        <v>74</v>
      </c>
      <c r="X8976" s="2">
        <v>17.43</v>
      </c>
    </row>
    <row r="8977" spans="1:24" x14ac:dyDescent="0.3">
      <c r="A8977">
        <v>5284</v>
      </c>
      <c r="B8977" t="s">
        <v>16182</v>
      </c>
      <c r="C8977" s="3">
        <v>40961</v>
      </c>
      <c r="D8977" t="s">
        <v>62</v>
      </c>
      <c r="E8977">
        <v>41</v>
      </c>
      <c r="F8977" s="3">
        <f ca="1">40963+(RANDBETWEEN(1,10))</f>
        <v>40967</v>
      </c>
      <c r="G8977" t="s">
        <v>26</v>
      </c>
      <c r="H8977" t="s">
        <v>51</v>
      </c>
      <c r="I8977" t="s">
        <v>52</v>
      </c>
      <c r="J8977">
        <v>521.46500000000003</v>
      </c>
      <c r="K8977">
        <v>0.03</v>
      </c>
      <c r="L8977">
        <v>0.59</v>
      </c>
      <c r="M8977">
        <v>14.595000000000001</v>
      </c>
      <c r="N8977">
        <v>-404.18</v>
      </c>
      <c r="O8977" s="1" t="s">
        <v>40</v>
      </c>
      <c r="P8977" s="1" t="s">
        <v>303</v>
      </c>
      <c r="Q8977" s="1" t="s">
        <v>304</v>
      </c>
      <c r="R8977" s="1" t="s">
        <v>43</v>
      </c>
      <c r="S8977" s="1" t="s">
        <v>44</v>
      </c>
      <c r="T8977" s="1" t="s">
        <v>305</v>
      </c>
      <c r="U8977" s="2" t="s">
        <v>1747</v>
      </c>
      <c r="V8977" s="2" t="s">
        <v>47</v>
      </c>
      <c r="W8977" s="2" t="s">
        <v>104</v>
      </c>
      <c r="X8977" s="2">
        <v>12.494999999999999</v>
      </c>
    </row>
    <row r="8978" spans="1:24" x14ac:dyDescent="0.3">
      <c r="A8978">
        <v>5285</v>
      </c>
      <c r="B8978" t="s">
        <v>16182</v>
      </c>
      <c r="C8978" s="3">
        <v>40961</v>
      </c>
      <c r="D8978" t="s">
        <v>62</v>
      </c>
      <c r="E8978">
        <v>21</v>
      </c>
      <c r="F8978" s="3">
        <f ca="1">40963+(RANDBETWEEN(1,10))</f>
        <v>40972</v>
      </c>
      <c r="G8978" t="s">
        <v>26</v>
      </c>
      <c r="H8978" t="s">
        <v>96</v>
      </c>
      <c r="I8978" t="s">
        <v>52</v>
      </c>
      <c r="J8978">
        <v>247.31</v>
      </c>
      <c r="K8978">
        <v>0.06</v>
      </c>
      <c r="L8978">
        <v>0.56000000000000005</v>
      </c>
      <c r="M8978">
        <v>13.895</v>
      </c>
      <c r="N8978">
        <v>-202.44</v>
      </c>
      <c r="O8978" s="1" t="s">
        <v>40</v>
      </c>
      <c r="P8978" s="1" t="s">
        <v>303</v>
      </c>
      <c r="Q8978" s="1" t="s">
        <v>304</v>
      </c>
      <c r="R8978" s="1" t="s">
        <v>43</v>
      </c>
      <c r="S8978" s="1" t="s">
        <v>44</v>
      </c>
      <c r="T8978" s="1" t="s">
        <v>305</v>
      </c>
      <c r="U8978" s="2" t="s">
        <v>5622</v>
      </c>
      <c r="V8978" s="2" t="s">
        <v>47</v>
      </c>
      <c r="W8978" s="2" t="s">
        <v>104</v>
      </c>
      <c r="X8978" s="2">
        <v>11.48</v>
      </c>
    </row>
    <row r="8979" spans="1:24" x14ac:dyDescent="0.3">
      <c r="A8979">
        <v>5295</v>
      </c>
      <c r="B8979" t="s">
        <v>16183</v>
      </c>
      <c r="C8979" s="3">
        <v>41981</v>
      </c>
      <c r="D8979" t="s">
        <v>62</v>
      </c>
      <c r="E8979">
        <v>54</v>
      </c>
      <c r="F8979" s="3">
        <f ca="1">41984+(RANDBETWEEN(1,10))</f>
        <v>41992</v>
      </c>
      <c r="G8979" t="s">
        <v>156</v>
      </c>
      <c r="H8979" t="s">
        <v>27</v>
      </c>
      <c r="I8979" t="s">
        <v>28</v>
      </c>
      <c r="J8979">
        <v>23733.57</v>
      </c>
      <c r="K8979">
        <v>0.05</v>
      </c>
      <c r="L8979">
        <v>0.37</v>
      </c>
      <c r="M8979">
        <v>69.965000000000003</v>
      </c>
      <c r="N8979">
        <v>4093.98675</v>
      </c>
      <c r="O8979" s="1" t="s">
        <v>64</v>
      </c>
      <c r="P8979" s="1" t="s">
        <v>16006</v>
      </c>
      <c r="Q8979" s="1" t="s">
        <v>16007</v>
      </c>
      <c r="R8979" s="1" t="s">
        <v>128</v>
      </c>
      <c r="S8979" s="1" t="s">
        <v>129</v>
      </c>
      <c r="T8979" s="1" t="s">
        <v>16008</v>
      </c>
      <c r="U8979" s="2" t="s">
        <v>274</v>
      </c>
      <c r="V8979" s="2" t="s">
        <v>47</v>
      </c>
      <c r="W8979" s="2" t="s">
        <v>111</v>
      </c>
      <c r="X8979" s="2">
        <v>430.46499999999997</v>
      </c>
    </row>
    <row r="8980" spans="1:24" x14ac:dyDescent="0.3">
      <c r="A8980">
        <v>5297</v>
      </c>
      <c r="B8980" t="s">
        <v>16184</v>
      </c>
      <c r="C8980" s="3">
        <v>40558</v>
      </c>
      <c r="D8980" t="s">
        <v>50</v>
      </c>
      <c r="E8980">
        <v>48</v>
      </c>
      <c r="F8980" s="3">
        <f ca="1">40558+(RANDBETWEEN(1,10))</f>
        <v>40568</v>
      </c>
      <c r="G8980" t="s">
        <v>26</v>
      </c>
      <c r="H8980" t="s">
        <v>27</v>
      </c>
      <c r="I8980" t="s">
        <v>28</v>
      </c>
      <c r="J8980">
        <v>1567.615</v>
      </c>
      <c r="K8980">
        <v>0</v>
      </c>
      <c r="L8980">
        <v>0.38</v>
      </c>
      <c r="M8980">
        <v>21.664999999999999</v>
      </c>
      <c r="N8980">
        <v>-149.98759999999999</v>
      </c>
      <c r="O8980" s="1" t="s">
        <v>40</v>
      </c>
      <c r="P8980" s="1" t="s">
        <v>355</v>
      </c>
      <c r="Q8980" s="1" t="s">
        <v>356</v>
      </c>
      <c r="R8980" s="1" t="s">
        <v>220</v>
      </c>
      <c r="S8980" s="1" t="s">
        <v>221</v>
      </c>
      <c r="T8980" s="1" t="s">
        <v>357</v>
      </c>
      <c r="U8980" s="2" t="s">
        <v>1202</v>
      </c>
      <c r="V8980" s="2" t="s">
        <v>47</v>
      </c>
      <c r="W8980" s="2" t="s">
        <v>111</v>
      </c>
      <c r="X8980" s="2">
        <v>30.1</v>
      </c>
    </row>
    <row r="8981" spans="1:24" x14ac:dyDescent="0.3">
      <c r="A8981">
        <v>53</v>
      </c>
      <c r="B8981" t="s">
        <v>16170</v>
      </c>
      <c r="C8981" s="3">
        <v>41716</v>
      </c>
      <c r="D8981" t="s">
        <v>62</v>
      </c>
      <c r="E8981">
        <v>46</v>
      </c>
      <c r="F8981" s="3">
        <f ca="1">41718+(RANDBETWEEN(1,10))</f>
        <v>41724</v>
      </c>
      <c r="G8981" t="s">
        <v>26</v>
      </c>
      <c r="H8981" t="s">
        <v>27</v>
      </c>
      <c r="I8981" t="s">
        <v>28</v>
      </c>
      <c r="J8981">
        <v>983.5</v>
      </c>
      <c r="K8981">
        <v>0.1</v>
      </c>
      <c r="L8981">
        <v>0.37</v>
      </c>
      <c r="M8981">
        <v>35.174999999999997</v>
      </c>
      <c r="N8981">
        <v>-1020.5650000000001</v>
      </c>
      <c r="O8981" s="1" t="s">
        <v>40</v>
      </c>
      <c r="P8981" s="1" t="s">
        <v>355</v>
      </c>
      <c r="Q8981" s="1" t="s">
        <v>356</v>
      </c>
      <c r="R8981" s="1" t="s">
        <v>220</v>
      </c>
      <c r="S8981" s="1" t="s">
        <v>221</v>
      </c>
      <c r="T8981" s="1" t="s">
        <v>357</v>
      </c>
      <c r="U8981" s="2" t="s">
        <v>635</v>
      </c>
      <c r="V8981" s="2" t="s">
        <v>47</v>
      </c>
      <c r="W8981" s="2" t="s">
        <v>74</v>
      </c>
      <c r="X8981" s="2">
        <v>22.68</v>
      </c>
    </row>
    <row r="8982" spans="1:24" x14ac:dyDescent="0.3">
      <c r="A8982">
        <v>5302</v>
      </c>
      <c r="B8982" t="s">
        <v>16185</v>
      </c>
      <c r="C8982" s="3">
        <v>40769</v>
      </c>
      <c r="D8982" t="s">
        <v>39</v>
      </c>
      <c r="E8982">
        <v>32</v>
      </c>
      <c r="F8982" s="3">
        <f ca="1">40770+(RANDBETWEEN(1,10))</f>
        <v>40778</v>
      </c>
      <c r="G8982" t="s">
        <v>26</v>
      </c>
      <c r="H8982" t="s">
        <v>51</v>
      </c>
      <c r="I8982" t="s">
        <v>86</v>
      </c>
      <c r="J8982">
        <v>982.17</v>
      </c>
      <c r="K8982">
        <v>0.01</v>
      </c>
      <c r="L8982">
        <v>0.52</v>
      </c>
      <c r="M8982">
        <v>6.9649999999999999</v>
      </c>
      <c r="N8982">
        <v>37.590000000000003</v>
      </c>
      <c r="O8982" s="1" t="s">
        <v>53</v>
      </c>
      <c r="P8982" s="1" t="s">
        <v>10270</v>
      </c>
      <c r="Q8982" s="1" t="s">
        <v>10271</v>
      </c>
      <c r="R8982" s="1" t="s">
        <v>100</v>
      </c>
      <c r="S8982" s="1" t="s">
        <v>101</v>
      </c>
      <c r="T8982" s="1" t="s">
        <v>10272</v>
      </c>
      <c r="U8982" s="2" t="s">
        <v>2853</v>
      </c>
      <c r="V8982" s="2" t="s">
        <v>36</v>
      </c>
      <c r="W8982" s="2" t="s">
        <v>60</v>
      </c>
      <c r="X8982" s="2">
        <v>29.155000000000001</v>
      </c>
    </row>
    <row r="8983" spans="1:24" x14ac:dyDescent="0.3">
      <c r="A8983">
        <v>5303</v>
      </c>
      <c r="B8983" t="s">
        <v>16186</v>
      </c>
      <c r="C8983" s="3">
        <v>41865</v>
      </c>
      <c r="D8983" t="s">
        <v>39</v>
      </c>
      <c r="E8983">
        <v>76</v>
      </c>
      <c r="F8983" s="3">
        <f ca="1">41867+(RANDBETWEEN(1,10))</f>
        <v>41875</v>
      </c>
      <c r="G8983" t="s">
        <v>26</v>
      </c>
      <c r="H8983" t="s">
        <v>96</v>
      </c>
      <c r="I8983" t="s">
        <v>86</v>
      </c>
      <c r="J8983">
        <v>19411.21</v>
      </c>
      <c r="K8983">
        <v>0.04</v>
      </c>
      <c r="L8983">
        <v>0.55000000000000004</v>
      </c>
      <c r="M8983">
        <v>3.4649999999999999</v>
      </c>
      <c r="N8983">
        <v>3142.5345000000002</v>
      </c>
      <c r="O8983" s="1" t="s">
        <v>53</v>
      </c>
      <c r="P8983" s="1" t="s">
        <v>10270</v>
      </c>
      <c r="Q8983" s="1" t="s">
        <v>10271</v>
      </c>
      <c r="R8983" s="1" t="s">
        <v>100</v>
      </c>
      <c r="S8983" s="1" t="s">
        <v>101</v>
      </c>
      <c r="T8983" s="1" t="s">
        <v>10272</v>
      </c>
      <c r="U8983" s="2" t="s">
        <v>5311</v>
      </c>
      <c r="V8983" s="2" t="s">
        <v>36</v>
      </c>
      <c r="W8983" s="2" t="s">
        <v>37</v>
      </c>
      <c r="X8983" s="2">
        <v>300.96499999999997</v>
      </c>
    </row>
    <row r="8984" spans="1:24" x14ac:dyDescent="0.3">
      <c r="A8984">
        <v>532</v>
      </c>
      <c r="B8984" t="s">
        <v>16187</v>
      </c>
      <c r="C8984" s="3">
        <v>41764</v>
      </c>
      <c r="D8984" t="s">
        <v>148</v>
      </c>
      <c r="E8984">
        <v>18</v>
      </c>
      <c r="F8984" s="3">
        <f ca="1">41765+(RANDBETWEEN(1,10))</f>
        <v>41768</v>
      </c>
      <c r="G8984" t="s">
        <v>26</v>
      </c>
      <c r="H8984" t="s">
        <v>27</v>
      </c>
      <c r="I8984" t="s">
        <v>86</v>
      </c>
      <c r="J8984">
        <v>377.40499999999997</v>
      </c>
      <c r="K8984">
        <v>0.06</v>
      </c>
      <c r="L8984">
        <v>0.35</v>
      </c>
      <c r="M8984">
        <v>18.55</v>
      </c>
      <c r="N8984">
        <v>-100.905</v>
      </c>
      <c r="O8984" s="1" t="s">
        <v>64</v>
      </c>
      <c r="P8984" s="1" t="s">
        <v>173</v>
      </c>
      <c r="Q8984" s="1" t="s">
        <v>174</v>
      </c>
      <c r="R8984" s="1" t="s">
        <v>67</v>
      </c>
      <c r="S8984" s="1" t="s">
        <v>108</v>
      </c>
      <c r="T8984" s="1" t="s">
        <v>109</v>
      </c>
      <c r="U8984" s="2" t="s">
        <v>2464</v>
      </c>
      <c r="V8984" s="2" t="s">
        <v>47</v>
      </c>
      <c r="W8984" s="2" t="s">
        <v>48</v>
      </c>
      <c r="X8984" s="2">
        <v>19.53</v>
      </c>
    </row>
    <row r="8985" spans="1:24" x14ac:dyDescent="0.3">
      <c r="A8985">
        <v>5324</v>
      </c>
      <c r="B8985" t="s">
        <v>16188</v>
      </c>
      <c r="C8985" s="3">
        <v>41728</v>
      </c>
      <c r="D8985" t="s">
        <v>62</v>
      </c>
      <c r="E8985">
        <v>2</v>
      </c>
      <c r="F8985" s="3">
        <f ca="1">41730+(RANDBETWEEN(1,10))</f>
        <v>41731</v>
      </c>
      <c r="G8985" t="s">
        <v>26</v>
      </c>
      <c r="H8985" t="s">
        <v>27</v>
      </c>
      <c r="I8985" t="s">
        <v>86</v>
      </c>
      <c r="J8985">
        <v>101.605</v>
      </c>
      <c r="K8985">
        <v>0.01</v>
      </c>
      <c r="L8985">
        <v>0.36</v>
      </c>
      <c r="M8985">
        <v>17.535</v>
      </c>
      <c r="N8985">
        <v>-41.405000000000001</v>
      </c>
      <c r="O8985" s="1" t="s">
        <v>40</v>
      </c>
      <c r="P8985" s="1" t="s">
        <v>15848</v>
      </c>
      <c r="Q8985" s="1" t="s">
        <v>15849</v>
      </c>
      <c r="R8985" s="1" t="s">
        <v>43</v>
      </c>
      <c r="S8985" s="1" t="s">
        <v>44</v>
      </c>
      <c r="T8985" s="1" t="s">
        <v>15850</v>
      </c>
      <c r="U8985" s="2" t="s">
        <v>4556</v>
      </c>
      <c r="V8985" s="2" t="s">
        <v>47</v>
      </c>
      <c r="W8985" s="2" t="s">
        <v>74</v>
      </c>
      <c r="X8985" s="2">
        <v>39.69</v>
      </c>
    </row>
    <row r="8986" spans="1:24" x14ac:dyDescent="0.3">
      <c r="A8986">
        <v>5335</v>
      </c>
      <c r="B8986" t="s">
        <v>16189</v>
      </c>
      <c r="C8986" s="3">
        <v>41728</v>
      </c>
      <c r="D8986" t="s">
        <v>62</v>
      </c>
      <c r="E8986">
        <v>14</v>
      </c>
      <c r="F8986" s="3">
        <f ca="1">41731+(RANDBETWEEN(1,10))</f>
        <v>41741</v>
      </c>
      <c r="G8986" t="s">
        <v>26</v>
      </c>
      <c r="H8986" t="s">
        <v>96</v>
      </c>
      <c r="I8986" t="s">
        <v>86</v>
      </c>
      <c r="J8986">
        <v>1066.2750000000001</v>
      </c>
      <c r="K8986">
        <v>0.1</v>
      </c>
      <c r="L8986">
        <v>0.39</v>
      </c>
      <c r="M8986">
        <v>29.12</v>
      </c>
      <c r="N8986">
        <v>84.7</v>
      </c>
      <c r="O8986" s="1" t="s">
        <v>53</v>
      </c>
      <c r="P8986" s="1" t="s">
        <v>10270</v>
      </c>
      <c r="Q8986" s="1" t="s">
        <v>10271</v>
      </c>
      <c r="R8986" s="1" t="s">
        <v>100</v>
      </c>
      <c r="S8986" s="1" t="s">
        <v>101</v>
      </c>
      <c r="T8986" s="1" t="s">
        <v>10272</v>
      </c>
      <c r="U8986" s="2" t="s">
        <v>8015</v>
      </c>
      <c r="V8986" s="2" t="s">
        <v>47</v>
      </c>
      <c r="W8986" s="2" t="s">
        <v>74</v>
      </c>
      <c r="X8986" s="2">
        <v>76.930000000000007</v>
      </c>
    </row>
    <row r="8987" spans="1:24" x14ac:dyDescent="0.3">
      <c r="A8987">
        <v>5338</v>
      </c>
      <c r="B8987" t="s">
        <v>16190</v>
      </c>
      <c r="C8987" s="3">
        <v>40876</v>
      </c>
      <c r="D8987" t="s">
        <v>39</v>
      </c>
      <c r="E8987">
        <v>167</v>
      </c>
      <c r="F8987" s="3">
        <f ca="1">40876+(RANDBETWEEN(1,10))</f>
        <v>40877</v>
      </c>
      <c r="G8987" t="s">
        <v>26</v>
      </c>
      <c r="H8987" t="s">
        <v>27</v>
      </c>
      <c r="I8987" t="s">
        <v>97</v>
      </c>
      <c r="J8987">
        <v>96556.425000000003</v>
      </c>
      <c r="K8987">
        <v>0.05</v>
      </c>
      <c r="L8987">
        <v>0.59</v>
      </c>
      <c r="M8987">
        <v>69.965000000000003</v>
      </c>
      <c r="N8987">
        <v>7030.4849999999997</v>
      </c>
      <c r="O8987" s="1" t="s">
        <v>64</v>
      </c>
      <c r="P8987" s="1" t="s">
        <v>374</v>
      </c>
      <c r="Q8987" s="1" t="s">
        <v>375</v>
      </c>
      <c r="R8987" s="1" t="s">
        <v>128</v>
      </c>
      <c r="S8987" s="1" t="s">
        <v>129</v>
      </c>
      <c r="T8987" s="1" t="s">
        <v>376</v>
      </c>
      <c r="U8987" s="2" t="s">
        <v>2230</v>
      </c>
      <c r="V8987" s="2" t="s">
        <v>47</v>
      </c>
      <c r="W8987" s="2" t="s">
        <v>119</v>
      </c>
      <c r="X8987" s="2">
        <v>578.20000000000005</v>
      </c>
    </row>
    <row r="8988" spans="1:24" x14ac:dyDescent="0.3">
      <c r="A8988">
        <v>5339</v>
      </c>
      <c r="B8988" t="s">
        <v>16190</v>
      </c>
      <c r="C8988" s="3">
        <v>40876</v>
      </c>
      <c r="D8988" t="s">
        <v>39</v>
      </c>
      <c r="E8988">
        <v>71</v>
      </c>
      <c r="F8988" s="3">
        <f ca="1">40876+(RANDBETWEEN(1,10))</f>
        <v>40886</v>
      </c>
      <c r="G8988" t="s">
        <v>26</v>
      </c>
      <c r="H8988" t="s">
        <v>27</v>
      </c>
      <c r="I8988" t="s">
        <v>97</v>
      </c>
      <c r="J8988">
        <v>4170.53</v>
      </c>
      <c r="K8988">
        <v>0.09</v>
      </c>
      <c r="L8988">
        <v>0.56999999999999995</v>
      </c>
      <c r="M8988">
        <v>30.274999999999999</v>
      </c>
      <c r="N8988">
        <v>-281.85500000000002</v>
      </c>
      <c r="O8988" s="1" t="s">
        <v>64</v>
      </c>
      <c r="P8988" s="1" t="s">
        <v>374</v>
      </c>
      <c r="Q8988" s="1" t="s">
        <v>375</v>
      </c>
      <c r="R8988" s="1" t="s">
        <v>128</v>
      </c>
      <c r="S8988" s="1" t="s">
        <v>129</v>
      </c>
      <c r="T8988" s="1" t="s">
        <v>376</v>
      </c>
      <c r="U8988" s="2" t="s">
        <v>10259</v>
      </c>
      <c r="V8988" s="2" t="s">
        <v>47</v>
      </c>
      <c r="W8988" s="2" t="s">
        <v>104</v>
      </c>
      <c r="X8988" s="2">
        <v>62.965000000000003</v>
      </c>
    </row>
    <row r="8989" spans="1:24" x14ac:dyDescent="0.3">
      <c r="A8989">
        <v>5344</v>
      </c>
      <c r="B8989" t="s">
        <v>16191</v>
      </c>
      <c r="C8989" s="3">
        <v>41823</v>
      </c>
      <c r="D8989" t="s">
        <v>39</v>
      </c>
      <c r="E8989">
        <v>36</v>
      </c>
      <c r="F8989" s="3">
        <f ca="1">41824+(RANDBETWEEN(1,10))</f>
        <v>41832</v>
      </c>
      <c r="G8989" t="s">
        <v>26</v>
      </c>
      <c r="H8989" t="s">
        <v>27</v>
      </c>
      <c r="I8989" t="s">
        <v>28</v>
      </c>
      <c r="J8989">
        <v>1449.35</v>
      </c>
      <c r="K8989">
        <v>0.1</v>
      </c>
      <c r="L8989">
        <v>0.38</v>
      </c>
      <c r="M8989">
        <v>1.7150000000000001</v>
      </c>
      <c r="N8989">
        <v>481.14499999999998</v>
      </c>
      <c r="O8989" s="1" t="s">
        <v>40</v>
      </c>
      <c r="P8989" s="1" t="s">
        <v>7742</v>
      </c>
      <c r="Q8989" s="1" t="s">
        <v>7743</v>
      </c>
      <c r="R8989" s="1" t="s">
        <v>43</v>
      </c>
      <c r="S8989" s="1" t="s">
        <v>44</v>
      </c>
      <c r="T8989" s="1" t="s">
        <v>7744</v>
      </c>
      <c r="U8989" s="2" t="s">
        <v>202</v>
      </c>
      <c r="V8989" s="2" t="s">
        <v>47</v>
      </c>
      <c r="W8989" s="2" t="s">
        <v>203</v>
      </c>
      <c r="X8989" s="2">
        <v>43.854999999999997</v>
      </c>
    </row>
    <row r="8990" spans="1:24" x14ac:dyDescent="0.3">
      <c r="A8990">
        <v>5345</v>
      </c>
      <c r="B8990" t="s">
        <v>16192</v>
      </c>
      <c r="C8990" s="3">
        <v>40727</v>
      </c>
      <c r="D8990" t="s">
        <v>39</v>
      </c>
      <c r="E8990">
        <v>6</v>
      </c>
      <c r="F8990" s="3">
        <f ca="1">40728+(RANDBETWEEN(1,10))</f>
        <v>40733</v>
      </c>
      <c r="G8990" t="s">
        <v>76</v>
      </c>
      <c r="H8990" t="s">
        <v>258</v>
      </c>
      <c r="I8990" t="s">
        <v>28</v>
      </c>
      <c r="J8990">
        <v>2977.24</v>
      </c>
      <c r="K8990">
        <v>0.1</v>
      </c>
      <c r="L8990">
        <v>0.64</v>
      </c>
      <c r="M8990">
        <v>153.125</v>
      </c>
      <c r="N8990">
        <v>-947.97500000000002</v>
      </c>
      <c r="O8990" s="1" t="s">
        <v>40</v>
      </c>
      <c r="P8990" s="1" t="s">
        <v>7742</v>
      </c>
      <c r="Q8990" s="1" t="s">
        <v>7743</v>
      </c>
      <c r="R8990" s="1" t="s">
        <v>43</v>
      </c>
      <c r="S8990" s="1" t="s">
        <v>44</v>
      </c>
      <c r="T8990" s="1" t="s">
        <v>7744</v>
      </c>
      <c r="U8990" s="2" t="s">
        <v>262</v>
      </c>
      <c r="V8990" s="2" t="s">
        <v>83</v>
      </c>
      <c r="W8990" s="2" t="s">
        <v>263</v>
      </c>
      <c r="X8990" s="2">
        <v>512.19000000000005</v>
      </c>
    </row>
    <row r="8991" spans="1:24" x14ac:dyDescent="0.3">
      <c r="A8991">
        <v>5346</v>
      </c>
      <c r="B8991" t="s">
        <v>16193</v>
      </c>
      <c r="C8991" s="3">
        <v>41369</v>
      </c>
      <c r="D8991" t="s">
        <v>50</v>
      </c>
      <c r="E8991">
        <v>13</v>
      </c>
      <c r="F8991" s="3">
        <f ca="1">41369+(RANDBETWEEN(1,10))</f>
        <v>41377</v>
      </c>
      <c r="G8991" t="s">
        <v>26</v>
      </c>
      <c r="H8991" t="s">
        <v>27</v>
      </c>
      <c r="I8991" t="s">
        <v>97</v>
      </c>
      <c r="J8991">
        <v>717.36</v>
      </c>
      <c r="K8991">
        <v>0.08</v>
      </c>
      <c r="L8991">
        <v>0.59</v>
      </c>
      <c r="M8991">
        <v>29.19</v>
      </c>
      <c r="N8991">
        <v>-263.98505</v>
      </c>
      <c r="O8991" s="1" t="s">
        <v>64</v>
      </c>
      <c r="P8991" s="1" t="s">
        <v>252</v>
      </c>
      <c r="Q8991" s="1" t="s">
        <v>253</v>
      </c>
      <c r="R8991" s="1" t="s">
        <v>67</v>
      </c>
      <c r="S8991" s="1" t="s">
        <v>254</v>
      </c>
      <c r="T8991" s="1" t="s">
        <v>255</v>
      </c>
      <c r="U8991" s="2" t="s">
        <v>379</v>
      </c>
      <c r="V8991" s="2" t="s">
        <v>47</v>
      </c>
      <c r="W8991" s="2" t="s">
        <v>119</v>
      </c>
      <c r="X8991" s="2">
        <v>56.21</v>
      </c>
    </row>
    <row r="8992" spans="1:24" x14ac:dyDescent="0.3">
      <c r="A8992">
        <v>5358</v>
      </c>
      <c r="B8992" t="s">
        <v>16194</v>
      </c>
      <c r="C8992" s="3">
        <v>40800</v>
      </c>
      <c r="D8992" t="s">
        <v>50</v>
      </c>
      <c r="E8992">
        <v>47</v>
      </c>
      <c r="F8992" s="3">
        <f ca="1">40801+(RANDBETWEEN(1,10))</f>
        <v>40811</v>
      </c>
      <c r="G8992" t="s">
        <v>26</v>
      </c>
      <c r="H8992" t="s">
        <v>27</v>
      </c>
      <c r="I8992" t="s">
        <v>52</v>
      </c>
      <c r="J8992">
        <v>790.93</v>
      </c>
      <c r="K8992">
        <v>0.08</v>
      </c>
      <c r="L8992">
        <v>0.38</v>
      </c>
      <c r="M8992">
        <v>16.45</v>
      </c>
      <c r="N8992">
        <v>-197.22499999999999</v>
      </c>
      <c r="O8992" s="1" t="s">
        <v>40</v>
      </c>
      <c r="P8992" s="1" t="s">
        <v>2899</v>
      </c>
      <c r="Q8992" s="1" t="s">
        <v>2900</v>
      </c>
      <c r="R8992" s="1" t="s">
        <v>220</v>
      </c>
      <c r="S8992" s="1" t="s">
        <v>221</v>
      </c>
      <c r="T8992" s="1" t="s">
        <v>2901</v>
      </c>
      <c r="U8992" s="2" t="s">
        <v>5182</v>
      </c>
      <c r="V8992" s="2" t="s">
        <v>47</v>
      </c>
      <c r="W8992" s="2" t="s">
        <v>74</v>
      </c>
      <c r="X8992" s="2">
        <v>17.43</v>
      </c>
    </row>
    <row r="8993" spans="1:24" x14ac:dyDescent="0.3">
      <c r="A8993">
        <v>5361</v>
      </c>
      <c r="B8993" t="s">
        <v>16195</v>
      </c>
      <c r="C8993" s="3">
        <v>40595</v>
      </c>
      <c r="D8993" t="s">
        <v>62</v>
      </c>
      <c r="E8993">
        <v>18</v>
      </c>
      <c r="F8993" s="3">
        <f ca="1">40595+(RANDBETWEEN(1,10))</f>
        <v>40597</v>
      </c>
      <c r="G8993" t="s">
        <v>26</v>
      </c>
      <c r="H8993" t="s">
        <v>27</v>
      </c>
      <c r="I8993" t="s">
        <v>86</v>
      </c>
      <c r="J8993">
        <v>3156.335</v>
      </c>
      <c r="K8993">
        <v>0.02</v>
      </c>
      <c r="L8993">
        <v>0.41</v>
      </c>
      <c r="M8993">
        <v>69.965000000000003</v>
      </c>
      <c r="N8993">
        <v>-269.11500000000001</v>
      </c>
      <c r="O8993" s="1" t="s">
        <v>40</v>
      </c>
      <c r="P8993" s="1" t="s">
        <v>78</v>
      </c>
      <c r="Q8993" s="1" t="s">
        <v>79</v>
      </c>
      <c r="R8993" s="1" t="s">
        <v>43</v>
      </c>
      <c r="S8993" s="1" t="s">
        <v>80</v>
      </c>
      <c r="T8993" s="1" t="s">
        <v>81</v>
      </c>
      <c r="U8993" s="2" t="s">
        <v>300</v>
      </c>
      <c r="V8993" s="2" t="s">
        <v>36</v>
      </c>
      <c r="W8993" s="2" t="s">
        <v>60</v>
      </c>
      <c r="X8993" s="2">
        <v>174.965</v>
      </c>
    </row>
    <row r="8994" spans="1:24" x14ac:dyDescent="0.3">
      <c r="A8994">
        <v>5391</v>
      </c>
      <c r="B8994" t="s">
        <v>16196</v>
      </c>
      <c r="C8994" s="3">
        <v>41213</v>
      </c>
      <c r="D8994" t="s">
        <v>148</v>
      </c>
      <c r="E8994">
        <v>83</v>
      </c>
      <c r="F8994" s="3">
        <f ca="1">41215+(RANDBETWEEN(1,10))</f>
        <v>41219</v>
      </c>
      <c r="G8994" t="s">
        <v>26</v>
      </c>
      <c r="H8994" t="s">
        <v>96</v>
      </c>
      <c r="I8994" t="s">
        <v>28</v>
      </c>
      <c r="J8994">
        <v>826.66499999999996</v>
      </c>
      <c r="K8994">
        <v>0.09</v>
      </c>
      <c r="L8994">
        <v>0.56000000000000005</v>
      </c>
      <c r="M8994">
        <v>2.4500000000000002</v>
      </c>
      <c r="N8994">
        <v>52.5</v>
      </c>
      <c r="O8994" s="1" t="s">
        <v>64</v>
      </c>
      <c r="P8994" s="1" t="s">
        <v>339</v>
      </c>
      <c r="Q8994" s="1" t="s">
        <v>340</v>
      </c>
      <c r="R8994" s="1" t="s">
        <v>128</v>
      </c>
      <c r="S8994" s="1" t="s">
        <v>129</v>
      </c>
      <c r="T8994" s="1" t="s">
        <v>341</v>
      </c>
      <c r="U8994" s="2" t="s">
        <v>443</v>
      </c>
      <c r="V8994" s="2" t="s">
        <v>47</v>
      </c>
      <c r="W8994" s="2" t="s">
        <v>104</v>
      </c>
      <c r="X8994" s="2">
        <v>10.08</v>
      </c>
    </row>
    <row r="8995" spans="1:24" x14ac:dyDescent="0.3">
      <c r="A8995">
        <v>5396</v>
      </c>
      <c r="B8995" t="s">
        <v>16197</v>
      </c>
      <c r="C8995" s="3">
        <v>40920</v>
      </c>
      <c r="D8995" t="s">
        <v>50</v>
      </c>
      <c r="E8995">
        <v>3</v>
      </c>
      <c r="F8995" s="3">
        <f ca="1">40921+(RANDBETWEEN(1,10))</f>
        <v>40929</v>
      </c>
      <c r="G8995" t="s">
        <v>26</v>
      </c>
      <c r="H8995" t="s">
        <v>63</v>
      </c>
      <c r="I8995" t="s">
        <v>52</v>
      </c>
      <c r="J8995">
        <v>786.59</v>
      </c>
      <c r="K8995">
        <v>0.02</v>
      </c>
      <c r="L8995">
        <v>0.68</v>
      </c>
      <c r="M8995">
        <v>241.5</v>
      </c>
      <c r="N8995">
        <v>76.437269999999998</v>
      </c>
      <c r="O8995" s="1" t="s">
        <v>64</v>
      </c>
      <c r="P8995" s="1" t="s">
        <v>173</v>
      </c>
      <c r="Q8995" s="1" t="s">
        <v>174</v>
      </c>
      <c r="R8995" s="1" t="s">
        <v>67</v>
      </c>
      <c r="S8995" s="1" t="s">
        <v>108</v>
      </c>
      <c r="T8995" s="1" t="s">
        <v>109</v>
      </c>
      <c r="U8995" s="2" t="s">
        <v>1152</v>
      </c>
      <c r="V8995" s="2" t="s">
        <v>83</v>
      </c>
      <c r="W8995" s="2" t="s">
        <v>263</v>
      </c>
      <c r="X8995" s="2">
        <v>249.79499999999999</v>
      </c>
    </row>
    <row r="8996" spans="1:24" x14ac:dyDescent="0.3">
      <c r="A8996">
        <v>5421</v>
      </c>
      <c r="B8996" t="s">
        <v>16198</v>
      </c>
      <c r="C8996" s="3">
        <v>40576</v>
      </c>
      <c r="D8996" t="s">
        <v>25</v>
      </c>
      <c r="E8996">
        <v>38</v>
      </c>
      <c r="F8996" s="3">
        <f ca="1">40576+(RANDBETWEEN(1,10))</f>
        <v>40585</v>
      </c>
      <c r="G8996" t="s">
        <v>26</v>
      </c>
      <c r="H8996" t="s">
        <v>96</v>
      </c>
      <c r="I8996" t="s">
        <v>28</v>
      </c>
      <c r="J8996">
        <v>156.97499999999999</v>
      </c>
      <c r="K8996">
        <v>0.02</v>
      </c>
      <c r="L8996">
        <v>0.38</v>
      </c>
      <c r="M8996">
        <v>2.4500000000000002</v>
      </c>
      <c r="N8996">
        <v>-1.7150000000000001</v>
      </c>
      <c r="O8996" s="1" t="s">
        <v>64</v>
      </c>
      <c r="P8996" s="1" t="s">
        <v>265</v>
      </c>
      <c r="Q8996" s="1" t="s">
        <v>266</v>
      </c>
      <c r="R8996" s="1" t="s">
        <v>67</v>
      </c>
      <c r="S8996" s="1" t="s">
        <v>108</v>
      </c>
      <c r="T8996" s="1" t="s">
        <v>196</v>
      </c>
      <c r="U8996" s="2" t="s">
        <v>293</v>
      </c>
      <c r="V8996" s="2" t="s">
        <v>47</v>
      </c>
      <c r="W8996" s="2" t="s">
        <v>176</v>
      </c>
      <c r="X8996" s="2">
        <v>3.99</v>
      </c>
    </row>
    <row r="8997" spans="1:24" x14ac:dyDescent="0.3">
      <c r="A8997">
        <v>5450</v>
      </c>
      <c r="B8997" t="s">
        <v>16199</v>
      </c>
      <c r="C8997" s="3">
        <v>41439</v>
      </c>
      <c r="D8997" t="s">
        <v>25</v>
      </c>
      <c r="E8997">
        <v>5</v>
      </c>
      <c r="F8997" s="3">
        <f ca="1">41446+(RANDBETWEEN(1,10))</f>
        <v>41450</v>
      </c>
      <c r="G8997" t="s">
        <v>26</v>
      </c>
      <c r="H8997" t="s">
        <v>63</v>
      </c>
      <c r="I8997" t="s">
        <v>97</v>
      </c>
      <c r="J8997">
        <v>12965.225</v>
      </c>
      <c r="K8997">
        <v>0.02</v>
      </c>
      <c r="L8997">
        <v>0.41</v>
      </c>
      <c r="M8997">
        <v>85.715000000000003</v>
      </c>
      <c r="N8997">
        <v>686.28</v>
      </c>
      <c r="O8997" s="1" t="s">
        <v>40</v>
      </c>
      <c r="P8997" s="1" t="s">
        <v>15909</v>
      </c>
      <c r="Q8997" s="1" t="s">
        <v>15910</v>
      </c>
      <c r="R8997" s="1" t="s">
        <v>220</v>
      </c>
      <c r="S8997" s="1" t="s">
        <v>221</v>
      </c>
      <c r="T8997" s="1" t="s">
        <v>15911</v>
      </c>
      <c r="U8997" s="2" t="s">
        <v>1326</v>
      </c>
      <c r="V8997" s="2" t="s">
        <v>36</v>
      </c>
      <c r="W8997" s="2" t="s">
        <v>1327</v>
      </c>
      <c r="X8997" s="2">
        <v>2449.9650000000001</v>
      </c>
    </row>
    <row r="8998" spans="1:24" x14ac:dyDescent="0.3">
      <c r="A8998">
        <v>5457</v>
      </c>
      <c r="B8998" t="s">
        <v>16200</v>
      </c>
      <c r="C8998" s="3">
        <v>41541</v>
      </c>
      <c r="D8998" t="s">
        <v>50</v>
      </c>
      <c r="E8998">
        <v>14</v>
      </c>
      <c r="F8998" s="3">
        <f ca="1">41543+(RANDBETWEEN(1,10))</f>
        <v>41551</v>
      </c>
      <c r="G8998" t="s">
        <v>26</v>
      </c>
      <c r="H8998" t="s">
        <v>63</v>
      </c>
      <c r="I8998" t="s">
        <v>52</v>
      </c>
      <c r="J8998">
        <v>3480.4</v>
      </c>
      <c r="K8998">
        <v>0</v>
      </c>
      <c r="L8998">
        <v>0.59</v>
      </c>
      <c r="M8998">
        <v>171.5</v>
      </c>
      <c r="N8998">
        <v>-768.63499999999999</v>
      </c>
      <c r="O8998" s="1" t="s">
        <v>40</v>
      </c>
      <c r="P8998" s="1" t="s">
        <v>15864</v>
      </c>
      <c r="Q8998" s="1" t="s">
        <v>15865</v>
      </c>
      <c r="R8998" s="1" t="s">
        <v>43</v>
      </c>
      <c r="S8998" s="1" t="s">
        <v>44</v>
      </c>
      <c r="T8998" s="1" t="s">
        <v>15866</v>
      </c>
      <c r="U8998" s="2" t="s">
        <v>1546</v>
      </c>
      <c r="V8998" s="2" t="s">
        <v>47</v>
      </c>
      <c r="W8998" s="2" t="s">
        <v>71</v>
      </c>
      <c r="X8998" s="2">
        <v>213.43</v>
      </c>
    </row>
    <row r="8999" spans="1:24" x14ac:dyDescent="0.3">
      <c r="A8999">
        <v>5468</v>
      </c>
      <c r="B8999" t="s">
        <v>16201</v>
      </c>
      <c r="C8999" s="3">
        <v>40848</v>
      </c>
      <c r="D8999" t="s">
        <v>50</v>
      </c>
      <c r="E8999">
        <v>85</v>
      </c>
      <c r="F8999" s="3">
        <f ca="1">40850+(RANDBETWEEN(1,10))</f>
        <v>40854</v>
      </c>
      <c r="G8999" t="s">
        <v>26</v>
      </c>
      <c r="H8999" t="s">
        <v>27</v>
      </c>
      <c r="I8999" t="s">
        <v>86</v>
      </c>
      <c r="J8999">
        <v>1812.4749999999999</v>
      </c>
      <c r="K8999">
        <v>0.03</v>
      </c>
      <c r="L8999">
        <v>0.39</v>
      </c>
      <c r="M8999">
        <v>5.2149999999999999</v>
      </c>
      <c r="N8999">
        <v>133.28</v>
      </c>
      <c r="O8999" s="1" t="s">
        <v>64</v>
      </c>
      <c r="P8999" s="1" t="s">
        <v>173</v>
      </c>
      <c r="Q8999" s="1" t="s">
        <v>174</v>
      </c>
      <c r="R8999" s="1" t="s">
        <v>67</v>
      </c>
      <c r="S8999" s="1" t="s">
        <v>108</v>
      </c>
      <c r="T8999" s="1" t="s">
        <v>109</v>
      </c>
      <c r="U8999" s="2" t="s">
        <v>1062</v>
      </c>
      <c r="V8999" s="2" t="s">
        <v>47</v>
      </c>
      <c r="W8999" s="2" t="s">
        <v>111</v>
      </c>
      <c r="X8999" s="2">
        <v>20.93</v>
      </c>
    </row>
    <row r="9000" spans="1:24" x14ac:dyDescent="0.3">
      <c r="A9000">
        <v>5469</v>
      </c>
      <c r="B9000" t="s">
        <v>16202</v>
      </c>
      <c r="C9000" s="3">
        <v>41721</v>
      </c>
      <c r="D9000" t="s">
        <v>25</v>
      </c>
      <c r="E9000">
        <v>13</v>
      </c>
      <c r="F9000" s="3">
        <f ca="1">41725+(RANDBETWEEN(1,10))</f>
        <v>41730</v>
      </c>
      <c r="G9000" t="s">
        <v>26</v>
      </c>
      <c r="H9000" t="s">
        <v>27</v>
      </c>
      <c r="I9000" t="s">
        <v>97</v>
      </c>
      <c r="J9000">
        <v>2548.105</v>
      </c>
      <c r="K9000">
        <v>0.04</v>
      </c>
      <c r="L9000">
        <v>0.55000000000000004</v>
      </c>
      <c r="M9000">
        <v>8.75</v>
      </c>
      <c r="N9000">
        <v>69.992999999999995</v>
      </c>
      <c r="O9000" s="1" t="s">
        <v>40</v>
      </c>
      <c r="P9000" s="1" t="s">
        <v>13707</v>
      </c>
      <c r="Q9000" s="1" t="s">
        <v>13708</v>
      </c>
      <c r="R9000" s="1" t="s">
        <v>43</v>
      </c>
      <c r="S9000" s="1" t="s">
        <v>44</v>
      </c>
      <c r="T9000" s="1" t="s">
        <v>13709</v>
      </c>
      <c r="U9000" s="2">
        <v>6000</v>
      </c>
      <c r="V9000" s="2" t="s">
        <v>36</v>
      </c>
      <c r="W9000" s="2" t="s">
        <v>37</v>
      </c>
      <c r="X9000" s="2">
        <v>230.965</v>
      </c>
    </row>
    <row r="9001" spans="1:24" x14ac:dyDescent="0.3">
      <c r="A9001">
        <v>5477</v>
      </c>
      <c r="B9001" t="s">
        <v>16203</v>
      </c>
      <c r="C9001" s="3">
        <v>41940</v>
      </c>
      <c r="D9001" t="s">
        <v>25</v>
      </c>
      <c r="E9001">
        <v>97</v>
      </c>
      <c r="F9001" s="3">
        <f ca="1">41942+(RANDBETWEEN(1,10))</f>
        <v>41951</v>
      </c>
      <c r="G9001" t="s">
        <v>26</v>
      </c>
      <c r="H9001" t="s">
        <v>27</v>
      </c>
      <c r="I9001" t="s">
        <v>28</v>
      </c>
      <c r="J9001">
        <v>51249.31</v>
      </c>
      <c r="K9001">
        <v>0.01</v>
      </c>
      <c r="L9001">
        <v>0.79</v>
      </c>
      <c r="M9001">
        <v>14</v>
      </c>
      <c r="N9001">
        <v>1427.8705</v>
      </c>
      <c r="O9001" s="1" t="s">
        <v>64</v>
      </c>
      <c r="P9001" s="1" t="s">
        <v>16085</v>
      </c>
      <c r="Q9001" s="1" t="s">
        <v>16086</v>
      </c>
      <c r="R9001" s="1" t="s">
        <v>67</v>
      </c>
      <c r="S9001" s="1" t="s">
        <v>254</v>
      </c>
      <c r="T9001" s="1" t="s">
        <v>255</v>
      </c>
      <c r="U9001" s="2" t="s">
        <v>192</v>
      </c>
      <c r="V9001" s="2" t="s">
        <v>36</v>
      </c>
      <c r="W9001" s="2" t="s">
        <v>60</v>
      </c>
      <c r="X9001" s="2">
        <v>533.67999999999995</v>
      </c>
    </row>
    <row r="9002" spans="1:24" x14ac:dyDescent="0.3">
      <c r="A9002">
        <v>5478</v>
      </c>
      <c r="B9002" t="s">
        <v>16203</v>
      </c>
      <c r="C9002" s="3">
        <v>41940</v>
      </c>
      <c r="D9002" t="s">
        <v>25</v>
      </c>
      <c r="E9002">
        <v>55</v>
      </c>
      <c r="F9002" s="3">
        <f ca="1">41947+(RANDBETWEEN(1,10))</f>
        <v>41955</v>
      </c>
      <c r="G9002" t="s">
        <v>26</v>
      </c>
      <c r="H9002" t="s">
        <v>27</v>
      </c>
      <c r="I9002" t="s">
        <v>28</v>
      </c>
      <c r="J9002">
        <v>11216.555</v>
      </c>
      <c r="K9002">
        <v>0.02</v>
      </c>
      <c r="L9002">
        <v>0.56999999999999995</v>
      </c>
      <c r="M9002">
        <v>17.465</v>
      </c>
      <c r="N9002">
        <v>727.383825</v>
      </c>
      <c r="O9002" s="1" t="s">
        <v>64</v>
      </c>
      <c r="P9002" s="1" t="s">
        <v>16085</v>
      </c>
      <c r="Q9002" s="1" t="s">
        <v>16086</v>
      </c>
      <c r="R9002" s="1" t="s">
        <v>67</v>
      </c>
      <c r="S9002" s="1" t="s">
        <v>254</v>
      </c>
      <c r="T9002" s="1" t="s">
        <v>255</v>
      </c>
      <c r="U9002" s="2" t="s">
        <v>5920</v>
      </c>
      <c r="V9002" s="2" t="s">
        <v>36</v>
      </c>
      <c r="W9002" s="2" t="s">
        <v>37</v>
      </c>
      <c r="X9002" s="2">
        <v>230.965</v>
      </c>
    </row>
    <row r="9003" spans="1:24" x14ac:dyDescent="0.3">
      <c r="A9003">
        <v>548</v>
      </c>
      <c r="B9003" t="s">
        <v>16204</v>
      </c>
      <c r="C9003" s="3">
        <v>41655</v>
      </c>
      <c r="D9003" t="s">
        <v>148</v>
      </c>
      <c r="E9003">
        <v>32</v>
      </c>
      <c r="F9003" s="3">
        <f ca="1">41656+(RANDBETWEEN(1,10))</f>
        <v>41662</v>
      </c>
      <c r="G9003" t="s">
        <v>26</v>
      </c>
      <c r="H9003" t="s">
        <v>96</v>
      </c>
      <c r="I9003" t="s">
        <v>86</v>
      </c>
      <c r="J9003">
        <v>412.40499999999997</v>
      </c>
      <c r="K9003">
        <v>0</v>
      </c>
      <c r="L9003">
        <v>0.56000000000000005</v>
      </c>
      <c r="M9003">
        <v>17.5</v>
      </c>
      <c r="N9003">
        <v>-549.08000000000004</v>
      </c>
      <c r="O9003" s="1" t="s">
        <v>40</v>
      </c>
      <c r="P9003" s="1" t="s">
        <v>269</v>
      </c>
      <c r="Q9003" s="1" t="s">
        <v>270</v>
      </c>
      <c r="R9003" s="1" t="s">
        <v>43</v>
      </c>
      <c r="S9003" s="1" t="s">
        <v>44</v>
      </c>
      <c r="T9003" s="1" t="s">
        <v>271</v>
      </c>
      <c r="U9003" s="2" t="s">
        <v>2523</v>
      </c>
      <c r="V9003" s="2" t="s">
        <v>47</v>
      </c>
      <c r="W9003" s="2" t="s">
        <v>104</v>
      </c>
      <c r="X9003" s="2">
        <v>11.48</v>
      </c>
    </row>
    <row r="9004" spans="1:24" x14ac:dyDescent="0.3">
      <c r="A9004">
        <v>5496</v>
      </c>
      <c r="B9004" t="s">
        <v>16205</v>
      </c>
      <c r="C9004" s="3">
        <v>40965</v>
      </c>
      <c r="D9004" t="s">
        <v>25</v>
      </c>
      <c r="E9004">
        <v>48</v>
      </c>
      <c r="F9004" s="3">
        <f ca="1">40965+(RANDBETWEEN(1,10))</f>
        <v>40970</v>
      </c>
      <c r="G9004" t="s">
        <v>76</v>
      </c>
      <c r="H9004" t="s">
        <v>77</v>
      </c>
      <c r="I9004" t="s">
        <v>28</v>
      </c>
      <c r="J9004">
        <v>11742.85</v>
      </c>
      <c r="K9004">
        <v>7.0000000000000007E-2</v>
      </c>
      <c r="L9004">
        <v>0.6</v>
      </c>
      <c r="M9004">
        <v>209.33500000000001</v>
      </c>
      <c r="N9004">
        <v>-5956.86</v>
      </c>
      <c r="O9004" s="1" t="s">
        <v>64</v>
      </c>
      <c r="P9004" s="1" t="s">
        <v>7301</v>
      </c>
      <c r="Q9004" s="1" t="s">
        <v>7302</v>
      </c>
      <c r="R9004" s="1" t="s">
        <v>128</v>
      </c>
      <c r="S9004" s="1" t="s">
        <v>129</v>
      </c>
      <c r="T9004" s="1" t="s">
        <v>7303</v>
      </c>
      <c r="U9004" s="2" t="s">
        <v>11996</v>
      </c>
      <c r="V9004" s="2" t="s">
        <v>83</v>
      </c>
      <c r="W9004" s="2" t="s">
        <v>84</v>
      </c>
      <c r="X9004" s="2">
        <v>248.43</v>
      </c>
    </row>
    <row r="9005" spans="1:24" x14ac:dyDescent="0.3">
      <c r="A9005">
        <v>5497</v>
      </c>
      <c r="B9005" t="s">
        <v>16205</v>
      </c>
      <c r="C9005" s="3">
        <v>40965</v>
      </c>
      <c r="D9005" t="s">
        <v>25</v>
      </c>
      <c r="E9005">
        <v>34</v>
      </c>
      <c r="F9005" s="3">
        <f ca="1">40971+(RANDBETWEEN(1,10))</f>
        <v>40973</v>
      </c>
      <c r="G9005" t="s">
        <v>26</v>
      </c>
      <c r="H9005" t="s">
        <v>27</v>
      </c>
      <c r="I9005" t="s">
        <v>28</v>
      </c>
      <c r="J9005">
        <v>10025.924999999999</v>
      </c>
      <c r="K9005">
        <v>0.06</v>
      </c>
      <c r="L9005">
        <v>0.44</v>
      </c>
      <c r="M9005">
        <v>19.25</v>
      </c>
      <c r="N9005">
        <v>3573.7449999999999</v>
      </c>
      <c r="O9005" s="1" t="s">
        <v>64</v>
      </c>
      <c r="P9005" s="1" t="s">
        <v>7301</v>
      </c>
      <c r="Q9005" s="1" t="s">
        <v>7302</v>
      </c>
      <c r="R9005" s="1" t="s">
        <v>128</v>
      </c>
      <c r="S9005" s="1" t="s">
        <v>129</v>
      </c>
      <c r="T9005" s="1" t="s">
        <v>7303</v>
      </c>
      <c r="U9005" s="2" t="s">
        <v>3335</v>
      </c>
      <c r="V9005" s="2" t="s">
        <v>36</v>
      </c>
      <c r="W9005" s="2" t="s">
        <v>60</v>
      </c>
      <c r="X9005" s="2">
        <v>290.46499999999997</v>
      </c>
    </row>
    <row r="9006" spans="1:24" x14ac:dyDescent="0.3">
      <c r="A9006">
        <v>5498</v>
      </c>
      <c r="B9006" t="s">
        <v>16205</v>
      </c>
      <c r="C9006" s="3">
        <v>40965</v>
      </c>
      <c r="D9006" t="s">
        <v>25</v>
      </c>
      <c r="E9006">
        <v>31</v>
      </c>
      <c r="F9006" s="3">
        <f ca="1">40971+(RANDBETWEEN(1,10))</f>
        <v>40976</v>
      </c>
      <c r="G9006" t="s">
        <v>26</v>
      </c>
      <c r="H9006" t="s">
        <v>96</v>
      </c>
      <c r="I9006" t="s">
        <v>28</v>
      </c>
      <c r="J9006">
        <v>229.63499999999999</v>
      </c>
      <c r="K9006">
        <v>0.02</v>
      </c>
      <c r="L9006">
        <v>0.46</v>
      </c>
      <c r="M9006">
        <v>5.7050000000000001</v>
      </c>
      <c r="N9006">
        <v>-58.204999999999998</v>
      </c>
      <c r="O9006" s="1" t="s">
        <v>64</v>
      </c>
      <c r="P9006" s="1" t="s">
        <v>7301</v>
      </c>
      <c r="Q9006" s="1" t="s">
        <v>7302</v>
      </c>
      <c r="R9006" s="1" t="s">
        <v>128</v>
      </c>
      <c r="S9006" s="1" t="s">
        <v>129</v>
      </c>
      <c r="T9006" s="1" t="s">
        <v>7303</v>
      </c>
      <c r="U9006" s="2" t="s">
        <v>3593</v>
      </c>
      <c r="V9006" s="2" t="s">
        <v>47</v>
      </c>
      <c r="W9006" s="2" t="s">
        <v>104</v>
      </c>
      <c r="X9006" s="2">
        <v>6.8250000000000002</v>
      </c>
    </row>
    <row r="9007" spans="1:24" x14ac:dyDescent="0.3">
      <c r="A9007">
        <v>5501</v>
      </c>
      <c r="B9007" t="s">
        <v>16206</v>
      </c>
      <c r="C9007" s="3">
        <v>40883</v>
      </c>
      <c r="D9007" t="s">
        <v>148</v>
      </c>
      <c r="E9007">
        <v>24</v>
      </c>
      <c r="F9007" s="3">
        <f ca="1">40883+(RANDBETWEEN(1,10))</f>
        <v>40891</v>
      </c>
      <c r="G9007" t="s">
        <v>76</v>
      </c>
      <c r="H9007" t="s">
        <v>258</v>
      </c>
      <c r="I9007" t="s">
        <v>28</v>
      </c>
      <c r="J9007">
        <v>33833.519999999997</v>
      </c>
      <c r="K9007">
        <v>0.05</v>
      </c>
      <c r="L9007">
        <v>0.56000000000000005</v>
      </c>
      <c r="M9007">
        <v>42.21</v>
      </c>
      <c r="N9007">
        <v>1986.5650000000001</v>
      </c>
      <c r="O9007" s="1" t="s">
        <v>40</v>
      </c>
      <c r="P9007" s="1" t="s">
        <v>15909</v>
      </c>
      <c r="Q9007" s="1" t="s">
        <v>15910</v>
      </c>
      <c r="R9007" s="1" t="s">
        <v>220</v>
      </c>
      <c r="S9007" s="1" t="s">
        <v>221</v>
      </c>
      <c r="T9007" s="1" t="s">
        <v>15911</v>
      </c>
      <c r="U9007" s="2" t="s">
        <v>1633</v>
      </c>
      <c r="V9007" s="2" t="s">
        <v>36</v>
      </c>
      <c r="W9007" s="2" t="s">
        <v>142</v>
      </c>
      <c r="X9007" s="2">
        <v>1399.93</v>
      </c>
    </row>
    <row r="9008" spans="1:24" x14ac:dyDescent="0.3">
      <c r="A9008">
        <v>5502</v>
      </c>
      <c r="B9008" t="s">
        <v>16206</v>
      </c>
      <c r="C9008" s="3">
        <v>40883</v>
      </c>
      <c r="D9008" t="s">
        <v>148</v>
      </c>
      <c r="E9008">
        <v>20</v>
      </c>
      <c r="F9008" s="3">
        <f ca="1">40883+(RANDBETWEEN(1,10))</f>
        <v>40884</v>
      </c>
      <c r="G9008" t="s">
        <v>26</v>
      </c>
      <c r="H9008" t="s">
        <v>27</v>
      </c>
      <c r="I9008" t="s">
        <v>28</v>
      </c>
      <c r="J9008">
        <v>471.03</v>
      </c>
      <c r="K9008">
        <v>7.0000000000000007E-2</v>
      </c>
      <c r="L9008">
        <v>0.37</v>
      </c>
      <c r="M9008">
        <v>20.09</v>
      </c>
      <c r="N9008">
        <v>-99.575000000000003</v>
      </c>
      <c r="O9008" s="1" t="s">
        <v>40</v>
      </c>
      <c r="P9008" s="1" t="s">
        <v>15909</v>
      </c>
      <c r="Q9008" s="1" t="s">
        <v>15910</v>
      </c>
      <c r="R9008" s="1" t="s">
        <v>220</v>
      </c>
      <c r="S9008" s="1" t="s">
        <v>221</v>
      </c>
      <c r="T9008" s="1" t="s">
        <v>15911</v>
      </c>
      <c r="U9008" s="2" t="s">
        <v>5165</v>
      </c>
      <c r="V9008" s="2" t="s">
        <v>47</v>
      </c>
      <c r="W9008" s="2" t="s">
        <v>74</v>
      </c>
      <c r="X9008" s="2">
        <v>22.68</v>
      </c>
    </row>
    <row r="9009" spans="1:24" x14ac:dyDescent="0.3">
      <c r="A9009">
        <v>5511</v>
      </c>
      <c r="B9009" t="s">
        <v>16207</v>
      </c>
      <c r="C9009" s="3">
        <v>40888</v>
      </c>
      <c r="D9009" t="s">
        <v>62</v>
      </c>
      <c r="E9009">
        <v>76</v>
      </c>
      <c r="F9009" s="3">
        <f ca="1">40889+(RANDBETWEEN(1,10))</f>
        <v>40893</v>
      </c>
      <c r="G9009" t="s">
        <v>26</v>
      </c>
      <c r="H9009" t="s">
        <v>27</v>
      </c>
      <c r="I9009" t="s">
        <v>28</v>
      </c>
      <c r="J9009">
        <v>1444.52</v>
      </c>
      <c r="K9009">
        <v>0.02</v>
      </c>
      <c r="L9009">
        <v>0.4</v>
      </c>
      <c r="M9009">
        <v>21.91</v>
      </c>
      <c r="N9009">
        <v>-459.06</v>
      </c>
      <c r="O9009" s="1" t="s">
        <v>40</v>
      </c>
      <c r="P9009" s="1" t="s">
        <v>15848</v>
      </c>
      <c r="Q9009" s="1" t="s">
        <v>15849</v>
      </c>
      <c r="R9009" s="1" t="s">
        <v>43</v>
      </c>
      <c r="S9009" s="1" t="s">
        <v>44</v>
      </c>
      <c r="T9009" s="1" t="s">
        <v>15850</v>
      </c>
      <c r="U9009" s="2" t="s">
        <v>817</v>
      </c>
      <c r="V9009" s="2" t="s">
        <v>47</v>
      </c>
      <c r="W9009" s="2" t="s">
        <v>74</v>
      </c>
      <c r="X9009" s="2">
        <v>18.48</v>
      </c>
    </row>
    <row r="9010" spans="1:24" x14ac:dyDescent="0.3">
      <c r="A9010">
        <v>5538</v>
      </c>
      <c r="B9010" t="s">
        <v>16208</v>
      </c>
      <c r="C9010" s="3">
        <v>41178</v>
      </c>
      <c r="D9010" t="s">
        <v>62</v>
      </c>
      <c r="E9010">
        <v>16</v>
      </c>
      <c r="F9010" s="3">
        <f ca="1">41179+(RANDBETWEEN(1,10))</f>
        <v>41180</v>
      </c>
      <c r="G9010" t="s">
        <v>156</v>
      </c>
      <c r="H9010" t="s">
        <v>27</v>
      </c>
      <c r="I9010" t="s">
        <v>28</v>
      </c>
      <c r="J9010">
        <v>2323.86</v>
      </c>
      <c r="K9010">
        <v>0.1</v>
      </c>
      <c r="L9010">
        <v>0.36</v>
      </c>
      <c r="M9010">
        <v>10.465</v>
      </c>
      <c r="N9010">
        <v>392.19425000000001</v>
      </c>
      <c r="O9010" s="1" t="s">
        <v>64</v>
      </c>
      <c r="P9010" s="1" t="s">
        <v>339</v>
      </c>
      <c r="Q9010" s="1" t="s">
        <v>340</v>
      </c>
      <c r="R9010" s="1" t="s">
        <v>128</v>
      </c>
      <c r="S9010" s="1" t="s">
        <v>129</v>
      </c>
      <c r="T9010" s="1" t="s">
        <v>341</v>
      </c>
      <c r="U9010" s="2" t="s">
        <v>180</v>
      </c>
      <c r="V9010" s="2" t="s">
        <v>47</v>
      </c>
      <c r="W9010" s="2" t="s">
        <v>111</v>
      </c>
      <c r="X9010" s="2">
        <v>143.43</v>
      </c>
    </row>
    <row r="9011" spans="1:24" x14ac:dyDescent="0.3">
      <c r="A9011">
        <v>5549</v>
      </c>
      <c r="B9011" t="s">
        <v>16209</v>
      </c>
      <c r="C9011" s="3">
        <v>41751</v>
      </c>
      <c r="D9011" t="s">
        <v>39</v>
      </c>
      <c r="E9011">
        <v>9</v>
      </c>
      <c r="F9011" s="3">
        <f ca="1">41753+(RANDBETWEEN(1,10))</f>
        <v>41758</v>
      </c>
      <c r="G9011" t="s">
        <v>26</v>
      </c>
      <c r="H9011" t="s">
        <v>27</v>
      </c>
      <c r="I9011" t="s">
        <v>97</v>
      </c>
      <c r="J9011">
        <v>155.785</v>
      </c>
      <c r="K9011">
        <v>0.01</v>
      </c>
      <c r="L9011">
        <v>0.6</v>
      </c>
      <c r="M9011">
        <v>24.114999999999998</v>
      </c>
      <c r="N9011">
        <v>-152.18</v>
      </c>
      <c r="O9011" s="1" t="s">
        <v>40</v>
      </c>
      <c r="P9011" s="1" t="s">
        <v>16079</v>
      </c>
      <c r="Q9011" s="1" t="s">
        <v>16080</v>
      </c>
      <c r="R9011" s="1" t="s">
        <v>43</v>
      </c>
      <c r="S9011" s="1" t="s">
        <v>44</v>
      </c>
      <c r="T9011" s="1" t="s">
        <v>16081</v>
      </c>
      <c r="U9011" s="2" t="s">
        <v>3815</v>
      </c>
      <c r="V9011" s="2" t="s">
        <v>47</v>
      </c>
      <c r="W9011" s="2" t="s">
        <v>71</v>
      </c>
      <c r="X9011" s="2">
        <v>14.21</v>
      </c>
    </row>
    <row r="9012" spans="1:24" x14ac:dyDescent="0.3">
      <c r="A9012">
        <v>5554</v>
      </c>
      <c r="B9012" t="s">
        <v>16210</v>
      </c>
      <c r="C9012" s="3">
        <v>41556</v>
      </c>
      <c r="D9012" t="s">
        <v>62</v>
      </c>
      <c r="E9012">
        <v>8</v>
      </c>
      <c r="F9012" s="3">
        <f ca="1">41557+(RANDBETWEEN(1,10))</f>
        <v>41562</v>
      </c>
      <c r="G9012" t="s">
        <v>156</v>
      </c>
      <c r="H9012" t="s">
        <v>63</v>
      </c>
      <c r="I9012" t="s">
        <v>52</v>
      </c>
      <c r="J9012">
        <v>1391.04</v>
      </c>
      <c r="K9012">
        <v>0.01</v>
      </c>
      <c r="L9012">
        <v>0.56999999999999995</v>
      </c>
      <c r="M9012">
        <v>50.575000000000003</v>
      </c>
      <c r="N9012">
        <v>-160.27164999999999</v>
      </c>
      <c r="O9012" s="1" t="s">
        <v>64</v>
      </c>
      <c r="P9012" s="1" t="s">
        <v>252</v>
      </c>
      <c r="Q9012" s="1" t="s">
        <v>253</v>
      </c>
      <c r="R9012" s="1" t="s">
        <v>67</v>
      </c>
      <c r="S9012" s="1" t="s">
        <v>254</v>
      </c>
      <c r="T9012" s="1" t="s">
        <v>255</v>
      </c>
      <c r="U9012" s="2" t="s">
        <v>1470</v>
      </c>
      <c r="V9012" s="2" t="s">
        <v>83</v>
      </c>
      <c r="W9012" s="2" t="s">
        <v>178</v>
      </c>
      <c r="X9012" s="2">
        <v>143.39500000000001</v>
      </c>
    </row>
    <row r="9013" spans="1:24" x14ac:dyDescent="0.3">
      <c r="A9013">
        <v>5565</v>
      </c>
      <c r="B9013" t="s">
        <v>16211</v>
      </c>
      <c r="C9013" s="3">
        <v>41990</v>
      </c>
      <c r="D9013" t="s">
        <v>148</v>
      </c>
      <c r="E9013">
        <v>56</v>
      </c>
      <c r="F9013" s="3">
        <f ca="1">41992+(RANDBETWEEN(1,10))</f>
        <v>42001</v>
      </c>
      <c r="G9013" t="s">
        <v>26</v>
      </c>
      <c r="H9013" t="s">
        <v>27</v>
      </c>
      <c r="I9013" t="s">
        <v>97</v>
      </c>
      <c r="J9013">
        <v>2127.79</v>
      </c>
      <c r="K9013">
        <v>0.1</v>
      </c>
      <c r="L9013">
        <v>0.36</v>
      </c>
      <c r="M9013">
        <v>17.989999999999998</v>
      </c>
      <c r="N9013">
        <v>81.544749999999993</v>
      </c>
      <c r="O9013" s="1" t="s">
        <v>40</v>
      </c>
      <c r="P9013" s="1" t="s">
        <v>218</v>
      </c>
      <c r="Q9013" s="1" t="s">
        <v>219</v>
      </c>
      <c r="R9013" s="1" t="s">
        <v>220</v>
      </c>
      <c r="S9013" s="1" t="s">
        <v>221</v>
      </c>
      <c r="T9013" s="1" t="s">
        <v>222</v>
      </c>
      <c r="U9013" s="2" t="s">
        <v>5285</v>
      </c>
      <c r="V9013" s="2" t="s">
        <v>47</v>
      </c>
      <c r="W9013" s="2" t="s">
        <v>111</v>
      </c>
      <c r="X9013" s="2">
        <v>38.43</v>
      </c>
    </row>
    <row r="9014" spans="1:24" x14ac:dyDescent="0.3">
      <c r="A9014">
        <v>5568</v>
      </c>
      <c r="B9014" t="s">
        <v>16212</v>
      </c>
      <c r="C9014" s="3">
        <v>40707</v>
      </c>
      <c r="D9014" t="s">
        <v>25</v>
      </c>
      <c r="E9014">
        <v>44</v>
      </c>
      <c r="F9014" s="3">
        <f ca="1">40711+(RANDBETWEEN(1,10))</f>
        <v>40714</v>
      </c>
      <c r="G9014" t="s">
        <v>26</v>
      </c>
      <c r="H9014" t="s">
        <v>27</v>
      </c>
      <c r="I9014" t="s">
        <v>28</v>
      </c>
      <c r="J9014">
        <v>4662.3149999999996</v>
      </c>
      <c r="K9014">
        <v>0.03</v>
      </c>
      <c r="L9014">
        <v>0.79</v>
      </c>
      <c r="M9014">
        <v>22.75</v>
      </c>
      <c r="N9014">
        <v>-504.7</v>
      </c>
      <c r="O9014" s="1" t="s">
        <v>64</v>
      </c>
      <c r="P9014" s="1" t="s">
        <v>233</v>
      </c>
      <c r="Q9014" s="1" t="s">
        <v>234</v>
      </c>
      <c r="R9014" s="1" t="s">
        <v>67</v>
      </c>
      <c r="S9014" s="1" t="s">
        <v>68</v>
      </c>
      <c r="T9014" s="1" t="s">
        <v>235</v>
      </c>
      <c r="U9014" s="2" t="s">
        <v>4252</v>
      </c>
      <c r="V9014" s="2" t="s">
        <v>36</v>
      </c>
      <c r="W9014" s="2" t="s">
        <v>60</v>
      </c>
      <c r="X9014" s="2">
        <v>108.43</v>
      </c>
    </row>
    <row r="9015" spans="1:24" x14ac:dyDescent="0.3">
      <c r="A9015">
        <v>5573</v>
      </c>
      <c r="B9015" t="s">
        <v>16213</v>
      </c>
      <c r="C9015" s="3">
        <v>41863</v>
      </c>
      <c r="D9015" t="s">
        <v>25</v>
      </c>
      <c r="E9015">
        <v>76</v>
      </c>
      <c r="F9015" s="3">
        <f ca="1">41863+(RANDBETWEEN(1,10))</f>
        <v>41867</v>
      </c>
      <c r="G9015" t="s">
        <v>26</v>
      </c>
      <c r="H9015" t="s">
        <v>51</v>
      </c>
      <c r="I9015" t="s">
        <v>86</v>
      </c>
      <c r="J9015">
        <v>3192.21</v>
      </c>
      <c r="K9015">
        <v>0.02</v>
      </c>
      <c r="L9015">
        <v>0.6</v>
      </c>
      <c r="M9015">
        <v>20.335000000000001</v>
      </c>
      <c r="N9015">
        <v>-286.79455000000002</v>
      </c>
      <c r="O9015" s="1" t="s">
        <v>53</v>
      </c>
      <c r="P9015" s="1" t="s">
        <v>284</v>
      </c>
      <c r="Q9015" s="1" t="s">
        <v>285</v>
      </c>
      <c r="R9015" s="1" t="s">
        <v>56</v>
      </c>
      <c r="S9015" s="1" t="s">
        <v>57</v>
      </c>
      <c r="T9015" s="1" t="s">
        <v>58</v>
      </c>
      <c r="U9015" s="2" t="s">
        <v>1353</v>
      </c>
      <c r="V9015" s="2" t="s">
        <v>47</v>
      </c>
      <c r="W9015" s="2" t="s">
        <v>104</v>
      </c>
      <c r="X9015" s="2">
        <v>41.895000000000003</v>
      </c>
    </row>
    <row r="9016" spans="1:24" x14ac:dyDescent="0.3">
      <c r="A9016">
        <v>5574</v>
      </c>
      <c r="B9016" t="s">
        <v>16213</v>
      </c>
      <c r="C9016" s="3">
        <v>41863</v>
      </c>
      <c r="D9016" t="s">
        <v>25</v>
      </c>
      <c r="E9016">
        <v>34</v>
      </c>
      <c r="F9016" s="3">
        <f ca="1">41867+(RANDBETWEEN(1,10))</f>
        <v>41868</v>
      </c>
      <c r="G9016" t="s">
        <v>76</v>
      </c>
      <c r="H9016" t="s">
        <v>77</v>
      </c>
      <c r="I9016" t="s">
        <v>86</v>
      </c>
      <c r="J9016">
        <v>19912.48</v>
      </c>
      <c r="K9016">
        <v>0.03</v>
      </c>
      <c r="L9016">
        <v>0.55000000000000004</v>
      </c>
      <c r="M9016">
        <v>210</v>
      </c>
      <c r="N9016">
        <v>38.622149999999998</v>
      </c>
      <c r="O9016" s="1" t="s">
        <v>53</v>
      </c>
      <c r="P9016" s="1" t="s">
        <v>284</v>
      </c>
      <c r="Q9016" s="1" t="s">
        <v>285</v>
      </c>
      <c r="R9016" s="1" t="s">
        <v>56</v>
      </c>
      <c r="S9016" s="1" t="s">
        <v>57</v>
      </c>
      <c r="T9016" s="1" t="s">
        <v>58</v>
      </c>
      <c r="U9016" s="2" t="s">
        <v>1963</v>
      </c>
      <c r="V9016" s="2" t="s">
        <v>83</v>
      </c>
      <c r="W9016" s="2" t="s">
        <v>263</v>
      </c>
      <c r="X9016" s="2">
        <v>557.58500000000004</v>
      </c>
    </row>
    <row r="9017" spans="1:24" x14ac:dyDescent="0.3">
      <c r="A9017">
        <v>5595</v>
      </c>
      <c r="B9017" t="s">
        <v>16214</v>
      </c>
      <c r="C9017" s="3">
        <v>41912</v>
      </c>
      <c r="D9017" t="s">
        <v>148</v>
      </c>
      <c r="E9017">
        <v>82</v>
      </c>
      <c r="F9017" s="3">
        <f ca="1">41913+(RANDBETWEEN(1,10))</f>
        <v>41923</v>
      </c>
      <c r="G9017" t="s">
        <v>156</v>
      </c>
      <c r="H9017" t="s">
        <v>27</v>
      </c>
      <c r="I9017" t="s">
        <v>28</v>
      </c>
      <c r="J9017">
        <v>6300.3850000000002</v>
      </c>
      <c r="K9017">
        <v>0.03</v>
      </c>
      <c r="L9017">
        <v>0.37</v>
      </c>
      <c r="M9017">
        <v>10.465</v>
      </c>
      <c r="N9017">
        <v>1155.1032499999999</v>
      </c>
      <c r="O9017" s="1" t="s">
        <v>64</v>
      </c>
      <c r="P9017" s="1" t="s">
        <v>214</v>
      </c>
      <c r="Q9017" s="1" t="s">
        <v>215</v>
      </c>
      <c r="R9017" s="1" t="s">
        <v>67</v>
      </c>
      <c r="S9017" s="1" t="s">
        <v>68</v>
      </c>
      <c r="T9017" s="1" t="s">
        <v>69</v>
      </c>
      <c r="U9017" s="2" t="s">
        <v>8868</v>
      </c>
      <c r="V9017" s="2" t="s">
        <v>47</v>
      </c>
      <c r="W9017" s="2" t="s">
        <v>111</v>
      </c>
      <c r="X9017" s="2">
        <v>74.83</v>
      </c>
    </row>
    <row r="9018" spans="1:24" x14ac:dyDescent="0.3">
      <c r="A9018">
        <v>5602</v>
      </c>
      <c r="B9018" t="s">
        <v>16215</v>
      </c>
      <c r="C9018" s="3">
        <v>41798</v>
      </c>
      <c r="D9018" t="s">
        <v>50</v>
      </c>
      <c r="E9018">
        <v>3</v>
      </c>
      <c r="F9018" s="3">
        <f ca="1">41799+(RANDBETWEEN(1,10))</f>
        <v>41800</v>
      </c>
      <c r="G9018" t="s">
        <v>76</v>
      </c>
      <c r="H9018" t="s">
        <v>77</v>
      </c>
      <c r="I9018" t="s">
        <v>97</v>
      </c>
      <c r="J9018">
        <v>3878.7</v>
      </c>
      <c r="K9018">
        <v>0.06</v>
      </c>
      <c r="L9018">
        <v>0.56999999999999995</v>
      </c>
      <c r="M9018">
        <v>318.67500000000001</v>
      </c>
      <c r="N9018">
        <v>-1657.81</v>
      </c>
      <c r="O9018" s="1" t="s">
        <v>64</v>
      </c>
      <c r="P9018" s="1" t="s">
        <v>374</v>
      </c>
      <c r="Q9018" s="1" t="s">
        <v>375</v>
      </c>
      <c r="R9018" s="1" t="s">
        <v>128</v>
      </c>
      <c r="S9018" s="1" t="s">
        <v>129</v>
      </c>
      <c r="T9018" s="1" t="s">
        <v>376</v>
      </c>
      <c r="U9018" s="2" t="s">
        <v>1589</v>
      </c>
      <c r="V9018" s="2" t="s">
        <v>47</v>
      </c>
      <c r="W9018" s="2" t="s">
        <v>71</v>
      </c>
      <c r="X9018" s="2">
        <v>1148.49</v>
      </c>
    </row>
    <row r="9019" spans="1:24" x14ac:dyDescent="0.3">
      <c r="A9019">
        <v>5603</v>
      </c>
      <c r="B9019" t="s">
        <v>16215</v>
      </c>
      <c r="C9019" s="3">
        <v>41798</v>
      </c>
      <c r="D9019" t="s">
        <v>50</v>
      </c>
      <c r="E9019">
        <v>72</v>
      </c>
      <c r="F9019" s="3">
        <f ca="1">41799+(RANDBETWEEN(1,10))</f>
        <v>41802</v>
      </c>
      <c r="G9019" t="s">
        <v>26</v>
      </c>
      <c r="H9019" t="s">
        <v>27</v>
      </c>
      <c r="I9019" t="s">
        <v>97</v>
      </c>
      <c r="J9019">
        <v>14441.245000000001</v>
      </c>
      <c r="K9019">
        <v>0</v>
      </c>
      <c r="L9019">
        <v>0.56000000000000005</v>
      </c>
      <c r="M9019">
        <v>18.41</v>
      </c>
      <c r="N9019">
        <v>2771.6534999999999</v>
      </c>
      <c r="O9019" s="1" t="s">
        <v>64</v>
      </c>
      <c r="P9019" s="1" t="s">
        <v>374</v>
      </c>
      <c r="Q9019" s="1" t="s">
        <v>375</v>
      </c>
      <c r="R9019" s="1" t="s">
        <v>128</v>
      </c>
      <c r="S9019" s="1" t="s">
        <v>129</v>
      </c>
      <c r="T9019" s="1" t="s">
        <v>376</v>
      </c>
      <c r="U9019" s="2">
        <v>8860</v>
      </c>
      <c r="V9019" s="2" t="s">
        <v>36</v>
      </c>
      <c r="W9019" s="2" t="s">
        <v>37</v>
      </c>
      <c r="X9019" s="2">
        <v>230.965</v>
      </c>
    </row>
    <row r="9020" spans="1:24" x14ac:dyDescent="0.3">
      <c r="A9020">
        <v>5638</v>
      </c>
      <c r="B9020" t="s">
        <v>16216</v>
      </c>
      <c r="C9020" s="3">
        <v>41338</v>
      </c>
      <c r="D9020" t="s">
        <v>50</v>
      </c>
      <c r="E9020">
        <v>56</v>
      </c>
      <c r="F9020" s="3">
        <f ca="1">41340+(RANDBETWEEN(1,10))</f>
        <v>41348</v>
      </c>
      <c r="G9020" t="s">
        <v>76</v>
      </c>
      <c r="H9020" t="s">
        <v>258</v>
      </c>
      <c r="I9020" t="s">
        <v>28</v>
      </c>
      <c r="J9020">
        <v>30041.865000000002</v>
      </c>
      <c r="K9020">
        <v>0</v>
      </c>
      <c r="L9020">
        <v>0.75</v>
      </c>
      <c r="M9020">
        <v>137.375</v>
      </c>
      <c r="N9020">
        <v>-1313.6623500000001</v>
      </c>
      <c r="O9020" s="1" t="s">
        <v>64</v>
      </c>
      <c r="P9020" s="1" t="s">
        <v>65</v>
      </c>
      <c r="Q9020" s="1" t="s">
        <v>66</v>
      </c>
      <c r="R9020" s="1" t="s">
        <v>67</v>
      </c>
      <c r="S9020" s="1" t="s">
        <v>68</v>
      </c>
      <c r="T9020" s="1" t="s">
        <v>69</v>
      </c>
      <c r="U9020" s="2" t="s">
        <v>342</v>
      </c>
      <c r="V9020" s="2" t="s">
        <v>83</v>
      </c>
      <c r="W9020" s="2" t="s">
        <v>263</v>
      </c>
      <c r="X9020" s="2">
        <v>528.42999999999995</v>
      </c>
    </row>
    <row r="9021" spans="1:24" x14ac:dyDescent="0.3">
      <c r="A9021">
        <v>5648</v>
      </c>
      <c r="B9021" t="s">
        <v>16217</v>
      </c>
      <c r="C9021" s="3">
        <v>41907</v>
      </c>
      <c r="D9021" t="s">
        <v>50</v>
      </c>
      <c r="E9021">
        <v>74</v>
      </c>
      <c r="F9021" s="3">
        <f ca="1">41908+(RANDBETWEEN(1,10))</f>
        <v>41910</v>
      </c>
      <c r="G9021" t="s">
        <v>26</v>
      </c>
      <c r="H9021" t="s">
        <v>27</v>
      </c>
      <c r="I9021" t="s">
        <v>28</v>
      </c>
      <c r="J9021">
        <v>1661.905</v>
      </c>
      <c r="K9021">
        <v>0.03</v>
      </c>
      <c r="L9021">
        <v>0.39</v>
      </c>
      <c r="M9021">
        <v>1.75</v>
      </c>
      <c r="N9021">
        <v>379.71499999999997</v>
      </c>
      <c r="O9021" s="1" t="s">
        <v>64</v>
      </c>
      <c r="P9021" s="1" t="s">
        <v>65</v>
      </c>
      <c r="Q9021" s="1" t="s">
        <v>66</v>
      </c>
      <c r="R9021" s="1" t="s">
        <v>67</v>
      </c>
      <c r="S9021" s="1" t="s">
        <v>68</v>
      </c>
      <c r="T9021" s="1" t="s">
        <v>69</v>
      </c>
      <c r="U9021" s="2" t="s">
        <v>2021</v>
      </c>
      <c r="V9021" s="2" t="s">
        <v>47</v>
      </c>
      <c r="W9021" s="2" t="s">
        <v>203</v>
      </c>
      <c r="X9021" s="2">
        <v>22.05</v>
      </c>
    </row>
    <row r="9022" spans="1:24" x14ac:dyDescent="0.3">
      <c r="A9022">
        <v>5649</v>
      </c>
      <c r="B9022" t="s">
        <v>16217</v>
      </c>
      <c r="C9022" s="3">
        <v>41907</v>
      </c>
      <c r="D9022" t="s">
        <v>50</v>
      </c>
      <c r="E9022">
        <v>76</v>
      </c>
      <c r="F9022" s="3">
        <f ca="1">41909+(RANDBETWEEN(1,10))</f>
        <v>41912</v>
      </c>
      <c r="G9022" t="s">
        <v>26</v>
      </c>
      <c r="H9022" t="s">
        <v>27</v>
      </c>
      <c r="I9022" t="s">
        <v>28</v>
      </c>
      <c r="J9022">
        <v>1024.03</v>
      </c>
      <c r="K9022">
        <v>0.01</v>
      </c>
      <c r="L9022">
        <v>0.38</v>
      </c>
      <c r="M9022">
        <v>1.75</v>
      </c>
      <c r="N9022">
        <v>219.55500000000001</v>
      </c>
      <c r="O9022" s="1" t="s">
        <v>64</v>
      </c>
      <c r="P9022" s="1" t="s">
        <v>65</v>
      </c>
      <c r="Q9022" s="1" t="s">
        <v>66</v>
      </c>
      <c r="R9022" s="1" t="s">
        <v>67</v>
      </c>
      <c r="S9022" s="1" t="s">
        <v>68</v>
      </c>
      <c r="T9022" s="1" t="s">
        <v>69</v>
      </c>
      <c r="U9022" s="2" t="s">
        <v>702</v>
      </c>
      <c r="V9022" s="2" t="s">
        <v>47</v>
      </c>
      <c r="W9022" s="2" t="s">
        <v>203</v>
      </c>
      <c r="X9022" s="2">
        <v>12.914999999999999</v>
      </c>
    </row>
    <row r="9023" spans="1:24" x14ac:dyDescent="0.3">
      <c r="A9023">
        <v>5650</v>
      </c>
      <c r="B9023" t="s">
        <v>16217</v>
      </c>
      <c r="C9023" s="3">
        <v>41907</v>
      </c>
      <c r="D9023" t="s">
        <v>50</v>
      </c>
      <c r="E9023">
        <v>40</v>
      </c>
      <c r="F9023" s="3">
        <f ca="1">41910+(RANDBETWEEN(1,10))</f>
        <v>41917</v>
      </c>
      <c r="G9023" t="s">
        <v>26</v>
      </c>
      <c r="H9023" t="s">
        <v>27</v>
      </c>
      <c r="I9023" t="s">
        <v>28</v>
      </c>
      <c r="J9023">
        <v>715.19</v>
      </c>
      <c r="K9023">
        <v>0.05</v>
      </c>
      <c r="L9023">
        <v>0.38</v>
      </c>
      <c r="M9023">
        <v>10.465</v>
      </c>
      <c r="N9023">
        <v>-25.76</v>
      </c>
      <c r="O9023" s="1" t="s">
        <v>64</v>
      </c>
      <c r="P9023" s="1" t="s">
        <v>65</v>
      </c>
      <c r="Q9023" s="1" t="s">
        <v>66</v>
      </c>
      <c r="R9023" s="1" t="s">
        <v>67</v>
      </c>
      <c r="S9023" s="1" t="s">
        <v>68</v>
      </c>
      <c r="T9023" s="1" t="s">
        <v>69</v>
      </c>
      <c r="U9023" s="2" t="s">
        <v>12197</v>
      </c>
      <c r="V9023" s="2" t="s">
        <v>47</v>
      </c>
      <c r="W9023" s="2" t="s">
        <v>111</v>
      </c>
      <c r="X9023" s="2">
        <v>17.71</v>
      </c>
    </row>
    <row r="9024" spans="1:24" x14ac:dyDescent="0.3">
      <c r="A9024">
        <v>566</v>
      </c>
      <c r="B9024" t="s">
        <v>16218</v>
      </c>
      <c r="C9024" s="3">
        <v>40820</v>
      </c>
      <c r="D9024" t="s">
        <v>50</v>
      </c>
      <c r="E9024">
        <v>34</v>
      </c>
      <c r="F9024" s="3">
        <f ca="1">40822+(RANDBETWEEN(1,10))</f>
        <v>40827</v>
      </c>
      <c r="G9024" t="s">
        <v>26</v>
      </c>
      <c r="H9024" t="s">
        <v>63</v>
      </c>
      <c r="I9024" t="s">
        <v>86</v>
      </c>
      <c r="J9024">
        <v>7418.39</v>
      </c>
      <c r="K9024">
        <v>0.02</v>
      </c>
      <c r="L9024">
        <v>0.59</v>
      </c>
      <c r="M9024">
        <v>171.5</v>
      </c>
      <c r="N9024">
        <v>-2318.8200000000002</v>
      </c>
      <c r="O9024" s="1" t="s">
        <v>64</v>
      </c>
      <c r="P9024" s="1" t="s">
        <v>106</v>
      </c>
      <c r="Q9024" s="1" t="s">
        <v>107</v>
      </c>
      <c r="R9024" s="1" t="s">
        <v>67</v>
      </c>
      <c r="S9024" s="1" t="s">
        <v>108</v>
      </c>
      <c r="T9024" s="1" t="s">
        <v>109</v>
      </c>
      <c r="U9024" s="2" t="s">
        <v>1546</v>
      </c>
      <c r="V9024" s="2" t="s">
        <v>47</v>
      </c>
      <c r="W9024" s="2" t="s">
        <v>71</v>
      </c>
      <c r="X9024" s="2">
        <v>213.43</v>
      </c>
    </row>
    <row r="9025" spans="1:24" x14ac:dyDescent="0.3">
      <c r="A9025">
        <v>567</v>
      </c>
      <c r="B9025" t="s">
        <v>16218</v>
      </c>
      <c r="C9025" s="3">
        <v>40820</v>
      </c>
      <c r="D9025" t="s">
        <v>50</v>
      </c>
      <c r="E9025">
        <v>36</v>
      </c>
      <c r="F9025" s="3">
        <f ca="1">40822+(RANDBETWEEN(1,10))</f>
        <v>40825</v>
      </c>
      <c r="G9025" t="s">
        <v>26</v>
      </c>
      <c r="H9025" t="s">
        <v>27</v>
      </c>
      <c r="I9025" t="s">
        <v>86</v>
      </c>
      <c r="J9025">
        <v>160080.655</v>
      </c>
      <c r="K9025">
        <v>0.02</v>
      </c>
      <c r="L9025">
        <v>0.35</v>
      </c>
      <c r="M9025">
        <v>69.965000000000003</v>
      </c>
      <c r="N9025">
        <v>32298.7896</v>
      </c>
      <c r="O9025" s="1" t="s">
        <v>64</v>
      </c>
      <c r="P9025" s="1" t="s">
        <v>106</v>
      </c>
      <c r="Q9025" s="1" t="s">
        <v>107</v>
      </c>
      <c r="R9025" s="1" t="s">
        <v>67</v>
      </c>
      <c r="S9025" s="1" t="s">
        <v>108</v>
      </c>
      <c r="T9025" s="1" t="s">
        <v>109</v>
      </c>
      <c r="U9025" s="2" t="s">
        <v>2579</v>
      </c>
      <c r="V9025" s="2" t="s">
        <v>47</v>
      </c>
      <c r="W9025" s="2" t="s">
        <v>111</v>
      </c>
      <c r="X9025" s="2">
        <v>4448.4650000000001</v>
      </c>
    </row>
    <row r="9026" spans="1:24" x14ac:dyDescent="0.3">
      <c r="A9026">
        <v>5670</v>
      </c>
      <c r="B9026" t="s">
        <v>16219</v>
      </c>
      <c r="C9026" s="3">
        <v>40574</v>
      </c>
      <c r="D9026" t="s">
        <v>25</v>
      </c>
      <c r="E9026">
        <v>46</v>
      </c>
      <c r="F9026" s="3">
        <f ca="1">40579+(RANDBETWEEN(1,10))</f>
        <v>40589</v>
      </c>
      <c r="G9026" t="s">
        <v>156</v>
      </c>
      <c r="H9026" t="s">
        <v>27</v>
      </c>
      <c r="I9026" t="s">
        <v>28</v>
      </c>
      <c r="J9026">
        <v>7658.21</v>
      </c>
      <c r="K9026">
        <v>0.1</v>
      </c>
      <c r="L9026">
        <v>0.45</v>
      </c>
      <c r="M9026">
        <v>69.965000000000003</v>
      </c>
      <c r="N9026">
        <v>47.277999999999999</v>
      </c>
      <c r="O9026" s="1" t="s">
        <v>53</v>
      </c>
      <c r="P9026" s="1" t="s">
        <v>7631</v>
      </c>
      <c r="Q9026" s="1" t="s">
        <v>7632</v>
      </c>
      <c r="R9026" s="1" t="s">
        <v>56</v>
      </c>
      <c r="S9026" s="1" t="s">
        <v>159</v>
      </c>
      <c r="T9026" s="1" t="s">
        <v>7633</v>
      </c>
      <c r="U9026" s="2" t="s">
        <v>72</v>
      </c>
      <c r="V9026" s="2" t="s">
        <v>36</v>
      </c>
      <c r="W9026" s="2" t="s">
        <v>60</v>
      </c>
      <c r="X9026" s="2">
        <v>174.965</v>
      </c>
    </row>
    <row r="9027" spans="1:24" x14ac:dyDescent="0.3">
      <c r="A9027">
        <v>568</v>
      </c>
      <c r="B9027" t="s">
        <v>16220</v>
      </c>
      <c r="C9027" s="3">
        <v>41916</v>
      </c>
      <c r="D9027" t="s">
        <v>50</v>
      </c>
      <c r="E9027">
        <v>90</v>
      </c>
      <c r="F9027" s="3">
        <f ca="1">41918+(RANDBETWEEN(1,10))</f>
        <v>41926</v>
      </c>
      <c r="G9027" t="s">
        <v>156</v>
      </c>
      <c r="H9027" t="s">
        <v>27</v>
      </c>
      <c r="I9027" t="s">
        <v>86</v>
      </c>
      <c r="J9027">
        <v>53537.434999999998</v>
      </c>
      <c r="K9027">
        <v>0.05</v>
      </c>
      <c r="L9027">
        <v>0.6</v>
      </c>
      <c r="M9027">
        <v>31.465</v>
      </c>
      <c r="N9027">
        <v>5880.7979999999998</v>
      </c>
      <c r="O9027" s="1" t="s">
        <v>64</v>
      </c>
      <c r="P9027" s="1" t="s">
        <v>106</v>
      </c>
      <c r="Q9027" s="1" t="s">
        <v>107</v>
      </c>
      <c r="R9027" s="1" t="s">
        <v>67</v>
      </c>
      <c r="S9027" s="1" t="s">
        <v>108</v>
      </c>
      <c r="T9027" s="1" t="s">
        <v>109</v>
      </c>
      <c r="U9027" s="2" t="s">
        <v>2580</v>
      </c>
      <c r="V9027" s="2" t="s">
        <v>36</v>
      </c>
      <c r="W9027" s="2" t="s">
        <v>37</v>
      </c>
      <c r="X9027" s="2">
        <v>720.96500000000003</v>
      </c>
    </row>
    <row r="9028" spans="1:24" x14ac:dyDescent="0.3">
      <c r="A9028">
        <v>5684</v>
      </c>
      <c r="B9028" t="s">
        <v>16221</v>
      </c>
      <c r="C9028" s="3">
        <v>41335</v>
      </c>
      <c r="D9028" t="s">
        <v>39</v>
      </c>
      <c r="E9028">
        <v>56</v>
      </c>
      <c r="F9028" s="3">
        <f ca="1">41338+(RANDBETWEEN(1,10))</f>
        <v>41347</v>
      </c>
      <c r="G9028" t="s">
        <v>26</v>
      </c>
      <c r="H9028" t="s">
        <v>27</v>
      </c>
      <c r="I9028" t="s">
        <v>52</v>
      </c>
      <c r="J9028">
        <v>1651.72</v>
      </c>
      <c r="K9028">
        <v>7.0000000000000007E-2</v>
      </c>
      <c r="L9028">
        <v>0.59</v>
      </c>
      <c r="M9028">
        <v>15.75</v>
      </c>
      <c r="N9028">
        <v>-349.91635000000002</v>
      </c>
      <c r="O9028" s="1" t="s">
        <v>225</v>
      </c>
      <c r="P9028" s="1" t="s">
        <v>3977</v>
      </c>
      <c r="Q9028" s="1" t="s">
        <v>3978</v>
      </c>
      <c r="R9028" s="1" t="s">
        <v>228</v>
      </c>
      <c r="S9028" s="1" t="s">
        <v>349</v>
      </c>
      <c r="T9028" s="1" t="s">
        <v>350</v>
      </c>
      <c r="U9028" s="2" t="s">
        <v>4295</v>
      </c>
      <c r="V9028" s="2" t="s">
        <v>47</v>
      </c>
      <c r="W9028" s="2" t="s">
        <v>71</v>
      </c>
      <c r="X9028" s="2">
        <v>30.17</v>
      </c>
    </row>
    <row r="9029" spans="1:24" x14ac:dyDescent="0.3">
      <c r="A9029">
        <v>5686</v>
      </c>
      <c r="B9029" t="s">
        <v>16222</v>
      </c>
      <c r="C9029" s="3">
        <v>41918</v>
      </c>
      <c r="D9029" t="s">
        <v>50</v>
      </c>
      <c r="E9029">
        <v>63</v>
      </c>
      <c r="F9029" s="3">
        <f ca="1">41919+(RANDBETWEEN(1,10))</f>
        <v>41922</v>
      </c>
      <c r="G9029" t="s">
        <v>76</v>
      </c>
      <c r="H9029" t="s">
        <v>77</v>
      </c>
      <c r="I9029" t="s">
        <v>52</v>
      </c>
      <c r="J9029">
        <v>33125.364999999998</v>
      </c>
      <c r="K9029">
        <v>0.1</v>
      </c>
      <c r="L9029">
        <v>0.62</v>
      </c>
      <c r="M9029">
        <v>105</v>
      </c>
      <c r="N9029">
        <v>1017.31</v>
      </c>
      <c r="O9029" s="1" t="s">
        <v>53</v>
      </c>
      <c r="P9029" s="1" t="s">
        <v>10270</v>
      </c>
      <c r="Q9029" s="1" t="s">
        <v>10271</v>
      </c>
      <c r="R9029" s="1" t="s">
        <v>100</v>
      </c>
      <c r="S9029" s="1" t="s">
        <v>101</v>
      </c>
      <c r="T9029" s="1" t="s">
        <v>10272</v>
      </c>
      <c r="U9029" s="2" t="s">
        <v>2089</v>
      </c>
      <c r="V9029" s="2" t="s">
        <v>83</v>
      </c>
      <c r="W9029" s="2" t="s">
        <v>84</v>
      </c>
      <c r="X9029" s="2">
        <v>563.42999999999995</v>
      </c>
    </row>
    <row r="9030" spans="1:24" x14ac:dyDescent="0.3">
      <c r="A9030">
        <v>5687</v>
      </c>
      <c r="B9030" t="s">
        <v>16223</v>
      </c>
      <c r="C9030" s="3">
        <v>41188</v>
      </c>
      <c r="D9030" t="s">
        <v>50</v>
      </c>
      <c r="E9030">
        <v>29</v>
      </c>
      <c r="F9030" s="3">
        <f ca="1">41190+(RANDBETWEEN(1,10))</f>
        <v>41195</v>
      </c>
      <c r="G9030" t="s">
        <v>76</v>
      </c>
      <c r="H9030" t="s">
        <v>258</v>
      </c>
      <c r="I9030" t="s">
        <v>52</v>
      </c>
      <c r="J9030">
        <v>13387.674999999999</v>
      </c>
      <c r="K9030">
        <v>0</v>
      </c>
      <c r="L9030">
        <v>0.39</v>
      </c>
      <c r="M9030">
        <v>196.49</v>
      </c>
      <c r="N9030">
        <v>-60.546779999999998</v>
      </c>
      <c r="O9030" s="1" t="s">
        <v>53</v>
      </c>
      <c r="P9030" s="1" t="s">
        <v>10270</v>
      </c>
      <c r="Q9030" s="1" t="s">
        <v>10271</v>
      </c>
      <c r="R9030" s="1" t="s">
        <v>100</v>
      </c>
      <c r="S9030" s="1" t="s">
        <v>101</v>
      </c>
      <c r="T9030" s="1" t="s">
        <v>10272</v>
      </c>
      <c r="U9030" s="2" t="s">
        <v>5088</v>
      </c>
      <c r="V9030" s="2" t="s">
        <v>36</v>
      </c>
      <c r="W9030" s="2" t="s">
        <v>142</v>
      </c>
      <c r="X9030" s="2">
        <v>419.96499999999997</v>
      </c>
    </row>
    <row r="9031" spans="1:24" x14ac:dyDescent="0.3">
      <c r="A9031">
        <v>5688</v>
      </c>
      <c r="B9031" t="s">
        <v>16223</v>
      </c>
      <c r="C9031" s="3">
        <v>41188</v>
      </c>
      <c r="D9031" t="s">
        <v>50</v>
      </c>
      <c r="E9031">
        <v>61</v>
      </c>
      <c r="F9031" s="3">
        <f ca="1">41190+(RANDBETWEEN(1,10))</f>
        <v>41198</v>
      </c>
      <c r="G9031" t="s">
        <v>26</v>
      </c>
      <c r="H9031" t="s">
        <v>27</v>
      </c>
      <c r="I9031" t="s">
        <v>52</v>
      </c>
      <c r="J9031">
        <v>6875.4</v>
      </c>
      <c r="K9031">
        <v>0.02</v>
      </c>
      <c r="L9031">
        <v>0.85</v>
      </c>
      <c r="M9031">
        <v>17.5</v>
      </c>
      <c r="N9031">
        <v>-470.91660000000002</v>
      </c>
      <c r="O9031" s="1" t="s">
        <v>53</v>
      </c>
      <c r="P9031" s="1" t="s">
        <v>10270</v>
      </c>
      <c r="Q9031" s="1" t="s">
        <v>10271</v>
      </c>
      <c r="R9031" s="1" t="s">
        <v>100</v>
      </c>
      <c r="S9031" s="1" t="s">
        <v>101</v>
      </c>
      <c r="T9031" s="1" t="s">
        <v>10272</v>
      </c>
      <c r="U9031" s="2" t="s">
        <v>6099</v>
      </c>
      <c r="V9031" s="2" t="s">
        <v>36</v>
      </c>
      <c r="W9031" s="2" t="s">
        <v>37</v>
      </c>
      <c r="X9031" s="2">
        <v>125.965</v>
      </c>
    </row>
    <row r="9032" spans="1:24" x14ac:dyDescent="0.3">
      <c r="A9032">
        <v>5689</v>
      </c>
      <c r="B9032" t="s">
        <v>16224</v>
      </c>
      <c r="C9032" s="3">
        <v>40724</v>
      </c>
      <c r="D9032" t="s">
        <v>25</v>
      </c>
      <c r="E9032">
        <v>21</v>
      </c>
      <c r="F9032" s="3">
        <f ca="1">40731+(RANDBETWEEN(1,10))</f>
        <v>40736</v>
      </c>
      <c r="G9032" t="s">
        <v>156</v>
      </c>
      <c r="H9032" t="s">
        <v>27</v>
      </c>
      <c r="I9032" t="s">
        <v>52</v>
      </c>
      <c r="J9032">
        <v>4677.2250000000004</v>
      </c>
      <c r="K9032">
        <v>0.05</v>
      </c>
      <c r="L9032">
        <v>0.46</v>
      </c>
      <c r="M9032">
        <v>50.68</v>
      </c>
      <c r="N9032">
        <v>948.06005000000005</v>
      </c>
      <c r="O9032" s="1" t="s">
        <v>53</v>
      </c>
      <c r="P9032" s="1" t="s">
        <v>54</v>
      </c>
      <c r="Q9032" s="1" t="s">
        <v>55</v>
      </c>
      <c r="R9032" s="1" t="s">
        <v>56</v>
      </c>
      <c r="S9032" s="1" t="s">
        <v>57</v>
      </c>
      <c r="T9032" s="1" t="s">
        <v>58</v>
      </c>
      <c r="U9032" s="2" t="s">
        <v>6357</v>
      </c>
      <c r="V9032" s="2" t="s">
        <v>83</v>
      </c>
      <c r="W9032" s="2" t="s">
        <v>178</v>
      </c>
      <c r="X9032" s="2">
        <v>223.79</v>
      </c>
    </row>
    <row r="9033" spans="1:24" x14ac:dyDescent="0.3">
      <c r="A9033">
        <v>5722</v>
      </c>
      <c r="B9033" t="s">
        <v>16225</v>
      </c>
      <c r="C9033" s="3">
        <v>40733</v>
      </c>
      <c r="D9033" t="s">
        <v>62</v>
      </c>
      <c r="E9033">
        <v>54</v>
      </c>
      <c r="F9033" s="3">
        <f ca="1">40735+(RANDBETWEEN(1,10))</f>
        <v>40739</v>
      </c>
      <c r="G9033" t="s">
        <v>156</v>
      </c>
      <c r="H9033" t="s">
        <v>281</v>
      </c>
      <c r="I9033" t="s">
        <v>86</v>
      </c>
      <c r="J9033">
        <v>29165.185000000001</v>
      </c>
      <c r="K9033">
        <v>0.06</v>
      </c>
      <c r="L9033">
        <v>0.56999999999999995</v>
      </c>
      <c r="M9033">
        <v>48.965000000000003</v>
      </c>
      <c r="N9033">
        <v>4270.1324400000003</v>
      </c>
      <c r="O9033" s="1" t="s">
        <v>64</v>
      </c>
      <c r="P9033" s="1" t="s">
        <v>15361</v>
      </c>
      <c r="Q9033" s="1" t="s">
        <v>15362</v>
      </c>
      <c r="R9033" s="1" t="s">
        <v>67</v>
      </c>
      <c r="S9033" s="1" t="s">
        <v>254</v>
      </c>
      <c r="T9033" s="1" t="s">
        <v>8189</v>
      </c>
      <c r="U9033" s="2" t="s">
        <v>649</v>
      </c>
      <c r="V9033" s="2" t="s">
        <v>36</v>
      </c>
      <c r="W9033" s="2" t="s">
        <v>37</v>
      </c>
      <c r="X9033" s="2">
        <v>629.96500000000003</v>
      </c>
    </row>
    <row r="9034" spans="1:24" x14ac:dyDescent="0.3">
      <c r="A9034">
        <v>5727</v>
      </c>
      <c r="B9034" t="s">
        <v>16226</v>
      </c>
      <c r="C9034" s="3">
        <v>41333</v>
      </c>
      <c r="D9034" t="s">
        <v>39</v>
      </c>
      <c r="E9034">
        <v>10</v>
      </c>
      <c r="F9034" s="3">
        <f ca="1">41333+(RANDBETWEEN(1,10))</f>
        <v>41343</v>
      </c>
      <c r="G9034" t="s">
        <v>26</v>
      </c>
      <c r="H9034" t="s">
        <v>96</v>
      </c>
      <c r="I9034" t="s">
        <v>28</v>
      </c>
      <c r="J9034">
        <v>74.655000000000001</v>
      </c>
      <c r="K9034">
        <v>0.1</v>
      </c>
      <c r="L9034">
        <v>0.57999999999999996</v>
      </c>
      <c r="M9034">
        <v>3.92</v>
      </c>
      <c r="N9034">
        <v>-23.94</v>
      </c>
      <c r="O9034" s="1" t="s">
        <v>64</v>
      </c>
      <c r="P9034" s="1" t="s">
        <v>16006</v>
      </c>
      <c r="Q9034" s="1" t="s">
        <v>16007</v>
      </c>
      <c r="R9034" s="1" t="s">
        <v>128</v>
      </c>
      <c r="S9034" s="1" t="s">
        <v>129</v>
      </c>
      <c r="T9034" s="1" t="s">
        <v>16008</v>
      </c>
      <c r="U9034" s="2" t="s">
        <v>6368</v>
      </c>
      <c r="V9034" s="2" t="s">
        <v>47</v>
      </c>
      <c r="W9034" s="2" t="s">
        <v>104</v>
      </c>
      <c r="X9034" s="2">
        <v>7.7350000000000003</v>
      </c>
    </row>
    <row r="9035" spans="1:24" x14ac:dyDescent="0.3">
      <c r="A9035">
        <v>5728</v>
      </c>
      <c r="B9035" t="s">
        <v>16227</v>
      </c>
      <c r="C9035" s="3">
        <v>41369</v>
      </c>
      <c r="D9035" t="s">
        <v>62</v>
      </c>
      <c r="E9035">
        <v>26</v>
      </c>
      <c r="F9035" s="3">
        <f ca="1">41371+(RANDBETWEEN(1,10))</f>
        <v>41380</v>
      </c>
      <c r="G9035" t="s">
        <v>26</v>
      </c>
      <c r="H9035" t="s">
        <v>27</v>
      </c>
      <c r="I9035" t="s">
        <v>97</v>
      </c>
      <c r="J9035">
        <v>1023.715</v>
      </c>
      <c r="K9035">
        <v>0.05</v>
      </c>
      <c r="L9035">
        <v>0.35</v>
      </c>
      <c r="M9035">
        <v>20.02</v>
      </c>
      <c r="N9035">
        <v>25.326000000000001</v>
      </c>
      <c r="O9035" s="1" t="s">
        <v>64</v>
      </c>
      <c r="P9035" s="1" t="s">
        <v>314</v>
      </c>
      <c r="Q9035" s="1" t="s">
        <v>315</v>
      </c>
      <c r="R9035" s="1" t="s">
        <v>67</v>
      </c>
      <c r="S9035" s="1" t="s">
        <v>254</v>
      </c>
      <c r="T9035" s="1" t="s">
        <v>316</v>
      </c>
      <c r="U9035" s="2" t="s">
        <v>2886</v>
      </c>
      <c r="V9035" s="2" t="s">
        <v>47</v>
      </c>
      <c r="W9035" s="2" t="s">
        <v>48</v>
      </c>
      <c r="X9035" s="2">
        <v>40.53</v>
      </c>
    </row>
    <row r="9036" spans="1:24" x14ac:dyDescent="0.3">
      <c r="A9036">
        <v>573</v>
      </c>
      <c r="B9036" t="s">
        <v>16228</v>
      </c>
      <c r="C9036" s="3">
        <v>41263</v>
      </c>
      <c r="D9036" t="s">
        <v>50</v>
      </c>
      <c r="E9036">
        <v>78</v>
      </c>
      <c r="F9036" s="3">
        <f ca="1">41264+(RANDBETWEEN(1,10))</f>
        <v>41271</v>
      </c>
      <c r="G9036" t="s">
        <v>76</v>
      </c>
      <c r="H9036" t="s">
        <v>77</v>
      </c>
      <c r="I9036" t="s">
        <v>52</v>
      </c>
      <c r="J9036">
        <v>16496.235000000001</v>
      </c>
      <c r="K9036">
        <v>0.03</v>
      </c>
      <c r="L9036">
        <v>0.56000000000000005</v>
      </c>
      <c r="M9036">
        <v>113.435</v>
      </c>
      <c r="N9036">
        <v>-1320.375</v>
      </c>
      <c r="O9036" s="1" t="s">
        <v>40</v>
      </c>
      <c r="P9036" s="1" t="s">
        <v>381</v>
      </c>
      <c r="Q9036" s="1" t="s">
        <v>382</v>
      </c>
      <c r="R9036" s="1" t="s">
        <v>220</v>
      </c>
      <c r="S9036" s="1" t="s">
        <v>221</v>
      </c>
      <c r="T9036" s="1" t="s">
        <v>383</v>
      </c>
      <c r="U9036" s="2" t="s">
        <v>1410</v>
      </c>
      <c r="V9036" s="2" t="s">
        <v>83</v>
      </c>
      <c r="W9036" s="2" t="s">
        <v>84</v>
      </c>
      <c r="X9036" s="2">
        <v>213.11500000000001</v>
      </c>
    </row>
    <row r="9037" spans="1:24" x14ac:dyDescent="0.3">
      <c r="A9037">
        <v>5730</v>
      </c>
      <c r="B9037" t="s">
        <v>16229</v>
      </c>
      <c r="C9037" s="3">
        <v>41941</v>
      </c>
      <c r="D9037" t="s">
        <v>25</v>
      </c>
      <c r="E9037">
        <v>34</v>
      </c>
      <c r="F9037" s="3">
        <f ca="1">41943+(RANDBETWEEN(1,10))</f>
        <v>41947</v>
      </c>
      <c r="G9037" t="s">
        <v>76</v>
      </c>
      <c r="H9037" t="s">
        <v>258</v>
      </c>
      <c r="I9037" t="s">
        <v>52</v>
      </c>
      <c r="J9037">
        <v>12033.21</v>
      </c>
      <c r="K9037">
        <v>0.04</v>
      </c>
      <c r="L9037">
        <v>0.62</v>
      </c>
      <c r="M9037">
        <v>125.44</v>
      </c>
      <c r="N9037">
        <v>-557.23500000000001</v>
      </c>
      <c r="O9037" s="1" t="s">
        <v>53</v>
      </c>
      <c r="P9037" s="1" t="s">
        <v>10270</v>
      </c>
      <c r="Q9037" s="1" t="s">
        <v>10271</v>
      </c>
      <c r="R9037" s="1" t="s">
        <v>100</v>
      </c>
      <c r="S9037" s="1" t="s">
        <v>101</v>
      </c>
      <c r="T9037" s="1" t="s">
        <v>10272</v>
      </c>
      <c r="U9037" s="2" t="s">
        <v>1271</v>
      </c>
      <c r="V9037" s="2" t="s">
        <v>83</v>
      </c>
      <c r="W9037" s="2" t="s">
        <v>298</v>
      </c>
      <c r="X9037" s="2">
        <v>353.43</v>
      </c>
    </row>
    <row r="9038" spans="1:24" x14ac:dyDescent="0.3">
      <c r="A9038">
        <v>5757</v>
      </c>
      <c r="B9038" t="s">
        <v>16230</v>
      </c>
      <c r="C9038" s="3">
        <v>41619</v>
      </c>
      <c r="D9038" t="s">
        <v>62</v>
      </c>
      <c r="E9038">
        <v>86</v>
      </c>
      <c r="F9038" s="3">
        <f ca="1">41619+(RANDBETWEEN(1,10))</f>
        <v>41629</v>
      </c>
      <c r="G9038" t="s">
        <v>26</v>
      </c>
      <c r="H9038" t="s">
        <v>27</v>
      </c>
      <c r="I9038" t="s">
        <v>28</v>
      </c>
      <c r="J9038">
        <v>90012.160000000003</v>
      </c>
      <c r="K9038">
        <v>0.08</v>
      </c>
      <c r="L9038">
        <v>0.48</v>
      </c>
      <c r="M9038">
        <v>25.13</v>
      </c>
      <c r="N9038">
        <v>11334.01815</v>
      </c>
      <c r="O9038" s="1" t="s">
        <v>64</v>
      </c>
      <c r="P9038" s="1" t="s">
        <v>15882</v>
      </c>
      <c r="Q9038" s="1" t="s">
        <v>15883</v>
      </c>
      <c r="R9038" s="1" t="s">
        <v>67</v>
      </c>
      <c r="S9038" s="1" t="s">
        <v>254</v>
      </c>
      <c r="T9038" s="1" t="s">
        <v>316</v>
      </c>
      <c r="U9038" s="2" t="s">
        <v>2057</v>
      </c>
      <c r="V9038" s="2" t="s">
        <v>36</v>
      </c>
      <c r="W9038" s="2" t="s">
        <v>60</v>
      </c>
      <c r="X9038" s="2">
        <v>1053.395</v>
      </c>
    </row>
    <row r="9039" spans="1:24" x14ac:dyDescent="0.3">
      <c r="A9039">
        <v>5758</v>
      </c>
      <c r="B9039" t="s">
        <v>16230</v>
      </c>
      <c r="C9039" s="3">
        <v>41619</v>
      </c>
      <c r="D9039" t="s">
        <v>62</v>
      </c>
      <c r="E9039">
        <v>56</v>
      </c>
      <c r="F9039" s="3">
        <f ca="1">41621+(RANDBETWEEN(1,10))</f>
        <v>41629</v>
      </c>
      <c r="G9039" t="s">
        <v>26</v>
      </c>
      <c r="H9039" t="s">
        <v>27</v>
      </c>
      <c r="I9039" t="s">
        <v>28</v>
      </c>
      <c r="J9039">
        <v>1026.83</v>
      </c>
      <c r="K9039">
        <v>0</v>
      </c>
      <c r="L9039">
        <v>0.41</v>
      </c>
      <c r="M9039">
        <v>18.62</v>
      </c>
      <c r="N9039">
        <v>-298.15275000000003</v>
      </c>
      <c r="O9039" s="1" t="s">
        <v>64</v>
      </c>
      <c r="P9039" s="1" t="s">
        <v>15882</v>
      </c>
      <c r="Q9039" s="1" t="s">
        <v>15883</v>
      </c>
      <c r="R9039" s="1" t="s">
        <v>67</v>
      </c>
      <c r="S9039" s="1" t="s">
        <v>254</v>
      </c>
      <c r="T9039" s="1" t="s">
        <v>316</v>
      </c>
      <c r="U9039" s="2" t="s">
        <v>5159</v>
      </c>
      <c r="V9039" s="2" t="s">
        <v>83</v>
      </c>
      <c r="W9039" s="2" t="s">
        <v>178</v>
      </c>
      <c r="X9039" s="2">
        <v>17.324999999999999</v>
      </c>
    </row>
    <row r="9040" spans="1:24" x14ac:dyDescent="0.3">
      <c r="A9040">
        <v>5761</v>
      </c>
      <c r="B9040" t="s">
        <v>16231</v>
      </c>
      <c r="C9040" s="3">
        <v>41519</v>
      </c>
      <c r="D9040" t="s">
        <v>50</v>
      </c>
      <c r="E9040">
        <v>41</v>
      </c>
      <c r="F9040" s="3">
        <f ca="1">41520+(RANDBETWEEN(1,10))</f>
        <v>41523</v>
      </c>
      <c r="G9040" t="s">
        <v>156</v>
      </c>
      <c r="H9040" t="s">
        <v>96</v>
      </c>
      <c r="I9040" t="s">
        <v>28</v>
      </c>
      <c r="J9040">
        <v>1064.1400000000001</v>
      </c>
      <c r="K9040">
        <v>0.03</v>
      </c>
      <c r="L9040">
        <v>0.4</v>
      </c>
      <c r="M9040">
        <v>5.9850000000000003</v>
      </c>
      <c r="N9040">
        <v>150.01</v>
      </c>
      <c r="O9040" s="1" t="s">
        <v>64</v>
      </c>
      <c r="P9040" s="1" t="s">
        <v>339</v>
      </c>
      <c r="Q9040" s="1" t="s">
        <v>340</v>
      </c>
      <c r="R9040" s="1" t="s">
        <v>128</v>
      </c>
      <c r="S9040" s="1" t="s">
        <v>129</v>
      </c>
      <c r="T9040" s="1" t="s">
        <v>341</v>
      </c>
      <c r="U9040" s="2" t="s">
        <v>5167</v>
      </c>
      <c r="V9040" s="2" t="s">
        <v>47</v>
      </c>
      <c r="W9040" s="2" t="s">
        <v>74</v>
      </c>
      <c r="X9040" s="2">
        <v>25.9</v>
      </c>
    </row>
    <row r="9041" spans="1:24" x14ac:dyDescent="0.3">
      <c r="A9041">
        <v>5767</v>
      </c>
      <c r="B9041" t="s">
        <v>16232</v>
      </c>
      <c r="C9041" s="3">
        <v>41591</v>
      </c>
      <c r="D9041" t="s">
        <v>50</v>
      </c>
      <c r="E9041">
        <v>95</v>
      </c>
      <c r="F9041" s="3">
        <f ca="1">41592+(RANDBETWEEN(1,10))</f>
        <v>41600</v>
      </c>
      <c r="G9041" t="s">
        <v>26</v>
      </c>
      <c r="H9041" t="s">
        <v>96</v>
      </c>
      <c r="I9041" t="s">
        <v>97</v>
      </c>
      <c r="J9041">
        <v>587.68499999999995</v>
      </c>
      <c r="K9041">
        <v>0.01</v>
      </c>
      <c r="L9041">
        <v>0.56000000000000005</v>
      </c>
      <c r="M9041">
        <v>2.4500000000000002</v>
      </c>
      <c r="N9041">
        <v>-4.3049999999999997</v>
      </c>
      <c r="O9041" s="1" t="s">
        <v>64</v>
      </c>
      <c r="P9041" s="1" t="s">
        <v>15875</v>
      </c>
      <c r="Q9041" s="1" t="s">
        <v>15876</v>
      </c>
      <c r="R9041" s="1" t="s">
        <v>128</v>
      </c>
      <c r="S9041" s="1" t="s">
        <v>129</v>
      </c>
      <c r="T9041" s="1" t="s">
        <v>278</v>
      </c>
      <c r="U9041" s="2" t="s">
        <v>873</v>
      </c>
      <c r="V9041" s="2" t="s">
        <v>47</v>
      </c>
      <c r="W9041" s="2" t="s">
        <v>104</v>
      </c>
      <c r="X9041" s="2">
        <v>6.16</v>
      </c>
    </row>
    <row r="9042" spans="1:24" x14ac:dyDescent="0.3">
      <c r="A9042">
        <v>5768</v>
      </c>
      <c r="B9042" t="s">
        <v>16232</v>
      </c>
      <c r="C9042" s="3">
        <v>41591</v>
      </c>
      <c r="D9042" t="s">
        <v>50</v>
      </c>
      <c r="E9042">
        <v>37</v>
      </c>
      <c r="F9042" s="3">
        <f ca="1">41593+(RANDBETWEEN(1,10))</f>
        <v>41602</v>
      </c>
      <c r="G9042" t="s">
        <v>26</v>
      </c>
      <c r="H9042" t="s">
        <v>27</v>
      </c>
      <c r="I9042" t="s">
        <v>97</v>
      </c>
      <c r="J9042">
        <v>4757.9350000000004</v>
      </c>
      <c r="K9042">
        <v>7.0000000000000007E-2</v>
      </c>
      <c r="L9042">
        <v>0.56999999999999995</v>
      </c>
      <c r="M9042">
        <v>17.465</v>
      </c>
      <c r="N9042">
        <v>-376.26049999999998</v>
      </c>
      <c r="O9042" s="1" t="s">
        <v>64</v>
      </c>
      <c r="P9042" s="1" t="s">
        <v>15875</v>
      </c>
      <c r="Q9042" s="1" t="s">
        <v>15876</v>
      </c>
      <c r="R9042" s="1" t="s">
        <v>128</v>
      </c>
      <c r="S9042" s="1" t="s">
        <v>129</v>
      </c>
      <c r="T9042" s="1" t="s">
        <v>278</v>
      </c>
      <c r="U9042" s="2" t="s">
        <v>5082</v>
      </c>
      <c r="V9042" s="2" t="s">
        <v>36</v>
      </c>
      <c r="W9042" s="2" t="s">
        <v>37</v>
      </c>
      <c r="X9042" s="2">
        <v>160.965</v>
      </c>
    </row>
    <row r="9043" spans="1:24" x14ac:dyDescent="0.3">
      <c r="A9043">
        <v>5770</v>
      </c>
      <c r="B9043" t="s">
        <v>16233</v>
      </c>
      <c r="C9043" s="3">
        <v>41325</v>
      </c>
      <c r="D9043" t="s">
        <v>62</v>
      </c>
      <c r="E9043">
        <v>31</v>
      </c>
      <c r="F9043" s="3">
        <f ca="1">41326+(RANDBETWEEN(1,10))</f>
        <v>41329</v>
      </c>
      <c r="G9043" t="s">
        <v>26</v>
      </c>
      <c r="H9043" t="s">
        <v>27</v>
      </c>
      <c r="I9043" t="s">
        <v>28</v>
      </c>
      <c r="J9043">
        <v>6020.42</v>
      </c>
      <c r="K9043">
        <v>0.03</v>
      </c>
      <c r="L9043">
        <v>0.56999999999999995</v>
      </c>
      <c r="M9043">
        <v>3.4649999999999999</v>
      </c>
      <c r="N9043">
        <v>1916.18</v>
      </c>
      <c r="O9043" s="1" t="s">
        <v>40</v>
      </c>
      <c r="P9043" s="1" t="s">
        <v>41</v>
      </c>
      <c r="Q9043" s="1" t="s">
        <v>42</v>
      </c>
      <c r="R9043" s="1" t="s">
        <v>43</v>
      </c>
      <c r="S9043" s="1" t="s">
        <v>44</v>
      </c>
      <c r="T9043" s="1" t="s">
        <v>45</v>
      </c>
      <c r="U9043" s="2" t="s">
        <v>4274</v>
      </c>
      <c r="V9043" s="2" t="s">
        <v>47</v>
      </c>
      <c r="W9043" s="2" t="s">
        <v>71</v>
      </c>
      <c r="X9043" s="2">
        <v>190.68</v>
      </c>
    </row>
    <row r="9044" spans="1:24" x14ac:dyDescent="0.3">
      <c r="A9044">
        <v>5771</v>
      </c>
      <c r="B9044" t="s">
        <v>16233</v>
      </c>
      <c r="C9044" s="3">
        <v>41325</v>
      </c>
      <c r="D9044" t="s">
        <v>62</v>
      </c>
      <c r="E9044">
        <v>34</v>
      </c>
      <c r="F9044" s="3">
        <f ca="1">41326+(RANDBETWEEN(1,10))</f>
        <v>41328</v>
      </c>
      <c r="G9044" t="s">
        <v>26</v>
      </c>
      <c r="H9044" t="s">
        <v>27</v>
      </c>
      <c r="I9044" t="s">
        <v>28</v>
      </c>
      <c r="J9044">
        <v>12998.754999999999</v>
      </c>
      <c r="K9044">
        <v>0</v>
      </c>
      <c r="L9044">
        <v>0.59</v>
      </c>
      <c r="M9044">
        <v>31.465</v>
      </c>
      <c r="N9044">
        <v>2285.703</v>
      </c>
      <c r="O9044" s="1" t="s">
        <v>40</v>
      </c>
      <c r="P9044" s="1" t="s">
        <v>41</v>
      </c>
      <c r="Q9044" s="1" t="s">
        <v>42</v>
      </c>
      <c r="R9044" s="1" t="s">
        <v>43</v>
      </c>
      <c r="S9044" s="1" t="s">
        <v>44</v>
      </c>
      <c r="T9044" s="1" t="s">
        <v>45</v>
      </c>
      <c r="U9044" s="2" t="s">
        <v>295</v>
      </c>
      <c r="V9044" s="2" t="s">
        <v>36</v>
      </c>
      <c r="W9044" s="2" t="s">
        <v>37</v>
      </c>
      <c r="X9044" s="2">
        <v>440.96499999999997</v>
      </c>
    </row>
    <row r="9045" spans="1:24" x14ac:dyDescent="0.3">
      <c r="A9045">
        <v>5777</v>
      </c>
      <c r="B9045" t="s">
        <v>16234</v>
      </c>
      <c r="C9045" s="3">
        <v>40654</v>
      </c>
      <c r="D9045" t="s">
        <v>25</v>
      </c>
      <c r="E9045">
        <v>12</v>
      </c>
      <c r="F9045" s="3">
        <f ca="1">40654+(RANDBETWEEN(1,10))</f>
        <v>40661</v>
      </c>
      <c r="G9045" t="s">
        <v>156</v>
      </c>
      <c r="H9045" t="s">
        <v>27</v>
      </c>
      <c r="I9045" t="s">
        <v>86</v>
      </c>
      <c r="J9045">
        <v>1338.0150000000001</v>
      </c>
      <c r="K9045">
        <v>0.05</v>
      </c>
      <c r="L9045">
        <v>0.4</v>
      </c>
      <c r="M9045">
        <v>32.130000000000003</v>
      </c>
      <c r="N9045">
        <v>215.14500000000001</v>
      </c>
      <c r="O9045" s="1" t="s">
        <v>64</v>
      </c>
      <c r="P9045" s="1" t="s">
        <v>15852</v>
      </c>
      <c r="Q9045" s="1" t="s">
        <v>15853</v>
      </c>
      <c r="R9045" s="1" t="s">
        <v>128</v>
      </c>
      <c r="S9045" s="1" t="s">
        <v>129</v>
      </c>
      <c r="T9045" s="1" t="s">
        <v>15854</v>
      </c>
      <c r="U9045" s="2" t="s">
        <v>7249</v>
      </c>
      <c r="V9045" s="2" t="s">
        <v>47</v>
      </c>
      <c r="W9045" s="2" t="s">
        <v>74</v>
      </c>
      <c r="X9045" s="2">
        <v>108.43</v>
      </c>
    </row>
    <row r="9046" spans="1:24" x14ac:dyDescent="0.3">
      <c r="A9046">
        <v>5778</v>
      </c>
      <c r="B9046" t="s">
        <v>16234</v>
      </c>
      <c r="C9046" s="3">
        <v>40654</v>
      </c>
      <c r="D9046" t="s">
        <v>25</v>
      </c>
      <c r="E9046">
        <v>37</v>
      </c>
      <c r="F9046" s="3">
        <f ca="1">40661+(RANDBETWEEN(1,10))</f>
        <v>40668</v>
      </c>
      <c r="G9046" t="s">
        <v>26</v>
      </c>
      <c r="H9046" t="s">
        <v>51</v>
      </c>
      <c r="I9046" t="s">
        <v>86</v>
      </c>
      <c r="J9046">
        <v>3086.09</v>
      </c>
      <c r="K9046">
        <v>0.05</v>
      </c>
      <c r="L9046">
        <v>0.56999999999999995</v>
      </c>
      <c r="M9046">
        <v>31.465</v>
      </c>
      <c r="N9046">
        <v>63.945</v>
      </c>
      <c r="O9046" s="1" t="s">
        <v>64</v>
      </c>
      <c r="P9046" s="1" t="s">
        <v>15852</v>
      </c>
      <c r="Q9046" s="1" t="s">
        <v>15853</v>
      </c>
      <c r="R9046" s="1" t="s">
        <v>128</v>
      </c>
      <c r="S9046" s="1" t="s">
        <v>129</v>
      </c>
      <c r="T9046" s="1" t="s">
        <v>15854</v>
      </c>
      <c r="U9046" s="2" t="s">
        <v>246</v>
      </c>
      <c r="V9046" s="2" t="s">
        <v>47</v>
      </c>
      <c r="W9046" s="2" t="s">
        <v>104</v>
      </c>
      <c r="X9046" s="2">
        <v>80.465000000000003</v>
      </c>
    </row>
    <row r="9047" spans="1:24" x14ac:dyDescent="0.3">
      <c r="A9047">
        <v>5779</v>
      </c>
      <c r="B9047" t="s">
        <v>16235</v>
      </c>
      <c r="C9047" s="3">
        <v>41750</v>
      </c>
      <c r="D9047" t="s">
        <v>25</v>
      </c>
      <c r="E9047">
        <v>1</v>
      </c>
      <c r="F9047" s="3">
        <f ca="1">41752+(RANDBETWEEN(1,10))</f>
        <v>41758</v>
      </c>
      <c r="G9047" t="s">
        <v>26</v>
      </c>
      <c r="H9047" t="s">
        <v>27</v>
      </c>
      <c r="I9047" t="s">
        <v>86</v>
      </c>
      <c r="J9047">
        <v>79.135000000000005</v>
      </c>
      <c r="K9047">
        <v>0.03</v>
      </c>
      <c r="L9047">
        <v>0.56999999999999995</v>
      </c>
      <c r="M9047">
        <v>26.285</v>
      </c>
      <c r="N9047">
        <v>-29.4</v>
      </c>
      <c r="O9047" s="1" t="s">
        <v>64</v>
      </c>
      <c r="P9047" s="1" t="s">
        <v>15852</v>
      </c>
      <c r="Q9047" s="1" t="s">
        <v>15853</v>
      </c>
      <c r="R9047" s="1" t="s">
        <v>128</v>
      </c>
      <c r="S9047" s="1" t="s">
        <v>129</v>
      </c>
      <c r="T9047" s="1" t="s">
        <v>15854</v>
      </c>
      <c r="U9047" s="2" t="s">
        <v>5539</v>
      </c>
      <c r="V9047" s="2" t="s">
        <v>47</v>
      </c>
      <c r="W9047" s="2" t="s">
        <v>119</v>
      </c>
      <c r="X9047" s="2">
        <v>52.395000000000003</v>
      </c>
    </row>
    <row r="9048" spans="1:24" x14ac:dyDescent="0.3">
      <c r="A9048">
        <v>5780</v>
      </c>
      <c r="B9048" t="s">
        <v>16234</v>
      </c>
      <c r="C9048" s="3">
        <v>40654</v>
      </c>
      <c r="D9048" t="s">
        <v>25</v>
      </c>
      <c r="E9048">
        <v>33</v>
      </c>
      <c r="F9048" s="3">
        <f ca="1">40658+(RANDBETWEEN(1,10))</f>
        <v>40660</v>
      </c>
      <c r="G9048" t="s">
        <v>76</v>
      </c>
      <c r="H9048" t="s">
        <v>258</v>
      </c>
      <c r="I9048" t="s">
        <v>86</v>
      </c>
      <c r="J9048">
        <v>25844.63</v>
      </c>
      <c r="K9048">
        <v>0.04</v>
      </c>
      <c r="L9048">
        <v>0.73</v>
      </c>
      <c r="M9048">
        <v>385.7</v>
      </c>
      <c r="N9048">
        <v>-1798.26647</v>
      </c>
      <c r="O9048" s="1" t="s">
        <v>64</v>
      </c>
      <c r="P9048" s="1" t="s">
        <v>15852</v>
      </c>
      <c r="Q9048" s="1" t="s">
        <v>15853</v>
      </c>
      <c r="R9048" s="1" t="s">
        <v>128</v>
      </c>
      <c r="S9048" s="1" t="s">
        <v>129</v>
      </c>
      <c r="T9048" s="1" t="s">
        <v>15854</v>
      </c>
      <c r="U9048" s="2" t="s">
        <v>1775</v>
      </c>
      <c r="V9048" s="2" t="s">
        <v>83</v>
      </c>
      <c r="W9048" s="2" t="s">
        <v>263</v>
      </c>
      <c r="X9048" s="2">
        <v>744.1</v>
      </c>
    </row>
    <row r="9049" spans="1:24" x14ac:dyDescent="0.3">
      <c r="A9049">
        <v>5783</v>
      </c>
      <c r="B9049" t="s">
        <v>16236</v>
      </c>
      <c r="C9049" s="3">
        <v>41383</v>
      </c>
      <c r="D9049" t="s">
        <v>148</v>
      </c>
      <c r="E9049">
        <v>9</v>
      </c>
      <c r="F9049" s="3">
        <f ca="1">41384+(RANDBETWEEN(1,10))</f>
        <v>41386</v>
      </c>
      <c r="G9049" t="s">
        <v>76</v>
      </c>
      <c r="H9049" t="s">
        <v>77</v>
      </c>
      <c r="I9049" t="s">
        <v>97</v>
      </c>
      <c r="J9049">
        <v>2793.14</v>
      </c>
      <c r="K9049">
        <v>0.1</v>
      </c>
      <c r="L9049">
        <v>0.66</v>
      </c>
      <c r="M9049">
        <v>147</v>
      </c>
      <c r="N9049">
        <v>-986.16</v>
      </c>
      <c r="O9049" s="1" t="s">
        <v>40</v>
      </c>
      <c r="P9049" s="1" t="s">
        <v>13707</v>
      </c>
      <c r="Q9049" s="1" t="s">
        <v>13708</v>
      </c>
      <c r="R9049" s="1" t="s">
        <v>43</v>
      </c>
      <c r="S9049" s="1" t="s">
        <v>44</v>
      </c>
      <c r="T9049" s="1" t="s">
        <v>13709</v>
      </c>
      <c r="U9049" s="2" t="s">
        <v>2462</v>
      </c>
      <c r="V9049" s="2" t="s">
        <v>83</v>
      </c>
      <c r="W9049" s="2" t="s">
        <v>84</v>
      </c>
      <c r="X9049" s="2">
        <v>314.96499999999997</v>
      </c>
    </row>
    <row r="9050" spans="1:24" x14ac:dyDescent="0.3">
      <c r="A9050">
        <v>5784</v>
      </c>
      <c r="B9050" t="s">
        <v>16236</v>
      </c>
      <c r="C9050" s="3">
        <v>41383</v>
      </c>
      <c r="D9050" t="s">
        <v>148</v>
      </c>
      <c r="E9050">
        <v>21</v>
      </c>
      <c r="F9050" s="3">
        <f ca="1">41383+(RANDBETWEEN(1,10))</f>
        <v>41392</v>
      </c>
      <c r="G9050" t="s">
        <v>156</v>
      </c>
      <c r="H9050" t="s">
        <v>96</v>
      </c>
      <c r="I9050" t="s">
        <v>97</v>
      </c>
      <c r="J9050">
        <v>231.17500000000001</v>
      </c>
      <c r="K9050">
        <v>0.1</v>
      </c>
      <c r="L9050">
        <v>0.84</v>
      </c>
      <c r="M9050">
        <v>6.72</v>
      </c>
      <c r="N9050">
        <v>-115.88500000000001</v>
      </c>
      <c r="O9050" s="1" t="s">
        <v>40</v>
      </c>
      <c r="P9050" s="1" t="s">
        <v>13707</v>
      </c>
      <c r="Q9050" s="1" t="s">
        <v>13708</v>
      </c>
      <c r="R9050" s="1" t="s">
        <v>43</v>
      </c>
      <c r="S9050" s="1" t="s">
        <v>44</v>
      </c>
      <c r="T9050" s="1" t="s">
        <v>13709</v>
      </c>
      <c r="U9050" s="2" t="s">
        <v>524</v>
      </c>
      <c r="V9050" s="2" t="s">
        <v>47</v>
      </c>
      <c r="W9050" s="2" t="s">
        <v>94</v>
      </c>
      <c r="X9050" s="2">
        <v>10.99</v>
      </c>
    </row>
    <row r="9051" spans="1:24" x14ac:dyDescent="0.3">
      <c r="A9051">
        <v>5786</v>
      </c>
      <c r="B9051" t="s">
        <v>16237</v>
      </c>
      <c r="C9051" s="3">
        <v>41166</v>
      </c>
      <c r="D9051" t="s">
        <v>148</v>
      </c>
      <c r="E9051">
        <v>47</v>
      </c>
      <c r="F9051" s="3">
        <f ca="1">41166+(RANDBETWEEN(1,10))</f>
        <v>41169</v>
      </c>
      <c r="G9051" t="s">
        <v>156</v>
      </c>
      <c r="H9051" t="s">
        <v>27</v>
      </c>
      <c r="I9051" t="s">
        <v>28</v>
      </c>
      <c r="J9051">
        <v>2297.6799999999998</v>
      </c>
      <c r="K9051">
        <v>0.08</v>
      </c>
      <c r="L9051">
        <v>0.38</v>
      </c>
      <c r="M9051">
        <v>25.445</v>
      </c>
      <c r="N9051">
        <v>13.71475</v>
      </c>
      <c r="O9051" s="1" t="s">
        <v>40</v>
      </c>
      <c r="P9051" s="1" t="s">
        <v>15909</v>
      </c>
      <c r="Q9051" s="1" t="s">
        <v>15910</v>
      </c>
      <c r="R9051" s="1" t="s">
        <v>220</v>
      </c>
      <c r="S9051" s="1" t="s">
        <v>221</v>
      </c>
      <c r="T9051" s="1" t="s">
        <v>15911</v>
      </c>
      <c r="U9051" s="2" t="s">
        <v>3821</v>
      </c>
      <c r="V9051" s="2" t="s">
        <v>47</v>
      </c>
      <c r="W9051" s="2" t="s">
        <v>111</v>
      </c>
      <c r="X9051" s="2">
        <v>49.945</v>
      </c>
    </row>
    <row r="9052" spans="1:24" x14ac:dyDescent="0.3">
      <c r="A9052">
        <v>5787</v>
      </c>
      <c r="B9052" t="s">
        <v>16237</v>
      </c>
      <c r="C9052" s="3">
        <v>41166</v>
      </c>
      <c r="D9052" t="s">
        <v>148</v>
      </c>
      <c r="E9052">
        <v>82</v>
      </c>
      <c r="F9052" s="3">
        <f ca="1">41167+(RANDBETWEEN(1,10))</f>
        <v>41172</v>
      </c>
      <c r="G9052" t="s">
        <v>26</v>
      </c>
      <c r="H9052" t="s">
        <v>281</v>
      </c>
      <c r="I9052" t="s">
        <v>28</v>
      </c>
      <c r="J9052">
        <v>80179.05</v>
      </c>
      <c r="K9052">
        <v>0.09</v>
      </c>
      <c r="L9052">
        <v>0.39</v>
      </c>
      <c r="M9052">
        <v>48.965000000000003</v>
      </c>
      <c r="N9052">
        <v>19095.86</v>
      </c>
      <c r="O9052" s="1" t="s">
        <v>40</v>
      </c>
      <c r="P9052" s="1" t="s">
        <v>15909</v>
      </c>
      <c r="Q9052" s="1" t="s">
        <v>15910</v>
      </c>
      <c r="R9052" s="1" t="s">
        <v>220</v>
      </c>
      <c r="S9052" s="1" t="s">
        <v>221</v>
      </c>
      <c r="T9052" s="1" t="s">
        <v>15911</v>
      </c>
      <c r="U9052" s="2" t="s">
        <v>6972</v>
      </c>
      <c r="V9052" s="2" t="s">
        <v>36</v>
      </c>
      <c r="W9052" s="2" t="s">
        <v>142</v>
      </c>
      <c r="X9052" s="2">
        <v>1053.43</v>
      </c>
    </row>
    <row r="9053" spans="1:24" x14ac:dyDescent="0.3">
      <c r="A9053">
        <v>5788</v>
      </c>
      <c r="B9053" t="s">
        <v>16237</v>
      </c>
      <c r="C9053" s="3">
        <v>41166</v>
      </c>
      <c r="D9053" t="s">
        <v>148</v>
      </c>
      <c r="E9053">
        <v>38</v>
      </c>
      <c r="F9053" s="3">
        <f ca="1">41168+(RANDBETWEEN(1,10))</f>
        <v>41178</v>
      </c>
      <c r="G9053" t="s">
        <v>156</v>
      </c>
      <c r="H9053" t="s">
        <v>96</v>
      </c>
      <c r="I9053" t="s">
        <v>28</v>
      </c>
      <c r="J9053">
        <v>816.13</v>
      </c>
      <c r="K9053">
        <v>0</v>
      </c>
      <c r="L9053">
        <v>0.55000000000000004</v>
      </c>
      <c r="M9053">
        <v>4.2</v>
      </c>
      <c r="N9053">
        <v>85.855000000000004</v>
      </c>
      <c r="O9053" s="1" t="s">
        <v>40</v>
      </c>
      <c r="P9053" s="1" t="s">
        <v>15909</v>
      </c>
      <c r="Q9053" s="1" t="s">
        <v>15910</v>
      </c>
      <c r="R9053" s="1" t="s">
        <v>220</v>
      </c>
      <c r="S9053" s="1" t="s">
        <v>221</v>
      </c>
      <c r="T9053" s="1" t="s">
        <v>15911</v>
      </c>
      <c r="U9053" s="2" t="s">
        <v>4460</v>
      </c>
      <c r="V9053" s="2" t="s">
        <v>47</v>
      </c>
      <c r="W9053" s="2" t="s">
        <v>104</v>
      </c>
      <c r="X9053" s="2">
        <v>20.440000000000001</v>
      </c>
    </row>
    <row r="9054" spans="1:24" x14ac:dyDescent="0.3">
      <c r="A9054">
        <v>5789</v>
      </c>
      <c r="B9054" t="s">
        <v>16237</v>
      </c>
      <c r="C9054" s="3">
        <v>41166</v>
      </c>
      <c r="D9054" t="s">
        <v>148</v>
      </c>
      <c r="E9054">
        <v>82</v>
      </c>
      <c r="F9054" s="3">
        <f ca="1">41167+(RANDBETWEEN(1,10))</f>
        <v>41168</v>
      </c>
      <c r="G9054" t="s">
        <v>76</v>
      </c>
      <c r="H9054" t="s">
        <v>258</v>
      </c>
      <c r="I9054" t="s">
        <v>28</v>
      </c>
      <c r="J9054">
        <v>114063.565</v>
      </c>
      <c r="K9054">
        <v>0.04</v>
      </c>
      <c r="L9054">
        <v>0.71</v>
      </c>
      <c r="M9054">
        <v>148.82</v>
      </c>
      <c r="N9054">
        <v>8252.51</v>
      </c>
      <c r="O9054" s="1" t="s">
        <v>40</v>
      </c>
      <c r="P9054" s="1" t="s">
        <v>15909</v>
      </c>
      <c r="Q9054" s="1" t="s">
        <v>15910</v>
      </c>
      <c r="R9054" s="1" t="s">
        <v>220</v>
      </c>
      <c r="S9054" s="1" t="s">
        <v>221</v>
      </c>
      <c r="T9054" s="1" t="s">
        <v>15911</v>
      </c>
      <c r="U9054" s="2" t="s">
        <v>2984</v>
      </c>
      <c r="V9054" s="2" t="s">
        <v>83</v>
      </c>
      <c r="W9054" s="2" t="s">
        <v>263</v>
      </c>
      <c r="X9054" s="2">
        <v>1403.43</v>
      </c>
    </row>
    <row r="9055" spans="1:24" x14ac:dyDescent="0.3">
      <c r="A9055">
        <v>5790</v>
      </c>
      <c r="B9055" t="s">
        <v>16238</v>
      </c>
      <c r="C9055" s="3">
        <v>41964</v>
      </c>
      <c r="D9055" t="s">
        <v>25</v>
      </c>
      <c r="E9055">
        <v>79</v>
      </c>
      <c r="F9055" s="3">
        <f ca="1">41966+(RANDBETWEEN(1,10))</f>
        <v>41975</v>
      </c>
      <c r="G9055" t="s">
        <v>26</v>
      </c>
      <c r="H9055" t="s">
        <v>51</v>
      </c>
      <c r="I9055" t="s">
        <v>97</v>
      </c>
      <c r="J9055">
        <v>6082.51</v>
      </c>
      <c r="K9055">
        <v>0.01</v>
      </c>
      <c r="L9055">
        <v>0.59</v>
      </c>
      <c r="M9055">
        <v>31.465</v>
      </c>
      <c r="N9055">
        <v>-119.315</v>
      </c>
      <c r="O9055" s="1" t="s">
        <v>87</v>
      </c>
      <c r="P9055" s="1" t="s">
        <v>309</v>
      </c>
      <c r="Q9055" s="1" t="s">
        <v>310</v>
      </c>
      <c r="R9055" s="1" t="s">
        <v>90</v>
      </c>
      <c r="S9055" s="1" t="s">
        <v>91</v>
      </c>
      <c r="T9055" s="1" t="s">
        <v>311</v>
      </c>
      <c r="U9055" s="2" t="s">
        <v>2789</v>
      </c>
      <c r="V9055" s="2" t="s">
        <v>47</v>
      </c>
      <c r="W9055" s="2" t="s">
        <v>104</v>
      </c>
      <c r="X9055" s="2">
        <v>74.83</v>
      </c>
    </row>
    <row r="9056" spans="1:24" x14ac:dyDescent="0.3">
      <c r="A9056">
        <v>5791</v>
      </c>
      <c r="B9056" t="s">
        <v>16238</v>
      </c>
      <c r="C9056" s="3">
        <v>41964</v>
      </c>
      <c r="D9056" t="s">
        <v>25</v>
      </c>
      <c r="E9056">
        <v>36</v>
      </c>
      <c r="F9056" s="3">
        <f ca="1">41971+(RANDBETWEEN(1,10))</f>
        <v>41976</v>
      </c>
      <c r="G9056" t="s">
        <v>26</v>
      </c>
      <c r="H9056" t="s">
        <v>51</v>
      </c>
      <c r="I9056" t="s">
        <v>97</v>
      </c>
      <c r="J9056">
        <v>3885.3850000000002</v>
      </c>
      <c r="K9056">
        <v>0.04</v>
      </c>
      <c r="L9056">
        <v>0.35</v>
      </c>
      <c r="M9056">
        <v>3.4649999999999999</v>
      </c>
      <c r="N9056">
        <v>147.9555</v>
      </c>
      <c r="O9056" s="1" t="s">
        <v>87</v>
      </c>
      <c r="P9056" s="1" t="s">
        <v>309</v>
      </c>
      <c r="Q9056" s="1" t="s">
        <v>310</v>
      </c>
      <c r="R9056" s="1" t="s">
        <v>90</v>
      </c>
      <c r="S9056" s="1" t="s">
        <v>91</v>
      </c>
      <c r="T9056" s="1" t="s">
        <v>311</v>
      </c>
      <c r="U9056" s="2" t="s">
        <v>1868</v>
      </c>
      <c r="V9056" s="2" t="s">
        <v>36</v>
      </c>
      <c r="W9056" s="2" t="s">
        <v>37</v>
      </c>
      <c r="X9056" s="2">
        <v>125.965</v>
      </c>
    </row>
    <row r="9057" spans="1:24" x14ac:dyDescent="0.3">
      <c r="A9057">
        <v>5792</v>
      </c>
      <c r="B9057" t="s">
        <v>16238</v>
      </c>
      <c r="C9057" s="3">
        <v>41964</v>
      </c>
      <c r="D9057" t="s">
        <v>25</v>
      </c>
      <c r="E9057">
        <v>94</v>
      </c>
      <c r="F9057" s="3">
        <f ca="1">41971+(RANDBETWEEN(1,10))</f>
        <v>41980</v>
      </c>
      <c r="G9057" t="s">
        <v>26</v>
      </c>
      <c r="H9057" t="s">
        <v>51</v>
      </c>
      <c r="I9057" t="s">
        <v>97</v>
      </c>
      <c r="J9057">
        <v>24186.61</v>
      </c>
      <c r="K9057">
        <v>0.06</v>
      </c>
      <c r="L9057">
        <v>0.39</v>
      </c>
      <c r="M9057">
        <v>4.375</v>
      </c>
      <c r="N9057">
        <v>2880.1080000000002</v>
      </c>
      <c r="O9057" s="1" t="s">
        <v>87</v>
      </c>
      <c r="P9057" s="1" t="s">
        <v>309</v>
      </c>
      <c r="Q9057" s="1" t="s">
        <v>310</v>
      </c>
      <c r="R9057" s="1" t="s">
        <v>90</v>
      </c>
      <c r="S9057" s="1" t="s">
        <v>91</v>
      </c>
      <c r="T9057" s="1" t="s">
        <v>311</v>
      </c>
      <c r="U9057" s="2" t="s">
        <v>1978</v>
      </c>
      <c r="V9057" s="2" t="s">
        <v>36</v>
      </c>
      <c r="W9057" s="2" t="s">
        <v>37</v>
      </c>
      <c r="X9057" s="2">
        <v>300.96499999999997</v>
      </c>
    </row>
    <row r="9058" spans="1:24" x14ac:dyDescent="0.3">
      <c r="A9058">
        <v>5804</v>
      </c>
      <c r="B9058" t="s">
        <v>16239</v>
      </c>
      <c r="C9058" s="3">
        <v>41380</v>
      </c>
      <c r="D9058" t="s">
        <v>148</v>
      </c>
      <c r="E9058">
        <v>44</v>
      </c>
      <c r="F9058" s="3">
        <f ca="1">41382+(RANDBETWEEN(1,10))</f>
        <v>41386</v>
      </c>
      <c r="G9058" t="s">
        <v>26</v>
      </c>
      <c r="H9058" t="s">
        <v>281</v>
      </c>
      <c r="I9058" t="s">
        <v>97</v>
      </c>
      <c r="J9058">
        <v>15219.924999999999</v>
      </c>
      <c r="K9058">
        <v>0.09</v>
      </c>
      <c r="L9058">
        <v>0.65</v>
      </c>
      <c r="M9058">
        <v>20.335000000000001</v>
      </c>
      <c r="N9058">
        <v>3909.43</v>
      </c>
      <c r="O9058" s="1" t="s">
        <v>64</v>
      </c>
      <c r="P9058" s="1" t="s">
        <v>328</v>
      </c>
      <c r="Q9058" s="1" t="s">
        <v>329</v>
      </c>
      <c r="R9058" s="1" t="s">
        <v>128</v>
      </c>
      <c r="S9058" s="1" t="s">
        <v>129</v>
      </c>
      <c r="T9058" s="1" t="s">
        <v>330</v>
      </c>
      <c r="U9058" s="2" t="s">
        <v>351</v>
      </c>
      <c r="V9058" s="2" t="s">
        <v>83</v>
      </c>
      <c r="W9058" s="2" t="s">
        <v>178</v>
      </c>
      <c r="X9058" s="2">
        <v>376.35500000000002</v>
      </c>
    </row>
    <row r="9059" spans="1:24" x14ac:dyDescent="0.3">
      <c r="A9059">
        <v>5816</v>
      </c>
      <c r="B9059" t="s">
        <v>16240</v>
      </c>
      <c r="C9059" s="3">
        <v>40670</v>
      </c>
      <c r="D9059" t="s">
        <v>148</v>
      </c>
      <c r="E9059">
        <v>7</v>
      </c>
      <c r="F9059" s="3">
        <f ca="1">40672+(RANDBETWEEN(1,10))</f>
        <v>40678</v>
      </c>
      <c r="G9059" t="s">
        <v>26</v>
      </c>
      <c r="H9059" t="s">
        <v>27</v>
      </c>
      <c r="I9059" t="s">
        <v>86</v>
      </c>
      <c r="J9059">
        <v>7131.915</v>
      </c>
      <c r="K9059">
        <v>7.0000000000000007E-2</v>
      </c>
      <c r="L9059">
        <v>0.48</v>
      </c>
      <c r="M9059">
        <v>25.13</v>
      </c>
      <c r="N9059">
        <v>-2826.5650000000001</v>
      </c>
      <c r="O9059" s="1" t="s">
        <v>29</v>
      </c>
      <c r="P9059" s="1" t="s">
        <v>367</v>
      </c>
      <c r="Q9059" s="1" t="s">
        <v>368</v>
      </c>
      <c r="R9059" s="1" t="s">
        <v>32</v>
      </c>
      <c r="S9059" s="1" t="s">
        <v>33</v>
      </c>
      <c r="T9059" s="1" t="s">
        <v>369</v>
      </c>
      <c r="U9059" s="2" t="s">
        <v>2057</v>
      </c>
      <c r="V9059" s="2" t="s">
        <v>36</v>
      </c>
      <c r="W9059" s="2" t="s">
        <v>60</v>
      </c>
      <c r="X9059" s="2">
        <v>1053.395</v>
      </c>
    </row>
    <row r="9060" spans="1:24" x14ac:dyDescent="0.3">
      <c r="A9060">
        <v>5829</v>
      </c>
      <c r="B9060" t="s">
        <v>16241</v>
      </c>
      <c r="C9060" s="3">
        <v>41037</v>
      </c>
      <c r="D9060" t="s">
        <v>148</v>
      </c>
      <c r="E9060">
        <v>1</v>
      </c>
      <c r="F9060" s="3">
        <f ca="1">41038+(RANDBETWEEN(1,10))</f>
        <v>41048</v>
      </c>
      <c r="G9060" t="s">
        <v>26</v>
      </c>
      <c r="H9060" t="s">
        <v>27</v>
      </c>
      <c r="I9060" t="s">
        <v>86</v>
      </c>
      <c r="J9060">
        <v>1481.55</v>
      </c>
      <c r="K9060">
        <v>0.01</v>
      </c>
      <c r="L9060">
        <v>0.57999999999999996</v>
      </c>
      <c r="M9060">
        <v>69.965000000000003</v>
      </c>
      <c r="N9060">
        <v>-906.53499999999997</v>
      </c>
      <c r="O9060" s="1" t="s">
        <v>64</v>
      </c>
      <c r="P9060" s="1" t="s">
        <v>8025</v>
      </c>
      <c r="Q9060" s="1" t="s">
        <v>8026</v>
      </c>
      <c r="R9060" s="1" t="s">
        <v>67</v>
      </c>
      <c r="S9060" s="1" t="s">
        <v>68</v>
      </c>
      <c r="T9060" s="1" t="s">
        <v>8027</v>
      </c>
      <c r="U9060" s="2" t="s">
        <v>3569</v>
      </c>
      <c r="V9060" s="2" t="s">
        <v>47</v>
      </c>
      <c r="W9060" s="2" t="s">
        <v>119</v>
      </c>
      <c r="X9060" s="2">
        <v>1467.165</v>
      </c>
    </row>
    <row r="9061" spans="1:24" x14ac:dyDescent="0.3">
      <c r="A9061">
        <v>584</v>
      </c>
      <c r="B9061" t="s">
        <v>16242</v>
      </c>
      <c r="C9061" s="3">
        <v>41035</v>
      </c>
      <c r="D9061" t="s">
        <v>148</v>
      </c>
      <c r="E9061">
        <v>20</v>
      </c>
      <c r="F9061" s="3">
        <f ca="1">41038+(RANDBETWEEN(1,10))</f>
        <v>41048</v>
      </c>
      <c r="G9061" t="s">
        <v>26</v>
      </c>
      <c r="H9061" t="s">
        <v>96</v>
      </c>
      <c r="I9061" t="s">
        <v>28</v>
      </c>
      <c r="J9061">
        <v>317.58999999999997</v>
      </c>
      <c r="K9061">
        <v>0.1</v>
      </c>
      <c r="L9061">
        <v>0.52</v>
      </c>
      <c r="M9061">
        <v>2.4849999999999999</v>
      </c>
      <c r="N9061">
        <v>30.31</v>
      </c>
      <c r="O9061" s="1" t="s">
        <v>64</v>
      </c>
      <c r="P9061" s="1" t="s">
        <v>65</v>
      </c>
      <c r="Q9061" s="1" t="s">
        <v>66</v>
      </c>
      <c r="R9061" s="1" t="s">
        <v>67</v>
      </c>
      <c r="S9061" s="1" t="s">
        <v>68</v>
      </c>
      <c r="T9061" s="1" t="s">
        <v>69</v>
      </c>
      <c r="U9061" s="2" t="s">
        <v>2636</v>
      </c>
      <c r="V9061" s="2" t="s">
        <v>47</v>
      </c>
      <c r="W9061" s="2" t="s">
        <v>104</v>
      </c>
      <c r="X9061" s="2">
        <v>16.940000000000001</v>
      </c>
    </row>
    <row r="9062" spans="1:24" x14ac:dyDescent="0.3">
      <c r="A9062">
        <v>5843</v>
      </c>
      <c r="B9062" t="s">
        <v>16243</v>
      </c>
      <c r="C9062" s="3">
        <v>41662</v>
      </c>
      <c r="D9062" t="s">
        <v>148</v>
      </c>
      <c r="E9062">
        <v>45</v>
      </c>
      <c r="F9062" s="3">
        <f ca="1">41663+(RANDBETWEEN(1,10))</f>
        <v>41664</v>
      </c>
      <c r="G9062" t="s">
        <v>26</v>
      </c>
      <c r="H9062" t="s">
        <v>27</v>
      </c>
      <c r="I9062" t="s">
        <v>28</v>
      </c>
      <c r="J9062">
        <v>849.27499999999998</v>
      </c>
      <c r="K9062">
        <v>0</v>
      </c>
      <c r="L9062">
        <v>0.36</v>
      </c>
      <c r="M9062">
        <v>19.88</v>
      </c>
      <c r="N9062">
        <v>-605.93960000000004</v>
      </c>
      <c r="O9062" s="1" t="s">
        <v>40</v>
      </c>
      <c r="P9062" s="1" t="s">
        <v>15848</v>
      </c>
      <c r="Q9062" s="1" t="s">
        <v>15849</v>
      </c>
      <c r="R9062" s="1" t="s">
        <v>43</v>
      </c>
      <c r="S9062" s="1" t="s">
        <v>44</v>
      </c>
      <c r="T9062" s="1" t="s">
        <v>15850</v>
      </c>
      <c r="U9062" s="2" t="s">
        <v>4013</v>
      </c>
      <c r="V9062" s="2" t="s">
        <v>47</v>
      </c>
      <c r="W9062" s="2" t="s">
        <v>111</v>
      </c>
      <c r="X9062" s="2">
        <v>17.184999999999999</v>
      </c>
    </row>
    <row r="9063" spans="1:24" x14ac:dyDescent="0.3">
      <c r="A9063">
        <v>585</v>
      </c>
      <c r="B9063" t="s">
        <v>16242</v>
      </c>
      <c r="C9063" s="3">
        <v>41035</v>
      </c>
      <c r="D9063" t="s">
        <v>148</v>
      </c>
      <c r="E9063">
        <v>64</v>
      </c>
      <c r="F9063" s="3">
        <f ca="1">41036+(RANDBETWEEN(1,10))</f>
        <v>41046</v>
      </c>
      <c r="G9063" t="s">
        <v>26</v>
      </c>
      <c r="H9063" t="s">
        <v>51</v>
      </c>
      <c r="I9063" t="s">
        <v>28</v>
      </c>
      <c r="J9063">
        <v>7698.74</v>
      </c>
      <c r="K9063">
        <v>0.05</v>
      </c>
      <c r="L9063">
        <v>0.56000000000000005</v>
      </c>
      <c r="M9063">
        <v>31.465</v>
      </c>
      <c r="N9063">
        <v>684.18</v>
      </c>
      <c r="O9063" s="1" t="s">
        <v>64</v>
      </c>
      <c r="P9063" s="1" t="s">
        <v>65</v>
      </c>
      <c r="Q9063" s="1" t="s">
        <v>66</v>
      </c>
      <c r="R9063" s="1" t="s">
        <v>67</v>
      </c>
      <c r="S9063" s="1" t="s">
        <v>68</v>
      </c>
      <c r="T9063" s="1" t="s">
        <v>69</v>
      </c>
      <c r="U9063" s="2" t="s">
        <v>741</v>
      </c>
      <c r="V9063" s="2" t="s">
        <v>47</v>
      </c>
      <c r="W9063" s="2" t="s">
        <v>104</v>
      </c>
      <c r="X9063" s="2">
        <v>121.03</v>
      </c>
    </row>
    <row r="9064" spans="1:24" x14ac:dyDescent="0.3">
      <c r="A9064">
        <v>5850</v>
      </c>
      <c r="B9064" t="s">
        <v>16244</v>
      </c>
      <c r="C9064" s="3">
        <v>41397</v>
      </c>
      <c r="D9064" t="s">
        <v>39</v>
      </c>
      <c r="E9064">
        <v>38</v>
      </c>
      <c r="F9064" s="3">
        <f ca="1">41399+(RANDBETWEEN(1,10))</f>
        <v>41403</v>
      </c>
      <c r="G9064" t="s">
        <v>156</v>
      </c>
      <c r="H9064" t="s">
        <v>96</v>
      </c>
      <c r="I9064" t="s">
        <v>52</v>
      </c>
      <c r="J9064">
        <v>231.91</v>
      </c>
      <c r="K9064">
        <v>0.04</v>
      </c>
      <c r="L9064">
        <v>0.42</v>
      </c>
      <c r="M9064">
        <v>4.5149999999999997</v>
      </c>
      <c r="N9064">
        <v>-29.54</v>
      </c>
      <c r="O9064" s="1" t="s">
        <v>53</v>
      </c>
      <c r="P9064" s="1" t="s">
        <v>114</v>
      </c>
      <c r="Q9064" s="1" t="s">
        <v>115</v>
      </c>
      <c r="R9064" s="1" t="s">
        <v>100</v>
      </c>
      <c r="S9064" s="1" t="s">
        <v>101</v>
      </c>
      <c r="T9064" s="1" t="s">
        <v>116</v>
      </c>
      <c r="U9064" s="2" t="s">
        <v>9221</v>
      </c>
      <c r="V9064" s="2" t="s">
        <v>47</v>
      </c>
      <c r="W9064" s="2" t="s">
        <v>104</v>
      </c>
      <c r="X9064" s="2">
        <v>5.6</v>
      </c>
    </row>
    <row r="9065" spans="1:24" x14ac:dyDescent="0.3">
      <c r="A9065">
        <v>5851</v>
      </c>
      <c r="B9065" t="s">
        <v>16244</v>
      </c>
      <c r="C9065" s="3">
        <v>41397</v>
      </c>
      <c r="D9065" t="s">
        <v>39</v>
      </c>
      <c r="E9065">
        <v>64</v>
      </c>
      <c r="F9065" s="3">
        <f ca="1">41398+(RANDBETWEEN(1,10))</f>
        <v>41405</v>
      </c>
      <c r="G9065" t="s">
        <v>26</v>
      </c>
      <c r="H9065" t="s">
        <v>27</v>
      </c>
      <c r="I9065" t="s">
        <v>52</v>
      </c>
      <c r="J9065">
        <v>12586.14</v>
      </c>
      <c r="K9065">
        <v>0.04</v>
      </c>
      <c r="L9065">
        <v>0.57999999999999996</v>
      </c>
      <c r="M9065">
        <v>31.465</v>
      </c>
      <c r="N9065">
        <v>1393.7805000000001</v>
      </c>
      <c r="O9065" s="1" t="s">
        <v>53</v>
      </c>
      <c r="P9065" s="1" t="s">
        <v>114</v>
      </c>
      <c r="Q9065" s="1" t="s">
        <v>115</v>
      </c>
      <c r="R9065" s="1" t="s">
        <v>100</v>
      </c>
      <c r="S9065" s="1" t="s">
        <v>101</v>
      </c>
      <c r="T9065" s="1" t="s">
        <v>116</v>
      </c>
      <c r="U9065" s="2" t="s">
        <v>4501</v>
      </c>
      <c r="V9065" s="2" t="s">
        <v>36</v>
      </c>
      <c r="W9065" s="2" t="s">
        <v>37</v>
      </c>
      <c r="X9065" s="2">
        <v>230.965</v>
      </c>
    </row>
    <row r="9066" spans="1:24" x14ac:dyDescent="0.3">
      <c r="A9066">
        <v>5856</v>
      </c>
      <c r="B9066" t="s">
        <v>16245</v>
      </c>
      <c r="C9066" s="3">
        <v>41111</v>
      </c>
      <c r="D9066" t="s">
        <v>62</v>
      </c>
      <c r="E9066">
        <v>19</v>
      </c>
      <c r="F9066" s="3">
        <f ca="1">41113+(RANDBETWEEN(1,10))</f>
        <v>41119</v>
      </c>
      <c r="G9066" t="s">
        <v>26</v>
      </c>
      <c r="H9066" t="s">
        <v>96</v>
      </c>
      <c r="I9066" t="s">
        <v>28</v>
      </c>
      <c r="J9066">
        <v>252.52500000000001</v>
      </c>
      <c r="K9066">
        <v>0.03</v>
      </c>
      <c r="L9066">
        <v>0.44</v>
      </c>
      <c r="M9066">
        <v>5.6349999999999998</v>
      </c>
      <c r="N9066">
        <v>12.311249999999999</v>
      </c>
      <c r="O9066" s="1" t="s">
        <v>64</v>
      </c>
      <c r="P9066" s="1" t="s">
        <v>252</v>
      </c>
      <c r="Q9066" s="1" t="s">
        <v>253</v>
      </c>
      <c r="R9066" s="1" t="s">
        <v>67</v>
      </c>
      <c r="S9066" s="1" t="s">
        <v>254</v>
      </c>
      <c r="T9066" s="1" t="s">
        <v>255</v>
      </c>
      <c r="U9066" s="2" t="s">
        <v>6529</v>
      </c>
      <c r="V9066" s="2" t="s">
        <v>83</v>
      </c>
      <c r="W9066" s="2" t="s">
        <v>178</v>
      </c>
      <c r="X9066" s="2">
        <v>12.95</v>
      </c>
    </row>
    <row r="9067" spans="1:24" x14ac:dyDescent="0.3">
      <c r="A9067">
        <v>5860</v>
      </c>
      <c r="B9067" t="s">
        <v>16246</v>
      </c>
      <c r="C9067" s="3">
        <v>41680</v>
      </c>
      <c r="D9067" t="s">
        <v>148</v>
      </c>
      <c r="E9067">
        <v>22</v>
      </c>
      <c r="F9067" s="3">
        <f ca="1">41681+(RANDBETWEEN(1,10))</f>
        <v>41689</v>
      </c>
      <c r="G9067" t="s">
        <v>26</v>
      </c>
      <c r="H9067" t="s">
        <v>27</v>
      </c>
      <c r="I9067" t="s">
        <v>28</v>
      </c>
      <c r="J9067">
        <v>483.84</v>
      </c>
      <c r="K9067">
        <v>0.06</v>
      </c>
      <c r="L9067">
        <v>0.38</v>
      </c>
      <c r="M9067">
        <v>18.164999999999999</v>
      </c>
      <c r="N9067">
        <v>-168.76824999999999</v>
      </c>
      <c r="O9067" s="1" t="s">
        <v>64</v>
      </c>
      <c r="P9067" s="1" t="s">
        <v>233</v>
      </c>
      <c r="Q9067" s="1" t="s">
        <v>234</v>
      </c>
      <c r="R9067" s="1" t="s">
        <v>67</v>
      </c>
      <c r="S9067" s="1" t="s">
        <v>68</v>
      </c>
      <c r="T9067" s="1" t="s">
        <v>235</v>
      </c>
      <c r="U9067" s="2" t="s">
        <v>1111</v>
      </c>
      <c r="V9067" s="2" t="s">
        <v>47</v>
      </c>
      <c r="W9067" s="2" t="s">
        <v>111</v>
      </c>
      <c r="X9067" s="2">
        <v>22.295000000000002</v>
      </c>
    </row>
    <row r="9068" spans="1:24" x14ac:dyDescent="0.3">
      <c r="A9068">
        <v>5869</v>
      </c>
      <c r="B9068" t="s">
        <v>16247</v>
      </c>
      <c r="C9068" s="3">
        <v>41865</v>
      </c>
      <c r="D9068" t="s">
        <v>62</v>
      </c>
      <c r="E9068">
        <v>94</v>
      </c>
      <c r="F9068" s="3">
        <f ca="1">41866+(RANDBETWEEN(1,10))</f>
        <v>41870</v>
      </c>
      <c r="G9068" t="s">
        <v>26</v>
      </c>
      <c r="H9068" t="s">
        <v>281</v>
      </c>
      <c r="I9068" t="s">
        <v>97</v>
      </c>
      <c r="J9068">
        <v>37061.360000000001</v>
      </c>
      <c r="K9068">
        <v>0.03</v>
      </c>
      <c r="L9068">
        <v>0.65</v>
      </c>
      <c r="M9068">
        <v>20.335000000000001</v>
      </c>
      <c r="N9068">
        <v>5324.585</v>
      </c>
      <c r="O9068" s="1" t="s">
        <v>87</v>
      </c>
      <c r="P9068" s="1" t="s">
        <v>5156</v>
      </c>
      <c r="Q9068" s="1" t="s">
        <v>5157</v>
      </c>
      <c r="R9068" s="1" t="s">
        <v>398</v>
      </c>
      <c r="S9068" s="1" t="s">
        <v>3179</v>
      </c>
      <c r="T9068" s="1" t="s">
        <v>5158</v>
      </c>
      <c r="U9068" s="2" t="s">
        <v>351</v>
      </c>
      <c r="V9068" s="2" t="s">
        <v>83</v>
      </c>
      <c r="W9068" s="2" t="s">
        <v>178</v>
      </c>
      <c r="X9068" s="2">
        <v>376.35500000000002</v>
      </c>
    </row>
    <row r="9069" spans="1:24" x14ac:dyDescent="0.3">
      <c r="A9069">
        <v>5870</v>
      </c>
      <c r="B9069" t="s">
        <v>16248</v>
      </c>
      <c r="C9069" s="3">
        <v>40769</v>
      </c>
      <c r="D9069" t="s">
        <v>62</v>
      </c>
      <c r="E9069">
        <v>45</v>
      </c>
      <c r="F9069" s="3">
        <f ca="1">40771+(RANDBETWEEN(1,10))</f>
        <v>40781</v>
      </c>
      <c r="G9069" t="s">
        <v>26</v>
      </c>
      <c r="H9069" t="s">
        <v>51</v>
      </c>
      <c r="I9069" t="s">
        <v>97</v>
      </c>
      <c r="J9069">
        <v>2665.8449999999998</v>
      </c>
      <c r="K9069">
        <v>0.05</v>
      </c>
      <c r="L9069">
        <v>0.56999999999999995</v>
      </c>
      <c r="M9069">
        <v>27.23</v>
      </c>
      <c r="N9069">
        <v>-165.48</v>
      </c>
      <c r="O9069" s="1" t="s">
        <v>87</v>
      </c>
      <c r="P9069" s="1" t="s">
        <v>5156</v>
      </c>
      <c r="Q9069" s="1" t="s">
        <v>5157</v>
      </c>
      <c r="R9069" s="1" t="s">
        <v>398</v>
      </c>
      <c r="S9069" s="1" t="s">
        <v>3179</v>
      </c>
      <c r="T9069" s="1" t="s">
        <v>5158</v>
      </c>
      <c r="U9069" s="2" t="s">
        <v>12503</v>
      </c>
      <c r="V9069" s="2" t="s">
        <v>47</v>
      </c>
      <c r="W9069" s="2" t="s">
        <v>104</v>
      </c>
      <c r="X9069" s="2">
        <v>59.43</v>
      </c>
    </row>
    <row r="9070" spans="1:24" x14ac:dyDescent="0.3">
      <c r="A9070">
        <v>5871</v>
      </c>
      <c r="B9070" t="s">
        <v>16248</v>
      </c>
      <c r="C9070" s="3">
        <v>40769</v>
      </c>
      <c r="D9070" t="s">
        <v>62</v>
      </c>
      <c r="E9070">
        <v>49</v>
      </c>
      <c r="F9070" s="3">
        <f ca="1">40771+(RANDBETWEEN(1,10))</f>
        <v>40773</v>
      </c>
      <c r="G9070" t="s">
        <v>26</v>
      </c>
      <c r="H9070" t="s">
        <v>27</v>
      </c>
      <c r="I9070" t="s">
        <v>97</v>
      </c>
      <c r="J9070">
        <v>17549.244999999999</v>
      </c>
      <c r="K9070">
        <v>0.03</v>
      </c>
      <c r="L9070">
        <v>0.56000000000000005</v>
      </c>
      <c r="M9070">
        <v>14.805</v>
      </c>
      <c r="N9070">
        <v>2527.8434999999999</v>
      </c>
      <c r="O9070" s="1" t="s">
        <v>87</v>
      </c>
      <c r="P9070" s="1" t="s">
        <v>5156</v>
      </c>
      <c r="Q9070" s="1" t="s">
        <v>5157</v>
      </c>
      <c r="R9070" s="1" t="s">
        <v>398</v>
      </c>
      <c r="S9070" s="1" t="s">
        <v>3179</v>
      </c>
      <c r="T9070" s="1" t="s">
        <v>5158</v>
      </c>
      <c r="U9070" s="2">
        <v>282</v>
      </c>
      <c r="V9070" s="2" t="s">
        <v>36</v>
      </c>
      <c r="W9070" s="2" t="s">
        <v>37</v>
      </c>
      <c r="X9070" s="2">
        <v>405.96499999999997</v>
      </c>
    </row>
    <row r="9071" spans="1:24" x14ac:dyDescent="0.3">
      <c r="A9071">
        <v>5882</v>
      </c>
      <c r="B9071" t="s">
        <v>16249</v>
      </c>
      <c r="C9071" s="3">
        <v>41666</v>
      </c>
      <c r="D9071" t="s">
        <v>25</v>
      </c>
      <c r="E9071">
        <v>23</v>
      </c>
      <c r="F9071" s="3">
        <f ca="1">41671+(RANDBETWEEN(1,10))</f>
        <v>41678</v>
      </c>
      <c r="G9071" t="s">
        <v>26</v>
      </c>
      <c r="H9071" t="s">
        <v>27</v>
      </c>
      <c r="I9071" t="s">
        <v>86</v>
      </c>
      <c r="J9071">
        <v>25639.88</v>
      </c>
      <c r="K9071">
        <v>0.04</v>
      </c>
      <c r="L9071">
        <v>0.38</v>
      </c>
      <c r="M9071">
        <v>69.965000000000003</v>
      </c>
      <c r="N9071">
        <v>3707.3141000000001</v>
      </c>
      <c r="O9071" s="1" t="s">
        <v>29</v>
      </c>
      <c r="P9071" s="1" t="s">
        <v>318</v>
      </c>
      <c r="Q9071" s="1" t="s">
        <v>319</v>
      </c>
      <c r="R9071" s="1" t="s">
        <v>32</v>
      </c>
      <c r="S9071" s="1" t="s">
        <v>33</v>
      </c>
      <c r="T9071" s="1" t="s">
        <v>320</v>
      </c>
      <c r="U9071" s="2" t="s">
        <v>1457</v>
      </c>
      <c r="V9071" s="2" t="s">
        <v>47</v>
      </c>
      <c r="W9071" s="2" t="s">
        <v>111</v>
      </c>
      <c r="X9071" s="2">
        <v>1105.93</v>
      </c>
    </row>
    <row r="9072" spans="1:24" x14ac:dyDescent="0.3">
      <c r="A9072">
        <v>5883</v>
      </c>
      <c r="B9072" t="s">
        <v>16249</v>
      </c>
      <c r="C9072" s="3">
        <v>41666</v>
      </c>
      <c r="D9072" t="s">
        <v>25</v>
      </c>
      <c r="E9072">
        <v>24</v>
      </c>
      <c r="F9072" s="3">
        <f ca="1">41673+(RANDBETWEEN(1,10))</f>
        <v>41680</v>
      </c>
      <c r="G9072" t="s">
        <v>26</v>
      </c>
      <c r="H9072" t="s">
        <v>27</v>
      </c>
      <c r="I9072" t="s">
        <v>86</v>
      </c>
      <c r="J9072">
        <v>944.82500000000005</v>
      </c>
      <c r="K9072">
        <v>0</v>
      </c>
      <c r="L9072">
        <v>0.56999999999999995</v>
      </c>
      <c r="M9072">
        <v>43.82</v>
      </c>
      <c r="N9072">
        <v>-745.80799999999999</v>
      </c>
      <c r="O9072" s="1" t="s">
        <v>29</v>
      </c>
      <c r="P9072" s="1" t="s">
        <v>318</v>
      </c>
      <c r="Q9072" s="1" t="s">
        <v>319</v>
      </c>
      <c r="R9072" s="1" t="s">
        <v>32</v>
      </c>
      <c r="S9072" s="1" t="s">
        <v>33</v>
      </c>
      <c r="T9072" s="1" t="s">
        <v>320</v>
      </c>
      <c r="U9072" s="2" t="s">
        <v>8087</v>
      </c>
      <c r="V9072" s="2" t="s">
        <v>83</v>
      </c>
      <c r="W9072" s="2" t="s">
        <v>178</v>
      </c>
      <c r="X9072" s="2">
        <v>34.93</v>
      </c>
    </row>
    <row r="9073" spans="1:24" x14ac:dyDescent="0.3">
      <c r="A9073">
        <v>5884</v>
      </c>
      <c r="B9073" t="s">
        <v>16249</v>
      </c>
      <c r="C9073" s="3">
        <v>41666</v>
      </c>
      <c r="D9073" t="s">
        <v>25</v>
      </c>
      <c r="E9073">
        <v>8</v>
      </c>
      <c r="F9073" s="3">
        <f ca="1">41671+(RANDBETWEEN(1,10))</f>
        <v>41676</v>
      </c>
      <c r="G9073" t="s">
        <v>26</v>
      </c>
      <c r="H9073" t="s">
        <v>27</v>
      </c>
      <c r="I9073" t="s">
        <v>86</v>
      </c>
      <c r="J9073">
        <v>2742.88</v>
      </c>
      <c r="K9073">
        <v>0.08</v>
      </c>
      <c r="L9073">
        <v>0.56999999999999995</v>
      </c>
      <c r="M9073">
        <v>8.75</v>
      </c>
      <c r="N9073">
        <v>-1561.6831999999999</v>
      </c>
      <c r="O9073" s="1" t="s">
        <v>29</v>
      </c>
      <c r="P9073" s="1" t="s">
        <v>318</v>
      </c>
      <c r="Q9073" s="1" t="s">
        <v>319</v>
      </c>
      <c r="R9073" s="1" t="s">
        <v>32</v>
      </c>
      <c r="S9073" s="1" t="s">
        <v>33</v>
      </c>
      <c r="T9073" s="1" t="s">
        <v>320</v>
      </c>
      <c r="U9073" s="2">
        <v>6160</v>
      </c>
      <c r="V9073" s="2" t="s">
        <v>36</v>
      </c>
      <c r="W9073" s="2" t="s">
        <v>37</v>
      </c>
      <c r="X9073" s="2">
        <v>405.96499999999997</v>
      </c>
    </row>
    <row r="9074" spans="1:24" x14ac:dyDescent="0.3">
      <c r="A9074">
        <v>5885</v>
      </c>
      <c r="B9074" t="s">
        <v>16249</v>
      </c>
      <c r="C9074" s="3">
        <v>41666</v>
      </c>
      <c r="D9074" t="s">
        <v>25</v>
      </c>
      <c r="E9074">
        <v>44</v>
      </c>
      <c r="F9074" s="3">
        <f ca="1">41671+(RANDBETWEEN(1,10))</f>
        <v>41674</v>
      </c>
      <c r="G9074" t="s">
        <v>26</v>
      </c>
      <c r="H9074" t="s">
        <v>27</v>
      </c>
      <c r="I9074" t="s">
        <v>86</v>
      </c>
      <c r="J9074">
        <v>12443.725</v>
      </c>
      <c r="K9074">
        <v>0.05</v>
      </c>
      <c r="L9074">
        <v>0.56999999999999995</v>
      </c>
      <c r="M9074">
        <v>31.465</v>
      </c>
      <c r="N9074">
        <v>975.73140000000001</v>
      </c>
      <c r="O9074" s="1" t="s">
        <v>29</v>
      </c>
      <c r="P9074" s="1" t="s">
        <v>318</v>
      </c>
      <c r="Q9074" s="1" t="s">
        <v>319</v>
      </c>
      <c r="R9074" s="1" t="s">
        <v>32</v>
      </c>
      <c r="S9074" s="1" t="s">
        <v>33</v>
      </c>
      <c r="T9074" s="1" t="s">
        <v>320</v>
      </c>
      <c r="U9074" s="2" t="s">
        <v>5003</v>
      </c>
      <c r="V9074" s="2" t="s">
        <v>36</v>
      </c>
      <c r="W9074" s="2" t="s">
        <v>37</v>
      </c>
      <c r="X9074" s="2">
        <v>335.96499999999997</v>
      </c>
    </row>
    <row r="9075" spans="1:24" x14ac:dyDescent="0.3">
      <c r="A9075">
        <v>5890</v>
      </c>
      <c r="B9075" t="s">
        <v>16250</v>
      </c>
      <c r="C9075" s="3">
        <v>40678</v>
      </c>
      <c r="D9075" t="s">
        <v>39</v>
      </c>
      <c r="E9075">
        <v>70</v>
      </c>
      <c r="F9075" s="3">
        <f ca="1">40679+(RANDBETWEEN(1,10))</f>
        <v>40687</v>
      </c>
      <c r="G9075" t="s">
        <v>26</v>
      </c>
      <c r="H9075" t="s">
        <v>27</v>
      </c>
      <c r="I9075" t="s">
        <v>86</v>
      </c>
      <c r="J9075">
        <v>6568.415</v>
      </c>
      <c r="K9075">
        <v>0.05</v>
      </c>
      <c r="L9075">
        <v>0.49</v>
      </c>
      <c r="M9075">
        <v>24.254999999999999</v>
      </c>
      <c r="N9075">
        <v>1345.33</v>
      </c>
      <c r="O9075" s="1" t="s">
        <v>40</v>
      </c>
      <c r="P9075" s="1" t="s">
        <v>209</v>
      </c>
      <c r="Q9075" s="1" t="s">
        <v>210</v>
      </c>
      <c r="R9075" s="1" t="s">
        <v>43</v>
      </c>
      <c r="S9075" s="1" t="s">
        <v>44</v>
      </c>
      <c r="T9075" s="1" t="s">
        <v>211</v>
      </c>
      <c r="U9075" s="2" t="s">
        <v>3900</v>
      </c>
      <c r="V9075" s="2" t="s">
        <v>83</v>
      </c>
      <c r="W9075" s="2" t="s">
        <v>178</v>
      </c>
      <c r="X9075" s="2">
        <v>92.68</v>
      </c>
    </row>
    <row r="9076" spans="1:24" x14ac:dyDescent="0.3">
      <c r="A9076">
        <v>5902</v>
      </c>
      <c r="B9076" t="s">
        <v>16251</v>
      </c>
      <c r="C9076" s="3">
        <v>41841</v>
      </c>
      <c r="D9076" t="s">
        <v>50</v>
      </c>
      <c r="E9076">
        <v>60</v>
      </c>
      <c r="F9076" s="3">
        <f ca="1">41843+(RANDBETWEEN(1,10))</f>
        <v>41849</v>
      </c>
      <c r="G9076" t="s">
        <v>76</v>
      </c>
      <c r="H9076" t="s">
        <v>258</v>
      </c>
      <c r="I9076" t="s">
        <v>28</v>
      </c>
      <c r="J9076">
        <v>16805.32</v>
      </c>
      <c r="K9076">
        <v>0.03</v>
      </c>
      <c r="L9076">
        <v>0.4</v>
      </c>
      <c r="M9076">
        <v>105.21</v>
      </c>
      <c r="N9076">
        <v>1511.825</v>
      </c>
      <c r="O9076" s="1" t="s">
        <v>40</v>
      </c>
      <c r="P9076" s="1" t="s">
        <v>381</v>
      </c>
      <c r="Q9076" s="1" t="s">
        <v>382</v>
      </c>
      <c r="R9076" s="1" t="s">
        <v>220</v>
      </c>
      <c r="S9076" s="1" t="s">
        <v>221</v>
      </c>
      <c r="T9076" s="1" t="s">
        <v>383</v>
      </c>
      <c r="U9076" s="2" t="s">
        <v>286</v>
      </c>
      <c r="V9076" s="2" t="s">
        <v>36</v>
      </c>
      <c r="W9076" s="2" t="s">
        <v>142</v>
      </c>
      <c r="X9076" s="2">
        <v>283.39499999999998</v>
      </c>
    </row>
    <row r="9077" spans="1:24" x14ac:dyDescent="0.3">
      <c r="A9077">
        <v>5903</v>
      </c>
      <c r="B9077" t="s">
        <v>16251</v>
      </c>
      <c r="C9077" s="3">
        <v>41841</v>
      </c>
      <c r="D9077" t="s">
        <v>50</v>
      </c>
      <c r="E9077">
        <v>53</v>
      </c>
      <c r="F9077" s="3">
        <f ca="1">41842+(RANDBETWEEN(1,10))</f>
        <v>41844</v>
      </c>
      <c r="G9077" t="s">
        <v>26</v>
      </c>
      <c r="H9077" t="s">
        <v>27</v>
      </c>
      <c r="I9077" t="s">
        <v>28</v>
      </c>
      <c r="J9077">
        <v>1023.225</v>
      </c>
      <c r="K9077">
        <v>0.05</v>
      </c>
      <c r="L9077">
        <v>0.4</v>
      </c>
      <c r="M9077">
        <v>19.809999999999999</v>
      </c>
      <c r="N9077">
        <v>-337.01499999999999</v>
      </c>
      <c r="O9077" s="1" t="s">
        <v>40</v>
      </c>
      <c r="P9077" s="1" t="s">
        <v>381</v>
      </c>
      <c r="Q9077" s="1" t="s">
        <v>382</v>
      </c>
      <c r="R9077" s="1" t="s">
        <v>220</v>
      </c>
      <c r="S9077" s="1" t="s">
        <v>221</v>
      </c>
      <c r="T9077" s="1" t="s">
        <v>383</v>
      </c>
      <c r="U9077" s="2" t="s">
        <v>9988</v>
      </c>
      <c r="V9077" s="2" t="s">
        <v>47</v>
      </c>
      <c r="W9077" s="2" t="s">
        <v>74</v>
      </c>
      <c r="X9077" s="2">
        <v>18.48</v>
      </c>
    </row>
    <row r="9078" spans="1:24" x14ac:dyDescent="0.3">
      <c r="A9078">
        <v>5904</v>
      </c>
      <c r="B9078" t="s">
        <v>16252</v>
      </c>
      <c r="C9078" s="3">
        <v>41400</v>
      </c>
      <c r="D9078" t="s">
        <v>25</v>
      </c>
      <c r="E9078">
        <v>71</v>
      </c>
      <c r="F9078" s="3">
        <f ca="1">41405+(RANDBETWEEN(1,10))</f>
        <v>41411</v>
      </c>
      <c r="G9078" t="s">
        <v>156</v>
      </c>
      <c r="H9078" t="s">
        <v>27</v>
      </c>
      <c r="I9078" t="s">
        <v>97</v>
      </c>
      <c r="J9078">
        <v>2546.0050000000001</v>
      </c>
      <c r="K9078">
        <v>0.04</v>
      </c>
      <c r="L9078">
        <v>0.55000000000000004</v>
      </c>
      <c r="M9078">
        <v>21.77</v>
      </c>
      <c r="N9078">
        <v>-134.36500000000001</v>
      </c>
      <c r="O9078" s="1" t="s">
        <v>40</v>
      </c>
      <c r="P9078" s="1" t="s">
        <v>15909</v>
      </c>
      <c r="Q9078" s="1" t="s">
        <v>15910</v>
      </c>
      <c r="R9078" s="1" t="s">
        <v>220</v>
      </c>
      <c r="S9078" s="1" t="s">
        <v>221</v>
      </c>
      <c r="T9078" s="1" t="s">
        <v>15911</v>
      </c>
      <c r="U9078" s="2" t="s">
        <v>1422</v>
      </c>
      <c r="V9078" s="2" t="s">
        <v>83</v>
      </c>
      <c r="W9078" s="2" t="s">
        <v>178</v>
      </c>
      <c r="X9078" s="2">
        <v>33.774999999999999</v>
      </c>
    </row>
    <row r="9079" spans="1:24" x14ac:dyDescent="0.3">
      <c r="A9079">
        <v>5918</v>
      </c>
      <c r="B9079" t="s">
        <v>16253</v>
      </c>
      <c r="C9079" s="3">
        <v>41568</v>
      </c>
      <c r="D9079" t="s">
        <v>50</v>
      </c>
      <c r="E9079">
        <v>49</v>
      </c>
      <c r="F9079" s="3">
        <f ca="1">41569+(RANDBETWEEN(1,10))</f>
        <v>41579</v>
      </c>
      <c r="G9079" t="s">
        <v>76</v>
      </c>
      <c r="H9079" t="s">
        <v>258</v>
      </c>
      <c r="I9079" t="s">
        <v>28</v>
      </c>
      <c r="J9079">
        <v>44459.974999999999</v>
      </c>
      <c r="K9079">
        <v>0.05</v>
      </c>
      <c r="L9079">
        <v>0.66</v>
      </c>
      <c r="M9079">
        <v>102.2</v>
      </c>
      <c r="N9079">
        <v>4928.308</v>
      </c>
      <c r="O9079" s="1" t="s">
        <v>64</v>
      </c>
      <c r="P9079" s="1" t="s">
        <v>16006</v>
      </c>
      <c r="Q9079" s="1" t="s">
        <v>16007</v>
      </c>
      <c r="R9079" s="1" t="s">
        <v>128</v>
      </c>
      <c r="S9079" s="1" t="s">
        <v>129</v>
      </c>
      <c r="T9079" s="1" t="s">
        <v>16008</v>
      </c>
      <c r="U9079" s="2" t="s">
        <v>3999</v>
      </c>
      <c r="V9079" s="2" t="s">
        <v>83</v>
      </c>
      <c r="W9079" s="2" t="s">
        <v>263</v>
      </c>
      <c r="X9079" s="2">
        <v>1122.24</v>
      </c>
    </row>
    <row r="9080" spans="1:24" x14ac:dyDescent="0.3">
      <c r="A9080">
        <v>5927</v>
      </c>
      <c r="B9080" t="s">
        <v>16254</v>
      </c>
      <c r="C9080" s="3">
        <v>41896</v>
      </c>
      <c r="D9080" t="s">
        <v>148</v>
      </c>
      <c r="E9080">
        <v>67</v>
      </c>
      <c r="F9080" s="3">
        <f ca="1">41898+(RANDBETWEEN(1,10))</f>
        <v>41900</v>
      </c>
      <c r="G9080" t="s">
        <v>26</v>
      </c>
      <c r="H9080" t="s">
        <v>27</v>
      </c>
      <c r="I9080" t="s">
        <v>52</v>
      </c>
      <c r="J9080">
        <v>692.86</v>
      </c>
      <c r="K9080">
        <v>0.01</v>
      </c>
      <c r="L9080">
        <v>0.36</v>
      </c>
      <c r="M9080">
        <v>5.2149999999999999</v>
      </c>
      <c r="N9080">
        <v>23.591750000000001</v>
      </c>
      <c r="O9080" s="1" t="s">
        <v>40</v>
      </c>
      <c r="P9080" s="1" t="s">
        <v>303</v>
      </c>
      <c r="Q9080" s="1" t="s">
        <v>304</v>
      </c>
      <c r="R9080" s="1" t="s">
        <v>43</v>
      </c>
      <c r="S9080" s="1" t="s">
        <v>44</v>
      </c>
      <c r="T9080" s="1" t="s">
        <v>305</v>
      </c>
      <c r="U9080" s="2" t="s">
        <v>2339</v>
      </c>
      <c r="V9080" s="2" t="s">
        <v>47</v>
      </c>
      <c r="W9080" s="2" t="s">
        <v>111</v>
      </c>
      <c r="X9080" s="2">
        <v>10.08</v>
      </c>
    </row>
    <row r="9081" spans="1:24" x14ac:dyDescent="0.3">
      <c r="A9081">
        <v>5946</v>
      </c>
      <c r="B9081" t="s">
        <v>16255</v>
      </c>
      <c r="C9081" s="3">
        <v>41354</v>
      </c>
      <c r="D9081" t="s">
        <v>62</v>
      </c>
      <c r="E9081">
        <v>52</v>
      </c>
      <c r="F9081" s="3">
        <f ca="1">41356+(RANDBETWEEN(1,10))</f>
        <v>41361</v>
      </c>
      <c r="G9081" t="s">
        <v>26</v>
      </c>
      <c r="H9081" t="s">
        <v>27</v>
      </c>
      <c r="I9081" t="s">
        <v>86</v>
      </c>
      <c r="J9081">
        <v>439.005</v>
      </c>
      <c r="K9081">
        <v>0.08</v>
      </c>
      <c r="L9081">
        <v>0.39</v>
      </c>
      <c r="M9081">
        <v>1.75</v>
      </c>
      <c r="N9081">
        <v>125.72</v>
      </c>
      <c r="O9081" s="1" t="s">
        <v>40</v>
      </c>
      <c r="P9081" s="1" t="s">
        <v>78</v>
      </c>
      <c r="Q9081" s="1" t="s">
        <v>79</v>
      </c>
      <c r="R9081" s="1" t="s">
        <v>43</v>
      </c>
      <c r="S9081" s="1" t="s">
        <v>80</v>
      </c>
      <c r="T9081" s="1" t="s">
        <v>81</v>
      </c>
      <c r="U9081" s="2" t="s">
        <v>1726</v>
      </c>
      <c r="V9081" s="2" t="s">
        <v>47</v>
      </c>
      <c r="W9081" s="2" t="s">
        <v>203</v>
      </c>
      <c r="X9081" s="2">
        <v>9.1349999999999998</v>
      </c>
    </row>
    <row r="9082" spans="1:24" x14ac:dyDescent="0.3">
      <c r="A9082">
        <v>5974</v>
      </c>
      <c r="B9082" t="s">
        <v>16256</v>
      </c>
      <c r="C9082" s="3">
        <v>41856</v>
      </c>
      <c r="D9082" t="s">
        <v>62</v>
      </c>
      <c r="E9082">
        <v>88</v>
      </c>
      <c r="F9082" s="3">
        <f ca="1">41857+(RANDBETWEEN(1,10))</f>
        <v>41858</v>
      </c>
      <c r="G9082" t="s">
        <v>26</v>
      </c>
      <c r="H9082" t="s">
        <v>51</v>
      </c>
      <c r="I9082" t="s">
        <v>97</v>
      </c>
      <c r="J9082">
        <v>5503.82</v>
      </c>
      <c r="K9082">
        <v>0.01</v>
      </c>
      <c r="L9082">
        <v>0.46</v>
      </c>
      <c r="M9082">
        <v>6.9649999999999999</v>
      </c>
      <c r="N9082">
        <v>962.43</v>
      </c>
      <c r="O9082" s="1" t="s">
        <v>225</v>
      </c>
      <c r="P9082" s="1" t="s">
        <v>10043</v>
      </c>
      <c r="Q9082" s="1" t="s">
        <v>10044</v>
      </c>
      <c r="R9082" s="1" t="s">
        <v>228</v>
      </c>
      <c r="S9082" s="1" t="s">
        <v>229</v>
      </c>
      <c r="T9082" s="1" t="s">
        <v>10045</v>
      </c>
      <c r="U9082" s="2" t="s">
        <v>8044</v>
      </c>
      <c r="V9082" s="2" t="s">
        <v>36</v>
      </c>
      <c r="W9082" s="2" t="s">
        <v>60</v>
      </c>
      <c r="X9082" s="2">
        <v>61.18</v>
      </c>
    </row>
    <row r="9083" spans="1:24" x14ac:dyDescent="0.3">
      <c r="A9083">
        <v>5999</v>
      </c>
      <c r="B9083" t="s">
        <v>16257</v>
      </c>
      <c r="C9083" s="3">
        <v>40962</v>
      </c>
      <c r="D9083" t="s">
        <v>148</v>
      </c>
      <c r="E9083">
        <v>37</v>
      </c>
      <c r="F9083" s="3">
        <f ca="1">40964+(RANDBETWEEN(1,10))</f>
        <v>40966</v>
      </c>
      <c r="G9083" t="s">
        <v>26</v>
      </c>
      <c r="H9083" t="s">
        <v>27</v>
      </c>
      <c r="I9083" t="s">
        <v>52</v>
      </c>
      <c r="J9083">
        <v>4747.5749999999998</v>
      </c>
      <c r="K9083">
        <v>0.02</v>
      </c>
      <c r="L9083">
        <v>0.38</v>
      </c>
      <c r="M9083">
        <v>69.965000000000003</v>
      </c>
      <c r="N9083">
        <v>166.77500000000001</v>
      </c>
      <c r="O9083" s="1" t="s">
        <v>64</v>
      </c>
      <c r="P9083" s="1" t="s">
        <v>333</v>
      </c>
      <c r="Q9083" s="1" t="s">
        <v>334</v>
      </c>
      <c r="R9083" s="1" t="s">
        <v>67</v>
      </c>
      <c r="S9083" s="1" t="s">
        <v>68</v>
      </c>
      <c r="T9083" s="1" t="s">
        <v>335</v>
      </c>
      <c r="U9083" s="2" t="s">
        <v>3329</v>
      </c>
      <c r="V9083" s="2" t="s">
        <v>47</v>
      </c>
      <c r="W9083" s="2" t="s">
        <v>74</v>
      </c>
      <c r="X9083" s="2">
        <v>124.04</v>
      </c>
    </row>
    <row r="9084" spans="1:24" x14ac:dyDescent="0.3">
      <c r="A9084">
        <v>6000</v>
      </c>
      <c r="B9084" t="s">
        <v>16257</v>
      </c>
      <c r="C9084" s="3">
        <v>40962</v>
      </c>
      <c r="D9084" t="s">
        <v>148</v>
      </c>
      <c r="E9084">
        <v>13</v>
      </c>
      <c r="F9084" s="3">
        <f ca="1">40963+(RANDBETWEEN(1,10))</f>
        <v>40972</v>
      </c>
      <c r="G9084" t="s">
        <v>26</v>
      </c>
      <c r="H9084" t="s">
        <v>27</v>
      </c>
      <c r="I9084" t="s">
        <v>52</v>
      </c>
      <c r="J9084">
        <v>877.625</v>
      </c>
      <c r="K9084">
        <v>0.02</v>
      </c>
      <c r="L9084">
        <v>0.59</v>
      </c>
      <c r="M9084">
        <v>33.145000000000003</v>
      </c>
      <c r="N9084">
        <v>-152.32</v>
      </c>
      <c r="O9084" s="1" t="s">
        <v>64</v>
      </c>
      <c r="P9084" s="1" t="s">
        <v>333</v>
      </c>
      <c r="Q9084" s="1" t="s">
        <v>334</v>
      </c>
      <c r="R9084" s="1" t="s">
        <v>67</v>
      </c>
      <c r="S9084" s="1" t="s">
        <v>68</v>
      </c>
      <c r="T9084" s="1" t="s">
        <v>335</v>
      </c>
      <c r="U9084" s="2" t="s">
        <v>811</v>
      </c>
      <c r="V9084" s="2" t="s">
        <v>47</v>
      </c>
      <c r="W9084" s="2" t="s">
        <v>119</v>
      </c>
      <c r="X9084" s="2">
        <v>61.95</v>
      </c>
    </row>
    <row r="9085" spans="1:24" x14ac:dyDescent="0.3">
      <c r="A9085">
        <v>6001</v>
      </c>
      <c r="B9085" t="s">
        <v>16257</v>
      </c>
      <c r="C9085" s="3">
        <v>40962</v>
      </c>
      <c r="D9085" t="s">
        <v>148</v>
      </c>
      <c r="E9085">
        <v>31</v>
      </c>
      <c r="F9085" s="3">
        <f ca="1">40963+(RANDBETWEEN(1,10))</f>
        <v>40972</v>
      </c>
      <c r="G9085" t="s">
        <v>156</v>
      </c>
      <c r="H9085" t="s">
        <v>51</v>
      </c>
      <c r="I9085" t="s">
        <v>52</v>
      </c>
      <c r="J9085">
        <v>1095.675</v>
      </c>
      <c r="K9085">
        <v>0.02</v>
      </c>
      <c r="L9085">
        <v>0.43</v>
      </c>
      <c r="M9085">
        <v>6.9649999999999999</v>
      </c>
      <c r="N9085">
        <v>286.54500000000002</v>
      </c>
      <c r="O9085" s="1" t="s">
        <v>64</v>
      </c>
      <c r="P9085" s="1" t="s">
        <v>333</v>
      </c>
      <c r="Q9085" s="1" t="s">
        <v>334</v>
      </c>
      <c r="R9085" s="1" t="s">
        <v>67</v>
      </c>
      <c r="S9085" s="1" t="s">
        <v>68</v>
      </c>
      <c r="T9085" s="1" t="s">
        <v>335</v>
      </c>
      <c r="U9085" s="2" t="s">
        <v>237</v>
      </c>
      <c r="V9085" s="2" t="s">
        <v>36</v>
      </c>
      <c r="W9085" s="2" t="s">
        <v>60</v>
      </c>
      <c r="X9085" s="2">
        <v>34.229999999999997</v>
      </c>
    </row>
    <row r="9086" spans="1:24" x14ac:dyDescent="0.3">
      <c r="A9086">
        <v>6002</v>
      </c>
      <c r="B9086" t="s">
        <v>16257</v>
      </c>
      <c r="C9086" s="3">
        <v>40962</v>
      </c>
      <c r="D9086" t="s">
        <v>148</v>
      </c>
      <c r="E9086">
        <v>46</v>
      </c>
      <c r="F9086" s="3">
        <f ca="1">40964+(RANDBETWEEN(1,10))</f>
        <v>40969</v>
      </c>
      <c r="G9086" t="s">
        <v>26</v>
      </c>
      <c r="H9086" t="s">
        <v>96</v>
      </c>
      <c r="I9086" t="s">
        <v>52</v>
      </c>
      <c r="J9086">
        <v>564.48</v>
      </c>
      <c r="K9086">
        <v>0.01</v>
      </c>
      <c r="L9086">
        <v>0.39</v>
      </c>
      <c r="M9086">
        <v>2.66</v>
      </c>
      <c r="N9086">
        <v>198.55500000000001</v>
      </c>
      <c r="O9086" s="1" t="s">
        <v>64</v>
      </c>
      <c r="P9086" s="1" t="s">
        <v>333</v>
      </c>
      <c r="Q9086" s="1" t="s">
        <v>334</v>
      </c>
      <c r="R9086" s="1" t="s">
        <v>67</v>
      </c>
      <c r="S9086" s="1" t="s">
        <v>68</v>
      </c>
      <c r="T9086" s="1" t="s">
        <v>335</v>
      </c>
      <c r="U9086" s="2" t="s">
        <v>1730</v>
      </c>
      <c r="V9086" s="2" t="s">
        <v>47</v>
      </c>
      <c r="W9086" s="2" t="s">
        <v>176</v>
      </c>
      <c r="X9086" s="2">
        <v>12.215</v>
      </c>
    </row>
    <row r="9087" spans="1:24" x14ac:dyDescent="0.3">
      <c r="A9087">
        <v>6003</v>
      </c>
      <c r="B9087" t="s">
        <v>16257</v>
      </c>
      <c r="C9087" s="3">
        <v>40962</v>
      </c>
      <c r="D9087" t="s">
        <v>148</v>
      </c>
      <c r="E9087">
        <v>29</v>
      </c>
      <c r="F9087" s="3">
        <f ca="1">40963+(RANDBETWEEN(1,10))</f>
        <v>40971</v>
      </c>
      <c r="G9087" t="s">
        <v>26</v>
      </c>
      <c r="H9087" t="s">
        <v>27</v>
      </c>
      <c r="I9087" t="s">
        <v>52</v>
      </c>
      <c r="J9087">
        <v>702.45</v>
      </c>
      <c r="K9087">
        <v>0.02</v>
      </c>
      <c r="L9087">
        <v>0.37</v>
      </c>
      <c r="M9087">
        <v>32.094999999999999</v>
      </c>
      <c r="N9087">
        <v>-517.02</v>
      </c>
      <c r="O9087" s="1" t="s">
        <v>64</v>
      </c>
      <c r="P9087" s="1" t="s">
        <v>333</v>
      </c>
      <c r="Q9087" s="1" t="s">
        <v>334</v>
      </c>
      <c r="R9087" s="1" t="s">
        <v>67</v>
      </c>
      <c r="S9087" s="1" t="s">
        <v>68</v>
      </c>
      <c r="T9087" s="1" t="s">
        <v>335</v>
      </c>
      <c r="U9087" s="2" t="s">
        <v>4991</v>
      </c>
      <c r="V9087" s="2" t="s">
        <v>47</v>
      </c>
      <c r="W9087" s="2" t="s">
        <v>74</v>
      </c>
      <c r="X9087" s="2">
        <v>22.68</v>
      </c>
    </row>
    <row r="9088" spans="1:24" x14ac:dyDescent="0.3">
      <c r="A9088">
        <v>6013</v>
      </c>
      <c r="B9088" t="s">
        <v>16258</v>
      </c>
      <c r="C9088" s="3">
        <v>40993</v>
      </c>
      <c r="D9088" t="s">
        <v>148</v>
      </c>
      <c r="E9088">
        <v>5</v>
      </c>
      <c r="F9088" s="3">
        <f ca="1">40995+(RANDBETWEEN(1,10))</f>
        <v>41005</v>
      </c>
      <c r="G9088" t="s">
        <v>26</v>
      </c>
      <c r="H9088" t="s">
        <v>51</v>
      </c>
      <c r="I9088" t="s">
        <v>28</v>
      </c>
      <c r="J9088">
        <v>103.81</v>
      </c>
      <c r="K9088">
        <v>0.04</v>
      </c>
      <c r="L9088">
        <v>0.64</v>
      </c>
      <c r="M9088">
        <v>15.12</v>
      </c>
      <c r="N9088">
        <v>-114.73</v>
      </c>
      <c r="O9088" s="1" t="s">
        <v>40</v>
      </c>
      <c r="P9088" s="1" t="s">
        <v>15950</v>
      </c>
      <c r="Q9088" s="1" t="s">
        <v>15951</v>
      </c>
      <c r="R9088" s="1" t="s">
        <v>43</v>
      </c>
      <c r="S9088" s="1" t="s">
        <v>44</v>
      </c>
      <c r="T9088" s="1" t="s">
        <v>15952</v>
      </c>
      <c r="U9088" s="2" t="s">
        <v>6443</v>
      </c>
      <c r="V9088" s="2" t="s">
        <v>36</v>
      </c>
      <c r="W9088" s="2" t="s">
        <v>60</v>
      </c>
      <c r="X9088" s="2">
        <v>17.43</v>
      </c>
    </row>
    <row r="9089" spans="1:24" x14ac:dyDescent="0.3">
      <c r="A9089">
        <v>6014</v>
      </c>
      <c r="B9089" t="s">
        <v>16259</v>
      </c>
      <c r="C9089" s="3">
        <v>40639</v>
      </c>
      <c r="D9089" t="s">
        <v>148</v>
      </c>
      <c r="E9089">
        <v>31</v>
      </c>
      <c r="F9089" s="3">
        <f ca="1">40640+(RANDBETWEEN(1,10))</f>
        <v>40643</v>
      </c>
      <c r="G9089" t="s">
        <v>76</v>
      </c>
      <c r="H9089" t="s">
        <v>258</v>
      </c>
      <c r="I9089" t="s">
        <v>52</v>
      </c>
      <c r="J9089">
        <v>33109.79</v>
      </c>
      <c r="K9089">
        <v>0.04</v>
      </c>
      <c r="L9089">
        <v>0.55000000000000004</v>
      </c>
      <c r="M9089">
        <v>192.22</v>
      </c>
      <c r="N9089">
        <v>7083.125</v>
      </c>
      <c r="O9089" s="1" t="s">
        <v>64</v>
      </c>
      <c r="P9089" s="1" t="s">
        <v>333</v>
      </c>
      <c r="Q9089" s="1" t="s">
        <v>334</v>
      </c>
      <c r="R9089" s="1" t="s">
        <v>67</v>
      </c>
      <c r="S9089" s="1" t="s">
        <v>68</v>
      </c>
      <c r="T9089" s="1" t="s">
        <v>335</v>
      </c>
      <c r="U9089" s="2" t="s">
        <v>5085</v>
      </c>
      <c r="V9089" s="2" t="s">
        <v>83</v>
      </c>
      <c r="W9089" s="2" t="s">
        <v>298</v>
      </c>
      <c r="X9089" s="2">
        <v>1053.43</v>
      </c>
    </row>
    <row r="9090" spans="1:24" x14ac:dyDescent="0.3">
      <c r="A9090">
        <v>6021</v>
      </c>
      <c r="B9090" t="s">
        <v>16260</v>
      </c>
      <c r="C9090" s="3">
        <v>41075</v>
      </c>
      <c r="D9090" t="s">
        <v>148</v>
      </c>
      <c r="E9090">
        <v>44</v>
      </c>
      <c r="F9090" s="3">
        <f ca="1">41075+(RANDBETWEEN(1,10))</f>
        <v>41078</v>
      </c>
      <c r="G9090" t="s">
        <v>26</v>
      </c>
      <c r="H9090" t="s">
        <v>27</v>
      </c>
      <c r="I9090" t="s">
        <v>97</v>
      </c>
      <c r="J9090">
        <v>778.92499999999995</v>
      </c>
      <c r="K9090">
        <v>0.08</v>
      </c>
      <c r="L9090">
        <v>0.37</v>
      </c>
      <c r="M9090">
        <v>10.465</v>
      </c>
      <c r="N9090">
        <v>-29.140999999999998</v>
      </c>
      <c r="O9090" s="1" t="s">
        <v>225</v>
      </c>
      <c r="P9090" s="1" t="s">
        <v>289</v>
      </c>
      <c r="Q9090" s="1" t="s">
        <v>290</v>
      </c>
      <c r="R9090" s="1" t="s">
        <v>228</v>
      </c>
      <c r="S9090" s="1" t="s">
        <v>229</v>
      </c>
      <c r="T9090" s="1" t="s">
        <v>291</v>
      </c>
      <c r="U9090" s="2" t="s">
        <v>1041</v>
      </c>
      <c r="V9090" s="2" t="s">
        <v>47</v>
      </c>
      <c r="W9090" s="2" t="s">
        <v>111</v>
      </c>
      <c r="X9090" s="2">
        <v>18.48</v>
      </c>
    </row>
    <row r="9091" spans="1:24" x14ac:dyDescent="0.3">
      <c r="A9091">
        <v>6030</v>
      </c>
      <c r="B9091" t="s">
        <v>16261</v>
      </c>
      <c r="C9091" s="3">
        <v>41919</v>
      </c>
      <c r="D9091" t="s">
        <v>50</v>
      </c>
      <c r="E9091">
        <v>48</v>
      </c>
      <c r="F9091" s="3">
        <f ca="1">41920+(RANDBETWEEN(1,10))</f>
        <v>41922</v>
      </c>
      <c r="G9091" t="s">
        <v>26</v>
      </c>
      <c r="H9091" t="s">
        <v>27</v>
      </c>
      <c r="I9091" t="s">
        <v>97</v>
      </c>
      <c r="J9091">
        <v>8415.7849999999999</v>
      </c>
      <c r="K9091">
        <v>0</v>
      </c>
      <c r="L9091">
        <v>0.59</v>
      </c>
      <c r="M9091">
        <v>15.75</v>
      </c>
      <c r="N9091">
        <v>1004.43</v>
      </c>
      <c r="O9091" s="1" t="s">
        <v>64</v>
      </c>
      <c r="P9091" s="1" t="s">
        <v>8714</v>
      </c>
      <c r="Q9091" s="1" t="s">
        <v>8715</v>
      </c>
      <c r="R9091" s="1" t="s">
        <v>128</v>
      </c>
      <c r="S9091" s="1" t="s">
        <v>129</v>
      </c>
      <c r="T9091" s="1" t="s">
        <v>8716</v>
      </c>
      <c r="U9091" s="2" t="s">
        <v>4713</v>
      </c>
      <c r="V9091" s="2" t="s">
        <v>47</v>
      </c>
      <c r="W9091" s="2" t="s">
        <v>71</v>
      </c>
      <c r="X9091" s="2">
        <v>171.22</v>
      </c>
    </row>
    <row r="9092" spans="1:24" x14ac:dyDescent="0.3">
      <c r="A9092">
        <v>6031</v>
      </c>
      <c r="B9092" t="s">
        <v>16261</v>
      </c>
      <c r="C9092" s="3">
        <v>41919</v>
      </c>
      <c r="D9092" t="s">
        <v>50</v>
      </c>
      <c r="E9092">
        <v>4</v>
      </c>
      <c r="F9092" s="3">
        <f ca="1">41921+(RANDBETWEEN(1,10))</f>
        <v>41922</v>
      </c>
      <c r="G9092" t="s">
        <v>26</v>
      </c>
      <c r="H9092" t="s">
        <v>27</v>
      </c>
      <c r="I9092" t="s">
        <v>97</v>
      </c>
      <c r="J9092">
        <v>139.30000000000001</v>
      </c>
      <c r="K9092">
        <v>7.0000000000000007E-2</v>
      </c>
      <c r="L9092">
        <v>0.56000000000000005</v>
      </c>
      <c r="M9092">
        <v>18.234999999999999</v>
      </c>
      <c r="N9092">
        <v>55.895000000000003</v>
      </c>
      <c r="O9092" s="1" t="s">
        <v>64</v>
      </c>
      <c r="P9092" s="1" t="s">
        <v>8714</v>
      </c>
      <c r="Q9092" s="1" t="s">
        <v>8715</v>
      </c>
      <c r="R9092" s="1" t="s">
        <v>128</v>
      </c>
      <c r="S9092" s="1" t="s">
        <v>129</v>
      </c>
      <c r="T9092" s="1" t="s">
        <v>8716</v>
      </c>
      <c r="U9092" s="2" t="s">
        <v>256</v>
      </c>
      <c r="V9092" s="2" t="s">
        <v>83</v>
      </c>
      <c r="W9092" s="2" t="s">
        <v>178</v>
      </c>
      <c r="X9092" s="2">
        <v>25.83</v>
      </c>
    </row>
    <row r="9093" spans="1:24" x14ac:dyDescent="0.3">
      <c r="A9093">
        <v>6041</v>
      </c>
      <c r="B9093" t="s">
        <v>16262</v>
      </c>
      <c r="C9093" s="3">
        <v>41815</v>
      </c>
      <c r="D9093" t="s">
        <v>148</v>
      </c>
      <c r="E9093">
        <v>12</v>
      </c>
      <c r="F9093" s="3">
        <f ca="1">41817+(RANDBETWEEN(1,10))</f>
        <v>41826</v>
      </c>
      <c r="G9093" t="s">
        <v>156</v>
      </c>
      <c r="H9093" t="s">
        <v>27</v>
      </c>
      <c r="I9093" t="s">
        <v>28</v>
      </c>
      <c r="J9093">
        <v>257.98500000000001</v>
      </c>
      <c r="K9093">
        <v>0.05</v>
      </c>
      <c r="L9093">
        <v>0.4</v>
      </c>
      <c r="M9093">
        <v>21.63</v>
      </c>
      <c r="N9093">
        <v>-78.959999999999994</v>
      </c>
      <c r="O9093" s="1" t="s">
        <v>64</v>
      </c>
      <c r="P9093" s="1" t="s">
        <v>7301</v>
      </c>
      <c r="Q9093" s="1" t="s">
        <v>7302</v>
      </c>
      <c r="R9093" s="1" t="s">
        <v>128</v>
      </c>
      <c r="S9093" s="1" t="s">
        <v>129</v>
      </c>
      <c r="T9093" s="1" t="s">
        <v>7303</v>
      </c>
      <c r="U9093" s="2" t="s">
        <v>954</v>
      </c>
      <c r="V9093" s="2" t="s">
        <v>47</v>
      </c>
      <c r="W9093" s="2" t="s">
        <v>74</v>
      </c>
      <c r="X9093" s="2">
        <v>14.98</v>
      </c>
    </row>
    <row r="9094" spans="1:24" x14ac:dyDescent="0.3">
      <c r="A9094">
        <v>6042</v>
      </c>
      <c r="B9094" t="s">
        <v>16263</v>
      </c>
      <c r="C9094" s="3">
        <v>41918</v>
      </c>
      <c r="D9094" t="s">
        <v>50</v>
      </c>
      <c r="E9094">
        <v>105</v>
      </c>
      <c r="F9094" s="3">
        <f ca="1">41920+(RANDBETWEEN(1,10))</f>
        <v>41930</v>
      </c>
      <c r="G9094" t="s">
        <v>26</v>
      </c>
      <c r="H9094" t="s">
        <v>96</v>
      </c>
      <c r="I9094" t="s">
        <v>52</v>
      </c>
      <c r="J9094">
        <v>2850.26</v>
      </c>
      <c r="K9094">
        <v>0.01</v>
      </c>
      <c r="L9094">
        <v>0.36</v>
      </c>
      <c r="M9094">
        <v>20.405000000000001</v>
      </c>
      <c r="N9094">
        <v>-197.785</v>
      </c>
      <c r="O9094" s="1" t="s">
        <v>64</v>
      </c>
      <c r="P9094" s="1" t="s">
        <v>138</v>
      </c>
      <c r="Q9094" s="1" t="s">
        <v>139</v>
      </c>
      <c r="R9094" s="1" t="s">
        <v>128</v>
      </c>
      <c r="S9094" s="1" t="s">
        <v>129</v>
      </c>
      <c r="T9094" s="1" t="s">
        <v>140</v>
      </c>
      <c r="U9094" s="2" t="s">
        <v>605</v>
      </c>
      <c r="V9094" s="2" t="s">
        <v>47</v>
      </c>
      <c r="W9094" s="2" t="s">
        <v>74</v>
      </c>
      <c r="X9094" s="2">
        <v>26.74</v>
      </c>
    </row>
    <row r="9095" spans="1:24" x14ac:dyDescent="0.3">
      <c r="A9095">
        <v>6046</v>
      </c>
      <c r="B9095" t="s">
        <v>16264</v>
      </c>
      <c r="C9095" s="3">
        <v>40897</v>
      </c>
      <c r="D9095" t="s">
        <v>50</v>
      </c>
      <c r="E9095">
        <v>24</v>
      </c>
      <c r="F9095" s="3">
        <f ca="1">40899+(RANDBETWEEN(1,10))</f>
        <v>40901</v>
      </c>
      <c r="G9095" t="s">
        <v>26</v>
      </c>
      <c r="H9095" t="s">
        <v>27</v>
      </c>
      <c r="I9095" t="s">
        <v>52</v>
      </c>
      <c r="J9095">
        <v>839.37</v>
      </c>
      <c r="K9095">
        <v>0.02</v>
      </c>
      <c r="L9095">
        <v>0.4</v>
      </c>
      <c r="M9095">
        <v>34.51</v>
      </c>
      <c r="N9095">
        <v>-222.285</v>
      </c>
      <c r="O9095" s="1" t="s">
        <v>40</v>
      </c>
      <c r="P9095" s="1" t="s">
        <v>149</v>
      </c>
      <c r="Q9095" s="1" t="s">
        <v>150</v>
      </c>
      <c r="R9095" s="1" t="s">
        <v>43</v>
      </c>
      <c r="S9095" s="1" t="s">
        <v>44</v>
      </c>
      <c r="T9095" s="1" t="s">
        <v>151</v>
      </c>
      <c r="U9095" s="2" t="s">
        <v>7950</v>
      </c>
      <c r="V9095" s="2" t="s">
        <v>47</v>
      </c>
      <c r="W9095" s="2" t="s">
        <v>74</v>
      </c>
      <c r="X9095" s="2">
        <v>31.71</v>
      </c>
    </row>
    <row r="9096" spans="1:24" x14ac:dyDescent="0.3">
      <c r="A9096">
        <v>6059</v>
      </c>
      <c r="B9096" t="s">
        <v>16265</v>
      </c>
      <c r="C9096" s="3">
        <v>41961</v>
      </c>
      <c r="D9096" t="s">
        <v>62</v>
      </c>
      <c r="E9096">
        <v>155</v>
      </c>
      <c r="F9096" s="3">
        <f ca="1">41962+(RANDBETWEEN(1,10))</f>
        <v>41972</v>
      </c>
      <c r="G9096" t="s">
        <v>76</v>
      </c>
      <c r="H9096" t="s">
        <v>77</v>
      </c>
      <c r="I9096" t="s">
        <v>86</v>
      </c>
      <c r="J9096">
        <v>123015.655</v>
      </c>
      <c r="K9096">
        <v>0</v>
      </c>
      <c r="L9096">
        <v>0.59</v>
      </c>
      <c r="M9096">
        <v>224.7</v>
      </c>
      <c r="N9096">
        <v>3715.6350000000002</v>
      </c>
      <c r="O9096" s="1" t="s">
        <v>29</v>
      </c>
      <c r="P9096" s="1" t="s">
        <v>10720</v>
      </c>
      <c r="Q9096" s="1" t="s">
        <v>10721</v>
      </c>
      <c r="R9096" s="1" t="s">
        <v>32</v>
      </c>
      <c r="S9096" s="1" t="s">
        <v>33</v>
      </c>
      <c r="T9096" s="1" t="s">
        <v>10722</v>
      </c>
      <c r="U9096" s="2" t="s">
        <v>2488</v>
      </c>
      <c r="V9096" s="2" t="s">
        <v>83</v>
      </c>
      <c r="W9096" s="2" t="s">
        <v>84</v>
      </c>
      <c r="X9096" s="2">
        <v>758.1</v>
      </c>
    </row>
    <row r="9097" spans="1:24" x14ac:dyDescent="0.3">
      <c r="A9097">
        <v>6062</v>
      </c>
      <c r="B9097" t="s">
        <v>16266</v>
      </c>
      <c r="C9097" s="3">
        <v>40684</v>
      </c>
      <c r="D9097" t="s">
        <v>50</v>
      </c>
      <c r="E9097">
        <v>58</v>
      </c>
      <c r="F9097" s="3">
        <f ca="1">40685+(RANDBETWEEN(1,10))</f>
        <v>40687</v>
      </c>
      <c r="G9097" t="s">
        <v>26</v>
      </c>
      <c r="H9097" t="s">
        <v>96</v>
      </c>
      <c r="I9097" t="s">
        <v>86</v>
      </c>
      <c r="J9097">
        <v>1025.71</v>
      </c>
      <c r="K9097">
        <v>0.08</v>
      </c>
      <c r="L9097">
        <v>0.37</v>
      </c>
      <c r="M9097">
        <v>11.865</v>
      </c>
      <c r="N9097">
        <v>-61.215000000000003</v>
      </c>
      <c r="O9097" s="1" t="s">
        <v>40</v>
      </c>
      <c r="P9097" s="1" t="s">
        <v>209</v>
      </c>
      <c r="Q9097" s="1" t="s">
        <v>210</v>
      </c>
      <c r="R9097" s="1" t="s">
        <v>43</v>
      </c>
      <c r="S9097" s="1" t="s">
        <v>44</v>
      </c>
      <c r="T9097" s="1" t="s">
        <v>211</v>
      </c>
      <c r="U9097" s="2" t="s">
        <v>12787</v>
      </c>
      <c r="V9097" s="2" t="s">
        <v>47</v>
      </c>
      <c r="W9097" s="2" t="s">
        <v>176</v>
      </c>
      <c r="X9097" s="2">
        <v>17.5</v>
      </c>
    </row>
    <row r="9098" spans="1:24" x14ac:dyDescent="0.3">
      <c r="A9098">
        <v>6063</v>
      </c>
      <c r="B9098" t="s">
        <v>16266</v>
      </c>
      <c r="C9098" s="3">
        <v>40684</v>
      </c>
      <c r="D9098" t="s">
        <v>50</v>
      </c>
      <c r="E9098">
        <v>71</v>
      </c>
      <c r="F9098" s="3">
        <f ca="1">40686+(RANDBETWEEN(1,10))</f>
        <v>40696</v>
      </c>
      <c r="G9098" t="s">
        <v>26</v>
      </c>
      <c r="H9098" t="s">
        <v>281</v>
      </c>
      <c r="I9098" t="s">
        <v>86</v>
      </c>
      <c r="J9098">
        <v>3200.0149999999999</v>
      </c>
      <c r="K9098">
        <v>7.0000000000000007E-2</v>
      </c>
      <c r="L9098">
        <v>0.39</v>
      </c>
      <c r="M9098">
        <v>33.04</v>
      </c>
      <c r="N9098">
        <v>-401.23964999999998</v>
      </c>
      <c r="O9098" s="1" t="s">
        <v>40</v>
      </c>
      <c r="P9098" s="1" t="s">
        <v>209</v>
      </c>
      <c r="Q9098" s="1" t="s">
        <v>210</v>
      </c>
      <c r="R9098" s="1" t="s">
        <v>43</v>
      </c>
      <c r="S9098" s="1" t="s">
        <v>44</v>
      </c>
      <c r="T9098" s="1" t="s">
        <v>211</v>
      </c>
      <c r="U9098" s="2" t="s">
        <v>11440</v>
      </c>
      <c r="V9098" s="2" t="s">
        <v>36</v>
      </c>
      <c r="W9098" s="2" t="s">
        <v>142</v>
      </c>
      <c r="X9098" s="2">
        <v>45.465000000000003</v>
      </c>
    </row>
    <row r="9099" spans="1:24" x14ac:dyDescent="0.3">
      <c r="A9099">
        <v>6068</v>
      </c>
      <c r="B9099" t="s">
        <v>16267</v>
      </c>
      <c r="C9099" s="3">
        <v>41847</v>
      </c>
      <c r="D9099" t="s">
        <v>25</v>
      </c>
      <c r="E9099">
        <v>17</v>
      </c>
      <c r="F9099" s="3">
        <f ca="1">41856+(RANDBETWEEN(1,10))</f>
        <v>41859</v>
      </c>
      <c r="G9099" t="s">
        <v>156</v>
      </c>
      <c r="H9099" t="s">
        <v>63</v>
      </c>
      <c r="I9099" t="s">
        <v>52</v>
      </c>
      <c r="J9099">
        <v>6536.7749999999996</v>
      </c>
      <c r="K9099">
        <v>0.02</v>
      </c>
      <c r="L9099">
        <v>0.61</v>
      </c>
      <c r="M9099">
        <v>85.715000000000003</v>
      </c>
      <c r="N9099">
        <v>1624.175</v>
      </c>
      <c r="O9099" s="1" t="s">
        <v>40</v>
      </c>
      <c r="P9099" s="1" t="s">
        <v>149</v>
      </c>
      <c r="Q9099" s="1" t="s">
        <v>150</v>
      </c>
      <c r="R9099" s="1" t="s">
        <v>43</v>
      </c>
      <c r="S9099" s="1" t="s">
        <v>44</v>
      </c>
      <c r="T9099" s="1" t="s">
        <v>151</v>
      </c>
      <c r="U9099" s="2" t="s">
        <v>4335</v>
      </c>
      <c r="V9099" s="2" t="s">
        <v>83</v>
      </c>
      <c r="W9099" s="2" t="s">
        <v>178</v>
      </c>
      <c r="X9099" s="2">
        <v>368.69</v>
      </c>
    </row>
    <row r="9100" spans="1:24" x14ac:dyDescent="0.3">
      <c r="A9100">
        <v>6069</v>
      </c>
      <c r="B9100" t="s">
        <v>16267</v>
      </c>
      <c r="C9100" s="3">
        <v>41847</v>
      </c>
      <c r="D9100" t="s">
        <v>25</v>
      </c>
      <c r="E9100">
        <v>59</v>
      </c>
      <c r="F9100" s="3">
        <f ca="1">41852+(RANDBETWEEN(1,10))</f>
        <v>41859</v>
      </c>
      <c r="G9100" t="s">
        <v>26</v>
      </c>
      <c r="H9100" t="s">
        <v>96</v>
      </c>
      <c r="I9100" t="s">
        <v>52</v>
      </c>
      <c r="J9100">
        <v>7805.665</v>
      </c>
      <c r="K9100">
        <v>0.08</v>
      </c>
      <c r="L9100">
        <v>0.53</v>
      </c>
      <c r="M9100">
        <v>10.64</v>
      </c>
      <c r="N9100">
        <v>2281.09</v>
      </c>
      <c r="O9100" s="1" t="s">
        <v>40</v>
      </c>
      <c r="P9100" s="1" t="s">
        <v>149</v>
      </c>
      <c r="Q9100" s="1" t="s">
        <v>150</v>
      </c>
      <c r="R9100" s="1" t="s">
        <v>43</v>
      </c>
      <c r="S9100" s="1" t="s">
        <v>44</v>
      </c>
      <c r="T9100" s="1" t="s">
        <v>151</v>
      </c>
      <c r="U9100" s="2" t="s">
        <v>1089</v>
      </c>
      <c r="V9100" s="2" t="s">
        <v>83</v>
      </c>
      <c r="W9100" s="2" t="s">
        <v>178</v>
      </c>
      <c r="X9100" s="2">
        <v>139.61500000000001</v>
      </c>
    </row>
    <row r="9101" spans="1:24" x14ac:dyDescent="0.3">
      <c r="A9101">
        <v>6080</v>
      </c>
      <c r="B9101" t="s">
        <v>16268</v>
      </c>
      <c r="C9101" s="3">
        <v>40745</v>
      </c>
      <c r="D9101" t="s">
        <v>148</v>
      </c>
      <c r="E9101">
        <v>48</v>
      </c>
      <c r="F9101" s="3">
        <f ca="1">40746+(RANDBETWEEN(1,10))</f>
        <v>40748</v>
      </c>
      <c r="G9101" t="s">
        <v>26</v>
      </c>
      <c r="H9101" t="s">
        <v>27</v>
      </c>
      <c r="I9101" t="s">
        <v>97</v>
      </c>
      <c r="J9101">
        <v>4972.9399999999996</v>
      </c>
      <c r="K9101">
        <v>0.04</v>
      </c>
      <c r="L9101">
        <v>0.75</v>
      </c>
      <c r="M9101">
        <v>14</v>
      </c>
      <c r="N9101">
        <v>-72.765000000000001</v>
      </c>
      <c r="O9101" s="1" t="s">
        <v>40</v>
      </c>
      <c r="P9101" s="1" t="s">
        <v>355</v>
      </c>
      <c r="Q9101" s="1" t="s">
        <v>356</v>
      </c>
      <c r="R9101" s="1" t="s">
        <v>220</v>
      </c>
      <c r="S9101" s="1" t="s">
        <v>221</v>
      </c>
      <c r="T9101" s="1" t="s">
        <v>357</v>
      </c>
      <c r="U9101" s="2" t="s">
        <v>216</v>
      </c>
      <c r="V9101" s="2" t="s">
        <v>36</v>
      </c>
      <c r="W9101" s="2" t="s">
        <v>60</v>
      </c>
      <c r="X9101" s="2">
        <v>107.55500000000001</v>
      </c>
    </row>
    <row r="9102" spans="1:24" x14ac:dyDescent="0.3">
      <c r="A9102">
        <v>6104</v>
      </c>
      <c r="B9102" t="s">
        <v>16269</v>
      </c>
      <c r="C9102" s="3">
        <v>41349</v>
      </c>
      <c r="D9102" t="s">
        <v>50</v>
      </c>
      <c r="E9102">
        <v>16</v>
      </c>
      <c r="F9102" s="3">
        <f ca="1">41351+(RANDBETWEEN(1,10))</f>
        <v>41361</v>
      </c>
      <c r="G9102" t="s">
        <v>26</v>
      </c>
      <c r="H9102" t="s">
        <v>27</v>
      </c>
      <c r="I9102" t="s">
        <v>97</v>
      </c>
      <c r="J9102">
        <v>1081.01</v>
      </c>
      <c r="K9102">
        <v>0.02</v>
      </c>
      <c r="L9102">
        <v>0.35</v>
      </c>
      <c r="M9102">
        <v>5.2149999999999999</v>
      </c>
      <c r="N9102">
        <v>353.13249999999999</v>
      </c>
      <c r="O9102" s="1" t="s">
        <v>40</v>
      </c>
      <c r="P9102" s="1" t="s">
        <v>15909</v>
      </c>
      <c r="Q9102" s="1" t="s">
        <v>15910</v>
      </c>
      <c r="R9102" s="1" t="s">
        <v>220</v>
      </c>
      <c r="S9102" s="1" t="s">
        <v>221</v>
      </c>
      <c r="T9102" s="1" t="s">
        <v>15911</v>
      </c>
      <c r="U9102" s="2" t="s">
        <v>292</v>
      </c>
      <c r="V9102" s="2" t="s">
        <v>47</v>
      </c>
      <c r="W9102" s="2" t="s">
        <v>111</v>
      </c>
      <c r="X9102" s="2">
        <v>66.290000000000006</v>
      </c>
    </row>
    <row r="9103" spans="1:24" x14ac:dyDescent="0.3">
      <c r="A9103">
        <v>6105</v>
      </c>
      <c r="B9103" t="s">
        <v>16270</v>
      </c>
      <c r="C9103" s="3">
        <v>41410</v>
      </c>
      <c r="D9103" t="s">
        <v>62</v>
      </c>
      <c r="E9103">
        <v>27</v>
      </c>
      <c r="F9103" s="3">
        <f ca="1">41412+(RANDBETWEEN(1,10))</f>
        <v>41422</v>
      </c>
      <c r="G9103" t="s">
        <v>156</v>
      </c>
      <c r="H9103" t="s">
        <v>63</v>
      </c>
      <c r="I9103" t="s">
        <v>97</v>
      </c>
      <c r="J9103">
        <v>7605.2550000000001</v>
      </c>
      <c r="K9103">
        <v>0.05</v>
      </c>
      <c r="L9103">
        <v>0.54</v>
      </c>
      <c r="M9103">
        <v>69.825000000000003</v>
      </c>
      <c r="N9103">
        <v>599.41</v>
      </c>
      <c r="O9103" s="1" t="s">
        <v>40</v>
      </c>
      <c r="P9103" s="1" t="s">
        <v>15893</v>
      </c>
      <c r="Q9103" s="1" t="s">
        <v>15894</v>
      </c>
      <c r="R9103" s="1" t="s">
        <v>43</v>
      </c>
      <c r="S9103" s="1" t="s">
        <v>44</v>
      </c>
      <c r="T9103" s="1" t="s">
        <v>15895</v>
      </c>
      <c r="U9103" s="2" t="s">
        <v>3037</v>
      </c>
      <c r="V9103" s="2" t="s">
        <v>47</v>
      </c>
      <c r="W9103" s="2" t="s">
        <v>71</v>
      </c>
      <c r="X9103" s="2">
        <v>268.52</v>
      </c>
    </row>
    <row r="9104" spans="1:24" x14ac:dyDescent="0.3">
      <c r="A9104">
        <v>6109</v>
      </c>
      <c r="B9104" t="s">
        <v>16271</v>
      </c>
      <c r="C9104" s="3">
        <v>40971</v>
      </c>
      <c r="D9104" t="s">
        <v>148</v>
      </c>
      <c r="E9104">
        <v>2</v>
      </c>
      <c r="F9104" s="3">
        <f ca="1">40972+(RANDBETWEEN(1,10))</f>
        <v>40982</v>
      </c>
      <c r="G9104" t="s">
        <v>26</v>
      </c>
      <c r="H9104" t="s">
        <v>96</v>
      </c>
      <c r="I9104" t="s">
        <v>86</v>
      </c>
      <c r="J9104">
        <v>27.125</v>
      </c>
      <c r="K9104">
        <v>0.03</v>
      </c>
      <c r="L9104">
        <v>0.57999999999999996</v>
      </c>
      <c r="M9104">
        <v>8.4</v>
      </c>
      <c r="N9104">
        <v>-18.445</v>
      </c>
      <c r="O9104" s="1" t="s">
        <v>40</v>
      </c>
      <c r="P9104" s="1" t="s">
        <v>7320</v>
      </c>
      <c r="Q9104" s="1" t="s">
        <v>7321</v>
      </c>
      <c r="R9104" s="1" t="s">
        <v>43</v>
      </c>
      <c r="S9104" s="1" t="s">
        <v>44</v>
      </c>
      <c r="T9104" s="1" t="s">
        <v>7322</v>
      </c>
      <c r="U9104" s="2" t="s">
        <v>6328</v>
      </c>
      <c r="V9104" s="2" t="s">
        <v>47</v>
      </c>
      <c r="W9104" s="2" t="s">
        <v>104</v>
      </c>
      <c r="X9104" s="2">
        <v>9.1</v>
      </c>
    </row>
    <row r="9105" spans="1:24" x14ac:dyDescent="0.3">
      <c r="A9105">
        <v>6119</v>
      </c>
      <c r="B9105" t="s">
        <v>16272</v>
      </c>
      <c r="C9105" s="3">
        <v>41756</v>
      </c>
      <c r="D9105" t="s">
        <v>50</v>
      </c>
      <c r="E9105">
        <v>40</v>
      </c>
      <c r="F9105" s="3">
        <f ca="1">41757+(RANDBETWEEN(1,10))</f>
        <v>41762</v>
      </c>
      <c r="G9105" t="s">
        <v>26</v>
      </c>
      <c r="H9105" t="s">
        <v>27</v>
      </c>
      <c r="I9105" t="s">
        <v>97</v>
      </c>
      <c r="J9105">
        <v>7720.16</v>
      </c>
      <c r="K9105">
        <v>0.03</v>
      </c>
      <c r="L9105">
        <v>0.57999999999999996</v>
      </c>
      <c r="M9105">
        <v>31.465</v>
      </c>
      <c r="N9105">
        <v>1179.6434999999999</v>
      </c>
      <c r="O9105" s="1" t="s">
        <v>40</v>
      </c>
      <c r="P9105" s="1" t="s">
        <v>15893</v>
      </c>
      <c r="Q9105" s="1" t="s">
        <v>15894</v>
      </c>
      <c r="R9105" s="1" t="s">
        <v>43</v>
      </c>
      <c r="S9105" s="1" t="s">
        <v>44</v>
      </c>
      <c r="T9105" s="1" t="s">
        <v>15895</v>
      </c>
      <c r="U9105" s="2">
        <v>8260</v>
      </c>
      <c r="V9105" s="2" t="s">
        <v>36</v>
      </c>
      <c r="W9105" s="2" t="s">
        <v>37</v>
      </c>
      <c r="X9105" s="2">
        <v>230.965</v>
      </c>
    </row>
    <row r="9106" spans="1:24" x14ac:dyDescent="0.3">
      <c r="A9106">
        <v>6131</v>
      </c>
      <c r="B9106" t="s">
        <v>16273</v>
      </c>
      <c r="C9106" s="3">
        <v>41388</v>
      </c>
      <c r="D9106" t="s">
        <v>50</v>
      </c>
      <c r="E9106">
        <v>11</v>
      </c>
      <c r="F9106" s="3">
        <f ca="1">41389+(RANDBETWEEN(1,10))</f>
        <v>41395</v>
      </c>
      <c r="G9106" t="s">
        <v>76</v>
      </c>
      <c r="H9106" t="s">
        <v>77</v>
      </c>
      <c r="I9106" t="s">
        <v>28</v>
      </c>
      <c r="J9106">
        <v>6163.29</v>
      </c>
      <c r="K9106">
        <v>7.0000000000000007E-2</v>
      </c>
      <c r="L9106">
        <v>0.55000000000000004</v>
      </c>
      <c r="M9106">
        <v>210</v>
      </c>
      <c r="N9106">
        <v>-678.89499999999998</v>
      </c>
      <c r="O9106" s="1" t="s">
        <v>53</v>
      </c>
      <c r="P9106" s="1" t="s">
        <v>7631</v>
      </c>
      <c r="Q9106" s="1" t="s">
        <v>7632</v>
      </c>
      <c r="R9106" s="1" t="s">
        <v>56</v>
      </c>
      <c r="S9106" s="1" t="s">
        <v>159</v>
      </c>
      <c r="T9106" s="1" t="s">
        <v>7633</v>
      </c>
      <c r="U9106" s="2" t="s">
        <v>1963</v>
      </c>
      <c r="V9106" s="2" t="s">
        <v>83</v>
      </c>
      <c r="W9106" s="2" t="s">
        <v>263</v>
      </c>
      <c r="X9106" s="2">
        <v>557.58500000000004</v>
      </c>
    </row>
    <row r="9107" spans="1:24" x14ac:dyDescent="0.3">
      <c r="A9107">
        <v>6147</v>
      </c>
      <c r="B9107" t="s">
        <v>16274</v>
      </c>
      <c r="C9107" s="3">
        <v>41782</v>
      </c>
      <c r="D9107" t="s">
        <v>148</v>
      </c>
      <c r="E9107">
        <v>65</v>
      </c>
      <c r="F9107" s="3">
        <f ca="1">41784+(RANDBETWEEN(1,10))</f>
        <v>41792</v>
      </c>
      <c r="G9107" t="s">
        <v>26</v>
      </c>
      <c r="H9107" t="s">
        <v>27</v>
      </c>
      <c r="I9107" t="s">
        <v>86</v>
      </c>
      <c r="J9107">
        <v>1343.93</v>
      </c>
      <c r="K9107">
        <v>0.04</v>
      </c>
      <c r="L9107">
        <v>0.36</v>
      </c>
      <c r="M9107">
        <v>19.11</v>
      </c>
      <c r="N9107">
        <v>-340.30500000000001</v>
      </c>
      <c r="O9107" s="1" t="s">
        <v>87</v>
      </c>
      <c r="P9107" s="1" t="s">
        <v>3177</v>
      </c>
      <c r="Q9107" s="1" t="s">
        <v>3178</v>
      </c>
      <c r="R9107" s="1" t="s">
        <v>398</v>
      </c>
      <c r="S9107" s="1" t="s">
        <v>3179</v>
      </c>
      <c r="T9107" s="1" t="s">
        <v>3180</v>
      </c>
      <c r="U9107" s="2" t="s">
        <v>7070</v>
      </c>
      <c r="V9107" s="2" t="s">
        <v>47</v>
      </c>
      <c r="W9107" s="2" t="s">
        <v>74</v>
      </c>
      <c r="X9107" s="2">
        <v>20.93</v>
      </c>
    </row>
    <row r="9108" spans="1:24" x14ac:dyDescent="0.3">
      <c r="A9108">
        <v>6148</v>
      </c>
      <c r="B9108" t="s">
        <v>16275</v>
      </c>
      <c r="C9108" s="3">
        <v>41055</v>
      </c>
      <c r="D9108" t="s">
        <v>39</v>
      </c>
      <c r="E9108">
        <v>71</v>
      </c>
      <c r="F9108" s="3">
        <f ca="1">41055+(RANDBETWEEN(1,10))</f>
        <v>41061</v>
      </c>
      <c r="G9108" t="s">
        <v>26</v>
      </c>
      <c r="H9108" t="s">
        <v>27</v>
      </c>
      <c r="I9108" t="s">
        <v>52</v>
      </c>
      <c r="J9108">
        <v>2845.36</v>
      </c>
      <c r="K9108">
        <v>7.0000000000000007E-2</v>
      </c>
      <c r="L9108">
        <v>0.35</v>
      </c>
      <c r="M9108">
        <v>24.395</v>
      </c>
      <c r="N9108">
        <v>-7.8049999999999997</v>
      </c>
      <c r="O9108" s="1" t="s">
        <v>53</v>
      </c>
      <c r="P9108" s="1" t="s">
        <v>10270</v>
      </c>
      <c r="Q9108" s="1" t="s">
        <v>10271</v>
      </c>
      <c r="R9108" s="1" t="s">
        <v>100</v>
      </c>
      <c r="S9108" s="1" t="s">
        <v>101</v>
      </c>
      <c r="T9108" s="1" t="s">
        <v>10272</v>
      </c>
      <c r="U9108" s="2" t="s">
        <v>2886</v>
      </c>
      <c r="V9108" s="2" t="s">
        <v>47</v>
      </c>
      <c r="W9108" s="2" t="s">
        <v>48</v>
      </c>
      <c r="X9108" s="2">
        <v>40.53</v>
      </c>
    </row>
    <row r="9109" spans="1:24" x14ac:dyDescent="0.3">
      <c r="A9109">
        <v>6149</v>
      </c>
      <c r="B9109" t="s">
        <v>16275</v>
      </c>
      <c r="C9109" s="3">
        <v>41055</v>
      </c>
      <c r="D9109" t="s">
        <v>39</v>
      </c>
      <c r="E9109">
        <v>28</v>
      </c>
      <c r="F9109" s="3">
        <f ca="1">41056+(RANDBETWEEN(1,10))</f>
        <v>41057</v>
      </c>
      <c r="G9109" t="s">
        <v>26</v>
      </c>
      <c r="H9109" t="s">
        <v>27</v>
      </c>
      <c r="I9109" t="s">
        <v>52</v>
      </c>
      <c r="J9109">
        <v>1650.67</v>
      </c>
      <c r="K9109">
        <v>0</v>
      </c>
      <c r="L9109">
        <v>0.56999999999999995</v>
      </c>
      <c r="M9109">
        <v>30.73</v>
      </c>
      <c r="N9109">
        <v>-151.27000000000001</v>
      </c>
      <c r="O9109" s="1" t="s">
        <v>53</v>
      </c>
      <c r="P9109" s="1" t="s">
        <v>10270</v>
      </c>
      <c r="Q9109" s="1" t="s">
        <v>10271</v>
      </c>
      <c r="R9109" s="1" t="s">
        <v>100</v>
      </c>
      <c r="S9109" s="1" t="s">
        <v>101</v>
      </c>
      <c r="T9109" s="1" t="s">
        <v>10272</v>
      </c>
      <c r="U9109" s="2" t="s">
        <v>3278</v>
      </c>
      <c r="V9109" s="2" t="s">
        <v>47</v>
      </c>
      <c r="W9109" s="2" t="s">
        <v>119</v>
      </c>
      <c r="X9109" s="2">
        <v>53.585000000000001</v>
      </c>
    </row>
    <row r="9110" spans="1:24" x14ac:dyDescent="0.3">
      <c r="A9110">
        <v>6167</v>
      </c>
      <c r="B9110" t="s">
        <v>16276</v>
      </c>
      <c r="C9110" s="3">
        <v>41889</v>
      </c>
      <c r="D9110" t="s">
        <v>148</v>
      </c>
      <c r="E9110">
        <v>25</v>
      </c>
      <c r="F9110" s="3">
        <f ca="1">41891+(RANDBETWEEN(1,10))</f>
        <v>41896</v>
      </c>
      <c r="G9110" t="s">
        <v>26</v>
      </c>
      <c r="H9110" t="s">
        <v>96</v>
      </c>
      <c r="I9110" t="s">
        <v>86</v>
      </c>
      <c r="J9110">
        <v>250.91499999999999</v>
      </c>
      <c r="K9110">
        <v>0.05</v>
      </c>
      <c r="L9110">
        <v>0.57999999999999996</v>
      </c>
      <c r="M9110">
        <v>8.4</v>
      </c>
      <c r="N9110">
        <v>-61.914999999999999</v>
      </c>
      <c r="O9110" s="1" t="s">
        <v>64</v>
      </c>
      <c r="P9110" s="1" t="s">
        <v>15852</v>
      </c>
      <c r="Q9110" s="1" t="s">
        <v>15853</v>
      </c>
      <c r="R9110" s="1" t="s">
        <v>128</v>
      </c>
      <c r="S9110" s="1" t="s">
        <v>129</v>
      </c>
      <c r="T9110" s="1" t="s">
        <v>15854</v>
      </c>
      <c r="U9110" s="2" t="s">
        <v>6328</v>
      </c>
      <c r="V9110" s="2" t="s">
        <v>47</v>
      </c>
      <c r="W9110" s="2" t="s">
        <v>104</v>
      </c>
      <c r="X9110" s="2">
        <v>9.1</v>
      </c>
    </row>
    <row r="9111" spans="1:24" x14ac:dyDescent="0.3">
      <c r="A9111">
        <v>6168</v>
      </c>
      <c r="B9111" t="s">
        <v>16277</v>
      </c>
      <c r="C9111" s="3">
        <v>41214</v>
      </c>
      <c r="D9111" t="s">
        <v>25</v>
      </c>
      <c r="E9111">
        <v>146</v>
      </c>
      <c r="F9111" s="3">
        <f ca="1">41214+(RANDBETWEEN(1,10))</f>
        <v>41217</v>
      </c>
      <c r="G9111" t="s">
        <v>26</v>
      </c>
      <c r="H9111" t="s">
        <v>27</v>
      </c>
      <c r="I9111" t="s">
        <v>28</v>
      </c>
      <c r="J9111">
        <v>28919.38</v>
      </c>
      <c r="K9111">
        <v>0.02</v>
      </c>
      <c r="L9111">
        <v>0.56999999999999995</v>
      </c>
      <c r="M9111">
        <v>3.4649999999999999</v>
      </c>
      <c r="N9111">
        <v>3313.45</v>
      </c>
      <c r="O9111" s="1" t="s">
        <v>225</v>
      </c>
      <c r="P9111" s="1" t="s">
        <v>427</v>
      </c>
      <c r="Q9111" s="1" t="s">
        <v>428</v>
      </c>
      <c r="R9111" s="1" t="s">
        <v>228</v>
      </c>
      <c r="S9111" s="1" t="s">
        <v>229</v>
      </c>
      <c r="T9111" s="1" t="s">
        <v>429</v>
      </c>
      <c r="U9111" s="2" t="s">
        <v>4274</v>
      </c>
      <c r="V9111" s="2" t="s">
        <v>47</v>
      </c>
      <c r="W9111" s="2" t="s">
        <v>71</v>
      </c>
      <c r="X9111" s="2">
        <v>190.68</v>
      </c>
    </row>
    <row r="9112" spans="1:24" x14ac:dyDescent="0.3">
      <c r="A9112">
        <v>6169</v>
      </c>
      <c r="B9112" t="s">
        <v>16277</v>
      </c>
      <c r="C9112" s="3">
        <v>41214</v>
      </c>
      <c r="D9112" t="s">
        <v>25</v>
      </c>
      <c r="E9112">
        <v>88</v>
      </c>
      <c r="F9112" s="3">
        <f ca="1">41216+(RANDBETWEEN(1,10))</f>
        <v>41222</v>
      </c>
      <c r="G9112" t="s">
        <v>26</v>
      </c>
      <c r="H9112" t="s">
        <v>27</v>
      </c>
      <c r="I9112" t="s">
        <v>28</v>
      </c>
      <c r="J9112">
        <v>16205.91</v>
      </c>
      <c r="K9112">
        <v>0.04</v>
      </c>
      <c r="L9112">
        <v>0.73</v>
      </c>
      <c r="M9112">
        <v>22.75</v>
      </c>
      <c r="N9112">
        <v>96.284999999999997</v>
      </c>
      <c r="O9112" s="1" t="s">
        <v>225</v>
      </c>
      <c r="P9112" s="1" t="s">
        <v>427</v>
      </c>
      <c r="Q9112" s="1" t="s">
        <v>428</v>
      </c>
      <c r="R9112" s="1" t="s">
        <v>228</v>
      </c>
      <c r="S9112" s="1" t="s">
        <v>229</v>
      </c>
      <c r="T9112" s="1" t="s">
        <v>429</v>
      </c>
      <c r="U9112" s="2" t="s">
        <v>4548</v>
      </c>
      <c r="V9112" s="2" t="s">
        <v>36</v>
      </c>
      <c r="W9112" s="2" t="s">
        <v>60</v>
      </c>
      <c r="X9112" s="2">
        <v>178.43</v>
      </c>
    </row>
    <row r="9113" spans="1:24" x14ac:dyDescent="0.3">
      <c r="A9113">
        <v>6170</v>
      </c>
      <c r="B9113" t="s">
        <v>16277</v>
      </c>
      <c r="C9113" s="3">
        <v>41214</v>
      </c>
      <c r="D9113" t="s">
        <v>25</v>
      </c>
      <c r="E9113">
        <v>139</v>
      </c>
      <c r="F9113" s="3">
        <f ca="1">41216+(RANDBETWEEN(1,10))</f>
        <v>41226</v>
      </c>
      <c r="G9113" t="s">
        <v>26</v>
      </c>
      <c r="H9113" t="s">
        <v>27</v>
      </c>
      <c r="I9113" t="s">
        <v>28</v>
      </c>
      <c r="J9113">
        <v>3092.7049999999999</v>
      </c>
      <c r="K9113">
        <v>0.08</v>
      </c>
      <c r="L9113">
        <v>0.37</v>
      </c>
      <c r="M9113">
        <v>21.524999999999999</v>
      </c>
      <c r="N9113">
        <v>-371.73500000000001</v>
      </c>
      <c r="O9113" s="1" t="s">
        <v>225</v>
      </c>
      <c r="P9113" s="1" t="s">
        <v>427</v>
      </c>
      <c r="Q9113" s="1" t="s">
        <v>428</v>
      </c>
      <c r="R9113" s="1" t="s">
        <v>228</v>
      </c>
      <c r="S9113" s="1" t="s">
        <v>229</v>
      </c>
      <c r="T9113" s="1" t="s">
        <v>429</v>
      </c>
      <c r="U9113" s="2" t="s">
        <v>11330</v>
      </c>
      <c r="V9113" s="2" t="s">
        <v>47</v>
      </c>
      <c r="W9113" s="2" t="s">
        <v>74</v>
      </c>
      <c r="X9113" s="2">
        <v>23.38</v>
      </c>
    </row>
    <row r="9114" spans="1:24" x14ac:dyDescent="0.3">
      <c r="A9114">
        <v>6171</v>
      </c>
      <c r="B9114" t="s">
        <v>16277</v>
      </c>
      <c r="C9114" s="3">
        <v>41214</v>
      </c>
      <c r="D9114" t="s">
        <v>25</v>
      </c>
      <c r="E9114">
        <v>109</v>
      </c>
      <c r="F9114" s="3">
        <f ca="1">41214+(RANDBETWEEN(1,10))</f>
        <v>41216</v>
      </c>
      <c r="G9114" t="s">
        <v>26</v>
      </c>
      <c r="H9114" t="s">
        <v>27</v>
      </c>
      <c r="I9114" t="s">
        <v>28</v>
      </c>
      <c r="J9114">
        <v>14907.445</v>
      </c>
      <c r="K9114">
        <v>0.02</v>
      </c>
      <c r="L9114">
        <v>0.56000000000000005</v>
      </c>
      <c r="M9114">
        <v>8.75</v>
      </c>
      <c r="N9114">
        <v>1061.55</v>
      </c>
      <c r="O9114" s="1" t="s">
        <v>225</v>
      </c>
      <c r="P9114" s="1" t="s">
        <v>427</v>
      </c>
      <c r="Q9114" s="1" t="s">
        <v>428</v>
      </c>
      <c r="R9114" s="1" t="s">
        <v>228</v>
      </c>
      <c r="S9114" s="1" t="s">
        <v>229</v>
      </c>
      <c r="T9114" s="1" t="s">
        <v>429</v>
      </c>
      <c r="U9114" s="2" t="s">
        <v>7529</v>
      </c>
      <c r="V9114" s="2" t="s">
        <v>36</v>
      </c>
      <c r="W9114" s="2" t="s">
        <v>37</v>
      </c>
      <c r="X9114" s="2">
        <v>160.965</v>
      </c>
    </row>
    <row r="9115" spans="1:24" x14ac:dyDescent="0.3">
      <c r="A9115">
        <v>6172</v>
      </c>
      <c r="B9115" t="s">
        <v>16277</v>
      </c>
      <c r="C9115" s="3">
        <v>41214</v>
      </c>
      <c r="D9115" t="s">
        <v>25</v>
      </c>
      <c r="E9115">
        <v>17</v>
      </c>
      <c r="F9115" s="3">
        <f ca="1">41221+(RANDBETWEEN(1,10))</f>
        <v>41226</v>
      </c>
      <c r="G9115" t="s">
        <v>26</v>
      </c>
      <c r="H9115" t="s">
        <v>281</v>
      </c>
      <c r="I9115" t="s">
        <v>28</v>
      </c>
      <c r="J9115">
        <v>1530.2349999999999</v>
      </c>
      <c r="K9115">
        <v>7.0000000000000007E-2</v>
      </c>
      <c r="L9115">
        <v>0.5</v>
      </c>
      <c r="M9115">
        <v>18.795000000000002</v>
      </c>
      <c r="N9115">
        <v>-53.094999999999999</v>
      </c>
      <c r="O9115" s="1" t="s">
        <v>225</v>
      </c>
      <c r="P9115" s="1" t="s">
        <v>427</v>
      </c>
      <c r="Q9115" s="1" t="s">
        <v>428</v>
      </c>
      <c r="R9115" s="1" t="s">
        <v>228</v>
      </c>
      <c r="S9115" s="1" t="s">
        <v>229</v>
      </c>
      <c r="T9115" s="1" t="s">
        <v>429</v>
      </c>
      <c r="U9115" s="2" t="s">
        <v>3418</v>
      </c>
      <c r="V9115" s="2" t="s">
        <v>47</v>
      </c>
      <c r="W9115" s="2" t="s">
        <v>71</v>
      </c>
      <c r="X9115" s="2">
        <v>90.93</v>
      </c>
    </row>
    <row r="9116" spans="1:24" x14ac:dyDescent="0.3">
      <c r="A9116">
        <v>6173</v>
      </c>
      <c r="B9116" t="s">
        <v>16278</v>
      </c>
      <c r="C9116" s="3">
        <v>41944</v>
      </c>
      <c r="D9116" t="s">
        <v>25</v>
      </c>
      <c r="E9116">
        <v>4</v>
      </c>
      <c r="F9116" s="3">
        <f ca="1">41948+(RANDBETWEEN(1,10))</f>
        <v>41951</v>
      </c>
      <c r="G9116" t="s">
        <v>26</v>
      </c>
      <c r="H9116" t="s">
        <v>96</v>
      </c>
      <c r="I9116" t="s">
        <v>28</v>
      </c>
      <c r="J9116">
        <v>69.58</v>
      </c>
      <c r="K9116">
        <v>0.04</v>
      </c>
      <c r="L9116">
        <v>0.38</v>
      </c>
      <c r="M9116">
        <v>5.0049999999999999</v>
      </c>
      <c r="N9116">
        <v>-17.184999999999999</v>
      </c>
      <c r="O9116" s="1" t="s">
        <v>225</v>
      </c>
      <c r="P9116" s="1" t="s">
        <v>427</v>
      </c>
      <c r="Q9116" s="1" t="s">
        <v>428</v>
      </c>
      <c r="R9116" s="1" t="s">
        <v>228</v>
      </c>
      <c r="S9116" s="1" t="s">
        <v>229</v>
      </c>
      <c r="T9116" s="1" t="s">
        <v>429</v>
      </c>
      <c r="U9116" s="2" t="s">
        <v>11577</v>
      </c>
      <c r="V9116" s="2" t="s">
        <v>47</v>
      </c>
      <c r="W9116" s="2" t="s">
        <v>176</v>
      </c>
      <c r="X9116" s="2">
        <v>12.425000000000001</v>
      </c>
    </row>
    <row r="9117" spans="1:24" x14ac:dyDescent="0.3">
      <c r="A9117">
        <v>6178</v>
      </c>
      <c r="B9117" t="s">
        <v>16279</v>
      </c>
      <c r="C9117" s="3">
        <v>41226</v>
      </c>
      <c r="D9117" t="s">
        <v>148</v>
      </c>
      <c r="E9117">
        <v>92</v>
      </c>
      <c r="F9117" s="3">
        <f ca="1">41228+(RANDBETWEEN(1,10))</f>
        <v>41236</v>
      </c>
      <c r="G9117" t="s">
        <v>26</v>
      </c>
      <c r="H9117" t="s">
        <v>27</v>
      </c>
      <c r="I9117" t="s">
        <v>52</v>
      </c>
      <c r="J9117">
        <v>2317.8049999999998</v>
      </c>
      <c r="K9117">
        <v>0</v>
      </c>
      <c r="L9117">
        <v>0.35</v>
      </c>
      <c r="M9117">
        <v>10.465</v>
      </c>
      <c r="N9117">
        <v>108.08175</v>
      </c>
      <c r="O9117" s="1" t="s">
        <v>87</v>
      </c>
      <c r="P9117" s="1" t="s">
        <v>16096</v>
      </c>
      <c r="Q9117" s="1" t="s">
        <v>16097</v>
      </c>
      <c r="R9117" s="1" t="s">
        <v>398</v>
      </c>
      <c r="S9117" s="1" t="s">
        <v>3179</v>
      </c>
      <c r="T9117" s="1" t="s">
        <v>16098</v>
      </c>
      <c r="U9117" s="2" t="s">
        <v>4681</v>
      </c>
      <c r="V9117" s="2" t="s">
        <v>47</v>
      </c>
      <c r="W9117" s="2" t="s">
        <v>111</v>
      </c>
      <c r="X9117" s="2">
        <v>23.625</v>
      </c>
    </row>
    <row r="9118" spans="1:24" x14ac:dyDescent="0.3">
      <c r="A9118">
        <v>6181</v>
      </c>
      <c r="B9118" t="s">
        <v>16280</v>
      </c>
      <c r="C9118" s="3">
        <v>41283</v>
      </c>
      <c r="D9118" t="s">
        <v>148</v>
      </c>
      <c r="E9118">
        <v>45</v>
      </c>
      <c r="F9118" s="3">
        <f ca="1">41284+(RANDBETWEEN(1,10))</f>
        <v>41294</v>
      </c>
      <c r="G9118" t="s">
        <v>26</v>
      </c>
      <c r="H9118" t="s">
        <v>27</v>
      </c>
      <c r="I9118" t="s">
        <v>28</v>
      </c>
      <c r="J9118">
        <v>776.09</v>
      </c>
      <c r="K9118">
        <v>0.09</v>
      </c>
      <c r="L9118">
        <v>0.37</v>
      </c>
      <c r="M9118">
        <v>10.465</v>
      </c>
      <c r="N9118">
        <v>-72.128</v>
      </c>
      <c r="O9118" s="1" t="s">
        <v>64</v>
      </c>
      <c r="P9118" s="1" t="s">
        <v>214</v>
      </c>
      <c r="Q9118" s="1" t="s">
        <v>215</v>
      </c>
      <c r="R9118" s="1" t="s">
        <v>67</v>
      </c>
      <c r="S9118" s="1" t="s">
        <v>68</v>
      </c>
      <c r="T9118" s="1" t="s">
        <v>69</v>
      </c>
      <c r="U9118" s="2" t="s">
        <v>1041</v>
      </c>
      <c r="V9118" s="2" t="s">
        <v>47</v>
      </c>
      <c r="W9118" s="2" t="s">
        <v>111</v>
      </c>
      <c r="X9118" s="2">
        <v>18.48</v>
      </c>
    </row>
    <row r="9119" spans="1:24" x14ac:dyDescent="0.3">
      <c r="A9119">
        <v>6182</v>
      </c>
      <c r="B9119" t="s">
        <v>16280</v>
      </c>
      <c r="C9119" s="3">
        <v>41283</v>
      </c>
      <c r="D9119" t="s">
        <v>148</v>
      </c>
      <c r="E9119">
        <v>53</v>
      </c>
      <c r="F9119" s="3">
        <f ca="1">41284+(RANDBETWEEN(1,10))</f>
        <v>41291</v>
      </c>
      <c r="G9119" t="s">
        <v>26</v>
      </c>
      <c r="H9119" t="s">
        <v>96</v>
      </c>
      <c r="I9119" t="s">
        <v>28</v>
      </c>
      <c r="J9119">
        <v>787.32500000000005</v>
      </c>
      <c r="K9119">
        <v>0.03</v>
      </c>
      <c r="L9119">
        <v>0.36</v>
      </c>
      <c r="M9119">
        <v>7.91</v>
      </c>
      <c r="N9119">
        <v>19.32</v>
      </c>
      <c r="O9119" s="1" t="s">
        <v>64</v>
      </c>
      <c r="P9119" s="1" t="s">
        <v>214</v>
      </c>
      <c r="Q9119" s="1" t="s">
        <v>215</v>
      </c>
      <c r="R9119" s="1" t="s">
        <v>67</v>
      </c>
      <c r="S9119" s="1" t="s">
        <v>68</v>
      </c>
      <c r="T9119" s="1" t="s">
        <v>69</v>
      </c>
      <c r="U9119" s="2" t="s">
        <v>11875</v>
      </c>
      <c r="V9119" s="2" t="s">
        <v>47</v>
      </c>
      <c r="W9119" s="2" t="s">
        <v>74</v>
      </c>
      <c r="X9119" s="2">
        <v>14.7</v>
      </c>
    </row>
    <row r="9120" spans="1:24" x14ac:dyDescent="0.3">
      <c r="A9120">
        <v>62</v>
      </c>
      <c r="B9120" t="s">
        <v>16281</v>
      </c>
      <c r="C9120" s="3">
        <v>41171</v>
      </c>
      <c r="D9120" t="s">
        <v>39</v>
      </c>
      <c r="E9120">
        <v>60</v>
      </c>
      <c r="F9120" s="3">
        <f ca="1">41173+(RANDBETWEEN(1,10))</f>
        <v>41176</v>
      </c>
      <c r="G9120" t="s">
        <v>76</v>
      </c>
      <c r="H9120" t="s">
        <v>258</v>
      </c>
      <c r="I9120" t="s">
        <v>28</v>
      </c>
      <c r="J9120">
        <v>10442.075000000001</v>
      </c>
      <c r="K9120">
        <v>0.02</v>
      </c>
      <c r="L9120">
        <v>0.69</v>
      </c>
      <c r="M9120">
        <v>189.38499999999999</v>
      </c>
      <c r="N9120">
        <v>-4718.21</v>
      </c>
      <c r="O9120" s="1" t="s">
        <v>40</v>
      </c>
      <c r="P9120" s="1" t="s">
        <v>15915</v>
      </c>
      <c r="Q9120" s="1" t="s">
        <v>15916</v>
      </c>
      <c r="R9120" s="1" t="s">
        <v>43</v>
      </c>
      <c r="S9120" s="1" t="s">
        <v>44</v>
      </c>
      <c r="T9120" s="1" t="s">
        <v>15917</v>
      </c>
      <c r="U9120" s="2" t="s">
        <v>684</v>
      </c>
      <c r="V9120" s="2" t="s">
        <v>83</v>
      </c>
      <c r="W9120" s="2" t="s">
        <v>298</v>
      </c>
      <c r="X9120" s="2">
        <v>170.03</v>
      </c>
    </row>
    <row r="9121" spans="1:24" x14ac:dyDescent="0.3">
      <c r="A9121">
        <v>6212</v>
      </c>
      <c r="B9121" t="s">
        <v>16282</v>
      </c>
      <c r="C9121" s="3">
        <v>40581</v>
      </c>
      <c r="D9121" t="s">
        <v>148</v>
      </c>
      <c r="E9121">
        <v>46</v>
      </c>
      <c r="F9121" s="3">
        <f ca="1">40583+(RANDBETWEEN(1,10))</f>
        <v>40591</v>
      </c>
      <c r="G9121" t="s">
        <v>26</v>
      </c>
      <c r="H9121" t="s">
        <v>27</v>
      </c>
      <c r="I9121" t="s">
        <v>28</v>
      </c>
      <c r="J9121">
        <v>1123.2550000000001</v>
      </c>
      <c r="K9121">
        <v>0.05</v>
      </c>
      <c r="L9121">
        <v>0.37</v>
      </c>
      <c r="M9121">
        <v>19.809999999999999</v>
      </c>
      <c r="N9121">
        <v>-232.68</v>
      </c>
      <c r="O9121" s="1" t="s">
        <v>53</v>
      </c>
      <c r="P9121" s="1" t="s">
        <v>7631</v>
      </c>
      <c r="Q9121" s="1" t="s">
        <v>7632</v>
      </c>
      <c r="R9121" s="1" t="s">
        <v>56</v>
      </c>
      <c r="S9121" s="1" t="s">
        <v>159</v>
      </c>
      <c r="T9121" s="1" t="s">
        <v>7633</v>
      </c>
      <c r="U9121" s="2" t="s">
        <v>1796</v>
      </c>
      <c r="V9121" s="2" t="s">
        <v>47</v>
      </c>
      <c r="W9121" s="2" t="s">
        <v>74</v>
      </c>
      <c r="X9121" s="2">
        <v>23.38</v>
      </c>
    </row>
    <row r="9122" spans="1:24" x14ac:dyDescent="0.3">
      <c r="A9122">
        <v>6213</v>
      </c>
      <c r="B9122" t="s">
        <v>16282</v>
      </c>
      <c r="C9122" s="3">
        <v>40581</v>
      </c>
      <c r="D9122" t="s">
        <v>148</v>
      </c>
      <c r="E9122">
        <v>14</v>
      </c>
      <c r="F9122" s="3">
        <f ca="1">40581+(RANDBETWEEN(1,10))</f>
        <v>40591</v>
      </c>
      <c r="G9122" t="s">
        <v>26</v>
      </c>
      <c r="H9122" t="s">
        <v>27</v>
      </c>
      <c r="I9122" t="s">
        <v>28</v>
      </c>
      <c r="J9122">
        <v>916.47500000000002</v>
      </c>
      <c r="K9122">
        <v>0.03</v>
      </c>
      <c r="L9122">
        <v>0.59</v>
      </c>
      <c r="M9122">
        <v>33.145000000000003</v>
      </c>
      <c r="N9122">
        <v>-183.155</v>
      </c>
      <c r="O9122" s="1" t="s">
        <v>53</v>
      </c>
      <c r="P9122" s="1" t="s">
        <v>7631</v>
      </c>
      <c r="Q9122" s="1" t="s">
        <v>7632</v>
      </c>
      <c r="R9122" s="1" t="s">
        <v>56</v>
      </c>
      <c r="S9122" s="1" t="s">
        <v>159</v>
      </c>
      <c r="T9122" s="1" t="s">
        <v>7633</v>
      </c>
      <c r="U9122" s="2" t="s">
        <v>811</v>
      </c>
      <c r="V9122" s="2" t="s">
        <v>47</v>
      </c>
      <c r="W9122" s="2" t="s">
        <v>119</v>
      </c>
      <c r="X9122" s="2">
        <v>61.95</v>
      </c>
    </row>
    <row r="9123" spans="1:24" x14ac:dyDescent="0.3">
      <c r="A9123">
        <v>6215</v>
      </c>
      <c r="B9123" t="s">
        <v>16283</v>
      </c>
      <c r="C9123" s="3">
        <v>41155</v>
      </c>
      <c r="D9123" t="s">
        <v>148</v>
      </c>
      <c r="E9123">
        <v>13</v>
      </c>
      <c r="F9123" s="3">
        <f ca="1">41156+(RANDBETWEEN(1,10))</f>
        <v>41165</v>
      </c>
      <c r="G9123" t="s">
        <v>26</v>
      </c>
      <c r="H9123" t="s">
        <v>27</v>
      </c>
      <c r="I9123" t="s">
        <v>28</v>
      </c>
      <c r="J9123">
        <v>4766.8249999999998</v>
      </c>
      <c r="K9123">
        <v>0.02</v>
      </c>
      <c r="L9123">
        <v>0.52</v>
      </c>
      <c r="M9123">
        <v>69.965000000000003</v>
      </c>
      <c r="N9123">
        <v>-946.68</v>
      </c>
      <c r="O9123" s="1" t="s">
        <v>64</v>
      </c>
      <c r="P9123" s="1" t="s">
        <v>16006</v>
      </c>
      <c r="Q9123" s="1" t="s">
        <v>16007</v>
      </c>
      <c r="R9123" s="1" t="s">
        <v>128</v>
      </c>
      <c r="S9123" s="1" t="s">
        <v>129</v>
      </c>
      <c r="T9123" s="1" t="s">
        <v>16008</v>
      </c>
      <c r="U9123" s="2" t="s">
        <v>1438</v>
      </c>
      <c r="V9123" s="2" t="s">
        <v>36</v>
      </c>
      <c r="W9123" s="2" t="s">
        <v>60</v>
      </c>
      <c r="X9123" s="2">
        <v>349.96499999999997</v>
      </c>
    </row>
    <row r="9124" spans="1:24" x14ac:dyDescent="0.3">
      <c r="A9124">
        <v>622</v>
      </c>
      <c r="B9124" t="s">
        <v>16284</v>
      </c>
      <c r="C9124" s="3">
        <v>41865</v>
      </c>
      <c r="D9124" t="s">
        <v>148</v>
      </c>
      <c r="E9124">
        <v>16</v>
      </c>
      <c r="F9124" s="3">
        <f ca="1">41867+(RANDBETWEEN(1,10))</f>
        <v>41870</v>
      </c>
      <c r="G9124" t="s">
        <v>26</v>
      </c>
      <c r="H9124" t="s">
        <v>51</v>
      </c>
      <c r="I9124" t="s">
        <v>86</v>
      </c>
      <c r="J9124">
        <v>124.04</v>
      </c>
      <c r="K9124">
        <v>0.02</v>
      </c>
      <c r="L9124">
        <v>0.53</v>
      </c>
      <c r="M9124">
        <v>14.28</v>
      </c>
      <c r="N9124">
        <v>-53.69</v>
      </c>
      <c r="O9124" s="1" t="s">
        <v>40</v>
      </c>
      <c r="P9124" s="1" t="s">
        <v>269</v>
      </c>
      <c r="Q9124" s="1" t="s">
        <v>270</v>
      </c>
      <c r="R9124" s="1" t="s">
        <v>43</v>
      </c>
      <c r="S9124" s="1" t="s">
        <v>44</v>
      </c>
      <c r="T9124" s="1" t="s">
        <v>271</v>
      </c>
      <c r="U9124" s="2" t="s">
        <v>2747</v>
      </c>
      <c r="V9124" s="2" t="s">
        <v>83</v>
      </c>
      <c r="W9124" s="2" t="s">
        <v>178</v>
      </c>
      <c r="X9124" s="2">
        <v>6.09</v>
      </c>
    </row>
    <row r="9125" spans="1:24" x14ac:dyDescent="0.3">
      <c r="A9125">
        <v>6229</v>
      </c>
      <c r="B9125" t="s">
        <v>16285</v>
      </c>
      <c r="C9125" s="3">
        <v>41710</v>
      </c>
      <c r="D9125" t="s">
        <v>148</v>
      </c>
      <c r="E9125">
        <v>34</v>
      </c>
      <c r="F9125" s="3">
        <f ca="1">41712+(RANDBETWEEN(1,10))</f>
        <v>41720</v>
      </c>
      <c r="G9125" t="s">
        <v>26</v>
      </c>
      <c r="H9125" t="s">
        <v>27</v>
      </c>
      <c r="I9125" t="s">
        <v>28</v>
      </c>
      <c r="J9125">
        <v>41382.32</v>
      </c>
      <c r="K9125">
        <v>0.1</v>
      </c>
      <c r="L9125">
        <v>0.4</v>
      </c>
      <c r="M9125">
        <v>69.965000000000003</v>
      </c>
      <c r="N9125">
        <v>16074.5795</v>
      </c>
      <c r="O9125" s="1" t="s">
        <v>40</v>
      </c>
      <c r="P9125" s="1" t="s">
        <v>15969</v>
      </c>
      <c r="Q9125" s="1" t="s">
        <v>15970</v>
      </c>
      <c r="R9125" s="1" t="s">
        <v>43</v>
      </c>
      <c r="S9125" s="1" t="s">
        <v>44</v>
      </c>
      <c r="T9125" s="1" t="s">
        <v>15971</v>
      </c>
      <c r="U9125" s="2" t="s">
        <v>8382</v>
      </c>
      <c r="V9125" s="2" t="s">
        <v>47</v>
      </c>
      <c r="W9125" s="2" t="s">
        <v>111</v>
      </c>
      <c r="X9125" s="2">
        <v>1287.9649999999999</v>
      </c>
    </row>
    <row r="9126" spans="1:24" x14ac:dyDescent="0.3">
      <c r="A9126">
        <v>6230</v>
      </c>
      <c r="B9126" t="s">
        <v>16285</v>
      </c>
      <c r="C9126" s="3">
        <v>41710</v>
      </c>
      <c r="D9126" t="s">
        <v>148</v>
      </c>
      <c r="E9126">
        <v>19</v>
      </c>
      <c r="F9126" s="3">
        <f ca="1">41712+(RANDBETWEEN(1,10))</f>
        <v>41716</v>
      </c>
      <c r="G9126" t="s">
        <v>26</v>
      </c>
      <c r="H9126" t="s">
        <v>27</v>
      </c>
      <c r="I9126" t="s">
        <v>28</v>
      </c>
      <c r="J9126">
        <v>282.83499999999998</v>
      </c>
      <c r="K9126">
        <v>0.1</v>
      </c>
      <c r="L9126">
        <v>0.35</v>
      </c>
      <c r="M9126">
        <v>18.934999999999999</v>
      </c>
      <c r="N9126">
        <v>-236.10650000000001</v>
      </c>
      <c r="O9126" s="1" t="s">
        <v>40</v>
      </c>
      <c r="P9126" s="1" t="s">
        <v>15969</v>
      </c>
      <c r="Q9126" s="1" t="s">
        <v>15970</v>
      </c>
      <c r="R9126" s="1" t="s">
        <v>43</v>
      </c>
      <c r="S9126" s="1" t="s">
        <v>44</v>
      </c>
      <c r="T9126" s="1" t="s">
        <v>15971</v>
      </c>
      <c r="U9126" s="2" t="s">
        <v>231</v>
      </c>
      <c r="V9126" s="2" t="s">
        <v>47</v>
      </c>
      <c r="W9126" s="2" t="s">
        <v>111</v>
      </c>
      <c r="X9126" s="2">
        <v>14.84</v>
      </c>
    </row>
    <row r="9127" spans="1:24" x14ac:dyDescent="0.3">
      <c r="A9127">
        <v>6243</v>
      </c>
      <c r="B9127" t="s">
        <v>16286</v>
      </c>
      <c r="C9127" s="3">
        <v>40850</v>
      </c>
      <c r="D9127" t="s">
        <v>50</v>
      </c>
      <c r="E9127">
        <v>37</v>
      </c>
      <c r="F9127" s="3">
        <f ca="1">40852+(RANDBETWEEN(1,10))</f>
        <v>40860</v>
      </c>
      <c r="G9127" t="s">
        <v>76</v>
      </c>
      <c r="H9127" t="s">
        <v>77</v>
      </c>
      <c r="I9127" t="s">
        <v>97</v>
      </c>
      <c r="J9127">
        <v>21967.19</v>
      </c>
      <c r="K9127">
        <v>0.04</v>
      </c>
      <c r="L9127">
        <v>0.62</v>
      </c>
      <c r="M9127">
        <v>105</v>
      </c>
      <c r="N9127">
        <v>406.35</v>
      </c>
      <c r="O9127" s="1" t="s">
        <v>40</v>
      </c>
      <c r="P9127" s="1" t="s">
        <v>15856</v>
      </c>
      <c r="Q9127" s="1" t="s">
        <v>15857</v>
      </c>
      <c r="R9127" s="1" t="s">
        <v>220</v>
      </c>
      <c r="S9127" s="1" t="s">
        <v>221</v>
      </c>
      <c r="T9127" s="1" t="s">
        <v>15858</v>
      </c>
      <c r="U9127" s="2" t="s">
        <v>2089</v>
      </c>
      <c r="V9127" s="2" t="s">
        <v>83</v>
      </c>
      <c r="W9127" s="2" t="s">
        <v>84</v>
      </c>
      <c r="X9127" s="2">
        <v>563.42999999999995</v>
      </c>
    </row>
    <row r="9128" spans="1:24" x14ac:dyDescent="0.3">
      <c r="A9128">
        <v>6244</v>
      </c>
      <c r="B9128" t="s">
        <v>16286</v>
      </c>
      <c r="C9128" s="3">
        <v>40850</v>
      </c>
      <c r="D9128" t="s">
        <v>50</v>
      </c>
      <c r="E9128">
        <v>146</v>
      </c>
      <c r="F9128" s="3">
        <f ca="1">40852+(RANDBETWEEN(1,10))</f>
        <v>40860</v>
      </c>
      <c r="G9128" t="s">
        <v>26</v>
      </c>
      <c r="H9128" t="s">
        <v>27</v>
      </c>
      <c r="I9128" t="s">
        <v>97</v>
      </c>
      <c r="J9128">
        <v>9325.4</v>
      </c>
      <c r="K9128">
        <v>0.01</v>
      </c>
      <c r="L9128">
        <v>0.79</v>
      </c>
      <c r="M9128">
        <v>14</v>
      </c>
      <c r="N9128">
        <v>-307.86</v>
      </c>
      <c r="O9128" s="1" t="s">
        <v>40</v>
      </c>
      <c r="P9128" s="1" t="s">
        <v>15856</v>
      </c>
      <c r="Q9128" s="1" t="s">
        <v>15857</v>
      </c>
      <c r="R9128" s="1" t="s">
        <v>220</v>
      </c>
      <c r="S9128" s="1" t="s">
        <v>221</v>
      </c>
      <c r="T9128" s="1" t="s">
        <v>15858</v>
      </c>
      <c r="U9128" s="2" t="s">
        <v>4938</v>
      </c>
      <c r="V9128" s="2" t="s">
        <v>36</v>
      </c>
      <c r="W9128" s="2" t="s">
        <v>60</v>
      </c>
      <c r="X9128" s="2">
        <v>62.93</v>
      </c>
    </row>
    <row r="9129" spans="1:24" x14ac:dyDescent="0.3">
      <c r="A9129">
        <v>6245</v>
      </c>
      <c r="B9129" t="s">
        <v>16287</v>
      </c>
      <c r="C9129" s="3">
        <v>41946</v>
      </c>
      <c r="D9129" t="s">
        <v>50</v>
      </c>
      <c r="E9129">
        <v>86</v>
      </c>
      <c r="F9129" s="3">
        <f ca="1">41947+(RANDBETWEEN(1,10))</f>
        <v>41957</v>
      </c>
      <c r="G9129" t="s">
        <v>26</v>
      </c>
      <c r="H9129" t="s">
        <v>27</v>
      </c>
      <c r="I9129" t="s">
        <v>97</v>
      </c>
      <c r="J9129">
        <v>29386.07</v>
      </c>
      <c r="K9129">
        <v>0.06</v>
      </c>
      <c r="L9129">
        <v>0.57999999999999996</v>
      </c>
      <c r="M9129">
        <v>31.465</v>
      </c>
      <c r="N9129">
        <v>1090.7505000000001</v>
      </c>
      <c r="O9129" s="1" t="s">
        <v>40</v>
      </c>
      <c r="P9129" s="1" t="s">
        <v>15856</v>
      </c>
      <c r="Q9129" s="1" t="s">
        <v>15857</v>
      </c>
      <c r="R9129" s="1" t="s">
        <v>220</v>
      </c>
      <c r="S9129" s="1" t="s">
        <v>221</v>
      </c>
      <c r="T9129" s="1" t="s">
        <v>15858</v>
      </c>
      <c r="U9129" s="2">
        <v>5185</v>
      </c>
      <c r="V9129" s="2" t="s">
        <v>36</v>
      </c>
      <c r="W9129" s="2" t="s">
        <v>37</v>
      </c>
      <c r="X9129" s="2">
        <v>405.96499999999997</v>
      </c>
    </row>
    <row r="9130" spans="1:24" x14ac:dyDescent="0.3">
      <c r="A9130">
        <v>6260</v>
      </c>
      <c r="B9130" t="s">
        <v>16288</v>
      </c>
      <c r="C9130" s="3">
        <v>41662</v>
      </c>
      <c r="D9130" t="s">
        <v>148</v>
      </c>
      <c r="E9130">
        <v>52</v>
      </c>
      <c r="F9130" s="3">
        <f ca="1">41664+(RANDBETWEEN(1,10))</f>
        <v>41666</v>
      </c>
      <c r="G9130" t="s">
        <v>26</v>
      </c>
      <c r="H9130" t="s">
        <v>27</v>
      </c>
      <c r="I9130" t="s">
        <v>97</v>
      </c>
      <c r="J9130">
        <v>17521.98</v>
      </c>
      <c r="K9130">
        <v>7.0000000000000007E-2</v>
      </c>
      <c r="L9130">
        <v>0.55000000000000004</v>
      </c>
      <c r="M9130">
        <v>8.75</v>
      </c>
      <c r="N9130">
        <v>2050.8137999999999</v>
      </c>
      <c r="O9130" s="1" t="s">
        <v>53</v>
      </c>
      <c r="P9130" s="1" t="s">
        <v>98</v>
      </c>
      <c r="Q9130" s="1" t="s">
        <v>99</v>
      </c>
      <c r="R9130" s="1" t="s">
        <v>100</v>
      </c>
      <c r="S9130" s="1" t="s">
        <v>101</v>
      </c>
      <c r="T9130" s="1" t="s">
        <v>102</v>
      </c>
      <c r="U9130" s="2" t="s">
        <v>2369</v>
      </c>
      <c r="V9130" s="2" t="s">
        <v>36</v>
      </c>
      <c r="W9130" s="2" t="s">
        <v>37</v>
      </c>
      <c r="X9130" s="2">
        <v>405.96499999999997</v>
      </c>
    </row>
    <row r="9131" spans="1:24" x14ac:dyDescent="0.3">
      <c r="A9131">
        <v>6282</v>
      </c>
      <c r="B9131" t="s">
        <v>16289</v>
      </c>
      <c r="C9131" s="3">
        <v>41528</v>
      </c>
      <c r="D9131" t="s">
        <v>62</v>
      </c>
      <c r="E9131">
        <v>8</v>
      </c>
      <c r="F9131" s="3">
        <f ca="1">41530+(RANDBETWEEN(1,10))</f>
        <v>41535</v>
      </c>
      <c r="G9131" t="s">
        <v>156</v>
      </c>
      <c r="H9131" t="s">
        <v>27</v>
      </c>
      <c r="I9131" t="s">
        <v>97</v>
      </c>
      <c r="J9131">
        <v>727.3</v>
      </c>
      <c r="K9131">
        <v>7.0000000000000007E-2</v>
      </c>
      <c r="L9131">
        <v>0.51</v>
      </c>
      <c r="M9131">
        <v>26.53</v>
      </c>
      <c r="N9131">
        <v>-89.655299999999997</v>
      </c>
      <c r="O9131" s="1" t="s">
        <v>64</v>
      </c>
      <c r="P9131" s="1" t="s">
        <v>252</v>
      </c>
      <c r="Q9131" s="1" t="s">
        <v>253</v>
      </c>
      <c r="R9131" s="1" t="s">
        <v>67</v>
      </c>
      <c r="S9131" s="1" t="s">
        <v>254</v>
      </c>
      <c r="T9131" s="1" t="s">
        <v>255</v>
      </c>
      <c r="U9131" s="2" t="s">
        <v>1676</v>
      </c>
      <c r="V9131" s="2" t="s">
        <v>83</v>
      </c>
      <c r="W9131" s="2" t="s">
        <v>178</v>
      </c>
      <c r="X9131" s="2">
        <v>80.430000000000007</v>
      </c>
    </row>
    <row r="9132" spans="1:24" x14ac:dyDescent="0.3">
      <c r="A9132">
        <v>6283</v>
      </c>
      <c r="B9132" t="s">
        <v>16290</v>
      </c>
      <c r="C9132" s="3">
        <v>41617</v>
      </c>
      <c r="D9132" t="s">
        <v>50</v>
      </c>
      <c r="E9132">
        <v>100</v>
      </c>
      <c r="F9132" s="3">
        <f ca="1">41619+(RANDBETWEEN(1,10))</f>
        <v>41621</v>
      </c>
      <c r="G9132" t="s">
        <v>26</v>
      </c>
      <c r="H9132" t="s">
        <v>27</v>
      </c>
      <c r="I9132" t="s">
        <v>97</v>
      </c>
      <c r="J9132">
        <v>2311.89</v>
      </c>
      <c r="K9132">
        <v>7.0000000000000007E-2</v>
      </c>
      <c r="L9132">
        <v>0.37</v>
      </c>
      <c r="M9132">
        <v>27.51</v>
      </c>
      <c r="N9132">
        <v>-684.495</v>
      </c>
      <c r="O9132" s="1" t="s">
        <v>40</v>
      </c>
      <c r="P9132" s="1" t="s">
        <v>259</v>
      </c>
      <c r="Q9132" s="1" t="s">
        <v>260</v>
      </c>
      <c r="R9132" s="1" t="s">
        <v>43</v>
      </c>
      <c r="S9132" s="1" t="s">
        <v>44</v>
      </c>
      <c r="T9132" s="1" t="s">
        <v>261</v>
      </c>
      <c r="U9132" s="2" t="s">
        <v>2667</v>
      </c>
      <c r="V9132" s="2" t="s">
        <v>47</v>
      </c>
      <c r="W9132" s="2" t="s">
        <v>74</v>
      </c>
      <c r="X9132" s="2">
        <v>22.68</v>
      </c>
    </row>
    <row r="9133" spans="1:24" x14ac:dyDescent="0.3">
      <c r="A9133">
        <v>6289</v>
      </c>
      <c r="B9133" t="s">
        <v>16291</v>
      </c>
      <c r="C9133" s="3">
        <v>40656</v>
      </c>
      <c r="D9133" t="s">
        <v>148</v>
      </c>
      <c r="E9133">
        <v>5</v>
      </c>
      <c r="F9133" s="3">
        <f ca="1">40657+(RANDBETWEEN(1,10))</f>
        <v>40667</v>
      </c>
      <c r="G9133" t="s">
        <v>26</v>
      </c>
      <c r="H9133" t="s">
        <v>27</v>
      </c>
      <c r="I9133" t="s">
        <v>52</v>
      </c>
      <c r="J9133">
        <v>113.75</v>
      </c>
      <c r="K9133">
        <v>0.03</v>
      </c>
      <c r="L9133">
        <v>0.4</v>
      </c>
      <c r="M9133">
        <v>19.635000000000002</v>
      </c>
      <c r="N9133">
        <v>-58.344999999999999</v>
      </c>
      <c r="O9133" s="1" t="s">
        <v>64</v>
      </c>
      <c r="P9133" s="1" t="s">
        <v>183</v>
      </c>
      <c r="Q9133" s="1" t="s">
        <v>184</v>
      </c>
      <c r="R9133" s="1" t="s">
        <v>128</v>
      </c>
      <c r="S9133" s="1" t="s">
        <v>129</v>
      </c>
      <c r="T9133" s="1" t="s">
        <v>185</v>
      </c>
      <c r="U9133" s="2" t="s">
        <v>5009</v>
      </c>
      <c r="V9133" s="2" t="s">
        <v>47</v>
      </c>
      <c r="W9133" s="2" t="s">
        <v>74</v>
      </c>
      <c r="X9133" s="2">
        <v>18.48</v>
      </c>
    </row>
    <row r="9134" spans="1:24" x14ac:dyDescent="0.3">
      <c r="A9134">
        <v>63</v>
      </c>
      <c r="B9134" t="s">
        <v>16281</v>
      </c>
      <c r="C9134" s="3">
        <v>41171</v>
      </c>
      <c r="D9134" t="s">
        <v>39</v>
      </c>
      <c r="E9134">
        <v>60</v>
      </c>
      <c r="F9134" s="3">
        <f ca="1">41171+(RANDBETWEEN(1,10))</f>
        <v>41173</v>
      </c>
      <c r="G9134" t="s">
        <v>26</v>
      </c>
      <c r="H9134" t="s">
        <v>51</v>
      </c>
      <c r="I9134" t="s">
        <v>28</v>
      </c>
      <c r="J9134">
        <v>7864.64</v>
      </c>
      <c r="K9134">
        <v>7.0000000000000007E-2</v>
      </c>
      <c r="L9134">
        <v>0.54</v>
      </c>
      <c r="M9134">
        <v>6.9649999999999999</v>
      </c>
      <c r="N9134">
        <v>942.44500000000005</v>
      </c>
      <c r="O9134" s="1" t="s">
        <v>40</v>
      </c>
      <c r="P9134" s="1" t="s">
        <v>15915</v>
      </c>
      <c r="Q9134" s="1" t="s">
        <v>15916</v>
      </c>
      <c r="R9134" s="1" t="s">
        <v>43</v>
      </c>
      <c r="S9134" s="1" t="s">
        <v>44</v>
      </c>
      <c r="T9134" s="1" t="s">
        <v>15917</v>
      </c>
      <c r="U9134" s="2" t="s">
        <v>685</v>
      </c>
      <c r="V9134" s="2" t="s">
        <v>36</v>
      </c>
      <c r="W9134" s="2" t="s">
        <v>60</v>
      </c>
      <c r="X9134" s="2">
        <v>138.18</v>
      </c>
    </row>
    <row r="9135" spans="1:24" x14ac:dyDescent="0.3">
      <c r="A9135">
        <v>6309</v>
      </c>
      <c r="B9135" t="s">
        <v>16292</v>
      </c>
      <c r="C9135" s="3">
        <v>41038</v>
      </c>
      <c r="D9135" t="s">
        <v>148</v>
      </c>
      <c r="E9135">
        <v>28</v>
      </c>
      <c r="F9135" s="3">
        <f ca="1">41039+(RANDBETWEEN(1,10))</f>
        <v>41047</v>
      </c>
      <c r="G9135" t="s">
        <v>26</v>
      </c>
      <c r="H9135" t="s">
        <v>27</v>
      </c>
      <c r="I9135" t="s">
        <v>97</v>
      </c>
      <c r="J9135">
        <v>187.6</v>
      </c>
      <c r="K9135">
        <v>7.0000000000000007E-2</v>
      </c>
      <c r="L9135">
        <v>0.37</v>
      </c>
      <c r="M9135">
        <v>5.2149999999999999</v>
      </c>
      <c r="N9135">
        <v>-35.902999999999999</v>
      </c>
      <c r="O9135" s="1" t="s">
        <v>64</v>
      </c>
      <c r="P9135" s="1" t="s">
        <v>233</v>
      </c>
      <c r="Q9135" s="1" t="s">
        <v>234</v>
      </c>
      <c r="R9135" s="1" t="s">
        <v>67</v>
      </c>
      <c r="S9135" s="1" t="s">
        <v>68</v>
      </c>
      <c r="T9135" s="1" t="s">
        <v>235</v>
      </c>
      <c r="U9135" s="2" t="s">
        <v>4275</v>
      </c>
      <c r="V9135" s="2" t="s">
        <v>47</v>
      </c>
      <c r="W9135" s="2" t="s">
        <v>111</v>
      </c>
      <c r="X9135" s="2">
        <v>6.58</v>
      </c>
    </row>
    <row r="9136" spans="1:24" x14ac:dyDescent="0.3">
      <c r="A9136">
        <v>6311</v>
      </c>
      <c r="B9136" t="s">
        <v>16293</v>
      </c>
      <c r="C9136" s="3">
        <v>41663</v>
      </c>
      <c r="D9136" t="s">
        <v>25</v>
      </c>
      <c r="E9136">
        <v>52</v>
      </c>
      <c r="F9136" s="3">
        <f ca="1">41663+(RANDBETWEEN(1,10))</f>
        <v>41666</v>
      </c>
      <c r="G9136" t="s">
        <v>76</v>
      </c>
      <c r="H9136" t="s">
        <v>77</v>
      </c>
      <c r="I9136" t="s">
        <v>28</v>
      </c>
      <c r="J9136">
        <v>89993.05</v>
      </c>
      <c r="K9136">
        <v>0.06</v>
      </c>
      <c r="L9136">
        <v>0.6</v>
      </c>
      <c r="M9136">
        <v>91</v>
      </c>
      <c r="N9136">
        <v>9643.7039999999997</v>
      </c>
      <c r="O9136" s="1" t="s">
        <v>64</v>
      </c>
      <c r="P9136" s="1" t="s">
        <v>276</v>
      </c>
      <c r="Q9136" s="1" t="s">
        <v>277</v>
      </c>
      <c r="R9136" s="1" t="s">
        <v>128</v>
      </c>
      <c r="S9136" s="1" t="s">
        <v>129</v>
      </c>
      <c r="T9136" s="1" t="s">
        <v>278</v>
      </c>
      <c r="U9136" s="2" t="s">
        <v>1670</v>
      </c>
      <c r="V9136" s="2" t="s">
        <v>83</v>
      </c>
      <c r="W9136" s="2" t="s">
        <v>84</v>
      </c>
      <c r="X9136" s="2">
        <v>1753.43</v>
      </c>
    </row>
    <row r="9137" spans="1:24" x14ac:dyDescent="0.3">
      <c r="A9137">
        <v>6312</v>
      </c>
      <c r="B9137" t="s">
        <v>16293</v>
      </c>
      <c r="C9137" s="3">
        <v>41663</v>
      </c>
      <c r="D9137" t="s">
        <v>25</v>
      </c>
      <c r="E9137">
        <v>26</v>
      </c>
      <c r="F9137" s="3">
        <f ca="1">41667+(RANDBETWEEN(1,10))</f>
        <v>41669</v>
      </c>
      <c r="G9137" t="s">
        <v>26</v>
      </c>
      <c r="H9137" t="s">
        <v>27</v>
      </c>
      <c r="I9137" t="s">
        <v>28</v>
      </c>
      <c r="J9137">
        <v>1148.5250000000001</v>
      </c>
      <c r="K9137">
        <v>0.05</v>
      </c>
      <c r="L9137">
        <v>0.56999999999999995</v>
      </c>
      <c r="M9137">
        <v>21.454999999999998</v>
      </c>
      <c r="N9137">
        <v>-205.85599999999999</v>
      </c>
      <c r="O9137" s="1" t="s">
        <v>64</v>
      </c>
      <c r="P9137" s="1" t="s">
        <v>276</v>
      </c>
      <c r="Q9137" s="1" t="s">
        <v>277</v>
      </c>
      <c r="R9137" s="1" t="s">
        <v>128</v>
      </c>
      <c r="S9137" s="1" t="s">
        <v>129</v>
      </c>
      <c r="T9137" s="1" t="s">
        <v>278</v>
      </c>
      <c r="U9137" s="2" t="s">
        <v>5922</v>
      </c>
      <c r="V9137" s="2" t="s">
        <v>47</v>
      </c>
      <c r="W9137" s="2" t="s">
        <v>119</v>
      </c>
      <c r="X9137" s="2">
        <v>42.98</v>
      </c>
    </row>
    <row r="9138" spans="1:24" x14ac:dyDescent="0.3">
      <c r="A9138">
        <v>6320</v>
      </c>
      <c r="B9138" t="s">
        <v>16294</v>
      </c>
      <c r="C9138" s="3">
        <v>41962</v>
      </c>
      <c r="D9138" t="s">
        <v>148</v>
      </c>
      <c r="E9138">
        <v>40</v>
      </c>
      <c r="F9138" s="3">
        <f ca="1">41963+(RANDBETWEEN(1,10))</f>
        <v>41971</v>
      </c>
      <c r="G9138" t="s">
        <v>26</v>
      </c>
      <c r="H9138" t="s">
        <v>63</v>
      </c>
      <c r="I9138" t="s">
        <v>97</v>
      </c>
      <c r="J9138">
        <v>9847.6</v>
      </c>
      <c r="K9138">
        <v>0.02</v>
      </c>
      <c r="L9138">
        <v>0.8</v>
      </c>
      <c r="M9138">
        <v>122.5</v>
      </c>
      <c r="N9138">
        <v>-1083.18</v>
      </c>
      <c r="O9138" s="1" t="s">
        <v>40</v>
      </c>
      <c r="P9138" s="1" t="s">
        <v>13707</v>
      </c>
      <c r="Q9138" s="1" t="s">
        <v>13708</v>
      </c>
      <c r="R9138" s="1" t="s">
        <v>43</v>
      </c>
      <c r="S9138" s="1" t="s">
        <v>44</v>
      </c>
      <c r="T9138" s="1" t="s">
        <v>13709</v>
      </c>
      <c r="U9138" s="2" t="s">
        <v>3893</v>
      </c>
      <c r="V9138" s="2" t="s">
        <v>47</v>
      </c>
      <c r="W9138" s="2" t="s">
        <v>119</v>
      </c>
      <c r="X9138" s="2">
        <v>226.27500000000001</v>
      </c>
    </row>
    <row r="9139" spans="1:24" x14ac:dyDescent="0.3">
      <c r="A9139">
        <v>6321</v>
      </c>
      <c r="B9139" t="s">
        <v>16294</v>
      </c>
      <c r="C9139" s="3">
        <v>41962</v>
      </c>
      <c r="D9139" t="s">
        <v>148</v>
      </c>
      <c r="E9139">
        <v>58</v>
      </c>
      <c r="F9139" s="3">
        <f ca="1">41964+(RANDBETWEEN(1,10))</f>
        <v>41972</v>
      </c>
      <c r="G9139" t="s">
        <v>26</v>
      </c>
      <c r="H9139" t="s">
        <v>96</v>
      </c>
      <c r="I9139" t="s">
        <v>97</v>
      </c>
      <c r="J9139">
        <v>3833.3049999999998</v>
      </c>
      <c r="K9139">
        <v>0.02</v>
      </c>
      <c r="L9139">
        <v>0.56999999999999995</v>
      </c>
      <c r="M9139">
        <v>3.4649999999999999</v>
      </c>
      <c r="N9139">
        <v>136.17449999999999</v>
      </c>
      <c r="O9139" s="1" t="s">
        <v>40</v>
      </c>
      <c r="P9139" s="1" t="s">
        <v>13707</v>
      </c>
      <c r="Q9139" s="1" t="s">
        <v>13708</v>
      </c>
      <c r="R9139" s="1" t="s">
        <v>43</v>
      </c>
      <c r="S9139" s="1" t="s">
        <v>44</v>
      </c>
      <c r="T9139" s="1" t="s">
        <v>13709</v>
      </c>
      <c r="U9139" s="2" t="s">
        <v>5426</v>
      </c>
      <c r="V9139" s="2" t="s">
        <v>36</v>
      </c>
      <c r="W9139" s="2" t="s">
        <v>37</v>
      </c>
      <c r="X9139" s="2">
        <v>73.465000000000003</v>
      </c>
    </row>
    <row r="9140" spans="1:24" x14ac:dyDescent="0.3">
      <c r="A9140">
        <v>6336</v>
      </c>
      <c r="B9140" t="s">
        <v>16295</v>
      </c>
      <c r="C9140" s="3">
        <v>40948</v>
      </c>
      <c r="D9140" t="s">
        <v>148</v>
      </c>
      <c r="E9140">
        <v>4</v>
      </c>
      <c r="F9140" s="3">
        <f ca="1">40949+(RANDBETWEEN(1,10))</f>
        <v>40955</v>
      </c>
      <c r="G9140" t="s">
        <v>26</v>
      </c>
      <c r="H9140" t="s">
        <v>27</v>
      </c>
      <c r="I9140" t="s">
        <v>97</v>
      </c>
      <c r="J9140">
        <v>164.60499999999999</v>
      </c>
      <c r="K9140">
        <v>0.08</v>
      </c>
      <c r="L9140">
        <v>0.37</v>
      </c>
      <c r="M9140">
        <v>17.605</v>
      </c>
      <c r="N9140">
        <v>-42.104999999999997</v>
      </c>
      <c r="O9140" s="1" t="s">
        <v>64</v>
      </c>
      <c r="P9140" s="1" t="s">
        <v>16037</v>
      </c>
      <c r="Q9140" s="1" t="s">
        <v>16038</v>
      </c>
      <c r="R9140" s="1" t="s">
        <v>128</v>
      </c>
      <c r="S9140" s="1" t="s">
        <v>129</v>
      </c>
      <c r="T9140" s="1" t="s">
        <v>16008</v>
      </c>
      <c r="U9140" s="2" t="s">
        <v>13177</v>
      </c>
      <c r="V9140" s="2" t="s">
        <v>47</v>
      </c>
      <c r="W9140" s="2" t="s">
        <v>74</v>
      </c>
      <c r="X9140" s="2">
        <v>39.164999999999999</v>
      </c>
    </row>
    <row r="9141" spans="1:24" x14ac:dyDescent="0.3">
      <c r="A9141">
        <v>6387</v>
      </c>
      <c r="B9141" t="s">
        <v>16296</v>
      </c>
      <c r="C9141" s="3">
        <v>40663</v>
      </c>
      <c r="D9141" t="s">
        <v>62</v>
      </c>
      <c r="E9141">
        <v>34</v>
      </c>
      <c r="F9141" s="3">
        <f ca="1">40664+(RANDBETWEEN(1,10))</f>
        <v>40667</v>
      </c>
      <c r="G9141" t="s">
        <v>156</v>
      </c>
      <c r="H9141" t="s">
        <v>27</v>
      </c>
      <c r="I9141" t="s">
        <v>52</v>
      </c>
      <c r="J9141">
        <v>6695.43</v>
      </c>
      <c r="K9141">
        <v>0.06</v>
      </c>
      <c r="L9141">
        <v>0.57999999999999996</v>
      </c>
      <c r="M9141">
        <v>30.8</v>
      </c>
      <c r="N9141">
        <v>1008.3150000000001</v>
      </c>
      <c r="O9141" s="1" t="s">
        <v>53</v>
      </c>
      <c r="P9141" s="1" t="s">
        <v>114</v>
      </c>
      <c r="Q9141" s="1" t="s">
        <v>115</v>
      </c>
      <c r="R9141" s="1" t="s">
        <v>100</v>
      </c>
      <c r="S9141" s="1" t="s">
        <v>101</v>
      </c>
      <c r="T9141" s="1" t="s">
        <v>116</v>
      </c>
      <c r="U9141" s="2">
        <v>6120</v>
      </c>
      <c r="V9141" s="2" t="s">
        <v>36</v>
      </c>
      <c r="W9141" s="2" t="s">
        <v>37</v>
      </c>
      <c r="X9141" s="2">
        <v>230.965</v>
      </c>
    </row>
    <row r="9142" spans="1:24" x14ac:dyDescent="0.3">
      <c r="A9142">
        <v>6388</v>
      </c>
      <c r="B9142" t="s">
        <v>16296</v>
      </c>
      <c r="C9142" s="3">
        <v>40663</v>
      </c>
      <c r="D9142" t="s">
        <v>62</v>
      </c>
      <c r="E9142">
        <v>24</v>
      </c>
      <c r="F9142" s="3">
        <f ca="1">40665+(RANDBETWEEN(1,10))</f>
        <v>40669</v>
      </c>
      <c r="G9142" t="s">
        <v>156</v>
      </c>
      <c r="H9142" t="s">
        <v>27</v>
      </c>
      <c r="I9142" t="s">
        <v>52</v>
      </c>
      <c r="J9142">
        <v>14598.045</v>
      </c>
      <c r="K9142">
        <v>0</v>
      </c>
      <c r="L9142">
        <v>0.56999999999999995</v>
      </c>
      <c r="M9142">
        <v>14.7</v>
      </c>
      <c r="N9142">
        <v>3606.7815000000001</v>
      </c>
      <c r="O9142" s="1" t="s">
        <v>53</v>
      </c>
      <c r="P9142" s="1" t="s">
        <v>114</v>
      </c>
      <c r="Q9142" s="1" t="s">
        <v>115</v>
      </c>
      <c r="R9142" s="1" t="s">
        <v>100</v>
      </c>
      <c r="S9142" s="1" t="s">
        <v>101</v>
      </c>
      <c r="T9142" s="1" t="s">
        <v>116</v>
      </c>
      <c r="U9142" s="2" t="s">
        <v>2475</v>
      </c>
      <c r="V9142" s="2" t="s">
        <v>36</v>
      </c>
      <c r="W9142" s="2" t="s">
        <v>37</v>
      </c>
      <c r="X9142" s="2">
        <v>685.96500000000003</v>
      </c>
    </row>
    <row r="9143" spans="1:24" x14ac:dyDescent="0.3">
      <c r="A9143">
        <v>6398</v>
      </c>
      <c r="B9143" t="s">
        <v>16297</v>
      </c>
      <c r="C9143" s="3">
        <v>41068</v>
      </c>
      <c r="D9143" t="s">
        <v>39</v>
      </c>
      <c r="E9143">
        <v>27</v>
      </c>
      <c r="F9143" s="3">
        <f ca="1">41069+(RANDBETWEEN(1,10))</f>
        <v>41070</v>
      </c>
      <c r="G9143" t="s">
        <v>26</v>
      </c>
      <c r="H9143" t="s">
        <v>27</v>
      </c>
      <c r="I9143" t="s">
        <v>86</v>
      </c>
      <c r="J9143">
        <v>450.13499999999999</v>
      </c>
      <c r="K9143">
        <v>0.03</v>
      </c>
      <c r="L9143">
        <v>0.37</v>
      </c>
      <c r="M9143">
        <v>21.734999999999999</v>
      </c>
      <c r="N9143">
        <v>-257.47924999999998</v>
      </c>
      <c r="O9143" s="1" t="s">
        <v>64</v>
      </c>
      <c r="P9143" s="1" t="s">
        <v>173</v>
      </c>
      <c r="Q9143" s="1" t="s">
        <v>174</v>
      </c>
      <c r="R9143" s="1" t="s">
        <v>67</v>
      </c>
      <c r="S9143" s="1" t="s">
        <v>108</v>
      </c>
      <c r="T9143" s="1" t="s">
        <v>109</v>
      </c>
      <c r="U9143" s="2" t="s">
        <v>11987</v>
      </c>
      <c r="V9143" s="2" t="s">
        <v>47</v>
      </c>
      <c r="W9143" s="2" t="s">
        <v>111</v>
      </c>
      <c r="X9143" s="2">
        <v>15.33</v>
      </c>
    </row>
    <row r="9144" spans="1:24" x14ac:dyDescent="0.3">
      <c r="A9144">
        <v>6399</v>
      </c>
      <c r="B9144" t="s">
        <v>16297</v>
      </c>
      <c r="C9144" s="3">
        <v>41068</v>
      </c>
      <c r="D9144" t="s">
        <v>39</v>
      </c>
      <c r="E9144">
        <v>26</v>
      </c>
      <c r="F9144" s="3">
        <f ca="1">41069+(RANDBETWEEN(1,10))</f>
        <v>41078</v>
      </c>
      <c r="G9144" t="s">
        <v>26</v>
      </c>
      <c r="H9144" t="s">
        <v>27</v>
      </c>
      <c r="I9144" t="s">
        <v>86</v>
      </c>
      <c r="J9144">
        <v>10877.055</v>
      </c>
      <c r="K9144">
        <v>0.05</v>
      </c>
      <c r="L9144">
        <v>0.35</v>
      </c>
      <c r="M9144">
        <v>31.745000000000001</v>
      </c>
      <c r="N9144">
        <v>2725.1</v>
      </c>
      <c r="O9144" s="1" t="s">
        <v>64</v>
      </c>
      <c r="P9144" s="1" t="s">
        <v>173</v>
      </c>
      <c r="Q9144" s="1" t="s">
        <v>174</v>
      </c>
      <c r="R9144" s="1" t="s">
        <v>67</v>
      </c>
      <c r="S9144" s="1" t="s">
        <v>108</v>
      </c>
      <c r="T9144" s="1" t="s">
        <v>109</v>
      </c>
      <c r="U9144" s="2" t="s">
        <v>4646</v>
      </c>
      <c r="V9144" s="2" t="s">
        <v>47</v>
      </c>
      <c r="W9144" s="2" t="s">
        <v>111</v>
      </c>
      <c r="X9144" s="2">
        <v>423.43</v>
      </c>
    </row>
    <row r="9145" spans="1:24" x14ac:dyDescent="0.3">
      <c r="A9145">
        <v>64</v>
      </c>
      <c r="B9145" t="s">
        <v>16298</v>
      </c>
      <c r="C9145" s="3">
        <v>40895</v>
      </c>
      <c r="D9145" t="s">
        <v>148</v>
      </c>
      <c r="E9145">
        <v>56</v>
      </c>
      <c r="F9145" s="3">
        <f ca="1">40896+(RANDBETWEEN(1,10))</f>
        <v>40899</v>
      </c>
      <c r="G9145" t="s">
        <v>76</v>
      </c>
      <c r="H9145" t="s">
        <v>258</v>
      </c>
      <c r="I9145" t="s">
        <v>28</v>
      </c>
      <c r="J9145">
        <v>23909.794999999998</v>
      </c>
      <c r="K9145">
        <v>0.08</v>
      </c>
      <c r="L9145">
        <v>0.63</v>
      </c>
      <c r="M9145">
        <v>181.79</v>
      </c>
      <c r="N9145">
        <v>-1751.33</v>
      </c>
      <c r="O9145" s="1" t="s">
        <v>64</v>
      </c>
      <c r="P9145" s="1" t="s">
        <v>126</v>
      </c>
      <c r="Q9145" s="1" t="s">
        <v>127</v>
      </c>
      <c r="R9145" s="1" t="s">
        <v>128</v>
      </c>
      <c r="S9145" s="1" t="s">
        <v>129</v>
      </c>
      <c r="T9145" s="1" t="s">
        <v>130</v>
      </c>
      <c r="U9145" s="2" t="s">
        <v>360</v>
      </c>
      <c r="V9145" s="2" t="s">
        <v>83</v>
      </c>
      <c r="W9145" s="2" t="s">
        <v>263</v>
      </c>
      <c r="X9145" s="2">
        <v>435.71499999999997</v>
      </c>
    </row>
    <row r="9146" spans="1:24" x14ac:dyDescent="0.3">
      <c r="A9146">
        <v>6400</v>
      </c>
      <c r="B9146" t="s">
        <v>16299</v>
      </c>
      <c r="C9146" s="3">
        <v>41798</v>
      </c>
      <c r="D9146" t="s">
        <v>39</v>
      </c>
      <c r="E9146">
        <v>36</v>
      </c>
      <c r="F9146" s="3">
        <f ca="1">41798+(RANDBETWEEN(1,10))</f>
        <v>41802</v>
      </c>
      <c r="G9146" t="s">
        <v>26</v>
      </c>
      <c r="H9146" t="s">
        <v>27</v>
      </c>
      <c r="I9146" t="s">
        <v>86</v>
      </c>
      <c r="J9146">
        <v>692.68499999999995</v>
      </c>
      <c r="K9146">
        <v>0.04</v>
      </c>
      <c r="L9146">
        <v>0.37</v>
      </c>
      <c r="M9146">
        <v>10.465</v>
      </c>
      <c r="N9146">
        <v>8.1217500000000005</v>
      </c>
      <c r="O9146" s="1" t="s">
        <v>64</v>
      </c>
      <c r="P9146" s="1" t="s">
        <v>173</v>
      </c>
      <c r="Q9146" s="1" t="s">
        <v>174</v>
      </c>
      <c r="R9146" s="1" t="s">
        <v>67</v>
      </c>
      <c r="S9146" s="1" t="s">
        <v>108</v>
      </c>
      <c r="T9146" s="1" t="s">
        <v>109</v>
      </c>
      <c r="U9146" s="2" t="s">
        <v>1041</v>
      </c>
      <c r="V9146" s="2" t="s">
        <v>47</v>
      </c>
      <c r="W9146" s="2" t="s">
        <v>111</v>
      </c>
      <c r="X9146" s="2">
        <v>18.48</v>
      </c>
    </row>
    <row r="9147" spans="1:24" x14ac:dyDescent="0.3">
      <c r="A9147">
        <v>6403</v>
      </c>
      <c r="B9147" t="s">
        <v>16300</v>
      </c>
      <c r="C9147" s="3">
        <v>41747</v>
      </c>
      <c r="D9147" t="s">
        <v>62</v>
      </c>
      <c r="E9147">
        <v>48</v>
      </c>
      <c r="F9147" s="3">
        <f ca="1">41747+(RANDBETWEEN(1,10))</f>
        <v>41756</v>
      </c>
      <c r="G9147" t="s">
        <v>26</v>
      </c>
      <c r="H9147" t="s">
        <v>281</v>
      </c>
      <c r="I9147" t="s">
        <v>97</v>
      </c>
      <c r="J9147">
        <v>3695.93</v>
      </c>
      <c r="K9147">
        <v>7.0000000000000007E-2</v>
      </c>
      <c r="L9147">
        <v>0.5</v>
      </c>
      <c r="M9147">
        <v>20.79</v>
      </c>
      <c r="N9147">
        <v>479.74009999999998</v>
      </c>
      <c r="O9147" s="1" t="s">
        <v>53</v>
      </c>
      <c r="P9147" s="1" t="s">
        <v>284</v>
      </c>
      <c r="Q9147" s="1" t="s">
        <v>285</v>
      </c>
      <c r="R9147" s="1" t="s">
        <v>56</v>
      </c>
      <c r="S9147" s="1" t="s">
        <v>57</v>
      </c>
      <c r="T9147" s="1" t="s">
        <v>58</v>
      </c>
      <c r="U9147" s="2" t="s">
        <v>785</v>
      </c>
      <c r="V9147" s="2" t="s">
        <v>47</v>
      </c>
      <c r="W9147" s="2" t="s">
        <v>71</v>
      </c>
      <c r="X9147" s="2">
        <v>76.23</v>
      </c>
    </row>
    <row r="9148" spans="1:24" x14ac:dyDescent="0.3">
      <c r="A9148">
        <v>6406</v>
      </c>
      <c r="B9148" t="s">
        <v>16301</v>
      </c>
      <c r="C9148" s="3">
        <v>40757</v>
      </c>
      <c r="D9148" t="s">
        <v>50</v>
      </c>
      <c r="E9148">
        <v>27</v>
      </c>
      <c r="F9148" s="3">
        <f ca="1">40759+(RANDBETWEEN(1,10))</f>
        <v>40763</v>
      </c>
      <c r="G9148" t="s">
        <v>156</v>
      </c>
      <c r="H9148" t="s">
        <v>51</v>
      </c>
      <c r="I9148" t="s">
        <v>28</v>
      </c>
      <c r="J9148">
        <v>1695.96</v>
      </c>
      <c r="K9148">
        <v>0.02</v>
      </c>
      <c r="L9148">
        <v>0.42</v>
      </c>
      <c r="M9148">
        <v>6.9649999999999999</v>
      </c>
      <c r="N9148">
        <v>243.63499999999999</v>
      </c>
      <c r="O9148" s="1" t="s">
        <v>64</v>
      </c>
      <c r="P9148" s="1" t="s">
        <v>214</v>
      </c>
      <c r="Q9148" s="1" t="s">
        <v>215</v>
      </c>
      <c r="R9148" s="1" t="s">
        <v>67</v>
      </c>
      <c r="S9148" s="1" t="s">
        <v>68</v>
      </c>
      <c r="T9148" s="1" t="s">
        <v>69</v>
      </c>
      <c r="U9148" s="2" t="s">
        <v>5273</v>
      </c>
      <c r="V9148" s="2" t="s">
        <v>36</v>
      </c>
      <c r="W9148" s="2" t="s">
        <v>60</v>
      </c>
      <c r="X9148" s="2">
        <v>57.68</v>
      </c>
    </row>
    <row r="9149" spans="1:24" x14ac:dyDescent="0.3">
      <c r="A9149">
        <v>6407</v>
      </c>
      <c r="B9149" t="s">
        <v>16302</v>
      </c>
      <c r="C9149" s="3">
        <v>41853</v>
      </c>
      <c r="D9149" t="s">
        <v>50</v>
      </c>
      <c r="E9149">
        <v>54</v>
      </c>
      <c r="F9149" s="3">
        <f ca="1">41855+(RANDBETWEEN(1,10))</f>
        <v>41858</v>
      </c>
      <c r="G9149" t="s">
        <v>26</v>
      </c>
      <c r="H9149" t="s">
        <v>96</v>
      </c>
      <c r="I9149" t="s">
        <v>28</v>
      </c>
      <c r="J9149">
        <v>611.30999999999995</v>
      </c>
      <c r="K9149">
        <v>0.08</v>
      </c>
      <c r="L9149">
        <v>0.48</v>
      </c>
      <c r="M9149">
        <v>2.9750000000000001</v>
      </c>
      <c r="N9149">
        <v>48.37</v>
      </c>
      <c r="O9149" s="1" t="s">
        <v>64</v>
      </c>
      <c r="P9149" s="1" t="s">
        <v>214</v>
      </c>
      <c r="Q9149" s="1" t="s">
        <v>215</v>
      </c>
      <c r="R9149" s="1" t="s">
        <v>67</v>
      </c>
      <c r="S9149" s="1" t="s">
        <v>68</v>
      </c>
      <c r="T9149" s="1" t="s">
        <v>69</v>
      </c>
      <c r="U9149" s="2" t="s">
        <v>353</v>
      </c>
      <c r="V9149" s="2" t="s">
        <v>47</v>
      </c>
      <c r="W9149" s="2" t="s">
        <v>104</v>
      </c>
      <c r="X9149" s="2">
        <v>11.83</v>
      </c>
    </row>
    <row r="9150" spans="1:24" x14ac:dyDescent="0.3">
      <c r="A9150">
        <v>6412</v>
      </c>
      <c r="B9150" t="s">
        <v>16303</v>
      </c>
      <c r="C9150" s="3">
        <v>41905</v>
      </c>
      <c r="D9150" t="s">
        <v>148</v>
      </c>
      <c r="E9150">
        <v>90</v>
      </c>
      <c r="F9150" s="3">
        <f ca="1">41906+(RANDBETWEEN(1,10))</f>
        <v>41911</v>
      </c>
      <c r="G9150" t="s">
        <v>26</v>
      </c>
      <c r="H9150" t="s">
        <v>27</v>
      </c>
      <c r="I9150" t="s">
        <v>52</v>
      </c>
      <c r="J9150">
        <v>3871.8049999999998</v>
      </c>
      <c r="K9150">
        <v>0.05</v>
      </c>
      <c r="L9150">
        <v>0.57999999999999996</v>
      </c>
      <c r="M9150">
        <v>16.835000000000001</v>
      </c>
      <c r="N9150">
        <v>-25.34</v>
      </c>
      <c r="O9150" s="1" t="s">
        <v>87</v>
      </c>
      <c r="P9150" s="1" t="s">
        <v>16096</v>
      </c>
      <c r="Q9150" s="1" t="s">
        <v>16097</v>
      </c>
      <c r="R9150" s="1" t="s">
        <v>398</v>
      </c>
      <c r="S9150" s="1" t="s">
        <v>3179</v>
      </c>
      <c r="T9150" s="1" t="s">
        <v>16098</v>
      </c>
      <c r="U9150" s="2" t="s">
        <v>5691</v>
      </c>
      <c r="V9150" s="2" t="s">
        <v>47</v>
      </c>
      <c r="W9150" s="2" t="s">
        <v>119</v>
      </c>
      <c r="X9150" s="2">
        <v>42.734999999999999</v>
      </c>
    </row>
    <row r="9151" spans="1:24" x14ac:dyDescent="0.3">
      <c r="A9151">
        <v>6413</v>
      </c>
      <c r="B9151" t="s">
        <v>16303</v>
      </c>
      <c r="C9151" s="3">
        <v>41905</v>
      </c>
      <c r="D9151" t="s">
        <v>148</v>
      </c>
      <c r="E9151">
        <v>99</v>
      </c>
      <c r="F9151" s="3">
        <f ca="1">41907+(RANDBETWEEN(1,10))</f>
        <v>41914</v>
      </c>
      <c r="G9151" t="s">
        <v>26</v>
      </c>
      <c r="H9151" t="s">
        <v>27</v>
      </c>
      <c r="I9151" t="s">
        <v>52</v>
      </c>
      <c r="J9151">
        <v>44050.09</v>
      </c>
      <c r="K9151">
        <v>0.06</v>
      </c>
      <c r="L9151">
        <v>0.57999999999999996</v>
      </c>
      <c r="M9151">
        <v>31.465</v>
      </c>
      <c r="N9151">
        <v>4960.3050000000003</v>
      </c>
      <c r="O9151" s="1" t="s">
        <v>87</v>
      </c>
      <c r="P9151" s="1" t="s">
        <v>16096</v>
      </c>
      <c r="Q9151" s="1" t="s">
        <v>16097</v>
      </c>
      <c r="R9151" s="1" t="s">
        <v>398</v>
      </c>
      <c r="S9151" s="1" t="s">
        <v>3179</v>
      </c>
      <c r="T9151" s="1" t="s">
        <v>16098</v>
      </c>
      <c r="U9151" s="2" t="s">
        <v>1265</v>
      </c>
      <c r="V9151" s="2" t="s">
        <v>36</v>
      </c>
      <c r="W9151" s="2" t="s">
        <v>37</v>
      </c>
      <c r="X9151" s="2">
        <v>545.96500000000003</v>
      </c>
    </row>
    <row r="9152" spans="1:24" x14ac:dyDescent="0.3">
      <c r="A9152">
        <v>6414</v>
      </c>
      <c r="B9152" t="s">
        <v>16303</v>
      </c>
      <c r="C9152" s="3">
        <v>41905</v>
      </c>
      <c r="D9152" t="s">
        <v>148</v>
      </c>
      <c r="E9152">
        <v>92</v>
      </c>
      <c r="F9152" s="3">
        <f ca="1">41907+(RANDBETWEEN(1,10))</f>
        <v>41916</v>
      </c>
      <c r="G9152" t="s">
        <v>26</v>
      </c>
      <c r="H9152" t="s">
        <v>281</v>
      </c>
      <c r="I9152" t="s">
        <v>52</v>
      </c>
      <c r="J9152">
        <v>5272.89</v>
      </c>
      <c r="K9152">
        <v>0.1</v>
      </c>
      <c r="L9152">
        <v>0.4</v>
      </c>
      <c r="M9152">
        <v>29.785</v>
      </c>
      <c r="N9152">
        <v>-128.77305000000001</v>
      </c>
      <c r="O9152" s="1" t="s">
        <v>87</v>
      </c>
      <c r="P9152" s="1" t="s">
        <v>16096</v>
      </c>
      <c r="Q9152" s="1" t="s">
        <v>16097</v>
      </c>
      <c r="R9152" s="1" t="s">
        <v>398</v>
      </c>
      <c r="S9152" s="1" t="s">
        <v>3179</v>
      </c>
      <c r="T9152" s="1" t="s">
        <v>16098</v>
      </c>
      <c r="U9152" s="2" t="s">
        <v>282</v>
      </c>
      <c r="V9152" s="2" t="s">
        <v>36</v>
      </c>
      <c r="W9152" s="2" t="s">
        <v>142</v>
      </c>
      <c r="X9152" s="2">
        <v>62.93</v>
      </c>
    </row>
    <row r="9153" spans="1:24" x14ac:dyDescent="0.3">
      <c r="A9153">
        <v>6416</v>
      </c>
      <c r="B9153" t="s">
        <v>16304</v>
      </c>
      <c r="C9153" s="3">
        <v>41741</v>
      </c>
      <c r="D9153" t="s">
        <v>62</v>
      </c>
      <c r="E9153">
        <v>46</v>
      </c>
      <c r="F9153" s="3">
        <f ca="1">41741+(RANDBETWEEN(1,10))</f>
        <v>41749</v>
      </c>
      <c r="G9153" t="s">
        <v>26</v>
      </c>
      <c r="H9153" t="s">
        <v>27</v>
      </c>
      <c r="I9153" t="s">
        <v>86</v>
      </c>
      <c r="J9153">
        <v>13472.094999999999</v>
      </c>
      <c r="K9153">
        <v>0.06</v>
      </c>
      <c r="L9153">
        <v>0.38</v>
      </c>
      <c r="M9153">
        <v>17.535</v>
      </c>
      <c r="N9153">
        <v>6939.73</v>
      </c>
      <c r="O9153" s="1" t="s">
        <v>64</v>
      </c>
      <c r="P9153" s="1" t="s">
        <v>173</v>
      </c>
      <c r="Q9153" s="1" t="s">
        <v>174</v>
      </c>
      <c r="R9153" s="1" t="s">
        <v>67</v>
      </c>
      <c r="S9153" s="1" t="s">
        <v>108</v>
      </c>
      <c r="T9153" s="1" t="s">
        <v>109</v>
      </c>
      <c r="U9153" s="2" t="s">
        <v>9050</v>
      </c>
      <c r="V9153" s="2" t="s">
        <v>47</v>
      </c>
      <c r="W9153" s="2" t="s">
        <v>48</v>
      </c>
      <c r="X9153" s="2">
        <v>293.93</v>
      </c>
    </row>
    <row r="9154" spans="1:24" x14ac:dyDescent="0.3">
      <c r="A9154">
        <v>6424</v>
      </c>
      <c r="B9154" t="s">
        <v>16305</v>
      </c>
      <c r="C9154" s="3">
        <v>41255</v>
      </c>
      <c r="D9154" t="s">
        <v>50</v>
      </c>
      <c r="E9154">
        <v>15</v>
      </c>
      <c r="F9154" s="3">
        <f ca="1">41256+(RANDBETWEEN(1,10))</f>
        <v>41258</v>
      </c>
      <c r="G9154" t="s">
        <v>76</v>
      </c>
      <c r="H9154" t="s">
        <v>258</v>
      </c>
      <c r="I9154" t="s">
        <v>28</v>
      </c>
      <c r="J9154">
        <v>4625.04</v>
      </c>
      <c r="K9154">
        <v>0.01</v>
      </c>
      <c r="L9154">
        <v>0.6</v>
      </c>
      <c r="M9154">
        <v>195.33500000000001</v>
      </c>
      <c r="N9154">
        <v>-1046.1500000000001</v>
      </c>
      <c r="O9154" s="1" t="s">
        <v>64</v>
      </c>
      <c r="P9154" s="1" t="s">
        <v>16006</v>
      </c>
      <c r="Q9154" s="1" t="s">
        <v>16007</v>
      </c>
      <c r="R9154" s="1" t="s">
        <v>128</v>
      </c>
      <c r="S9154" s="1" t="s">
        <v>129</v>
      </c>
      <c r="T9154" s="1" t="s">
        <v>16008</v>
      </c>
      <c r="U9154" s="2" t="s">
        <v>4019</v>
      </c>
      <c r="V9154" s="2" t="s">
        <v>83</v>
      </c>
      <c r="W9154" s="2" t="s">
        <v>298</v>
      </c>
      <c r="X9154" s="2">
        <v>286.79000000000002</v>
      </c>
    </row>
    <row r="9155" spans="1:24" x14ac:dyDescent="0.3">
      <c r="A9155">
        <v>6426</v>
      </c>
      <c r="B9155" t="s">
        <v>16306</v>
      </c>
      <c r="C9155" s="3">
        <v>41437</v>
      </c>
      <c r="D9155" t="s">
        <v>25</v>
      </c>
      <c r="E9155">
        <v>21</v>
      </c>
      <c r="F9155" s="3">
        <f ca="1">41444+(RANDBETWEEN(1,10))</f>
        <v>41446</v>
      </c>
      <c r="G9155" t="s">
        <v>26</v>
      </c>
      <c r="H9155" t="s">
        <v>281</v>
      </c>
      <c r="I9155" t="s">
        <v>52</v>
      </c>
      <c r="J9155">
        <v>716.24</v>
      </c>
      <c r="K9155">
        <v>0.05</v>
      </c>
      <c r="L9155">
        <v>0.48</v>
      </c>
      <c r="M9155">
        <v>21.07</v>
      </c>
      <c r="N9155">
        <v>24.5</v>
      </c>
      <c r="O9155" s="1" t="s">
        <v>53</v>
      </c>
      <c r="P9155" s="1" t="s">
        <v>114</v>
      </c>
      <c r="Q9155" s="1" t="s">
        <v>115</v>
      </c>
      <c r="R9155" s="1" t="s">
        <v>100</v>
      </c>
      <c r="S9155" s="1" t="s">
        <v>101</v>
      </c>
      <c r="T9155" s="1" t="s">
        <v>116</v>
      </c>
      <c r="U9155" s="2" t="s">
        <v>3578</v>
      </c>
      <c r="V9155" s="2" t="s">
        <v>83</v>
      </c>
      <c r="W9155" s="2" t="s">
        <v>178</v>
      </c>
      <c r="X9155" s="2">
        <v>34.195</v>
      </c>
    </row>
    <row r="9156" spans="1:24" x14ac:dyDescent="0.3">
      <c r="A9156">
        <v>6442</v>
      </c>
      <c r="B9156" t="s">
        <v>16307</v>
      </c>
      <c r="C9156" s="3">
        <v>41541</v>
      </c>
      <c r="D9156" t="s">
        <v>62</v>
      </c>
      <c r="E9156">
        <v>55</v>
      </c>
      <c r="F9156" s="3">
        <f ca="1">41543+(RANDBETWEEN(1,10))</f>
        <v>41550</v>
      </c>
      <c r="G9156" t="s">
        <v>26</v>
      </c>
      <c r="H9156" t="s">
        <v>27</v>
      </c>
      <c r="I9156" t="s">
        <v>52</v>
      </c>
      <c r="J9156">
        <v>8307.39</v>
      </c>
      <c r="K9156">
        <v>0</v>
      </c>
      <c r="L9156">
        <v>0.55000000000000004</v>
      </c>
      <c r="M9156">
        <v>35.875</v>
      </c>
      <c r="N9156">
        <v>509.39</v>
      </c>
      <c r="O9156" s="1" t="s">
        <v>87</v>
      </c>
      <c r="P9156" s="1" t="s">
        <v>16096</v>
      </c>
      <c r="Q9156" s="1" t="s">
        <v>16097</v>
      </c>
      <c r="R9156" s="1" t="s">
        <v>398</v>
      </c>
      <c r="S9156" s="1" t="s">
        <v>3179</v>
      </c>
      <c r="T9156" s="1" t="s">
        <v>16098</v>
      </c>
      <c r="U9156" s="2" t="s">
        <v>6152</v>
      </c>
      <c r="V9156" s="2" t="s">
        <v>36</v>
      </c>
      <c r="W9156" s="2" t="s">
        <v>60</v>
      </c>
      <c r="X9156" s="2">
        <v>139.965</v>
      </c>
    </row>
    <row r="9157" spans="1:24" x14ac:dyDescent="0.3">
      <c r="A9157">
        <v>6443</v>
      </c>
      <c r="B9157" t="s">
        <v>16308</v>
      </c>
      <c r="C9157" s="3">
        <v>40883</v>
      </c>
      <c r="D9157" t="s">
        <v>50</v>
      </c>
      <c r="E9157">
        <v>81</v>
      </c>
      <c r="F9157" s="3">
        <f ca="1">40885+(RANDBETWEEN(1,10))</f>
        <v>40890</v>
      </c>
      <c r="G9157" t="s">
        <v>26</v>
      </c>
      <c r="H9157" t="s">
        <v>63</v>
      </c>
      <c r="I9157" t="s">
        <v>52</v>
      </c>
      <c r="J9157">
        <v>39454.695</v>
      </c>
      <c r="K9157">
        <v>0.08</v>
      </c>
      <c r="L9157">
        <v>0.56999999999999995</v>
      </c>
      <c r="M9157">
        <v>85.715000000000003</v>
      </c>
      <c r="N9157">
        <v>4314.7650000000003</v>
      </c>
      <c r="O9157" s="1" t="s">
        <v>87</v>
      </c>
      <c r="P9157" s="1" t="s">
        <v>88</v>
      </c>
      <c r="Q9157" s="1" t="s">
        <v>89</v>
      </c>
      <c r="R9157" s="1" t="s">
        <v>90</v>
      </c>
      <c r="S9157" s="1" t="s">
        <v>91</v>
      </c>
      <c r="T9157" s="1" t="s">
        <v>92</v>
      </c>
      <c r="U9157" s="2" t="s">
        <v>4440</v>
      </c>
      <c r="V9157" s="2" t="s">
        <v>83</v>
      </c>
      <c r="W9157" s="2" t="s">
        <v>84</v>
      </c>
      <c r="X9157" s="2">
        <v>492.83499999999998</v>
      </c>
    </row>
    <row r="9158" spans="1:24" x14ac:dyDescent="0.3">
      <c r="A9158">
        <v>6449</v>
      </c>
      <c r="B9158" t="s">
        <v>16309</v>
      </c>
      <c r="C9158" s="3">
        <v>41264</v>
      </c>
      <c r="D9158" t="s">
        <v>25</v>
      </c>
      <c r="E9158">
        <v>2</v>
      </c>
      <c r="F9158" s="3">
        <f ca="1">41269+(RANDBETWEEN(1,10))</f>
        <v>41276</v>
      </c>
      <c r="G9158" t="s">
        <v>26</v>
      </c>
      <c r="H9158" t="s">
        <v>27</v>
      </c>
      <c r="I9158" t="s">
        <v>28</v>
      </c>
      <c r="J9158">
        <v>192.08</v>
      </c>
      <c r="K9158">
        <v>0.02</v>
      </c>
      <c r="L9158">
        <v>0.39</v>
      </c>
      <c r="M9158">
        <v>10.465</v>
      </c>
      <c r="N9158">
        <v>-41.175750000000001</v>
      </c>
      <c r="O9158" s="1" t="s">
        <v>225</v>
      </c>
      <c r="P9158" s="1" t="s">
        <v>427</v>
      </c>
      <c r="Q9158" s="1" t="s">
        <v>428</v>
      </c>
      <c r="R9158" s="1" t="s">
        <v>228</v>
      </c>
      <c r="S9158" s="1" t="s">
        <v>229</v>
      </c>
      <c r="T9158" s="1" t="s">
        <v>429</v>
      </c>
      <c r="U9158" s="2" t="s">
        <v>1757</v>
      </c>
      <c r="V9158" s="2" t="s">
        <v>47</v>
      </c>
      <c r="W9158" s="2" t="s">
        <v>111</v>
      </c>
      <c r="X9158" s="2">
        <v>87.325000000000003</v>
      </c>
    </row>
    <row r="9159" spans="1:24" x14ac:dyDescent="0.3">
      <c r="A9159">
        <v>6477</v>
      </c>
      <c r="B9159" t="s">
        <v>16310</v>
      </c>
      <c r="C9159" s="3">
        <v>41335</v>
      </c>
      <c r="D9159" t="s">
        <v>62</v>
      </c>
      <c r="E9159">
        <v>39</v>
      </c>
      <c r="F9159" s="3">
        <f ca="1">41337+(RANDBETWEEN(1,10))</f>
        <v>41340</v>
      </c>
      <c r="G9159" t="s">
        <v>26</v>
      </c>
      <c r="H9159" t="s">
        <v>27</v>
      </c>
      <c r="I9159" t="s">
        <v>86</v>
      </c>
      <c r="J9159">
        <v>2641.9749999999999</v>
      </c>
      <c r="K9159">
        <v>0.1</v>
      </c>
      <c r="L9159">
        <v>0.68</v>
      </c>
      <c r="M9159">
        <v>14</v>
      </c>
      <c r="N9159">
        <v>-132.965</v>
      </c>
      <c r="O9159" s="1" t="s">
        <v>40</v>
      </c>
      <c r="P9159" s="1" t="s">
        <v>15848</v>
      </c>
      <c r="Q9159" s="1" t="s">
        <v>15849</v>
      </c>
      <c r="R9159" s="1" t="s">
        <v>43</v>
      </c>
      <c r="S9159" s="1" t="s">
        <v>44</v>
      </c>
      <c r="T9159" s="1" t="s">
        <v>15850</v>
      </c>
      <c r="U9159" s="2" t="s">
        <v>2334</v>
      </c>
      <c r="V9159" s="2" t="s">
        <v>36</v>
      </c>
      <c r="W9159" s="2" t="s">
        <v>60</v>
      </c>
      <c r="X9159" s="2">
        <v>69.930000000000007</v>
      </c>
    </row>
    <row r="9160" spans="1:24" x14ac:dyDescent="0.3">
      <c r="A9160">
        <v>6478</v>
      </c>
      <c r="B9160" t="s">
        <v>16310</v>
      </c>
      <c r="C9160" s="3">
        <v>41335</v>
      </c>
      <c r="D9160" t="s">
        <v>62</v>
      </c>
      <c r="E9160">
        <v>43</v>
      </c>
      <c r="F9160" s="3">
        <f ca="1">41335+(RANDBETWEEN(1,10))</f>
        <v>41342</v>
      </c>
      <c r="G9160" t="s">
        <v>26</v>
      </c>
      <c r="H9160" t="s">
        <v>27</v>
      </c>
      <c r="I9160" t="s">
        <v>86</v>
      </c>
      <c r="J9160">
        <v>1947.7149999999999</v>
      </c>
      <c r="K9160">
        <v>0</v>
      </c>
      <c r="L9160">
        <v>0.38</v>
      </c>
      <c r="M9160">
        <v>22.645</v>
      </c>
      <c r="N9160">
        <v>154.13999999999999</v>
      </c>
      <c r="O9160" s="1" t="s">
        <v>40</v>
      </c>
      <c r="P9160" s="1" t="s">
        <v>15848</v>
      </c>
      <c r="Q9160" s="1" t="s">
        <v>15849</v>
      </c>
      <c r="R9160" s="1" t="s">
        <v>43</v>
      </c>
      <c r="S9160" s="1" t="s">
        <v>44</v>
      </c>
      <c r="T9160" s="1" t="s">
        <v>15850</v>
      </c>
      <c r="U9160" s="2" t="s">
        <v>2420</v>
      </c>
      <c r="V9160" s="2" t="s">
        <v>47</v>
      </c>
      <c r="W9160" s="2" t="s">
        <v>74</v>
      </c>
      <c r="X9160" s="2">
        <v>42.98</v>
      </c>
    </row>
    <row r="9161" spans="1:24" x14ac:dyDescent="0.3">
      <c r="A9161">
        <v>6517</v>
      </c>
      <c r="B9161" t="s">
        <v>16311</v>
      </c>
      <c r="C9161" s="3">
        <v>41147</v>
      </c>
      <c r="D9161" t="s">
        <v>148</v>
      </c>
      <c r="E9161">
        <v>43</v>
      </c>
      <c r="F9161" s="3">
        <f ca="1">41149+(RANDBETWEEN(1,10))</f>
        <v>41157</v>
      </c>
      <c r="G9161" t="s">
        <v>26</v>
      </c>
      <c r="H9161" t="s">
        <v>27</v>
      </c>
      <c r="I9161" t="s">
        <v>97</v>
      </c>
      <c r="J9161">
        <v>5677.1049999999996</v>
      </c>
      <c r="K9161">
        <v>0.02</v>
      </c>
      <c r="L9161">
        <v>0.38</v>
      </c>
      <c r="M9161">
        <v>17.815000000000001</v>
      </c>
      <c r="N9161">
        <v>1361.7449999999999</v>
      </c>
      <c r="O9161" s="1" t="s">
        <v>53</v>
      </c>
      <c r="P9161" s="1" t="s">
        <v>16059</v>
      </c>
      <c r="Q9161" s="1" t="s">
        <v>16060</v>
      </c>
      <c r="R9161" s="1" t="s">
        <v>100</v>
      </c>
      <c r="S9161" s="1" t="s">
        <v>101</v>
      </c>
      <c r="T9161" s="1" t="s">
        <v>16061</v>
      </c>
      <c r="U9161" s="2" t="s">
        <v>4048</v>
      </c>
      <c r="V9161" s="2" t="s">
        <v>47</v>
      </c>
      <c r="W9161" s="2" t="s">
        <v>74</v>
      </c>
      <c r="X9161" s="2">
        <v>124.04</v>
      </c>
    </row>
    <row r="9162" spans="1:24" x14ac:dyDescent="0.3">
      <c r="A9162">
        <v>6518</v>
      </c>
      <c r="B9162" t="s">
        <v>16311</v>
      </c>
      <c r="C9162" s="3">
        <v>41147</v>
      </c>
      <c r="D9162" t="s">
        <v>148</v>
      </c>
      <c r="E9162">
        <v>29</v>
      </c>
      <c r="F9162" s="3">
        <f ca="1">41148+(RANDBETWEEN(1,10))</f>
        <v>41157</v>
      </c>
      <c r="G9162" t="s">
        <v>26</v>
      </c>
      <c r="H9162" t="s">
        <v>27</v>
      </c>
      <c r="I9162" t="s">
        <v>97</v>
      </c>
      <c r="J9162">
        <v>10800.23</v>
      </c>
      <c r="K9162">
        <v>0.08</v>
      </c>
      <c r="L9162">
        <v>0.55000000000000004</v>
      </c>
      <c r="M9162">
        <v>18.41</v>
      </c>
      <c r="N9162">
        <v>567.37800000000004</v>
      </c>
      <c r="O9162" s="1" t="s">
        <v>53</v>
      </c>
      <c r="P9162" s="1" t="s">
        <v>16059</v>
      </c>
      <c r="Q9162" s="1" t="s">
        <v>16060</v>
      </c>
      <c r="R9162" s="1" t="s">
        <v>100</v>
      </c>
      <c r="S9162" s="1" t="s">
        <v>101</v>
      </c>
      <c r="T9162" s="1" t="s">
        <v>16061</v>
      </c>
      <c r="U9162" s="2">
        <v>232</v>
      </c>
      <c r="V9162" s="2" t="s">
        <v>36</v>
      </c>
      <c r="W9162" s="2" t="s">
        <v>37</v>
      </c>
      <c r="X9162" s="2">
        <v>440.96499999999997</v>
      </c>
    </row>
    <row r="9163" spans="1:24" x14ac:dyDescent="0.3">
      <c r="A9163">
        <v>6519</v>
      </c>
      <c r="B9163" t="s">
        <v>16312</v>
      </c>
      <c r="C9163" s="3">
        <v>41282</v>
      </c>
      <c r="D9163" t="s">
        <v>148</v>
      </c>
      <c r="E9163">
        <v>30</v>
      </c>
      <c r="F9163" s="3">
        <f ca="1">41284+(RANDBETWEEN(1,10))</f>
        <v>41294</v>
      </c>
      <c r="G9163" t="s">
        <v>26</v>
      </c>
      <c r="H9163" t="s">
        <v>27</v>
      </c>
      <c r="I9163" t="s">
        <v>52</v>
      </c>
      <c r="J9163">
        <v>3213.28</v>
      </c>
      <c r="K9163">
        <v>0.03</v>
      </c>
      <c r="L9163">
        <v>0.42</v>
      </c>
      <c r="M9163">
        <v>29.925000000000001</v>
      </c>
      <c r="N9163">
        <v>452.03199999999998</v>
      </c>
      <c r="O9163" s="1" t="s">
        <v>53</v>
      </c>
      <c r="P9163" s="1" t="s">
        <v>16091</v>
      </c>
      <c r="Q9163" s="1" t="s">
        <v>16092</v>
      </c>
      <c r="R9163" s="1" t="s">
        <v>100</v>
      </c>
      <c r="S9163" s="1" t="s">
        <v>101</v>
      </c>
      <c r="T9163" s="1" t="s">
        <v>16093</v>
      </c>
      <c r="U9163" s="2" t="s">
        <v>2535</v>
      </c>
      <c r="V9163" s="2" t="s">
        <v>83</v>
      </c>
      <c r="W9163" s="2" t="s">
        <v>178</v>
      </c>
      <c r="X9163" s="2">
        <v>102.13</v>
      </c>
    </row>
    <row r="9164" spans="1:24" x14ac:dyDescent="0.3">
      <c r="A9164">
        <v>6520</v>
      </c>
      <c r="B9164" t="s">
        <v>16312</v>
      </c>
      <c r="C9164" s="3">
        <v>41282</v>
      </c>
      <c r="D9164" t="s">
        <v>148</v>
      </c>
      <c r="E9164">
        <v>32</v>
      </c>
      <c r="F9164" s="3">
        <f ca="1">41283+(RANDBETWEEN(1,10))</f>
        <v>41291</v>
      </c>
      <c r="G9164" t="s">
        <v>26</v>
      </c>
      <c r="H9164" t="s">
        <v>281</v>
      </c>
      <c r="I9164" t="s">
        <v>52</v>
      </c>
      <c r="J9164">
        <v>6864.7250000000004</v>
      </c>
      <c r="K9164">
        <v>0.01</v>
      </c>
      <c r="L9164">
        <v>0.6</v>
      </c>
      <c r="M9164">
        <v>48.965000000000003</v>
      </c>
      <c r="N9164">
        <v>232.911</v>
      </c>
      <c r="O9164" s="1" t="s">
        <v>53</v>
      </c>
      <c r="P9164" s="1" t="s">
        <v>16091</v>
      </c>
      <c r="Q9164" s="1" t="s">
        <v>16092</v>
      </c>
      <c r="R9164" s="1" t="s">
        <v>100</v>
      </c>
      <c r="S9164" s="1" t="s">
        <v>101</v>
      </c>
      <c r="T9164" s="1" t="s">
        <v>16093</v>
      </c>
      <c r="U9164" s="2" t="s">
        <v>5387</v>
      </c>
      <c r="V9164" s="2" t="s">
        <v>36</v>
      </c>
      <c r="W9164" s="2" t="s">
        <v>37</v>
      </c>
      <c r="X9164" s="2">
        <v>234.465</v>
      </c>
    </row>
    <row r="9165" spans="1:24" x14ac:dyDescent="0.3">
      <c r="A9165">
        <v>6521</v>
      </c>
      <c r="B9165" t="s">
        <v>16312</v>
      </c>
      <c r="C9165" s="3">
        <v>41282</v>
      </c>
      <c r="D9165" t="s">
        <v>148</v>
      </c>
      <c r="E9165">
        <v>13</v>
      </c>
      <c r="F9165" s="3">
        <f ca="1">41283+(RANDBETWEEN(1,10))</f>
        <v>41289</v>
      </c>
      <c r="G9165" t="s">
        <v>156</v>
      </c>
      <c r="H9165" t="s">
        <v>27</v>
      </c>
      <c r="I9165" t="s">
        <v>52</v>
      </c>
      <c r="J9165">
        <v>4622.59</v>
      </c>
      <c r="K9165">
        <v>0.01</v>
      </c>
      <c r="L9165">
        <v>0.55000000000000004</v>
      </c>
      <c r="M9165">
        <v>8.75</v>
      </c>
      <c r="N9165">
        <v>74.1006</v>
      </c>
      <c r="O9165" s="1" t="s">
        <v>53</v>
      </c>
      <c r="P9165" s="1" t="s">
        <v>16091</v>
      </c>
      <c r="Q9165" s="1" t="s">
        <v>16092</v>
      </c>
      <c r="R9165" s="1" t="s">
        <v>100</v>
      </c>
      <c r="S9165" s="1" t="s">
        <v>101</v>
      </c>
      <c r="T9165" s="1" t="s">
        <v>16093</v>
      </c>
      <c r="U9165" s="2" t="s">
        <v>2369</v>
      </c>
      <c r="V9165" s="2" t="s">
        <v>36</v>
      </c>
      <c r="W9165" s="2" t="s">
        <v>37</v>
      </c>
      <c r="X9165" s="2">
        <v>405.96499999999997</v>
      </c>
    </row>
    <row r="9166" spans="1:24" x14ac:dyDescent="0.3">
      <c r="A9166">
        <v>6524</v>
      </c>
      <c r="B9166" t="s">
        <v>16313</v>
      </c>
      <c r="C9166" s="3">
        <v>41000</v>
      </c>
      <c r="D9166" t="s">
        <v>62</v>
      </c>
      <c r="E9166">
        <v>34</v>
      </c>
      <c r="F9166" s="3">
        <f ca="1">41001+(RANDBETWEEN(1,10))</f>
        <v>41011</v>
      </c>
      <c r="G9166" t="s">
        <v>26</v>
      </c>
      <c r="H9166" t="s">
        <v>27</v>
      </c>
      <c r="I9166" t="s">
        <v>52</v>
      </c>
      <c r="J9166">
        <v>2801.3649999999998</v>
      </c>
      <c r="K9166">
        <v>0.06</v>
      </c>
      <c r="L9166">
        <v>0.39</v>
      </c>
      <c r="M9166">
        <v>10.465</v>
      </c>
      <c r="N9166">
        <v>946.02025000000003</v>
      </c>
      <c r="O9166" s="1" t="s">
        <v>64</v>
      </c>
      <c r="P9166" s="1" t="s">
        <v>138</v>
      </c>
      <c r="Q9166" s="1" t="s">
        <v>139</v>
      </c>
      <c r="R9166" s="1" t="s">
        <v>128</v>
      </c>
      <c r="S9166" s="1" t="s">
        <v>129</v>
      </c>
      <c r="T9166" s="1" t="s">
        <v>140</v>
      </c>
      <c r="U9166" s="2" t="s">
        <v>1757</v>
      </c>
      <c r="V9166" s="2" t="s">
        <v>47</v>
      </c>
      <c r="W9166" s="2" t="s">
        <v>111</v>
      </c>
      <c r="X9166" s="2">
        <v>87.325000000000003</v>
      </c>
    </row>
    <row r="9167" spans="1:24" x14ac:dyDescent="0.3">
      <c r="A9167">
        <v>6525</v>
      </c>
      <c r="B9167" t="s">
        <v>16314</v>
      </c>
      <c r="C9167" s="3">
        <v>40637</v>
      </c>
      <c r="D9167" t="s">
        <v>25</v>
      </c>
      <c r="E9167">
        <v>46</v>
      </c>
      <c r="F9167" s="3">
        <f ca="1">40644+(RANDBETWEEN(1,10))</f>
        <v>40647</v>
      </c>
      <c r="G9167" t="s">
        <v>26</v>
      </c>
      <c r="H9167" t="s">
        <v>51</v>
      </c>
      <c r="I9167" t="s">
        <v>86</v>
      </c>
      <c r="J9167">
        <v>5171.4949999999999</v>
      </c>
      <c r="K9167">
        <v>0</v>
      </c>
      <c r="L9167">
        <v>0.35</v>
      </c>
      <c r="M9167">
        <v>3.4649999999999999</v>
      </c>
      <c r="N9167">
        <v>2940.1785</v>
      </c>
      <c r="O9167" s="1" t="s">
        <v>64</v>
      </c>
      <c r="P9167" s="1" t="s">
        <v>15852</v>
      </c>
      <c r="Q9167" s="1" t="s">
        <v>15853</v>
      </c>
      <c r="R9167" s="1" t="s">
        <v>128</v>
      </c>
      <c r="S9167" s="1" t="s">
        <v>129</v>
      </c>
      <c r="T9167" s="1" t="s">
        <v>15854</v>
      </c>
      <c r="U9167" s="2" t="s">
        <v>1868</v>
      </c>
      <c r="V9167" s="2" t="s">
        <v>36</v>
      </c>
      <c r="W9167" s="2" t="s">
        <v>37</v>
      </c>
      <c r="X9167" s="2">
        <v>125.965</v>
      </c>
    </row>
    <row r="9168" spans="1:24" x14ac:dyDescent="0.3">
      <c r="A9168">
        <v>653</v>
      </c>
      <c r="B9168" t="s">
        <v>16315</v>
      </c>
      <c r="C9168" s="3">
        <v>41077</v>
      </c>
      <c r="D9168" t="s">
        <v>25</v>
      </c>
      <c r="E9168">
        <v>12</v>
      </c>
      <c r="F9168" s="3">
        <f ca="1">41079+(RANDBETWEEN(1,10))</f>
        <v>41086</v>
      </c>
      <c r="G9168" t="s">
        <v>26</v>
      </c>
      <c r="H9168" t="s">
        <v>51</v>
      </c>
      <c r="I9168" t="s">
        <v>86</v>
      </c>
      <c r="J9168">
        <v>351.12</v>
      </c>
      <c r="K9168">
        <v>0.09</v>
      </c>
      <c r="L9168">
        <v>0.52</v>
      </c>
      <c r="M9168">
        <v>6.9649999999999999</v>
      </c>
      <c r="N9168">
        <v>-59.534999999999997</v>
      </c>
      <c r="O9168" s="1" t="s">
        <v>64</v>
      </c>
      <c r="P9168" s="1" t="s">
        <v>15852</v>
      </c>
      <c r="Q9168" s="1" t="s">
        <v>15853</v>
      </c>
      <c r="R9168" s="1" t="s">
        <v>128</v>
      </c>
      <c r="S9168" s="1" t="s">
        <v>129</v>
      </c>
      <c r="T9168" s="1" t="s">
        <v>15854</v>
      </c>
      <c r="U9168" s="2" t="s">
        <v>2853</v>
      </c>
      <c r="V9168" s="2" t="s">
        <v>36</v>
      </c>
      <c r="W9168" s="2" t="s">
        <v>60</v>
      </c>
      <c r="X9168" s="2">
        <v>29.155000000000001</v>
      </c>
    </row>
    <row r="9169" spans="1:24" x14ac:dyDescent="0.3">
      <c r="A9169">
        <v>654</v>
      </c>
      <c r="B9169" t="s">
        <v>16315</v>
      </c>
      <c r="C9169" s="3">
        <v>41077</v>
      </c>
      <c r="D9169" t="s">
        <v>25</v>
      </c>
      <c r="E9169">
        <v>44</v>
      </c>
      <c r="F9169" s="3">
        <f ca="1">41081+(RANDBETWEEN(1,10))</f>
        <v>41087</v>
      </c>
      <c r="G9169" t="s">
        <v>26</v>
      </c>
      <c r="H9169" t="s">
        <v>27</v>
      </c>
      <c r="I9169" t="s">
        <v>86</v>
      </c>
      <c r="J9169">
        <v>2375.52</v>
      </c>
      <c r="K9169">
        <v>0.08</v>
      </c>
      <c r="L9169">
        <v>0.38</v>
      </c>
      <c r="M9169">
        <v>4.8650000000000002</v>
      </c>
      <c r="N9169">
        <v>710.53499999999997</v>
      </c>
      <c r="O9169" s="1" t="s">
        <v>64</v>
      </c>
      <c r="P9169" s="1" t="s">
        <v>15852</v>
      </c>
      <c r="Q9169" s="1" t="s">
        <v>15853</v>
      </c>
      <c r="R9169" s="1" t="s">
        <v>128</v>
      </c>
      <c r="S9169" s="1" t="s">
        <v>129</v>
      </c>
      <c r="T9169" s="1" t="s">
        <v>15854</v>
      </c>
      <c r="U9169" s="2" t="s">
        <v>2854</v>
      </c>
      <c r="V9169" s="2" t="s">
        <v>47</v>
      </c>
      <c r="W9169" s="2" t="s">
        <v>48</v>
      </c>
      <c r="X9169" s="2">
        <v>54.844999999999999</v>
      </c>
    </row>
    <row r="9170" spans="1:24" x14ac:dyDescent="0.3">
      <c r="A9170">
        <v>6548</v>
      </c>
      <c r="B9170" t="s">
        <v>16316</v>
      </c>
      <c r="C9170" s="3">
        <v>41447</v>
      </c>
      <c r="D9170" t="s">
        <v>50</v>
      </c>
      <c r="E9170">
        <v>26</v>
      </c>
      <c r="F9170" s="3">
        <f ca="1">41447+(RANDBETWEEN(1,10))</f>
        <v>41449</v>
      </c>
      <c r="G9170" t="s">
        <v>156</v>
      </c>
      <c r="H9170" t="s">
        <v>63</v>
      </c>
      <c r="I9170" t="s">
        <v>97</v>
      </c>
      <c r="J9170">
        <v>26681.584999999999</v>
      </c>
      <c r="K9170">
        <v>0.05</v>
      </c>
      <c r="L9170">
        <v>0.52</v>
      </c>
      <c r="M9170">
        <v>85.715000000000003</v>
      </c>
      <c r="N9170">
        <v>4188.5200000000004</v>
      </c>
      <c r="O9170" s="1" t="s">
        <v>225</v>
      </c>
      <c r="P9170" s="1" t="s">
        <v>427</v>
      </c>
      <c r="Q9170" s="1" t="s">
        <v>428</v>
      </c>
      <c r="R9170" s="1" t="s">
        <v>228</v>
      </c>
      <c r="S9170" s="1" t="s">
        <v>229</v>
      </c>
      <c r="T9170" s="1" t="s">
        <v>429</v>
      </c>
      <c r="U9170" s="2" t="s">
        <v>70</v>
      </c>
      <c r="V9170" s="2" t="s">
        <v>47</v>
      </c>
      <c r="W9170" s="2" t="s">
        <v>71</v>
      </c>
      <c r="X9170" s="2">
        <v>1052.2750000000001</v>
      </c>
    </row>
    <row r="9171" spans="1:24" x14ac:dyDescent="0.3">
      <c r="A9171">
        <v>6549</v>
      </c>
      <c r="B9171" t="s">
        <v>16316</v>
      </c>
      <c r="C9171" s="3">
        <v>41447</v>
      </c>
      <c r="D9171" t="s">
        <v>50</v>
      </c>
      <c r="E9171">
        <v>83</v>
      </c>
      <c r="F9171" s="3">
        <f ca="1">41448+(RANDBETWEEN(1,10))</f>
        <v>41453</v>
      </c>
      <c r="G9171" t="s">
        <v>26</v>
      </c>
      <c r="H9171" t="s">
        <v>51</v>
      </c>
      <c r="I9171" t="s">
        <v>97</v>
      </c>
      <c r="J9171">
        <v>4672.0450000000001</v>
      </c>
      <c r="K9171">
        <v>0.1</v>
      </c>
      <c r="L9171">
        <v>0.47</v>
      </c>
      <c r="M9171">
        <v>31.465</v>
      </c>
      <c r="N9171">
        <v>-88.444999999999993</v>
      </c>
      <c r="O9171" s="1" t="s">
        <v>225</v>
      </c>
      <c r="P9171" s="1" t="s">
        <v>427</v>
      </c>
      <c r="Q9171" s="1" t="s">
        <v>428</v>
      </c>
      <c r="R9171" s="1" t="s">
        <v>228</v>
      </c>
      <c r="S9171" s="1" t="s">
        <v>229</v>
      </c>
      <c r="T9171" s="1" t="s">
        <v>429</v>
      </c>
      <c r="U9171" s="2" t="s">
        <v>1320</v>
      </c>
      <c r="V9171" s="2" t="s">
        <v>83</v>
      </c>
      <c r="W9171" s="2" t="s">
        <v>178</v>
      </c>
      <c r="X9171" s="2">
        <v>61.844999999999999</v>
      </c>
    </row>
    <row r="9172" spans="1:24" x14ac:dyDescent="0.3">
      <c r="A9172">
        <v>6550</v>
      </c>
      <c r="B9172" t="s">
        <v>16316</v>
      </c>
      <c r="C9172" s="3">
        <v>41447</v>
      </c>
      <c r="D9172" t="s">
        <v>50</v>
      </c>
      <c r="E9172">
        <v>13</v>
      </c>
      <c r="F9172" s="3">
        <f ca="1">41449+(RANDBETWEEN(1,10))</f>
        <v>41452</v>
      </c>
      <c r="G9172" t="s">
        <v>26</v>
      </c>
      <c r="H9172" t="s">
        <v>63</v>
      </c>
      <c r="I9172" t="s">
        <v>97</v>
      </c>
      <c r="J9172">
        <v>3227.7</v>
      </c>
      <c r="K9172">
        <v>0.01</v>
      </c>
      <c r="L9172">
        <v>0.8</v>
      </c>
      <c r="M9172">
        <v>122.5</v>
      </c>
      <c r="N9172">
        <v>-894.42499999999995</v>
      </c>
      <c r="O9172" s="1" t="s">
        <v>225</v>
      </c>
      <c r="P9172" s="1" t="s">
        <v>427</v>
      </c>
      <c r="Q9172" s="1" t="s">
        <v>428</v>
      </c>
      <c r="R9172" s="1" t="s">
        <v>228</v>
      </c>
      <c r="S9172" s="1" t="s">
        <v>229</v>
      </c>
      <c r="T9172" s="1" t="s">
        <v>429</v>
      </c>
      <c r="U9172" s="2" t="s">
        <v>3893</v>
      </c>
      <c r="V9172" s="2" t="s">
        <v>47</v>
      </c>
      <c r="W9172" s="2" t="s">
        <v>119</v>
      </c>
      <c r="X9172" s="2">
        <v>226.27500000000001</v>
      </c>
    </row>
    <row r="9173" spans="1:24" x14ac:dyDescent="0.3">
      <c r="A9173">
        <v>6575</v>
      </c>
      <c r="B9173" t="s">
        <v>16317</v>
      </c>
      <c r="C9173" s="3">
        <v>41727</v>
      </c>
      <c r="D9173" t="s">
        <v>148</v>
      </c>
      <c r="E9173">
        <v>28</v>
      </c>
      <c r="F9173" s="3">
        <f ca="1">41729+(RANDBETWEEN(1,10))</f>
        <v>41731</v>
      </c>
      <c r="G9173" t="s">
        <v>26</v>
      </c>
      <c r="H9173" t="s">
        <v>27</v>
      </c>
      <c r="I9173" t="s">
        <v>28</v>
      </c>
      <c r="J9173">
        <v>609.35</v>
      </c>
      <c r="K9173">
        <v>0.1</v>
      </c>
      <c r="L9173">
        <v>0.37</v>
      </c>
      <c r="M9173">
        <v>32.094999999999999</v>
      </c>
      <c r="N9173">
        <v>-569.625</v>
      </c>
      <c r="O9173" s="1" t="s">
        <v>40</v>
      </c>
      <c r="P9173" s="1" t="s">
        <v>133</v>
      </c>
      <c r="Q9173" s="1" t="s">
        <v>134</v>
      </c>
      <c r="R9173" s="1" t="s">
        <v>43</v>
      </c>
      <c r="S9173" s="1" t="s">
        <v>44</v>
      </c>
      <c r="T9173" s="1" t="s">
        <v>135</v>
      </c>
      <c r="U9173" s="2" t="s">
        <v>4991</v>
      </c>
      <c r="V9173" s="2" t="s">
        <v>47</v>
      </c>
      <c r="W9173" s="2" t="s">
        <v>74</v>
      </c>
      <c r="X9173" s="2">
        <v>22.68</v>
      </c>
    </row>
    <row r="9174" spans="1:24" x14ac:dyDescent="0.3">
      <c r="A9174">
        <v>6576</v>
      </c>
      <c r="B9174" t="s">
        <v>16317</v>
      </c>
      <c r="C9174" s="3">
        <v>41727</v>
      </c>
      <c r="D9174" t="s">
        <v>148</v>
      </c>
      <c r="E9174">
        <v>32</v>
      </c>
      <c r="F9174" s="3">
        <f ca="1">41729+(RANDBETWEEN(1,10))</f>
        <v>41734</v>
      </c>
      <c r="G9174" t="s">
        <v>26</v>
      </c>
      <c r="H9174" t="s">
        <v>51</v>
      </c>
      <c r="I9174" t="s">
        <v>28</v>
      </c>
      <c r="J9174">
        <v>2426.0949999999998</v>
      </c>
      <c r="K9174">
        <v>7.0000000000000007E-2</v>
      </c>
      <c r="L9174">
        <v>0.56999999999999995</v>
      </c>
      <c r="M9174">
        <v>31.465</v>
      </c>
      <c r="N9174">
        <v>-209.405</v>
      </c>
      <c r="O9174" s="1" t="s">
        <v>40</v>
      </c>
      <c r="P9174" s="1" t="s">
        <v>133</v>
      </c>
      <c r="Q9174" s="1" t="s">
        <v>134</v>
      </c>
      <c r="R9174" s="1" t="s">
        <v>43</v>
      </c>
      <c r="S9174" s="1" t="s">
        <v>44</v>
      </c>
      <c r="T9174" s="1" t="s">
        <v>135</v>
      </c>
      <c r="U9174" s="2" t="s">
        <v>246</v>
      </c>
      <c r="V9174" s="2" t="s">
        <v>47</v>
      </c>
      <c r="W9174" s="2" t="s">
        <v>104</v>
      </c>
      <c r="X9174" s="2">
        <v>80.465000000000003</v>
      </c>
    </row>
    <row r="9175" spans="1:24" x14ac:dyDescent="0.3">
      <c r="A9175">
        <v>6581</v>
      </c>
      <c r="B9175" t="s">
        <v>16318</v>
      </c>
      <c r="C9175" s="3">
        <v>40685</v>
      </c>
      <c r="D9175" t="s">
        <v>25</v>
      </c>
      <c r="E9175">
        <v>32</v>
      </c>
      <c r="F9175" s="3">
        <f ca="1">40685+(RANDBETWEEN(1,10))</f>
        <v>40692</v>
      </c>
      <c r="G9175" t="s">
        <v>26</v>
      </c>
      <c r="H9175" t="s">
        <v>27</v>
      </c>
      <c r="I9175" t="s">
        <v>97</v>
      </c>
      <c r="J9175">
        <v>28756.98</v>
      </c>
      <c r="K9175">
        <v>0.03</v>
      </c>
      <c r="L9175">
        <v>0.51</v>
      </c>
      <c r="M9175">
        <v>39.375</v>
      </c>
      <c r="N9175">
        <v>5214.3</v>
      </c>
      <c r="O9175" s="1" t="s">
        <v>40</v>
      </c>
      <c r="P9175" s="1" t="s">
        <v>16158</v>
      </c>
      <c r="Q9175" s="1" t="s">
        <v>16159</v>
      </c>
      <c r="R9175" s="1" t="s">
        <v>43</v>
      </c>
      <c r="S9175" s="1" t="s">
        <v>44</v>
      </c>
      <c r="T9175" s="1" t="s">
        <v>16160</v>
      </c>
      <c r="U9175" s="2" t="s">
        <v>8299</v>
      </c>
      <c r="V9175" s="2" t="s">
        <v>36</v>
      </c>
      <c r="W9175" s="2" t="s">
        <v>60</v>
      </c>
      <c r="X9175" s="2">
        <v>899.46500000000003</v>
      </c>
    </row>
    <row r="9176" spans="1:24" x14ac:dyDescent="0.3">
      <c r="A9176">
        <v>6585</v>
      </c>
      <c r="B9176" t="s">
        <v>16319</v>
      </c>
      <c r="C9176" s="3">
        <v>40560</v>
      </c>
      <c r="D9176" t="s">
        <v>148</v>
      </c>
      <c r="E9176">
        <v>18</v>
      </c>
      <c r="F9176" s="3">
        <f ca="1">40562+(RANDBETWEEN(1,10))</f>
        <v>40569</v>
      </c>
      <c r="G9176" t="s">
        <v>26</v>
      </c>
      <c r="H9176" t="s">
        <v>27</v>
      </c>
      <c r="I9176" t="s">
        <v>28</v>
      </c>
      <c r="J9176">
        <v>455.38499999999999</v>
      </c>
      <c r="K9176">
        <v>0.1</v>
      </c>
      <c r="L9176">
        <v>0.36</v>
      </c>
      <c r="M9176">
        <v>4.8650000000000002</v>
      </c>
      <c r="N9176">
        <v>56.42</v>
      </c>
      <c r="O9176" s="1" t="s">
        <v>40</v>
      </c>
      <c r="P9176" s="1" t="s">
        <v>15950</v>
      </c>
      <c r="Q9176" s="1" t="s">
        <v>15951</v>
      </c>
      <c r="R9176" s="1" t="s">
        <v>43</v>
      </c>
      <c r="S9176" s="1" t="s">
        <v>44</v>
      </c>
      <c r="T9176" s="1" t="s">
        <v>15952</v>
      </c>
      <c r="U9176" s="2" t="s">
        <v>5969</v>
      </c>
      <c r="V9176" s="2" t="s">
        <v>47</v>
      </c>
      <c r="W9176" s="2" t="s">
        <v>48</v>
      </c>
      <c r="X9176" s="2">
        <v>26.74</v>
      </c>
    </row>
    <row r="9177" spans="1:24" x14ac:dyDescent="0.3">
      <c r="A9177">
        <v>6586</v>
      </c>
      <c r="B9177" t="s">
        <v>16319</v>
      </c>
      <c r="C9177" s="3">
        <v>40560</v>
      </c>
      <c r="D9177" t="s">
        <v>148</v>
      </c>
      <c r="E9177">
        <v>3</v>
      </c>
      <c r="F9177" s="3">
        <f ca="1">40562+(RANDBETWEEN(1,10))</f>
        <v>40567</v>
      </c>
      <c r="G9177" t="s">
        <v>26</v>
      </c>
      <c r="H9177" t="s">
        <v>27</v>
      </c>
      <c r="I9177" t="s">
        <v>28</v>
      </c>
      <c r="J9177">
        <v>1180.69</v>
      </c>
      <c r="K9177">
        <v>0</v>
      </c>
      <c r="L9177">
        <v>0.59</v>
      </c>
      <c r="M9177">
        <v>8.75</v>
      </c>
      <c r="N9177">
        <v>-2855.6527999999998</v>
      </c>
      <c r="O9177" s="1" t="s">
        <v>40</v>
      </c>
      <c r="P9177" s="1" t="s">
        <v>15950</v>
      </c>
      <c r="Q9177" s="1" t="s">
        <v>15951</v>
      </c>
      <c r="R9177" s="1" t="s">
        <v>43</v>
      </c>
      <c r="S9177" s="1" t="s">
        <v>44</v>
      </c>
      <c r="T9177" s="1" t="s">
        <v>15952</v>
      </c>
      <c r="U9177" s="2">
        <v>6162</v>
      </c>
      <c r="V9177" s="2" t="s">
        <v>36</v>
      </c>
      <c r="W9177" s="2" t="s">
        <v>37</v>
      </c>
      <c r="X9177" s="2">
        <v>440.96499999999997</v>
      </c>
    </row>
    <row r="9178" spans="1:24" x14ac:dyDescent="0.3">
      <c r="A9178">
        <v>6587</v>
      </c>
      <c r="B9178" t="s">
        <v>16319</v>
      </c>
      <c r="C9178" s="3">
        <v>40560</v>
      </c>
      <c r="D9178" t="s">
        <v>148</v>
      </c>
      <c r="E9178">
        <v>25</v>
      </c>
      <c r="F9178" s="3">
        <f ca="1">40561+(RANDBETWEEN(1,10))</f>
        <v>40563</v>
      </c>
      <c r="G9178" t="s">
        <v>26</v>
      </c>
      <c r="H9178" t="s">
        <v>96</v>
      </c>
      <c r="I9178" t="s">
        <v>28</v>
      </c>
      <c r="J9178">
        <v>981.505</v>
      </c>
      <c r="K9178">
        <v>0.1</v>
      </c>
      <c r="L9178">
        <v>0.55000000000000004</v>
      </c>
      <c r="M9178">
        <v>8.26</v>
      </c>
      <c r="N9178">
        <v>55.328000000000003</v>
      </c>
      <c r="O9178" s="1" t="s">
        <v>40</v>
      </c>
      <c r="P9178" s="1" t="s">
        <v>15950</v>
      </c>
      <c r="Q9178" s="1" t="s">
        <v>15951</v>
      </c>
      <c r="R9178" s="1" t="s">
        <v>43</v>
      </c>
      <c r="S9178" s="1" t="s">
        <v>44</v>
      </c>
      <c r="T9178" s="1" t="s">
        <v>15952</v>
      </c>
      <c r="U9178" s="2" t="s">
        <v>2967</v>
      </c>
      <c r="V9178" s="2" t="s">
        <v>47</v>
      </c>
      <c r="W9178" s="2" t="s">
        <v>104</v>
      </c>
      <c r="X9178" s="2">
        <v>40.424999999999997</v>
      </c>
    </row>
    <row r="9179" spans="1:24" x14ac:dyDescent="0.3">
      <c r="A9179">
        <v>66</v>
      </c>
      <c r="B9179" t="s">
        <v>16320</v>
      </c>
      <c r="C9179" s="3">
        <v>41298</v>
      </c>
      <c r="D9179" t="s">
        <v>39</v>
      </c>
      <c r="E9179">
        <v>4</v>
      </c>
      <c r="F9179" s="3">
        <f ca="1">41300+(RANDBETWEEN(1,10))</f>
        <v>41301</v>
      </c>
      <c r="G9179" t="s">
        <v>26</v>
      </c>
      <c r="H9179" t="s">
        <v>27</v>
      </c>
      <c r="I9179" t="s">
        <v>28</v>
      </c>
      <c r="J9179">
        <v>52.36</v>
      </c>
      <c r="K9179">
        <v>0.02</v>
      </c>
      <c r="L9179">
        <v>0.38</v>
      </c>
      <c r="M9179">
        <v>1.75</v>
      </c>
      <c r="N9179">
        <v>-0.16800000000000001</v>
      </c>
      <c r="O9179" s="1" t="s">
        <v>64</v>
      </c>
      <c r="P9179" s="1" t="s">
        <v>339</v>
      </c>
      <c r="Q9179" s="1" t="s">
        <v>340</v>
      </c>
      <c r="R9179" s="1" t="s">
        <v>128</v>
      </c>
      <c r="S9179" s="1" t="s">
        <v>129</v>
      </c>
      <c r="T9179" s="1" t="s">
        <v>341</v>
      </c>
      <c r="U9179" s="2" t="s">
        <v>702</v>
      </c>
      <c r="V9179" s="2" t="s">
        <v>47</v>
      </c>
      <c r="W9179" s="2" t="s">
        <v>203</v>
      </c>
      <c r="X9179" s="2">
        <v>12.914999999999999</v>
      </c>
    </row>
    <row r="9180" spans="1:24" x14ac:dyDescent="0.3">
      <c r="A9180">
        <v>6621</v>
      </c>
      <c r="B9180" t="s">
        <v>16321</v>
      </c>
      <c r="C9180" s="3">
        <v>40831</v>
      </c>
      <c r="D9180" t="s">
        <v>50</v>
      </c>
      <c r="E9180">
        <v>34</v>
      </c>
      <c r="F9180" s="3">
        <f ca="1">40832+(RANDBETWEEN(1,10))</f>
        <v>40840</v>
      </c>
      <c r="G9180" t="s">
        <v>26</v>
      </c>
      <c r="H9180" t="s">
        <v>51</v>
      </c>
      <c r="I9180" t="s">
        <v>52</v>
      </c>
      <c r="J9180">
        <v>2252.7399999999998</v>
      </c>
      <c r="K9180">
        <v>7.0000000000000007E-2</v>
      </c>
      <c r="L9180">
        <v>0.39</v>
      </c>
      <c r="M9180">
        <v>13.195</v>
      </c>
      <c r="N9180">
        <v>524.02</v>
      </c>
      <c r="O9180" s="1" t="s">
        <v>40</v>
      </c>
      <c r="P9180" s="1" t="s">
        <v>15864</v>
      </c>
      <c r="Q9180" s="1" t="s">
        <v>15865</v>
      </c>
      <c r="R9180" s="1" t="s">
        <v>43</v>
      </c>
      <c r="S9180" s="1" t="s">
        <v>44</v>
      </c>
      <c r="T9180" s="1" t="s">
        <v>15866</v>
      </c>
      <c r="U9180" s="2" t="s">
        <v>6197</v>
      </c>
      <c r="V9180" s="2" t="s">
        <v>83</v>
      </c>
      <c r="W9180" s="2" t="s">
        <v>178</v>
      </c>
      <c r="X9180" s="2">
        <v>65.275000000000006</v>
      </c>
    </row>
    <row r="9181" spans="1:24" x14ac:dyDescent="0.3">
      <c r="A9181">
        <v>6622</v>
      </c>
      <c r="B9181" t="s">
        <v>16321</v>
      </c>
      <c r="C9181" s="3">
        <v>40831</v>
      </c>
      <c r="D9181" t="s">
        <v>50</v>
      </c>
      <c r="E9181">
        <v>13</v>
      </c>
      <c r="F9181" s="3">
        <f ca="1">40833+(RANDBETWEEN(1,10))</f>
        <v>40842</v>
      </c>
      <c r="G9181" t="s">
        <v>26</v>
      </c>
      <c r="H9181" t="s">
        <v>281</v>
      </c>
      <c r="I9181" t="s">
        <v>52</v>
      </c>
      <c r="J9181">
        <v>855.08500000000004</v>
      </c>
      <c r="K9181">
        <v>0.06</v>
      </c>
      <c r="L9181">
        <v>0.4</v>
      </c>
      <c r="M9181">
        <v>29.785</v>
      </c>
      <c r="N9181">
        <v>-183.72311999999999</v>
      </c>
      <c r="O9181" s="1" t="s">
        <v>40</v>
      </c>
      <c r="P9181" s="1" t="s">
        <v>15864</v>
      </c>
      <c r="Q9181" s="1" t="s">
        <v>15865</v>
      </c>
      <c r="R9181" s="1" t="s">
        <v>43</v>
      </c>
      <c r="S9181" s="1" t="s">
        <v>44</v>
      </c>
      <c r="T9181" s="1" t="s">
        <v>15866</v>
      </c>
      <c r="U9181" s="2" t="s">
        <v>282</v>
      </c>
      <c r="V9181" s="2" t="s">
        <v>36</v>
      </c>
      <c r="W9181" s="2" t="s">
        <v>142</v>
      </c>
      <c r="X9181" s="2">
        <v>62.93</v>
      </c>
    </row>
    <row r="9182" spans="1:24" x14ac:dyDescent="0.3">
      <c r="A9182">
        <v>6623</v>
      </c>
      <c r="B9182" t="s">
        <v>16321</v>
      </c>
      <c r="C9182" s="3">
        <v>40831</v>
      </c>
      <c r="D9182" t="s">
        <v>50</v>
      </c>
      <c r="E9182">
        <v>47</v>
      </c>
      <c r="F9182" s="3">
        <f ca="1">40834+(RANDBETWEEN(1,10))</f>
        <v>40842</v>
      </c>
      <c r="G9182" t="s">
        <v>156</v>
      </c>
      <c r="H9182" t="s">
        <v>27</v>
      </c>
      <c r="I9182" t="s">
        <v>52</v>
      </c>
      <c r="J9182">
        <v>1633.03</v>
      </c>
      <c r="K9182">
        <v>0.1</v>
      </c>
      <c r="L9182">
        <v>0.4</v>
      </c>
      <c r="M9182">
        <v>16.73</v>
      </c>
      <c r="N9182">
        <v>27.86</v>
      </c>
      <c r="O9182" s="1" t="s">
        <v>40</v>
      </c>
      <c r="P9182" s="1" t="s">
        <v>15864</v>
      </c>
      <c r="Q9182" s="1" t="s">
        <v>15865</v>
      </c>
      <c r="R9182" s="1" t="s">
        <v>43</v>
      </c>
      <c r="S9182" s="1" t="s">
        <v>44</v>
      </c>
      <c r="T9182" s="1" t="s">
        <v>15866</v>
      </c>
      <c r="U9182" s="2" t="s">
        <v>9387</v>
      </c>
      <c r="V9182" s="2" t="s">
        <v>47</v>
      </c>
      <c r="W9182" s="2" t="s">
        <v>74</v>
      </c>
      <c r="X9182" s="2">
        <v>34.965000000000003</v>
      </c>
    </row>
    <row r="9183" spans="1:24" x14ac:dyDescent="0.3">
      <c r="A9183">
        <v>6624</v>
      </c>
      <c r="B9183" t="s">
        <v>16321</v>
      </c>
      <c r="C9183" s="3">
        <v>40831</v>
      </c>
      <c r="D9183" t="s">
        <v>50</v>
      </c>
      <c r="E9183">
        <v>16</v>
      </c>
      <c r="F9183" s="3">
        <f ca="1">40832+(RANDBETWEEN(1,10))</f>
        <v>40839</v>
      </c>
      <c r="G9183" t="s">
        <v>156</v>
      </c>
      <c r="H9183" t="s">
        <v>27</v>
      </c>
      <c r="I9183" t="s">
        <v>52</v>
      </c>
      <c r="J9183">
        <v>8017.415</v>
      </c>
      <c r="K9183">
        <v>0.08</v>
      </c>
      <c r="L9183">
        <v>0.56999999999999995</v>
      </c>
      <c r="M9183">
        <v>31.465</v>
      </c>
      <c r="N9183">
        <v>-1606.7898</v>
      </c>
      <c r="O9183" s="1" t="s">
        <v>40</v>
      </c>
      <c r="P9183" s="1" t="s">
        <v>15864</v>
      </c>
      <c r="Q9183" s="1" t="s">
        <v>15865</v>
      </c>
      <c r="R9183" s="1" t="s">
        <v>43</v>
      </c>
      <c r="S9183" s="1" t="s">
        <v>44</v>
      </c>
      <c r="T9183" s="1" t="s">
        <v>15866</v>
      </c>
      <c r="U9183" s="2">
        <v>2180</v>
      </c>
      <c r="V9183" s="2" t="s">
        <v>36</v>
      </c>
      <c r="W9183" s="2" t="s">
        <v>37</v>
      </c>
      <c r="X9183" s="2">
        <v>615.96500000000003</v>
      </c>
    </row>
    <row r="9184" spans="1:24" x14ac:dyDescent="0.3">
      <c r="A9184">
        <v>6625</v>
      </c>
      <c r="B9184" t="s">
        <v>16322</v>
      </c>
      <c r="C9184" s="3">
        <v>41528</v>
      </c>
      <c r="D9184" t="s">
        <v>39</v>
      </c>
      <c r="E9184">
        <v>92</v>
      </c>
      <c r="F9184" s="3">
        <f ca="1">41530+(RANDBETWEEN(1,10))</f>
        <v>41540</v>
      </c>
      <c r="G9184" t="s">
        <v>26</v>
      </c>
      <c r="H9184" t="s">
        <v>281</v>
      </c>
      <c r="I9184" t="s">
        <v>86</v>
      </c>
      <c r="J9184">
        <v>42007.56</v>
      </c>
      <c r="K9184">
        <v>0.06</v>
      </c>
      <c r="L9184" t="s">
        <v>182</v>
      </c>
      <c r="M9184">
        <v>44.274999999999999</v>
      </c>
      <c r="N9184">
        <v>6457.36</v>
      </c>
      <c r="O9184" s="1" t="s">
        <v>40</v>
      </c>
      <c r="P9184" s="1" t="s">
        <v>15848</v>
      </c>
      <c r="Q9184" s="1" t="s">
        <v>15849</v>
      </c>
      <c r="R9184" s="1" t="s">
        <v>43</v>
      </c>
      <c r="S9184" s="1" t="s">
        <v>44</v>
      </c>
      <c r="T9184" s="1" t="s">
        <v>15850</v>
      </c>
      <c r="U9184" s="2" t="s">
        <v>1695</v>
      </c>
      <c r="V9184" s="2" t="s">
        <v>83</v>
      </c>
      <c r="W9184" s="2" t="s">
        <v>84</v>
      </c>
      <c r="X9184" s="2">
        <v>448.84</v>
      </c>
    </row>
    <row r="9185" spans="1:24" x14ac:dyDescent="0.3">
      <c r="A9185">
        <v>6643</v>
      </c>
      <c r="B9185" t="s">
        <v>16323</v>
      </c>
      <c r="C9185" s="3">
        <v>41618</v>
      </c>
      <c r="D9185" t="s">
        <v>62</v>
      </c>
      <c r="E9185">
        <v>62</v>
      </c>
      <c r="F9185" s="3">
        <f ca="1">41619+(RANDBETWEEN(1,10))</f>
        <v>41623</v>
      </c>
      <c r="G9185" t="s">
        <v>26</v>
      </c>
      <c r="H9185" t="s">
        <v>27</v>
      </c>
      <c r="I9185" t="s">
        <v>97</v>
      </c>
      <c r="J9185">
        <v>1309.9100000000001</v>
      </c>
      <c r="K9185">
        <v>0.02</v>
      </c>
      <c r="L9185">
        <v>0.36</v>
      </c>
      <c r="M9185">
        <v>19.11</v>
      </c>
      <c r="N9185">
        <v>-283.16365000000002</v>
      </c>
      <c r="O9185" s="1" t="s">
        <v>64</v>
      </c>
      <c r="P9185" s="1" t="s">
        <v>314</v>
      </c>
      <c r="Q9185" s="1" t="s">
        <v>315</v>
      </c>
      <c r="R9185" s="1" t="s">
        <v>67</v>
      </c>
      <c r="S9185" s="1" t="s">
        <v>254</v>
      </c>
      <c r="T9185" s="1" t="s">
        <v>316</v>
      </c>
      <c r="U9185" s="2" t="s">
        <v>7070</v>
      </c>
      <c r="V9185" s="2" t="s">
        <v>47</v>
      </c>
      <c r="W9185" s="2" t="s">
        <v>74</v>
      </c>
      <c r="X9185" s="2">
        <v>20.93</v>
      </c>
    </row>
    <row r="9186" spans="1:24" x14ac:dyDescent="0.3">
      <c r="A9186">
        <v>6661</v>
      </c>
      <c r="B9186" t="s">
        <v>16324</v>
      </c>
      <c r="C9186" s="3">
        <v>41852</v>
      </c>
      <c r="D9186" t="s">
        <v>25</v>
      </c>
      <c r="E9186">
        <v>52</v>
      </c>
      <c r="F9186" s="3">
        <f ca="1">41852+(RANDBETWEEN(1,10))</f>
        <v>41853</v>
      </c>
      <c r="G9186" t="s">
        <v>26</v>
      </c>
      <c r="H9186" t="s">
        <v>27</v>
      </c>
      <c r="I9186" t="s">
        <v>52</v>
      </c>
      <c r="J9186">
        <v>1020.32</v>
      </c>
      <c r="K9186">
        <v>0</v>
      </c>
      <c r="L9186">
        <v>0.37</v>
      </c>
      <c r="M9186">
        <v>10.465</v>
      </c>
      <c r="N9186">
        <v>19.843250000000001</v>
      </c>
      <c r="O9186" s="1" t="s">
        <v>87</v>
      </c>
      <c r="P9186" s="1" t="s">
        <v>16096</v>
      </c>
      <c r="Q9186" s="1" t="s">
        <v>16097</v>
      </c>
      <c r="R9186" s="1" t="s">
        <v>398</v>
      </c>
      <c r="S9186" s="1" t="s">
        <v>3179</v>
      </c>
      <c r="T9186" s="1" t="s">
        <v>16098</v>
      </c>
      <c r="U9186" s="2" t="s">
        <v>1041</v>
      </c>
      <c r="V9186" s="2" t="s">
        <v>47</v>
      </c>
      <c r="W9186" s="2" t="s">
        <v>111</v>
      </c>
      <c r="X9186" s="2">
        <v>18.48</v>
      </c>
    </row>
    <row r="9187" spans="1:24" x14ac:dyDescent="0.3">
      <c r="A9187">
        <v>667</v>
      </c>
      <c r="B9187" t="s">
        <v>16325</v>
      </c>
      <c r="C9187" s="3">
        <v>41747</v>
      </c>
      <c r="D9187" t="s">
        <v>62</v>
      </c>
      <c r="E9187">
        <v>23</v>
      </c>
      <c r="F9187" s="3">
        <f ca="1">41748+(RANDBETWEEN(1,10))</f>
        <v>41749</v>
      </c>
      <c r="G9187" t="s">
        <v>76</v>
      </c>
      <c r="H9187" t="s">
        <v>77</v>
      </c>
      <c r="I9187" t="s">
        <v>28</v>
      </c>
      <c r="J9187">
        <v>10644.655000000001</v>
      </c>
      <c r="K9187">
        <v>0.02</v>
      </c>
      <c r="L9187">
        <v>0.78</v>
      </c>
      <c r="M9187">
        <v>105</v>
      </c>
      <c r="N9187">
        <v>-911.43499999999995</v>
      </c>
      <c r="O9187" s="1" t="s">
        <v>87</v>
      </c>
      <c r="P9187" s="1" t="s">
        <v>15902</v>
      </c>
      <c r="Q9187" s="1" t="s">
        <v>15903</v>
      </c>
      <c r="R9187" s="1" t="s">
        <v>90</v>
      </c>
      <c r="S9187" s="1" t="s">
        <v>91</v>
      </c>
      <c r="T9187" s="1" t="s">
        <v>15904</v>
      </c>
      <c r="U9187" s="2" t="s">
        <v>2894</v>
      </c>
      <c r="V9187" s="2" t="s">
        <v>83</v>
      </c>
      <c r="W9187" s="2" t="s">
        <v>84</v>
      </c>
      <c r="X9187" s="2">
        <v>458.43</v>
      </c>
    </row>
    <row r="9188" spans="1:24" x14ac:dyDescent="0.3">
      <c r="A9188">
        <v>6673</v>
      </c>
      <c r="B9188" t="s">
        <v>16326</v>
      </c>
      <c r="C9188" s="3">
        <v>40585</v>
      </c>
      <c r="D9188" t="s">
        <v>62</v>
      </c>
      <c r="E9188">
        <v>36</v>
      </c>
      <c r="F9188" s="3">
        <f ca="1">40587+(RANDBETWEEN(1,10))</f>
        <v>40592</v>
      </c>
      <c r="G9188" t="s">
        <v>76</v>
      </c>
      <c r="H9188" t="s">
        <v>77</v>
      </c>
      <c r="I9188" t="s">
        <v>28</v>
      </c>
      <c r="J9188">
        <v>34151.18</v>
      </c>
      <c r="K9188">
        <v>7.0000000000000007E-2</v>
      </c>
      <c r="L9188">
        <v>0.77</v>
      </c>
      <c r="M9188">
        <v>175</v>
      </c>
      <c r="N9188">
        <v>-336.17500000000001</v>
      </c>
      <c r="O9188" s="1" t="s">
        <v>40</v>
      </c>
      <c r="P9188" s="1" t="s">
        <v>7742</v>
      </c>
      <c r="Q9188" s="1" t="s">
        <v>7743</v>
      </c>
      <c r="R9188" s="1" t="s">
        <v>43</v>
      </c>
      <c r="S9188" s="1" t="s">
        <v>44</v>
      </c>
      <c r="T9188" s="1" t="s">
        <v>7744</v>
      </c>
      <c r="U9188" s="2" t="s">
        <v>5741</v>
      </c>
      <c r="V9188" s="2" t="s">
        <v>83</v>
      </c>
      <c r="W9188" s="2" t="s">
        <v>84</v>
      </c>
      <c r="X9188" s="2">
        <v>948.43</v>
      </c>
    </row>
    <row r="9189" spans="1:24" x14ac:dyDescent="0.3">
      <c r="A9189">
        <v>6695</v>
      </c>
      <c r="B9189" t="s">
        <v>16327</v>
      </c>
      <c r="C9189" s="3">
        <v>41959</v>
      </c>
      <c r="D9189" t="s">
        <v>50</v>
      </c>
      <c r="E9189">
        <v>137</v>
      </c>
      <c r="F9189" s="3">
        <f ca="1">41960+(RANDBETWEEN(1,10))</f>
        <v>41962</v>
      </c>
      <c r="G9189" t="s">
        <v>26</v>
      </c>
      <c r="H9189" t="s">
        <v>27</v>
      </c>
      <c r="I9189" t="s">
        <v>86</v>
      </c>
      <c r="J9189">
        <v>40268.410000000003</v>
      </c>
      <c r="K9189">
        <v>0</v>
      </c>
      <c r="L9189">
        <v>0.38</v>
      </c>
      <c r="M9189">
        <v>17.535</v>
      </c>
      <c r="N9189">
        <v>5670.8050000000003</v>
      </c>
      <c r="O9189" s="1" t="s">
        <v>29</v>
      </c>
      <c r="P9189" s="1" t="s">
        <v>367</v>
      </c>
      <c r="Q9189" s="1" t="s">
        <v>368</v>
      </c>
      <c r="R9189" s="1" t="s">
        <v>32</v>
      </c>
      <c r="S9189" s="1" t="s">
        <v>33</v>
      </c>
      <c r="T9189" s="1" t="s">
        <v>369</v>
      </c>
      <c r="U9189" s="2" t="s">
        <v>9050</v>
      </c>
      <c r="V9189" s="2" t="s">
        <v>47</v>
      </c>
      <c r="W9189" s="2" t="s">
        <v>48</v>
      </c>
      <c r="X9189" s="2">
        <v>293.93</v>
      </c>
    </row>
    <row r="9190" spans="1:24" x14ac:dyDescent="0.3">
      <c r="A9190">
        <v>67</v>
      </c>
      <c r="B9190" t="s">
        <v>16320</v>
      </c>
      <c r="C9190" s="3">
        <v>41298</v>
      </c>
      <c r="D9190" t="s">
        <v>39</v>
      </c>
      <c r="E9190">
        <v>4</v>
      </c>
      <c r="F9190" s="3">
        <f ca="1">41300+(RANDBETWEEN(1,10))</f>
        <v>41305</v>
      </c>
      <c r="G9190" t="s">
        <v>26</v>
      </c>
      <c r="H9190" t="s">
        <v>96</v>
      </c>
      <c r="I9190" t="s">
        <v>28</v>
      </c>
      <c r="J9190">
        <v>54.914999999999999</v>
      </c>
      <c r="K9190">
        <v>0.09</v>
      </c>
      <c r="L9190">
        <v>0.44</v>
      </c>
      <c r="M9190">
        <v>2.4500000000000002</v>
      </c>
      <c r="N9190">
        <v>-8.9039999999999999</v>
      </c>
      <c r="O9190" s="1" t="s">
        <v>64</v>
      </c>
      <c r="P9190" s="1" t="s">
        <v>339</v>
      </c>
      <c r="Q9190" s="1" t="s">
        <v>340</v>
      </c>
      <c r="R9190" s="1" t="s">
        <v>128</v>
      </c>
      <c r="S9190" s="1" t="s">
        <v>129</v>
      </c>
      <c r="T9190" s="1" t="s">
        <v>341</v>
      </c>
      <c r="U9190" s="2" t="s">
        <v>703</v>
      </c>
      <c r="V9190" s="2" t="s">
        <v>47</v>
      </c>
      <c r="W9190" s="2" t="s">
        <v>104</v>
      </c>
      <c r="X9190" s="2">
        <v>13.475</v>
      </c>
    </row>
    <row r="9191" spans="1:24" x14ac:dyDescent="0.3">
      <c r="A9191">
        <v>6711</v>
      </c>
      <c r="B9191" t="s">
        <v>16328</v>
      </c>
      <c r="C9191" s="3">
        <v>40782</v>
      </c>
      <c r="D9191" t="s">
        <v>39</v>
      </c>
      <c r="E9191">
        <v>90</v>
      </c>
      <c r="F9191" s="3">
        <f ca="1">40784+(RANDBETWEEN(1,10))</f>
        <v>40787</v>
      </c>
      <c r="G9191" t="s">
        <v>26</v>
      </c>
      <c r="H9191" t="s">
        <v>27</v>
      </c>
      <c r="I9191" t="s">
        <v>97</v>
      </c>
      <c r="J9191">
        <v>2160.9</v>
      </c>
      <c r="K9191">
        <v>0</v>
      </c>
      <c r="L9191">
        <v>0.37</v>
      </c>
      <c r="M9191">
        <v>19.809999999999999</v>
      </c>
      <c r="N9191">
        <v>-269.29000000000002</v>
      </c>
      <c r="O9191" s="1" t="s">
        <v>64</v>
      </c>
      <c r="P9191" s="1" t="s">
        <v>16010</v>
      </c>
      <c r="Q9191" s="1" t="s">
        <v>16011</v>
      </c>
      <c r="R9191" s="1" t="s">
        <v>128</v>
      </c>
      <c r="S9191" s="1" t="s">
        <v>129</v>
      </c>
      <c r="T9191" s="1" t="s">
        <v>16012</v>
      </c>
      <c r="U9191" s="2" t="s">
        <v>1796</v>
      </c>
      <c r="V9191" s="2" t="s">
        <v>47</v>
      </c>
      <c r="W9191" s="2" t="s">
        <v>74</v>
      </c>
      <c r="X9191" s="2">
        <v>23.38</v>
      </c>
    </row>
    <row r="9192" spans="1:24" x14ac:dyDescent="0.3">
      <c r="A9192">
        <v>6738</v>
      </c>
      <c r="B9192" t="s">
        <v>16329</v>
      </c>
      <c r="C9192" s="3">
        <v>41941</v>
      </c>
      <c r="D9192" t="s">
        <v>39</v>
      </c>
      <c r="E9192">
        <v>50</v>
      </c>
      <c r="F9192" s="3">
        <f ca="1">41942+(RANDBETWEEN(1,10))</f>
        <v>41952</v>
      </c>
      <c r="G9192" t="s">
        <v>26</v>
      </c>
      <c r="H9192" t="s">
        <v>27</v>
      </c>
      <c r="I9192" t="s">
        <v>97</v>
      </c>
      <c r="J9192">
        <v>827.08500000000004</v>
      </c>
      <c r="K9192">
        <v>0.09</v>
      </c>
      <c r="L9192">
        <v>0.41</v>
      </c>
      <c r="M9192">
        <v>18.62</v>
      </c>
      <c r="N9192">
        <v>-185.71</v>
      </c>
      <c r="O9192" s="1" t="s">
        <v>40</v>
      </c>
      <c r="P9192" s="1" t="s">
        <v>13707</v>
      </c>
      <c r="Q9192" s="1" t="s">
        <v>13708</v>
      </c>
      <c r="R9192" s="1" t="s">
        <v>43</v>
      </c>
      <c r="S9192" s="1" t="s">
        <v>44</v>
      </c>
      <c r="T9192" s="1" t="s">
        <v>13709</v>
      </c>
      <c r="U9192" s="2" t="s">
        <v>5159</v>
      </c>
      <c r="V9192" s="2" t="s">
        <v>83</v>
      </c>
      <c r="W9192" s="2" t="s">
        <v>178</v>
      </c>
      <c r="X9192" s="2">
        <v>17.324999999999999</v>
      </c>
    </row>
    <row r="9193" spans="1:24" x14ac:dyDescent="0.3">
      <c r="A9193">
        <v>6744</v>
      </c>
      <c r="B9193" t="s">
        <v>16330</v>
      </c>
      <c r="C9193" s="3">
        <v>41147</v>
      </c>
      <c r="D9193" t="s">
        <v>39</v>
      </c>
      <c r="E9193">
        <v>76</v>
      </c>
      <c r="F9193" s="3">
        <f ca="1">41148+(RANDBETWEEN(1,10))</f>
        <v>41149</v>
      </c>
      <c r="G9193" t="s">
        <v>26</v>
      </c>
      <c r="H9193" t="s">
        <v>27</v>
      </c>
      <c r="I9193" t="s">
        <v>28</v>
      </c>
      <c r="J9193">
        <v>1958.075</v>
      </c>
      <c r="K9193">
        <v>0.09</v>
      </c>
      <c r="L9193">
        <v>0.57999999999999996</v>
      </c>
      <c r="M9193">
        <v>32.305</v>
      </c>
      <c r="N9193">
        <v>-991.58500000000004</v>
      </c>
      <c r="O9193" s="1" t="s">
        <v>53</v>
      </c>
      <c r="P9193" s="1" t="s">
        <v>7631</v>
      </c>
      <c r="Q9193" s="1" t="s">
        <v>7632</v>
      </c>
      <c r="R9193" s="1" t="s">
        <v>56</v>
      </c>
      <c r="S9193" s="1" t="s">
        <v>159</v>
      </c>
      <c r="T9193" s="1" t="s">
        <v>7633</v>
      </c>
      <c r="U9193" s="2" t="s">
        <v>4333</v>
      </c>
      <c r="V9193" s="2" t="s">
        <v>47</v>
      </c>
      <c r="W9193" s="2" t="s">
        <v>71</v>
      </c>
      <c r="X9193" s="2">
        <v>27.195</v>
      </c>
    </row>
    <row r="9194" spans="1:24" x14ac:dyDescent="0.3">
      <c r="A9194">
        <v>6745</v>
      </c>
      <c r="B9194" t="s">
        <v>16330</v>
      </c>
      <c r="C9194" s="3">
        <v>41147</v>
      </c>
      <c r="D9194" t="s">
        <v>39</v>
      </c>
      <c r="E9194">
        <v>52</v>
      </c>
      <c r="F9194" s="3">
        <f ca="1">41148+(RANDBETWEEN(1,10))</f>
        <v>41151</v>
      </c>
      <c r="G9194" t="s">
        <v>26</v>
      </c>
      <c r="H9194" t="s">
        <v>27</v>
      </c>
      <c r="I9194" t="s">
        <v>28</v>
      </c>
      <c r="J9194">
        <v>2591.0500000000002</v>
      </c>
      <c r="K9194">
        <v>7.0000000000000007E-2</v>
      </c>
      <c r="L9194">
        <v>0.81</v>
      </c>
      <c r="M9194">
        <v>15.855</v>
      </c>
      <c r="N9194">
        <v>-365.505</v>
      </c>
      <c r="O9194" s="1" t="s">
        <v>53</v>
      </c>
      <c r="P9194" s="1" t="s">
        <v>7631</v>
      </c>
      <c r="Q9194" s="1" t="s">
        <v>7632</v>
      </c>
      <c r="R9194" s="1" t="s">
        <v>56</v>
      </c>
      <c r="S9194" s="1" t="s">
        <v>159</v>
      </c>
      <c r="T9194" s="1" t="s">
        <v>7633</v>
      </c>
      <c r="U9194" s="2" t="s">
        <v>2304</v>
      </c>
      <c r="V9194" s="2" t="s">
        <v>47</v>
      </c>
      <c r="W9194" s="2" t="s">
        <v>119</v>
      </c>
      <c r="X9194" s="2">
        <v>52.99</v>
      </c>
    </row>
    <row r="9195" spans="1:24" x14ac:dyDescent="0.3">
      <c r="A9195">
        <v>6751</v>
      </c>
      <c r="B9195" t="s">
        <v>16331</v>
      </c>
      <c r="C9195" s="3">
        <v>41336</v>
      </c>
      <c r="D9195" t="s">
        <v>25</v>
      </c>
      <c r="E9195">
        <v>1</v>
      </c>
      <c r="F9195" s="3">
        <f ca="1">41345+(RANDBETWEEN(1,10))</f>
        <v>41353</v>
      </c>
      <c r="G9195" t="s">
        <v>156</v>
      </c>
      <c r="H9195" t="s">
        <v>51</v>
      </c>
      <c r="I9195" t="s">
        <v>97</v>
      </c>
      <c r="J9195">
        <v>79.59</v>
      </c>
      <c r="K9195">
        <v>0.03</v>
      </c>
      <c r="L9195">
        <v>0.48</v>
      </c>
      <c r="M9195">
        <v>17.43</v>
      </c>
      <c r="N9195">
        <v>-47.564999999999998</v>
      </c>
      <c r="O9195" s="1" t="s">
        <v>40</v>
      </c>
      <c r="P9195" s="1" t="s">
        <v>16079</v>
      </c>
      <c r="Q9195" s="1" t="s">
        <v>16080</v>
      </c>
      <c r="R9195" s="1" t="s">
        <v>43</v>
      </c>
      <c r="S9195" s="1" t="s">
        <v>44</v>
      </c>
      <c r="T9195" s="1" t="s">
        <v>16081</v>
      </c>
      <c r="U9195" s="2" t="s">
        <v>430</v>
      </c>
      <c r="V9195" s="2" t="s">
        <v>83</v>
      </c>
      <c r="W9195" s="2" t="s">
        <v>178</v>
      </c>
      <c r="X9195" s="2">
        <v>44.24</v>
      </c>
    </row>
    <row r="9196" spans="1:24" x14ac:dyDescent="0.3">
      <c r="A9196">
        <v>6754</v>
      </c>
      <c r="B9196" t="s">
        <v>16332</v>
      </c>
      <c r="C9196" s="3">
        <v>41529</v>
      </c>
      <c r="D9196" t="s">
        <v>39</v>
      </c>
      <c r="E9196">
        <v>8</v>
      </c>
      <c r="F9196" s="3">
        <f ca="1">41531+(RANDBETWEEN(1,10))</f>
        <v>41536</v>
      </c>
      <c r="G9196" t="s">
        <v>26</v>
      </c>
      <c r="H9196" t="s">
        <v>27</v>
      </c>
      <c r="I9196" t="s">
        <v>97</v>
      </c>
      <c r="J9196">
        <v>762.09</v>
      </c>
      <c r="K9196">
        <v>0.05</v>
      </c>
      <c r="L9196">
        <v>0.39</v>
      </c>
      <c r="M9196">
        <v>59.045000000000002</v>
      </c>
      <c r="N9196">
        <v>-139.72</v>
      </c>
      <c r="O9196" s="1" t="s">
        <v>40</v>
      </c>
      <c r="P9196" s="1" t="s">
        <v>15893</v>
      </c>
      <c r="Q9196" s="1" t="s">
        <v>15894</v>
      </c>
      <c r="R9196" s="1" t="s">
        <v>43</v>
      </c>
      <c r="S9196" s="1" t="s">
        <v>44</v>
      </c>
      <c r="T9196" s="1" t="s">
        <v>15895</v>
      </c>
      <c r="U9196" s="2" t="s">
        <v>6800</v>
      </c>
      <c r="V9196" s="2" t="s">
        <v>47</v>
      </c>
      <c r="W9196" s="2" t="s">
        <v>74</v>
      </c>
      <c r="X9196" s="2">
        <v>79.94</v>
      </c>
    </row>
    <row r="9197" spans="1:24" x14ac:dyDescent="0.3">
      <c r="A9197">
        <v>6776</v>
      </c>
      <c r="B9197" t="s">
        <v>16333</v>
      </c>
      <c r="C9197" s="3">
        <v>40655</v>
      </c>
      <c r="D9197" t="s">
        <v>25</v>
      </c>
      <c r="E9197">
        <v>45</v>
      </c>
      <c r="F9197" s="3">
        <f ca="1">40659+(RANDBETWEEN(1,10))</f>
        <v>40663</v>
      </c>
      <c r="G9197" t="s">
        <v>26</v>
      </c>
      <c r="H9197" t="s">
        <v>27</v>
      </c>
      <c r="I9197" t="s">
        <v>28</v>
      </c>
      <c r="J9197">
        <v>773.71</v>
      </c>
      <c r="K9197">
        <v>0.02</v>
      </c>
      <c r="L9197">
        <v>0.37</v>
      </c>
      <c r="M9197">
        <v>18.97</v>
      </c>
      <c r="N9197">
        <v>-434.98174999999998</v>
      </c>
      <c r="O9197" s="1" t="s">
        <v>87</v>
      </c>
      <c r="P9197" s="1" t="s">
        <v>15902</v>
      </c>
      <c r="Q9197" s="1" t="s">
        <v>15903</v>
      </c>
      <c r="R9197" s="1" t="s">
        <v>90</v>
      </c>
      <c r="S9197" s="1" t="s">
        <v>91</v>
      </c>
      <c r="T9197" s="1" t="s">
        <v>15904</v>
      </c>
      <c r="U9197" s="2" t="s">
        <v>1571</v>
      </c>
      <c r="V9197" s="2" t="s">
        <v>47</v>
      </c>
      <c r="W9197" s="2" t="s">
        <v>111</v>
      </c>
      <c r="X9197" s="2">
        <v>15.994999999999999</v>
      </c>
    </row>
    <row r="9198" spans="1:24" x14ac:dyDescent="0.3">
      <c r="A9198">
        <v>6778</v>
      </c>
      <c r="B9198" t="s">
        <v>16334</v>
      </c>
      <c r="C9198" s="3">
        <v>40977</v>
      </c>
      <c r="D9198" t="s">
        <v>148</v>
      </c>
      <c r="E9198">
        <v>28</v>
      </c>
      <c r="F9198" s="3">
        <f ca="1">40978+(RANDBETWEEN(1,10))</f>
        <v>40988</v>
      </c>
      <c r="G9198" t="s">
        <v>26</v>
      </c>
      <c r="H9198" t="s">
        <v>27</v>
      </c>
      <c r="I9198" t="s">
        <v>52</v>
      </c>
      <c r="J9198">
        <v>574.77</v>
      </c>
      <c r="K9198">
        <v>0.1</v>
      </c>
      <c r="L9198">
        <v>0.4</v>
      </c>
      <c r="M9198">
        <v>26.25</v>
      </c>
      <c r="N9198">
        <v>-436.52</v>
      </c>
      <c r="O9198" s="1" t="s">
        <v>64</v>
      </c>
      <c r="P9198" s="1" t="s">
        <v>333</v>
      </c>
      <c r="Q9198" s="1" t="s">
        <v>334</v>
      </c>
      <c r="R9198" s="1" t="s">
        <v>67</v>
      </c>
      <c r="S9198" s="1" t="s">
        <v>68</v>
      </c>
      <c r="T9198" s="1" t="s">
        <v>335</v>
      </c>
      <c r="U9198" s="2" t="s">
        <v>6464</v>
      </c>
      <c r="V9198" s="2" t="s">
        <v>47</v>
      </c>
      <c r="W9198" s="2" t="s">
        <v>74</v>
      </c>
      <c r="X9198" s="2">
        <v>20.93</v>
      </c>
    </row>
    <row r="9199" spans="1:24" x14ac:dyDescent="0.3">
      <c r="A9199">
        <v>6779</v>
      </c>
      <c r="B9199" t="s">
        <v>16334</v>
      </c>
      <c r="C9199" s="3">
        <v>40977</v>
      </c>
      <c r="D9199" t="s">
        <v>148</v>
      </c>
      <c r="E9199">
        <v>25</v>
      </c>
      <c r="F9199" s="3">
        <f ca="1">40978+(RANDBETWEEN(1,10))</f>
        <v>40985</v>
      </c>
      <c r="G9199" t="s">
        <v>26</v>
      </c>
      <c r="H9199" t="s">
        <v>96</v>
      </c>
      <c r="I9199" t="s">
        <v>52</v>
      </c>
      <c r="J9199">
        <v>475.685</v>
      </c>
      <c r="K9199">
        <v>7.0000000000000007E-2</v>
      </c>
      <c r="L9199">
        <v>0.4</v>
      </c>
      <c r="M9199">
        <v>4.2350000000000003</v>
      </c>
      <c r="N9199">
        <v>131.25</v>
      </c>
      <c r="O9199" s="1" t="s">
        <v>64</v>
      </c>
      <c r="P9199" s="1" t="s">
        <v>333</v>
      </c>
      <c r="Q9199" s="1" t="s">
        <v>334</v>
      </c>
      <c r="R9199" s="1" t="s">
        <v>67</v>
      </c>
      <c r="S9199" s="1" t="s">
        <v>68</v>
      </c>
      <c r="T9199" s="1" t="s">
        <v>335</v>
      </c>
      <c r="U9199" s="2" t="s">
        <v>13767</v>
      </c>
      <c r="V9199" s="2" t="s">
        <v>47</v>
      </c>
      <c r="W9199" s="2" t="s">
        <v>74</v>
      </c>
      <c r="X9199" s="2">
        <v>19.88</v>
      </c>
    </row>
    <row r="9200" spans="1:24" x14ac:dyDescent="0.3">
      <c r="A9200">
        <v>6780</v>
      </c>
      <c r="B9200" t="s">
        <v>16335</v>
      </c>
      <c r="C9200" s="3">
        <v>41477</v>
      </c>
      <c r="D9200" t="s">
        <v>148</v>
      </c>
      <c r="E9200">
        <v>34</v>
      </c>
      <c r="F9200" s="3">
        <f ca="1">41479+(RANDBETWEEN(1,10))</f>
        <v>41489</v>
      </c>
      <c r="G9200" t="s">
        <v>76</v>
      </c>
      <c r="H9200" t="s">
        <v>258</v>
      </c>
      <c r="I9200" t="s">
        <v>52</v>
      </c>
      <c r="J9200">
        <v>15747.41</v>
      </c>
      <c r="K9200">
        <v>0.08</v>
      </c>
      <c r="L9200">
        <v>0.69</v>
      </c>
      <c r="M9200">
        <v>191.59</v>
      </c>
      <c r="N9200">
        <v>-2035.5650000000001</v>
      </c>
      <c r="O9200" s="1" t="s">
        <v>64</v>
      </c>
      <c r="P9200" s="1" t="s">
        <v>328</v>
      </c>
      <c r="Q9200" s="1" t="s">
        <v>329</v>
      </c>
      <c r="R9200" s="1" t="s">
        <v>128</v>
      </c>
      <c r="S9200" s="1" t="s">
        <v>129</v>
      </c>
      <c r="T9200" s="1" t="s">
        <v>330</v>
      </c>
      <c r="U9200" s="2" t="s">
        <v>493</v>
      </c>
      <c r="V9200" s="2" t="s">
        <v>83</v>
      </c>
      <c r="W9200" s="2" t="s">
        <v>298</v>
      </c>
      <c r="X9200" s="2">
        <v>458.43</v>
      </c>
    </row>
    <row r="9201" spans="1:24" x14ac:dyDescent="0.3">
      <c r="A9201">
        <v>6797</v>
      </c>
      <c r="B9201" t="s">
        <v>16336</v>
      </c>
      <c r="C9201" s="3">
        <v>41191</v>
      </c>
      <c r="D9201" t="s">
        <v>39</v>
      </c>
      <c r="E9201">
        <v>58</v>
      </c>
      <c r="F9201" s="3">
        <f ca="1">41193+(RANDBETWEEN(1,10))</f>
        <v>41194</v>
      </c>
      <c r="G9201" t="s">
        <v>76</v>
      </c>
      <c r="H9201" t="s">
        <v>77</v>
      </c>
      <c r="I9201" t="s">
        <v>28</v>
      </c>
      <c r="J9201">
        <v>11793.11</v>
      </c>
      <c r="K9201">
        <v>0.09</v>
      </c>
      <c r="L9201">
        <v>0.7</v>
      </c>
      <c r="M9201">
        <v>105</v>
      </c>
      <c r="N9201">
        <v>-2473.38</v>
      </c>
      <c r="O9201" s="1" t="s">
        <v>40</v>
      </c>
      <c r="P9201" s="1" t="s">
        <v>355</v>
      </c>
      <c r="Q9201" s="1" t="s">
        <v>356</v>
      </c>
      <c r="R9201" s="1" t="s">
        <v>220</v>
      </c>
      <c r="S9201" s="1" t="s">
        <v>221</v>
      </c>
      <c r="T9201" s="1" t="s">
        <v>357</v>
      </c>
      <c r="U9201" s="2" t="s">
        <v>5111</v>
      </c>
      <c r="V9201" s="2" t="s">
        <v>83</v>
      </c>
      <c r="W9201" s="2" t="s">
        <v>84</v>
      </c>
      <c r="X9201" s="2">
        <v>213.43</v>
      </c>
    </row>
    <row r="9202" spans="1:24" x14ac:dyDescent="0.3">
      <c r="A9202">
        <v>6798</v>
      </c>
      <c r="B9202" t="s">
        <v>16336</v>
      </c>
      <c r="C9202" s="3">
        <v>41191</v>
      </c>
      <c r="D9202" t="s">
        <v>39</v>
      </c>
      <c r="E9202">
        <v>34</v>
      </c>
      <c r="F9202" s="3">
        <f ca="1">41191+(RANDBETWEEN(1,10))</f>
        <v>41198</v>
      </c>
      <c r="G9202" t="s">
        <v>26</v>
      </c>
      <c r="H9202" t="s">
        <v>27</v>
      </c>
      <c r="I9202" t="s">
        <v>28</v>
      </c>
      <c r="J9202">
        <v>11155.375</v>
      </c>
      <c r="K9202">
        <v>0.1</v>
      </c>
      <c r="L9202">
        <v>0.5</v>
      </c>
      <c r="M9202">
        <v>69.965000000000003</v>
      </c>
      <c r="N9202">
        <v>144.03200000000001</v>
      </c>
      <c r="O9202" s="1" t="s">
        <v>40</v>
      </c>
      <c r="P9202" s="1" t="s">
        <v>355</v>
      </c>
      <c r="Q9202" s="1" t="s">
        <v>356</v>
      </c>
      <c r="R9202" s="1" t="s">
        <v>220</v>
      </c>
      <c r="S9202" s="1" t="s">
        <v>221</v>
      </c>
      <c r="T9202" s="1" t="s">
        <v>357</v>
      </c>
      <c r="U9202" s="2" t="s">
        <v>6456</v>
      </c>
      <c r="V9202" s="2" t="s">
        <v>36</v>
      </c>
      <c r="W9202" s="2" t="s">
        <v>60</v>
      </c>
      <c r="X9202" s="2">
        <v>349.96499999999997</v>
      </c>
    </row>
    <row r="9203" spans="1:24" x14ac:dyDescent="0.3">
      <c r="A9203">
        <v>6799</v>
      </c>
      <c r="B9203" t="s">
        <v>16336</v>
      </c>
      <c r="C9203" s="3">
        <v>41191</v>
      </c>
      <c r="D9203" t="s">
        <v>39</v>
      </c>
      <c r="E9203">
        <v>79</v>
      </c>
      <c r="F9203" s="3">
        <f ca="1">41192+(RANDBETWEEN(1,10))</f>
        <v>41201</v>
      </c>
      <c r="G9203" t="s">
        <v>26</v>
      </c>
      <c r="H9203" t="s">
        <v>27</v>
      </c>
      <c r="I9203" t="s">
        <v>28</v>
      </c>
      <c r="J9203">
        <v>1164.5550000000001</v>
      </c>
      <c r="K9203">
        <v>0.03</v>
      </c>
      <c r="L9203">
        <v>0.49</v>
      </c>
      <c r="M9203">
        <v>24.22</v>
      </c>
      <c r="N9203">
        <v>-808.75199999999995</v>
      </c>
      <c r="O9203" s="1" t="s">
        <v>40</v>
      </c>
      <c r="P9203" s="1" t="s">
        <v>355</v>
      </c>
      <c r="Q9203" s="1" t="s">
        <v>356</v>
      </c>
      <c r="R9203" s="1" t="s">
        <v>220</v>
      </c>
      <c r="S9203" s="1" t="s">
        <v>221</v>
      </c>
      <c r="T9203" s="1" t="s">
        <v>357</v>
      </c>
      <c r="U9203" s="2" t="s">
        <v>6098</v>
      </c>
      <c r="V9203" s="2" t="s">
        <v>83</v>
      </c>
      <c r="W9203" s="2" t="s">
        <v>178</v>
      </c>
      <c r="X9203" s="2">
        <v>14.63</v>
      </c>
    </row>
    <row r="9204" spans="1:24" x14ac:dyDescent="0.3">
      <c r="A9204">
        <v>68</v>
      </c>
      <c r="B9204" t="s">
        <v>16337</v>
      </c>
      <c r="C9204" s="3">
        <v>41988</v>
      </c>
      <c r="D9204" t="s">
        <v>50</v>
      </c>
      <c r="E9204">
        <v>92</v>
      </c>
      <c r="F9204" s="3">
        <f ca="1">41991+(RANDBETWEEN(1,10))</f>
        <v>41995</v>
      </c>
      <c r="G9204" t="s">
        <v>26</v>
      </c>
      <c r="H9204" t="s">
        <v>281</v>
      </c>
      <c r="I9204" t="s">
        <v>97</v>
      </c>
      <c r="J9204">
        <v>3625.51</v>
      </c>
      <c r="K9204">
        <v>0.06</v>
      </c>
      <c r="L9204">
        <v>0.5</v>
      </c>
      <c r="M9204">
        <v>24.36</v>
      </c>
      <c r="N9204">
        <v>-331.55500000000001</v>
      </c>
      <c r="O9204" s="1" t="s">
        <v>225</v>
      </c>
      <c r="P9204" s="1" t="s">
        <v>226</v>
      </c>
      <c r="Q9204" s="1" t="s">
        <v>227</v>
      </c>
      <c r="R9204" s="1" t="s">
        <v>228</v>
      </c>
      <c r="S9204" s="1" t="s">
        <v>229</v>
      </c>
      <c r="T9204" s="1" t="s">
        <v>230</v>
      </c>
      <c r="U9204" s="2" t="s">
        <v>709</v>
      </c>
      <c r="V9204" s="2" t="s">
        <v>47</v>
      </c>
      <c r="W9204" s="2" t="s">
        <v>71</v>
      </c>
      <c r="X9204" s="2">
        <v>40.950000000000003</v>
      </c>
    </row>
    <row r="9205" spans="1:24" x14ac:dyDescent="0.3">
      <c r="A9205">
        <v>6800</v>
      </c>
      <c r="B9205" t="s">
        <v>16338</v>
      </c>
      <c r="C9205" s="3">
        <v>41921</v>
      </c>
      <c r="D9205" t="s">
        <v>39</v>
      </c>
      <c r="E9205">
        <v>32</v>
      </c>
      <c r="F9205" s="3">
        <f ca="1">41923+(RANDBETWEEN(1,10))</f>
        <v>41932</v>
      </c>
      <c r="G9205" t="s">
        <v>26</v>
      </c>
      <c r="H9205" t="s">
        <v>27</v>
      </c>
      <c r="I9205" t="s">
        <v>28</v>
      </c>
      <c r="J9205">
        <v>548.13499999999999</v>
      </c>
      <c r="K9205">
        <v>0.08</v>
      </c>
      <c r="L9205">
        <v>0.38</v>
      </c>
      <c r="M9205">
        <v>17.395</v>
      </c>
      <c r="N9205">
        <v>-156.77375000000001</v>
      </c>
      <c r="O9205" s="1" t="s">
        <v>40</v>
      </c>
      <c r="P9205" s="1" t="s">
        <v>355</v>
      </c>
      <c r="Q9205" s="1" t="s">
        <v>356</v>
      </c>
      <c r="R9205" s="1" t="s">
        <v>220</v>
      </c>
      <c r="S9205" s="1" t="s">
        <v>221</v>
      </c>
      <c r="T9205" s="1" t="s">
        <v>357</v>
      </c>
      <c r="U9205" s="2" t="s">
        <v>8128</v>
      </c>
      <c r="V9205" s="2" t="s">
        <v>47</v>
      </c>
      <c r="W9205" s="2" t="s">
        <v>111</v>
      </c>
      <c r="X9205" s="2">
        <v>17.184999999999999</v>
      </c>
    </row>
    <row r="9206" spans="1:24" x14ac:dyDescent="0.3">
      <c r="A9206">
        <v>6801</v>
      </c>
      <c r="B9206" t="s">
        <v>16336</v>
      </c>
      <c r="C9206" s="3">
        <v>41191</v>
      </c>
      <c r="D9206" t="s">
        <v>39</v>
      </c>
      <c r="E9206">
        <v>50</v>
      </c>
      <c r="F9206" s="3">
        <f ca="1">41193+(RANDBETWEEN(1,10))</f>
        <v>41194</v>
      </c>
      <c r="G9206" t="s">
        <v>26</v>
      </c>
      <c r="H9206" t="s">
        <v>96</v>
      </c>
      <c r="I9206" t="s">
        <v>28</v>
      </c>
      <c r="J9206">
        <v>272.86</v>
      </c>
      <c r="K9206">
        <v>0.04</v>
      </c>
      <c r="L9206">
        <v>0.37</v>
      </c>
      <c r="M9206">
        <v>2.4500000000000002</v>
      </c>
      <c r="N9206">
        <v>16.155999999999999</v>
      </c>
      <c r="O9206" s="1" t="s">
        <v>40</v>
      </c>
      <c r="P9206" s="1" t="s">
        <v>355</v>
      </c>
      <c r="Q9206" s="1" t="s">
        <v>356</v>
      </c>
      <c r="R9206" s="1" t="s">
        <v>220</v>
      </c>
      <c r="S9206" s="1" t="s">
        <v>221</v>
      </c>
      <c r="T9206" s="1" t="s">
        <v>357</v>
      </c>
      <c r="U9206" s="2" t="s">
        <v>3561</v>
      </c>
      <c r="V9206" s="2" t="s">
        <v>47</v>
      </c>
      <c r="W9206" s="2" t="s">
        <v>176</v>
      </c>
      <c r="X9206" s="2">
        <v>5.18</v>
      </c>
    </row>
    <row r="9207" spans="1:24" x14ac:dyDescent="0.3">
      <c r="A9207">
        <v>6807</v>
      </c>
      <c r="B9207" t="s">
        <v>16339</v>
      </c>
      <c r="C9207" s="3">
        <v>40887</v>
      </c>
      <c r="D9207" t="s">
        <v>62</v>
      </c>
      <c r="E9207">
        <v>33</v>
      </c>
      <c r="F9207" s="3">
        <f ca="1">40888+(RANDBETWEEN(1,10))</f>
        <v>40891</v>
      </c>
      <c r="G9207" t="s">
        <v>156</v>
      </c>
      <c r="H9207" t="s">
        <v>96</v>
      </c>
      <c r="I9207" t="s">
        <v>86</v>
      </c>
      <c r="J9207">
        <v>305.13</v>
      </c>
      <c r="K9207">
        <v>0</v>
      </c>
      <c r="L9207">
        <v>0.38</v>
      </c>
      <c r="M9207">
        <v>3.5</v>
      </c>
      <c r="N9207">
        <v>35.034999999999997</v>
      </c>
      <c r="O9207" s="1" t="s">
        <v>29</v>
      </c>
      <c r="P9207" s="1" t="s">
        <v>367</v>
      </c>
      <c r="Q9207" s="1" t="s">
        <v>368</v>
      </c>
      <c r="R9207" s="1" t="s">
        <v>32</v>
      </c>
      <c r="S9207" s="1" t="s">
        <v>33</v>
      </c>
      <c r="T9207" s="1" t="s">
        <v>369</v>
      </c>
      <c r="U9207" s="2" t="s">
        <v>671</v>
      </c>
      <c r="V9207" s="2" t="s">
        <v>47</v>
      </c>
      <c r="W9207" s="2" t="s">
        <v>104</v>
      </c>
      <c r="X9207" s="2">
        <v>7.7350000000000003</v>
      </c>
    </row>
    <row r="9208" spans="1:24" x14ac:dyDescent="0.3">
      <c r="A9208">
        <v>6813</v>
      </c>
      <c r="B9208" t="s">
        <v>16340</v>
      </c>
      <c r="C9208" s="3">
        <v>40919</v>
      </c>
      <c r="D9208" t="s">
        <v>25</v>
      </c>
      <c r="E9208">
        <v>27</v>
      </c>
      <c r="F9208" s="3">
        <f ca="1">40921+(RANDBETWEEN(1,10))</f>
        <v>40923</v>
      </c>
      <c r="G9208" t="s">
        <v>26</v>
      </c>
      <c r="H9208" t="s">
        <v>27</v>
      </c>
      <c r="I9208" t="s">
        <v>97</v>
      </c>
      <c r="J9208">
        <v>1262.45</v>
      </c>
      <c r="K9208">
        <v>0</v>
      </c>
      <c r="L9208">
        <v>0.35</v>
      </c>
      <c r="M9208">
        <v>5.2149999999999999</v>
      </c>
      <c r="N9208">
        <v>204.63239999999999</v>
      </c>
      <c r="O9208" s="1" t="s">
        <v>64</v>
      </c>
      <c r="P9208" s="1" t="s">
        <v>15875</v>
      </c>
      <c r="Q9208" s="1" t="s">
        <v>15876</v>
      </c>
      <c r="R9208" s="1" t="s">
        <v>128</v>
      </c>
      <c r="S9208" s="1" t="s">
        <v>129</v>
      </c>
      <c r="T9208" s="1" t="s">
        <v>278</v>
      </c>
      <c r="U9208" s="2" t="s">
        <v>2551</v>
      </c>
      <c r="V9208" s="2" t="s">
        <v>47</v>
      </c>
      <c r="W9208" s="2" t="s">
        <v>111</v>
      </c>
      <c r="X9208" s="2">
        <v>45.395000000000003</v>
      </c>
    </row>
    <row r="9209" spans="1:24" x14ac:dyDescent="0.3">
      <c r="A9209">
        <v>6816</v>
      </c>
      <c r="B9209" t="s">
        <v>16341</v>
      </c>
      <c r="C9209" s="3">
        <v>41628</v>
      </c>
      <c r="D9209" t="s">
        <v>62</v>
      </c>
      <c r="E9209">
        <v>94</v>
      </c>
      <c r="F9209" s="3">
        <f ca="1">41628+(RANDBETWEEN(1,10))</f>
        <v>41636</v>
      </c>
      <c r="G9209" t="s">
        <v>156</v>
      </c>
      <c r="H9209" t="s">
        <v>96</v>
      </c>
      <c r="I9209" t="s">
        <v>52</v>
      </c>
      <c r="J9209">
        <v>5080.6000000000004</v>
      </c>
      <c r="K9209">
        <v>0.01</v>
      </c>
      <c r="L9209">
        <v>0.39</v>
      </c>
      <c r="M9209">
        <v>6.8949999999999996</v>
      </c>
      <c r="N9209">
        <v>1146.075</v>
      </c>
      <c r="O9209" s="1" t="s">
        <v>53</v>
      </c>
      <c r="P9209" s="1" t="s">
        <v>10270</v>
      </c>
      <c r="Q9209" s="1" t="s">
        <v>10271</v>
      </c>
      <c r="R9209" s="1" t="s">
        <v>100</v>
      </c>
      <c r="S9209" s="1" t="s">
        <v>101</v>
      </c>
      <c r="T9209" s="1" t="s">
        <v>10272</v>
      </c>
      <c r="U9209" s="2" t="s">
        <v>372</v>
      </c>
      <c r="V9209" s="2" t="s">
        <v>47</v>
      </c>
      <c r="W9209" s="2" t="s">
        <v>74</v>
      </c>
      <c r="X9209" s="2">
        <v>52.64</v>
      </c>
    </row>
    <row r="9210" spans="1:24" x14ac:dyDescent="0.3">
      <c r="A9210">
        <v>682</v>
      </c>
      <c r="B9210" t="s">
        <v>16342</v>
      </c>
      <c r="C9210" s="3">
        <v>41377</v>
      </c>
      <c r="D9210" t="s">
        <v>50</v>
      </c>
      <c r="E9210">
        <v>46</v>
      </c>
      <c r="F9210" s="3">
        <f ca="1">41378+(RANDBETWEEN(1,10))</f>
        <v>41388</v>
      </c>
      <c r="G9210" t="s">
        <v>26</v>
      </c>
      <c r="H9210" t="s">
        <v>27</v>
      </c>
      <c r="I9210" t="s">
        <v>97</v>
      </c>
      <c r="J9210">
        <v>461.02</v>
      </c>
      <c r="K9210">
        <v>0.01</v>
      </c>
      <c r="L9210">
        <v>0.36</v>
      </c>
      <c r="M9210">
        <v>1.75</v>
      </c>
      <c r="N9210">
        <v>114.03735</v>
      </c>
      <c r="O9210" s="1" t="s">
        <v>64</v>
      </c>
      <c r="P9210" s="1" t="s">
        <v>314</v>
      </c>
      <c r="Q9210" s="1" t="s">
        <v>315</v>
      </c>
      <c r="R9210" s="1" t="s">
        <v>67</v>
      </c>
      <c r="S9210" s="1" t="s">
        <v>254</v>
      </c>
      <c r="T9210" s="1" t="s">
        <v>316</v>
      </c>
      <c r="U9210" s="2" t="s">
        <v>363</v>
      </c>
      <c r="V9210" s="2" t="s">
        <v>47</v>
      </c>
      <c r="W9210" s="2" t="s">
        <v>203</v>
      </c>
      <c r="X9210" s="2">
        <v>10.08</v>
      </c>
    </row>
    <row r="9211" spans="1:24" x14ac:dyDescent="0.3">
      <c r="A9211">
        <v>683</v>
      </c>
      <c r="B9211" t="s">
        <v>16343</v>
      </c>
      <c r="C9211" s="3">
        <v>41986</v>
      </c>
      <c r="D9211" t="s">
        <v>62</v>
      </c>
      <c r="E9211">
        <v>8</v>
      </c>
      <c r="F9211" s="3">
        <f ca="1">41988+(RANDBETWEEN(1,10))</f>
        <v>41993</v>
      </c>
      <c r="G9211" t="s">
        <v>76</v>
      </c>
      <c r="H9211" t="s">
        <v>258</v>
      </c>
      <c r="I9211" t="s">
        <v>52</v>
      </c>
      <c r="J9211">
        <v>951.51</v>
      </c>
      <c r="K9211">
        <v>0.04</v>
      </c>
      <c r="L9211">
        <v>0.65</v>
      </c>
      <c r="M9211">
        <v>159.285</v>
      </c>
      <c r="N9211">
        <v>-442.64499999999998</v>
      </c>
      <c r="O9211" s="1" t="s">
        <v>64</v>
      </c>
      <c r="P9211" s="1" t="s">
        <v>183</v>
      </c>
      <c r="Q9211" s="1" t="s">
        <v>184</v>
      </c>
      <c r="R9211" s="1" t="s">
        <v>128</v>
      </c>
      <c r="S9211" s="1" t="s">
        <v>129</v>
      </c>
      <c r="T9211" s="1" t="s">
        <v>185</v>
      </c>
      <c r="U9211" s="2" t="s">
        <v>1566</v>
      </c>
      <c r="V9211" s="2" t="s">
        <v>83</v>
      </c>
      <c r="W9211" s="2" t="s">
        <v>263</v>
      </c>
      <c r="X9211" s="2">
        <v>111.16</v>
      </c>
    </row>
    <row r="9212" spans="1:24" x14ac:dyDescent="0.3">
      <c r="A9212">
        <v>6833</v>
      </c>
      <c r="B9212" t="s">
        <v>16344</v>
      </c>
      <c r="C9212" s="3">
        <v>41930</v>
      </c>
      <c r="D9212" t="s">
        <v>148</v>
      </c>
      <c r="E9212">
        <v>29</v>
      </c>
      <c r="F9212" s="3">
        <f ca="1">41932+(RANDBETWEEN(1,10))</f>
        <v>41941</v>
      </c>
      <c r="G9212" t="s">
        <v>76</v>
      </c>
      <c r="H9212" t="s">
        <v>77</v>
      </c>
      <c r="I9212" t="s">
        <v>97</v>
      </c>
      <c r="J9212">
        <v>66494.89</v>
      </c>
      <c r="K9212">
        <v>0.06</v>
      </c>
      <c r="L9212">
        <v>0.4</v>
      </c>
      <c r="M9212">
        <v>193.55</v>
      </c>
      <c r="N9212">
        <v>9226.0349999999999</v>
      </c>
      <c r="O9212" s="1" t="s">
        <v>225</v>
      </c>
      <c r="P9212" s="1" t="s">
        <v>427</v>
      </c>
      <c r="Q9212" s="1" t="s">
        <v>428</v>
      </c>
      <c r="R9212" s="1" t="s">
        <v>228</v>
      </c>
      <c r="S9212" s="1" t="s">
        <v>229</v>
      </c>
      <c r="T9212" s="1" t="s">
        <v>429</v>
      </c>
      <c r="U9212" s="2" t="s">
        <v>8440</v>
      </c>
      <c r="V9212" s="2" t="s">
        <v>36</v>
      </c>
      <c r="W9212" s="2" t="s">
        <v>142</v>
      </c>
      <c r="X9212" s="2">
        <v>2829.7150000000001</v>
      </c>
    </row>
    <row r="9213" spans="1:24" x14ac:dyDescent="0.3">
      <c r="A9213">
        <v>6834</v>
      </c>
      <c r="B9213" t="s">
        <v>16344</v>
      </c>
      <c r="C9213" s="3">
        <v>41930</v>
      </c>
      <c r="D9213" t="s">
        <v>148</v>
      </c>
      <c r="E9213">
        <v>13</v>
      </c>
      <c r="F9213" s="3">
        <f ca="1">41932+(RANDBETWEEN(1,10))</f>
        <v>41938</v>
      </c>
      <c r="G9213" t="s">
        <v>26</v>
      </c>
      <c r="H9213" t="s">
        <v>27</v>
      </c>
      <c r="I9213" t="s">
        <v>97</v>
      </c>
      <c r="J9213">
        <v>136.88499999999999</v>
      </c>
      <c r="K9213">
        <v>0.06</v>
      </c>
      <c r="L9213">
        <v>0.36</v>
      </c>
      <c r="M9213">
        <v>3.4649999999999999</v>
      </c>
      <c r="N9213">
        <v>0.45500000000000002</v>
      </c>
      <c r="O9213" s="1" t="s">
        <v>225</v>
      </c>
      <c r="P9213" s="1" t="s">
        <v>427</v>
      </c>
      <c r="Q9213" s="1" t="s">
        <v>428</v>
      </c>
      <c r="R9213" s="1" t="s">
        <v>228</v>
      </c>
      <c r="S9213" s="1" t="s">
        <v>229</v>
      </c>
      <c r="T9213" s="1" t="s">
        <v>429</v>
      </c>
      <c r="U9213" s="2" t="s">
        <v>3527</v>
      </c>
      <c r="V9213" s="2" t="s">
        <v>47</v>
      </c>
      <c r="W9213" s="2" t="s">
        <v>203</v>
      </c>
      <c r="X9213" s="2">
        <v>10.08</v>
      </c>
    </row>
    <row r="9214" spans="1:24" x14ac:dyDescent="0.3">
      <c r="A9214">
        <v>6835</v>
      </c>
      <c r="B9214" t="s">
        <v>16344</v>
      </c>
      <c r="C9214" s="3">
        <v>41930</v>
      </c>
      <c r="D9214" t="s">
        <v>148</v>
      </c>
      <c r="E9214">
        <v>105</v>
      </c>
      <c r="F9214" s="3">
        <f ca="1">41932+(RANDBETWEEN(1,10))</f>
        <v>41934</v>
      </c>
      <c r="G9214" t="s">
        <v>26</v>
      </c>
      <c r="H9214" t="s">
        <v>27</v>
      </c>
      <c r="I9214" t="s">
        <v>97</v>
      </c>
      <c r="J9214">
        <v>21288.224999999999</v>
      </c>
      <c r="K9214">
        <v>0</v>
      </c>
      <c r="L9214">
        <v>0.6</v>
      </c>
      <c r="M9214">
        <v>31.465</v>
      </c>
      <c r="N9214">
        <v>2042.2394999999999</v>
      </c>
      <c r="O9214" s="1" t="s">
        <v>225</v>
      </c>
      <c r="P9214" s="1" t="s">
        <v>427</v>
      </c>
      <c r="Q9214" s="1" t="s">
        <v>428</v>
      </c>
      <c r="R9214" s="1" t="s">
        <v>228</v>
      </c>
      <c r="S9214" s="1" t="s">
        <v>229</v>
      </c>
      <c r="T9214" s="1" t="s">
        <v>429</v>
      </c>
      <c r="U9214" s="2" t="s">
        <v>8372</v>
      </c>
      <c r="V9214" s="2" t="s">
        <v>36</v>
      </c>
      <c r="W9214" s="2" t="s">
        <v>37</v>
      </c>
      <c r="X9214" s="2">
        <v>230.965</v>
      </c>
    </row>
    <row r="9215" spans="1:24" x14ac:dyDescent="0.3">
      <c r="A9215">
        <v>6839</v>
      </c>
      <c r="B9215" t="s">
        <v>16345</v>
      </c>
      <c r="C9215" s="3">
        <v>41942</v>
      </c>
      <c r="D9215" t="s">
        <v>25</v>
      </c>
      <c r="E9215">
        <v>59</v>
      </c>
      <c r="F9215" s="3">
        <f ca="1">41946+(RANDBETWEEN(1,10))</f>
        <v>41949</v>
      </c>
      <c r="G9215" t="s">
        <v>26</v>
      </c>
      <c r="H9215" t="s">
        <v>96</v>
      </c>
      <c r="I9215" t="s">
        <v>86</v>
      </c>
      <c r="J9215">
        <v>230.09</v>
      </c>
      <c r="K9215">
        <v>0.09</v>
      </c>
      <c r="L9215">
        <v>0.38</v>
      </c>
      <c r="M9215">
        <v>2.4500000000000002</v>
      </c>
      <c r="N9215">
        <v>-9.8350000000000009</v>
      </c>
      <c r="O9215" s="1" t="s">
        <v>64</v>
      </c>
      <c r="P9215" s="1" t="s">
        <v>8025</v>
      </c>
      <c r="Q9215" s="1" t="s">
        <v>8026</v>
      </c>
      <c r="R9215" s="1" t="s">
        <v>67</v>
      </c>
      <c r="S9215" s="1" t="s">
        <v>68</v>
      </c>
      <c r="T9215" s="1" t="s">
        <v>8027</v>
      </c>
      <c r="U9215" s="2" t="s">
        <v>293</v>
      </c>
      <c r="V9215" s="2" t="s">
        <v>47</v>
      </c>
      <c r="W9215" s="2" t="s">
        <v>176</v>
      </c>
      <c r="X9215" s="2">
        <v>3.99</v>
      </c>
    </row>
    <row r="9216" spans="1:24" x14ac:dyDescent="0.3">
      <c r="A9216">
        <v>6840</v>
      </c>
      <c r="B9216" t="s">
        <v>16345</v>
      </c>
      <c r="C9216" s="3">
        <v>41942</v>
      </c>
      <c r="D9216" t="s">
        <v>25</v>
      </c>
      <c r="E9216">
        <v>38</v>
      </c>
      <c r="F9216" s="3">
        <f ca="1">41949+(RANDBETWEEN(1,10))</f>
        <v>41958</v>
      </c>
      <c r="G9216" t="s">
        <v>26</v>
      </c>
      <c r="H9216" t="s">
        <v>27</v>
      </c>
      <c r="I9216" t="s">
        <v>86</v>
      </c>
      <c r="J9216">
        <v>981.08500000000004</v>
      </c>
      <c r="K9216">
        <v>0.09</v>
      </c>
      <c r="L9216">
        <v>0.37</v>
      </c>
      <c r="M9216">
        <v>39.024999999999999</v>
      </c>
      <c r="N9216">
        <v>-458.36</v>
      </c>
      <c r="O9216" s="1" t="s">
        <v>64</v>
      </c>
      <c r="P9216" s="1" t="s">
        <v>8025</v>
      </c>
      <c r="Q9216" s="1" t="s">
        <v>8026</v>
      </c>
      <c r="R9216" s="1" t="s">
        <v>67</v>
      </c>
      <c r="S9216" s="1" t="s">
        <v>68</v>
      </c>
      <c r="T9216" s="1" t="s">
        <v>8027</v>
      </c>
      <c r="U9216" s="2" t="s">
        <v>4160</v>
      </c>
      <c r="V9216" s="2" t="s">
        <v>47</v>
      </c>
      <c r="W9216" s="2" t="s">
        <v>74</v>
      </c>
      <c r="X9216" s="2">
        <v>25.48</v>
      </c>
    </row>
    <row r="9217" spans="1:24" x14ac:dyDescent="0.3">
      <c r="A9217">
        <v>6850</v>
      </c>
      <c r="B9217" t="s">
        <v>16346</v>
      </c>
      <c r="C9217" s="3">
        <v>41860</v>
      </c>
      <c r="D9217" t="s">
        <v>39</v>
      </c>
      <c r="E9217">
        <v>62</v>
      </c>
      <c r="F9217" s="3">
        <f ca="1">41862+(RANDBETWEEN(1,10))</f>
        <v>41872</v>
      </c>
      <c r="G9217" t="s">
        <v>76</v>
      </c>
      <c r="H9217" t="s">
        <v>77</v>
      </c>
      <c r="I9217" t="s">
        <v>86</v>
      </c>
      <c r="J9217">
        <v>51266.46</v>
      </c>
      <c r="K9217">
        <v>0.04</v>
      </c>
      <c r="L9217">
        <v>0.56999999999999995</v>
      </c>
      <c r="M9217">
        <v>220.29</v>
      </c>
      <c r="N9217">
        <v>1344.9747500000001</v>
      </c>
      <c r="O9217" s="1" t="s">
        <v>225</v>
      </c>
      <c r="P9217" s="1" t="s">
        <v>15987</v>
      </c>
      <c r="Q9217" s="1" t="s">
        <v>15988</v>
      </c>
      <c r="R9217" s="1" t="s">
        <v>228</v>
      </c>
      <c r="S9217" s="1" t="s">
        <v>349</v>
      </c>
      <c r="T9217" s="1" t="s">
        <v>350</v>
      </c>
      <c r="U9217" s="2" t="s">
        <v>4113</v>
      </c>
      <c r="V9217" s="2" t="s">
        <v>83</v>
      </c>
      <c r="W9217" s="2" t="s">
        <v>84</v>
      </c>
      <c r="X9217" s="2">
        <v>853.93</v>
      </c>
    </row>
    <row r="9218" spans="1:24" x14ac:dyDescent="0.3">
      <c r="A9218">
        <v>6852</v>
      </c>
      <c r="B9218" t="s">
        <v>16347</v>
      </c>
      <c r="C9218" s="3">
        <v>41204</v>
      </c>
      <c r="D9218" t="s">
        <v>50</v>
      </c>
      <c r="E9218">
        <v>14</v>
      </c>
      <c r="F9218" s="3">
        <f ca="1">41205+(RANDBETWEEN(1,10))</f>
        <v>41215</v>
      </c>
      <c r="G9218" t="s">
        <v>26</v>
      </c>
      <c r="H9218" t="s">
        <v>63</v>
      </c>
      <c r="I9218" t="s">
        <v>97</v>
      </c>
      <c r="J9218">
        <v>176164.31</v>
      </c>
      <c r="K9218">
        <v>0.04</v>
      </c>
      <c r="L9218">
        <v>0.37</v>
      </c>
      <c r="M9218">
        <v>85.715000000000003</v>
      </c>
      <c r="N9218">
        <v>798.31640000000004</v>
      </c>
      <c r="O9218" s="1" t="s">
        <v>53</v>
      </c>
      <c r="P9218" s="1" t="s">
        <v>16059</v>
      </c>
      <c r="Q9218" s="1" t="s">
        <v>16060</v>
      </c>
      <c r="R9218" s="1" t="s">
        <v>100</v>
      </c>
      <c r="S9218" s="1" t="s">
        <v>101</v>
      </c>
      <c r="T9218" s="1" t="s">
        <v>16061</v>
      </c>
      <c r="U9218" s="2" t="s">
        <v>6194</v>
      </c>
      <c r="V9218" s="2" t="s">
        <v>36</v>
      </c>
      <c r="W9218" s="2" t="s">
        <v>1327</v>
      </c>
      <c r="X9218" s="2">
        <v>12249.965</v>
      </c>
    </row>
    <row r="9219" spans="1:24" x14ac:dyDescent="0.3">
      <c r="A9219">
        <v>6856</v>
      </c>
      <c r="B9219" t="s">
        <v>16348</v>
      </c>
      <c r="C9219" s="3">
        <v>40588</v>
      </c>
      <c r="D9219" t="s">
        <v>62</v>
      </c>
      <c r="E9219">
        <v>8</v>
      </c>
      <c r="F9219" s="3">
        <f ca="1">40590+(RANDBETWEEN(1,10))</f>
        <v>40595</v>
      </c>
      <c r="G9219" t="s">
        <v>76</v>
      </c>
      <c r="H9219" t="s">
        <v>258</v>
      </c>
      <c r="I9219" t="s">
        <v>97</v>
      </c>
      <c r="J9219">
        <v>9279.2350000000006</v>
      </c>
      <c r="K9219">
        <v>0.09</v>
      </c>
      <c r="L9219">
        <v>0.62</v>
      </c>
      <c r="M9219">
        <v>140.66499999999999</v>
      </c>
      <c r="N9219">
        <v>-328.47500000000002</v>
      </c>
      <c r="O9219" s="1" t="s">
        <v>64</v>
      </c>
      <c r="P9219" s="1" t="s">
        <v>328</v>
      </c>
      <c r="Q9219" s="1" t="s">
        <v>329</v>
      </c>
      <c r="R9219" s="1" t="s">
        <v>128</v>
      </c>
      <c r="S9219" s="1" t="s">
        <v>129</v>
      </c>
      <c r="T9219" s="1" t="s">
        <v>330</v>
      </c>
      <c r="U9219" s="2" t="s">
        <v>3482</v>
      </c>
      <c r="V9219" s="2" t="s">
        <v>83</v>
      </c>
      <c r="W9219" s="2" t="s">
        <v>263</v>
      </c>
      <c r="X9219" s="2">
        <v>1218.7349999999999</v>
      </c>
    </row>
    <row r="9220" spans="1:24" x14ac:dyDescent="0.3">
      <c r="A9220">
        <v>6875</v>
      </c>
      <c r="B9220" t="s">
        <v>16349</v>
      </c>
      <c r="C9220" s="3">
        <v>41204</v>
      </c>
      <c r="D9220" t="s">
        <v>50</v>
      </c>
      <c r="E9220">
        <v>11</v>
      </c>
      <c r="F9220" s="3">
        <f ca="1">41206+(RANDBETWEEN(1,10))</f>
        <v>41213</v>
      </c>
      <c r="G9220" t="s">
        <v>26</v>
      </c>
      <c r="H9220" t="s">
        <v>63</v>
      </c>
      <c r="I9220" t="s">
        <v>52</v>
      </c>
      <c r="J9220">
        <v>6971.02</v>
      </c>
      <c r="K9220">
        <v>0.03</v>
      </c>
      <c r="L9220">
        <v>0.85</v>
      </c>
      <c r="M9220">
        <v>122.5</v>
      </c>
      <c r="N9220">
        <v>-1307.1659999999999</v>
      </c>
      <c r="O9220" s="1" t="s">
        <v>64</v>
      </c>
      <c r="P9220" s="1" t="s">
        <v>183</v>
      </c>
      <c r="Q9220" s="1" t="s">
        <v>184</v>
      </c>
      <c r="R9220" s="1" t="s">
        <v>128</v>
      </c>
      <c r="S9220" s="1" t="s">
        <v>129</v>
      </c>
      <c r="T9220" s="1" t="s">
        <v>185</v>
      </c>
      <c r="U9220" s="2" t="s">
        <v>4771</v>
      </c>
      <c r="V9220" s="2" t="s">
        <v>47</v>
      </c>
      <c r="W9220" s="2" t="s">
        <v>119</v>
      </c>
      <c r="X9220" s="2">
        <v>585.44500000000005</v>
      </c>
    </row>
    <row r="9221" spans="1:24" x14ac:dyDescent="0.3">
      <c r="A9221">
        <v>6878</v>
      </c>
      <c r="B9221" t="s">
        <v>16350</v>
      </c>
      <c r="C9221" s="3">
        <v>41375</v>
      </c>
      <c r="D9221" t="s">
        <v>39</v>
      </c>
      <c r="E9221">
        <v>46</v>
      </c>
      <c r="F9221" s="3">
        <f ca="1">41376+(RANDBETWEEN(1,10))</f>
        <v>41381</v>
      </c>
      <c r="G9221" t="s">
        <v>26</v>
      </c>
      <c r="H9221" t="s">
        <v>51</v>
      </c>
      <c r="I9221" t="s">
        <v>97</v>
      </c>
      <c r="J9221">
        <v>2783.4450000000002</v>
      </c>
      <c r="K9221">
        <v>0.08</v>
      </c>
      <c r="L9221">
        <v>0.47</v>
      </c>
      <c r="M9221">
        <v>31.465</v>
      </c>
      <c r="N9221">
        <v>122.78</v>
      </c>
      <c r="O9221" s="1" t="s">
        <v>64</v>
      </c>
      <c r="P9221" s="1" t="s">
        <v>8714</v>
      </c>
      <c r="Q9221" s="1" t="s">
        <v>8715</v>
      </c>
      <c r="R9221" s="1" t="s">
        <v>128</v>
      </c>
      <c r="S9221" s="1" t="s">
        <v>129</v>
      </c>
      <c r="T9221" s="1" t="s">
        <v>8716</v>
      </c>
      <c r="U9221" s="2" t="s">
        <v>1320</v>
      </c>
      <c r="V9221" s="2" t="s">
        <v>83</v>
      </c>
      <c r="W9221" s="2" t="s">
        <v>178</v>
      </c>
      <c r="X9221" s="2">
        <v>61.844999999999999</v>
      </c>
    </row>
    <row r="9222" spans="1:24" x14ac:dyDescent="0.3">
      <c r="A9222">
        <v>6891</v>
      </c>
      <c r="B9222" t="s">
        <v>16351</v>
      </c>
      <c r="C9222" s="3">
        <v>40631</v>
      </c>
      <c r="D9222" t="s">
        <v>50</v>
      </c>
      <c r="E9222">
        <v>29</v>
      </c>
      <c r="F9222" s="3">
        <f ca="1">40633+(RANDBETWEEN(1,10))</f>
        <v>40635</v>
      </c>
      <c r="G9222" t="s">
        <v>156</v>
      </c>
      <c r="H9222" t="s">
        <v>27</v>
      </c>
      <c r="I9222" t="s">
        <v>28</v>
      </c>
      <c r="J9222">
        <v>620.93499999999995</v>
      </c>
      <c r="K9222">
        <v>0.05</v>
      </c>
      <c r="L9222">
        <v>0.36</v>
      </c>
      <c r="M9222">
        <v>26.74</v>
      </c>
      <c r="N9222">
        <v>-406.17500000000001</v>
      </c>
      <c r="O9222" s="1" t="s">
        <v>64</v>
      </c>
      <c r="P9222" s="1" t="s">
        <v>233</v>
      </c>
      <c r="Q9222" s="1" t="s">
        <v>234</v>
      </c>
      <c r="R9222" s="1" t="s">
        <v>67</v>
      </c>
      <c r="S9222" s="1" t="s">
        <v>68</v>
      </c>
      <c r="T9222" s="1" t="s">
        <v>235</v>
      </c>
      <c r="U9222" s="2" t="s">
        <v>3201</v>
      </c>
      <c r="V9222" s="2" t="s">
        <v>47</v>
      </c>
      <c r="W9222" s="2" t="s">
        <v>74</v>
      </c>
      <c r="X9222" s="2">
        <v>20.23</v>
      </c>
    </row>
    <row r="9223" spans="1:24" x14ac:dyDescent="0.3">
      <c r="A9223">
        <v>6929</v>
      </c>
      <c r="B9223" t="s">
        <v>16352</v>
      </c>
      <c r="C9223" s="3">
        <v>41297</v>
      </c>
      <c r="D9223" t="s">
        <v>39</v>
      </c>
      <c r="E9223">
        <v>46</v>
      </c>
      <c r="F9223" s="3">
        <f ca="1">41298+(RANDBETWEEN(1,10))</f>
        <v>41299</v>
      </c>
      <c r="G9223" t="s">
        <v>26</v>
      </c>
      <c r="H9223" t="s">
        <v>96</v>
      </c>
      <c r="I9223" t="s">
        <v>97</v>
      </c>
      <c r="J9223">
        <v>1555.61</v>
      </c>
      <c r="K9223">
        <v>0.05</v>
      </c>
      <c r="L9223">
        <v>0.47</v>
      </c>
      <c r="M9223">
        <v>16.87</v>
      </c>
      <c r="N9223">
        <v>-61.488</v>
      </c>
      <c r="O9223" s="1" t="s">
        <v>64</v>
      </c>
      <c r="P9223" s="1" t="s">
        <v>328</v>
      </c>
      <c r="Q9223" s="1" t="s">
        <v>329</v>
      </c>
      <c r="R9223" s="1" t="s">
        <v>128</v>
      </c>
      <c r="S9223" s="1" t="s">
        <v>129</v>
      </c>
      <c r="T9223" s="1" t="s">
        <v>330</v>
      </c>
      <c r="U9223" s="2" t="s">
        <v>9076</v>
      </c>
      <c r="V9223" s="2" t="s">
        <v>47</v>
      </c>
      <c r="W9223" s="2" t="s">
        <v>104</v>
      </c>
      <c r="X9223" s="2">
        <v>34.475000000000001</v>
      </c>
    </row>
    <row r="9224" spans="1:24" x14ac:dyDescent="0.3">
      <c r="A9224">
        <v>694</v>
      </c>
      <c r="B9224" t="s">
        <v>16353</v>
      </c>
      <c r="C9224" s="3">
        <v>40672</v>
      </c>
      <c r="D9224" t="s">
        <v>62</v>
      </c>
      <c r="E9224">
        <v>35</v>
      </c>
      <c r="F9224" s="3">
        <f ca="1">40672+(RANDBETWEEN(1,10))</f>
        <v>40682</v>
      </c>
      <c r="G9224" t="s">
        <v>26</v>
      </c>
      <c r="H9224" t="s">
        <v>27</v>
      </c>
      <c r="I9224" t="s">
        <v>52</v>
      </c>
      <c r="J9224">
        <v>813.75</v>
      </c>
      <c r="K9224">
        <v>0.05</v>
      </c>
      <c r="L9224">
        <v>0.37</v>
      </c>
      <c r="M9224">
        <v>30.555</v>
      </c>
      <c r="N9224">
        <v>-561.34645</v>
      </c>
      <c r="O9224" s="1" t="s">
        <v>53</v>
      </c>
      <c r="P9224" s="1" t="s">
        <v>54</v>
      </c>
      <c r="Q9224" s="1" t="s">
        <v>55</v>
      </c>
      <c r="R9224" s="1" t="s">
        <v>56</v>
      </c>
      <c r="S9224" s="1" t="s">
        <v>57</v>
      </c>
      <c r="T9224" s="1" t="s">
        <v>58</v>
      </c>
      <c r="U9224" s="2" t="s">
        <v>2564</v>
      </c>
      <c r="V9224" s="2" t="s">
        <v>47</v>
      </c>
      <c r="W9224" s="2" t="s">
        <v>74</v>
      </c>
      <c r="X9224" s="2">
        <v>22.68</v>
      </c>
    </row>
    <row r="9225" spans="1:24" x14ac:dyDescent="0.3">
      <c r="A9225">
        <v>6959</v>
      </c>
      <c r="B9225" t="s">
        <v>16354</v>
      </c>
      <c r="C9225" s="3">
        <v>41440</v>
      </c>
      <c r="D9225" t="s">
        <v>39</v>
      </c>
      <c r="E9225">
        <v>58</v>
      </c>
      <c r="F9225" s="3">
        <f ca="1">41442+(RANDBETWEEN(1,10))</f>
        <v>41447</v>
      </c>
      <c r="G9225" t="s">
        <v>26</v>
      </c>
      <c r="H9225" t="s">
        <v>96</v>
      </c>
      <c r="I9225" t="s">
        <v>28</v>
      </c>
      <c r="J9225">
        <v>574.94500000000005</v>
      </c>
      <c r="K9225">
        <v>0.09</v>
      </c>
      <c r="L9225">
        <v>0.4</v>
      </c>
      <c r="M9225">
        <v>2.835</v>
      </c>
      <c r="N9225">
        <v>83.09</v>
      </c>
      <c r="O9225" s="1" t="s">
        <v>29</v>
      </c>
      <c r="P9225" s="1" t="s">
        <v>323</v>
      </c>
      <c r="Q9225" s="1" t="s">
        <v>324</v>
      </c>
      <c r="R9225" s="1" t="s">
        <v>32</v>
      </c>
      <c r="S9225" s="1" t="s">
        <v>33</v>
      </c>
      <c r="T9225" s="1" t="s">
        <v>325</v>
      </c>
      <c r="U9225" s="2" t="s">
        <v>5264</v>
      </c>
      <c r="V9225" s="2" t="s">
        <v>47</v>
      </c>
      <c r="W9225" s="2" t="s">
        <v>104</v>
      </c>
      <c r="X9225" s="2">
        <v>10.29</v>
      </c>
    </row>
    <row r="9226" spans="1:24" x14ac:dyDescent="0.3">
      <c r="A9226">
        <v>6972</v>
      </c>
      <c r="B9226" t="s">
        <v>16355</v>
      </c>
      <c r="C9226" s="3">
        <v>41355</v>
      </c>
      <c r="D9226" t="s">
        <v>39</v>
      </c>
      <c r="E9226">
        <v>37</v>
      </c>
      <c r="F9226" s="3">
        <f ca="1">41356+(RANDBETWEEN(1,10))</f>
        <v>41364</v>
      </c>
      <c r="G9226" t="s">
        <v>156</v>
      </c>
      <c r="H9226" t="s">
        <v>27</v>
      </c>
      <c r="I9226" t="s">
        <v>86</v>
      </c>
      <c r="J9226">
        <v>7456.96</v>
      </c>
      <c r="K9226">
        <v>0.01</v>
      </c>
      <c r="L9226">
        <v>0.56999999999999995</v>
      </c>
      <c r="M9226">
        <v>18.585000000000001</v>
      </c>
      <c r="N9226">
        <v>1540.6965</v>
      </c>
      <c r="O9226" s="1" t="s">
        <v>64</v>
      </c>
      <c r="P9226" s="1" t="s">
        <v>8025</v>
      </c>
      <c r="Q9226" s="1" t="s">
        <v>8026</v>
      </c>
      <c r="R9226" s="1" t="s">
        <v>67</v>
      </c>
      <c r="S9226" s="1" t="s">
        <v>68</v>
      </c>
      <c r="T9226" s="1" t="s">
        <v>8027</v>
      </c>
      <c r="U9226" s="2">
        <v>3390</v>
      </c>
      <c r="V9226" s="2" t="s">
        <v>36</v>
      </c>
      <c r="W9226" s="2" t="s">
        <v>37</v>
      </c>
      <c r="X9226" s="2">
        <v>230.965</v>
      </c>
    </row>
    <row r="9227" spans="1:24" x14ac:dyDescent="0.3">
      <c r="A9227">
        <v>6976</v>
      </c>
      <c r="B9227" t="s">
        <v>16356</v>
      </c>
      <c r="C9227" s="3">
        <v>41144</v>
      </c>
      <c r="D9227" t="s">
        <v>62</v>
      </c>
      <c r="E9227">
        <v>32</v>
      </c>
      <c r="F9227" s="3">
        <f ca="1">41146+(RANDBETWEEN(1,10))</f>
        <v>41150</v>
      </c>
      <c r="G9227" t="s">
        <v>26</v>
      </c>
      <c r="H9227" t="s">
        <v>27</v>
      </c>
      <c r="I9227" t="s">
        <v>86</v>
      </c>
      <c r="J9227">
        <v>1706.88</v>
      </c>
      <c r="K9227">
        <v>0.01</v>
      </c>
      <c r="L9227">
        <v>0.81</v>
      </c>
      <c r="M9227">
        <v>15.855</v>
      </c>
      <c r="N9227">
        <v>-203.84</v>
      </c>
      <c r="O9227" s="1" t="s">
        <v>40</v>
      </c>
      <c r="P9227" s="1" t="s">
        <v>7320</v>
      </c>
      <c r="Q9227" s="1" t="s">
        <v>7321</v>
      </c>
      <c r="R9227" s="1" t="s">
        <v>43</v>
      </c>
      <c r="S9227" s="1" t="s">
        <v>44</v>
      </c>
      <c r="T9227" s="1" t="s">
        <v>7322</v>
      </c>
      <c r="U9227" s="2" t="s">
        <v>2304</v>
      </c>
      <c r="V9227" s="2" t="s">
        <v>47</v>
      </c>
      <c r="W9227" s="2" t="s">
        <v>119</v>
      </c>
      <c r="X9227" s="2">
        <v>52.99</v>
      </c>
    </row>
    <row r="9228" spans="1:24" x14ac:dyDescent="0.3">
      <c r="A9228">
        <v>6978</v>
      </c>
      <c r="B9228" t="s">
        <v>16357</v>
      </c>
      <c r="C9228" s="3">
        <v>41985</v>
      </c>
      <c r="D9228" t="s">
        <v>62</v>
      </c>
      <c r="E9228">
        <v>94</v>
      </c>
      <c r="F9228" s="3">
        <f ca="1">41987+(RANDBETWEEN(1,10))</f>
        <v>41991</v>
      </c>
      <c r="G9228" t="s">
        <v>26</v>
      </c>
      <c r="H9228" t="s">
        <v>27</v>
      </c>
      <c r="I9228" t="s">
        <v>97</v>
      </c>
      <c r="J9228">
        <v>3734.29</v>
      </c>
      <c r="K9228">
        <v>0.09</v>
      </c>
      <c r="L9228">
        <v>0.4</v>
      </c>
      <c r="M9228">
        <v>25.164999999999999</v>
      </c>
      <c r="N9228">
        <v>-175.73150000000001</v>
      </c>
      <c r="O9228" s="1" t="s">
        <v>64</v>
      </c>
      <c r="P9228" s="1" t="s">
        <v>374</v>
      </c>
      <c r="Q9228" s="1" t="s">
        <v>375</v>
      </c>
      <c r="R9228" s="1" t="s">
        <v>128</v>
      </c>
      <c r="S9228" s="1" t="s">
        <v>129</v>
      </c>
      <c r="T9228" s="1" t="s">
        <v>376</v>
      </c>
      <c r="U9228" s="2" t="s">
        <v>1736</v>
      </c>
      <c r="V9228" s="2" t="s">
        <v>47</v>
      </c>
      <c r="W9228" s="2" t="s">
        <v>111</v>
      </c>
      <c r="X9228" s="2">
        <v>40.25</v>
      </c>
    </row>
    <row r="9229" spans="1:24" x14ac:dyDescent="0.3">
      <c r="A9229">
        <v>6979</v>
      </c>
      <c r="B9229" t="s">
        <v>16357</v>
      </c>
      <c r="C9229" s="3">
        <v>41985</v>
      </c>
      <c r="D9229" t="s">
        <v>62</v>
      </c>
      <c r="E9229">
        <v>42</v>
      </c>
      <c r="F9229" s="3">
        <f ca="1">41987+(RANDBETWEEN(1,10))</f>
        <v>41993</v>
      </c>
      <c r="G9229" t="s">
        <v>156</v>
      </c>
      <c r="H9229" t="s">
        <v>96</v>
      </c>
      <c r="I9229" t="s">
        <v>97</v>
      </c>
      <c r="J9229">
        <v>433.58</v>
      </c>
      <c r="K9229">
        <v>0.09</v>
      </c>
      <c r="L9229">
        <v>0.56999999999999995</v>
      </c>
      <c r="M9229">
        <v>7.1050000000000004</v>
      </c>
      <c r="N9229">
        <v>-78.12</v>
      </c>
      <c r="O9229" s="1" t="s">
        <v>64</v>
      </c>
      <c r="P9229" s="1" t="s">
        <v>374</v>
      </c>
      <c r="Q9229" s="1" t="s">
        <v>375</v>
      </c>
      <c r="R9229" s="1" t="s">
        <v>128</v>
      </c>
      <c r="S9229" s="1" t="s">
        <v>129</v>
      </c>
      <c r="T9229" s="1" t="s">
        <v>376</v>
      </c>
      <c r="U9229" s="2" t="s">
        <v>7905</v>
      </c>
      <c r="V9229" s="2" t="s">
        <v>47</v>
      </c>
      <c r="W9229" s="2" t="s">
        <v>104</v>
      </c>
      <c r="X9229" s="2">
        <v>10.43</v>
      </c>
    </row>
    <row r="9230" spans="1:24" x14ac:dyDescent="0.3">
      <c r="A9230">
        <v>6988</v>
      </c>
      <c r="B9230" t="s">
        <v>16358</v>
      </c>
      <c r="C9230" s="3">
        <v>41840</v>
      </c>
      <c r="D9230" t="s">
        <v>50</v>
      </c>
      <c r="E9230">
        <v>36</v>
      </c>
      <c r="F9230" s="3">
        <f ca="1">41840+(RANDBETWEEN(1,10))</f>
        <v>41843</v>
      </c>
      <c r="G9230" t="s">
        <v>26</v>
      </c>
      <c r="H9230" t="s">
        <v>27</v>
      </c>
      <c r="I9230" t="s">
        <v>97</v>
      </c>
      <c r="J9230">
        <v>676.23500000000001</v>
      </c>
      <c r="K9230">
        <v>0.01</v>
      </c>
      <c r="L9230">
        <v>0.37</v>
      </c>
      <c r="M9230">
        <v>17.324999999999999</v>
      </c>
      <c r="N9230">
        <v>-189.29575</v>
      </c>
      <c r="O9230" s="1" t="s">
        <v>53</v>
      </c>
      <c r="P9230" s="1" t="s">
        <v>16059</v>
      </c>
      <c r="Q9230" s="1" t="s">
        <v>16060</v>
      </c>
      <c r="R9230" s="1" t="s">
        <v>100</v>
      </c>
      <c r="S9230" s="1" t="s">
        <v>101</v>
      </c>
      <c r="T9230" s="1" t="s">
        <v>16061</v>
      </c>
      <c r="U9230" s="2" t="s">
        <v>5209</v>
      </c>
      <c r="V9230" s="2" t="s">
        <v>47</v>
      </c>
      <c r="W9230" s="2" t="s">
        <v>111</v>
      </c>
      <c r="X9230" s="2">
        <v>17.43</v>
      </c>
    </row>
    <row r="9231" spans="1:24" x14ac:dyDescent="0.3">
      <c r="A9231">
        <v>6989</v>
      </c>
      <c r="B9231" t="s">
        <v>16358</v>
      </c>
      <c r="C9231" s="3">
        <v>41840</v>
      </c>
      <c r="D9231" t="s">
        <v>50</v>
      </c>
      <c r="E9231">
        <v>39</v>
      </c>
      <c r="F9231" s="3">
        <f ca="1">41842+(RANDBETWEEN(1,10))</f>
        <v>41846</v>
      </c>
      <c r="G9231" t="s">
        <v>26</v>
      </c>
      <c r="H9231" t="s">
        <v>96</v>
      </c>
      <c r="I9231" t="s">
        <v>97</v>
      </c>
      <c r="J9231">
        <v>972.65</v>
      </c>
      <c r="K9231">
        <v>0.08</v>
      </c>
      <c r="L9231">
        <v>0.42</v>
      </c>
      <c r="M9231">
        <v>14</v>
      </c>
      <c r="N9231">
        <v>47.04</v>
      </c>
      <c r="O9231" s="1" t="s">
        <v>53</v>
      </c>
      <c r="P9231" s="1" t="s">
        <v>16059</v>
      </c>
      <c r="Q9231" s="1" t="s">
        <v>16060</v>
      </c>
      <c r="R9231" s="1" t="s">
        <v>100</v>
      </c>
      <c r="S9231" s="1" t="s">
        <v>101</v>
      </c>
      <c r="T9231" s="1" t="s">
        <v>16061</v>
      </c>
      <c r="U9231" s="2" t="s">
        <v>2801</v>
      </c>
      <c r="V9231" s="2" t="s">
        <v>83</v>
      </c>
      <c r="W9231" s="2" t="s">
        <v>178</v>
      </c>
      <c r="X9231" s="2">
        <v>26.565000000000001</v>
      </c>
    </row>
    <row r="9232" spans="1:24" x14ac:dyDescent="0.3">
      <c r="A9232">
        <v>6990</v>
      </c>
      <c r="B9232" t="s">
        <v>16358</v>
      </c>
      <c r="C9232" s="3">
        <v>41840</v>
      </c>
      <c r="D9232" t="s">
        <v>50</v>
      </c>
      <c r="E9232">
        <v>55</v>
      </c>
      <c r="F9232" s="3">
        <f ca="1">41841+(RANDBETWEEN(1,10))</f>
        <v>41849</v>
      </c>
      <c r="G9232" t="s">
        <v>26</v>
      </c>
      <c r="H9232" t="s">
        <v>96</v>
      </c>
      <c r="I9232" t="s">
        <v>97</v>
      </c>
      <c r="J9232">
        <v>422.8</v>
      </c>
      <c r="K9232">
        <v>0.04</v>
      </c>
      <c r="L9232">
        <v>0.52</v>
      </c>
      <c r="M9232">
        <v>2.73</v>
      </c>
      <c r="N9232">
        <v>23.344999999999999</v>
      </c>
      <c r="O9232" s="1" t="s">
        <v>53</v>
      </c>
      <c r="P9232" s="1" t="s">
        <v>16059</v>
      </c>
      <c r="Q9232" s="1" t="s">
        <v>16060</v>
      </c>
      <c r="R9232" s="1" t="s">
        <v>100</v>
      </c>
      <c r="S9232" s="1" t="s">
        <v>101</v>
      </c>
      <c r="T9232" s="1" t="s">
        <v>16061</v>
      </c>
      <c r="U9232" s="2" t="s">
        <v>5921</v>
      </c>
      <c r="V9232" s="2" t="s">
        <v>47</v>
      </c>
      <c r="W9232" s="2" t="s">
        <v>176</v>
      </c>
      <c r="X9232" s="2">
        <v>7.63</v>
      </c>
    </row>
    <row r="9233" spans="1:24" x14ac:dyDescent="0.3">
      <c r="A9233">
        <v>7005</v>
      </c>
      <c r="B9233" t="s">
        <v>16359</v>
      </c>
      <c r="C9233" s="3">
        <v>41887</v>
      </c>
      <c r="D9233" t="s">
        <v>50</v>
      </c>
      <c r="E9233">
        <v>23</v>
      </c>
      <c r="F9233" s="3">
        <f ca="1">41887+(RANDBETWEEN(1,10))</f>
        <v>41897</v>
      </c>
      <c r="G9233" t="s">
        <v>76</v>
      </c>
      <c r="H9233" t="s">
        <v>77</v>
      </c>
      <c r="I9233" t="s">
        <v>28</v>
      </c>
      <c r="J9233">
        <v>37727.794999999998</v>
      </c>
      <c r="K9233">
        <v>0</v>
      </c>
      <c r="L9233">
        <v>0.56000000000000005</v>
      </c>
      <c r="M9233">
        <v>51.45</v>
      </c>
      <c r="N9233">
        <v>1755.2850000000001</v>
      </c>
      <c r="O9233" s="1" t="s">
        <v>53</v>
      </c>
      <c r="P9233" s="1" t="s">
        <v>243</v>
      </c>
      <c r="Q9233" s="1" t="s">
        <v>244</v>
      </c>
      <c r="R9233" s="1" t="s">
        <v>100</v>
      </c>
      <c r="S9233" s="1" t="s">
        <v>101</v>
      </c>
      <c r="T9233" s="1" t="s">
        <v>245</v>
      </c>
      <c r="U9233" s="2" t="s">
        <v>3549</v>
      </c>
      <c r="V9233" s="2" t="s">
        <v>36</v>
      </c>
      <c r="W9233" s="2" t="s">
        <v>142</v>
      </c>
      <c r="X9233" s="2">
        <v>1547.49</v>
      </c>
    </row>
    <row r="9234" spans="1:24" x14ac:dyDescent="0.3">
      <c r="A9234">
        <v>7030</v>
      </c>
      <c r="B9234" t="s">
        <v>16360</v>
      </c>
      <c r="C9234" s="3">
        <v>41789</v>
      </c>
      <c r="D9234" t="s">
        <v>39</v>
      </c>
      <c r="E9234">
        <v>3</v>
      </c>
      <c r="F9234" s="3">
        <f ca="1">41790+(RANDBETWEEN(1,10))</f>
        <v>41794</v>
      </c>
      <c r="G9234" t="s">
        <v>76</v>
      </c>
      <c r="H9234" t="s">
        <v>77</v>
      </c>
      <c r="I9234" t="s">
        <v>86</v>
      </c>
      <c r="J9234">
        <v>1521.1</v>
      </c>
      <c r="K9234">
        <v>0.04</v>
      </c>
      <c r="L9234">
        <v>0.76</v>
      </c>
      <c r="M9234">
        <v>100.205</v>
      </c>
      <c r="N9234">
        <v>-861.73500000000001</v>
      </c>
      <c r="O9234" s="1" t="s">
        <v>64</v>
      </c>
      <c r="P9234" s="1" t="s">
        <v>15852</v>
      </c>
      <c r="Q9234" s="1" t="s">
        <v>15853</v>
      </c>
      <c r="R9234" s="1" t="s">
        <v>128</v>
      </c>
      <c r="S9234" s="1" t="s">
        <v>129</v>
      </c>
      <c r="T9234" s="1" t="s">
        <v>15854</v>
      </c>
      <c r="U9234" s="2" t="s">
        <v>4062</v>
      </c>
      <c r="V9234" s="2" t="s">
        <v>83</v>
      </c>
      <c r="W9234" s="2" t="s">
        <v>84</v>
      </c>
      <c r="X9234" s="2">
        <v>475.96499999999997</v>
      </c>
    </row>
    <row r="9235" spans="1:24" x14ac:dyDescent="0.3">
      <c r="A9235">
        <v>7033</v>
      </c>
      <c r="B9235" t="s">
        <v>16361</v>
      </c>
      <c r="C9235" s="3">
        <v>41162</v>
      </c>
      <c r="D9235" t="s">
        <v>39</v>
      </c>
      <c r="E9235">
        <v>62</v>
      </c>
      <c r="F9235" s="3">
        <f ca="1">41164+(RANDBETWEEN(1,10))</f>
        <v>41171</v>
      </c>
      <c r="G9235" t="s">
        <v>156</v>
      </c>
      <c r="H9235" t="s">
        <v>27</v>
      </c>
      <c r="I9235" t="s">
        <v>52</v>
      </c>
      <c r="J9235">
        <v>11890.445</v>
      </c>
      <c r="K9235">
        <v>0.03</v>
      </c>
      <c r="L9235">
        <v>0.37</v>
      </c>
      <c r="M9235">
        <v>23.765000000000001</v>
      </c>
      <c r="N9235">
        <v>2881.41</v>
      </c>
      <c r="O9235" s="1" t="s">
        <v>40</v>
      </c>
      <c r="P9235" s="1" t="s">
        <v>149</v>
      </c>
      <c r="Q9235" s="1" t="s">
        <v>150</v>
      </c>
      <c r="R9235" s="1" t="s">
        <v>43</v>
      </c>
      <c r="S9235" s="1" t="s">
        <v>44</v>
      </c>
      <c r="T9235" s="1" t="s">
        <v>151</v>
      </c>
      <c r="U9235" s="2" t="s">
        <v>4840</v>
      </c>
      <c r="V9235" s="2" t="s">
        <v>47</v>
      </c>
      <c r="W9235" s="2" t="s">
        <v>74</v>
      </c>
      <c r="X9235" s="2">
        <v>194.18</v>
      </c>
    </row>
    <row r="9236" spans="1:24" x14ac:dyDescent="0.3">
      <c r="A9236">
        <v>7034</v>
      </c>
      <c r="B9236" t="s">
        <v>16361</v>
      </c>
      <c r="C9236" s="3">
        <v>41162</v>
      </c>
      <c r="D9236" t="s">
        <v>39</v>
      </c>
      <c r="E9236">
        <v>4</v>
      </c>
      <c r="F9236" s="3">
        <f ca="1">41163+(RANDBETWEEN(1,10))</f>
        <v>41170</v>
      </c>
      <c r="G9236" t="s">
        <v>26</v>
      </c>
      <c r="H9236" t="s">
        <v>27</v>
      </c>
      <c r="I9236" t="s">
        <v>52</v>
      </c>
      <c r="J9236">
        <v>373.1</v>
      </c>
      <c r="K9236">
        <v>0</v>
      </c>
      <c r="L9236">
        <v>0.83</v>
      </c>
      <c r="M9236">
        <v>40.32</v>
      </c>
      <c r="N9236">
        <v>-161.69999999999999</v>
      </c>
      <c r="O9236" s="1" t="s">
        <v>40</v>
      </c>
      <c r="P9236" s="1" t="s">
        <v>149</v>
      </c>
      <c r="Q9236" s="1" t="s">
        <v>150</v>
      </c>
      <c r="R9236" s="1" t="s">
        <v>43</v>
      </c>
      <c r="S9236" s="1" t="s">
        <v>44</v>
      </c>
      <c r="T9236" s="1" t="s">
        <v>151</v>
      </c>
      <c r="U9236" s="2" t="s">
        <v>2328</v>
      </c>
      <c r="V9236" s="2" t="s">
        <v>47</v>
      </c>
      <c r="W9236" s="2" t="s">
        <v>119</v>
      </c>
      <c r="X9236" s="2">
        <v>73.114999999999995</v>
      </c>
    </row>
    <row r="9237" spans="1:24" x14ac:dyDescent="0.3">
      <c r="A9237">
        <v>7038</v>
      </c>
      <c r="B9237" t="s">
        <v>16362</v>
      </c>
      <c r="C9237" s="3">
        <v>41139</v>
      </c>
      <c r="D9237" t="s">
        <v>148</v>
      </c>
      <c r="E9237">
        <v>25</v>
      </c>
      <c r="F9237" s="3">
        <f ca="1">41140+(RANDBETWEEN(1,10))</f>
        <v>41150</v>
      </c>
      <c r="G9237" t="s">
        <v>156</v>
      </c>
      <c r="H9237" t="s">
        <v>27</v>
      </c>
      <c r="I9237" t="s">
        <v>28</v>
      </c>
      <c r="J9237">
        <v>637.73500000000001</v>
      </c>
      <c r="K9237">
        <v>0.05</v>
      </c>
      <c r="L9237">
        <v>0.37</v>
      </c>
      <c r="M9237">
        <v>25.795000000000002</v>
      </c>
      <c r="N9237">
        <v>-166.845</v>
      </c>
      <c r="O9237" s="1" t="s">
        <v>64</v>
      </c>
      <c r="P9237" s="1" t="s">
        <v>265</v>
      </c>
      <c r="Q9237" s="1" t="s">
        <v>266</v>
      </c>
      <c r="R9237" s="1" t="s">
        <v>67</v>
      </c>
      <c r="S9237" s="1" t="s">
        <v>108</v>
      </c>
      <c r="T9237" s="1" t="s">
        <v>196</v>
      </c>
      <c r="U9237" s="2" t="s">
        <v>2975</v>
      </c>
      <c r="V9237" s="2" t="s">
        <v>47</v>
      </c>
      <c r="W9237" s="2" t="s">
        <v>74</v>
      </c>
      <c r="X9237" s="2">
        <v>22.68</v>
      </c>
    </row>
    <row r="9238" spans="1:24" x14ac:dyDescent="0.3">
      <c r="A9238">
        <v>7068</v>
      </c>
      <c r="B9238" t="s">
        <v>16363</v>
      </c>
      <c r="C9238" s="3">
        <v>41658</v>
      </c>
      <c r="D9238" t="s">
        <v>62</v>
      </c>
      <c r="E9238">
        <v>55</v>
      </c>
      <c r="F9238" s="3">
        <f ca="1">41660+(RANDBETWEEN(1,10))</f>
        <v>41669</v>
      </c>
      <c r="G9238" t="s">
        <v>76</v>
      </c>
      <c r="H9238" t="s">
        <v>77</v>
      </c>
      <c r="I9238" t="s">
        <v>97</v>
      </c>
      <c r="J9238">
        <v>25519.935000000001</v>
      </c>
      <c r="K9238">
        <v>0.1</v>
      </c>
      <c r="L9238">
        <v>0.56000000000000005</v>
      </c>
      <c r="M9238">
        <v>62.475000000000001</v>
      </c>
      <c r="N9238">
        <v>1514.31</v>
      </c>
      <c r="O9238" s="1" t="s">
        <v>225</v>
      </c>
      <c r="P9238" s="1" t="s">
        <v>226</v>
      </c>
      <c r="Q9238" s="1" t="s">
        <v>227</v>
      </c>
      <c r="R9238" s="1" t="s">
        <v>228</v>
      </c>
      <c r="S9238" s="1" t="s">
        <v>229</v>
      </c>
      <c r="T9238" s="1" t="s">
        <v>230</v>
      </c>
      <c r="U9238" s="2" t="s">
        <v>881</v>
      </c>
      <c r="V9238" s="2" t="s">
        <v>36</v>
      </c>
      <c r="W9238" s="2" t="s">
        <v>142</v>
      </c>
      <c r="X9238" s="2">
        <v>509.07499999999999</v>
      </c>
    </row>
    <row r="9239" spans="1:24" x14ac:dyDescent="0.3">
      <c r="A9239">
        <v>7082</v>
      </c>
      <c r="B9239" t="s">
        <v>16364</v>
      </c>
      <c r="C9239" s="3">
        <v>41425</v>
      </c>
      <c r="D9239" t="s">
        <v>50</v>
      </c>
      <c r="E9239">
        <v>50</v>
      </c>
      <c r="F9239" s="3">
        <f ca="1">41427+(RANDBETWEEN(1,10))</f>
        <v>41430</v>
      </c>
      <c r="G9239" t="s">
        <v>156</v>
      </c>
      <c r="H9239" t="s">
        <v>63</v>
      </c>
      <c r="I9239" t="s">
        <v>86</v>
      </c>
      <c r="J9239">
        <v>10798.934999999999</v>
      </c>
      <c r="K9239">
        <v>0.06</v>
      </c>
      <c r="L9239">
        <v>0.8</v>
      </c>
      <c r="M9239">
        <v>122.5</v>
      </c>
      <c r="N9239">
        <v>-3253.88</v>
      </c>
      <c r="O9239" s="1" t="s">
        <v>40</v>
      </c>
      <c r="P9239" s="1" t="s">
        <v>209</v>
      </c>
      <c r="Q9239" s="1" t="s">
        <v>210</v>
      </c>
      <c r="R9239" s="1" t="s">
        <v>43</v>
      </c>
      <c r="S9239" s="1" t="s">
        <v>44</v>
      </c>
      <c r="T9239" s="1" t="s">
        <v>211</v>
      </c>
      <c r="U9239" s="2" t="s">
        <v>3893</v>
      </c>
      <c r="V9239" s="2" t="s">
        <v>47</v>
      </c>
      <c r="W9239" s="2" t="s">
        <v>119</v>
      </c>
      <c r="X9239" s="2">
        <v>226.27500000000001</v>
      </c>
    </row>
    <row r="9240" spans="1:24" x14ac:dyDescent="0.3">
      <c r="A9240">
        <v>7083</v>
      </c>
      <c r="B9240" t="s">
        <v>16364</v>
      </c>
      <c r="C9240" s="3">
        <v>41425</v>
      </c>
      <c r="D9240" t="s">
        <v>50</v>
      </c>
      <c r="E9240">
        <v>5</v>
      </c>
      <c r="F9240" s="3">
        <f ca="1">41426+(RANDBETWEEN(1,10))</f>
        <v>41430</v>
      </c>
      <c r="G9240" t="s">
        <v>76</v>
      </c>
      <c r="H9240" t="s">
        <v>258</v>
      </c>
      <c r="I9240" t="s">
        <v>86</v>
      </c>
      <c r="J9240">
        <v>428.4</v>
      </c>
      <c r="K9240">
        <v>0</v>
      </c>
      <c r="L9240">
        <v>0.76</v>
      </c>
      <c r="M9240">
        <v>97.125</v>
      </c>
      <c r="N9240">
        <v>-188.244</v>
      </c>
      <c r="O9240" s="1" t="s">
        <v>40</v>
      </c>
      <c r="P9240" s="1" t="s">
        <v>209</v>
      </c>
      <c r="Q9240" s="1" t="s">
        <v>210</v>
      </c>
      <c r="R9240" s="1" t="s">
        <v>43</v>
      </c>
      <c r="S9240" s="1" t="s">
        <v>44</v>
      </c>
      <c r="T9240" s="1" t="s">
        <v>211</v>
      </c>
      <c r="U9240" s="2" t="s">
        <v>365</v>
      </c>
      <c r="V9240" s="2" t="s">
        <v>83</v>
      </c>
      <c r="W9240" s="2" t="s">
        <v>263</v>
      </c>
      <c r="X9240" s="2">
        <v>53.305</v>
      </c>
    </row>
    <row r="9241" spans="1:24" x14ac:dyDescent="0.3">
      <c r="A9241">
        <v>7095</v>
      </c>
      <c r="B9241" t="s">
        <v>16365</v>
      </c>
      <c r="C9241" s="3">
        <v>41937</v>
      </c>
      <c r="D9241" t="s">
        <v>62</v>
      </c>
      <c r="E9241">
        <v>88</v>
      </c>
      <c r="F9241" s="3">
        <f ca="1">41939+(RANDBETWEEN(1,10))</f>
        <v>41946</v>
      </c>
      <c r="G9241" t="s">
        <v>26</v>
      </c>
      <c r="H9241" t="s">
        <v>27</v>
      </c>
      <c r="I9241" t="s">
        <v>52</v>
      </c>
      <c r="J9241">
        <v>1424.15</v>
      </c>
      <c r="K9241">
        <v>0</v>
      </c>
      <c r="L9241">
        <v>0.59</v>
      </c>
      <c r="M9241">
        <v>18.024999999999999</v>
      </c>
      <c r="N9241">
        <v>-486.95499999999998</v>
      </c>
      <c r="O9241" s="1" t="s">
        <v>40</v>
      </c>
      <c r="P9241" s="1" t="s">
        <v>303</v>
      </c>
      <c r="Q9241" s="1" t="s">
        <v>304</v>
      </c>
      <c r="R9241" s="1" t="s">
        <v>43</v>
      </c>
      <c r="S9241" s="1" t="s">
        <v>44</v>
      </c>
      <c r="T9241" s="1" t="s">
        <v>305</v>
      </c>
      <c r="U9241" s="2" t="s">
        <v>3610</v>
      </c>
      <c r="V9241" s="2" t="s">
        <v>47</v>
      </c>
      <c r="W9241" s="2" t="s">
        <v>71</v>
      </c>
      <c r="X9241" s="2">
        <v>15.295</v>
      </c>
    </row>
    <row r="9242" spans="1:24" x14ac:dyDescent="0.3">
      <c r="A9242">
        <v>7096</v>
      </c>
      <c r="B9242" t="s">
        <v>16366</v>
      </c>
      <c r="C9242" s="3">
        <v>40841</v>
      </c>
      <c r="D9242" t="s">
        <v>62</v>
      </c>
      <c r="E9242">
        <v>56</v>
      </c>
      <c r="F9242" s="3">
        <f ca="1">40842+(RANDBETWEEN(1,10))</f>
        <v>40850</v>
      </c>
      <c r="G9242" t="s">
        <v>76</v>
      </c>
      <c r="H9242" t="s">
        <v>77</v>
      </c>
      <c r="I9242" t="s">
        <v>52</v>
      </c>
      <c r="J9242">
        <v>104014.855</v>
      </c>
      <c r="K9242">
        <v>0.01</v>
      </c>
      <c r="L9242">
        <v>0.6</v>
      </c>
      <c r="M9242">
        <v>196</v>
      </c>
      <c r="N9242">
        <v>14910.392</v>
      </c>
      <c r="O9242" s="1" t="s">
        <v>40</v>
      </c>
      <c r="P9242" s="1" t="s">
        <v>303</v>
      </c>
      <c r="Q9242" s="1" t="s">
        <v>304</v>
      </c>
      <c r="R9242" s="1" t="s">
        <v>43</v>
      </c>
      <c r="S9242" s="1" t="s">
        <v>44</v>
      </c>
      <c r="T9242" s="1" t="s">
        <v>305</v>
      </c>
      <c r="U9242" s="2" t="s">
        <v>1670</v>
      </c>
      <c r="V9242" s="2" t="s">
        <v>83</v>
      </c>
      <c r="W9242" s="2" t="s">
        <v>84</v>
      </c>
      <c r="X9242" s="2">
        <v>1753.43</v>
      </c>
    </row>
    <row r="9243" spans="1:24" x14ac:dyDescent="0.3">
      <c r="A9243">
        <v>7097</v>
      </c>
      <c r="B9243" t="s">
        <v>16365</v>
      </c>
      <c r="C9243" s="3">
        <v>41937</v>
      </c>
      <c r="D9243" t="s">
        <v>62</v>
      </c>
      <c r="E9243">
        <v>82</v>
      </c>
      <c r="F9243" s="3">
        <f ca="1">41937+(RANDBETWEEN(1,10))</f>
        <v>41940</v>
      </c>
      <c r="G9243" t="s">
        <v>26</v>
      </c>
      <c r="H9243" t="s">
        <v>27</v>
      </c>
      <c r="I9243" t="s">
        <v>52</v>
      </c>
      <c r="J9243">
        <v>3576.23</v>
      </c>
      <c r="K9243">
        <v>0.02</v>
      </c>
      <c r="L9243">
        <v>0.43</v>
      </c>
      <c r="M9243">
        <v>18.059999999999999</v>
      </c>
      <c r="N9243">
        <v>170.1</v>
      </c>
      <c r="O9243" s="1" t="s">
        <v>40</v>
      </c>
      <c r="P9243" s="1" t="s">
        <v>303</v>
      </c>
      <c r="Q9243" s="1" t="s">
        <v>304</v>
      </c>
      <c r="R9243" s="1" t="s">
        <v>43</v>
      </c>
      <c r="S9243" s="1" t="s">
        <v>44</v>
      </c>
      <c r="T9243" s="1" t="s">
        <v>305</v>
      </c>
      <c r="U9243" s="2" t="s">
        <v>2445</v>
      </c>
      <c r="V9243" s="2" t="s">
        <v>83</v>
      </c>
      <c r="W9243" s="2" t="s">
        <v>178</v>
      </c>
      <c r="X9243" s="2">
        <v>44.03</v>
      </c>
    </row>
    <row r="9244" spans="1:24" x14ac:dyDescent="0.3">
      <c r="A9244">
        <v>7098</v>
      </c>
      <c r="B9244" t="s">
        <v>16366</v>
      </c>
      <c r="C9244" s="3">
        <v>40841</v>
      </c>
      <c r="D9244" t="s">
        <v>62</v>
      </c>
      <c r="E9244">
        <v>27</v>
      </c>
      <c r="F9244" s="3">
        <f ca="1">40842+(RANDBETWEEN(1,10))</f>
        <v>40852</v>
      </c>
      <c r="G9244" t="s">
        <v>26</v>
      </c>
      <c r="H9244" t="s">
        <v>96</v>
      </c>
      <c r="I9244" t="s">
        <v>52</v>
      </c>
      <c r="J9244">
        <v>691.18</v>
      </c>
      <c r="K9244">
        <v>0.1</v>
      </c>
      <c r="L9244">
        <v>0.52</v>
      </c>
      <c r="M9244">
        <v>12.88</v>
      </c>
      <c r="N9244">
        <v>-87.99</v>
      </c>
      <c r="O9244" s="1" t="s">
        <v>40</v>
      </c>
      <c r="P9244" s="1" t="s">
        <v>303</v>
      </c>
      <c r="Q9244" s="1" t="s">
        <v>304</v>
      </c>
      <c r="R9244" s="1" t="s">
        <v>43</v>
      </c>
      <c r="S9244" s="1" t="s">
        <v>44</v>
      </c>
      <c r="T9244" s="1" t="s">
        <v>305</v>
      </c>
      <c r="U9244" s="2" t="s">
        <v>2888</v>
      </c>
      <c r="V9244" s="2" t="s">
        <v>83</v>
      </c>
      <c r="W9244" s="2" t="s">
        <v>178</v>
      </c>
      <c r="X9244" s="2">
        <v>26.95</v>
      </c>
    </row>
    <row r="9245" spans="1:24" x14ac:dyDescent="0.3">
      <c r="A9245">
        <v>7106</v>
      </c>
      <c r="B9245" t="s">
        <v>16367</v>
      </c>
      <c r="C9245" s="3">
        <v>41697</v>
      </c>
      <c r="D9245" t="s">
        <v>39</v>
      </c>
      <c r="E9245">
        <v>33</v>
      </c>
      <c r="F9245" s="3">
        <f ca="1">41699+(RANDBETWEEN(1,10))</f>
        <v>41707</v>
      </c>
      <c r="G9245" t="s">
        <v>26</v>
      </c>
      <c r="H9245" t="s">
        <v>27</v>
      </c>
      <c r="I9245" t="s">
        <v>97</v>
      </c>
      <c r="J9245">
        <v>34155.449999999997</v>
      </c>
      <c r="K9245">
        <v>0.04</v>
      </c>
      <c r="L9245">
        <v>0.4</v>
      </c>
      <c r="M9245">
        <v>69.965000000000003</v>
      </c>
      <c r="N9245">
        <v>13277.960499999999</v>
      </c>
      <c r="O9245" s="1" t="s">
        <v>225</v>
      </c>
      <c r="P9245" s="1" t="s">
        <v>226</v>
      </c>
      <c r="Q9245" s="1" t="s">
        <v>227</v>
      </c>
      <c r="R9245" s="1" t="s">
        <v>228</v>
      </c>
      <c r="S9245" s="1" t="s">
        <v>229</v>
      </c>
      <c r="T9245" s="1" t="s">
        <v>230</v>
      </c>
      <c r="U9245" s="2" t="s">
        <v>2149</v>
      </c>
      <c r="V9245" s="2" t="s">
        <v>47</v>
      </c>
      <c r="W9245" s="2" t="s">
        <v>111</v>
      </c>
      <c r="X9245" s="2">
        <v>1067.4649999999999</v>
      </c>
    </row>
    <row r="9246" spans="1:24" x14ac:dyDescent="0.3">
      <c r="A9246">
        <v>7109</v>
      </c>
      <c r="B9246" t="s">
        <v>16368</v>
      </c>
      <c r="C9246" s="3">
        <v>41578</v>
      </c>
      <c r="D9246" t="s">
        <v>25</v>
      </c>
      <c r="E9246">
        <v>89</v>
      </c>
      <c r="F9246" s="3">
        <f ca="1">41582+(RANDBETWEEN(1,10))</f>
        <v>41592</v>
      </c>
      <c r="G9246" t="s">
        <v>76</v>
      </c>
      <c r="H9246" t="s">
        <v>77</v>
      </c>
      <c r="I9246" t="s">
        <v>28</v>
      </c>
      <c r="J9246">
        <v>64021.824999999997</v>
      </c>
      <c r="K9246">
        <v>0</v>
      </c>
      <c r="L9246">
        <v>0.57999999999999996</v>
      </c>
      <c r="M9246">
        <v>83.16</v>
      </c>
      <c r="N9246">
        <v>7089.6</v>
      </c>
      <c r="O9246" s="1" t="s">
        <v>64</v>
      </c>
      <c r="P9246" s="1" t="s">
        <v>194</v>
      </c>
      <c r="Q9246" s="1" t="s">
        <v>195</v>
      </c>
      <c r="R9246" s="1" t="s">
        <v>67</v>
      </c>
      <c r="S9246" s="1" t="s">
        <v>108</v>
      </c>
      <c r="T9246" s="1" t="s">
        <v>196</v>
      </c>
      <c r="U9246" s="2" t="s">
        <v>3990</v>
      </c>
      <c r="V9246" s="2" t="s">
        <v>83</v>
      </c>
      <c r="W9246" s="2" t="s">
        <v>84</v>
      </c>
      <c r="X9246" s="2">
        <v>703.43</v>
      </c>
    </row>
    <row r="9247" spans="1:24" x14ac:dyDescent="0.3">
      <c r="A9247">
        <v>7110</v>
      </c>
      <c r="B9247" t="s">
        <v>16368</v>
      </c>
      <c r="C9247" s="3">
        <v>41578</v>
      </c>
      <c r="D9247" t="s">
        <v>25</v>
      </c>
      <c r="E9247">
        <v>41</v>
      </c>
      <c r="F9247" s="3">
        <f ca="1">41578+(RANDBETWEEN(1,10))</f>
        <v>41583</v>
      </c>
      <c r="G9247" t="s">
        <v>156</v>
      </c>
      <c r="H9247" t="s">
        <v>27</v>
      </c>
      <c r="I9247" t="s">
        <v>28</v>
      </c>
      <c r="J9247">
        <v>675.67499999999995</v>
      </c>
      <c r="K9247">
        <v>7.0000000000000007E-2</v>
      </c>
      <c r="L9247">
        <v>0.39</v>
      </c>
      <c r="M9247">
        <v>3.4649999999999999</v>
      </c>
      <c r="N9247">
        <v>100.828</v>
      </c>
      <c r="O9247" s="1" t="s">
        <v>64</v>
      </c>
      <c r="P9247" s="1" t="s">
        <v>194</v>
      </c>
      <c r="Q9247" s="1" t="s">
        <v>195</v>
      </c>
      <c r="R9247" s="1" t="s">
        <v>67</v>
      </c>
      <c r="S9247" s="1" t="s">
        <v>108</v>
      </c>
      <c r="T9247" s="1" t="s">
        <v>196</v>
      </c>
      <c r="U9247" s="2" t="s">
        <v>2720</v>
      </c>
      <c r="V9247" s="2" t="s">
        <v>47</v>
      </c>
      <c r="W9247" s="2" t="s">
        <v>203</v>
      </c>
      <c r="X9247" s="2">
        <v>14.455</v>
      </c>
    </row>
    <row r="9248" spans="1:24" x14ac:dyDescent="0.3">
      <c r="A9248">
        <v>7137</v>
      </c>
      <c r="B9248" t="s">
        <v>16369</v>
      </c>
      <c r="C9248" s="3">
        <v>40745</v>
      </c>
      <c r="D9248" t="s">
        <v>25</v>
      </c>
      <c r="E9248">
        <v>40</v>
      </c>
      <c r="F9248" s="3">
        <f ca="1">40749+(RANDBETWEEN(1,10))</f>
        <v>40759</v>
      </c>
      <c r="G9248" t="s">
        <v>26</v>
      </c>
      <c r="H9248" t="s">
        <v>51</v>
      </c>
      <c r="I9248" t="s">
        <v>52</v>
      </c>
      <c r="J9248">
        <v>6034.0349999999999</v>
      </c>
      <c r="K9248">
        <v>0.02</v>
      </c>
      <c r="L9248">
        <v>0.44</v>
      </c>
      <c r="M9248">
        <v>6.9649999999999999</v>
      </c>
      <c r="N9248">
        <v>1168.16175</v>
      </c>
      <c r="O9248" s="1" t="s">
        <v>53</v>
      </c>
      <c r="P9248" s="1" t="s">
        <v>54</v>
      </c>
      <c r="Q9248" s="1" t="s">
        <v>55</v>
      </c>
      <c r="R9248" s="1" t="s">
        <v>56</v>
      </c>
      <c r="S9248" s="1" t="s">
        <v>57</v>
      </c>
      <c r="T9248" s="1" t="s">
        <v>58</v>
      </c>
      <c r="U9248" s="2" t="s">
        <v>2902</v>
      </c>
      <c r="V9248" s="2" t="s">
        <v>36</v>
      </c>
      <c r="W9248" s="2" t="s">
        <v>60</v>
      </c>
      <c r="X9248" s="2">
        <v>153.93</v>
      </c>
    </row>
    <row r="9249" spans="1:24" x14ac:dyDescent="0.3">
      <c r="A9249">
        <v>7138</v>
      </c>
      <c r="B9249" t="s">
        <v>16370</v>
      </c>
      <c r="C9249" s="3">
        <v>41281</v>
      </c>
      <c r="D9249" t="s">
        <v>62</v>
      </c>
      <c r="E9249">
        <v>30</v>
      </c>
      <c r="F9249" s="3">
        <f ca="1">41283+(RANDBETWEEN(1,10))</f>
        <v>41291</v>
      </c>
      <c r="G9249" t="s">
        <v>26</v>
      </c>
      <c r="H9249" t="s">
        <v>51</v>
      </c>
      <c r="I9249" t="s">
        <v>97</v>
      </c>
      <c r="J9249">
        <v>3243.59</v>
      </c>
      <c r="K9249">
        <v>0.01</v>
      </c>
      <c r="L9249">
        <v>0.56999999999999995</v>
      </c>
      <c r="M9249">
        <v>4.375</v>
      </c>
      <c r="N9249">
        <v>269.21159999999998</v>
      </c>
      <c r="O9249" s="1" t="s">
        <v>64</v>
      </c>
      <c r="P9249" s="1" t="s">
        <v>189</v>
      </c>
      <c r="Q9249" s="1" t="s">
        <v>190</v>
      </c>
      <c r="R9249" s="1" t="s">
        <v>67</v>
      </c>
      <c r="S9249" s="1" t="s">
        <v>108</v>
      </c>
      <c r="T9249" s="1" t="s">
        <v>191</v>
      </c>
      <c r="U9249" s="2" t="s">
        <v>1964</v>
      </c>
      <c r="V9249" s="2" t="s">
        <v>36</v>
      </c>
      <c r="W9249" s="2" t="s">
        <v>37</v>
      </c>
      <c r="X9249" s="2">
        <v>125.965</v>
      </c>
    </row>
    <row r="9250" spans="1:24" x14ac:dyDescent="0.3">
      <c r="A9250">
        <v>7152</v>
      </c>
      <c r="B9250" t="s">
        <v>16371</v>
      </c>
      <c r="C9250" s="3">
        <v>41119</v>
      </c>
      <c r="D9250" t="s">
        <v>39</v>
      </c>
      <c r="E9250">
        <v>56</v>
      </c>
      <c r="F9250" s="3">
        <f ca="1">41120+(RANDBETWEEN(1,10))</f>
        <v>41125</v>
      </c>
      <c r="G9250" t="s">
        <v>26</v>
      </c>
      <c r="H9250" t="s">
        <v>27</v>
      </c>
      <c r="I9250" t="s">
        <v>97</v>
      </c>
      <c r="J9250">
        <v>11538.205</v>
      </c>
      <c r="K9250">
        <v>0.03</v>
      </c>
      <c r="L9250">
        <v>0.55000000000000004</v>
      </c>
      <c r="M9250">
        <v>20.72</v>
      </c>
      <c r="N9250">
        <v>2964.3074999999999</v>
      </c>
      <c r="O9250" s="1" t="s">
        <v>40</v>
      </c>
      <c r="P9250" s="1" t="s">
        <v>15920</v>
      </c>
      <c r="Q9250" s="1" t="s">
        <v>15921</v>
      </c>
      <c r="R9250" s="1" t="s">
        <v>43</v>
      </c>
      <c r="S9250" s="1" t="s">
        <v>44</v>
      </c>
      <c r="T9250" s="1" t="s">
        <v>15922</v>
      </c>
      <c r="U9250" s="2">
        <v>252</v>
      </c>
      <c r="V9250" s="2" t="s">
        <v>36</v>
      </c>
      <c r="W9250" s="2" t="s">
        <v>37</v>
      </c>
      <c r="X9250" s="2">
        <v>230.965</v>
      </c>
    </row>
    <row r="9251" spans="1:24" x14ac:dyDescent="0.3">
      <c r="A9251">
        <v>7158</v>
      </c>
      <c r="B9251" t="s">
        <v>16372</v>
      </c>
      <c r="C9251" s="3">
        <v>40818</v>
      </c>
      <c r="D9251" t="s">
        <v>62</v>
      </c>
      <c r="E9251">
        <v>77</v>
      </c>
      <c r="F9251" s="3">
        <f ca="1">40820+(RANDBETWEEN(1,10))</f>
        <v>40821</v>
      </c>
      <c r="G9251" t="s">
        <v>26</v>
      </c>
      <c r="H9251" t="s">
        <v>27</v>
      </c>
      <c r="I9251" t="s">
        <v>86</v>
      </c>
      <c r="J9251">
        <v>44098.425000000003</v>
      </c>
      <c r="K9251">
        <v>0</v>
      </c>
      <c r="L9251">
        <v>0.66</v>
      </c>
      <c r="M9251">
        <v>69.965000000000003</v>
      </c>
      <c r="N9251">
        <v>3552.22</v>
      </c>
      <c r="O9251" s="1" t="s">
        <v>87</v>
      </c>
      <c r="P9251" s="1" t="s">
        <v>3177</v>
      </c>
      <c r="Q9251" s="1" t="s">
        <v>3178</v>
      </c>
      <c r="R9251" s="1" t="s">
        <v>398</v>
      </c>
      <c r="S9251" s="1" t="s">
        <v>3179</v>
      </c>
      <c r="T9251" s="1" t="s">
        <v>3180</v>
      </c>
      <c r="U9251" s="2" t="s">
        <v>6421</v>
      </c>
      <c r="V9251" s="2" t="s">
        <v>47</v>
      </c>
      <c r="W9251" s="2" t="s">
        <v>119</v>
      </c>
      <c r="X9251" s="2">
        <v>565.42499999999995</v>
      </c>
    </row>
    <row r="9252" spans="1:24" x14ac:dyDescent="0.3">
      <c r="A9252">
        <v>719</v>
      </c>
      <c r="B9252" t="s">
        <v>16373</v>
      </c>
      <c r="C9252" s="3">
        <v>41511</v>
      </c>
      <c r="D9252" t="s">
        <v>62</v>
      </c>
      <c r="E9252">
        <v>73</v>
      </c>
      <c r="F9252" s="3">
        <f ca="1">41513+(RANDBETWEEN(1,10))</f>
        <v>41515</v>
      </c>
      <c r="G9252" t="s">
        <v>156</v>
      </c>
      <c r="H9252" t="s">
        <v>281</v>
      </c>
      <c r="I9252" t="s">
        <v>97</v>
      </c>
      <c r="J9252">
        <v>33815.285000000003</v>
      </c>
      <c r="K9252">
        <v>0.04</v>
      </c>
      <c r="L9252" t="s">
        <v>182</v>
      </c>
      <c r="M9252">
        <v>44.274999999999999</v>
      </c>
      <c r="N9252">
        <v>5137.37</v>
      </c>
      <c r="O9252" s="1" t="s">
        <v>40</v>
      </c>
      <c r="P9252" s="1" t="s">
        <v>121</v>
      </c>
      <c r="Q9252" s="1" t="s">
        <v>122</v>
      </c>
      <c r="R9252" s="1" t="s">
        <v>43</v>
      </c>
      <c r="S9252" s="1" t="s">
        <v>44</v>
      </c>
      <c r="T9252" s="1" t="s">
        <v>123</v>
      </c>
      <c r="U9252" s="2" t="s">
        <v>1695</v>
      </c>
      <c r="V9252" s="2" t="s">
        <v>83</v>
      </c>
      <c r="W9252" s="2" t="s">
        <v>84</v>
      </c>
      <c r="X9252" s="2">
        <v>448.84</v>
      </c>
    </row>
    <row r="9253" spans="1:24" x14ac:dyDescent="0.3">
      <c r="A9253">
        <v>7218</v>
      </c>
      <c r="B9253" t="s">
        <v>16374</v>
      </c>
      <c r="C9253" s="3">
        <v>41489</v>
      </c>
      <c r="D9253" t="s">
        <v>62</v>
      </c>
      <c r="E9253">
        <v>83</v>
      </c>
      <c r="F9253" s="3">
        <f ca="1">41491+(RANDBETWEEN(1,10))</f>
        <v>41494</v>
      </c>
      <c r="G9253" t="s">
        <v>26</v>
      </c>
      <c r="H9253" t="s">
        <v>281</v>
      </c>
      <c r="I9253" t="s">
        <v>52</v>
      </c>
      <c r="J9253">
        <v>3413.7950000000001</v>
      </c>
      <c r="K9253">
        <v>0.06</v>
      </c>
      <c r="L9253">
        <v>0.36</v>
      </c>
      <c r="M9253">
        <v>20.965</v>
      </c>
      <c r="N9253">
        <v>44.555</v>
      </c>
      <c r="O9253" s="1" t="s">
        <v>40</v>
      </c>
      <c r="P9253" s="1" t="s">
        <v>15864</v>
      </c>
      <c r="Q9253" s="1" t="s">
        <v>15865</v>
      </c>
      <c r="R9253" s="1" t="s">
        <v>43</v>
      </c>
      <c r="S9253" s="1" t="s">
        <v>44</v>
      </c>
      <c r="T9253" s="1" t="s">
        <v>15866</v>
      </c>
      <c r="U9253" s="2" t="s">
        <v>3772</v>
      </c>
      <c r="V9253" s="2" t="s">
        <v>36</v>
      </c>
      <c r="W9253" s="2" t="s">
        <v>142</v>
      </c>
      <c r="X9253" s="2">
        <v>41.965000000000003</v>
      </c>
    </row>
    <row r="9254" spans="1:24" x14ac:dyDescent="0.3">
      <c r="A9254">
        <v>7234</v>
      </c>
      <c r="B9254" t="s">
        <v>16375</v>
      </c>
      <c r="C9254" s="3">
        <v>41702</v>
      </c>
      <c r="D9254" t="s">
        <v>25</v>
      </c>
      <c r="E9254">
        <v>34</v>
      </c>
      <c r="F9254" s="3">
        <f ca="1">41711+(RANDBETWEEN(1,10))</f>
        <v>41717</v>
      </c>
      <c r="G9254" t="s">
        <v>26</v>
      </c>
      <c r="H9254" t="s">
        <v>51</v>
      </c>
      <c r="I9254" t="s">
        <v>52</v>
      </c>
      <c r="J9254">
        <v>2883.93</v>
      </c>
      <c r="K9254">
        <v>0.09</v>
      </c>
      <c r="L9254">
        <v>0.56999999999999995</v>
      </c>
      <c r="M9254">
        <v>14.28</v>
      </c>
      <c r="N9254">
        <v>454.33499999999998</v>
      </c>
      <c r="O9254" s="1" t="s">
        <v>64</v>
      </c>
      <c r="P9254" s="1" t="s">
        <v>138</v>
      </c>
      <c r="Q9254" s="1" t="s">
        <v>139</v>
      </c>
      <c r="R9254" s="1" t="s">
        <v>128</v>
      </c>
      <c r="S9254" s="1" t="s">
        <v>129</v>
      </c>
      <c r="T9254" s="1" t="s">
        <v>140</v>
      </c>
      <c r="U9254" s="2" t="s">
        <v>12507</v>
      </c>
      <c r="V9254" s="2" t="s">
        <v>47</v>
      </c>
      <c r="W9254" s="2" t="s">
        <v>104</v>
      </c>
      <c r="X9254" s="2">
        <v>90.93</v>
      </c>
    </row>
    <row r="9255" spans="1:24" x14ac:dyDescent="0.3">
      <c r="A9255">
        <v>7240</v>
      </c>
      <c r="B9255" t="s">
        <v>16376</v>
      </c>
      <c r="C9255" s="3">
        <v>41706</v>
      </c>
      <c r="D9255" t="s">
        <v>148</v>
      </c>
      <c r="E9255">
        <v>12</v>
      </c>
      <c r="F9255" s="3">
        <f ca="1">41707+(RANDBETWEEN(1,10))</f>
        <v>41712</v>
      </c>
      <c r="G9255" t="s">
        <v>26</v>
      </c>
      <c r="H9255" t="s">
        <v>27</v>
      </c>
      <c r="I9255" t="s">
        <v>28</v>
      </c>
      <c r="J9255">
        <v>608.89499999999998</v>
      </c>
      <c r="K9255">
        <v>0.03</v>
      </c>
      <c r="L9255">
        <v>0.59</v>
      </c>
      <c r="M9255">
        <v>15.785</v>
      </c>
      <c r="N9255">
        <v>-11.87025</v>
      </c>
      <c r="O9255" s="1" t="s">
        <v>64</v>
      </c>
      <c r="P9255" s="1" t="s">
        <v>16085</v>
      </c>
      <c r="Q9255" s="1" t="s">
        <v>16086</v>
      </c>
      <c r="R9255" s="1" t="s">
        <v>67</v>
      </c>
      <c r="S9255" s="1" t="s">
        <v>254</v>
      </c>
      <c r="T9255" s="1" t="s">
        <v>255</v>
      </c>
      <c r="U9255" s="2" t="s">
        <v>1495</v>
      </c>
      <c r="V9255" s="2" t="s">
        <v>47</v>
      </c>
      <c r="W9255" s="2" t="s">
        <v>119</v>
      </c>
      <c r="X9255" s="2">
        <v>47.18</v>
      </c>
    </row>
    <row r="9256" spans="1:24" x14ac:dyDescent="0.3">
      <c r="A9256">
        <v>725</v>
      </c>
      <c r="B9256" t="s">
        <v>16377</v>
      </c>
      <c r="C9256" s="3">
        <v>41559</v>
      </c>
      <c r="D9256" t="s">
        <v>39</v>
      </c>
      <c r="E9256">
        <v>16</v>
      </c>
      <c r="F9256" s="3">
        <f ca="1">41559+(RANDBETWEEN(1,10))</f>
        <v>41564</v>
      </c>
      <c r="G9256" t="s">
        <v>156</v>
      </c>
      <c r="H9256" t="s">
        <v>27</v>
      </c>
      <c r="I9256" t="s">
        <v>97</v>
      </c>
      <c r="J9256">
        <v>2375.4499999999998</v>
      </c>
      <c r="K9256">
        <v>0.03</v>
      </c>
      <c r="L9256">
        <v>0.56999999999999995</v>
      </c>
      <c r="M9256">
        <v>18.655000000000001</v>
      </c>
      <c r="N9256">
        <v>78.063999999999993</v>
      </c>
      <c r="O9256" s="1" t="s">
        <v>40</v>
      </c>
      <c r="P9256" s="1" t="s">
        <v>15909</v>
      </c>
      <c r="Q9256" s="1" t="s">
        <v>15910</v>
      </c>
      <c r="R9256" s="1" t="s">
        <v>220</v>
      </c>
      <c r="S9256" s="1" t="s">
        <v>221</v>
      </c>
      <c r="T9256" s="1" t="s">
        <v>15911</v>
      </c>
      <c r="U9256" s="2" t="s">
        <v>1712</v>
      </c>
      <c r="V9256" s="2" t="s">
        <v>47</v>
      </c>
      <c r="W9256" s="2" t="s">
        <v>71</v>
      </c>
      <c r="X9256" s="2">
        <v>143.43</v>
      </c>
    </row>
    <row r="9257" spans="1:24" x14ac:dyDescent="0.3">
      <c r="A9257">
        <v>726</v>
      </c>
      <c r="B9257" t="s">
        <v>16377</v>
      </c>
      <c r="C9257" s="3">
        <v>41559</v>
      </c>
      <c r="D9257" t="s">
        <v>39</v>
      </c>
      <c r="E9257">
        <v>22</v>
      </c>
      <c r="F9257" s="3">
        <f ca="1">41561+(RANDBETWEEN(1,10))</f>
        <v>41566</v>
      </c>
      <c r="G9257" t="s">
        <v>26</v>
      </c>
      <c r="H9257" t="s">
        <v>27</v>
      </c>
      <c r="I9257" t="s">
        <v>97</v>
      </c>
      <c r="J9257">
        <v>235.69</v>
      </c>
      <c r="K9257">
        <v>0.09</v>
      </c>
      <c r="L9257">
        <v>0.37</v>
      </c>
      <c r="M9257">
        <v>3.4649999999999999</v>
      </c>
      <c r="N9257">
        <v>11.423999999999999</v>
      </c>
      <c r="O9257" s="1" t="s">
        <v>40</v>
      </c>
      <c r="P9257" s="1" t="s">
        <v>15909</v>
      </c>
      <c r="Q9257" s="1" t="s">
        <v>15910</v>
      </c>
      <c r="R9257" s="1" t="s">
        <v>220</v>
      </c>
      <c r="S9257" s="1" t="s">
        <v>221</v>
      </c>
      <c r="T9257" s="1" t="s">
        <v>15911</v>
      </c>
      <c r="U9257" s="2" t="s">
        <v>796</v>
      </c>
      <c r="V9257" s="2" t="s">
        <v>47</v>
      </c>
      <c r="W9257" s="2" t="s">
        <v>203</v>
      </c>
      <c r="X9257" s="2">
        <v>10.78</v>
      </c>
    </row>
    <row r="9258" spans="1:24" x14ac:dyDescent="0.3">
      <c r="A9258">
        <v>7292</v>
      </c>
      <c r="B9258" t="s">
        <v>16378</v>
      </c>
      <c r="C9258" s="3">
        <v>41688</v>
      </c>
      <c r="D9258" t="s">
        <v>25</v>
      </c>
      <c r="E9258">
        <v>11</v>
      </c>
      <c r="F9258" s="3">
        <f ca="1">41695+(RANDBETWEEN(1,10))</f>
        <v>41705</v>
      </c>
      <c r="G9258" t="s">
        <v>76</v>
      </c>
      <c r="H9258" t="s">
        <v>258</v>
      </c>
      <c r="I9258" t="s">
        <v>52</v>
      </c>
      <c r="J9258">
        <v>6594.7349999999997</v>
      </c>
      <c r="K9258">
        <v>0.04</v>
      </c>
      <c r="L9258">
        <v>0.73</v>
      </c>
      <c r="M9258">
        <v>385.7</v>
      </c>
      <c r="N9258">
        <v>-2718.52</v>
      </c>
      <c r="O9258" s="1" t="s">
        <v>53</v>
      </c>
      <c r="P9258" s="1" t="s">
        <v>114</v>
      </c>
      <c r="Q9258" s="1" t="s">
        <v>115</v>
      </c>
      <c r="R9258" s="1" t="s">
        <v>100</v>
      </c>
      <c r="S9258" s="1" t="s">
        <v>101</v>
      </c>
      <c r="T9258" s="1" t="s">
        <v>116</v>
      </c>
      <c r="U9258" s="2" t="s">
        <v>1775</v>
      </c>
      <c r="V9258" s="2" t="s">
        <v>83</v>
      </c>
      <c r="W9258" s="2" t="s">
        <v>263</v>
      </c>
      <c r="X9258" s="2">
        <v>744.1</v>
      </c>
    </row>
    <row r="9259" spans="1:24" x14ac:dyDescent="0.3">
      <c r="A9259">
        <v>7293</v>
      </c>
      <c r="B9259" t="s">
        <v>16378</v>
      </c>
      <c r="C9259" s="3">
        <v>41688</v>
      </c>
      <c r="D9259" t="s">
        <v>25</v>
      </c>
      <c r="E9259">
        <v>2</v>
      </c>
      <c r="F9259" s="3">
        <f ca="1">41688+(RANDBETWEEN(1,10))</f>
        <v>41697</v>
      </c>
      <c r="G9259" t="s">
        <v>26</v>
      </c>
      <c r="H9259" t="s">
        <v>51</v>
      </c>
      <c r="I9259" t="s">
        <v>52</v>
      </c>
      <c r="J9259">
        <v>326.69</v>
      </c>
      <c r="K9259">
        <v>0.1</v>
      </c>
      <c r="L9259">
        <v>0.83</v>
      </c>
      <c r="M9259">
        <v>17.5</v>
      </c>
      <c r="N9259">
        <v>-1051.3579999999999</v>
      </c>
      <c r="O9259" s="1" t="s">
        <v>53</v>
      </c>
      <c r="P9259" s="1" t="s">
        <v>114</v>
      </c>
      <c r="Q9259" s="1" t="s">
        <v>115</v>
      </c>
      <c r="R9259" s="1" t="s">
        <v>100</v>
      </c>
      <c r="S9259" s="1" t="s">
        <v>101</v>
      </c>
      <c r="T9259" s="1" t="s">
        <v>116</v>
      </c>
      <c r="U9259" s="2" t="s">
        <v>4376</v>
      </c>
      <c r="V9259" s="2" t="s">
        <v>36</v>
      </c>
      <c r="W9259" s="2" t="s">
        <v>37</v>
      </c>
      <c r="X9259" s="2">
        <v>195.965</v>
      </c>
    </row>
    <row r="9260" spans="1:24" x14ac:dyDescent="0.3">
      <c r="A9260">
        <v>7299</v>
      </c>
      <c r="B9260" t="s">
        <v>16379</v>
      </c>
      <c r="C9260" s="3">
        <v>41853</v>
      </c>
      <c r="D9260" t="s">
        <v>62</v>
      </c>
      <c r="E9260">
        <v>96</v>
      </c>
      <c r="F9260" s="3">
        <f ca="1">41855+(RANDBETWEEN(1,10))</f>
        <v>41859</v>
      </c>
      <c r="G9260" t="s">
        <v>26</v>
      </c>
      <c r="H9260" t="s">
        <v>51</v>
      </c>
      <c r="I9260" t="s">
        <v>28</v>
      </c>
      <c r="J9260">
        <v>14044.66</v>
      </c>
      <c r="K9260">
        <v>0</v>
      </c>
      <c r="L9260">
        <v>0.44</v>
      </c>
      <c r="M9260">
        <v>6.9649999999999999</v>
      </c>
      <c r="N9260">
        <v>1970.8787</v>
      </c>
      <c r="O9260" s="1" t="s">
        <v>64</v>
      </c>
      <c r="P9260" s="1" t="s">
        <v>15882</v>
      </c>
      <c r="Q9260" s="1" t="s">
        <v>15883</v>
      </c>
      <c r="R9260" s="1" t="s">
        <v>67</v>
      </c>
      <c r="S9260" s="1" t="s">
        <v>254</v>
      </c>
      <c r="T9260" s="1" t="s">
        <v>316</v>
      </c>
      <c r="U9260" s="2" t="s">
        <v>1469</v>
      </c>
      <c r="V9260" s="2" t="s">
        <v>36</v>
      </c>
      <c r="W9260" s="2" t="s">
        <v>60</v>
      </c>
      <c r="X9260" s="2">
        <v>143.43</v>
      </c>
    </row>
    <row r="9261" spans="1:24" x14ac:dyDescent="0.3">
      <c r="A9261">
        <v>7345</v>
      </c>
      <c r="B9261" t="s">
        <v>16380</v>
      </c>
      <c r="C9261" s="3">
        <v>41672</v>
      </c>
      <c r="D9261" t="s">
        <v>25</v>
      </c>
      <c r="E9261">
        <v>1</v>
      </c>
      <c r="F9261" s="3">
        <f ca="1">41679+(RANDBETWEEN(1,10))</f>
        <v>41687</v>
      </c>
      <c r="G9261" t="s">
        <v>26</v>
      </c>
      <c r="H9261" t="s">
        <v>96</v>
      </c>
      <c r="I9261" t="s">
        <v>52</v>
      </c>
      <c r="J9261">
        <v>19.95</v>
      </c>
      <c r="K9261">
        <v>0.1</v>
      </c>
      <c r="L9261">
        <v>0.53</v>
      </c>
      <c r="M9261">
        <v>7</v>
      </c>
      <c r="N9261">
        <v>-10.8927</v>
      </c>
      <c r="O9261" s="1" t="s">
        <v>225</v>
      </c>
      <c r="P9261" s="1" t="s">
        <v>347</v>
      </c>
      <c r="Q9261" s="1" t="s">
        <v>348</v>
      </c>
      <c r="R9261" s="1" t="s">
        <v>228</v>
      </c>
      <c r="S9261" s="1" t="s">
        <v>349</v>
      </c>
      <c r="T9261" s="1" t="s">
        <v>350</v>
      </c>
      <c r="U9261" s="2" t="s">
        <v>955</v>
      </c>
      <c r="V9261" s="2" t="s">
        <v>47</v>
      </c>
      <c r="W9261" s="2" t="s">
        <v>176</v>
      </c>
      <c r="X9261" s="2">
        <v>13.824999999999999</v>
      </c>
    </row>
    <row r="9262" spans="1:24" x14ac:dyDescent="0.3">
      <c r="A9262">
        <v>7353</v>
      </c>
      <c r="B9262" t="s">
        <v>16381</v>
      </c>
      <c r="C9262" s="3">
        <v>41568</v>
      </c>
      <c r="D9262" t="s">
        <v>62</v>
      </c>
      <c r="E9262">
        <v>61</v>
      </c>
      <c r="F9262" s="3">
        <f ca="1">41568+(RANDBETWEEN(1,10))</f>
        <v>41571</v>
      </c>
      <c r="G9262" t="s">
        <v>26</v>
      </c>
      <c r="H9262" t="s">
        <v>51</v>
      </c>
      <c r="I9262" t="s">
        <v>28</v>
      </c>
      <c r="J9262">
        <v>4513.32</v>
      </c>
      <c r="K9262">
        <v>0.08</v>
      </c>
      <c r="L9262">
        <v>0.59</v>
      </c>
      <c r="M9262">
        <v>31.465</v>
      </c>
      <c r="N9262">
        <v>-240.072</v>
      </c>
      <c r="O9262" s="1" t="s">
        <v>64</v>
      </c>
      <c r="P9262" s="1" t="s">
        <v>15978</v>
      </c>
      <c r="Q9262" s="1" t="s">
        <v>15979</v>
      </c>
      <c r="R9262" s="1" t="s">
        <v>128</v>
      </c>
      <c r="S9262" s="1" t="s">
        <v>129</v>
      </c>
      <c r="T9262" s="1" t="s">
        <v>15980</v>
      </c>
      <c r="U9262" s="2" t="s">
        <v>2789</v>
      </c>
      <c r="V9262" s="2" t="s">
        <v>47</v>
      </c>
      <c r="W9262" s="2" t="s">
        <v>104</v>
      </c>
      <c r="X9262" s="2">
        <v>74.83</v>
      </c>
    </row>
    <row r="9263" spans="1:24" x14ac:dyDescent="0.3">
      <c r="A9263">
        <v>7390</v>
      </c>
      <c r="B9263" t="s">
        <v>16382</v>
      </c>
      <c r="C9263" s="3">
        <v>41767</v>
      </c>
      <c r="D9263" t="s">
        <v>148</v>
      </c>
      <c r="E9263">
        <v>18</v>
      </c>
      <c r="F9263" s="3">
        <f ca="1">41768+(RANDBETWEEN(1,10))</f>
        <v>41777</v>
      </c>
      <c r="G9263" t="s">
        <v>26</v>
      </c>
      <c r="H9263" t="s">
        <v>27</v>
      </c>
      <c r="I9263" t="s">
        <v>28</v>
      </c>
      <c r="J9263">
        <v>9202.7950000000001</v>
      </c>
      <c r="K9263">
        <v>7.0000000000000007E-2</v>
      </c>
      <c r="L9263">
        <v>0.56999999999999995</v>
      </c>
      <c r="M9263">
        <v>31.465</v>
      </c>
      <c r="N9263">
        <v>-16.362500000000001</v>
      </c>
      <c r="O9263" s="1" t="s">
        <v>64</v>
      </c>
      <c r="P9263" s="1" t="s">
        <v>194</v>
      </c>
      <c r="Q9263" s="1" t="s">
        <v>195</v>
      </c>
      <c r="R9263" s="1" t="s">
        <v>67</v>
      </c>
      <c r="S9263" s="1" t="s">
        <v>108</v>
      </c>
      <c r="T9263" s="1" t="s">
        <v>196</v>
      </c>
      <c r="U9263" s="2">
        <v>2180</v>
      </c>
      <c r="V9263" s="2" t="s">
        <v>36</v>
      </c>
      <c r="W9263" s="2" t="s">
        <v>37</v>
      </c>
      <c r="X9263" s="2">
        <v>615.96500000000003</v>
      </c>
    </row>
    <row r="9264" spans="1:24" x14ac:dyDescent="0.3">
      <c r="A9264">
        <v>7391</v>
      </c>
      <c r="B9264" t="s">
        <v>16382</v>
      </c>
      <c r="C9264" s="3">
        <v>41767</v>
      </c>
      <c r="D9264" t="s">
        <v>148</v>
      </c>
      <c r="E9264">
        <v>5</v>
      </c>
      <c r="F9264" s="3">
        <f ca="1">41769+(RANDBETWEEN(1,10))</f>
        <v>41776</v>
      </c>
      <c r="G9264" t="s">
        <v>26</v>
      </c>
      <c r="H9264" t="s">
        <v>27</v>
      </c>
      <c r="I9264" t="s">
        <v>28</v>
      </c>
      <c r="J9264">
        <v>115.535</v>
      </c>
      <c r="K9264">
        <v>0.05</v>
      </c>
      <c r="L9264">
        <v>0.36</v>
      </c>
      <c r="M9264">
        <v>20.09</v>
      </c>
      <c r="N9264">
        <v>-57.83925</v>
      </c>
      <c r="O9264" s="1" t="s">
        <v>64</v>
      </c>
      <c r="P9264" s="1" t="s">
        <v>194</v>
      </c>
      <c r="Q9264" s="1" t="s">
        <v>195</v>
      </c>
      <c r="R9264" s="1" t="s">
        <v>67</v>
      </c>
      <c r="S9264" s="1" t="s">
        <v>108</v>
      </c>
      <c r="T9264" s="1" t="s">
        <v>196</v>
      </c>
      <c r="U9264" s="2" t="s">
        <v>1239</v>
      </c>
      <c r="V9264" s="2" t="s">
        <v>47</v>
      </c>
      <c r="W9264" s="2" t="s">
        <v>111</v>
      </c>
      <c r="X9264" s="2">
        <v>18.13</v>
      </c>
    </row>
    <row r="9265" spans="1:24" x14ac:dyDescent="0.3">
      <c r="A9265">
        <v>7400</v>
      </c>
      <c r="B9265" t="s">
        <v>16383</v>
      </c>
      <c r="C9265" s="3">
        <v>41221</v>
      </c>
      <c r="D9265" t="s">
        <v>50</v>
      </c>
      <c r="E9265">
        <v>48</v>
      </c>
      <c r="F9265" s="3">
        <f ca="1">41222+(RANDBETWEEN(1,10))</f>
        <v>41230</v>
      </c>
      <c r="G9265" t="s">
        <v>156</v>
      </c>
      <c r="H9265" t="s">
        <v>27</v>
      </c>
      <c r="I9265" t="s">
        <v>97</v>
      </c>
      <c r="J9265">
        <v>1506.47</v>
      </c>
      <c r="K9265">
        <v>0.03</v>
      </c>
      <c r="L9265">
        <v>0.35</v>
      </c>
      <c r="M9265">
        <v>21.56</v>
      </c>
      <c r="N9265">
        <v>-55.102249999999998</v>
      </c>
      <c r="O9265" s="1" t="s">
        <v>40</v>
      </c>
      <c r="P9265" s="1" t="s">
        <v>15856</v>
      </c>
      <c r="Q9265" s="1" t="s">
        <v>15857</v>
      </c>
      <c r="R9265" s="1" t="s">
        <v>220</v>
      </c>
      <c r="S9265" s="1" t="s">
        <v>221</v>
      </c>
      <c r="T9265" s="1" t="s">
        <v>15858</v>
      </c>
      <c r="U9265" s="2" t="s">
        <v>3717</v>
      </c>
      <c r="V9265" s="2" t="s">
        <v>47</v>
      </c>
      <c r="W9265" s="2" t="s">
        <v>111</v>
      </c>
      <c r="X9265" s="2">
        <v>26.88</v>
      </c>
    </row>
    <row r="9266" spans="1:24" x14ac:dyDescent="0.3">
      <c r="A9266">
        <v>7401</v>
      </c>
      <c r="B9266" t="s">
        <v>16384</v>
      </c>
      <c r="C9266" s="3">
        <v>41094</v>
      </c>
      <c r="D9266" t="s">
        <v>39</v>
      </c>
      <c r="E9266">
        <v>55</v>
      </c>
      <c r="F9266" s="3">
        <f ca="1">41094+(RANDBETWEEN(1,10))</f>
        <v>41096</v>
      </c>
      <c r="G9266" t="s">
        <v>26</v>
      </c>
      <c r="H9266" t="s">
        <v>281</v>
      </c>
      <c r="I9266" t="s">
        <v>86</v>
      </c>
      <c r="J9266">
        <v>23849.98</v>
      </c>
      <c r="K9266">
        <v>0.09</v>
      </c>
      <c r="L9266">
        <v>0.38</v>
      </c>
      <c r="M9266">
        <v>48.965000000000003</v>
      </c>
      <c r="N9266">
        <v>6595.6173500000004</v>
      </c>
      <c r="O9266" s="1" t="s">
        <v>53</v>
      </c>
      <c r="P9266" s="1" t="s">
        <v>284</v>
      </c>
      <c r="Q9266" s="1" t="s">
        <v>285</v>
      </c>
      <c r="R9266" s="1" t="s">
        <v>56</v>
      </c>
      <c r="S9266" s="1" t="s">
        <v>57</v>
      </c>
      <c r="T9266" s="1" t="s">
        <v>58</v>
      </c>
      <c r="U9266" s="2" t="s">
        <v>480</v>
      </c>
      <c r="V9266" s="2" t="s">
        <v>36</v>
      </c>
      <c r="W9266" s="2" t="s">
        <v>142</v>
      </c>
      <c r="X9266" s="2">
        <v>528.42999999999995</v>
      </c>
    </row>
    <row r="9267" spans="1:24" x14ac:dyDescent="0.3">
      <c r="A9267">
        <v>741</v>
      </c>
      <c r="B9267" t="s">
        <v>16385</v>
      </c>
      <c r="C9267" s="3">
        <v>41268</v>
      </c>
      <c r="D9267" t="s">
        <v>62</v>
      </c>
      <c r="E9267">
        <v>63</v>
      </c>
      <c r="F9267" s="3">
        <f ca="1">41269+(RANDBETWEEN(1,10))</f>
        <v>41275</v>
      </c>
      <c r="G9267" t="s">
        <v>26</v>
      </c>
      <c r="H9267" t="s">
        <v>281</v>
      </c>
      <c r="I9267" t="s">
        <v>97</v>
      </c>
      <c r="J9267">
        <v>19021.310000000001</v>
      </c>
      <c r="K9267">
        <v>7.0000000000000007E-2</v>
      </c>
      <c r="L9267">
        <v>0.74</v>
      </c>
      <c r="M9267">
        <v>196.7</v>
      </c>
      <c r="N9267">
        <v>-6744.3036499999998</v>
      </c>
      <c r="O9267" s="1" t="s">
        <v>64</v>
      </c>
      <c r="P9267" s="1" t="s">
        <v>252</v>
      </c>
      <c r="Q9267" s="1" t="s">
        <v>253</v>
      </c>
      <c r="R9267" s="1" t="s">
        <v>67</v>
      </c>
      <c r="S9267" s="1" t="s">
        <v>254</v>
      </c>
      <c r="T9267" s="1" t="s">
        <v>255</v>
      </c>
      <c r="U9267" s="2" t="s">
        <v>3131</v>
      </c>
      <c r="V9267" s="2" t="s">
        <v>83</v>
      </c>
      <c r="W9267" s="2" t="s">
        <v>178</v>
      </c>
      <c r="X9267" s="2">
        <v>318.43</v>
      </c>
    </row>
    <row r="9268" spans="1:24" x14ac:dyDescent="0.3">
      <c r="A9268">
        <v>742</v>
      </c>
      <c r="B9268" t="s">
        <v>16385</v>
      </c>
      <c r="C9268" s="3">
        <v>41268</v>
      </c>
      <c r="D9268" t="s">
        <v>62</v>
      </c>
      <c r="E9268">
        <v>83</v>
      </c>
      <c r="F9268" s="3">
        <f ca="1">41270+(RANDBETWEEN(1,10))</f>
        <v>41278</v>
      </c>
      <c r="G9268" t="s">
        <v>76</v>
      </c>
      <c r="H9268" t="s">
        <v>258</v>
      </c>
      <c r="I9268" t="s">
        <v>97</v>
      </c>
      <c r="J9268">
        <v>59357.55</v>
      </c>
      <c r="K9268">
        <v>0.1</v>
      </c>
      <c r="L9268">
        <v>0.77</v>
      </c>
      <c r="M9268">
        <v>243.74</v>
      </c>
      <c r="N9268">
        <v>-8195.4580050000004</v>
      </c>
      <c r="O9268" s="1" t="s">
        <v>64</v>
      </c>
      <c r="P9268" s="1" t="s">
        <v>252</v>
      </c>
      <c r="Q9268" s="1" t="s">
        <v>253</v>
      </c>
      <c r="R9268" s="1" t="s">
        <v>67</v>
      </c>
      <c r="S9268" s="1" t="s">
        <v>254</v>
      </c>
      <c r="T9268" s="1" t="s">
        <v>255</v>
      </c>
      <c r="U9268" s="2" t="s">
        <v>1233</v>
      </c>
      <c r="V9268" s="2" t="s">
        <v>83</v>
      </c>
      <c r="W9268" s="2" t="s">
        <v>263</v>
      </c>
      <c r="X9268" s="2">
        <v>765.625</v>
      </c>
    </row>
    <row r="9269" spans="1:24" x14ac:dyDescent="0.3">
      <c r="A9269">
        <v>7427</v>
      </c>
      <c r="B9269" t="s">
        <v>16386</v>
      </c>
      <c r="C9269" s="3">
        <v>41771</v>
      </c>
      <c r="D9269" t="s">
        <v>25</v>
      </c>
      <c r="E9269">
        <v>4</v>
      </c>
      <c r="F9269" s="3">
        <f ca="1">41776+(RANDBETWEEN(1,10))</f>
        <v>41780</v>
      </c>
      <c r="G9269" t="s">
        <v>26</v>
      </c>
      <c r="H9269" t="s">
        <v>27</v>
      </c>
      <c r="I9269" t="s">
        <v>97</v>
      </c>
      <c r="J9269">
        <v>122.395</v>
      </c>
      <c r="K9269">
        <v>0</v>
      </c>
      <c r="L9269">
        <v>0.37</v>
      </c>
      <c r="M9269">
        <v>23.1</v>
      </c>
      <c r="N9269">
        <v>-63.866599999999998</v>
      </c>
      <c r="O9269" s="1" t="s">
        <v>225</v>
      </c>
      <c r="P9269" s="1" t="s">
        <v>347</v>
      </c>
      <c r="Q9269" s="1" t="s">
        <v>348</v>
      </c>
      <c r="R9269" s="1" t="s">
        <v>228</v>
      </c>
      <c r="S9269" s="1" t="s">
        <v>349</v>
      </c>
      <c r="T9269" s="1" t="s">
        <v>350</v>
      </c>
      <c r="U9269" s="2" t="s">
        <v>241</v>
      </c>
      <c r="V9269" s="2" t="s">
        <v>47</v>
      </c>
      <c r="W9269" s="2" t="s">
        <v>74</v>
      </c>
      <c r="X9269" s="2">
        <v>22.68</v>
      </c>
    </row>
    <row r="9270" spans="1:24" x14ac:dyDescent="0.3">
      <c r="A9270">
        <v>743</v>
      </c>
      <c r="B9270" t="s">
        <v>16385</v>
      </c>
      <c r="C9270" s="3">
        <v>41268</v>
      </c>
      <c r="D9270" t="s">
        <v>62</v>
      </c>
      <c r="E9270">
        <v>31</v>
      </c>
      <c r="F9270" s="3">
        <f ca="1">41270+(RANDBETWEEN(1,10))</f>
        <v>41280</v>
      </c>
      <c r="G9270" t="s">
        <v>76</v>
      </c>
      <c r="H9270" t="s">
        <v>258</v>
      </c>
      <c r="I9270" t="s">
        <v>97</v>
      </c>
      <c r="J9270">
        <v>14584.43</v>
      </c>
      <c r="K9270">
        <v>0.08</v>
      </c>
      <c r="L9270">
        <v>0.77</v>
      </c>
      <c r="M9270">
        <v>126.315</v>
      </c>
      <c r="N9270">
        <v>-2121.7489999999998</v>
      </c>
      <c r="O9270" s="1" t="s">
        <v>64</v>
      </c>
      <c r="P9270" s="1" t="s">
        <v>252</v>
      </c>
      <c r="Q9270" s="1" t="s">
        <v>253</v>
      </c>
      <c r="R9270" s="1" t="s">
        <v>67</v>
      </c>
      <c r="S9270" s="1" t="s">
        <v>254</v>
      </c>
      <c r="T9270" s="1" t="s">
        <v>255</v>
      </c>
      <c r="U9270" s="2" t="s">
        <v>3136</v>
      </c>
      <c r="V9270" s="2" t="s">
        <v>83</v>
      </c>
      <c r="W9270" s="2" t="s">
        <v>298</v>
      </c>
      <c r="X9270" s="2">
        <v>493.43</v>
      </c>
    </row>
    <row r="9271" spans="1:24" x14ac:dyDescent="0.3">
      <c r="A9271">
        <v>7431</v>
      </c>
      <c r="B9271" t="s">
        <v>16387</v>
      </c>
      <c r="C9271" s="3">
        <v>41713</v>
      </c>
      <c r="D9271" t="s">
        <v>50</v>
      </c>
      <c r="E9271">
        <v>8</v>
      </c>
      <c r="F9271" s="3">
        <f ca="1">41713+(RANDBETWEEN(1,10))</f>
        <v>41715</v>
      </c>
      <c r="G9271" t="s">
        <v>26</v>
      </c>
      <c r="H9271" t="s">
        <v>27</v>
      </c>
      <c r="I9271" t="s">
        <v>52</v>
      </c>
      <c r="J9271">
        <v>116.86499999999999</v>
      </c>
      <c r="K9271">
        <v>0.03</v>
      </c>
      <c r="L9271">
        <v>0.4</v>
      </c>
      <c r="M9271">
        <v>21.945</v>
      </c>
      <c r="N9271">
        <v>-124.292</v>
      </c>
      <c r="O9271" s="1" t="s">
        <v>64</v>
      </c>
      <c r="P9271" s="1" t="s">
        <v>10969</v>
      </c>
      <c r="Q9271" s="1" t="s">
        <v>10970</v>
      </c>
      <c r="R9271" s="1" t="s">
        <v>128</v>
      </c>
      <c r="S9271" s="1" t="s">
        <v>129</v>
      </c>
      <c r="T9271" s="1" t="s">
        <v>10971</v>
      </c>
      <c r="U9271" s="2" t="s">
        <v>1887</v>
      </c>
      <c r="V9271" s="2" t="s">
        <v>47</v>
      </c>
      <c r="W9271" s="2" t="s">
        <v>111</v>
      </c>
      <c r="X9271" s="2">
        <v>11.76</v>
      </c>
    </row>
    <row r="9272" spans="1:24" x14ac:dyDescent="0.3">
      <c r="A9272">
        <v>7437</v>
      </c>
      <c r="B9272" t="s">
        <v>16388</v>
      </c>
      <c r="C9272" s="3">
        <v>40985</v>
      </c>
      <c r="D9272" t="s">
        <v>62</v>
      </c>
      <c r="E9272">
        <v>32</v>
      </c>
      <c r="F9272" s="3">
        <f ca="1">40986+(RANDBETWEEN(1,10))</f>
        <v>40996</v>
      </c>
      <c r="G9272" t="s">
        <v>26</v>
      </c>
      <c r="H9272" t="s">
        <v>27</v>
      </c>
      <c r="I9272" t="s">
        <v>52</v>
      </c>
      <c r="J9272">
        <v>684.495</v>
      </c>
      <c r="K9272">
        <v>0.09</v>
      </c>
      <c r="L9272">
        <v>0.4</v>
      </c>
      <c r="M9272">
        <v>26.25</v>
      </c>
      <c r="N9272">
        <v>-465.255</v>
      </c>
      <c r="O9272" s="1" t="s">
        <v>40</v>
      </c>
      <c r="P9272" s="1" t="s">
        <v>15864</v>
      </c>
      <c r="Q9272" s="1" t="s">
        <v>15865</v>
      </c>
      <c r="R9272" s="1" t="s">
        <v>43</v>
      </c>
      <c r="S9272" s="1" t="s">
        <v>44</v>
      </c>
      <c r="T9272" s="1" t="s">
        <v>15866</v>
      </c>
      <c r="U9272" s="2" t="s">
        <v>6464</v>
      </c>
      <c r="V9272" s="2" t="s">
        <v>47</v>
      </c>
      <c r="W9272" s="2" t="s">
        <v>74</v>
      </c>
      <c r="X9272" s="2">
        <v>20.93</v>
      </c>
    </row>
    <row r="9273" spans="1:24" x14ac:dyDescent="0.3">
      <c r="A9273">
        <v>7442</v>
      </c>
      <c r="B9273" t="s">
        <v>16389</v>
      </c>
      <c r="C9273" s="3">
        <v>40990</v>
      </c>
      <c r="D9273" t="s">
        <v>62</v>
      </c>
      <c r="E9273">
        <v>36</v>
      </c>
      <c r="F9273" s="3">
        <f ca="1">40992+(RANDBETWEEN(1,10))</f>
        <v>40994</v>
      </c>
      <c r="G9273" t="s">
        <v>26</v>
      </c>
      <c r="H9273" t="s">
        <v>27</v>
      </c>
      <c r="I9273" t="s">
        <v>52</v>
      </c>
      <c r="J9273">
        <v>2586.7449999999999</v>
      </c>
      <c r="K9273">
        <v>0.1</v>
      </c>
      <c r="L9273">
        <v>0.65</v>
      </c>
      <c r="M9273">
        <v>20.965</v>
      </c>
      <c r="N9273">
        <v>-250.42500000000001</v>
      </c>
      <c r="O9273" s="1" t="s">
        <v>64</v>
      </c>
      <c r="P9273" s="1" t="s">
        <v>173</v>
      </c>
      <c r="Q9273" s="1" t="s">
        <v>174</v>
      </c>
      <c r="R9273" s="1" t="s">
        <v>67</v>
      </c>
      <c r="S9273" s="1" t="s">
        <v>108</v>
      </c>
      <c r="T9273" s="1" t="s">
        <v>109</v>
      </c>
      <c r="U9273" s="2" t="s">
        <v>3946</v>
      </c>
      <c r="V9273" s="2" t="s">
        <v>36</v>
      </c>
      <c r="W9273" s="2" t="s">
        <v>60</v>
      </c>
      <c r="X9273" s="2">
        <v>73.325000000000003</v>
      </c>
    </row>
    <row r="9274" spans="1:24" x14ac:dyDescent="0.3">
      <c r="A9274">
        <v>7443</v>
      </c>
      <c r="B9274" t="s">
        <v>16389</v>
      </c>
      <c r="C9274" s="3">
        <v>40990</v>
      </c>
      <c r="D9274" t="s">
        <v>62</v>
      </c>
      <c r="E9274">
        <v>4</v>
      </c>
      <c r="F9274" s="3">
        <f ca="1">40992+(RANDBETWEEN(1,10))</f>
        <v>41001</v>
      </c>
      <c r="G9274" t="s">
        <v>26</v>
      </c>
      <c r="H9274" t="s">
        <v>96</v>
      </c>
      <c r="I9274" t="s">
        <v>52</v>
      </c>
      <c r="J9274">
        <v>135.03</v>
      </c>
      <c r="K9274">
        <v>0.02</v>
      </c>
      <c r="L9274">
        <v>0.4</v>
      </c>
      <c r="M9274">
        <v>7.5250000000000004</v>
      </c>
      <c r="N9274">
        <v>-9.8699999999999992</v>
      </c>
      <c r="O9274" s="1" t="s">
        <v>64</v>
      </c>
      <c r="P9274" s="1" t="s">
        <v>173</v>
      </c>
      <c r="Q9274" s="1" t="s">
        <v>174</v>
      </c>
      <c r="R9274" s="1" t="s">
        <v>67</v>
      </c>
      <c r="S9274" s="1" t="s">
        <v>108</v>
      </c>
      <c r="T9274" s="1" t="s">
        <v>109</v>
      </c>
      <c r="U9274" s="2" t="s">
        <v>4359</v>
      </c>
      <c r="V9274" s="2" t="s">
        <v>47</v>
      </c>
      <c r="W9274" s="2" t="s">
        <v>74</v>
      </c>
      <c r="X9274" s="2">
        <v>31.885000000000002</v>
      </c>
    </row>
    <row r="9275" spans="1:24" x14ac:dyDescent="0.3">
      <c r="A9275">
        <v>7452</v>
      </c>
      <c r="B9275" t="s">
        <v>16390</v>
      </c>
      <c r="C9275" s="3">
        <v>40809</v>
      </c>
      <c r="D9275" t="s">
        <v>62</v>
      </c>
      <c r="E9275">
        <v>53</v>
      </c>
      <c r="F9275" s="3">
        <f ca="1">40810+(RANDBETWEEN(1,10))</f>
        <v>40814</v>
      </c>
      <c r="G9275" t="s">
        <v>26</v>
      </c>
      <c r="H9275" t="s">
        <v>27</v>
      </c>
      <c r="I9275" t="s">
        <v>28</v>
      </c>
      <c r="J9275">
        <v>3680.32</v>
      </c>
      <c r="K9275">
        <v>0.1</v>
      </c>
      <c r="L9275">
        <v>0.56999999999999995</v>
      </c>
      <c r="M9275">
        <v>13.965</v>
      </c>
      <c r="N9275">
        <v>294.17500000000001</v>
      </c>
      <c r="O9275" s="1" t="s">
        <v>40</v>
      </c>
      <c r="P9275" s="1" t="s">
        <v>15950</v>
      </c>
      <c r="Q9275" s="1" t="s">
        <v>15951</v>
      </c>
      <c r="R9275" s="1" t="s">
        <v>43</v>
      </c>
      <c r="S9275" s="1" t="s">
        <v>44</v>
      </c>
      <c r="T9275" s="1" t="s">
        <v>15952</v>
      </c>
      <c r="U9275" s="2" t="s">
        <v>9232</v>
      </c>
      <c r="V9275" s="2" t="s">
        <v>47</v>
      </c>
      <c r="W9275" s="2" t="s">
        <v>71</v>
      </c>
      <c r="X9275" s="2">
        <v>70.944999999999993</v>
      </c>
    </row>
    <row r="9276" spans="1:24" x14ac:dyDescent="0.3">
      <c r="A9276">
        <v>7462</v>
      </c>
      <c r="B9276" t="s">
        <v>16391</v>
      </c>
      <c r="C9276" s="3">
        <v>41211</v>
      </c>
      <c r="D9276" t="s">
        <v>62</v>
      </c>
      <c r="E9276">
        <v>13</v>
      </c>
      <c r="F9276" s="3">
        <f ca="1">41212+(RANDBETWEEN(1,10))</f>
        <v>41217</v>
      </c>
      <c r="G9276" t="s">
        <v>76</v>
      </c>
      <c r="H9276" t="s">
        <v>258</v>
      </c>
      <c r="I9276" t="s">
        <v>97</v>
      </c>
      <c r="J9276">
        <v>15749.895</v>
      </c>
      <c r="K9276">
        <v>0.06</v>
      </c>
      <c r="L9276">
        <v>0.62</v>
      </c>
      <c r="M9276">
        <v>140.66499999999999</v>
      </c>
      <c r="N9276">
        <v>-395.91552000000001</v>
      </c>
      <c r="O9276" s="1" t="s">
        <v>40</v>
      </c>
      <c r="P9276" s="1" t="s">
        <v>7320</v>
      </c>
      <c r="Q9276" s="1" t="s">
        <v>7321</v>
      </c>
      <c r="R9276" s="1" t="s">
        <v>43</v>
      </c>
      <c r="S9276" s="1" t="s">
        <v>44</v>
      </c>
      <c r="T9276" s="1" t="s">
        <v>7322</v>
      </c>
      <c r="U9276" s="2" t="s">
        <v>3482</v>
      </c>
      <c r="V9276" s="2" t="s">
        <v>83</v>
      </c>
      <c r="W9276" s="2" t="s">
        <v>263</v>
      </c>
      <c r="X9276" s="2">
        <v>1218.7349999999999</v>
      </c>
    </row>
    <row r="9277" spans="1:24" x14ac:dyDescent="0.3">
      <c r="A9277">
        <v>7466</v>
      </c>
      <c r="B9277" t="s">
        <v>16392</v>
      </c>
      <c r="C9277" s="3">
        <v>41783</v>
      </c>
      <c r="D9277" t="s">
        <v>62</v>
      </c>
      <c r="E9277">
        <v>8</v>
      </c>
      <c r="F9277" s="3">
        <f ca="1">41785+(RANDBETWEEN(1,10))</f>
        <v>41786</v>
      </c>
      <c r="G9277" t="s">
        <v>26</v>
      </c>
      <c r="H9277" t="s">
        <v>27</v>
      </c>
      <c r="I9277" t="s">
        <v>97</v>
      </c>
      <c r="J9277">
        <v>4867.1350000000002</v>
      </c>
      <c r="K9277">
        <v>0.04</v>
      </c>
      <c r="L9277">
        <v>0.4</v>
      </c>
      <c r="M9277">
        <v>69.965000000000003</v>
      </c>
      <c r="N9277">
        <v>573.31224999999995</v>
      </c>
      <c r="O9277" s="1" t="s">
        <v>40</v>
      </c>
      <c r="P9277" s="1" t="s">
        <v>16158</v>
      </c>
      <c r="Q9277" s="1" t="s">
        <v>16159</v>
      </c>
      <c r="R9277" s="1" t="s">
        <v>43</v>
      </c>
      <c r="S9277" s="1" t="s">
        <v>44</v>
      </c>
      <c r="T9277" s="1" t="s">
        <v>16160</v>
      </c>
      <c r="U9277" s="2" t="s">
        <v>2782</v>
      </c>
      <c r="V9277" s="2" t="s">
        <v>47</v>
      </c>
      <c r="W9277" s="2" t="s">
        <v>111</v>
      </c>
      <c r="X9277" s="2">
        <v>580.92999999999995</v>
      </c>
    </row>
    <row r="9278" spans="1:24" x14ac:dyDescent="0.3">
      <c r="A9278">
        <v>7469</v>
      </c>
      <c r="B9278" t="s">
        <v>16393</v>
      </c>
      <c r="C9278" s="3">
        <v>41171</v>
      </c>
      <c r="D9278" t="s">
        <v>39</v>
      </c>
      <c r="E9278">
        <v>60</v>
      </c>
      <c r="F9278" s="3">
        <f ca="1">41171+(RANDBETWEEN(1,10))</f>
        <v>41177</v>
      </c>
      <c r="G9278" t="s">
        <v>26</v>
      </c>
      <c r="H9278" t="s">
        <v>27</v>
      </c>
      <c r="I9278" t="s">
        <v>97</v>
      </c>
      <c r="J9278">
        <v>16977.66</v>
      </c>
      <c r="K9278">
        <v>0.01</v>
      </c>
      <c r="L9278">
        <v>0.43</v>
      </c>
      <c r="M9278">
        <v>69.965000000000003</v>
      </c>
      <c r="N9278">
        <v>3671.57</v>
      </c>
      <c r="O9278" s="1" t="s">
        <v>64</v>
      </c>
      <c r="P9278" s="1" t="s">
        <v>126</v>
      </c>
      <c r="Q9278" s="1" t="s">
        <v>127</v>
      </c>
      <c r="R9278" s="1" t="s">
        <v>128</v>
      </c>
      <c r="S9278" s="1" t="s">
        <v>129</v>
      </c>
      <c r="T9278" s="1" t="s">
        <v>130</v>
      </c>
      <c r="U9278" s="2" t="s">
        <v>7425</v>
      </c>
      <c r="V9278" s="2" t="s">
        <v>83</v>
      </c>
      <c r="W9278" s="2" t="s">
        <v>178</v>
      </c>
      <c r="X9278" s="2">
        <v>275.41500000000002</v>
      </c>
    </row>
    <row r="9279" spans="1:24" x14ac:dyDescent="0.3">
      <c r="A9279">
        <v>7470</v>
      </c>
      <c r="B9279" t="s">
        <v>16393</v>
      </c>
      <c r="C9279" s="3">
        <v>41171</v>
      </c>
      <c r="D9279" t="s">
        <v>39</v>
      </c>
      <c r="E9279">
        <v>27</v>
      </c>
      <c r="F9279" s="3">
        <f ca="1">41173+(RANDBETWEEN(1,10))</f>
        <v>41183</v>
      </c>
      <c r="G9279" t="s">
        <v>76</v>
      </c>
      <c r="H9279" t="s">
        <v>258</v>
      </c>
      <c r="I9279" t="s">
        <v>97</v>
      </c>
      <c r="J9279">
        <v>14087.745000000001</v>
      </c>
      <c r="K9279">
        <v>0.05</v>
      </c>
      <c r="L9279">
        <v>0.69</v>
      </c>
      <c r="M9279">
        <v>181.72</v>
      </c>
      <c r="N9279">
        <v>-1088.325</v>
      </c>
      <c r="O9279" s="1" t="s">
        <v>64</v>
      </c>
      <c r="P9279" s="1" t="s">
        <v>126</v>
      </c>
      <c r="Q9279" s="1" t="s">
        <v>127</v>
      </c>
      <c r="R9279" s="1" t="s">
        <v>128</v>
      </c>
      <c r="S9279" s="1" t="s">
        <v>129</v>
      </c>
      <c r="T9279" s="1" t="s">
        <v>130</v>
      </c>
      <c r="U9279" s="2" t="s">
        <v>2661</v>
      </c>
      <c r="V9279" s="2" t="s">
        <v>83</v>
      </c>
      <c r="W9279" s="2" t="s">
        <v>263</v>
      </c>
      <c r="X9279" s="2">
        <v>510.93</v>
      </c>
    </row>
    <row r="9280" spans="1:24" x14ac:dyDescent="0.3">
      <c r="A9280">
        <v>7473</v>
      </c>
      <c r="B9280" t="s">
        <v>16394</v>
      </c>
      <c r="C9280" s="3">
        <v>41804</v>
      </c>
      <c r="D9280" t="s">
        <v>50</v>
      </c>
      <c r="E9280">
        <v>36</v>
      </c>
      <c r="F9280" s="3">
        <f ca="1">41804+(RANDBETWEEN(1,10))</f>
        <v>41812</v>
      </c>
      <c r="G9280" t="s">
        <v>26</v>
      </c>
      <c r="H9280" t="s">
        <v>27</v>
      </c>
      <c r="I9280" t="s">
        <v>97</v>
      </c>
      <c r="J9280">
        <v>36994.720000000001</v>
      </c>
      <c r="K9280">
        <v>0.08</v>
      </c>
      <c r="L9280">
        <v>0.38</v>
      </c>
      <c r="M9280">
        <v>69.965000000000003</v>
      </c>
      <c r="N9280">
        <v>9083.1212500000001</v>
      </c>
      <c r="O9280" s="1" t="s">
        <v>40</v>
      </c>
      <c r="P9280" s="1" t="s">
        <v>259</v>
      </c>
      <c r="Q9280" s="1" t="s">
        <v>260</v>
      </c>
      <c r="R9280" s="1" t="s">
        <v>43</v>
      </c>
      <c r="S9280" s="1" t="s">
        <v>44</v>
      </c>
      <c r="T9280" s="1" t="s">
        <v>261</v>
      </c>
      <c r="U9280" s="2" t="s">
        <v>1457</v>
      </c>
      <c r="V9280" s="2" t="s">
        <v>47</v>
      </c>
      <c r="W9280" s="2" t="s">
        <v>111</v>
      </c>
      <c r="X9280" s="2">
        <v>1105.93</v>
      </c>
    </row>
    <row r="9281" spans="1:24" x14ac:dyDescent="0.3">
      <c r="A9281">
        <v>7480</v>
      </c>
      <c r="B9281" t="s">
        <v>16395</v>
      </c>
      <c r="C9281" s="3">
        <v>40762</v>
      </c>
      <c r="D9281" t="s">
        <v>62</v>
      </c>
      <c r="E9281">
        <v>79</v>
      </c>
      <c r="F9281" s="3">
        <f ca="1">40764+(RANDBETWEEN(1,10))</f>
        <v>40772</v>
      </c>
      <c r="G9281" t="s">
        <v>26</v>
      </c>
      <c r="H9281" t="s">
        <v>27</v>
      </c>
      <c r="I9281" t="s">
        <v>28</v>
      </c>
      <c r="J9281">
        <v>4039.42</v>
      </c>
      <c r="K9281">
        <v>0.08</v>
      </c>
      <c r="L9281">
        <v>0.43</v>
      </c>
      <c r="M9281">
        <v>46.62</v>
      </c>
      <c r="N9281">
        <v>-885.88499999999999</v>
      </c>
      <c r="O9281" s="1" t="s">
        <v>53</v>
      </c>
      <c r="P9281" s="1" t="s">
        <v>168</v>
      </c>
      <c r="Q9281" s="1" t="s">
        <v>169</v>
      </c>
      <c r="R9281" s="1" t="s">
        <v>100</v>
      </c>
      <c r="S9281" s="1" t="s">
        <v>101</v>
      </c>
      <c r="T9281" s="1" t="s">
        <v>170</v>
      </c>
      <c r="U9281" s="2" t="s">
        <v>1840</v>
      </c>
      <c r="V9281" s="2" t="s">
        <v>47</v>
      </c>
      <c r="W9281" s="2" t="s">
        <v>71</v>
      </c>
      <c r="X9281" s="2">
        <v>51.835000000000001</v>
      </c>
    </row>
    <row r="9282" spans="1:24" x14ac:dyDescent="0.3">
      <c r="A9282">
        <v>7481</v>
      </c>
      <c r="B9282" t="s">
        <v>16396</v>
      </c>
      <c r="C9282" s="3">
        <v>41607</v>
      </c>
      <c r="D9282" t="s">
        <v>62</v>
      </c>
      <c r="E9282">
        <v>85</v>
      </c>
      <c r="F9282" s="3">
        <f ca="1">41608+(RANDBETWEEN(1,10))</f>
        <v>41616</v>
      </c>
      <c r="G9282" t="s">
        <v>26</v>
      </c>
      <c r="H9282" t="s">
        <v>27</v>
      </c>
      <c r="I9282" t="s">
        <v>86</v>
      </c>
      <c r="J9282">
        <v>7944.93</v>
      </c>
      <c r="K9282">
        <v>0.08</v>
      </c>
      <c r="L9282">
        <v>0.75</v>
      </c>
      <c r="M9282">
        <v>14</v>
      </c>
      <c r="N9282">
        <v>-201.35499999999999</v>
      </c>
      <c r="O9282" s="1" t="s">
        <v>40</v>
      </c>
      <c r="P9282" s="1" t="s">
        <v>7320</v>
      </c>
      <c r="Q9282" s="1" t="s">
        <v>7321</v>
      </c>
      <c r="R9282" s="1" t="s">
        <v>43</v>
      </c>
      <c r="S9282" s="1" t="s">
        <v>44</v>
      </c>
      <c r="T9282" s="1" t="s">
        <v>7322</v>
      </c>
      <c r="U9282" s="2" t="s">
        <v>4155</v>
      </c>
      <c r="V9282" s="2" t="s">
        <v>36</v>
      </c>
      <c r="W9282" s="2" t="s">
        <v>60</v>
      </c>
      <c r="X9282" s="2">
        <v>96.18</v>
      </c>
    </row>
    <row r="9283" spans="1:24" x14ac:dyDescent="0.3">
      <c r="A9283">
        <v>7487</v>
      </c>
      <c r="B9283" t="s">
        <v>16397</v>
      </c>
      <c r="C9283" s="3">
        <v>41936</v>
      </c>
      <c r="D9283" t="s">
        <v>39</v>
      </c>
      <c r="E9283">
        <v>17</v>
      </c>
      <c r="F9283" s="3">
        <f ca="1">41938+(RANDBETWEEN(1,10))</f>
        <v>41946</v>
      </c>
      <c r="G9283" t="s">
        <v>26</v>
      </c>
      <c r="H9283" t="s">
        <v>51</v>
      </c>
      <c r="I9283" t="s">
        <v>86</v>
      </c>
      <c r="J9283">
        <v>787.99</v>
      </c>
      <c r="K9283">
        <v>0.01</v>
      </c>
      <c r="L9283">
        <v>0.59</v>
      </c>
      <c r="M9283">
        <v>31.465</v>
      </c>
      <c r="N9283">
        <v>-155.155</v>
      </c>
      <c r="O9283" s="1" t="s">
        <v>64</v>
      </c>
      <c r="P9283" s="1" t="s">
        <v>15852</v>
      </c>
      <c r="Q9283" s="1" t="s">
        <v>15853</v>
      </c>
      <c r="R9283" s="1" t="s">
        <v>128</v>
      </c>
      <c r="S9283" s="1" t="s">
        <v>129</v>
      </c>
      <c r="T9283" s="1" t="s">
        <v>15854</v>
      </c>
      <c r="U9283" s="2" t="s">
        <v>2687</v>
      </c>
      <c r="V9283" s="2" t="s">
        <v>47</v>
      </c>
      <c r="W9283" s="2" t="s">
        <v>104</v>
      </c>
      <c r="X9283" s="2">
        <v>40.81</v>
      </c>
    </row>
    <row r="9284" spans="1:24" x14ac:dyDescent="0.3">
      <c r="A9284">
        <v>7488</v>
      </c>
      <c r="B9284" t="s">
        <v>16397</v>
      </c>
      <c r="C9284" s="3">
        <v>41936</v>
      </c>
      <c r="D9284" t="s">
        <v>39</v>
      </c>
      <c r="E9284">
        <v>44</v>
      </c>
      <c r="F9284" s="3">
        <f ca="1">41938+(RANDBETWEEN(1,10))</f>
        <v>41946</v>
      </c>
      <c r="G9284" t="s">
        <v>26</v>
      </c>
      <c r="H9284" t="s">
        <v>96</v>
      </c>
      <c r="I9284" t="s">
        <v>86</v>
      </c>
      <c r="J9284">
        <v>541.20500000000004</v>
      </c>
      <c r="K9284">
        <v>0.02</v>
      </c>
      <c r="L9284">
        <v>0.4</v>
      </c>
      <c r="M9284">
        <v>4.7249999999999996</v>
      </c>
      <c r="N9284">
        <v>39.305</v>
      </c>
      <c r="O9284" s="1" t="s">
        <v>64</v>
      </c>
      <c r="P9284" s="1" t="s">
        <v>15852</v>
      </c>
      <c r="Q9284" s="1" t="s">
        <v>15853</v>
      </c>
      <c r="R9284" s="1" t="s">
        <v>128</v>
      </c>
      <c r="S9284" s="1" t="s">
        <v>129</v>
      </c>
      <c r="T9284" s="1" t="s">
        <v>15854</v>
      </c>
      <c r="U9284" s="2" t="s">
        <v>2529</v>
      </c>
      <c r="V9284" s="2" t="s">
        <v>47</v>
      </c>
      <c r="W9284" s="2" t="s">
        <v>176</v>
      </c>
      <c r="X9284" s="2">
        <v>11.515000000000001</v>
      </c>
    </row>
    <row r="9285" spans="1:24" x14ac:dyDescent="0.3">
      <c r="A9285">
        <v>7489</v>
      </c>
      <c r="B9285" t="s">
        <v>16398</v>
      </c>
      <c r="C9285" s="3">
        <v>40705</v>
      </c>
      <c r="D9285" t="s">
        <v>50</v>
      </c>
      <c r="E9285">
        <v>21</v>
      </c>
      <c r="F9285" s="3">
        <f ca="1">40705+(RANDBETWEEN(1,10))</f>
        <v>40709</v>
      </c>
      <c r="G9285" t="s">
        <v>26</v>
      </c>
      <c r="H9285" t="s">
        <v>27</v>
      </c>
      <c r="I9285" t="s">
        <v>86</v>
      </c>
      <c r="J9285">
        <v>2527.35</v>
      </c>
      <c r="K9285">
        <v>0.04</v>
      </c>
      <c r="L9285">
        <v>0.38</v>
      </c>
      <c r="M9285">
        <v>17.815000000000001</v>
      </c>
      <c r="N9285">
        <v>527.52</v>
      </c>
      <c r="O9285" s="1" t="s">
        <v>29</v>
      </c>
      <c r="P9285" s="1" t="s">
        <v>367</v>
      </c>
      <c r="Q9285" s="1" t="s">
        <v>368</v>
      </c>
      <c r="R9285" s="1" t="s">
        <v>32</v>
      </c>
      <c r="S9285" s="1" t="s">
        <v>33</v>
      </c>
      <c r="T9285" s="1" t="s">
        <v>369</v>
      </c>
      <c r="U9285" s="2" t="s">
        <v>4048</v>
      </c>
      <c r="V9285" s="2" t="s">
        <v>47</v>
      </c>
      <c r="W9285" s="2" t="s">
        <v>74</v>
      </c>
      <c r="X9285" s="2">
        <v>124.04</v>
      </c>
    </row>
    <row r="9286" spans="1:24" x14ac:dyDescent="0.3">
      <c r="A9286">
        <v>7490</v>
      </c>
      <c r="B9286" t="s">
        <v>16398</v>
      </c>
      <c r="C9286" s="3">
        <v>40705</v>
      </c>
      <c r="D9286" t="s">
        <v>50</v>
      </c>
      <c r="E9286">
        <v>36</v>
      </c>
      <c r="F9286" s="3">
        <f ca="1">40708+(RANDBETWEEN(1,10))</f>
        <v>40718</v>
      </c>
      <c r="G9286" t="s">
        <v>26</v>
      </c>
      <c r="H9286" t="s">
        <v>96</v>
      </c>
      <c r="I9286" t="s">
        <v>86</v>
      </c>
      <c r="J9286">
        <v>492.73</v>
      </c>
      <c r="K9286">
        <v>0.08</v>
      </c>
      <c r="L9286">
        <v>0.52</v>
      </c>
      <c r="M9286">
        <v>2.4500000000000002</v>
      </c>
      <c r="N9286">
        <v>67.97</v>
      </c>
      <c r="O9286" s="1" t="s">
        <v>29</v>
      </c>
      <c r="P9286" s="1" t="s">
        <v>367</v>
      </c>
      <c r="Q9286" s="1" t="s">
        <v>368</v>
      </c>
      <c r="R9286" s="1" t="s">
        <v>32</v>
      </c>
      <c r="S9286" s="1" t="s">
        <v>33</v>
      </c>
      <c r="T9286" s="1" t="s">
        <v>369</v>
      </c>
      <c r="U9286" s="2" t="s">
        <v>2896</v>
      </c>
      <c r="V9286" s="2" t="s">
        <v>47</v>
      </c>
      <c r="W9286" s="2" t="s">
        <v>104</v>
      </c>
      <c r="X9286" s="2">
        <v>13.93</v>
      </c>
    </row>
    <row r="9287" spans="1:24" x14ac:dyDescent="0.3">
      <c r="A9287">
        <v>7491</v>
      </c>
      <c r="B9287" t="s">
        <v>16398</v>
      </c>
      <c r="C9287" s="3">
        <v>40705</v>
      </c>
      <c r="D9287" t="s">
        <v>50</v>
      </c>
      <c r="E9287">
        <v>71</v>
      </c>
      <c r="F9287" s="3">
        <f ca="1">40706+(RANDBETWEEN(1,10))</f>
        <v>40714</v>
      </c>
      <c r="G9287" t="s">
        <v>26</v>
      </c>
      <c r="H9287" t="s">
        <v>96</v>
      </c>
      <c r="I9287" t="s">
        <v>86</v>
      </c>
      <c r="J9287">
        <v>454.02</v>
      </c>
      <c r="K9287">
        <v>0.01</v>
      </c>
      <c r="L9287">
        <v>0.56000000000000005</v>
      </c>
      <c r="M9287">
        <v>2.4500000000000002</v>
      </c>
      <c r="N9287">
        <v>10.955</v>
      </c>
      <c r="O9287" s="1" t="s">
        <v>29</v>
      </c>
      <c r="P9287" s="1" t="s">
        <v>367</v>
      </c>
      <c r="Q9287" s="1" t="s">
        <v>368</v>
      </c>
      <c r="R9287" s="1" t="s">
        <v>32</v>
      </c>
      <c r="S9287" s="1" t="s">
        <v>33</v>
      </c>
      <c r="T9287" s="1" t="s">
        <v>369</v>
      </c>
      <c r="U9287" s="2" t="s">
        <v>384</v>
      </c>
      <c r="V9287" s="2" t="s">
        <v>47</v>
      </c>
      <c r="W9287" s="2" t="s">
        <v>104</v>
      </c>
      <c r="X9287" s="2">
        <v>6.16</v>
      </c>
    </row>
    <row r="9288" spans="1:24" x14ac:dyDescent="0.3">
      <c r="A9288">
        <v>7492</v>
      </c>
      <c r="B9288" t="s">
        <v>16398</v>
      </c>
      <c r="C9288" s="3">
        <v>40705</v>
      </c>
      <c r="D9288" t="s">
        <v>50</v>
      </c>
      <c r="E9288">
        <v>63</v>
      </c>
      <c r="F9288" s="3">
        <f ca="1">40705+(RANDBETWEEN(1,10))</f>
        <v>40706</v>
      </c>
      <c r="G9288" t="s">
        <v>156</v>
      </c>
      <c r="H9288" t="s">
        <v>27</v>
      </c>
      <c r="I9288" t="s">
        <v>86</v>
      </c>
      <c r="J9288">
        <v>42668.43</v>
      </c>
      <c r="K9288">
        <v>0.01</v>
      </c>
      <c r="L9288">
        <v>0.71</v>
      </c>
      <c r="M9288">
        <v>69.965000000000003</v>
      </c>
      <c r="N9288">
        <v>3993.7449999999999</v>
      </c>
      <c r="O9288" s="1" t="s">
        <v>29</v>
      </c>
      <c r="P9288" s="1" t="s">
        <v>367</v>
      </c>
      <c r="Q9288" s="1" t="s">
        <v>368</v>
      </c>
      <c r="R9288" s="1" t="s">
        <v>32</v>
      </c>
      <c r="S9288" s="1" t="s">
        <v>33</v>
      </c>
      <c r="T9288" s="1" t="s">
        <v>369</v>
      </c>
      <c r="U9288" s="2" t="s">
        <v>624</v>
      </c>
      <c r="V9288" s="2" t="s">
        <v>47</v>
      </c>
      <c r="W9288" s="2" t="s">
        <v>119</v>
      </c>
      <c r="X9288" s="2">
        <v>676.09500000000003</v>
      </c>
    </row>
    <row r="9289" spans="1:24" x14ac:dyDescent="0.3">
      <c r="A9289">
        <v>7544</v>
      </c>
      <c r="B9289" t="s">
        <v>16399</v>
      </c>
      <c r="C9289" s="3">
        <v>40629</v>
      </c>
      <c r="D9289" t="s">
        <v>50</v>
      </c>
      <c r="E9289">
        <v>36</v>
      </c>
      <c r="F9289" s="3">
        <f ca="1">40630+(RANDBETWEEN(1,10))</f>
        <v>40631</v>
      </c>
      <c r="G9289" t="s">
        <v>26</v>
      </c>
      <c r="H9289" t="s">
        <v>96</v>
      </c>
      <c r="I9289" t="s">
        <v>28</v>
      </c>
      <c r="J9289">
        <v>1076.7750000000001</v>
      </c>
      <c r="K9289">
        <v>7.0000000000000007E-2</v>
      </c>
      <c r="L9289">
        <v>0.39</v>
      </c>
      <c r="M9289">
        <v>7.0350000000000001</v>
      </c>
      <c r="N9289">
        <v>321.05500000000001</v>
      </c>
      <c r="O9289" s="1" t="s">
        <v>64</v>
      </c>
      <c r="P9289" s="1" t="s">
        <v>15990</v>
      </c>
      <c r="Q9289" s="1" t="s">
        <v>15991</v>
      </c>
      <c r="R9289" s="1" t="s">
        <v>128</v>
      </c>
      <c r="S9289" s="1" t="s">
        <v>129</v>
      </c>
      <c r="T9289" s="1" t="s">
        <v>15992</v>
      </c>
      <c r="U9289" s="2" t="s">
        <v>7728</v>
      </c>
      <c r="V9289" s="2" t="s">
        <v>47</v>
      </c>
      <c r="W9289" s="2" t="s">
        <v>74</v>
      </c>
      <c r="X9289" s="2">
        <v>31.324999999999999</v>
      </c>
    </row>
    <row r="9290" spans="1:24" x14ac:dyDescent="0.3">
      <c r="A9290">
        <v>7555</v>
      </c>
      <c r="B9290" t="s">
        <v>16400</v>
      </c>
      <c r="C9290" s="3">
        <v>41684</v>
      </c>
      <c r="D9290" t="s">
        <v>39</v>
      </c>
      <c r="E9290">
        <v>18</v>
      </c>
      <c r="F9290" s="3">
        <f ca="1">41685+(RANDBETWEEN(1,10))</f>
        <v>41688</v>
      </c>
      <c r="G9290" t="s">
        <v>156</v>
      </c>
      <c r="H9290" t="s">
        <v>51</v>
      </c>
      <c r="I9290" t="s">
        <v>52</v>
      </c>
      <c r="J9290">
        <v>2876.2649999999999</v>
      </c>
      <c r="K9290">
        <v>0.06</v>
      </c>
      <c r="L9290">
        <v>0.8</v>
      </c>
      <c r="M9290">
        <v>17.5</v>
      </c>
      <c r="N9290">
        <v>-806.19</v>
      </c>
      <c r="O9290" s="1" t="s">
        <v>64</v>
      </c>
      <c r="P9290" s="1" t="s">
        <v>333</v>
      </c>
      <c r="Q9290" s="1" t="s">
        <v>334</v>
      </c>
      <c r="R9290" s="1" t="s">
        <v>67</v>
      </c>
      <c r="S9290" s="1" t="s">
        <v>68</v>
      </c>
      <c r="T9290" s="1" t="s">
        <v>335</v>
      </c>
      <c r="U9290" s="2" t="s">
        <v>2876</v>
      </c>
      <c r="V9290" s="2" t="s">
        <v>36</v>
      </c>
      <c r="W9290" s="2" t="s">
        <v>37</v>
      </c>
      <c r="X9290" s="2">
        <v>195.965</v>
      </c>
    </row>
    <row r="9291" spans="1:24" x14ac:dyDescent="0.3">
      <c r="A9291">
        <v>7556</v>
      </c>
      <c r="B9291" t="s">
        <v>16400</v>
      </c>
      <c r="C9291" s="3">
        <v>41684</v>
      </c>
      <c r="D9291" t="s">
        <v>39</v>
      </c>
      <c r="E9291">
        <v>34</v>
      </c>
      <c r="F9291" s="3">
        <f ca="1">41685+(RANDBETWEEN(1,10))</f>
        <v>41687</v>
      </c>
      <c r="G9291" t="s">
        <v>26</v>
      </c>
      <c r="H9291" t="s">
        <v>27</v>
      </c>
      <c r="I9291" t="s">
        <v>52</v>
      </c>
      <c r="J9291">
        <v>19720.224999999999</v>
      </c>
      <c r="K9291">
        <v>0.03</v>
      </c>
      <c r="L9291">
        <v>0.59</v>
      </c>
      <c r="M9291">
        <v>28.28</v>
      </c>
      <c r="N9291">
        <v>4148.9279999999999</v>
      </c>
      <c r="O9291" s="1" t="s">
        <v>64</v>
      </c>
      <c r="P9291" s="1" t="s">
        <v>333</v>
      </c>
      <c r="Q9291" s="1" t="s">
        <v>334</v>
      </c>
      <c r="R9291" s="1" t="s">
        <v>67</v>
      </c>
      <c r="S9291" s="1" t="s">
        <v>68</v>
      </c>
      <c r="T9291" s="1" t="s">
        <v>335</v>
      </c>
      <c r="U9291" s="2">
        <v>5125</v>
      </c>
      <c r="V9291" s="2" t="s">
        <v>36</v>
      </c>
      <c r="W9291" s="2" t="s">
        <v>37</v>
      </c>
      <c r="X9291" s="2">
        <v>703.46500000000003</v>
      </c>
    </row>
    <row r="9292" spans="1:24" x14ac:dyDescent="0.3">
      <c r="A9292">
        <v>7567</v>
      </c>
      <c r="B9292" t="s">
        <v>16401</v>
      </c>
      <c r="C9292" s="3">
        <v>40910</v>
      </c>
      <c r="D9292" t="s">
        <v>25</v>
      </c>
      <c r="E9292">
        <v>34</v>
      </c>
      <c r="F9292" s="3">
        <f ca="1">40910+(RANDBETWEEN(1,10))</f>
        <v>40913</v>
      </c>
      <c r="G9292" t="s">
        <v>26</v>
      </c>
      <c r="H9292" t="s">
        <v>27</v>
      </c>
      <c r="I9292" t="s">
        <v>97</v>
      </c>
      <c r="J9292">
        <v>245.875</v>
      </c>
      <c r="K9292">
        <v>0.1</v>
      </c>
      <c r="L9292">
        <v>0.43</v>
      </c>
      <c r="M9292">
        <v>18.655000000000001</v>
      </c>
      <c r="N9292">
        <v>-619.39430000000004</v>
      </c>
      <c r="O9292" s="1" t="s">
        <v>225</v>
      </c>
      <c r="P9292" s="1" t="s">
        <v>347</v>
      </c>
      <c r="Q9292" s="1" t="s">
        <v>348</v>
      </c>
      <c r="R9292" s="1" t="s">
        <v>228</v>
      </c>
      <c r="S9292" s="1" t="s">
        <v>349</v>
      </c>
      <c r="T9292" s="1" t="s">
        <v>350</v>
      </c>
      <c r="U9292" s="2" t="s">
        <v>2500</v>
      </c>
      <c r="V9292" s="2" t="s">
        <v>83</v>
      </c>
      <c r="W9292" s="2" t="s">
        <v>178</v>
      </c>
      <c r="X9292" s="2">
        <v>7.28</v>
      </c>
    </row>
    <row r="9293" spans="1:24" x14ac:dyDescent="0.3">
      <c r="A9293">
        <v>7568</v>
      </c>
      <c r="B9293" t="s">
        <v>16402</v>
      </c>
      <c r="C9293" s="3">
        <v>41200</v>
      </c>
      <c r="D9293" t="s">
        <v>25</v>
      </c>
      <c r="E9293">
        <v>5</v>
      </c>
      <c r="F9293" s="3">
        <f ca="1">41205+(RANDBETWEEN(1,10))</f>
        <v>41210</v>
      </c>
      <c r="G9293" t="s">
        <v>26</v>
      </c>
      <c r="H9293" t="s">
        <v>51</v>
      </c>
      <c r="I9293" t="s">
        <v>28</v>
      </c>
      <c r="J9293">
        <v>727.72</v>
      </c>
      <c r="K9293">
        <v>0.06</v>
      </c>
      <c r="L9293">
        <v>0.55000000000000004</v>
      </c>
      <c r="M9293">
        <v>6.9649999999999999</v>
      </c>
      <c r="N9293">
        <v>-473.08800000000002</v>
      </c>
      <c r="O9293" s="1" t="s">
        <v>225</v>
      </c>
      <c r="P9293" s="1" t="s">
        <v>427</v>
      </c>
      <c r="Q9293" s="1" t="s">
        <v>428</v>
      </c>
      <c r="R9293" s="1" t="s">
        <v>228</v>
      </c>
      <c r="S9293" s="1" t="s">
        <v>229</v>
      </c>
      <c r="T9293" s="1" t="s">
        <v>429</v>
      </c>
      <c r="U9293" s="2" t="s">
        <v>1957</v>
      </c>
      <c r="V9293" s="2" t="s">
        <v>36</v>
      </c>
      <c r="W9293" s="2" t="s">
        <v>60</v>
      </c>
      <c r="X9293" s="2">
        <v>143.36000000000001</v>
      </c>
    </row>
    <row r="9294" spans="1:24" x14ac:dyDescent="0.3">
      <c r="A9294">
        <v>757</v>
      </c>
      <c r="B9294" t="s">
        <v>16403</v>
      </c>
      <c r="C9294" s="3">
        <v>41840</v>
      </c>
      <c r="D9294" t="s">
        <v>50</v>
      </c>
      <c r="E9294">
        <v>48</v>
      </c>
      <c r="F9294" s="3">
        <f ca="1">41842+(RANDBETWEEN(1,10))</f>
        <v>41845</v>
      </c>
      <c r="G9294" t="s">
        <v>26</v>
      </c>
      <c r="H9294" t="s">
        <v>27</v>
      </c>
      <c r="I9294" t="s">
        <v>52</v>
      </c>
      <c r="J9294">
        <v>1120.8050000000001</v>
      </c>
      <c r="K9294">
        <v>0.02</v>
      </c>
      <c r="L9294">
        <v>0.37</v>
      </c>
      <c r="M9294">
        <v>23.1</v>
      </c>
      <c r="N9294">
        <v>-322.17500000000001</v>
      </c>
      <c r="O9294" s="1" t="s">
        <v>40</v>
      </c>
      <c r="P9294" s="1" t="s">
        <v>149</v>
      </c>
      <c r="Q9294" s="1" t="s">
        <v>150</v>
      </c>
      <c r="R9294" s="1" t="s">
        <v>43</v>
      </c>
      <c r="S9294" s="1" t="s">
        <v>44</v>
      </c>
      <c r="T9294" s="1" t="s">
        <v>151</v>
      </c>
      <c r="U9294" s="2" t="s">
        <v>241</v>
      </c>
      <c r="V9294" s="2" t="s">
        <v>47</v>
      </c>
      <c r="W9294" s="2" t="s">
        <v>74</v>
      </c>
      <c r="X9294" s="2">
        <v>22.68</v>
      </c>
    </row>
    <row r="9295" spans="1:24" x14ac:dyDescent="0.3">
      <c r="A9295">
        <v>7576</v>
      </c>
      <c r="B9295" t="s">
        <v>16404</v>
      </c>
      <c r="C9295" s="3">
        <v>41777</v>
      </c>
      <c r="D9295" t="s">
        <v>39</v>
      </c>
      <c r="E9295">
        <v>16</v>
      </c>
      <c r="F9295" s="3">
        <f ca="1">41779+(RANDBETWEEN(1,10))</f>
        <v>41780</v>
      </c>
      <c r="G9295" t="s">
        <v>76</v>
      </c>
      <c r="H9295" t="s">
        <v>77</v>
      </c>
      <c r="I9295" t="s">
        <v>97</v>
      </c>
      <c r="J9295">
        <v>12174.365</v>
      </c>
      <c r="K9295">
        <v>0.03</v>
      </c>
      <c r="L9295">
        <v>0.59</v>
      </c>
      <c r="M9295">
        <v>51.45</v>
      </c>
      <c r="N9295">
        <v>235.76</v>
      </c>
      <c r="O9295" s="1" t="s">
        <v>40</v>
      </c>
      <c r="P9295" s="1" t="s">
        <v>13707</v>
      </c>
      <c r="Q9295" s="1" t="s">
        <v>13708</v>
      </c>
      <c r="R9295" s="1" t="s">
        <v>43</v>
      </c>
      <c r="S9295" s="1" t="s">
        <v>44</v>
      </c>
      <c r="T9295" s="1" t="s">
        <v>13709</v>
      </c>
      <c r="U9295" s="2" t="s">
        <v>5448</v>
      </c>
      <c r="V9295" s="2" t="s">
        <v>36</v>
      </c>
      <c r="W9295" s="2" t="s">
        <v>142</v>
      </c>
      <c r="X9295" s="2">
        <v>747.07500000000005</v>
      </c>
    </row>
    <row r="9296" spans="1:24" x14ac:dyDescent="0.3">
      <c r="A9296">
        <v>758</v>
      </c>
      <c r="B9296" t="s">
        <v>16403</v>
      </c>
      <c r="C9296" s="3">
        <v>41840</v>
      </c>
      <c r="D9296" t="s">
        <v>50</v>
      </c>
      <c r="E9296">
        <v>22</v>
      </c>
      <c r="F9296" s="3">
        <f ca="1">41841+(RANDBETWEEN(1,10))</f>
        <v>41842</v>
      </c>
      <c r="G9296" t="s">
        <v>26</v>
      </c>
      <c r="H9296" t="s">
        <v>27</v>
      </c>
      <c r="I9296" t="s">
        <v>52</v>
      </c>
      <c r="J9296">
        <v>1342.32</v>
      </c>
      <c r="K9296">
        <v>0.04</v>
      </c>
      <c r="L9296">
        <v>0.57999999999999996</v>
      </c>
      <c r="M9296">
        <v>17.36</v>
      </c>
      <c r="N9296">
        <v>21.385000000000002</v>
      </c>
      <c r="O9296" s="1" t="s">
        <v>40</v>
      </c>
      <c r="P9296" s="1" t="s">
        <v>149</v>
      </c>
      <c r="Q9296" s="1" t="s">
        <v>150</v>
      </c>
      <c r="R9296" s="1" t="s">
        <v>43</v>
      </c>
      <c r="S9296" s="1" t="s">
        <v>44</v>
      </c>
      <c r="T9296" s="1" t="s">
        <v>151</v>
      </c>
      <c r="U9296" s="2" t="s">
        <v>1341</v>
      </c>
      <c r="V9296" s="2" t="s">
        <v>47</v>
      </c>
      <c r="W9296" s="2" t="s">
        <v>119</v>
      </c>
      <c r="X9296" s="2">
        <v>60.024999999999999</v>
      </c>
    </row>
    <row r="9297" spans="1:24" x14ac:dyDescent="0.3">
      <c r="A9297">
        <v>7587</v>
      </c>
      <c r="B9297" t="s">
        <v>16405</v>
      </c>
      <c r="C9297" s="3">
        <v>40956</v>
      </c>
      <c r="D9297" t="s">
        <v>39</v>
      </c>
      <c r="E9297">
        <v>11</v>
      </c>
      <c r="F9297" s="3">
        <f ca="1">40958+(RANDBETWEEN(1,10))</f>
        <v>40963</v>
      </c>
      <c r="G9297" t="s">
        <v>26</v>
      </c>
      <c r="H9297" t="s">
        <v>27</v>
      </c>
      <c r="I9297" t="s">
        <v>52</v>
      </c>
      <c r="J9297">
        <v>1955.17</v>
      </c>
      <c r="K9297">
        <v>0.03</v>
      </c>
      <c r="L9297">
        <v>0.56000000000000005</v>
      </c>
      <c r="M9297">
        <v>13.965</v>
      </c>
      <c r="N9297">
        <v>414.12</v>
      </c>
      <c r="O9297" s="1" t="s">
        <v>40</v>
      </c>
      <c r="P9297" s="1" t="s">
        <v>15864</v>
      </c>
      <c r="Q9297" s="1" t="s">
        <v>15865</v>
      </c>
      <c r="R9297" s="1" t="s">
        <v>43</v>
      </c>
      <c r="S9297" s="1" t="s">
        <v>44</v>
      </c>
      <c r="T9297" s="1" t="s">
        <v>15866</v>
      </c>
      <c r="U9297" s="2" t="s">
        <v>1399</v>
      </c>
      <c r="V9297" s="2" t="s">
        <v>47</v>
      </c>
      <c r="W9297" s="2" t="s">
        <v>71</v>
      </c>
      <c r="X9297" s="2">
        <v>170.03</v>
      </c>
    </row>
    <row r="9298" spans="1:24" x14ac:dyDescent="0.3">
      <c r="A9298">
        <v>759</v>
      </c>
      <c r="B9298" t="s">
        <v>16406</v>
      </c>
      <c r="C9298" s="3">
        <v>41350</v>
      </c>
      <c r="D9298" t="s">
        <v>62</v>
      </c>
      <c r="E9298">
        <v>2</v>
      </c>
      <c r="F9298" s="3">
        <f ca="1">41352+(RANDBETWEEN(1,10))</f>
        <v>41357</v>
      </c>
      <c r="G9298" t="s">
        <v>26</v>
      </c>
      <c r="H9298" t="s">
        <v>63</v>
      </c>
      <c r="I9298" t="s">
        <v>86</v>
      </c>
      <c r="J9298">
        <v>3100.79</v>
      </c>
      <c r="K9298">
        <v>0.08</v>
      </c>
      <c r="L9298">
        <v>0.52</v>
      </c>
      <c r="M9298">
        <v>85.715000000000003</v>
      </c>
      <c r="N9298">
        <v>-9422.0877450000007</v>
      </c>
      <c r="O9298" s="1" t="s">
        <v>64</v>
      </c>
      <c r="P9298" s="1" t="s">
        <v>15960</v>
      </c>
      <c r="Q9298" s="1" t="s">
        <v>15961</v>
      </c>
      <c r="R9298" s="1" t="s">
        <v>67</v>
      </c>
      <c r="S9298" s="1" t="s">
        <v>254</v>
      </c>
      <c r="T9298" s="1" t="s">
        <v>15962</v>
      </c>
      <c r="U9298" s="2" t="s">
        <v>1480</v>
      </c>
      <c r="V9298" s="2" t="s">
        <v>36</v>
      </c>
      <c r="W9298" s="2" t="s">
        <v>1327</v>
      </c>
      <c r="X9298" s="2">
        <v>1574.9649999999999</v>
      </c>
    </row>
    <row r="9299" spans="1:24" x14ac:dyDescent="0.3">
      <c r="A9299">
        <v>7599</v>
      </c>
      <c r="B9299" t="s">
        <v>16407</v>
      </c>
      <c r="C9299" s="3">
        <v>40604</v>
      </c>
      <c r="D9299" t="s">
        <v>50</v>
      </c>
      <c r="E9299">
        <v>47</v>
      </c>
      <c r="F9299" s="3">
        <f ca="1">40606+(RANDBETWEEN(1,10))</f>
        <v>40607</v>
      </c>
      <c r="G9299" t="s">
        <v>156</v>
      </c>
      <c r="H9299" t="s">
        <v>51</v>
      </c>
      <c r="I9299" t="s">
        <v>52</v>
      </c>
      <c r="J9299">
        <v>1473.78</v>
      </c>
      <c r="K9299">
        <v>0</v>
      </c>
      <c r="L9299">
        <v>0.52</v>
      </c>
      <c r="M9299">
        <v>6.9649999999999999</v>
      </c>
      <c r="N9299">
        <v>288.08499999999998</v>
      </c>
      <c r="O9299" s="1" t="s">
        <v>53</v>
      </c>
      <c r="P9299" s="1" t="s">
        <v>16091</v>
      </c>
      <c r="Q9299" s="1" t="s">
        <v>16092</v>
      </c>
      <c r="R9299" s="1" t="s">
        <v>100</v>
      </c>
      <c r="S9299" s="1" t="s">
        <v>101</v>
      </c>
      <c r="T9299" s="1" t="s">
        <v>16093</v>
      </c>
      <c r="U9299" s="2" t="s">
        <v>2853</v>
      </c>
      <c r="V9299" s="2" t="s">
        <v>36</v>
      </c>
      <c r="W9299" s="2" t="s">
        <v>60</v>
      </c>
      <c r="X9299" s="2">
        <v>29.155000000000001</v>
      </c>
    </row>
    <row r="9300" spans="1:24" x14ac:dyDescent="0.3">
      <c r="A9300">
        <v>7615</v>
      </c>
      <c r="B9300" t="s">
        <v>16408</v>
      </c>
      <c r="C9300" s="3">
        <v>40927</v>
      </c>
      <c r="D9300" t="s">
        <v>50</v>
      </c>
      <c r="E9300">
        <v>1</v>
      </c>
      <c r="F9300" s="3">
        <f ca="1">40930+(RANDBETWEEN(1,10))</f>
        <v>40934</v>
      </c>
      <c r="G9300" t="s">
        <v>26</v>
      </c>
      <c r="H9300" t="s">
        <v>27</v>
      </c>
      <c r="I9300" t="s">
        <v>97</v>
      </c>
      <c r="J9300">
        <v>544.28499999999997</v>
      </c>
      <c r="K9300">
        <v>7.0000000000000007E-2</v>
      </c>
      <c r="L9300">
        <v>0.56000000000000005</v>
      </c>
      <c r="M9300">
        <v>69.965000000000003</v>
      </c>
      <c r="N9300">
        <v>-489.10399999999998</v>
      </c>
      <c r="O9300" s="1" t="s">
        <v>64</v>
      </c>
      <c r="P9300" s="1" t="s">
        <v>374</v>
      </c>
      <c r="Q9300" s="1" t="s">
        <v>375</v>
      </c>
      <c r="R9300" s="1" t="s">
        <v>128</v>
      </c>
      <c r="S9300" s="1" t="s">
        <v>129</v>
      </c>
      <c r="T9300" s="1" t="s">
        <v>376</v>
      </c>
      <c r="U9300" s="2" t="s">
        <v>3048</v>
      </c>
      <c r="V9300" s="2" t="s">
        <v>47</v>
      </c>
      <c r="W9300" s="2" t="s">
        <v>119</v>
      </c>
      <c r="X9300" s="2">
        <v>500.01</v>
      </c>
    </row>
    <row r="9301" spans="1:24" x14ac:dyDescent="0.3">
      <c r="A9301">
        <v>7626</v>
      </c>
      <c r="B9301" t="s">
        <v>16409</v>
      </c>
      <c r="C9301" s="3">
        <v>41186</v>
      </c>
      <c r="D9301" t="s">
        <v>62</v>
      </c>
      <c r="E9301">
        <v>43</v>
      </c>
      <c r="F9301" s="3">
        <f ca="1">41188+(RANDBETWEEN(1,10))</f>
        <v>41198</v>
      </c>
      <c r="G9301" t="s">
        <v>26</v>
      </c>
      <c r="H9301" t="s">
        <v>51</v>
      </c>
      <c r="I9301" t="s">
        <v>97</v>
      </c>
      <c r="J9301">
        <v>3283.1750000000002</v>
      </c>
      <c r="K9301">
        <v>0.01</v>
      </c>
      <c r="L9301">
        <v>0.46</v>
      </c>
      <c r="M9301">
        <v>31.465</v>
      </c>
      <c r="N9301">
        <v>122.836</v>
      </c>
      <c r="O9301" s="1" t="s">
        <v>40</v>
      </c>
      <c r="P9301" s="1" t="s">
        <v>16165</v>
      </c>
      <c r="Q9301" s="1" t="s">
        <v>16166</v>
      </c>
      <c r="R9301" s="1" t="s">
        <v>43</v>
      </c>
      <c r="S9301" s="1" t="s">
        <v>44</v>
      </c>
      <c r="T9301" s="1" t="s">
        <v>16167</v>
      </c>
      <c r="U9301" s="2" t="s">
        <v>10613</v>
      </c>
      <c r="V9301" s="2" t="s">
        <v>83</v>
      </c>
      <c r="W9301" s="2" t="s">
        <v>178</v>
      </c>
      <c r="X9301" s="2">
        <v>70.84</v>
      </c>
    </row>
    <row r="9302" spans="1:24" x14ac:dyDescent="0.3">
      <c r="A9302">
        <v>7628</v>
      </c>
      <c r="B9302" t="s">
        <v>16410</v>
      </c>
      <c r="C9302" s="3">
        <v>40757</v>
      </c>
      <c r="D9302" t="s">
        <v>148</v>
      </c>
      <c r="E9302">
        <v>56</v>
      </c>
      <c r="F9302" s="3">
        <f ca="1">40759+(RANDBETWEEN(1,10))</f>
        <v>40767</v>
      </c>
      <c r="G9302" t="s">
        <v>26</v>
      </c>
      <c r="H9302" t="s">
        <v>27</v>
      </c>
      <c r="I9302" t="s">
        <v>86</v>
      </c>
      <c r="J9302">
        <v>1243.9000000000001</v>
      </c>
      <c r="K9302">
        <v>0.09</v>
      </c>
      <c r="L9302">
        <v>0.53</v>
      </c>
      <c r="M9302">
        <v>18.934999999999999</v>
      </c>
      <c r="N9302">
        <v>-215.565</v>
      </c>
      <c r="O9302" s="1" t="s">
        <v>53</v>
      </c>
      <c r="P9302" s="1" t="s">
        <v>157</v>
      </c>
      <c r="Q9302" s="1" t="s">
        <v>158</v>
      </c>
      <c r="R9302" s="1" t="s">
        <v>56</v>
      </c>
      <c r="S9302" s="1" t="s">
        <v>159</v>
      </c>
      <c r="T9302" s="1" t="s">
        <v>160</v>
      </c>
      <c r="U9302" s="2" t="s">
        <v>5637</v>
      </c>
      <c r="V9302" s="2" t="s">
        <v>83</v>
      </c>
      <c r="W9302" s="2" t="s">
        <v>178</v>
      </c>
      <c r="X9302" s="2">
        <v>21.98</v>
      </c>
    </row>
    <row r="9303" spans="1:24" x14ac:dyDescent="0.3">
      <c r="A9303">
        <v>7629</v>
      </c>
      <c r="B9303" t="s">
        <v>16411</v>
      </c>
      <c r="C9303" s="3">
        <v>41437</v>
      </c>
      <c r="D9303" t="s">
        <v>25</v>
      </c>
      <c r="E9303">
        <v>46</v>
      </c>
      <c r="F9303" s="3">
        <f ca="1">41441+(RANDBETWEEN(1,10))</f>
        <v>41449</v>
      </c>
      <c r="G9303" t="s">
        <v>76</v>
      </c>
      <c r="H9303" t="s">
        <v>258</v>
      </c>
      <c r="I9303" t="s">
        <v>86</v>
      </c>
      <c r="J9303">
        <v>11336.465</v>
      </c>
      <c r="K9303">
        <v>0.05</v>
      </c>
      <c r="L9303" t="s">
        <v>182</v>
      </c>
      <c r="M9303">
        <v>93.974999999999994</v>
      </c>
      <c r="N9303">
        <v>-53.515000000000001</v>
      </c>
      <c r="O9303" s="1" t="s">
        <v>64</v>
      </c>
      <c r="P9303" s="1" t="s">
        <v>8025</v>
      </c>
      <c r="Q9303" s="1" t="s">
        <v>8026</v>
      </c>
      <c r="R9303" s="1" t="s">
        <v>67</v>
      </c>
      <c r="S9303" s="1" t="s">
        <v>68</v>
      </c>
      <c r="T9303" s="1" t="s">
        <v>8027</v>
      </c>
      <c r="U9303" s="2" t="s">
        <v>9883</v>
      </c>
      <c r="V9303" s="2" t="s">
        <v>83</v>
      </c>
      <c r="W9303" s="2" t="s">
        <v>298</v>
      </c>
      <c r="X9303" s="2">
        <v>248.43</v>
      </c>
    </row>
    <row r="9304" spans="1:24" x14ac:dyDescent="0.3">
      <c r="A9304">
        <v>7630</v>
      </c>
      <c r="B9304" t="s">
        <v>16411</v>
      </c>
      <c r="C9304" s="3">
        <v>41437</v>
      </c>
      <c r="D9304" t="s">
        <v>25</v>
      </c>
      <c r="E9304">
        <v>56</v>
      </c>
      <c r="F9304" s="3">
        <f ca="1">41439+(RANDBETWEEN(1,10))</f>
        <v>41442</v>
      </c>
      <c r="G9304" t="s">
        <v>26</v>
      </c>
      <c r="H9304" t="s">
        <v>27</v>
      </c>
      <c r="I9304" t="s">
        <v>86</v>
      </c>
      <c r="J9304">
        <v>890.26</v>
      </c>
      <c r="K9304">
        <v>0.03</v>
      </c>
      <c r="L9304">
        <v>0.49</v>
      </c>
      <c r="M9304">
        <v>24.22</v>
      </c>
      <c r="N9304">
        <v>-468.19499999999999</v>
      </c>
      <c r="O9304" s="1" t="s">
        <v>64</v>
      </c>
      <c r="P9304" s="1" t="s">
        <v>8025</v>
      </c>
      <c r="Q9304" s="1" t="s">
        <v>8026</v>
      </c>
      <c r="R9304" s="1" t="s">
        <v>67</v>
      </c>
      <c r="S9304" s="1" t="s">
        <v>68</v>
      </c>
      <c r="T9304" s="1" t="s">
        <v>8027</v>
      </c>
      <c r="U9304" s="2" t="s">
        <v>6098</v>
      </c>
      <c r="V9304" s="2" t="s">
        <v>83</v>
      </c>
      <c r="W9304" s="2" t="s">
        <v>178</v>
      </c>
      <c r="X9304" s="2">
        <v>14.63</v>
      </c>
    </row>
    <row r="9305" spans="1:24" x14ac:dyDescent="0.3">
      <c r="A9305">
        <v>7631</v>
      </c>
      <c r="B9305" t="s">
        <v>16412</v>
      </c>
      <c r="C9305" s="3">
        <v>41757</v>
      </c>
      <c r="D9305" t="s">
        <v>148</v>
      </c>
      <c r="E9305">
        <v>30</v>
      </c>
      <c r="F9305" s="3">
        <f ca="1">41759+(RANDBETWEEN(1,10))</f>
        <v>41764</v>
      </c>
      <c r="G9305" t="s">
        <v>26</v>
      </c>
      <c r="H9305" t="s">
        <v>51</v>
      </c>
      <c r="I9305" t="s">
        <v>86</v>
      </c>
      <c r="J9305">
        <v>876.01499999999999</v>
      </c>
      <c r="K9305">
        <v>0.02</v>
      </c>
      <c r="L9305">
        <v>0.59</v>
      </c>
      <c r="M9305">
        <v>9.24</v>
      </c>
      <c r="N9305">
        <v>23.765000000000001</v>
      </c>
      <c r="O9305" s="1" t="s">
        <v>64</v>
      </c>
      <c r="P9305" s="1" t="s">
        <v>8025</v>
      </c>
      <c r="Q9305" s="1" t="s">
        <v>8026</v>
      </c>
      <c r="R9305" s="1" t="s">
        <v>67</v>
      </c>
      <c r="S9305" s="1" t="s">
        <v>68</v>
      </c>
      <c r="T9305" s="1" t="s">
        <v>8027</v>
      </c>
      <c r="U9305" s="2" t="s">
        <v>6942</v>
      </c>
      <c r="V9305" s="2" t="s">
        <v>47</v>
      </c>
      <c r="W9305" s="2" t="s">
        <v>94</v>
      </c>
      <c r="X9305" s="2">
        <v>29.19</v>
      </c>
    </row>
    <row r="9306" spans="1:24" x14ac:dyDescent="0.3">
      <c r="A9306">
        <v>7632</v>
      </c>
      <c r="B9306" t="s">
        <v>16413</v>
      </c>
      <c r="C9306" s="3">
        <v>40661</v>
      </c>
      <c r="D9306" t="s">
        <v>148</v>
      </c>
      <c r="E9306">
        <v>41</v>
      </c>
      <c r="F9306" s="3">
        <f ca="1">40664+(RANDBETWEEN(1,10))</f>
        <v>40671</v>
      </c>
      <c r="G9306" t="s">
        <v>76</v>
      </c>
      <c r="H9306" t="s">
        <v>77</v>
      </c>
      <c r="I9306" t="s">
        <v>86</v>
      </c>
      <c r="J9306">
        <v>18406.29</v>
      </c>
      <c r="K9306">
        <v>0.09</v>
      </c>
      <c r="L9306">
        <v>0.78</v>
      </c>
      <c r="M9306">
        <v>105</v>
      </c>
      <c r="N9306">
        <v>-1476.16</v>
      </c>
      <c r="O9306" s="1" t="s">
        <v>64</v>
      </c>
      <c r="P9306" s="1" t="s">
        <v>8025</v>
      </c>
      <c r="Q9306" s="1" t="s">
        <v>8026</v>
      </c>
      <c r="R9306" s="1" t="s">
        <v>67</v>
      </c>
      <c r="S9306" s="1" t="s">
        <v>68</v>
      </c>
      <c r="T9306" s="1" t="s">
        <v>8027</v>
      </c>
      <c r="U9306" s="2" t="s">
        <v>2894</v>
      </c>
      <c r="V9306" s="2" t="s">
        <v>83</v>
      </c>
      <c r="W9306" s="2" t="s">
        <v>84</v>
      </c>
      <c r="X9306" s="2">
        <v>458.43</v>
      </c>
    </row>
    <row r="9307" spans="1:24" x14ac:dyDescent="0.3">
      <c r="A9307">
        <v>7633</v>
      </c>
      <c r="B9307" t="s">
        <v>16414</v>
      </c>
      <c r="C9307" s="3">
        <v>41065</v>
      </c>
      <c r="D9307" t="s">
        <v>39</v>
      </c>
      <c r="E9307">
        <v>32</v>
      </c>
      <c r="F9307" s="3">
        <f ca="1">41066+(RANDBETWEEN(1,10))</f>
        <v>41075</v>
      </c>
      <c r="G9307" t="s">
        <v>26</v>
      </c>
      <c r="H9307" t="s">
        <v>51</v>
      </c>
      <c r="I9307" t="s">
        <v>97</v>
      </c>
      <c r="J9307">
        <v>2513.2800000000002</v>
      </c>
      <c r="K9307">
        <v>7.0000000000000007E-2</v>
      </c>
      <c r="L9307">
        <v>0.46</v>
      </c>
      <c r="M9307">
        <v>6.9649999999999999</v>
      </c>
      <c r="N9307">
        <v>404.39</v>
      </c>
      <c r="O9307" s="1" t="s">
        <v>40</v>
      </c>
      <c r="P9307" s="1" t="s">
        <v>15893</v>
      </c>
      <c r="Q9307" s="1" t="s">
        <v>15894</v>
      </c>
      <c r="R9307" s="1" t="s">
        <v>43</v>
      </c>
      <c r="S9307" s="1" t="s">
        <v>44</v>
      </c>
      <c r="T9307" s="1" t="s">
        <v>15895</v>
      </c>
      <c r="U9307" s="2" t="s">
        <v>1595</v>
      </c>
      <c r="V9307" s="2" t="s">
        <v>36</v>
      </c>
      <c r="W9307" s="2" t="s">
        <v>60</v>
      </c>
      <c r="X9307" s="2">
        <v>80.430000000000007</v>
      </c>
    </row>
    <row r="9308" spans="1:24" x14ac:dyDescent="0.3">
      <c r="A9308">
        <v>7642</v>
      </c>
      <c r="B9308" t="s">
        <v>16415</v>
      </c>
      <c r="C9308" s="3">
        <v>41747</v>
      </c>
      <c r="D9308" t="s">
        <v>148</v>
      </c>
      <c r="E9308">
        <v>36</v>
      </c>
      <c r="F9308" s="3">
        <f ca="1">41748+(RANDBETWEEN(1,10))</f>
        <v>41750</v>
      </c>
      <c r="G9308" t="s">
        <v>26</v>
      </c>
      <c r="H9308" t="s">
        <v>27</v>
      </c>
      <c r="I9308" t="s">
        <v>28</v>
      </c>
      <c r="J9308">
        <v>16489.34</v>
      </c>
      <c r="K9308">
        <v>0.06</v>
      </c>
      <c r="L9308">
        <v>0.55000000000000004</v>
      </c>
      <c r="M9308">
        <v>13.65</v>
      </c>
      <c r="N9308">
        <v>4831.1234999999997</v>
      </c>
      <c r="O9308" s="1" t="s">
        <v>53</v>
      </c>
      <c r="P9308" s="1" t="s">
        <v>168</v>
      </c>
      <c r="Q9308" s="1" t="s">
        <v>169</v>
      </c>
      <c r="R9308" s="1" t="s">
        <v>100</v>
      </c>
      <c r="S9308" s="1" t="s">
        <v>101</v>
      </c>
      <c r="T9308" s="1" t="s">
        <v>170</v>
      </c>
      <c r="U9308" s="2" t="s">
        <v>1983</v>
      </c>
      <c r="V9308" s="2" t="s">
        <v>36</v>
      </c>
      <c r="W9308" s="2" t="s">
        <v>37</v>
      </c>
      <c r="X9308" s="2">
        <v>545.96500000000003</v>
      </c>
    </row>
    <row r="9309" spans="1:24" x14ac:dyDescent="0.3">
      <c r="A9309">
        <v>7659</v>
      </c>
      <c r="B9309" t="s">
        <v>16416</v>
      </c>
      <c r="C9309" s="3">
        <v>41514</v>
      </c>
      <c r="D9309" t="s">
        <v>62</v>
      </c>
      <c r="E9309">
        <v>63</v>
      </c>
      <c r="F9309" s="3">
        <f ca="1">41515+(RANDBETWEEN(1,10))</f>
        <v>41520</v>
      </c>
      <c r="G9309" t="s">
        <v>26</v>
      </c>
      <c r="H9309" t="s">
        <v>27</v>
      </c>
      <c r="I9309" t="s">
        <v>86</v>
      </c>
      <c r="J9309">
        <v>1363.845</v>
      </c>
      <c r="K9309">
        <v>0.06</v>
      </c>
      <c r="L9309">
        <v>0.36</v>
      </c>
      <c r="M9309">
        <v>19.11</v>
      </c>
      <c r="N9309">
        <v>-201.74</v>
      </c>
      <c r="O9309" s="1" t="s">
        <v>87</v>
      </c>
      <c r="P9309" s="1" t="s">
        <v>88</v>
      </c>
      <c r="Q9309" s="1" t="s">
        <v>89</v>
      </c>
      <c r="R9309" s="1" t="s">
        <v>90</v>
      </c>
      <c r="S9309" s="1" t="s">
        <v>91</v>
      </c>
      <c r="T9309" s="1" t="s">
        <v>92</v>
      </c>
      <c r="U9309" s="2" t="s">
        <v>7070</v>
      </c>
      <c r="V9309" s="2" t="s">
        <v>47</v>
      </c>
      <c r="W9309" s="2" t="s">
        <v>74</v>
      </c>
      <c r="X9309" s="2">
        <v>20.93</v>
      </c>
    </row>
    <row r="9310" spans="1:24" x14ac:dyDescent="0.3">
      <c r="A9310">
        <v>7660</v>
      </c>
      <c r="B9310" t="s">
        <v>16416</v>
      </c>
      <c r="C9310" s="3">
        <v>41514</v>
      </c>
      <c r="D9310" t="s">
        <v>62</v>
      </c>
      <c r="E9310">
        <v>14</v>
      </c>
      <c r="F9310" s="3">
        <f ca="1">41516+(RANDBETWEEN(1,10))</f>
        <v>41517</v>
      </c>
      <c r="G9310" t="s">
        <v>26</v>
      </c>
      <c r="H9310" t="s">
        <v>281</v>
      </c>
      <c r="I9310" t="s">
        <v>86</v>
      </c>
      <c r="J9310">
        <v>634.05999999999995</v>
      </c>
      <c r="K9310">
        <v>0.06</v>
      </c>
      <c r="L9310">
        <v>0.56999999999999995</v>
      </c>
      <c r="M9310">
        <v>21.945</v>
      </c>
      <c r="N9310">
        <v>-97.405000000000001</v>
      </c>
      <c r="O9310" s="1" t="s">
        <v>87</v>
      </c>
      <c r="P9310" s="1" t="s">
        <v>88</v>
      </c>
      <c r="Q9310" s="1" t="s">
        <v>89</v>
      </c>
      <c r="R9310" s="1" t="s">
        <v>90</v>
      </c>
      <c r="S9310" s="1" t="s">
        <v>91</v>
      </c>
      <c r="T9310" s="1" t="s">
        <v>92</v>
      </c>
      <c r="U9310" s="2" t="s">
        <v>517</v>
      </c>
      <c r="V9310" s="2" t="s">
        <v>47</v>
      </c>
      <c r="W9310" s="2" t="s">
        <v>119</v>
      </c>
      <c r="X9310" s="2">
        <v>43.54</v>
      </c>
    </row>
    <row r="9311" spans="1:24" x14ac:dyDescent="0.3">
      <c r="A9311">
        <v>7664</v>
      </c>
      <c r="B9311" t="s">
        <v>16417</v>
      </c>
      <c r="C9311" s="3">
        <v>40765</v>
      </c>
      <c r="D9311" t="s">
        <v>25</v>
      </c>
      <c r="E9311">
        <v>58</v>
      </c>
      <c r="F9311" s="3">
        <f ca="1">40770+(RANDBETWEEN(1,10))</f>
        <v>40772</v>
      </c>
      <c r="G9311" t="s">
        <v>26</v>
      </c>
      <c r="H9311" t="s">
        <v>27</v>
      </c>
      <c r="I9311" t="s">
        <v>28</v>
      </c>
      <c r="J9311">
        <v>1338.155</v>
      </c>
      <c r="K9311">
        <v>0.08</v>
      </c>
      <c r="L9311">
        <v>0.36</v>
      </c>
      <c r="M9311">
        <v>23.835000000000001</v>
      </c>
      <c r="N9311">
        <v>-331.065</v>
      </c>
      <c r="O9311" s="1" t="s">
        <v>64</v>
      </c>
      <c r="P9311" s="1" t="s">
        <v>16006</v>
      </c>
      <c r="Q9311" s="1" t="s">
        <v>16007</v>
      </c>
      <c r="R9311" s="1" t="s">
        <v>128</v>
      </c>
      <c r="S9311" s="1" t="s">
        <v>129</v>
      </c>
      <c r="T9311" s="1" t="s">
        <v>16008</v>
      </c>
      <c r="U9311" s="2" t="s">
        <v>2113</v>
      </c>
      <c r="V9311" s="2" t="s">
        <v>47</v>
      </c>
      <c r="W9311" s="2" t="s">
        <v>74</v>
      </c>
      <c r="X9311" s="2">
        <v>22.68</v>
      </c>
    </row>
    <row r="9312" spans="1:24" x14ac:dyDescent="0.3">
      <c r="A9312">
        <v>7665</v>
      </c>
      <c r="B9312" t="s">
        <v>16417</v>
      </c>
      <c r="C9312" s="3">
        <v>40765</v>
      </c>
      <c r="D9312" t="s">
        <v>25</v>
      </c>
      <c r="E9312">
        <v>13</v>
      </c>
      <c r="F9312" s="3">
        <f ca="1">40772+(RANDBETWEEN(1,10))</f>
        <v>40780</v>
      </c>
      <c r="G9312" t="s">
        <v>76</v>
      </c>
      <c r="H9312" t="s">
        <v>77</v>
      </c>
      <c r="I9312" t="s">
        <v>28</v>
      </c>
      <c r="J9312">
        <v>1248.135</v>
      </c>
      <c r="K9312">
        <v>0.09</v>
      </c>
      <c r="L9312">
        <v>0.78</v>
      </c>
      <c r="M9312">
        <v>185.60499999999999</v>
      </c>
      <c r="N9312">
        <v>-1028.0899999999999</v>
      </c>
      <c r="O9312" s="1" t="s">
        <v>64</v>
      </c>
      <c r="P9312" s="1" t="s">
        <v>16006</v>
      </c>
      <c r="Q9312" s="1" t="s">
        <v>16007</v>
      </c>
      <c r="R9312" s="1" t="s">
        <v>128</v>
      </c>
      <c r="S9312" s="1" t="s">
        <v>129</v>
      </c>
      <c r="T9312" s="1" t="s">
        <v>16008</v>
      </c>
      <c r="U9312" s="2" t="s">
        <v>583</v>
      </c>
      <c r="V9312" s="2" t="s">
        <v>47</v>
      </c>
      <c r="W9312" s="2" t="s">
        <v>119</v>
      </c>
      <c r="X9312" s="2">
        <v>73.430000000000007</v>
      </c>
    </row>
    <row r="9313" spans="1:24" x14ac:dyDescent="0.3">
      <c r="A9313">
        <v>767</v>
      </c>
      <c r="B9313" t="s">
        <v>16418</v>
      </c>
      <c r="C9313" s="3">
        <v>41644</v>
      </c>
      <c r="D9313" t="s">
        <v>39</v>
      </c>
      <c r="E9313">
        <v>7</v>
      </c>
      <c r="F9313" s="3">
        <f ca="1">41646+(RANDBETWEEN(1,10))</f>
        <v>41648</v>
      </c>
      <c r="G9313" t="s">
        <v>156</v>
      </c>
      <c r="H9313" t="s">
        <v>27</v>
      </c>
      <c r="I9313" t="s">
        <v>86</v>
      </c>
      <c r="J9313">
        <v>202.33500000000001</v>
      </c>
      <c r="K9313">
        <v>0.06</v>
      </c>
      <c r="L9313">
        <v>0.36</v>
      </c>
      <c r="M9313">
        <v>26.74</v>
      </c>
      <c r="N9313">
        <v>-113.848</v>
      </c>
      <c r="O9313" s="1" t="s">
        <v>87</v>
      </c>
      <c r="P9313" s="1" t="s">
        <v>3177</v>
      </c>
      <c r="Q9313" s="1" t="s">
        <v>3178</v>
      </c>
      <c r="R9313" s="1" t="s">
        <v>398</v>
      </c>
      <c r="S9313" s="1" t="s">
        <v>3179</v>
      </c>
      <c r="T9313" s="1" t="s">
        <v>3180</v>
      </c>
      <c r="U9313" s="2" t="s">
        <v>3201</v>
      </c>
      <c r="V9313" s="2" t="s">
        <v>47</v>
      </c>
      <c r="W9313" s="2" t="s">
        <v>74</v>
      </c>
      <c r="X9313" s="2">
        <v>20.23</v>
      </c>
    </row>
    <row r="9314" spans="1:24" x14ac:dyDescent="0.3">
      <c r="A9314">
        <v>768</v>
      </c>
      <c r="B9314" t="s">
        <v>16419</v>
      </c>
      <c r="C9314" s="3">
        <v>40913</v>
      </c>
      <c r="D9314" t="s">
        <v>39</v>
      </c>
      <c r="E9314">
        <v>15</v>
      </c>
      <c r="F9314" s="3">
        <f ca="1">40915+(RANDBETWEEN(1,10))</f>
        <v>40918</v>
      </c>
      <c r="G9314" t="s">
        <v>26</v>
      </c>
      <c r="H9314" t="s">
        <v>27</v>
      </c>
      <c r="I9314" t="s">
        <v>86</v>
      </c>
      <c r="J9314">
        <v>2122.96</v>
      </c>
      <c r="K9314">
        <v>0.04</v>
      </c>
      <c r="L9314">
        <v>0.56000000000000005</v>
      </c>
      <c r="M9314">
        <v>17.465</v>
      </c>
      <c r="N9314">
        <v>28.3248</v>
      </c>
      <c r="O9314" s="1" t="s">
        <v>87</v>
      </c>
      <c r="P9314" s="1" t="s">
        <v>3177</v>
      </c>
      <c r="Q9314" s="1" t="s">
        <v>3178</v>
      </c>
      <c r="R9314" s="1" t="s">
        <v>398</v>
      </c>
      <c r="S9314" s="1" t="s">
        <v>3179</v>
      </c>
      <c r="T9314" s="1" t="s">
        <v>3180</v>
      </c>
      <c r="U9314" s="2" t="s">
        <v>3202</v>
      </c>
      <c r="V9314" s="2" t="s">
        <v>36</v>
      </c>
      <c r="W9314" s="2" t="s">
        <v>37</v>
      </c>
      <c r="X9314" s="2">
        <v>160.965</v>
      </c>
    </row>
    <row r="9315" spans="1:24" x14ac:dyDescent="0.3">
      <c r="A9315">
        <v>770</v>
      </c>
      <c r="B9315" t="s">
        <v>16420</v>
      </c>
      <c r="C9315" s="3">
        <v>40640</v>
      </c>
      <c r="D9315" t="s">
        <v>25</v>
      </c>
      <c r="E9315">
        <v>11</v>
      </c>
      <c r="F9315" s="3">
        <f ca="1">40645+(RANDBETWEEN(1,10))</f>
        <v>40651</v>
      </c>
      <c r="G9315" t="s">
        <v>26</v>
      </c>
      <c r="H9315" t="s">
        <v>27</v>
      </c>
      <c r="I9315" t="s">
        <v>97</v>
      </c>
      <c r="J9315">
        <v>239.61</v>
      </c>
      <c r="K9315">
        <v>0.02</v>
      </c>
      <c r="L9315">
        <v>0.35</v>
      </c>
      <c r="M9315">
        <v>18.55</v>
      </c>
      <c r="N9315">
        <v>-104.6444</v>
      </c>
      <c r="O9315" s="1" t="s">
        <v>53</v>
      </c>
      <c r="P9315" s="1" t="s">
        <v>284</v>
      </c>
      <c r="Q9315" s="1" t="s">
        <v>285</v>
      </c>
      <c r="R9315" s="1" t="s">
        <v>56</v>
      </c>
      <c r="S9315" s="1" t="s">
        <v>57</v>
      </c>
      <c r="T9315" s="1" t="s">
        <v>58</v>
      </c>
      <c r="U9315" s="2" t="s">
        <v>2464</v>
      </c>
      <c r="V9315" s="2" t="s">
        <v>47</v>
      </c>
      <c r="W9315" s="2" t="s">
        <v>48</v>
      </c>
      <c r="X9315" s="2">
        <v>19.53</v>
      </c>
    </row>
    <row r="9316" spans="1:24" x14ac:dyDescent="0.3">
      <c r="A9316">
        <v>771</v>
      </c>
      <c r="B9316" t="s">
        <v>16420</v>
      </c>
      <c r="C9316" s="3">
        <v>40640</v>
      </c>
      <c r="D9316" t="s">
        <v>25</v>
      </c>
      <c r="E9316">
        <v>21</v>
      </c>
      <c r="F9316" s="3">
        <f ca="1">40647+(RANDBETWEEN(1,10))</f>
        <v>40652</v>
      </c>
      <c r="G9316" t="s">
        <v>26</v>
      </c>
      <c r="H9316" t="s">
        <v>27</v>
      </c>
      <c r="I9316" t="s">
        <v>97</v>
      </c>
      <c r="J9316">
        <v>3098.3049999999998</v>
      </c>
      <c r="K9316">
        <v>0.03</v>
      </c>
      <c r="L9316">
        <v>0.56999999999999995</v>
      </c>
      <c r="M9316">
        <v>66.430000000000007</v>
      </c>
      <c r="N9316">
        <v>185.2081</v>
      </c>
      <c r="O9316" s="1" t="s">
        <v>53</v>
      </c>
      <c r="P9316" s="1" t="s">
        <v>284</v>
      </c>
      <c r="Q9316" s="1" t="s">
        <v>285</v>
      </c>
      <c r="R9316" s="1" t="s">
        <v>56</v>
      </c>
      <c r="S9316" s="1" t="s">
        <v>57</v>
      </c>
      <c r="T9316" s="1" t="s">
        <v>58</v>
      </c>
      <c r="U9316" s="2" t="s">
        <v>1823</v>
      </c>
      <c r="V9316" s="2" t="s">
        <v>83</v>
      </c>
      <c r="W9316" s="2" t="s">
        <v>178</v>
      </c>
      <c r="X9316" s="2">
        <v>143.11500000000001</v>
      </c>
    </row>
    <row r="9317" spans="1:24" x14ac:dyDescent="0.3">
      <c r="A9317">
        <v>7711</v>
      </c>
      <c r="B9317" t="s">
        <v>16421</v>
      </c>
      <c r="C9317" s="3">
        <v>40975</v>
      </c>
      <c r="D9317" t="s">
        <v>148</v>
      </c>
      <c r="E9317">
        <v>1</v>
      </c>
      <c r="F9317" s="3">
        <f ca="1">40976+(RANDBETWEEN(1,10))</f>
        <v>40977</v>
      </c>
      <c r="G9317" t="s">
        <v>26</v>
      </c>
      <c r="H9317" t="s">
        <v>27</v>
      </c>
      <c r="I9317" t="s">
        <v>86</v>
      </c>
      <c r="J9317">
        <v>173.63499999999999</v>
      </c>
      <c r="K9317">
        <v>0</v>
      </c>
      <c r="L9317">
        <v>0.4</v>
      </c>
      <c r="M9317">
        <v>59.78</v>
      </c>
      <c r="N9317">
        <v>-146.37</v>
      </c>
      <c r="O9317" s="1" t="s">
        <v>40</v>
      </c>
      <c r="P9317" s="1" t="s">
        <v>209</v>
      </c>
      <c r="Q9317" s="1" t="s">
        <v>210</v>
      </c>
      <c r="R9317" s="1" t="s">
        <v>43</v>
      </c>
      <c r="S9317" s="1" t="s">
        <v>44</v>
      </c>
      <c r="T9317" s="1" t="s">
        <v>211</v>
      </c>
      <c r="U9317" s="2" t="s">
        <v>6956</v>
      </c>
      <c r="V9317" s="2" t="s">
        <v>47</v>
      </c>
      <c r="W9317" s="2" t="s">
        <v>74</v>
      </c>
      <c r="X9317" s="2">
        <v>108.43</v>
      </c>
    </row>
    <row r="9318" spans="1:24" x14ac:dyDescent="0.3">
      <c r="A9318">
        <v>7718</v>
      </c>
      <c r="B9318" t="s">
        <v>16422</v>
      </c>
      <c r="C9318" s="3">
        <v>40594</v>
      </c>
      <c r="D9318" t="s">
        <v>39</v>
      </c>
      <c r="E9318">
        <v>37</v>
      </c>
      <c r="F9318" s="3">
        <f ca="1">40596+(RANDBETWEEN(1,10))</f>
        <v>40599</v>
      </c>
      <c r="G9318" t="s">
        <v>26</v>
      </c>
      <c r="H9318" t="s">
        <v>27</v>
      </c>
      <c r="I9318" t="s">
        <v>52</v>
      </c>
      <c r="J9318">
        <v>559.61500000000001</v>
      </c>
      <c r="K9318">
        <v>0.03</v>
      </c>
      <c r="L9318">
        <v>0.6</v>
      </c>
      <c r="M9318">
        <v>24.114999999999998</v>
      </c>
      <c r="N9318">
        <v>-861.96635000000003</v>
      </c>
      <c r="O9318" s="1" t="s">
        <v>53</v>
      </c>
      <c r="P9318" s="1" t="s">
        <v>54</v>
      </c>
      <c r="Q9318" s="1" t="s">
        <v>55</v>
      </c>
      <c r="R9318" s="1" t="s">
        <v>56</v>
      </c>
      <c r="S9318" s="1" t="s">
        <v>57</v>
      </c>
      <c r="T9318" s="1" t="s">
        <v>58</v>
      </c>
      <c r="U9318" s="2" t="s">
        <v>3815</v>
      </c>
      <c r="V9318" s="2" t="s">
        <v>47</v>
      </c>
      <c r="W9318" s="2" t="s">
        <v>71</v>
      </c>
      <c r="X9318" s="2">
        <v>14.21</v>
      </c>
    </row>
    <row r="9319" spans="1:24" x14ac:dyDescent="0.3">
      <c r="A9319">
        <v>7719</v>
      </c>
      <c r="B9319" t="s">
        <v>16422</v>
      </c>
      <c r="C9319" s="3">
        <v>40594</v>
      </c>
      <c r="D9319" t="s">
        <v>39</v>
      </c>
      <c r="E9319">
        <v>48</v>
      </c>
      <c r="F9319" s="3">
        <f ca="1">40595+(RANDBETWEEN(1,10))</f>
        <v>40600</v>
      </c>
      <c r="G9319" t="s">
        <v>26</v>
      </c>
      <c r="H9319" t="s">
        <v>27</v>
      </c>
      <c r="I9319" t="s">
        <v>52</v>
      </c>
      <c r="J9319">
        <v>631.67999999999995</v>
      </c>
      <c r="K9319">
        <v>0.01</v>
      </c>
      <c r="L9319">
        <v>0.37</v>
      </c>
      <c r="M9319">
        <v>1.75</v>
      </c>
      <c r="N9319">
        <v>193.18109999999999</v>
      </c>
      <c r="O9319" s="1" t="s">
        <v>53</v>
      </c>
      <c r="P9319" s="1" t="s">
        <v>54</v>
      </c>
      <c r="Q9319" s="1" t="s">
        <v>55</v>
      </c>
      <c r="R9319" s="1" t="s">
        <v>56</v>
      </c>
      <c r="S9319" s="1" t="s">
        <v>57</v>
      </c>
      <c r="T9319" s="1" t="s">
        <v>58</v>
      </c>
      <c r="U9319" s="2" t="s">
        <v>2907</v>
      </c>
      <c r="V9319" s="2" t="s">
        <v>47</v>
      </c>
      <c r="W9319" s="2" t="s">
        <v>203</v>
      </c>
      <c r="X9319" s="2">
        <v>13.125</v>
      </c>
    </row>
    <row r="9320" spans="1:24" x14ac:dyDescent="0.3">
      <c r="A9320">
        <v>7720</v>
      </c>
      <c r="B9320" t="s">
        <v>16422</v>
      </c>
      <c r="C9320" s="3">
        <v>40594</v>
      </c>
      <c r="D9320" t="s">
        <v>39</v>
      </c>
      <c r="E9320">
        <v>31</v>
      </c>
      <c r="F9320" s="3">
        <f ca="1">40596+(RANDBETWEEN(1,10))</f>
        <v>40603</v>
      </c>
      <c r="G9320" t="s">
        <v>26</v>
      </c>
      <c r="H9320" t="s">
        <v>63</v>
      </c>
      <c r="I9320" t="s">
        <v>52</v>
      </c>
      <c r="J9320">
        <v>1226.68</v>
      </c>
      <c r="K9320">
        <v>0.02</v>
      </c>
      <c r="L9320">
        <v>0.6</v>
      </c>
      <c r="M9320">
        <v>45.64</v>
      </c>
      <c r="N9320">
        <v>-1075.53775</v>
      </c>
      <c r="O9320" s="1" t="s">
        <v>53</v>
      </c>
      <c r="P9320" s="1" t="s">
        <v>54</v>
      </c>
      <c r="Q9320" s="1" t="s">
        <v>55</v>
      </c>
      <c r="R9320" s="1" t="s">
        <v>56</v>
      </c>
      <c r="S9320" s="1" t="s">
        <v>57</v>
      </c>
      <c r="T9320" s="1" t="s">
        <v>58</v>
      </c>
      <c r="U9320" s="2" t="s">
        <v>13682</v>
      </c>
      <c r="V9320" s="2" t="s">
        <v>83</v>
      </c>
      <c r="W9320" s="2" t="s">
        <v>178</v>
      </c>
      <c r="X9320" s="2">
        <v>37.380000000000003</v>
      </c>
    </row>
    <row r="9321" spans="1:24" x14ac:dyDescent="0.3">
      <c r="A9321">
        <v>7733</v>
      </c>
      <c r="B9321" t="s">
        <v>16423</v>
      </c>
      <c r="C9321" s="3">
        <v>40700</v>
      </c>
      <c r="D9321" t="s">
        <v>62</v>
      </c>
      <c r="E9321">
        <v>30</v>
      </c>
      <c r="F9321" s="3">
        <f ca="1">40701+(RANDBETWEEN(1,10))</f>
        <v>40711</v>
      </c>
      <c r="G9321" t="s">
        <v>26</v>
      </c>
      <c r="H9321" t="s">
        <v>96</v>
      </c>
      <c r="I9321" t="s">
        <v>52</v>
      </c>
      <c r="J9321">
        <v>678.82500000000005</v>
      </c>
      <c r="K9321">
        <v>0.02</v>
      </c>
      <c r="L9321">
        <v>0.4</v>
      </c>
      <c r="M9321">
        <v>4.2699999999999996</v>
      </c>
      <c r="N9321">
        <v>140.69999999999999</v>
      </c>
      <c r="O9321" s="1" t="s">
        <v>64</v>
      </c>
      <c r="P9321" s="1" t="s">
        <v>183</v>
      </c>
      <c r="Q9321" s="1" t="s">
        <v>184</v>
      </c>
      <c r="R9321" s="1" t="s">
        <v>128</v>
      </c>
      <c r="S9321" s="1" t="s">
        <v>129</v>
      </c>
      <c r="T9321" s="1" t="s">
        <v>185</v>
      </c>
      <c r="U9321" s="2" t="s">
        <v>5296</v>
      </c>
      <c r="V9321" s="2" t="s">
        <v>47</v>
      </c>
      <c r="W9321" s="2" t="s">
        <v>104</v>
      </c>
      <c r="X9321" s="2">
        <v>22.645</v>
      </c>
    </row>
    <row r="9322" spans="1:24" x14ac:dyDescent="0.3">
      <c r="A9322">
        <v>7734</v>
      </c>
      <c r="B9322" t="s">
        <v>16423</v>
      </c>
      <c r="C9322" s="3">
        <v>40700</v>
      </c>
      <c r="D9322" t="s">
        <v>62</v>
      </c>
      <c r="E9322">
        <v>59</v>
      </c>
      <c r="F9322" s="3">
        <f ca="1">40702+(RANDBETWEEN(1,10))</f>
        <v>40707</v>
      </c>
      <c r="G9322" t="s">
        <v>26</v>
      </c>
      <c r="H9322" t="s">
        <v>96</v>
      </c>
      <c r="I9322" t="s">
        <v>52</v>
      </c>
      <c r="J9322">
        <v>555.79999999999995</v>
      </c>
      <c r="K9322">
        <v>7.0000000000000007E-2</v>
      </c>
      <c r="L9322">
        <v>0.54</v>
      </c>
      <c r="M9322">
        <v>3.2549999999999999</v>
      </c>
      <c r="N9322">
        <v>11.234999999999999</v>
      </c>
      <c r="O9322" s="1" t="s">
        <v>64</v>
      </c>
      <c r="P9322" s="1" t="s">
        <v>183</v>
      </c>
      <c r="Q9322" s="1" t="s">
        <v>184</v>
      </c>
      <c r="R9322" s="1" t="s">
        <v>128</v>
      </c>
      <c r="S9322" s="1" t="s">
        <v>129</v>
      </c>
      <c r="T9322" s="1" t="s">
        <v>185</v>
      </c>
      <c r="U9322" s="2" t="s">
        <v>1476</v>
      </c>
      <c r="V9322" s="2" t="s">
        <v>47</v>
      </c>
      <c r="W9322" s="2" t="s">
        <v>104</v>
      </c>
      <c r="X9322" s="2">
        <v>9.94</v>
      </c>
    </row>
    <row r="9323" spans="1:24" x14ac:dyDescent="0.3">
      <c r="A9323">
        <v>778</v>
      </c>
      <c r="B9323" t="s">
        <v>16424</v>
      </c>
      <c r="C9323" s="3">
        <v>41176</v>
      </c>
      <c r="D9323" t="s">
        <v>148</v>
      </c>
      <c r="E9323">
        <v>27</v>
      </c>
      <c r="F9323" s="3">
        <f ca="1">41178+(RANDBETWEEN(1,10))</f>
        <v>41185</v>
      </c>
      <c r="G9323" t="s">
        <v>26</v>
      </c>
      <c r="H9323" t="s">
        <v>27</v>
      </c>
      <c r="I9323" t="s">
        <v>28</v>
      </c>
      <c r="J9323">
        <v>4432.2950000000001</v>
      </c>
      <c r="K9323">
        <v>0.04</v>
      </c>
      <c r="L9323">
        <v>0.56000000000000005</v>
      </c>
      <c r="M9323">
        <v>13.965</v>
      </c>
      <c r="N9323">
        <v>484.61</v>
      </c>
      <c r="O9323" s="1" t="s">
        <v>29</v>
      </c>
      <c r="P9323" s="1" t="s">
        <v>323</v>
      </c>
      <c r="Q9323" s="1" t="s">
        <v>324</v>
      </c>
      <c r="R9323" s="1" t="s">
        <v>32</v>
      </c>
      <c r="S9323" s="1" t="s">
        <v>33</v>
      </c>
      <c r="T9323" s="1" t="s">
        <v>325</v>
      </c>
      <c r="U9323" s="2" t="s">
        <v>1399</v>
      </c>
      <c r="V9323" s="2" t="s">
        <v>47</v>
      </c>
      <c r="W9323" s="2" t="s">
        <v>71</v>
      </c>
      <c r="X9323" s="2">
        <v>170.03</v>
      </c>
    </row>
    <row r="9324" spans="1:24" x14ac:dyDescent="0.3">
      <c r="A9324">
        <v>7786</v>
      </c>
      <c r="B9324" t="s">
        <v>16425</v>
      </c>
      <c r="C9324" s="3">
        <v>40576</v>
      </c>
      <c r="D9324" t="s">
        <v>39</v>
      </c>
      <c r="E9324">
        <v>49</v>
      </c>
      <c r="F9324" s="3">
        <f ca="1">40578+(RANDBETWEEN(1,10))</f>
        <v>40580</v>
      </c>
      <c r="G9324" t="s">
        <v>76</v>
      </c>
      <c r="H9324" t="s">
        <v>77</v>
      </c>
      <c r="I9324" t="s">
        <v>28</v>
      </c>
      <c r="J9324">
        <v>20015.974999999999</v>
      </c>
      <c r="K9324">
        <v>0.09</v>
      </c>
      <c r="L9324">
        <v>0.74</v>
      </c>
      <c r="M9324">
        <v>245.7</v>
      </c>
      <c r="N9324">
        <v>-8492.9249999999993</v>
      </c>
      <c r="O9324" s="1" t="s">
        <v>40</v>
      </c>
      <c r="P9324" s="1" t="s">
        <v>15969</v>
      </c>
      <c r="Q9324" s="1" t="s">
        <v>15970</v>
      </c>
      <c r="R9324" s="1" t="s">
        <v>43</v>
      </c>
      <c r="S9324" s="1" t="s">
        <v>44</v>
      </c>
      <c r="T9324" s="1" t="s">
        <v>15971</v>
      </c>
      <c r="U9324" s="2" t="s">
        <v>358</v>
      </c>
      <c r="V9324" s="2" t="s">
        <v>83</v>
      </c>
      <c r="W9324" s="2" t="s">
        <v>84</v>
      </c>
      <c r="X9324" s="2">
        <v>430.46499999999997</v>
      </c>
    </row>
    <row r="9325" spans="1:24" x14ac:dyDescent="0.3">
      <c r="A9325">
        <v>779</v>
      </c>
      <c r="B9325" t="s">
        <v>16424</v>
      </c>
      <c r="C9325" s="3">
        <v>41176</v>
      </c>
      <c r="D9325" t="s">
        <v>148</v>
      </c>
      <c r="E9325">
        <v>11</v>
      </c>
      <c r="F9325" s="3">
        <f ca="1">41179+(RANDBETWEEN(1,10))</f>
        <v>41181</v>
      </c>
      <c r="G9325" t="s">
        <v>26</v>
      </c>
      <c r="H9325" t="s">
        <v>96</v>
      </c>
      <c r="I9325" t="s">
        <v>28</v>
      </c>
      <c r="J9325">
        <v>423.04500000000002</v>
      </c>
      <c r="K9325">
        <v>0.04</v>
      </c>
      <c r="L9325">
        <v>0.38</v>
      </c>
      <c r="M9325">
        <v>6.2649999999999997</v>
      </c>
      <c r="N9325">
        <v>38.71</v>
      </c>
      <c r="O9325" s="1" t="s">
        <v>29</v>
      </c>
      <c r="P9325" s="1" t="s">
        <v>323</v>
      </c>
      <c r="Q9325" s="1" t="s">
        <v>324</v>
      </c>
      <c r="R9325" s="1" t="s">
        <v>32</v>
      </c>
      <c r="S9325" s="1" t="s">
        <v>33</v>
      </c>
      <c r="T9325" s="1" t="s">
        <v>325</v>
      </c>
      <c r="U9325" s="2" t="s">
        <v>3017</v>
      </c>
      <c r="V9325" s="2" t="s">
        <v>47</v>
      </c>
      <c r="W9325" s="2" t="s">
        <v>74</v>
      </c>
      <c r="X9325" s="2">
        <v>36.085000000000001</v>
      </c>
    </row>
    <row r="9326" spans="1:24" x14ac:dyDescent="0.3">
      <c r="A9326">
        <v>78</v>
      </c>
      <c r="B9326" t="s">
        <v>16426</v>
      </c>
      <c r="C9326" s="3">
        <v>41634</v>
      </c>
      <c r="D9326" t="s">
        <v>25</v>
      </c>
      <c r="E9326">
        <v>84</v>
      </c>
      <c r="F9326" s="3">
        <f ca="1">41636+(RANDBETWEEN(1,10))</f>
        <v>41646</v>
      </c>
      <c r="G9326" t="s">
        <v>26</v>
      </c>
      <c r="H9326" t="s">
        <v>96</v>
      </c>
      <c r="I9326" t="s">
        <v>86</v>
      </c>
      <c r="J9326">
        <v>1639.4</v>
      </c>
      <c r="K9326">
        <v>0.09</v>
      </c>
      <c r="L9326">
        <v>0.35</v>
      </c>
      <c r="M9326">
        <v>6.37</v>
      </c>
      <c r="N9326">
        <v>196.77</v>
      </c>
      <c r="O9326" s="1" t="s">
        <v>40</v>
      </c>
      <c r="P9326" s="1" t="s">
        <v>199</v>
      </c>
      <c r="Q9326" s="1" t="s">
        <v>200</v>
      </c>
      <c r="R9326" s="1" t="s">
        <v>43</v>
      </c>
      <c r="S9326" s="1" t="s">
        <v>44</v>
      </c>
      <c r="T9326" s="1" t="s">
        <v>201</v>
      </c>
      <c r="U9326" s="2" t="s">
        <v>748</v>
      </c>
      <c r="V9326" s="2" t="s">
        <v>47</v>
      </c>
      <c r="W9326" s="2" t="s">
        <v>176</v>
      </c>
      <c r="X9326" s="2">
        <v>21.28</v>
      </c>
    </row>
    <row r="9327" spans="1:24" x14ac:dyDescent="0.3">
      <c r="A9327">
        <v>780</v>
      </c>
      <c r="B9327" t="s">
        <v>16424</v>
      </c>
      <c r="C9327" s="3">
        <v>41176</v>
      </c>
      <c r="D9327" t="s">
        <v>148</v>
      </c>
      <c r="E9327">
        <v>49</v>
      </c>
      <c r="F9327" s="3">
        <f ca="1">41178+(RANDBETWEEN(1,10))</f>
        <v>41187</v>
      </c>
      <c r="G9327" t="s">
        <v>26</v>
      </c>
      <c r="H9327" t="s">
        <v>96</v>
      </c>
      <c r="I9327" t="s">
        <v>28</v>
      </c>
      <c r="J9327">
        <v>427.49</v>
      </c>
      <c r="K9327">
        <v>0.02</v>
      </c>
      <c r="L9327">
        <v>0.81</v>
      </c>
      <c r="M9327">
        <v>17.5</v>
      </c>
      <c r="N9327">
        <v>-403.83</v>
      </c>
      <c r="O9327" s="1" t="s">
        <v>29</v>
      </c>
      <c r="P9327" s="1" t="s">
        <v>323</v>
      </c>
      <c r="Q9327" s="1" t="s">
        <v>324</v>
      </c>
      <c r="R9327" s="1" t="s">
        <v>32</v>
      </c>
      <c r="S9327" s="1" t="s">
        <v>33</v>
      </c>
      <c r="T9327" s="1" t="s">
        <v>325</v>
      </c>
      <c r="U9327" s="2" t="s">
        <v>1945</v>
      </c>
      <c r="V9327" s="2" t="s">
        <v>47</v>
      </c>
      <c r="W9327" s="2" t="s">
        <v>94</v>
      </c>
      <c r="X9327" s="2">
        <v>7.63</v>
      </c>
    </row>
    <row r="9328" spans="1:24" x14ac:dyDescent="0.3">
      <c r="A9328">
        <v>7802</v>
      </c>
      <c r="B9328" t="s">
        <v>16427</v>
      </c>
      <c r="C9328" s="3">
        <v>41848</v>
      </c>
      <c r="D9328" t="s">
        <v>25</v>
      </c>
      <c r="E9328">
        <v>55</v>
      </c>
      <c r="F9328" s="3">
        <f ca="1">41848+(RANDBETWEEN(1,10))</f>
        <v>41849</v>
      </c>
      <c r="G9328" t="s">
        <v>26</v>
      </c>
      <c r="H9328" t="s">
        <v>96</v>
      </c>
      <c r="I9328" t="s">
        <v>28</v>
      </c>
      <c r="J9328">
        <v>13083.945</v>
      </c>
      <c r="K9328">
        <v>0.08</v>
      </c>
      <c r="L9328">
        <v>0.78</v>
      </c>
      <c r="M9328">
        <v>131.53</v>
      </c>
      <c r="N9328">
        <v>-2885.5050000000001</v>
      </c>
      <c r="O9328" s="1" t="s">
        <v>64</v>
      </c>
      <c r="P9328" s="1" t="s">
        <v>265</v>
      </c>
      <c r="Q9328" s="1" t="s">
        <v>266</v>
      </c>
      <c r="R9328" s="1" t="s">
        <v>67</v>
      </c>
      <c r="S9328" s="1" t="s">
        <v>108</v>
      </c>
      <c r="T9328" s="1" t="s">
        <v>196</v>
      </c>
      <c r="U9328" s="2" t="s">
        <v>3541</v>
      </c>
      <c r="V9328" s="2" t="s">
        <v>83</v>
      </c>
      <c r="W9328" s="2" t="s">
        <v>178</v>
      </c>
      <c r="X9328" s="2">
        <v>247.48500000000001</v>
      </c>
    </row>
    <row r="9329" spans="1:24" x14ac:dyDescent="0.3">
      <c r="A9329">
        <v>7810</v>
      </c>
      <c r="B9329" t="s">
        <v>16428</v>
      </c>
      <c r="C9329" s="3">
        <v>40590</v>
      </c>
      <c r="D9329" t="s">
        <v>148</v>
      </c>
      <c r="E9329">
        <v>28</v>
      </c>
      <c r="F9329" s="3">
        <f ca="1">40591+(RANDBETWEEN(1,10))</f>
        <v>40595</v>
      </c>
      <c r="G9329" t="s">
        <v>26</v>
      </c>
      <c r="H9329" t="s">
        <v>27</v>
      </c>
      <c r="I9329" t="s">
        <v>86</v>
      </c>
      <c r="J9329">
        <v>730.90499999999997</v>
      </c>
      <c r="K9329">
        <v>0</v>
      </c>
      <c r="L9329">
        <v>0.39</v>
      </c>
      <c r="M9329">
        <v>21.175000000000001</v>
      </c>
      <c r="N9329">
        <v>-210.50749999999999</v>
      </c>
      <c r="O9329" s="1" t="s">
        <v>29</v>
      </c>
      <c r="P9329" s="1" t="s">
        <v>318</v>
      </c>
      <c r="Q9329" s="1" t="s">
        <v>319</v>
      </c>
      <c r="R9329" s="1" t="s">
        <v>32</v>
      </c>
      <c r="S9329" s="1" t="s">
        <v>33</v>
      </c>
      <c r="T9329" s="1" t="s">
        <v>320</v>
      </c>
      <c r="U9329" s="2" t="s">
        <v>2669</v>
      </c>
      <c r="V9329" s="2" t="s">
        <v>47</v>
      </c>
      <c r="W9329" s="2" t="s">
        <v>111</v>
      </c>
      <c r="X9329" s="2">
        <v>24.85</v>
      </c>
    </row>
    <row r="9330" spans="1:24" x14ac:dyDescent="0.3">
      <c r="A9330">
        <v>7811</v>
      </c>
      <c r="B9330" t="s">
        <v>16428</v>
      </c>
      <c r="C9330" s="3">
        <v>40590</v>
      </c>
      <c r="D9330" t="s">
        <v>148</v>
      </c>
      <c r="E9330">
        <v>41</v>
      </c>
      <c r="F9330" s="3">
        <f ca="1">40592+(RANDBETWEEN(1,10))</f>
        <v>40601</v>
      </c>
      <c r="G9330" t="s">
        <v>156</v>
      </c>
      <c r="H9330" t="s">
        <v>51</v>
      </c>
      <c r="I9330" t="s">
        <v>86</v>
      </c>
      <c r="J9330">
        <v>799.05</v>
      </c>
      <c r="K9330">
        <v>0.01</v>
      </c>
      <c r="L9330">
        <v>0.64</v>
      </c>
      <c r="M9330">
        <v>16.170000000000002</v>
      </c>
      <c r="N9330">
        <v>-391.02</v>
      </c>
      <c r="O9330" s="1" t="s">
        <v>29</v>
      </c>
      <c r="P9330" s="1" t="s">
        <v>318</v>
      </c>
      <c r="Q9330" s="1" t="s">
        <v>319</v>
      </c>
      <c r="R9330" s="1" t="s">
        <v>32</v>
      </c>
      <c r="S9330" s="1" t="s">
        <v>33</v>
      </c>
      <c r="T9330" s="1" t="s">
        <v>320</v>
      </c>
      <c r="U9330" s="2" t="s">
        <v>505</v>
      </c>
      <c r="V9330" s="2" t="s">
        <v>36</v>
      </c>
      <c r="W9330" s="2" t="s">
        <v>60</v>
      </c>
      <c r="X9330" s="2">
        <v>17.43</v>
      </c>
    </row>
    <row r="9331" spans="1:24" x14ac:dyDescent="0.3">
      <c r="A9331">
        <v>7812</v>
      </c>
      <c r="B9331" t="s">
        <v>16428</v>
      </c>
      <c r="C9331" s="3">
        <v>40590</v>
      </c>
      <c r="D9331" t="s">
        <v>148</v>
      </c>
      <c r="E9331">
        <v>24</v>
      </c>
      <c r="F9331" s="3">
        <f ca="1">40590+(RANDBETWEEN(1,10))</f>
        <v>40595</v>
      </c>
      <c r="G9331" t="s">
        <v>26</v>
      </c>
      <c r="H9331" t="s">
        <v>27</v>
      </c>
      <c r="I9331" t="s">
        <v>86</v>
      </c>
      <c r="J9331">
        <v>453.35500000000002</v>
      </c>
      <c r="K9331">
        <v>0.06</v>
      </c>
      <c r="L9331">
        <v>0.38</v>
      </c>
      <c r="M9331">
        <v>4.8650000000000002</v>
      </c>
      <c r="N9331">
        <v>115.535</v>
      </c>
      <c r="O9331" s="1" t="s">
        <v>29</v>
      </c>
      <c r="P9331" s="1" t="s">
        <v>318</v>
      </c>
      <c r="Q9331" s="1" t="s">
        <v>319</v>
      </c>
      <c r="R9331" s="1" t="s">
        <v>32</v>
      </c>
      <c r="S9331" s="1" t="s">
        <v>33</v>
      </c>
      <c r="T9331" s="1" t="s">
        <v>320</v>
      </c>
      <c r="U9331" s="2" t="s">
        <v>641</v>
      </c>
      <c r="V9331" s="2" t="s">
        <v>47</v>
      </c>
      <c r="W9331" s="2" t="s">
        <v>48</v>
      </c>
      <c r="X9331" s="2">
        <v>19.88</v>
      </c>
    </row>
    <row r="9332" spans="1:24" x14ac:dyDescent="0.3">
      <c r="A9332">
        <v>7820</v>
      </c>
      <c r="B9332" t="s">
        <v>16429</v>
      </c>
      <c r="C9332" s="3">
        <v>41782</v>
      </c>
      <c r="D9332" t="s">
        <v>39</v>
      </c>
      <c r="E9332">
        <v>57</v>
      </c>
      <c r="F9332" s="3">
        <f ca="1">41783+(RANDBETWEEN(1,10))</f>
        <v>41787</v>
      </c>
      <c r="G9332" t="s">
        <v>26</v>
      </c>
      <c r="H9332" t="s">
        <v>27</v>
      </c>
      <c r="I9332" t="s">
        <v>28</v>
      </c>
      <c r="J9332">
        <v>8365.2450000000008</v>
      </c>
      <c r="K9332">
        <v>0.03</v>
      </c>
      <c r="L9332">
        <v>0.36</v>
      </c>
      <c r="M9332">
        <v>10.465</v>
      </c>
      <c r="N9332">
        <v>2825.8335000000002</v>
      </c>
      <c r="O9332" s="1" t="s">
        <v>40</v>
      </c>
      <c r="P9332" s="1" t="s">
        <v>15848</v>
      </c>
      <c r="Q9332" s="1" t="s">
        <v>15849</v>
      </c>
      <c r="R9332" s="1" t="s">
        <v>43</v>
      </c>
      <c r="S9332" s="1" t="s">
        <v>44</v>
      </c>
      <c r="T9332" s="1" t="s">
        <v>15850</v>
      </c>
      <c r="U9332" s="2" t="s">
        <v>4432</v>
      </c>
      <c r="V9332" s="2" t="s">
        <v>47</v>
      </c>
      <c r="W9332" s="2" t="s">
        <v>111</v>
      </c>
      <c r="X9332" s="2">
        <v>149.80000000000001</v>
      </c>
    </row>
    <row r="9333" spans="1:24" x14ac:dyDescent="0.3">
      <c r="A9333">
        <v>7828</v>
      </c>
      <c r="B9333" t="s">
        <v>16430</v>
      </c>
      <c r="C9333" s="3">
        <v>41912</v>
      </c>
      <c r="D9333" t="s">
        <v>25</v>
      </c>
      <c r="E9333">
        <v>84</v>
      </c>
      <c r="F9333" s="3">
        <f ca="1">41914+(RANDBETWEEN(1,10))</f>
        <v>41918</v>
      </c>
      <c r="G9333" t="s">
        <v>26</v>
      </c>
      <c r="H9333" t="s">
        <v>96</v>
      </c>
      <c r="I9333" t="s">
        <v>97</v>
      </c>
      <c r="J9333">
        <v>541.1</v>
      </c>
      <c r="K9333">
        <v>0.05</v>
      </c>
      <c r="L9333">
        <v>0.4</v>
      </c>
      <c r="M9333">
        <v>3.5</v>
      </c>
      <c r="N9333">
        <v>3.01</v>
      </c>
      <c r="O9333" s="1" t="s">
        <v>64</v>
      </c>
      <c r="P9333" s="1" t="s">
        <v>15875</v>
      </c>
      <c r="Q9333" s="1" t="s">
        <v>15876</v>
      </c>
      <c r="R9333" s="1" t="s">
        <v>128</v>
      </c>
      <c r="S9333" s="1" t="s">
        <v>129</v>
      </c>
      <c r="T9333" s="1" t="s">
        <v>278</v>
      </c>
      <c r="U9333" s="2" t="s">
        <v>2186</v>
      </c>
      <c r="V9333" s="2" t="s">
        <v>47</v>
      </c>
      <c r="W9333" s="2" t="s">
        <v>104</v>
      </c>
      <c r="X9333" s="2">
        <v>6.37</v>
      </c>
    </row>
    <row r="9334" spans="1:24" x14ac:dyDescent="0.3">
      <c r="A9334">
        <v>7830</v>
      </c>
      <c r="B9334" t="s">
        <v>16431</v>
      </c>
      <c r="C9334" s="3">
        <v>41011</v>
      </c>
      <c r="D9334" t="s">
        <v>25</v>
      </c>
      <c r="E9334">
        <v>17</v>
      </c>
      <c r="F9334" s="3">
        <f ca="1">41015+(RANDBETWEEN(1,10))</f>
        <v>41024</v>
      </c>
      <c r="G9334" t="s">
        <v>156</v>
      </c>
      <c r="H9334" t="s">
        <v>27</v>
      </c>
      <c r="I9334" t="s">
        <v>97</v>
      </c>
      <c r="J9334">
        <v>414.26</v>
      </c>
      <c r="K9334">
        <v>0.08</v>
      </c>
      <c r="L9334">
        <v>0.37</v>
      </c>
      <c r="M9334">
        <v>25.795000000000002</v>
      </c>
      <c r="N9334">
        <v>-212.27500000000001</v>
      </c>
      <c r="O9334" s="1" t="s">
        <v>40</v>
      </c>
      <c r="P9334" s="1" t="s">
        <v>15856</v>
      </c>
      <c r="Q9334" s="1" t="s">
        <v>15857</v>
      </c>
      <c r="R9334" s="1" t="s">
        <v>220</v>
      </c>
      <c r="S9334" s="1" t="s">
        <v>221</v>
      </c>
      <c r="T9334" s="1" t="s">
        <v>15858</v>
      </c>
      <c r="U9334" s="2" t="s">
        <v>2975</v>
      </c>
      <c r="V9334" s="2" t="s">
        <v>47</v>
      </c>
      <c r="W9334" s="2" t="s">
        <v>74</v>
      </c>
      <c r="X9334" s="2">
        <v>22.68</v>
      </c>
    </row>
    <row r="9335" spans="1:24" x14ac:dyDescent="0.3">
      <c r="A9335">
        <v>7840</v>
      </c>
      <c r="B9335" t="s">
        <v>16432</v>
      </c>
      <c r="C9335" s="3">
        <v>41603</v>
      </c>
      <c r="D9335" t="s">
        <v>25</v>
      </c>
      <c r="E9335">
        <v>78</v>
      </c>
      <c r="F9335" s="3">
        <f ca="1">41608+(RANDBETWEEN(1,10))</f>
        <v>41618</v>
      </c>
      <c r="G9335" t="s">
        <v>26</v>
      </c>
      <c r="H9335" t="s">
        <v>27</v>
      </c>
      <c r="I9335" t="s">
        <v>86</v>
      </c>
      <c r="J9335">
        <v>1859.48</v>
      </c>
      <c r="K9335">
        <v>7.0000000000000007E-2</v>
      </c>
      <c r="L9335">
        <v>0.37</v>
      </c>
      <c r="M9335">
        <v>18.2</v>
      </c>
      <c r="N9335">
        <v>-116.02500000000001</v>
      </c>
      <c r="O9335" s="1" t="s">
        <v>29</v>
      </c>
      <c r="P9335" s="1" t="s">
        <v>318</v>
      </c>
      <c r="Q9335" s="1" t="s">
        <v>319</v>
      </c>
      <c r="R9335" s="1" t="s">
        <v>32</v>
      </c>
      <c r="S9335" s="1" t="s">
        <v>33</v>
      </c>
      <c r="T9335" s="1" t="s">
        <v>320</v>
      </c>
      <c r="U9335" s="2" t="s">
        <v>4079</v>
      </c>
      <c r="V9335" s="2" t="s">
        <v>47</v>
      </c>
      <c r="W9335" s="2" t="s">
        <v>74</v>
      </c>
      <c r="X9335" s="2">
        <v>23.38</v>
      </c>
    </row>
    <row r="9336" spans="1:24" x14ac:dyDescent="0.3">
      <c r="A9336">
        <v>7857</v>
      </c>
      <c r="B9336" t="s">
        <v>16433</v>
      </c>
      <c r="C9336" s="3">
        <v>41125</v>
      </c>
      <c r="D9336" t="s">
        <v>62</v>
      </c>
      <c r="E9336">
        <v>81</v>
      </c>
      <c r="F9336" s="3">
        <f ca="1">41127+(RANDBETWEEN(1,10))</f>
        <v>41133</v>
      </c>
      <c r="G9336" t="s">
        <v>26</v>
      </c>
      <c r="H9336" t="s">
        <v>281</v>
      </c>
      <c r="I9336" t="s">
        <v>52</v>
      </c>
      <c r="J9336">
        <v>3878.77</v>
      </c>
      <c r="K9336">
        <v>0.08</v>
      </c>
      <c r="L9336">
        <v>0.52</v>
      </c>
      <c r="M9336">
        <v>23.625</v>
      </c>
      <c r="N9336">
        <v>-190.19</v>
      </c>
      <c r="O9336" s="1" t="s">
        <v>64</v>
      </c>
      <c r="P9336" s="1" t="s">
        <v>328</v>
      </c>
      <c r="Q9336" s="1" t="s">
        <v>329</v>
      </c>
      <c r="R9336" s="1" t="s">
        <v>128</v>
      </c>
      <c r="S9336" s="1" t="s">
        <v>129</v>
      </c>
      <c r="T9336" s="1" t="s">
        <v>330</v>
      </c>
      <c r="U9336" s="2" t="s">
        <v>1196</v>
      </c>
      <c r="V9336" s="2" t="s">
        <v>47</v>
      </c>
      <c r="W9336" s="2" t="s">
        <v>71</v>
      </c>
      <c r="X9336" s="2">
        <v>50.47</v>
      </c>
    </row>
    <row r="9337" spans="1:24" x14ac:dyDescent="0.3">
      <c r="A9337">
        <v>7858</v>
      </c>
      <c r="B9337" t="s">
        <v>16433</v>
      </c>
      <c r="C9337" s="3">
        <v>41125</v>
      </c>
      <c r="D9337" t="s">
        <v>62</v>
      </c>
      <c r="E9337">
        <v>2</v>
      </c>
      <c r="F9337" s="3">
        <f ca="1">41126+(RANDBETWEEN(1,10))</f>
        <v>41132</v>
      </c>
      <c r="G9337" t="s">
        <v>76</v>
      </c>
      <c r="H9337" t="s">
        <v>77</v>
      </c>
      <c r="I9337" t="s">
        <v>52</v>
      </c>
      <c r="J9337">
        <v>995.68</v>
      </c>
      <c r="K9337">
        <v>0.08</v>
      </c>
      <c r="L9337">
        <v>0.61</v>
      </c>
      <c r="M9337">
        <v>147</v>
      </c>
      <c r="N9337">
        <v>-217.66499999999999</v>
      </c>
      <c r="O9337" s="1" t="s">
        <v>64</v>
      </c>
      <c r="P9337" s="1" t="s">
        <v>328</v>
      </c>
      <c r="Q9337" s="1" t="s">
        <v>329</v>
      </c>
      <c r="R9337" s="1" t="s">
        <v>128</v>
      </c>
      <c r="S9337" s="1" t="s">
        <v>129</v>
      </c>
      <c r="T9337" s="1" t="s">
        <v>330</v>
      </c>
      <c r="U9337" s="2" t="s">
        <v>10308</v>
      </c>
      <c r="V9337" s="2" t="s">
        <v>83</v>
      </c>
      <c r="W9337" s="2" t="s">
        <v>84</v>
      </c>
      <c r="X9337" s="2">
        <v>353.11500000000001</v>
      </c>
    </row>
    <row r="9338" spans="1:24" x14ac:dyDescent="0.3">
      <c r="A9338">
        <v>7893</v>
      </c>
      <c r="B9338" t="s">
        <v>16434</v>
      </c>
      <c r="C9338" s="3">
        <v>40588</v>
      </c>
      <c r="D9338" t="s">
        <v>50</v>
      </c>
      <c r="E9338">
        <v>34</v>
      </c>
      <c r="F9338" s="3">
        <f ca="1">40589+(RANDBETWEEN(1,10))</f>
        <v>40593</v>
      </c>
      <c r="G9338" t="s">
        <v>76</v>
      </c>
      <c r="H9338" t="s">
        <v>258</v>
      </c>
      <c r="I9338" t="s">
        <v>52</v>
      </c>
      <c r="J9338">
        <v>23402.19</v>
      </c>
      <c r="K9338">
        <v>0</v>
      </c>
      <c r="L9338">
        <v>0.61</v>
      </c>
      <c r="M9338">
        <v>207.34</v>
      </c>
      <c r="N9338">
        <v>4172.1400000000003</v>
      </c>
      <c r="O9338" s="1" t="s">
        <v>53</v>
      </c>
      <c r="P9338" s="1" t="s">
        <v>114</v>
      </c>
      <c r="Q9338" s="1" t="s">
        <v>115</v>
      </c>
      <c r="R9338" s="1" t="s">
        <v>100</v>
      </c>
      <c r="S9338" s="1" t="s">
        <v>101</v>
      </c>
      <c r="T9338" s="1" t="s">
        <v>116</v>
      </c>
      <c r="U9338" s="2" t="s">
        <v>8709</v>
      </c>
      <c r="V9338" s="2" t="s">
        <v>83</v>
      </c>
      <c r="W9338" s="2" t="s">
        <v>263</v>
      </c>
      <c r="X9338" s="2">
        <v>829.39499999999998</v>
      </c>
    </row>
    <row r="9339" spans="1:24" x14ac:dyDescent="0.3">
      <c r="A9339">
        <v>7898</v>
      </c>
      <c r="B9339" t="s">
        <v>16435</v>
      </c>
      <c r="C9339" s="3">
        <v>40691</v>
      </c>
      <c r="D9339" t="s">
        <v>62</v>
      </c>
      <c r="E9339">
        <v>16</v>
      </c>
      <c r="F9339" s="3">
        <f ca="1">40692+(RANDBETWEEN(1,10))</f>
        <v>40700</v>
      </c>
      <c r="G9339" t="s">
        <v>26</v>
      </c>
      <c r="H9339" t="s">
        <v>27</v>
      </c>
      <c r="I9339" t="s">
        <v>28</v>
      </c>
      <c r="J9339">
        <v>374.78</v>
      </c>
      <c r="K9339">
        <v>0.03</v>
      </c>
      <c r="L9339">
        <v>0.4</v>
      </c>
      <c r="M9339">
        <v>18.725000000000001</v>
      </c>
      <c r="N9339">
        <v>-82.25</v>
      </c>
      <c r="O9339" s="1" t="s">
        <v>64</v>
      </c>
      <c r="P9339" s="1" t="s">
        <v>65</v>
      </c>
      <c r="Q9339" s="1" t="s">
        <v>66</v>
      </c>
      <c r="R9339" s="1" t="s">
        <v>67</v>
      </c>
      <c r="S9339" s="1" t="s">
        <v>68</v>
      </c>
      <c r="T9339" s="1" t="s">
        <v>69</v>
      </c>
      <c r="U9339" s="2" t="s">
        <v>2740</v>
      </c>
      <c r="V9339" s="2" t="s">
        <v>47</v>
      </c>
      <c r="W9339" s="2" t="s">
        <v>74</v>
      </c>
      <c r="X9339" s="2">
        <v>20.93</v>
      </c>
    </row>
    <row r="9340" spans="1:24" x14ac:dyDescent="0.3">
      <c r="A9340">
        <v>7919</v>
      </c>
      <c r="B9340" t="s">
        <v>16436</v>
      </c>
      <c r="C9340" s="3">
        <v>40975</v>
      </c>
      <c r="D9340" t="s">
        <v>148</v>
      </c>
      <c r="E9340">
        <v>20</v>
      </c>
      <c r="F9340" s="3">
        <f ca="1">40975+(RANDBETWEEN(1,10))</f>
        <v>40979</v>
      </c>
      <c r="G9340" t="s">
        <v>156</v>
      </c>
      <c r="H9340" t="s">
        <v>27</v>
      </c>
      <c r="I9340" t="s">
        <v>52</v>
      </c>
      <c r="J9340">
        <v>3002.8249999999998</v>
      </c>
      <c r="K9340">
        <v>0.08</v>
      </c>
      <c r="L9340">
        <v>0.64</v>
      </c>
      <c r="M9340">
        <v>14</v>
      </c>
      <c r="N9340">
        <v>181.47499999999999</v>
      </c>
      <c r="O9340" s="1" t="s">
        <v>40</v>
      </c>
      <c r="P9340" s="1" t="s">
        <v>15864</v>
      </c>
      <c r="Q9340" s="1" t="s">
        <v>15865</v>
      </c>
      <c r="R9340" s="1" t="s">
        <v>43</v>
      </c>
      <c r="S9340" s="1" t="s">
        <v>44</v>
      </c>
      <c r="T9340" s="1" t="s">
        <v>15866</v>
      </c>
      <c r="U9340" s="2" t="s">
        <v>4657</v>
      </c>
      <c r="V9340" s="2" t="s">
        <v>36</v>
      </c>
      <c r="W9340" s="2" t="s">
        <v>60</v>
      </c>
      <c r="X9340" s="2">
        <v>151.27000000000001</v>
      </c>
    </row>
    <row r="9341" spans="1:24" x14ac:dyDescent="0.3">
      <c r="A9341">
        <v>7926</v>
      </c>
      <c r="B9341" t="s">
        <v>16437</v>
      </c>
      <c r="C9341" s="3">
        <v>41048</v>
      </c>
      <c r="D9341" t="s">
        <v>62</v>
      </c>
      <c r="E9341">
        <v>59</v>
      </c>
      <c r="F9341" s="3">
        <f ca="1">41049+(RANDBETWEEN(1,10))</f>
        <v>41057</v>
      </c>
      <c r="G9341" t="s">
        <v>26</v>
      </c>
      <c r="H9341" t="s">
        <v>27</v>
      </c>
      <c r="I9341" t="s">
        <v>97</v>
      </c>
      <c r="J9341">
        <v>21442.12</v>
      </c>
      <c r="K9341">
        <v>0.04</v>
      </c>
      <c r="L9341">
        <v>0.6</v>
      </c>
      <c r="M9341">
        <v>8.75</v>
      </c>
      <c r="N9341">
        <v>3706.7939999999999</v>
      </c>
      <c r="O9341" s="1" t="s">
        <v>40</v>
      </c>
      <c r="P9341" s="1" t="s">
        <v>13707</v>
      </c>
      <c r="Q9341" s="1" t="s">
        <v>13708</v>
      </c>
      <c r="R9341" s="1" t="s">
        <v>43</v>
      </c>
      <c r="S9341" s="1" t="s">
        <v>44</v>
      </c>
      <c r="T9341" s="1" t="s">
        <v>13709</v>
      </c>
      <c r="U9341" s="2" t="s">
        <v>4222</v>
      </c>
      <c r="V9341" s="2" t="s">
        <v>36</v>
      </c>
      <c r="W9341" s="2" t="s">
        <v>37</v>
      </c>
      <c r="X9341" s="2">
        <v>440.96499999999997</v>
      </c>
    </row>
    <row r="9342" spans="1:24" x14ac:dyDescent="0.3">
      <c r="A9342">
        <v>7936</v>
      </c>
      <c r="B9342" t="s">
        <v>16438</v>
      </c>
      <c r="C9342" s="3">
        <v>41040</v>
      </c>
      <c r="D9342" t="s">
        <v>50</v>
      </c>
      <c r="E9342">
        <v>49</v>
      </c>
      <c r="F9342" s="3">
        <f ca="1">41041+(RANDBETWEEN(1,10))</f>
        <v>41048</v>
      </c>
      <c r="G9342" t="s">
        <v>26</v>
      </c>
      <c r="H9342" t="s">
        <v>27</v>
      </c>
      <c r="I9342" t="s">
        <v>52</v>
      </c>
      <c r="J9342">
        <v>2420.355</v>
      </c>
      <c r="K9342">
        <v>0.02</v>
      </c>
      <c r="L9342">
        <v>0.56999999999999995</v>
      </c>
      <c r="M9342">
        <v>19.25</v>
      </c>
      <c r="N9342">
        <v>19.984999999999999</v>
      </c>
      <c r="O9342" s="1" t="s">
        <v>40</v>
      </c>
      <c r="P9342" s="1" t="s">
        <v>2899</v>
      </c>
      <c r="Q9342" s="1" t="s">
        <v>2900</v>
      </c>
      <c r="R9342" s="1" t="s">
        <v>220</v>
      </c>
      <c r="S9342" s="1" t="s">
        <v>221</v>
      </c>
      <c r="T9342" s="1" t="s">
        <v>2901</v>
      </c>
      <c r="U9342" s="2" t="s">
        <v>3384</v>
      </c>
      <c r="V9342" s="2" t="s">
        <v>47</v>
      </c>
      <c r="W9342" s="2" t="s">
        <v>119</v>
      </c>
      <c r="X9342" s="2">
        <v>47.005000000000003</v>
      </c>
    </row>
    <row r="9343" spans="1:24" x14ac:dyDescent="0.3">
      <c r="A9343">
        <v>7937</v>
      </c>
      <c r="B9343" t="s">
        <v>16438</v>
      </c>
      <c r="C9343" s="3">
        <v>41040</v>
      </c>
      <c r="D9343" t="s">
        <v>50</v>
      </c>
      <c r="E9343">
        <v>23</v>
      </c>
      <c r="F9343" s="3">
        <f ca="1">41041+(RANDBETWEEN(1,10))</f>
        <v>41051</v>
      </c>
      <c r="G9343" t="s">
        <v>26</v>
      </c>
      <c r="H9343" t="s">
        <v>27</v>
      </c>
      <c r="I9343" t="s">
        <v>52</v>
      </c>
      <c r="J9343">
        <v>4195.6949999999997</v>
      </c>
      <c r="K9343">
        <v>0.08</v>
      </c>
      <c r="L9343">
        <v>0.59</v>
      </c>
      <c r="M9343">
        <v>13.965</v>
      </c>
      <c r="N9343">
        <v>-137.2525</v>
      </c>
      <c r="O9343" s="1" t="s">
        <v>40</v>
      </c>
      <c r="P9343" s="1" t="s">
        <v>2899</v>
      </c>
      <c r="Q9343" s="1" t="s">
        <v>2900</v>
      </c>
      <c r="R9343" s="1" t="s">
        <v>220</v>
      </c>
      <c r="S9343" s="1" t="s">
        <v>221</v>
      </c>
      <c r="T9343" s="1" t="s">
        <v>2901</v>
      </c>
      <c r="U9343" s="2" t="s">
        <v>1991</v>
      </c>
      <c r="V9343" s="2" t="s">
        <v>36</v>
      </c>
      <c r="W9343" s="2" t="s">
        <v>37</v>
      </c>
      <c r="X9343" s="2">
        <v>230.965</v>
      </c>
    </row>
    <row r="9344" spans="1:24" x14ac:dyDescent="0.3">
      <c r="A9344">
        <v>7938</v>
      </c>
      <c r="B9344" t="s">
        <v>16438</v>
      </c>
      <c r="C9344" s="3">
        <v>41040</v>
      </c>
      <c r="D9344" t="s">
        <v>50</v>
      </c>
      <c r="E9344">
        <v>9</v>
      </c>
      <c r="F9344" s="3">
        <f ca="1">41042+(RANDBETWEEN(1,10))</f>
        <v>41048</v>
      </c>
      <c r="G9344" t="s">
        <v>26</v>
      </c>
      <c r="H9344" t="s">
        <v>27</v>
      </c>
      <c r="I9344" t="s">
        <v>52</v>
      </c>
      <c r="J9344">
        <v>958.86</v>
      </c>
      <c r="K9344">
        <v>0.08</v>
      </c>
      <c r="L9344">
        <v>0.64</v>
      </c>
      <c r="M9344">
        <v>22.75</v>
      </c>
      <c r="N9344">
        <v>-347.34</v>
      </c>
      <c r="O9344" s="1" t="s">
        <v>40</v>
      </c>
      <c r="P9344" s="1" t="s">
        <v>2899</v>
      </c>
      <c r="Q9344" s="1" t="s">
        <v>2900</v>
      </c>
      <c r="R9344" s="1" t="s">
        <v>220</v>
      </c>
      <c r="S9344" s="1" t="s">
        <v>221</v>
      </c>
      <c r="T9344" s="1" t="s">
        <v>2901</v>
      </c>
      <c r="U9344" s="2" t="s">
        <v>2033</v>
      </c>
      <c r="V9344" s="2" t="s">
        <v>36</v>
      </c>
      <c r="W9344" s="2" t="s">
        <v>60</v>
      </c>
      <c r="X9344" s="2">
        <v>108.43</v>
      </c>
    </row>
    <row r="9345" spans="1:24" x14ac:dyDescent="0.3">
      <c r="A9345">
        <v>7939</v>
      </c>
      <c r="B9345" t="s">
        <v>16438</v>
      </c>
      <c r="C9345" s="3">
        <v>41040</v>
      </c>
      <c r="D9345" t="s">
        <v>50</v>
      </c>
      <c r="E9345">
        <v>30</v>
      </c>
      <c r="F9345" s="3">
        <f ca="1">41042+(RANDBETWEEN(1,10))</f>
        <v>41051</v>
      </c>
      <c r="G9345" t="s">
        <v>26</v>
      </c>
      <c r="H9345" t="s">
        <v>51</v>
      </c>
      <c r="I9345" t="s">
        <v>52</v>
      </c>
      <c r="J9345">
        <v>3680.8449999999998</v>
      </c>
      <c r="K9345">
        <v>0.01</v>
      </c>
      <c r="L9345">
        <v>0.43</v>
      </c>
      <c r="M9345">
        <v>6.9649999999999999</v>
      </c>
      <c r="N9345">
        <v>815.46500000000003</v>
      </c>
      <c r="O9345" s="1" t="s">
        <v>40</v>
      </c>
      <c r="P9345" s="1" t="s">
        <v>2899</v>
      </c>
      <c r="Q9345" s="1" t="s">
        <v>2900</v>
      </c>
      <c r="R9345" s="1" t="s">
        <v>220</v>
      </c>
      <c r="S9345" s="1" t="s">
        <v>221</v>
      </c>
      <c r="T9345" s="1" t="s">
        <v>2901</v>
      </c>
      <c r="U9345" s="2" t="s">
        <v>2995</v>
      </c>
      <c r="V9345" s="2" t="s">
        <v>36</v>
      </c>
      <c r="W9345" s="2" t="s">
        <v>60</v>
      </c>
      <c r="X9345" s="2">
        <v>123.935</v>
      </c>
    </row>
    <row r="9346" spans="1:24" x14ac:dyDescent="0.3">
      <c r="A9346">
        <v>7943</v>
      </c>
      <c r="B9346" t="s">
        <v>16439</v>
      </c>
      <c r="C9346" s="3">
        <v>41928</v>
      </c>
      <c r="D9346" t="s">
        <v>62</v>
      </c>
      <c r="E9346">
        <v>69</v>
      </c>
      <c r="F9346" s="3">
        <f ca="1">41935+(RANDBETWEEN(1,10))</f>
        <v>41940</v>
      </c>
      <c r="G9346" t="s">
        <v>26</v>
      </c>
      <c r="H9346" t="s">
        <v>96</v>
      </c>
      <c r="I9346" t="s">
        <v>52</v>
      </c>
      <c r="J9346">
        <v>4846.17</v>
      </c>
      <c r="K9346">
        <v>0.01</v>
      </c>
      <c r="L9346">
        <v>0.43</v>
      </c>
      <c r="M9346">
        <v>12.67</v>
      </c>
      <c r="N9346">
        <v>601.65665000000001</v>
      </c>
      <c r="O9346" s="1" t="s">
        <v>64</v>
      </c>
      <c r="P9346" s="1" t="s">
        <v>252</v>
      </c>
      <c r="Q9346" s="1" t="s">
        <v>253</v>
      </c>
      <c r="R9346" s="1" t="s">
        <v>67</v>
      </c>
      <c r="S9346" s="1" t="s">
        <v>254</v>
      </c>
      <c r="T9346" s="1" t="s">
        <v>255</v>
      </c>
      <c r="U9346" s="2" t="s">
        <v>5482</v>
      </c>
      <c r="V9346" s="2" t="s">
        <v>83</v>
      </c>
      <c r="W9346" s="2" t="s">
        <v>178</v>
      </c>
      <c r="X9346" s="2">
        <v>65.94</v>
      </c>
    </row>
    <row r="9347" spans="1:24" x14ac:dyDescent="0.3">
      <c r="A9347">
        <v>7954</v>
      </c>
      <c r="B9347" t="s">
        <v>16440</v>
      </c>
      <c r="C9347" s="3">
        <v>41395</v>
      </c>
      <c r="D9347" t="s">
        <v>39</v>
      </c>
      <c r="E9347">
        <v>35</v>
      </c>
      <c r="F9347" s="3">
        <f ca="1">41397+(RANDBETWEEN(1,10))</f>
        <v>41399</v>
      </c>
      <c r="G9347" t="s">
        <v>76</v>
      </c>
      <c r="H9347" t="s">
        <v>258</v>
      </c>
      <c r="I9347" t="s">
        <v>28</v>
      </c>
      <c r="J9347">
        <v>10582.18</v>
      </c>
      <c r="K9347">
        <v>0</v>
      </c>
      <c r="L9347">
        <v>0.4</v>
      </c>
      <c r="M9347">
        <v>105.21</v>
      </c>
      <c r="N9347">
        <v>709.55499999999995</v>
      </c>
      <c r="O9347" s="1" t="s">
        <v>64</v>
      </c>
      <c r="P9347" s="1" t="s">
        <v>265</v>
      </c>
      <c r="Q9347" s="1" t="s">
        <v>266</v>
      </c>
      <c r="R9347" s="1" t="s">
        <v>67</v>
      </c>
      <c r="S9347" s="1" t="s">
        <v>108</v>
      </c>
      <c r="T9347" s="1" t="s">
        <v>196</v>
      </c>
      <c r="U9347" s="2" t="s">
        <v>286</v>
      </c>
      <c r="V9347" s="2" t="s">
        <v>36</v>
      </c>
      <c r="W9347" s="2" t="s">
        <v>142</v>
      </c>
      <c r="X9347" s="2">
        <v>283.39499999999998</v>
      </c>
    </row>
    <row r="9348" spans="1:24" x14ac:dyDescent="0.3">
      <c r="A9348">
        <v>7955</v>
      </c>
      <c r="B9348" t="s">
        <v>16440</v>
      </c>
      <c r="C9348" s="3">
        <v>41395</v>
      </c>
      <c r="D9348" t="s">
        <v>39</v>
      </c>
      <c r="E9348">
        <v>52</v>
      </c>
      <c r="F9348" s="3">
        <f ca="1">41396+(RANDBETWEEN(1,10))</f>
        <v>41404</v>
      </c>
      <c r="G9348" t="s">
        <v>26</v>
      </c>
      <c r="H9348" t="s">
        <v>27</v>
      </c>
      <c r="I9348" t="s">
        <v>28</v>
      </c>
      <c r="J9348">
        <v>1133.4749999999999</v>
      </c>
      <c r="K9348">
        <v>0.09</v>
      </c>
      <c r="L9348">
        <v>0.37</v>
      </c>
      <c r="M9348">
        <v>24.605</v>
      </c>
      <c r="N9348">
        <v>-414.92500000000001</v>
      </c>
      <c r="O9348" s="1" t="s">
        <v>64</v>
      </c>
      <c r="P9348" s="1" t="s">
        <v>265</v>
      </c>
      <c r="Q9348" s="1" t="s">
        <v>266</v>
      </c>
      <c r="R9348" s="1" t="s">
        <v>67</v>
      </c>
      <c r="S9348" s="1" t="s">
        <v>108</v>
      </c>
      <c r="T9348" s="1" t="s">
        <v>196</v>
      </c>
      <c r="U9348" s="2" t="s">
        <v>162</v>
      </c>
      <c r="V9348" s="2" t="s">
        <v>47</v>
      </c>
      <c r="W9348" s="2" t="s">
        <v>74</v>
      </c>
      <c r="X9348" s="2">
        <v>22.68</v>
      </c>
    </row>
    <row r="9349" spans="1:24" x14ac:dyDescent="0.3">
      <c r="A9349">
        <v>7957</v>
      </c>
      <c r="B9349" t="s">
        <v>16441</v>
      </c>
      <c r="C9349" s="3">
        <v>41257</v>
      </c>
      <c r="D9349" t="s">
        <v>25</v>
      </c>
      <c r="E9349">
        <v>19</v>
      </c>
      <c r="F9349" s="3">
        <f ca="1">41261+(RANDBETWEEN(1,10))</f>
        <v>41264</v>
      </c>
      <c r="G9349" t="s">
        <v>76</v>
      </c>
      <c r="H9349" t="s">
        <v>77</v>
      </c>
      <c r="I9349" t="s">
        <v>52</v>
      </c>
      <c r="J9349">
        <v>6420.2950000000001</v>
      </c>
      <c r="K9349">
        <v>0.03</v>
      </c>
      <c r="L9349">
        <v>0.61</v>
      </c>
      <c r="M9349">
        <v>105</v>
      </c>
      <c r="N9349">
        <v>-250.18</v>
      </c>
      <c r="O9349" s="1" t="s">
        <v>29</v>
      </c>
      <c r="P9349" s="1" t="s">
        <v>367</v>
      </c>
      <c r="Q9349" s="1" t="s">
        <v>368</v>
      </c>
      <c r="R9349" s="1" t="s">
        <v>32</v>
      </c>
      <c r="S9349" s="1" t="s">
        <v>33</v>
      </c>
      <c r="T9349" s="1" t="s">
        <v>369</v>
      </c>
      <c r="U9349" s="2" t="s">
        <v>1790</v>
      </c>
      <c r="V9349" s="2" t="s">
        <v>83</v>
      </c>
      <c r="W9349" s="2" t="s">
        <v>84</v>
      </c>
      <c r="X9349" s="2">
        <v>318.43</v>
      </c>
    </row>
    <row r="9350" spans="1:24" x14ac:dyDescent="0.3">
      <c r="A9350">
        <v>7966</v>
      </c>
      <c r="B9350" t="s">
        <v>16442</v>
      </c>
      <c r="C9350" s="3">
        <v>40942</v>
      </c>
      <c r="D9350" t="s">
        <v>39</v>
      </c>
      <c r="E9350">
        <v>34</v>
      </c>
      <c r="F9350" s="3">
        <f ca="1">40944+(RANDBETWEEN(1,10))</f>
        <v>40947</v>
      </c>
      <c r="G9350" t="s">
        <v>26</v>
      </c>
      <c r="H9350" t="s">
        <v>281</v>
      </c>
      <c r="I9350" t="s">
        <v>86</v>
      </c>
      <c r="J9350">
        <v>813.47</v>
      </c>
      <c r="K9350">
        <v>0.05</v>
      </c>
      <c r="L9350">
        <v>0.6</v>
      </c>
      <c r="M9350">
        <v>17.605</v>
      </c>
      <c r="N9350">
        <v>-514.81506999999999</v>
      </c>
      <c r="O9350" s="1" t="s">
        <v>225</v>
      </c>
      <c r="P9350" s="1" t="s">
        <v>15987</v>
      </c>
      <c r="Q9350" s="1" t="s">
        <v>15988</v>
      </c>
      <c r="R9350" s="1" t="s">
        <v>228</v>
      </c>
      <c r="S9350" s="1" t="s">
        <v>349</v>
      </c>
      <c r="T9350" s="1" t="s">
        <v>350</v>
      </c>
      <c r="U9350" s="2" t="s">
        <v>408</v>
      </c>
      <c r="V9350" s="2" t="s">
        <v>36</v>
      </c>
      <c r="W9350" s="2" t="s">
        <v>37</v>
      </c>
      <c r="X9350" s="2">
        <v>27.965</v>
      </c>
    </row>
    <row r="9351" spans="1:24" x14ac:dyDescent="0.3">
      <c r="A9351">
        <v>7971</v>
      </c>
      <c r="B9351" t="s">
        <v>16443</v>
      </c>
      <c r="C9351" s="3">
        <v>41816</v>
      </c>
      <c r="D9351" t="s">
        <v>148</v>
      </c>
      <c r="E9351">
        <v>12</v>
      </c>
      <c r="F9351" s="3">
        <f ca="1">41818+(RANDBETWEEN(1,10))</f>
        <v>41821</v>
      </c>
      <c r="G9351" t="s">
        <v>26</v>
      </c>
      <c r="H9351" t="s">
        <v>27</v>
      </c>
      <c r="I9351" t="s">
        <v>28</v>
      </c>
      <c r="J9351">
        <v>373.27499999999998</v>
      </c>
      <c r="K9351">
        <v>0.03</v>
      </c>
      <c r="L9351">
        <v>0.39</v>
      </c>
      <c r="M9351">
        <v>10.465</v>
      </c>
      <c r="N9351">
        <v>8.0027500000000007</v>
      </c>
      <c r="O9351" s="1" t="s">
        <v>29</v>
      </c>
      <c r="P9351" s="1" t="s">
        <v>323</v>
      </c>
      <c r="Q9351" s="1" t="s">
        <v>324</v>
      </c>
      <c r="R9351" s="1" t="s">
        <v>32</v>
      </c>
      <c r="S9351" s="1" t="s">
        <v>33</v>
      </c>
      <c r="T9351" s="1" t="s">
        <v>325</v>
      </c>
      <c r="U9351" s="2" t="s">
        <v>618</v>
      </c>
      <c r="V9351" s="2" t="s">
        <v>47</v>
      </c>
      <c r="W9351" s="2" t="s">
        <v>111</v>
      </c>
      <c r="X9351" s="2">
        <v>30.414999999999999</v>
      </c>
    </row>
    <row r="9352" spans="1:24" x14ac:dyDescent="0.3">
      <c r="A9352">
        <v>7979</v>
      </c>
      <c r="B9352" t="s">
        <v>16444</v>
      </c>
      <c r="C9352" s="3">
        <v>41973</v>
      </c>
      <c r="D9352" t="s">
        <v>25</v>
      </c>
      <c r="E9352">
        <v>76</v>
      </c>
      <c r="F9352" s="3">
        <f ca="1">41980+(RANDBETWEEN(1,10))</f>
        <v>41983</v>
      </c>
      <c r="G9352" t="s">
        <v>26</v>
      </c>
      <c r="H9352" t="s">
        <v>27</v>
      </c>
      <c r="I9352" t="s">
        <v>86</v>
      </c>
      <c r="J9352">
        <v>5963.335</v>
      </c>
      <c r="K9352">
        <v>0.04</v>
      </c>
      <c r="L9352">
        <v>0.38</v>
      </c>
      <c r="M9352">
        <v>52.85</v>
      </c>
      <c r="N9352">
        <v>-372.90739500000001</v>
      </c>
      <c r="O9352" s="1" t="s">
        <v>225</v>
      </c>
      <c r="P9352" s="1" t="s">
        <v>15987</v>
      </c>
      <c r="Q9352" s="1" t="s">
        <v>15988</v>
      </c>
      <c r="R9352" s="1" t="s">
        <v>228</v>
      </c>
      <c r="S9352" s="1" t="s">
        <v>349</v>
      </c>
      <c r="T9352" s="1" t="s">
        <v>350</v>
      </c>
      <c r="U9352" s="2" t="s">
        <v>2602</v>
      </c>
      <c r="V9352" s="2" t="s">
        <v>47</v>
      </c>
      <c r="W9352" s="2" t="s">
        <v>111</v>
      </c>
      <c r="X9352" s="2">
        <v>78.33</v>
      </c>
    </row>
    <row r="9353" spans="1:24" x14ac:dyDescent="0.3">
      <c r="A9353">
        <v>7980</v>
      </c>
      <c r="B9353" t="s">
        <v>16445</v>
      </c>
      <c r="C9353" s="3">
        <v>40877</v>
      </c>
      <c r="D9353" t="s">
        <v>25</v>
      </c>
      <c r="E9353">
        <v>20</v>
      </c>
      <c r="F9353" s="3">
        <f ca="1">40877+(RANDBETWEEN(1,10))</f>
        <v>40885</v>
      </c>
      <c r="G9353" t="s">
        <v>26</v>
      </c>
      <c r="H9353" t="s">
        <v>27</v>
      </c>
      <c r="I9353" t="s">
        <v>86</v>
      </c>
      <c r="J9353">
        <v>426.54500000000002</v>
      </c>
      <c r="K9353">
        <v>7.0000000000000007E-2</v>
      </c>
      <c r="L9353">
        <v>0.39</v>
      </c>
      <c r="M9353">
        <v>1.75</v>
      </c>
      <c r="N9353">
        <v>14.585900000000001</v>
      </c>
      <c r="O9353" s="1" t="s">
        <v>225</v>
      </c>
      <c r="P9353" s="1" t="s">
        <v>15987</v>
      </c>
      <c r="Q9353" s="1" t="s">
        <v>15988</v>
      </c>
      <c r="R9353" s="1" t="s">
        <v>228</v>
      </c>
      <c r="S9353" s="1" t="s">
        <v>349</v>
      </c>
      <c r="T9353" s="1" t="s">
        <v>350</v>
      </c>
      <c r="U9353" s="2" t="s">
        <v>2675</v>
      </c>
      <c r="V9353" s="2" t="s">
        <v>47</v>
      </c>
      <c r="W9353" s="2" t="s">
        <v>203</v>
      </c>
      <c r="X9353" s="2">
        <v>22.05</v>
      </c>
    </row>
    <row r="9354" spans="1:24" x14ac:dyDescent="0.3">
      <c r="A9354">
        <v>7981</v>
      </c>
      <c r="B9354" t="s">
        <v>16444</v>
      </c>
      <c r="C9354" s="3">
        <v>41973</v>
      </c>
      <c r="D9354" t="s">
        <v>25</v>
      </c>
      <c r="E9354">
        <v>11</v>
      </c>
      <c r="F9354" s="3">
        <f ca="1">41975+(RANDBETWEEN(1,10))</f>
        <v>41985</v>
      </c>
      <c r="G9354" t="s">
        <v>26</v>
      </c>
      <c r="H9354" t="s">
        <v>27</v>
      </c>
      <c r="I9354" t="s">
        <v>86</v>
      </c>
      <c r="J9354">
        <v>708.01499999999999</v>
      </c>
      <c r="K9354">
        <v>0.06</v>
      </c>
      <c r="L9354">
        <v>0.54</v>
      </c>
      <c r="M9354">
        <v>17.605</v>
      </c>
      <c r="N9354">
        <v>109.8398</v>
      </c>
      <c r="O9354" s="1" t="s">
        <v>225</v>
      </c>
      <c r="P9354" s="1" t="s">
        <v>15987</v>
      </c>
      <c r="Q9354" s="1" t="s">
        <v>15988</v>
      </c>
      <c r="R9354" s="1" t="s">
        <v>228</v>
      </c>
      <c r="S9354" s="1" t="s">
        <v>349</v>
      </c>
      <c r="T9354" s="1" t="s">
        <v>350</v>
      </c>
      <c r="U9354" s="2" t="s">
        <v>3463</v>
      </c>
      <c r="V9354" s="2" t="s">
        <v>83</v>
      </c>
      <c r="W9354" s="2" t="s">
        <v>178</v>
      </c>
      <c r="X9354" s="2">
        <v>62.23</v>
      </c>
    </row>
    <row r="9355" spans="1:24" x14ac:dyDescent="0.3">
      <c r="A9355">
        <v>7985</v>
      </c>
      <c r="B9355" t="s">
        <v>16446</v>
      </c>
      <c r="C9355" s="3">
        <v>41760</v>
      </c>
      <c r="D9355" t="s">
        <v>62</v>
      </c>
      <c r="E9355">
        <v>38</v>
      </c>
      <c r="F9355" s="3">
        <f ca="1">41761+(RANDBETWEEN(1,10))</f>
        <v>41765</v>
      </c>
      <c r="G9355" t="s">
        <v>26</v>
      </c>
      <c r="H9355" t="s">
        <v>27</v>
      </c>
      <c r="I9355" t="s">
        <v>52</v>
      </c>
      <c r="J9355">
        <v>12936.315000000001</v>
      </c>
      <c r="K9355">
        <v>0.03</v>
      </c>
      <c r="L9355">
        <v>0.56999999999999995</v>
      </c>
      <c r="M9355">
        <v>31.465</v>
      </c>
      <c r="N9355">
        <v>2104.6725000000001</v>
      </c>
      <c r="O9355" s="1" t="s">
        <v>64</v>
      </c>
      <c r="P9355" s="1" t="s">
        <v>138</v>
      </c>
      <c r="Q9355" s="1" t="s">
        <v>139</v>
      </c>
      <c r="R9355" s="1" t="s">
        <v>128</v>
      </c>
      <c r="S9355" s="1" t="s">
        <v>129</v>
      </c>
      <c r="T9355" s="1" t="s">
        <v>140</v>
      </c>
      <c r="U9355" s="2" t="s">
        <v>2356</v>
      </c>
      <c r="V9355" s="2" t="s">
        <v>36</v>
      </c>
      <c r="W9355" s="2" t="s">
        <v>37</v>
      </c>
      <c r="X9355" s="2">
        <v>388.46499999999997</v>
      </c>
    </row>
    <row r="9356" spans="1:24" x14ac:dyDescent="0.3">
      <c r="A9356">
        <v>7988</v>
      </c>
      <c r="B9356" t="s">
        <v>16447</v>
      </c>
      <c r="C9356" s="3">
        <v>41356</v>
      </c>
      <c r="D9356" t="s">
        <v>148</v>
      </c>
      <c r="E9356">
        <v>41</v>
      </c>
      <c r="F9356" s="3">
        <f ca="1">41359+(RANDBETWEEN(1,10))</f>
        <v>41362</v>
      </c>
      <c r="G9356" t="s">
        <v>26</v>
      </c>
      <c r="H9356" t="s">
        <v>27</v>
      </c>
      <c r="I9356" t="s">
        <v>28</v>
      </c>
      <c r="J9356">
        <v>988.71500000000003</v>
      </c>
      <c r="K9356">
        <v>0.01</v>
      </c>
      <c r="L9356">
        <v>0.37</v>
      </c>
      <c r="M9356">
        <v>19.18</v>
      </c>
      <c r="N9356">
        <v>-220.08699999999999</v>
      </c>
      <c r="O9356" s="1" t="s">
        <v>40</v>
      </c>
      <c r="P9356" s="1" t="s">
        <v>15950</v>
      </c>
      <c r="Q9356" s="1" t="s">
        <v>15951</v>
      </c>
      <c r="R9356" s="1" t="s">
        <v>43</v>
      </c>
      <c r="S9356" s="1" t="s">
        <v>44</v>
      </c>
      <c r="T9356" s="1" t="s">
        <v>15952</v>
      </c>
      <c r="U9356" s="2" t="s">
        <v>5054</v>
      </c>
      <c r="V9356" s="2" t="s">
        <v>47</v>
      </c>
      <c r="W9356" s="2" t="s">
        <v>111</v>
      </c>
      <c r="X9356" s="2">
        <v>23.835000000000001</v>
      </c>
    </row>
    <row r="9357" spans="1:24" x14ac:dyDescent="0.3">
      <c r="A9357">
        <v>799</v>
      </c>
      <c r="B9357" t="s">
        <v>16448</v>
      </c>
      <c r="C9357" s="3">
        <v>41158</v>
      </c>
      <c r="D9357" t="s">
        <v>50</v>
      </c>
      <c r="E9357">
        <v>36</v>
      </c>
      <c r="F9357" s="3">
        <f ca="1">41160+(RANDBETWEEN(1,10))</f>
        <v>41170</v>
      </c>
      <c r="G9357" t="s">
        <v>26</v>
      </c>
      <c r="H9357" t="s">
        <v>27</v>
      </c>
      <c r="I9357" t="s">
        <v>28</v>
      </c>
      <c r="J9357">
        <v>12848.15</v>
      </c>
      <c r="K9357">
        <v>0.01</v>
      </c>
      <c r="L9357">
        <v>0.52</v>
      </c>
      <c r="M9357">
        <v>69.965000000000003</v>
      </c>
      <c r="N9357">
        <v>699.05499999999995</v>
      </c>
      <c r="O9357" s="1" t="s">
        <v>64</v>
      </c>
      <c r="P9357" s="1" t="s">
        <v>214</v>
      </c>
      <c r="Q9357" s="1" t="s">
        <v>215</v>
      </c>
      <c r="R9357" s="1" t="s">
        <v>67</v>
      </c>
      <c r="S9357" s="1" t="s">
        <v>68</v>
      </c>
      <c r="T9357" s="1" t="s">
        <v>69</v>
      </c>
      <c r="U9357" s="2" t="s">
        <v>1438</v>
      </c>
      <c r="V9357" s="2" t="s">
        <v>36</v>
      </c>
      <c r="W9357" s="2" t="s">
        <v>60</v>
      </c>
      <c r="X9357" s="2">
        <v>349.96499999999997</v>
      </c>
    </row>
    <row r="9358" spans="1:24" x14ac:dyDescent="0.3">
      <c r="A9358">
        <v>800</v>
      </c>
      <c r="B9358" t="s">
        <v>16449</v>
      </c>
      <c r="C9358" s="3">
        <v>41044</v>
      </c>
      <c r="D9358" t="s">
        <v>148</v>
      </c>
      <c r="E9358">
        <v>42</v>
      </c>
      <c r="F9358" s="3">
        <f ca="1">41045+(RANDBETWEEN(1,10))</f>
        <v>41053</v>
      </c>
      <c r="G9358" t="s">
        <v>26</v>
      </c>
      <c r="H9358" t="s">
        <v>27</v>
      </c>
      <c r="I9358" t="s">
        <v>52</v>
      </c>
      <c r="J9358">
        <v>1814.47</v>
      </c>
      <c r="K9358">
        <v>0.06</v>
      </c>
      <c r="L9358">
        <v>0.38</v>
      </c>
      <c r="M9358">
        <v>22.645</v>
      </c>
      <c r="N9358">
        <v>24.4818</v>
      </c>
      <c r="O9358" s="1" t="s">
        <v>225</v>
      </c>
      <c r="P9358" s="1" t="s">
        <v>347</v>
      </c>
      <c r="Q9358" s="1" t="s">
        <v>348</v>
      </c>
      <c r="R9358" s="1" t="s">
        <v>228</v>
      </c>
      <c r="S9358" s="1" t="s">
        <v>349</v>
      </c>
      <c r="T9358" s="1" t="s">
        <v>350</v>
      </c>
      <c r="U9358" s="2" t="s">
        <v>2420</v>
      </c>
      <c r="V9358" s="2" t="s">
        <v>47</v>
      </c>
      <c r="W9358" s="2" t="s">
        <v>74</v>
      </c>
      <c r="X9358" s="2">
        <v>42.98</v>
      </c>
    </row>
    <row r="9359" spans="1:24" x14ac:dyDescent="0.3">
      <c r="A9359">
        <v>8006</v>
      </c>
      <c r="B9359" t="s">
        <v>16450</v>
      </c>
      <c r="C9359" s="3">
        <v>41119</v>
      </c>
      <c r="D9359" t="s">
        <v>39</v>
      </c>
      <c r="E9359">
        <v>55</v>
      </c>
      <c r="F9359" s="3">
        <f ca="1">41119+(RANDBETWEEN(1,10))</f>
        <v>41122</v>
      </c>
      <c r="G9359" t="s">
        <v>76</v>
      </c>
      <c r="H9359" t="s">
        <v>77</v>
      </c>
      <c r="I9359" t="s">
        <v>28</v>
      </c>
      <c r="J9359">
        <v>53229.19</v>
      </c>
      <c r="K9359">
        <v>0.03</v>
      </c>
      <c r="L9359">
        <v>0.78</v>
      </c>
      <c r="M9359">
        <v>199.5</v>
      </c>
      <c r="N9359">
        <v>-1910.37</v>
      </c>
      <c r="O9359" s="1" t="s">
        <v>64</v>
      </c>
      <c r="P9359" s="1" t="s">
        <v>194</v>
      </c>
      <c r="Q9359" s="1" t="s">
        <v>195</v>
      </c>
      <c r="R9359" s="1" t="s">
        <v>67</v>
      </c>
      <c r="S9359" s="1" t="s">
        <v>108</v>
      </c>
      <c r="T9359" s="1" t="s">
        <v>196</v>
      </c>
      <c r="U9359" s="2" t="s">
        <v>3811</v>
      </c>
      <c r="V9359" s="2" t="s">
        <v>83</v>
      </c>
      <c r="W9359" s="2" t="s">
        <v>84</v>
      </c>
      <c r="X9359" s="2">
        <v>983.43</v>
      </c>
    </row>
    <row r="9360" spans="1:24" x14ac:dyDescent="0.3">
      <c r="A9360">
        <v>8007</v>
      </c>
      <c r="B9360" t="s">
        <v>16450</v>
      </c>
      <c r="C9360" s="3">
        <v>41119</v>
      </c>
      <c r="D9360" t="s">
        <v>39</v>
      </c>
      <c r="E9360">
        <v>58</v>
      </c>
      <c r="F9360" s="3">
        <f ca="1">41121+(RANDBETWEEN(1,10))</f>
        <v>41123</v>
      </c>
      <c r="G9360" t="s">
        <v>26</v>
      </c>
      <c r="H9360" t="s">
        <v>96</v>
      </c>
      <c r="I9360" t="s">
        <v>28</v>
      </c>
      <c r="J9360">
        <v>464.27499999999998</v>
      </c>
      <c r="K9360">
        <v>0.03</v>
      </c>
      <c r="L9360">
        <v>0.41</v>
      </c>
      <c r="M9360">
        <v>4.2</v>
      </c>
      <c r="N9360">
        <v>15.68</v>
      </c>
      <c r="O9360" s="1" t="s">
        <v>64</v>
      </c>
      <c r="P9360" s="1" t="s">
        <v>194</v>
      </c>
      <c r="Q9360" s="1" t="s">
        <v>195</v>
      </c>
      <c r="R9360" s="1" t="s">
        <v>67</v>
      </c>
      <c r="S9360" s="1" t="s">
        <v>108</v>
      </c>
      <c r="T9360" s="1" t="s">
        <v>196</v>
      </c>
      <c r="U9360" s="2" t="s">
        <v>15355</v>
      </c>
      <c r="V9360" s="2" t="s">
        <v>47</v>
      </c>
      <c r="W9360" s="2" t="s">
        <v>104</v>
      </c>
      <c r="X9360" s="2">
        <v>7.7</v>
      </c>
    </row>
    <row r="9361" spans="1:24" x14ac:dyDescent="0.3">
      <c r="A9361">
        <v>8022</v>
      </c>
      <c r="B9361" t="s">
        <v>16451</v>
      </c>
      <c r="C9361" s="3">
        <v>40918</v>
      </c>
      <c r="D9361" t="s">
        <v>148</v>
      </c>
      <c r="E9361">
        <v>33</v>
      </c>
      <c r="F9361" s="3">
        <f ca="1">40920+(RANDBETWEEN(1,10))</f>
        <v>40930</v>
      </c>
      <c r="G9361" t="s">
        <v>26</v>
      </c>
      <c r="H9361" t="s">
        <v>27</v>
      </c>
      <c r="I9361" t="s">
        <v>86</v>
      </c>
      <c r="J9361">
        <v>555.76499999999999</v>
      </c>
      <c r="K9361">
        <v>0.02</v>
      </c>
      <c r="L9361">
        <v>0.36</v>
      </c>
      <c r="M9361">
        <v>1.75</v>
      </c>
      <c r="N9361">
        <v>103.79600000000001</v>
      </c>
      <c r="O9361" s="1" t="s">
        <v>64</v>
      </c>
      <c r="P9361" s="1" t="s">
        <v>173</v>
      </c>
      <c r="Q9361" s="1" t="s">
        <v>174</v>
      </c>
      <c r="R9361" s="1" t="s">
        <v>67</v>
      </c>
      <c r="S9361" s="1" t="s">
        <v>108</v>
      </c>
      <c r="T9361" s="1" t="s">
        <v>109</v>
      </c>
      <c r="U9361" s="2" t="s">
        <v>2281</v>
      </c>
      <c r="V9361" s="2" t="s">
        <v>47</v>
      </c>
      <c r="W9361" s="2" t="s">
        <v>203</v>
      </c>
      <c r="X9361" s="2">
        <v>17.184999999999999</v>
      </c>
    </row>
    <row r="9362" spans="1:24" x14ac:dyDescent="0.3">
      <c r="A9362">
        <v>8023</v>
      </c>
      <c r="B9362" t="s">
        <v>16451</v>
      </c>
      <c r="C9362" s="3">
        <v>40918</v>
      </c>
      <c r="D9362" t="s">
        <v>148</v>
      </c>
      <c r="E9362">
        <v>12</v>
      </c>
      <c r="F9362" s="3">
        <f ca="1">40920+(RANDBETWEEN(1,10))</f>
        <v>40922</v>
      </c>
      <c r="G9362" t="s">
        <v>26</v>
      </c>
      <c r="H9362" t="s">
        <v>27</v>
      </c>
      <c r="I9362" t="s">
        <v>86</v>
      </c>
      <c r="J9362">
        <v>276.70999999999998</v>
      </c>
      <c r="K9362">
        <v>0.1</v>
      </c>
      <c r="L9362">
        <v>0.37</v>
      </c>
      <c r="M9362">
        <v>24.22</v>
      </c>
      <c r="N9362">
        <v>-263.2</v>
      </c>
      <c r="O9362" s="1" t="s">
        <v>64</v>
      </c>
      <c r="P9362" s="1" t="s">
        <v>173</v>
      </c>
      <c r="Q9362" s="1" t="s">
        <v>174</v>
      </c>
      <c r="R9362" s="1" t="s">
        <v>67</v>
      </c>
      <c r="S9362" s="1" t="s">
        <v>108</v>
      </c>
      <c r="T9362" s="1" t="s">
        <v>109</v>
      </c>
      <c r="U9362" s="2" t="s">
        <v>2561</v>
      </c>
      <c r="V9362" s="2" t="s">
        <v>47</v>
      </c>
      <c r="W9362" s="2" t="s">
        <v>74</v>
      </c>
      <c r="X9362" s="2">
        <v>23.38</v>
      </c>
    </row>
    <row r="9363" spans="1:24" x14ac:dyDescent="0.3">
      <c r="A9363">
        <v>8027</v>
      </c>
      <c r="B9363" t="s">
        <v>16452</v>
      </c>
      <c r="C9363" s="3">
        <v>41444</v>
      </c>
      <c r="D9363" t="s">
        <v>62</v>
      </c>
      <c r="E9363">
        <v>73</v>
      </c>
      <c r="F9363" s="3">
        <f ca="1">41446+(RANDBETWEEN(1,10))</f>
        <v>41447</v>
      </c>
      <c r="G9363" t="s">
        <v>26</v>
      </c>
      <c r="H9363" t="s">
        <v>51</v>
      </c>
      <c r="I9363" t="s">
        <v>86</v>
      </c>
      <c r="J9363">
        <v>2570.7849999999999</v>
      </c>
      <c r="K9363">
        <v>7.0000000000000007E-2</v>
      </c>
      <c r="L9363">
        <v>0.52</v>
      </c>
      <c r="M9363">
        <v>27.79</v>
      </c>
      <c r="N9363">
        <v>-589.33000000000004</v>
      </c>
      <c r="O9363" s="1" t="s">
        <v>40</v>
      </c>
      <c r="P9363" s="1" t="s">
        <v>269</v>
      </c>
      <c r="Q9363" s="1" t="s">
        <v>270</v>
      </c>
      <c r="R9363" s="1" t="s">
        <v>43</v>
      </c>
      <c r="S9363" s="1" t="s">
        <v>44</v>
      </c>
      <c r="T9363" s="1" t="s">
        <v>271</v>
      </c>
      <c r="U9363" s="2" t="s">
        <v>7715</v>
      </c>
      <c r="V9363" s="2" t="s">
        <v>83</v>
      </c>
      <c r="W9363" s="2" t="s">
        <v>178</v>
      </c>
      <c r="X9363" s="2">
        <v>36.82</v>
      </c>
    </row>
    <row r="9364" spans="1:24" x14ac:dyDescent="0.3">
      <c r="A9364">
        <v>8028</v>
      </c>
      <c r="B9364" t="s">
        <v>16452</v>
      </c>
      <c r="C9364" s="3">
        <v>41444</v>
      </c>
      <c r="D9364" t="s">
        <v>62</v>
      </c>
      <c r="E9364">
        <v>10</v>
      </c>
      <c r="F9364" s="3">
        <f ca="1">41444+(RANDBETWEEN(1,10))</f>
        <v>41446</v>
      </c>
      <c r="G9364" t="s">
        <v>26</v>
      </c>
      <c r="H9364" t="s">
        <v>27</v>
      </c>
      <c r="I9364" t="s">
        <v>86</v>
      </c>
      <c r="J9364">
        <v>1906.87</v>
      </c>
      <c r="K9364">
        <v>7.0000000000000007E-2</v>
      </c>
      <c r="L9364">
        <v>0.56999999999999995</v>
      </c>
      <c r="M9364">
        <v>18.585000000000001</v>
      </c>
      <c r="N9364">
        <v>-781.24199999999996</v>
      </c>
      <c r="O9364" s="1" t="s">
        <v>40</v>
      </c>
      <c r="P9364" s="1" t="s">
        <v>269</v>
      </c>
      <c r="Q9364" s="1" t="s">
        <v>270</v>
      </c>
      <c r="R9364" s="1" t="s">
        <v>43</v>
      </c>
      <c r="S9364" s="1" t="s">
        <v>44</v>
      </c>
      <c r="T9364" s="1" t="s">
        <v>271</v>
      </c>
      <c r="U9364" s="2">
        <v>3390</v>
      </c>
      <c r="V9364" s="2" t="s">
        <v>36</v>
      </c>
      <c r="W9364" s="2" t="s">
        <v>37</v>
      </c>
      <c r="X9364" s="2">
        <v>230.965</v>
      </c>
    </row>
    <row r="9365" spans="1:24" x14ac:dyDescent="0.3">
      <c r="A9365">
        <v>8079</v>
      </c>
      <c r="B9365" t="s">
        <v>16453</v>
      </c>
      <c r="C9365" s="3">
        <v>41751</v>
      </c>
      <c r="D9365" t="s">
        <v>25</v>
      </c>
      <c r="E9365">
        <v>35</v>
      </c>
      <c r="F9365" s="3">
        <f ca="1">41756+(RANDBETWEEN(1,10))</f>
        <v>41757</v>
      </c>
      <c r="G9365" t="s">
        <v>76</v>
      </c>
      <c r="H9365" t="s">
        <v>258</v>
      </c>
      <c r="I9365" t="s">
        <v>52</v>
      </c>
      <c r="J9365">
        <v>20092.169999999998</v>
      </c>
      <c r="K9365">
        <v>0.09</v>
      </c>
      <c r="L9365">
        <v>0.68</v>
      </c>
      <c r="M9365">
        <v>101.85</v>
      </c>
      <c r="N9365">
        <v>-1842.6733325</v>
      </c>
      <c r="O9365" s="1" t="s">
        <v>64</v>
      </c>
      <c r="P9365" s="1" t="s">
        <v>183</v>
      </c>
      <c r="Q9365" s="1" t="s">
        <v>184</v>
      </c>
      <c r="R9365" s="1" t="s">
        <v>128</v>
      </c>
      <c r="S9365" s="1" t="s">
        <v>129</v>
      </c>
      <c r="T9365" s="1" t="s">
        <v>185</v>
      </c>
      <c r="U9365" s="2" t="s">
        <v>13573</v>
      </c>
      <c r="V9365" s="2" t="s">
        <v>83</v>
      </c>
      <c r="W9365" s="2" t="s">
        <v>263</v>
      </c>
      <c r="X9365" s="2">
        <v>762.47500000000002</v>
      </c>
    </row>
    <row r="9366" spans="1:24" x14ac:dyDescent="0.3">
      <c r="A9366">
        <v>8080</v>
      </c>
      <c r="B9366" t="s">
        <v>16453</v>
      </c>
      <c r="C9366" s="3">
        <v>41751</v>
      </c>
      <c r="D9366" t="s">
        <v>25</v>
      </c>
      <c r="E9366">
        <v>49</v>
      </c>
      <c r="F9366" s="3">
        <f ca="1">41753+(RANDBETWEEN(1,10))</f>
        <v>41757</v>
      </c>
      <c r="G9366" t="s">
        <v>26</v>
      </c>
      <c r="H9366" t="s">
        <v>27</v>
      </c>
      <c r="I9366" t="s">
        <v>52</v>
      </c>
      <c r="J9366">
        <v>1996.5050000000001</v>
      </c>
      <c r="K9366">
        <v>7.0000000000000007E-2</v>
      </c>
      <c r="L9366">
        <v>0.36</v>
      </c>
      <c r="M9366">
        <v>19.004999999999999</v>
      </c>
      <c r="N9366">
        <v>276.11500000000001</v>
      </c>
      <c r="O9366" s="1" t="s">
        <v>64</v>
      </c>
      <c r="P9366" s="1" t="s">
        <v>183</v>
      </c>
      <c r="Q9366" s="1" t="s">
        <v>184</v>
      </c>
      <c r="R9366" s="1" t="s">
        <v>128</v>
      </c>
      <c r="S9366" s="1" t="s">
        <v>129</v>
      </c>
      <c r="T9366" s="1" t="s">
        <v>185</v>
      </c>
      <c r="U9366" s="2" t="s">
        <v>3430</v>
      </c>
      <c r="V9366" s="2" t="s">
        <v>47</v>
      </c>
      <c r="W9366" s="2" t="s">
        <v>74</v>
      </c>
      <c r="X9366" s="2">
        <v>40.18</v>
      </c>
    </row>
    <row r="9367" spans="1:24" x14ac:dyDescent="0.3">
      <c r="A9367">
        <v>8081</v>
      </c>
      <c r="B9367" t="s">
        <v>16453</v>
      </c>
      <c r="C9367" s="3">
        <v>41751</v>
      </c>
      <c r="D9367" t="s">
        <v>25</v>
      </c>
      <c r="E9367">
        <v>49</v>
      </c>
      <c r="F9367" s="3">
        <f ca="1">41753+(RANDBETWEEN(1,10))</f>
        <v>41759</v>
      </c>
      <c r="G9367" t="s">
        <v>26</v>
      </c>
      <c r="H9367" t="s">
        <v>51</v>
      </c>
      <c r="I9367" t="s">
        <v>52</v>
      </c>
      <c r="J9367">
        <v>350.28</v>
      </c>
      <c r="K9367">
        <v>0.08</v>
      </c>
      <c r="L9367">
        <v>0.55000000000000004</v>
      </c>
      <c r="M9367">
        <v>8.9600000000000009</v>
      </c>
      <c r="N9367">
        <v>-299.52999999999997</v>
      </c>
      <c r="O9367" s="1" t="s">
        <v>64</v>
      </c>
      <c r="P9367" s="1" t="s">
        <v>183</v>
      </c>
      <c r="Q9367" s="1" t="s">
        <v>184</v>
      </c>
      <c r="R9367" s="1" t="s">
        <v>128</v>
      </c>
      <c r="S9367" s="1" t="s">
        <v>129</v>
      </c>
      <c r="T9367" s="1" t="s">
        <v>185</v>
      </c>
      <c r="U9367" s="2" t="s">
        <v>401</v>
      </c>
      <c r="V9367" s="2" t="s">
        <v>47</v>
      </c>
      <c r="W9367" s="2" t="s">
        <v>94</v>
      </c>
      <c r="X9367" s="2">
        <v>7.28</v>
      </c>
    </row>
    <row r="9368" spans="1:24" x14ac:dyDescent="0.3">
      <c r="A9368">
        <v>8099</v>
      </c>
      <c r="B9368" t="s">
        <v>16454</v>
      </c>
      <c r="C9368" s="3">
        <v>40750</v>
      </c>
      <c r="D9368" t="s">
        <v>25</v>
      </c>
      <c r="E9368">
        <v>19</v>
      </c>
      <c r="F9368" s="3">
        <f ca="1">40752+(RANDBETWEEN(1,10))</f>
        <v>40759</v>
      </c>
      <c r="G9368" t="s">
        <v>26</v>
      </c>
      <c r="H9368" t="s">
        <v>27</v>
      </c>
      <c r="I9368" t="s">
        <v>97</v>
      </c>
      <c r="J9368">
        <v>369.25</v>
      </c>
      <c r="K9368">
        <v>0.02</v>
      </c>
      <c r="L9368">
        <v>0.36</v>
      </c>
      <c r="M9368">
        <v>21.245000000000001</v>
      </c>
      <c r="N9368">
        <v>-164.22</v>
      </c>
      <c r="O9368" s="1" t="s">
        <v>64</v>
      </c>
      <c r="P9368" s="1" t="s">
        <v>233</v>
      </c>
      <c r="Q9368" s="1" t="s">
        <v>234</v>
      </c>
      <c r="R9368" s="1" t="s">
        <v>67</v>
      </c>
      <c r="S9368" s="1" t="s">
        <v>68</v>
      </c>
      <c r="T9368" s="1" t="s">
        <v>235</v>
      </c>
      <c r="U9368" s="2" t="s">
        <v>250</v>
      </c>
      <c r="V9368" s="2" t="s">
        <v>47</v>
      </c>
      <c r="W9368" s="2" t="s">
        <v>74</v>
      </c>
      <c r="X9368" s="2">
        <v>17.43</v>
      </c>
    </row>
    <row r="9369" spans="1:24" x14ac:dyDescent="0.3">
      <c r="A9369">
        <v>8123</v>
      </c>
      <c r="B9369" t="s">
        <v>16455</v>
      </c>
      <c r="C9369" s="3">
        <v>41278</v>
      </c>
      <c r="D9369" t="s">
        <v>39</v>
      </c>
      <c r="E9369">
        <v>29</v>
      </c>
      <c r="F9369" s="3">
        <f ca="1">41278+(RANDBETWEEN(1,10))</f>
        <v>41285</v>
      </c>
      <c r="G9369" t="s">
        <v>26</v>
      </c>
      <c r="H9369" t="s">
        <v>27</v>
      </c>
      <c r="I9369" t="s">
        <v>52</v>
      </c>
      <c r="J9369">
        <v>239.68</v>
      </c>
      <c r="K9369">
        <v>0.04</v>
      </c>
      <c r="L9369">
        <v>0.43</v>
      </c>
      <c r="M9369">
        <v>18.655000000000001</v>
      </c>
      <c r="N9369">
        <v>-515.81600000000003</v>
      </c>
      <c r="O9369" s="1" t="s">
        <v>64</v>
      </c>
      <c r="P9369" s="1" t="s">
        <v>138</v>
      </c>
      <c r="Q9369" s="1" t="s">
        <v>139</v>
      </c>
      <c r="R9369" s="1" t="s">
        <v>128</v>
      </c>
      <c r="S9369" s="1" t="s">
        <v>129</v>
      </c>
      <c r="T9369" s="1" t="s">
        <v>140</v>
      </c>
      <c r="U9369" s="2" t="s">
        <v>2500</v>
      </c>
      <c r="V9369" s="2" t="s">
        <v>83</v>
      </c>
      <c r="W9369" s="2" t="s">
        <v>178</v>
      </c>
      <c r="X9369" s="2">
        <v>7.28</v>
      </c>
    </row>
    <row r="9370" spans="1:24" x14ac:dyDescent="0.3">
      <c r="A9370">
        <v>815</v>
      </c>
      <c r="B9370" t="s">
        <v>16456</v>
      </c>
      <c r="C9370" s="3">
        <v>41946</v>
      </c>
      <c r="D9370" t="s">
        <v>39</v>
      </c>
      <c r="E9370">
        <v>151</v>
      </c>
      <c r="F9370" s="3">
        <f ca="1">41947+(RANDBETWEEN(1,10))</f>
        <v>41950</v>
      </c>
      <c r="G9370" t="s">
        <v>156</v>
      </c>
      <c r="H9370" t="s">
        <v>96</v>
      </c>
      <c r="I9370" t="s">
        <v>52</v>
      </c>
      <c r="J9370">
        <v>10236.975</v>
      </c>
      <c r="K9370">
        <v>0</v>
      </c>
      <c r="L9370">
        <v>0.37</v>
      </c>
      <c r="M9370">
        <v>3.4649999999999999</v>
      </c>
      <c r="N9370">
        <v>1525.8285000000001</v>
      </c>
      <c r="O9370" s="1" t="s">
        <v>64</v>
      </c>
      <c r="P9370" s="1" t="s">
        <v>138</v>
      </c>
      <c r="Q9370" s="1" t="s">
        <v>139</v>
      </c>
      <c r="R9370" s="1" t="s">
        <v>128</v>
      </c>
      <c r="S9370" s="1" t="s">
        <v>129</v>
      </c>
      <c r="T9370" s="1" t="s">
        <v>140</v>
      </c>
      <c r="U9370" s="2" t="s">
        <v>3359</v>
      </c>
      <c r="V9370" s="2" t="s">
        <v>36</v>
      </c>
      <c r="W9370" s="2" t="s">
        <v>37</v>
      </c>
      <c r="X9370" s="2">
        <v>73.465000000000003</v>
      </c>
    </row>
    <row r="9371" spans="1:24" x14ac:dyDescent="0.3">
      <c r="A9371">
        <v>8160</v>
      </c>
      <c r="B9371" t="s">
        <v>16457</v>
      </c>
      <c r="C9371" s="3">
        <v>41365</v>
      </c>
      <c r="D9371" t="s">
        <v>39</v>
      </c>
      <c r="E9371">
        <v>45</v>
      </c>
      <c r="F9371" s="3">
        <f ca="1">41365+(RANDBETWEEN(1,10))</f>
        <v>41371</v>
      </c>
      <c r="G9371" t="s">
        <v>26</v>
      </c>
      <c r="H9371" t="s">
        <v>51</v>
      </c>
      <c r="I9371" t="s">
        <v>52</v>
      </c>
      <c r="J9371">
        <v>6768.0550000000003</v>
      </c>
      <c r="K9371">
        <v>0.02</v>
      </c>
      <c r="L9371">
        <v>0.44</v>
      </c>
      <c r="M9371">
        <v>6.9649999999999999</v>
      </c>
      <c r="N9371">
        <v>2639.35</v>
      </c>
      <c r="O9371" s="1" t="s">
        <v>87</v>
      </c>
      <c r="P9371" s="1" t="s">
        <v>16096</v>
      </c>
      <c r="Q9371" s="1" t="s">
        <v>16097</v>
      </c>
      <c r="R9371" s="1" t="s">
        <v>398</v>
      </c>
      <c r="S9371" s="1" t="s">
        <v>3179</v>
      </c>
      <c r="T9371" s="1" t="s">
        <v>16098</v>
      </c>
      <c r="U9371" s="2" t="s">
        <v>1469</v>
      </c>
      <c r="V9371" s="2" t="s">
        <v>36</v>
      </c>
      <c r="W9371" s="2" t="s">
        <v>60</v>
      </c>
      <c r="X9371" s="2">
        <v>143.43</v>
      </c>
    </row>
    <row r="9372" spans="1:24" x14ac:dyDescent="0.3">
      <c r="A9372">
        <v>8173</v>
      </c>
      <c r="B9372" t="s">
        <v>16458</v>
      </c>
      <c r="C9372" s="3">
        <v>41456</v>
      </c>
      <c r="D9372" t="s">
        <v>39</v>
      </c>
      <c r="E9372">
        <v>15</v>
      </c>
      <c r="F9372" s="3">
        <f ca="1">41457+(RANDBETWEEN(1,10))</f>
        <v>41463</v>
      </c>
      <c r="G9372" t="s">
        <v>76</v>
      </c>
      <c r="H9372" t="s">
        <v>77</v>
      </c>
      <c r="I9372" t="s">
        <v>97</v>
      </c>
      <c r="J9372">
        <v>9643.69</v>
      </c>
      <c r="K9372">
        <v>0.01</v>
      </c>
      <c r="L9372">
        <v>0.69</v>
      </c>
      <c r="M9372">
        <v>105</v>
      </c>
      <c r="N9372">
        <v>-157.57</v>
      </c>
      <c r="O9372" s="1" t="s">
        <v>40</v>
      </c>
      <c r="P9372" s="1" t="s">
        <v>13080</v>
      </c>
      <c r="Q9372" s="1" t="s">
        <v>13081</v>
      </c>
      <c r="R9372" s="1" t="s">
        <v>220</v>
      </c>
      <c r="S9372" s="1" t="s">
        <v>221</v>
      </c>
      <c r="T9372" s="1" t="s">
        <v>13082</v>
      </c>
      <c r="U9372" s="2" t="s">
        <v>5090</v>
      </c>
      <c r="V9372" s="2" t="s">
        <v>83</v>
      </c>
      <c r="W9372" s="2" t="s">
        <v>84</v>
      </c>
      <c r="X9372" s="2">
        <v>633.42999999999995</v>
      </c>
    </row>
    <row r="9373" spans="1:24" x14ac:dyDescent="0.3">
      <c r="A9373">
        <v>8174</v>
      </c>
      <c r="B9373" t="s">
        <v>16458</v>
      </c>
      <c r="C9373" s="3">
        <v>41456</v>
      </c>
      <c r="D9373" t="s">
        <v>39</v>
      </c>
      <c r="E9373">
        <v>41</v>
      </c>
      <c r="F9373" s="3">
        <f ca="1">41458+(RANDBETWEEN(1,10))</f>
        <v>41467</v>
      </c>
      <c r="G9373" t="s">
        <v>26</v>
      </c>
      <c r="H9373" t="s">
        <v>27</v>
      </c>
      <c r="I9373" t="s">
        <v>97</v>
      </c>
      <c r="J9373">
        <v>7335.0550000000003</v>
      </c>
      <c r="K9373">
        <v>0</v>
      </c>
      <c r="L9373">
        <v>0.37</v>
      </c>
      <c r="M9373">
        <v>20.265000000000001</v>
      </c>
      <c r="N9373">
        <v>2556.54</v>
      </c>
      <c r="O9373" s="1" t="s">
        <v>40</v>
      </c>
      <c r="P9373" s="1" t="s">
        <v>13080</v>
      </c>
      <c r="Q9373" s="1" t="s">
        <v>13081</v>
      </c>
      <c r="R9373" s="1" t="s">
        <v>220</v>
      </c>
      <c r="S9373" s="1" t="s">
        <v>221</v>
      </c>
      <c r="T9373" s="1" t="s">
        <v>13082</v>
      </c>
      <c r="U9373" s="2" t="s">
        <v>8002</v>
      </c>
      <c r="V9373" s="2" t="s">
        <v>47</v>
      </c>
      <c r="W9373" s="2" t="s">
        <v>74</v>
      </c>
      <c r="X9373" s="2">
        <v>168.14</v>
      </c>
    </row>
    <row r="9374" spans="1:24" x14ac:dyDescent="0.3">
      <c r="A9374">
        <v>8175</v>
      </c>
      <c r="B9374" t="s">
        <v>16458</v>
      </c>
      <c r="C9374" s="3">
        <v>41456</v>
      </c>
      <c r="D9374" t="s">
        <v>39</v>
      </c>
      <c r="E9374">
        <v>27</v>
      </c>
      <c r="F9374" s="3">
        <f ca="1">41458+(RANDBETWEEN(1,10))</f>
        <v>41467</v>
      </c>
      <c r="G9374" t="s">
        <v>76</v>
      </c>
      <c r="H9374" t="s">
        <v>258</v>
      </c>
      <c r="I9374" t="s">
        <v>97</v>
      </c>
      <c r="J9374">
        <v>28298.235000000001</v>
      </c>
      <c r="K9374">
        <v>0.09</v>
      </c>
      <c r="L9374">
        <v>0.71</v>
      </c>
      <c r="M9374">
        <v>148.82</v>
      </c>
      <c r="N9374">
        <v>1893.5350000000001</v>
      </c>
      <c r="O9374" s="1" t="s">
        <v>40</v>
      </c>
      <c r="P9374" s="1" t="s">
        <v>13080</v>
      </c>
      <c r="Q9374" s="1" t="s">
        <v>13081</v>
      </c>
      <c r="R9374" s="1" t="s">
        <v>220</v>
      </c>
      <c r="S9374" s="1" t="s">
        <v>221</v>
      </c>
      <c r="T9374" s="1" t="s">
        <v>13082</v>
      </c>
      <c r="U9374" s="2" t="s">
        <v>2984</v>
      </c>
      <c r="V9374" s="2" t="s">
        <v>83</v>
      </c>
      <c r="W9374" s="2" t="s">
        <v>263</v>
      </c>
      <c r="X9374" s="2">
        <v>1403.43</v>
      </c>
    </row>
    <row r="9375" spans="1:24" x14ac:dyDescent="0.3">
      <c r="A9375">
        <v>8183</v>
      </c>
      <c r="B9375" t="s">
        <v>16459</v>
      </c>
      <c r="C9375" s="3">
        <v>41436</v>
      </c>
      <c r="D9375" t="s">
        <v>50</v>
      </c>
      <c r="E9375">
        <v>33</v>
      </c>
      <c r="F9375" s="3">
        <f ca="1">41438+(RANDBETWEEN(1,10))</f>
        <v>41439</v>
      </c>
      <c r="G9375" t="s">
        <v>26</v>
      </c>
      <c r="H9375" t="s">
        <v>27</v>
      </c>
      <c r="I9375" t="s">
        <v>86</v>
      </c>
      <c r="J9375">
        <v>796.77499999999998</v>
      </c>
      <c r="K9375">
        <v>0.06</v>
      </c>
      <c r="L9375">
        <v>0.37</v>
      </c>
      <c r="M9375">
        <v>35.174999999999997</v>
      </c>
      <c r="N9375">
        <v>-576.94069999999999</v>
      </c>
      <c r="O9375" s="1" t="s">
        <v>225</v>
      </c>
      <c r="P9375" s="1" t="s">
        <v>15987</v>
      </c>
      <c r="Q9375" s="1" t="s">
        <v>15988</v>
      </c>
      <c r="R9375" s="1" t="s">
        <v>228</v>
      </c>
      <c r="S9375" s="1" t="s">
        <v>349</v>
      </c>
      <c r="T9375" s="1" t="s">
        <v>350</v>
      </c>
      <c r="U9375" s="2" t="s">
        <v>635</v>
      </c>
      <c r="V9375" s="2" t="s">
        <v>47</v>
      </c>
      <c r="W9375" s="2" t="s">
        <v>74</v>
      </c>
      <c r="X9375" s="2">
        <v>22.68</v>
      </c>
    </row>
    <row r="9376" spans="1:24" x14ac:dyDescent="0.3">
      <c r="A9376">
        <v>819</v>
      </c>
      <c r="B9376" t="s">
        <v>16460</v>
      </c>
      <c r="C9376" s="3">
        <v>40866</v>
      </c>
      <c r="D9376" t="s">
        <v>39</v>
      </c>
      <c r="E9376">
        <v>14</v>
      </c>
      <c r="F9376" s="3">
        <f ca="1">40866+(RANDBETWEEN(1,10))</f>
        <v>40872</v>
      </c>
      <c r="G9376" t="s">
        <v>26</v>
      </c>
      <c r="H9376" t="s">
        <v>27</v>
      </c>
      <c r="I9376" t="s">
        <v>52</v>
      </c>
      <c r="J9376">
        <v>7136.7449999999999</v>
      </c>
      <c r="K9376">
        <v>7.0000000000000007E-2</v>
      </c>
      <c r="L9376">
        <v>0.59</v>
      </c>
      <c r="M9376">
        <v>24.745000000000001</v>
      </c>
      <c r="N9376">
        <v>-426.125</v>
      </c>
      <c r="O9376" s="1" t="s">
        <v>64</v>
      </c>
      <c r="P9376" s="1" t="s">
        <v>10969</v>
      </c>
      <c r="Q9376" s="1" t="s">
        <v>10970</v>
      </c>
      <c r="R9376" s="1" t="s">
        <v>128</v>
      </c>
      <c r="S9376" s="1" t="s">
        <v>129</v>
      </c>
      <c r="T9376" s="1" t="s">
        <v>10971</v>
      </c>
      <c r="U9376" s="2" t="s">
        <v>3378</v>
      </c>
      <c r="V9376" s="2" t="s">
        <v>47</v>
      </c>
      <c r="W9376" s="2" t="s">
        <v>119</v>
      </c>
      <c r="X9376" s="2">
        <v>542.71</v>
      </c>
    </row>
    <row r="9377" spans="1:24" x14ac:dyDescent="0.3">
      <c r="A9377">
        <v>8200</v>
      </c>
      <c r="B9377" t="s">
        <v>16461</v>
      </c>
      <c r="C9377" s="3">
        <v>40626</v>
      </c>
      <c r="D9377" t="s">
        <v>148</v>
      </c>
      <c r="E9377">
        <v>23</v>
      </c>
      <c r="F9377" s="3">
        <f ca="1">40627+(RANDBETWEEN(1,10))</f>
        <v>40636</v>
      </c>
      <c r="G9377" t="s">
        <v>76</v>
      </c>
      <c r="H9377" t="s">
        <v>258</v>
      </c>
      <c r="I9377" t="s">
        <v>86</v>
      </c>
      <c r="J9377">
        <v>8847.2649999999994</v>
      </c>
      <c r="K9377">
        <v>0.09</v>
      </c>
      <c r="L9377">
        <v>0.74</v>
      </c>
      <c r="M9377">
        <v>183.47</v>
      </c>
      <c r="N9377">
        <v>-1560.90121705</v>
      </c>
      <c r="O9377" s="1" t="s">
        <v>225</v>
      </c>
      <c r="P9377" s="1" t="s">
        <v>15987</v>
      </c>
      <c r="Q9377" s="1" t="s">
        <v>15988</v>
      </c>
      <c r="R9377" s="1" t="s">
        <v>228</v>
      </c>
      <c r="S9377" s="1" t="s">
        <v>349</v>
      </c>
      <c r="T9377" s="1" t="s">
        <v>350</v>
      </c>
      <c r="U9377" s="2" t="s">
        <v>831</v>
      </c>
      <c r="V9377" s="2" t="s">
        <v>83</v>
      </c>
      <c r="W9377" s="2" t="s">
        <v>263</v>
      </c>
      <c r="X9377" s="2">
        <v>485.625</v>
      </c>
    </row>
    <row r="9378" spans="1:24" x14ac:dyDescent="0.3">
      <c r="A9378">
        <v>8207</v>
      </c>
      <c r="B9378" t="s">
        <v>16462</v>
      </c>
      <c r="C9378" s="3">
        <v>41206</v>
      </c>
      <c r="D9378" t="s">
        <v>39</v>
      </c>
      <c r="E9378">
        <v>4</v>
      </c>
      <c r="F9378" s="3">
        <f ca="1">41208+(RANDBETWEEN(1,10))</f>
        <v>41214</v>
      </c>
      <c r="G9378" t="s">
        <v>26</v>
      </c>
      <c r="H9378" t="s">
        <v>27</v>
      </c>
      <c r="I9378" t="s">
        <v>86</v>
      </c>
      <c r="J9378">
        <v>147.07</v>
      </c>
      <c r="K9378">
        <v>0.03</v>
      </c>
      <c r="L9378">
        <v>0.37</v>
      </c>
      <c r="M9378">
        <v>28.664999999999999</v>
      </c>
      <c r="N9378">
        <v>-55.146000000000001</v>
      </c>
      <c r="O9378" s="1" t="s">
        <v>40</v>
      </c>
      <c r="P9378" s="1" t="s">
        <v>15848</v>
      </c>
      <c r="Q9378" s="1" t="s">
        <v>15849</v>
      </c>
      <c r="R9378" s="1" t="s">
        <v>43</v>
      </c>
      <c r="S9378" s="1" t="s">
        <v>44</v>
      </c>
      <c r="T9378" s="1" t="s">
        <v>15850</v>
      </c>
      <c r="U9378" s="2" t="s">
        <v>474</v>
      </c>
      <c r="V9378" s="2" t="s">
        <v>47</v>
      </c>
      <c r="W9378" s="2" t="s">
        <v>74</v>
      </c>
      <c r="X9378" s="2">
        <v>22.68</v>
      </c>
    </row>
    <row r="9379" spans="1:24" x14ac:dyDescent="0.3">
      <c r="A9379">
        <v>8225</v>
      </c>
      <c r="B9379" t="s">
        <v>16463</v>
      </c>
      <c r="C9379" s="3">
        <v>40940</v>
      </c>
      <c r="D9379" t="s">
        <v>25</v>
      </c>
      <c r="E9379">
        <v>31</v>
      </c>
      <c r="F9379" s="3">
        <f ca="1">40942+(RANDBETWEEN(1,10))</f>
        <v>40944</v>
      </c>
      <c r="G9379" t="s">
        <v>26</v>
      </c>
      <c r="H9379" t="s">
        <v>27</v>
      </c>
      <c r="I9379" t="s">
        <v>28</v>
      </c>
      <c r="J9379">
        <v>3443.23</v>
      </c>
      <c r="K9379">
        <v>0.04</v>
      </c>
      <c r="L9379">
        <v>0.64</v>
      </c>
      <c r="M9379">
        <v>22.75</v>
      </c>
      <c r="N9379">
        <v>153.02000000000001</v>
      </c>
      <c r="O9379" s="1" t="s">
        <v>53</v>
      </c>
      <c r="P9379" s="1" t="s">
        <v>168</v>
      </c>
      <c r="Q9379" s="1" t="s">
        <v>169</v>
      </c>
      <c r="R9379" s="1" t="s">
        <v>100</v>
      </c>
      <c r="S9379" s="1" t="s">
        <v>101</v>
      </c>
      <c r="T9379" s="1" t="s">
        <v>170</v>
      </c>
      <c r="U9379" s="2" t="s">
        <v>2033</v>
      </c>
      <c r="V9379" s="2" t="s">
        <v>36</v>
      </c>
      <c r="W9379" s="2" t="s">
        <v>60</v>
      </c>
      <c r="X9379" s="2">
        <v>108.43</v>
      </c>
    </row>
    <row r="9380" spans="1:24" x14ac:dyDescent="0.3">
      <c r="A9380">
        <v>8230</v>
      </c>
      <c r="B9380" t="s">
        <v>16464</v>
      </c>
      <c r="C9380" s="3">
        <v>40966</v>
      </c>
      <c r="D9380" t="s">
        <v>25</v>
      </c>
      <c r="E9380">
        <v>24</v>
      </c>
      <c r="F9380" s="3">
        <f ca="1">40972+(RANDBETWEEN(1,10))</f>
        <v>40975</v>
      </c>
      <c r="G9380" t="s">
        <v>26</v>
      </c>
      <c r="H9380" t="s">
        <v>51</v>
      </c>
      <c r="I9380" t="s">
        <v>97</v>
      </c>
      <c r="J9380">
        <v>1076.2149999999999</v>
      </c>
      <c r="K9380">
        <v>0.01</v>
      </c>
      <c r="L9380">
        <v>0.43</v>
      </c>
      <c r="M9380">
        <v>21.07</v>
      </c>
      <c r="N9380">
        <v>215.285</v>
      </c>
      <c r="O9380" s="1" t="s">
        <v>225</v>
      </c>
      <c r="P9380" s="1" t="s">
        <v>10043</v>
      </c>
      <c r="Q9380" s="1" t="s">
        <v>10044</v>
      </c>
      <c r="R9380" s="1" t="s">
        <v>228</v>
      </c>
      <c r="S9380" s="1" t="s">
        <v>229</v>
      </c>
      <c r="T9380" s="1" t="s">
        <v>10045</v>
      </c>
      <c r="U9380" s="2" t="s">
        <v>4414</v>
      </c>
      <c r="V9380" s="2" t="s">
        <v>83</v>
      </c>
      <c r="W9380" s="2" t="s">
        <v>178</v>
      </c>
      <c r="X9380" s="2">
        <v>42.7</v>
      </c>
    </row>
    <row r="9381" spans="1:24" x14ac:dyDescent="0.3">
      <c r="A9381">
        <v>8241</v>
      </c>
      <c r="B9381" t="s">
        <v>16465</v>
      </c>
      <c r="C9381" s="3">
        <v>40642</v>
      </c>
      <c r="D9381" t="s">
        <v>25</v>
      </c>
      <c r="E9381">
        <v>46</v>
      </c>
      <c r="F9381" s="3">
        <f ca="1">40644+(RANDBETWEEN(1,10))</f>
        <v>40645</v>
      </c>
      <c r="G9381" t="s">
        <v>26</v>
      </c>
      <c r="H9381" t="s">
        <v>51</v>
      </c>
      <c r="I9381" t="s">
        <v>97</v>
      </c>
      <c r="J9381">
        <v>349.79</v>
      </c>
      <c r="K9381">
        <v>7.0000000000000007E-2</v>
      </c>
      <c r="L9381">
        <v>0.55000000000000004</v>
      </c>
      <c r="M9381">
        <v>6.9649999999999999</v>
      </c>
      <c r="N9381">
        <v>-195.44</v>
      </c>
      <c r="O9381" s="1" t="s">
        <v>53</v>
      </c>
      <c r="P9381" s="1" t="s">
        <v>98</v>
      </c>
      <c r="Q9381" s="1" t="s">
        <v>99</v>
      </c>
      <c r="R9381" s="1" t="s">
        <v>100</v>
      </c>
      <c r="S9381" s="1" t="s">
        <v>101</v>
      </c>
      <c r="T9381" s="1" t="s">
        <v>102</v>
      </c>
      <c r="U9381" s="2" t="s">
        <v>1910</v>
      </c>
      <c r="V9381" s="2" t="s">
        <v>36</v>
      </c>
      <c r="W9381" s="2" t="s">
        <v>60</v>
      </c>
      <c r="X9381" s="2">
        <v>7.42</v>
      </c>
    </row>
    <row r="9382" spans="1:24" x14ac:dyDescent="0.3">
      <c r="A9382">
        <v>8242</v>
      </c>
      <c r="B9382" t="s">
        <v>16466</v>
      </c>
      <c r="C9382" s="3">
        <v>41738</v>
      </c>
      <c r="D9382" t="s">
        <v>25</v>
      </c>
      <c r="E9382">
        <v>11</v>
      </c>
      <c r="F9382" s="3">
        <f ca="1">41745+(RANDBETWEEN(1,10))</f>
        <v>41751</v>
      </c>
      <c r="G9382" t="s">
        <v>26</v>
      </c>
      <c r="H9382" t="s">
        <v>96</v>
      </c>
      <c r="I9382" t="s">
        <v>97</v>
      </c>
      <c r="J9382">
        <v>65.45</v>
      </c>
      <c r="K9382">
        <v>7.0000000000000007E-2</v>
      </c>
      <c r="L9382">
        <v>0.56000000000000005</v>
      </c>
      <c r="M9382">
        <v>2.4500000000000002</v>
      </c>
      <c r="N9382">
        <v>-11.76</v>
      </c>
      <c r="O9382" s="1" t="s">
        <v>53</v>
      </c>
      <c r="P9382" s="1" t="s">
        <v>98</v>
      </c>
      <c r="Q9382" s="1" t="s">
        <v>99</v>
      </c>
      <c r="R9382" s="1" t="s">
        <v>100</v>
      </c>
      <c r="S9382" s="1" t="s">
        <v>101</v>
      </c>
      <c r="T9382" s="1" t="s">
        <v>102</v>
      </c>
      <c r="U9382" s="2" t="s">
        <v>873</v>
      </c>
      <c r="V9382" s="2" t="s">
        <v>47</v>
      </c>
      <c r="W9382" s="2" t="s">
        <v>104</v>
      </c>
      <c r="X9382" s="2">
        <v>6.16</v>
      </c>
    </row>
    <row r="9383" spans="1:24" x14ac:dyDescent="0.3">
      <c r="A9383">
        <v>8243</v>
      </c>
      <c r="B9383" t="s">
        <v>16467</v>
      </c>
      <c r="C9383" s="3">
        <v>41700</v>
      </c>
      <c r="D9383" t="s">
        <v>39</v>
      </c>
      <c r="E9383">
        <v>27</v>
      </c>
      <c r="F9383" s="3">
        <f ca="1">41701+(RANDBETWEEN(1,10))</f>
        <v>41705</v>
      </c>
      <c r="G9383" t="s">
        <v>26</v>
      </c>
      <c r="H9383" t="s">
        <v>63</v>
      </c>
      <c r="I9383" t="s">
        <v>86</v>
      </c>
      <c r="J9383">
        <v>50050.91</v>
      </c>
      <c r="K9383">
        <v>0.01</v>
      </c>
      <c r="L9383">
        <v>0.36</v>
      </c>
      <c r="M9383">
        <v>85.715000000000003</v>
      </c>
      <c r="N9383">
        <v>21977.13</v>
      </c>
      <c r="O9383" s="1" t="s">
        <v>64</v>
      </c>
      <c r="P9383" s="1" t="s">
        <v>106</v>
      </c>
      <c r="Q9383" s="1" t="s">
        <v>107</v>
      </c>
      <c r="R9383" s="1" t="s">
        <v>67</v>
      </c>
      <c r="S9383" s="1" t="s">
        <v>108</v>
      </c>
      <c r="T9383" s="1" t="s">
        <v>109</v>
      </c>
      <c r="U9383" s="2" t="s">
        <v>3414</v>
      </c>
      <c r="V9383" s="2" t="s">
        <v>36</v>
      </c>
      <c r="W9383" s="2" t="s">
        <v>1327</v>
      </c>
      <c r="X9383" s="2">
        <v>1749.9649999999999</v>
      </c>
    </row>
    <row r="9384" spans="1:24" x14ac:dyDescent="0.3">
      <c r="A9384">
        <v>8244</v>
      </c>
      <c r="B9384" t="s">
        <v>16467</v>
      </c>
      <c r="C9384" s="3">
        <v>41700</v>
      </c>
      <c r="D9384" t="s">
        <v>39</v>
      </c>
      <c r="E9384">
        <v>3</v>
      </c>
      <c r="F9384" s="3">
        <f ca="1">41700+(RANDBETWEEN(1,10))</f>
        <v>41706</v>
      </c>
      <c r="G9384" t="s">
        <v>26</v>
      </c>
      <c r="H9384" t="s">
        <v>51</v>
      </c>
      <c r="I9384" t="s">
        <v>86</v>
      </c>
      <c r="J9384">
        <v>220.08</v>
      </c>
      <c r="K9384">
        <v>0.09</v>
      </c>
      <c r="L9384">
        <v>0.55000000000000004</v>
      </c>
      <c r="M9384">
        <v>10.045</v>
      </c>
      <c r="N9384">
        <v>-90.86</v>
      </c>
      <c r="O9384" s="1" t="s">
        <v>64</v>
      </c>
      <c r="P9384" s="1" t="s">
        <v>106</v>
      </c>
      <c r="Q9384" s="1" t="s">
        <v>107</v>
      </c>
      <c r="R9384" s="1" t="s">
        <v>67</v>
      </c>
      <c r="S9384" s="1" t="s">
        <v>108</v>
      </c>
      <c r="T9384" s="1" t="s">
        <v>109</v>
      </c>
      <c r="U9384" s="2" t="s">
        <v>2051</v>
      </c>
      <c r="V9384" s="2" t="s">
        <v>47</v>
      </c>
      <c r="W9384" s="2" t="s">
        <v>104</v>
      </c>
      <c r="X9384" s="2">
        <v>76.930000000000007</v>
      </c>
    </row>
    <row r="9385" spans="1:24" x14ac:dyDescent="0.3">
      <c r="A9385">
        <v>8245</v>
      </c>
      <c r="B9385" t="s">
        <v>16468</v>
      </c>
      <c r="C9385" s="3">
        <v>41543</v>
      </c>
      <c r="D9385" t="s">
        <v>50</v>
      </c>
      <c r="E9385">
        <v>94</v>
      </c>
      <c r="F9385" s="3">
        <f ca="1">41543+(RANDBETWEEN(1,10))</f>
        <v>41544</v>
      </c>
      <c r="G9385" t="s">
        <v>26</v>
      </c>
      <c r="H9385" t="s">
        <v>96</v>
      </c>
      <c r="I9385" t="s">
        <v>97</v>
      </c>
      <c r="J9385">
        <v>2811.2350000000001</v>
      </c>
      <c r="K9385">
        <v>0.01</v>
      </c>
      <c r="L9385">
        <v>0.4</v>
      </c>
      <c r="M9385">
        <v>10.045</v>
      </c>
      <c r="N9385">
        <v>359.03</v>
      </c>
      <c r="O9385" s="1" t="s">
        <v>40</v>
      </c>
      <c r="P9385" s="1" t="s">
        <v>121</v>
      </c>
      <c r="Q9385" s="1" t="s">
        <v>122</v>
      </c>
      <c r="R9385" s="1" t="s">
        <v>43</v>
      </c>
      <c r="S9385" s="1" t="s">
        <v>44</v>
      </c>
      <c r="T9385" s="1" t="s">
        <v>123</v>
      </c>
      <c r="U9385" s="2" t="s">
        <v>1846</v>
      </c>
      <c r="V9385" s="2" t="s">
        <v>47</v>
      </c>
      <c r="W9385" s="2" t="s">
        <v>74</v>
      </c>
      <c r="X9385" s="2">
        <v>28.035</v>
      </c>
    </row>
    <row r="9386" spans="1:24" x14ac:dyDescent="0.3">
      <c r="A9386">
        <v>8246</v>
      </c>
      <c r="B9386" t="s">
        <v>16468</v>
      </c>
      <c r="C9386" s="3">
        <v>41543</v>
      </c>
      <c r="D9386" t="s">
        <v>50</v>
      </c>
      <c r="E9386">
        <v>55</v>
      </c>
      <c r="F9386" s="3">
        <f ca="1">41544+(RANDBETWEEN(1,10))</f>
        <v>41554</v>
      </c>
      <c r="G9386" t="s">
        <v>26</v>
      </c>
      <c r="H9386" t="s">
        <v>27</v>
      </c>
      <c r="I9386" t="s">
        <v>97</v>
      </c>
      <c r="J9386">
        <v>933.06500000000005</v>
      </c>
      <c r="K9386">
        <v>0.09</v>
      </c>
      <c r="L9386">
        <v>0.38</v>
      </c>
      <c r="M9386">
        <v>17.57</v>
      </c>
      <c r="N9386">
        <v>-237.26499999999999</v>
      </c>
      <c r="O9386" s="1" t="s">
        <v>40</v>
      </c>
      <c r="P9386" s="1" t="s">
        <v>121</v>
      </c>
      <c r="Q9386" s="1" t="s">
        <v>122</v>
      </c>
      <c r="R9386" s="1" t="s">
        <v>43</v>
      </c>
      <c r="S9386" s="1" t="s">
        <v>44</v>
      </c>
      <c r="T9386" s="1" t="s">
        <v>123</v>
      </c>
      <c r="U9386" s="2" t="s">
        <v>10244</v>
      </c>
      <c r="V9386" s="2" t="s">
        <v>47</v>
      </c>
      <c r="W9386" s="2" t="s">
        <v>74</v>
      </c>
      <c r="X9386" s="2">
        <v>17.43</v>
      </c>
    </row>
    <row r="9387" spans="1:24" x14ac:dyDescent="0.3">
      <c r="A9387">
        <v>8250</v>
      </c>
      <c r="B9387" t="s">
        <v>16469</v>
      </c>
      <c r="C9387" s="3">
        <v>41181</v>
      </c>
      <c r="D9387" t="s">
        <v>62</v>
      </c>
      <c r="E9387">
        <v>71</v>
      </c>
      <c r="F9387" s="3">
        <f ca="1">41181+(RANDBETWEEN(1,10))</f>
        <v>41189</v>
      </c>
      <c r="G9387" t="s">
        <v>76</v>
      </c>
      <c r="H9387" t="s">
        <v>77</v>
      </c>
      <c r="I9387" t="s">
        <v>28</v>
      </c>
      <c r="J9387">
        <v>21994.49</v>
      </c>
      <c r="K9387">
        <v>0.05</v>
      </c>
      <c r="L9387">
        <v>0.36</v>
      </c>
      <c r="M9387">
        <v>49</v>
      </c>
      <c r="N9387">
        <v>4426.625</v>
      </c>
      <c r="O9387" s="1" t="s">
        <v>40</v>
      </c>
      <c r="P9387" s="1" t="s">
        <v>15909</v>
      </c>
      <c r="Q9387" s="1" t="s">
        <v>15910</v>
      </c>
      <c r="R9387" s="1" t="s">
        <v>220</v>
      </c>
      <c r="S9387" s="1" t="s">
        <v>221</v>
      </c>
      <c r="T9387" s="1" t="s">
        <v>15911</v>
      </c>
      <c r="U9387" s="2" t="s">
        <v>2449</v>
      </c>
      <c r="V9387" s="2" t="s">
        <v>36</v>
      </c>
      <c r="W9387" s="2" t="s">
        <v>142</v>
      </c>
      <c r="X9387" s="2">
        <v>318.39499999999998</v>
      </c>
    </row>
    <row r="9388" spans="1:24" x14ac:dyDescent="0.3">
      <c r="A9388">
        <v>8251</v>
      </c>
      <c r="B9388" t="s">
        <v>16470</v>
      </c>
      <c r="C9388" s="3">
        <v>41596</v>
      </c>
      <c r="D9388" t="s">
        <v>62</v>
      </c>
      <c r="E9388">
        <v>65</v>
      </c>
      <c r="F9388" s="3">
        <f ca="1">41598+(RANDBETWEEN(1,10))</f>
        <v>41606</v>
      </c>
      <c r="G9388" t="s">
        <v>156</v>
      </c>
      <c r="H9388" t="s">
        <v>27</v>
      </c>
      <c r="I9388" t="s">
        <v>52</v>
      </c>
      <c r="J9388">
        <v>7362.74</v>
      </c>
      <c r="K9388">
        <v>0.02</v>
      </c>
      <c r="L9388">
        <v>0.4</v>
      </c>
      <c r="M9388">
        <v>59.78</v>
      </c>
      <c r="N9388">
        <v>-32.678100000000001</v>
      </c>
      <c r="O9388" s="1" t="s">
        <v>53</v>
      </c>
      <c r="P9388" s="1" t="s">
        <v>54</v>
      </c>
      <c r="Q9388" s="1" t="s">
        <v>55</v>
      </c>
      <c r="R9388" s="1" t="s">
        <v>56</v>
      </c>
      <c r="S9388" s="1" t="s">
        <v>57</v>
      </c>
      <c r="T9388" s="1" t="s">
        <v>58</v>
      </c>
      <c r="U9388" s="2" t="s">
        <v>6956</v>
      </c>
      <c r="V9388" s="2" t="s">
        <v>47</v>
      </c>
      <c r="W9388" s="2" t="s">
        <v>74</v>
      </c>
      <c r="X9388" s="2">
        <v>108.43</v>
      </c>
    </row>
    <row r="9389" spans="1:24" x14ac:dyDescent="0.3">
      <c r="A9389">
        <v>8269</v>
      </c>
      <c r="B9389" t="s">
        <v>16471</v>
      </c>
      <c r="C9389" s="3">
        <v>41554</v>
      </c>
      <c r="D9389" t="s">
        <v>25</v>
      </c>
      <c r="E9389">
        <v>41</v>
      </c>
      <c r="F9389" s="3">
        <f ca="1">41559+(RANDBETWEEN(1,10))</f>
        <v>41565</v>
      </c>
      <c r="G9389" t="s">
        <v>26</v>
      </c>
      <c r="H9389" t="s">
        <v>96</v>
      </c>
      <c r="I9389" t="s">
        <v>28</v>
      </c>
      <c r="J9389">
        <v>468.3</v>
      </c>
      <c r="K9389">
        <v>0.09</v>
      </c>
      <c r="L9389">
        <v>0.56000000000000005</v>
      </c>
      <c r="M9389">
        <v>13.895</v>
      </c>
      <c r="N9389">
        <v>-251.874</v>
      </c>
      <c r="O9389" s="1" t="s">
        <v>64</v>
      </c>
      <c r="P9389" s="1" t="s">
        <v>233</v>
      </c>
      <c r="Q9389" s="1" t="s">
        <v>234</v>
      </c>
      <c r="R9389" s="1" t="s">
        <v>67</v>
      </c>
      <c r="S9389" s="1" t="s">
        <v>68</v>
      </c>
      <c r="T9389" s="1" t="s">
        <v>235</v>
      </c>
      <c r="U9389" s="2" t="s">
        <v>5622</v>
      </c>
      <c r="V9389" s="2" t="s">
        <v>47</v>
      </c>
      <c r="W9389" s="2" t="s">
        <v>104</v>
      </c>
      <c r="X9389" s="2">
        <v>11.48</v>
      </c>
    </row>
    <row r="9390" spans="1:24" x14ac:dyDescent="0.3">
      <c r="A9390">
        <v>8270</v>
      </c>
      <c r="B9390" t="s">
        <v>16471</v>
      </c>
      <c r="C9390" s="3">
        <v>41554</v>
      </c>
      <c r="D9390" t="s">
        <v>25</v>
      </c>
      <c r="E9390">
        <v>77</v>
      </c>
      <c r="F9390" s="3">
        <f ca="1">41563+(RANDBETWEEN(1,10))</f>
        <v>41571</v>
      </c>
      <c r="G9390" t="s">
        <v>26</v>
      </c>
      <c r="H9390" t="s">
        <v>27</v>
      </c>
      <c r="I9390" t="s">
        <v>28</v>
      </c>
      <c r="J9390">
        <v>29132.46</v>
      </c>
      <c r="K9390">
        <v>0.02</v>
      </c>
      <c r="L9390">
        <v>0.59</v>
      </c>
      <c r="M9390">
        <v>31.465</v>
      </c>
      <c r="N9390">
        <v>2722.1291999999999</v>
      </c>
      <c r="O9390" s="1" t="s">
        <v>64</v>
      </c>
      <c r="P9390" s="1" t="s">
        <v>233</v>
      </c>
      <c r="Q9390" s="1" t="s">
        <v>234</v>
      </c>
      <c r="R9390" s="1" t="s">
        <v>67</v>
      </c>
      <c r="S9390" s="1" t="s">
        <v>68</v>
      </c>
      <c r="T9390" s="1" t="s">
        <v>235</v>
      </c>
      <c r="U9390" s="2" t="s">
        <v>295</v>
      </c>
      <c r="V9390" s="2" t="s">
        <v>36</v>
      </c>
      <c r="W9390" s="2" t="s">
        <v>37</v>
      </c>
      <c r="X9390" s="2">
        <v>440.96499999999997</v>
      </c>
    </row>
    <row r="9391" spans="1:24" x14ac:dyDescent="0.3">
      <c r="A9391">
        <v>829</v>
      </c>
      <c r="B9391" t="s">
        <v>16472</v>
      </c>
      <c r="C9391" s="3">
        <v>41807</v>
      </c>
      <c r="D9391" t="s">
        <v>25</v>
      </c>
      <c r="E9391">
        <v>56</v>
      </c>
      <c r="F9391" s="3">
        <f ca="1">41812+(RANDBETWEEN(1,10))</f>
        <v>41813</v>
      </c>
      <c r="G9391" t="s">
        <v>26</v>
      </c>
      <c r="H9391" t="s">
        <v>27</v>
      </c>
      <c r="I9391" t="s">
        <v>52</v>
      </c>
      <c r="J9391">
        <v>2090.41</v>
      </c>
      <c r="K9391">
        <v>0.06</v>
      </c>
      <c r="L9391">
        <v>0.59</v>
      </c>
      <c r="M9391">
        <v>15.75</v>
      </c>
      <c r="N9391">
        <v>-109.86499999999999</v>
      </c>
      <c r="O9391" s="1" t="s">
        <v>64</v>
      </c>
      <c r="P9391" s="1" t="s">
        <v>173</v>
      </c>
      <c r="Q9391" s="1" t="s">
        <v>174</v>
      </c>
      <c r="R9391" s="1" t="s">
        <v>67</v>
      </c>
      <c r="S9391" s="1" t="s">
        <v>108</v>
      </c>
      <c r="T9391" s="1" t="s">
        <v>109</v>
      </c>
      <c r="U9391" s="2" t="s">
        <v>767</v>
      </c>
      <c r="V9391" s="2" t="s">
        <v>47</v>
      </c>
      <c r="W9391" s="2" t="s">
        <v>71</v>
      </c>
      <c r="X9391" s="2">
        <v>38.115000000000002</v>
      </c>
    </row>
    <row r="9392" spans="1:24" x14ac:dyDescent="0.3">
      <c r="A9392">
        <v>8296</v>
      </c>
      <c r="B9392" t="s">
        <v>16473</v>
      </c>
      <c r="C9392" s="3">
        <v>41901</v>
      </c>
      <c r="D9392" t="s">
        <v>39</v>
      </c>
      <c r="E9392">
        <v>23</v>
      </c>
      <c r="F9392" s="3">
        <f ca="1">41902+(RANDBETWEEN(1,10))</f>
        <v>41906</v>
      </c>
      <c r="G9392" t="s">
        <v>156</v>
      </c>
      <c r="H9392" t="s">
        <v>51</v>
      </c>
      <c r="I9392" t="s">
        <v>28</v>
      </c>
      <c r="J9392">
        <v>3336.2</v>
      </c>
      <c r="K9392">
        <v>0.03</v>
      </c>
      <c r="L9392">
        <v>0.59</v>
      </c>
      <c r="M9392">
        <v>31.465</v>
      </c>
      <c r="N9392">
        <v>32.024999999999999</v>
      </c>
      <c r="O9392" s="1" t="s">
        <v>40</v>
      </c>
      <c r="P9392" s="1" t="s">
        <v>15950</v>
      </c>
      <c r="Q9392" s="1" t="s">
        <v>15951</v>
      </c>
      <c r="R9392" s="1" t="s">
        <v>43</v>
      </c>
      <c r="S9392" s="1" t="s">
        <v>44</v>
      </c>
      <c r="T9392" s="1" t="s">
        <v>15952</v>
      </c>
      <c r="U9392" s="2" t="s">
        <v>2755</v>
      </c>
      <c r="V9392" s="2" t="s">
        <v>47</v>
      </c>
      <c r="W9392" s="2" t="s">
        <v>104</v>
      </c>
      <c r="X9392" s="2">
        <v>143.39500000000001</v>
      </c>
    </row>
    <row r="9393" spans="1:24" x14ac:dyDescent="0.3">
      <c r="A9393">
        <v>830</v>
      </c>
      <c r="B9393" t="s">
        <v>16474</v>
      </c>
      <c r="C9393" s="3">
        <v>40711</v>
      </c>
      <c r="D9393" t="s">
        <v>25</v>
      </c>
      <c r="E9393">
        <v>63</v>
      </c>
      <c r="F9393" s="3">
        <f ca="1">40716+(RANDBETWEEN(1,10))</f>
        <v>40723</v>
      </c>
      <c r="G9393" t="s">
        <v>26</v>
      </c>
      <c r="H9393" t="s">
        <v>27</v>
      </c>
      <c r="I9393" t="s">
        <v>52</v>
      </c>
      <c r="J9393">
        <v>2439.36</v>
      </c>
      <c r="K9393">
        <v>0.03</v>
      </c>
      <c r="L9393">
        <v>0.56999999999999995</v>
      </c>
      <c r="M9393">
        <v>18.059999999999999</v>
      </c>
      <c r="N9393">
        <v>50.68</v>
      </c>
      <c r="O9393" s="1" t="s">
        <v>64</v>
      </c>
      <c r="P9393" s="1" t="s">
        <v>173</v>
      </c>
      <c r="Q9393" s="1" t="s">
        <v>174</v>
      </c>
      <c r="R9393" s="1" t="s">
        <v>67</v>
      </c>
      <c r="S9393" s="1" t="s">
        <v>108</v>
      </c>
      <c r="T9393" s="1" t="s">
        <v>109</v>
      </c>
      <c r="U9393" s="2" t="s">
        <v>1754</v>
      </c>
      <c r="V9393" s="2" t="s">
        <v>83</v>
      </c>
      <c r="W9393" s="2" t="s">
        <v>178</v>
      </c>
      <c r="X9393" s="2">
        <v>37.24</v>
      </c>
    </row>
    <row r="9394" spans="1:24" x14ac:dyDescent="0.3">
      <c r="A9394">
        <v>831</v>
      </c>
      <c r="B9394" t="s">
        <v>16474</v>
      </c>
      <c r="C9394" s="3">
        <v>40711</v>
      </c>
      <c r="D9394" t="s">
        <v>25</v>
      </c>
      <c r="E9394">
        <v>17</v>
      </c>
      <c r="F9394" s="3">
        <f ca="1">40713+(RANDBETWEEN(1,10))</f>
        <v>40714</v>
      </c>
      <c r="G9394" t="s">
        <v>26</v>
      </c>
      <c r="H9394" t="s">
        <v>27</v>
      </c>
      <c r="I9394" t="s">
        <v>52</v>
      </c>
      <c r="J9394">
        <v>522.93499999999995</v>
      </c>
      <c r="K9394">
        <v>0.03</v>
      </c>
      <c r="L9394">
        <v>0.41</v>
      </c>
      <c r="M9394">
        <v>17.324999999999999</v>
      </c>
      <c r="N9394">
        <v>77.875</v>
      </c>
      <c r="O9394" s="1" t="s">
        <v>64</v>
      </c>
      <c r="P9394" s="1" t="s">
        <v>173</v>
      </c>
      <c r="Q9394" s="1" t="s">
        <v>174</v>
      </c>
      <c r="R9394" s="1" t="s">
        <v>67</v>
      </c>
      <c r="S9394" s="1" t="s">
        <v>108</v>
      </c>
      <c r="T9394" s="1" t="s">
        <v>109</v>
      </c>
      <c r="U9394" s="2" t="s">
        <v>3405</v>
      </c>
      <c r="V9394" s="2" t="s">
        <v>83</v>
      </c>
      <c r="W9394" s="2" t="s">
        <v>178</v>
      </c>
      <c r="X9394" s="2">
        <v>27.86</v>
      </c>
    </row>
    <row r="9395" spans="1:24" x14ac:dyDescent="0.3">
      <c r="A9395">
        <v>8310</v>
      </c>
      <c r="B9395" t="s">
        <v>16475</v>
      </c>
      <c r="C9395" s="3">
        <v>40884</v>
      </c>
      <c r="D9395" t="s">
        <v>148</v>
      </c>
      <c r="E9395">
        <v>2</v>
      </c>
      <c r="F9395" s="3">
        <f ca="1">40886+(RANDBETWEEN(1,10))</f>
        <v>40891</v>
      </c>
      <c r="G9395" t="s">
        <v>76</v>
      </c>
      <c r="H9395" t="s">
        <v>77</v>
      </c>
      <c r="I9395" t="s">
        <v>97</v>
      </c>
      <c r="J9395">
        <v>3740.1</v>
      </c>
      <c r="K9395">
        <v>0.05</v>
      </c>
      <c r="L9395">
        <v>0.59</v>
      </c>
      <c r="M9395">
        <v>51.45</v>
      </c>
      <c r="N9395">
        <v>-4273.20075</v>
      </c>
      <c r="O9395" s="1" t="s">
        <v>40</v>
      </c>
      <c r="P9395" s="1" t="s">
        <v>218</v>
      </c>
      <c r="Q9395" s="1" t="s">
        <v>219</v>
      </c>
      <c r="R9395" s="1" t="s">
        <v>220</v>
      </c>
      <c r="S9395" s="1" t="s">
        <v>221</v>
      </c>
      <c r="T9395" s="1" t="s">
        <v>222</v>
      </c>
      <c r="U9395" s="2" t="s">
        <v>1616</v>
      </c>
      <c r="V9395" s="2" t="s">
        <v>36</v>
      </c>
      <c r="W9395" s="2" t="s">
        <v>142</v>
      </c>
      <c r="X9395" s="2">
        <v>1874.74</v>
      </c>
    </row>
    <row r="9396" spans="1:24" x14ac:dyDescent="0.3">
      <c r="A9396">
        <v>832</v>
      </c>
      <c r="B9396" t="s">
        <v>16476</v>
      </c>
      <c r="C9396" s="3">
        <v>41750</v>
      </c>
      <c r="D9396" t="s">
        <v>39</v>
      </c>
      <c r="E9396">
        <v>48</v>
      </c>
      <c r="F9396" s="3">
        <f ca="1">41750+(RANDBETWEEN(1,10))</f>
        <v>41758</v>
      </c>
      <c r="G9396" t="s">
        <v>26</v>
      </c>
      <c r="H9396" t="s">
        <v>27</v>
      </c>
      <c r="I9396" t="s">
        <v>86</v>
      </c>
      <c r="J9396">
        <v>19446.63</v>
      </c>
      <c r="K9396">
        <v>0.08</v>
      </c>
      <c r="L9396">
        <v>0.6</v>
      </c>
      <c r="M9396">
        <v>13.965</v>
      </c>
      <c r="N9396">
        <v>5734.68</v>
      </c>
      <c r="O9396" s="1" t="s">
        <v>29</v>
      </c>
      <c r="P9396" s="1" t="s">
        <v>10720</v>
      </c>
      <c r="Q9396" s="1" t="s">
        <v>10721</v>
      </c>
      <c r="R9396" s="1" t="s">
        <v>32</v>
      </c>
      <c r="S9396" s="1" t="s">
        <v>33</v>
      </c>
      <c r="T9396" s="1" t="s">
        <v>10722</v>
      </c>
      <c r="U9396" s="2" t="s">
        <v>3411</v>
      </c>
      <c r="V9396" s="2" t="s">
        <v>47</v>
      </c>
      <c r="W9396" s="2" t="s">
        <v>71</v>
      </c>
      <c r="X9396" s="2">
        <v>423.43</v>
      </c>
    </row>
    <row r="9397" spans="1:24" x14ac:dyDescent="0.3">
      <c r="A9397">
        <v>833</v>
      </c>
      <c r="B9397" t="s">
        <v>16476</v>
      </c>
      <c r="C9397" s="3">
        <v>41750</v>
      </c>
      <c r="D9397" t="s">
        <v>39</v>
      </c>
      <c r="E9397">
        <v>20</v>
      </c>
      <c r="F9397" s="3">
        <f ca="1">41751+(RANDBETWEEN(1,10))</f>
        <v>41761</v>
      </c>
      <c r="G9397" t="s">
        <v>76</v>
      </c>
      <c r="H9397" t="s">
        <v>77</v>
      </c>
      <c r="I9397" t="s">
        <v>86</v>
      </c>
      <c r="J9397">
        <v>3575.4250000000002</v>
      </c>
      <c r="K9397">
        <v>0.05</v>
      </c>
      <c r="L9397">
        <v>0.56000000000000005</v>
      </c>
      <c r="M9397">
        <v>49.664999999999999</v>
      </c>
      <c r="N9397">
        <v>226.83500000000001</v>
      </c>
      <c r="O9397" s="1" t="s">
        <v>29</v>
      </c>
      <c r="P9397" s="1" t="s">
        <v>10720</v>
      </c>
      <c r="Q9397" s="1" t="s">
        <v>10721</v>
      </c>
      <c r="R9397" s="1" t="s">
        <v>32</v>
      </c>
      <c r="S9397" s="1" t="s">
        <v>33</v>
      </c>
      <c r="T9397" s="1" t="s">
        <v>10722</v>
      </c>
      <c r="U9397" s="2" t="s">
        <v>3412</v>
      </c>
      <c r="V9397" s="2" t="s">
        <v>83</v>
      </c>
      <c r="W9397" s="2" t="s">
        <v>84</v>
      </c>
      <c r="X9397" s="2">
        <v>178.43</v>
      </c>
    </row>
    <row r="9398" spans="1:24" x14ac:dyDescent="0.3">
      <c r="A9398">
        <v>834</v>
      </c>
      <c r="B9398" t="s">
        <v>16476</v>
      </c>
      <c r="C9398" s="3">
        <v>41750</v>
      </c>
      <c r="D9398" t="s">
        <v>39</v>
      </c>
      <c r="E9398">
        <v>41</v>
      </c>
      <c r="F9398" s="3">
        <f ca="1">41751+(RANDBETWEEN(1,10))</f>
        <v>41758</v>
      </c>
      <c r="G9398" t="s">
        <v>26</v>
      </c>
      <c r="H9398" t="s">
        <v>51</v>
      </c>
      <c r="I9398" t="s">
        <v>86</v>
      </c>
      <c r="J9398">
        <v>718.34</v>
      </c>
      <c r="K9398">
        <v>0.03</v>
      </c>
      <c r="L9398">
        <v>0.66</v>
      </c>
      <c r="M9398">
        <v>17.254999999999999</v>
      </c>
      <c r="N9398">
        <v>-520.69500000000005</v>
      </c>
      <c r="O9398" s="1" t="s">
        <v>29</v>
      </c>
      <c r="P9398" s="1" t="s">
        <v>10720</v>
      </c>
      <c r="Q9398" s="1" t="s">
        <v>10721</v>
      </c>
      <c r="R9398" s="1" t="s">
        <v>32</v>
      </c>
      <c r="S9398" s="1" t="s">
        <v>33</v>
      </c>
      <c r="T9398" s="1" t="s">
        <v>10722</v>
      </c>
      <c r="U9398" s="2" t="s">
        <v>1387</v>
      </c>
      <c r="V9398" s="2" t="s">
        <v>36</v>
      </c>
      <c r="W9398" s="2" t="s">
        <v>60</v>
      </c>
      <c r="X9398" s="2">
        <v>17.114999999999998</v>
      </c>
    </row>
    <row r="9399" spans="1:24" x14ac:dyDescent="0.3">
      <c r="A9399">
        <v>8354</v>
      </c>
      <c r="B9399" t="s">
        <v>16477</v>
      </c>
      <c r="C9399" s="3">
        <v>41983</v>
      </c>
      <c r="D9399" t="s">
        <v>62</v>
      </c>
      <c r="E9399">
        <v>24</v>
      </c>
      <c r="F9399" s="3">
        <f ca="1">41985+(RANDBETWEEN(1,10))</f>
        <v>41988</v>
      </c>
      <c r="G9399" t="s">
        <v>26</v>
      </c>
      <c r="H9399" t="s">
        <v>27</v>
      </c>
      <c r="I9399" t="s">
        <v>52</v>
      </c>
      <c r="J9399">
        <v>3536.4</v>
      </c>
      <c r="K9399">
        <v>0.05</v>
      </c>
      <c r="L9399">
        <v>0.56999999999999995</v>
      </c>
      <c r="M9399">
        <v>18.655000000000001</v>
      </c>
      <c r="N9399">
        <v>276.43</v>
      </c>
      <c r="O9399" s="1" t="s">
        <v>40</v>
      </c>
      <c r="P9399" s="1" t="s">
        <v>2899</v>
      </c>
      <c r="Q9399" s="1" t="s">
        <v>2900</v>
      </c>
      <c r="R9399" s="1" t="s">
        <v>220</v>
      </c>
      <c r="S9399" s="1" t="s">
        <v>221</v>
      </c>
      <c r="T9399" s="1" t="s">
        <v>2901</v>
      </c>
      <c r="U9399" s="2" t="s">
        <v>1712</v>
      </c>
      <c r="V9399" s="2" t="s">
        <v>47</v>
      </c>
      <c r="W9399" s="2" t="s">
        <v>71</v>
      </c>
      <c r="X9399" s="2">
        <v>143.43</v>
      </c>
    </row>
    <row r="9400" spans="1:24" x14ac:dyDescent="0.3">
      <c r="A9400">
        <v>8355</v>
      </c>
      <c r="B9400" t="s">
        <v>16477</v>
      </c>
      <c r="C9400" s="3">
        <v>41983</v>
      </c>
      <c r="D9400" t="s">
        <v>62</v>
      </c>
      <c r="E9400">
        <v>92</v>
      </c>
      <c r="F9400" s="3">
        <f ca="1">41984+(RANDBETWEEN(1,10))</f>
        <v>41988</v>
      </c>
      <c r="G9400" t="s">
        <v>26</v>
      </c>
      <c r="H9400" t="s">
        <v>63</v>
      </c>
      <c r="I9400" t="s">
        <v>52</v>
      </c>
      <c r="J9400">
        <v>3940.37</v>
      </c>
      <c r="K9400">
        <v>0.1</v>
      </c>
      <c r="L9400">
        <v>0.73</v>
      </c>
      <c r="M9400">
        <v>50.295000000000002</v>
      </c>
      <c r="N9400">
        <v>-1961.0150000000001</v>
      </c>
      <c r="O9400" s="1" t="s">
        <v>40</v>
      </c>
      <c r="P9400" s="1" t="s">
        <v>2899</v>
      </c>
      <c r="Q9400" s="1" t="s">
        <v>2900</v>
      </c>
      <c r="R9400" s="1" t="s">
        <v>220</v>
      </c>
      <c r="S9400" s="1" t="s">
        <v>221</v>
      </c>
      <c r="T9400" s="1" t="s">
        <v>2901</v>
      </c>
      <c r="U9400" s="2" t="s">
        <v>5853</v>
      </c>
      <c r="V9400" s="2" t="s">
        <v>83</v>
      </c>
      <c r="W9400" s="2" t="s">
        <v>178</v>
      </c>
      <c r="X9400" s="2">
        <v>45.465000000000003</v>
      </c>
    </row>
    <row r="9401" spans="1:24" x14ac:dyDescent="0.3">
      <c r="A9401">
        <v>8356</v>
      </c>
      <c r="B9401" t="s">
        <v>16478</v>
      </c>
      <c r="C9401" s="3">
        <v>41341</v>
      </c>
      <c r="D9401" t="s">
        <v>25</v>
      </c>
      <c r="E9401">
        <v>46</v>
      </c>
      <c r="F9401" s="3">
        <f ca="1">41346+(RANDBETWEEN(1,10))</f>
        <v>41353</v>
      </c>
      <c r="G9401" t="s">
        <v>26</v>
      </c>
      <c r="H9401" t="s">
        <v>27</v>
      </c>
      <c r="I9401" t="s">
        <v>28</v>
      </c>
      <c r="J9401">
        <v>955.67499999999995</v>
      </c>
      <c r="K9401">
        <v>0.01</v>
      </c>
      <c r="L9401">
        <v>0.4</v>
      </c>
      <c r="M9401">
        <v>19.565000000000001</v>
      </c>
      <c r="N9401">
        <v>-372.4735</v>
      </c>
      <c r="O9401" s="1" t="s">
        <v>64</v>
      </c>
      <c r="P9401" s="1" t="s">
        <v>16006</v>
      </c>
      <c r="Q9401" s="1" t="s">
        <v>16007</v>
      </c>
      <c r="R9401" s="1" t="s">
        <v>128</v>
      </c>
      <c r="S9401" s="1" t="s">
        <v>129</v>
      </c>
      <c r="T9401" s="1" t="s">
        <v>16008</v>
      </c>
      <c r="U9401" s="2" t="s">
        <v>3005</v>
      </c>
      <c r="V9401" s="2" t="s">
        <v>47</v>
      </c>
      <c r="W9401" s="2" t="s">
        <v>111</v>
      </c>
      <c r="X9401" s="2">
        <v>20.3</v>
      </c>
    </row>
    <row r="9402" spans="1:24" x14ac:dyDescent="0.3">
      <c r="A9402">
        <v>8374</v>
      </c>
      <c r="B9402" t="s">
        <v>16479</v>
      </c>
      <c r="C9402" s="3">
        <v>41447</v>
      </c>
      <c r="D9402" t="s">
        <v>148</v>
      </c>
      <c r="E9402">
        <v>76</v>
      </c>
      <c r="F9402" s="3">
        <f ca="1">41447+(RANDBETWEEN(1,10))</f>
        <v>41452</v>
      </c>
      <c r="G9402" t="s">
        <v>26</v>
      </c>
      <c r="H9402" t="s">
        <v>27</v>
      </c>
      <c r="I9402" t="s">
        <v>52</v>
      </c>
      <c r="J9402">
        <v>53554.13</v>
      </c>
      <c r="K9402">
        <v>0</v>
      </c>
      <c r="L9402">
        <v>0.71</v>
      </c>
      <c r="M9402">
        <v>69.965000000000003</v>
      </c>
      <c r="N9402">
        <v>5762.5050000000001</v>
      </c>
      <c r="O9402" s="1" t="s">
        <v>40</v>
      </c>
      <c r="P9402" s="1" t="s">
        <v>381</v>
      </c>
      <c r="Q9402" s="1" t="s">
        <v>382</v>
      </c>
      <c r="R9402" s="1" t="s">
        <v>220</v>
      </c>
      <c r="S9402" s="1" t="s">
        <v>221</v>
      </c>
      <c r="T9402" s="1" t="s">
        <v>383</v>
      </c>
      <c r="U9402" s="2" t="s">
        <v>624</v>
      </c>
      <c r="V9402" s="2" t="s">
        <v>47</v>
      </c>
      <c r="W9402" s="2" t="s">
        <v>119</v>
      </c>
      <c r="X9402" s="2">
        <v>676.09500000000003</v>
      </c>
    </row>
    <row r="9403" spans="1:24" x14ac:dyDescent="0.3">
      <c r="A9403">
        <v>8375</v>
      </c>
      <c r="B9403" t="s">
        <v>16479</v>
      </c>
      <c r="C9403" s="3">
        <v>41447</v>
      </c>
      <c r="D9403" t="s">
        <v>148</v>
      </c>
      <c r="E9403">
        <v>3</v>
      </c>
      <c r="F9403" s="3">
        <f ca="1">41448+(RANDBETWEEN(1,10))</f>
        <v>41452</v>
      </c>
      <c r="G9403" t="s">
        <v>26</v>
      </c>
      <c r="H9403" t="s">
        <v>51</v>
      </c>
      <c r="I9403" t="s">
        <v>52</v>
      </c>
      <c r="J9403">
        <v>152.14500000000001</v>
      </c>
      <c r="K9403">
        <v>0.06</v>
      </c>
      <c r="L9403">
        <v>0.48</v>
      </c>
      <c r="M9403">
        <v>17.43</v>
      </c>
      <c r="N9403">
        <v>-64.364999999999995</v>
      </c>
      <c r="O9403" s="1" t="s">
        <v>40</v>
      </c>
      <c r="P9403" s="1" t="s">
        <v>381</v>
      </c>
      <c r="Q9403" s="1" t="s">
        <v>382</v>
      </c>
      <c r="R9403" s="1" t="s">
        <v>220</v>
      </c>
      <c r="S9403" s="1" t="s">
        <v>221</v>
      </c>
      <c r="T9403" s="1" t="s">
        <v>383</v>
      </c>
      <c r="U9403" s="2" t="s">
        <v>430</v>
      </c>
      <c r="V9403" s="2" t="s">
        <v>83</v>
      </c>
      <c r="W9403" s="2" t="s">
        <v>178</v>
      </c>
      <c r="X9403" s="2">
        <v>44.24</v>
      </c>
    </row>
    <row r="9404" spans="1:24" x14ac:dyDescent="0.3">
      <c r="A9404">
        <v>8376</v>
      </c>
      <c r="B9404" t="s">
        <v>16480</v>
      </c>
      <c r="C9404" s="3">
        <v>41258</v>
      </c>
      <c r="D9404" t="s">
        <v>50</v>
      </c>
      <c r="E9404">
        <v>26</v>
      </c>
      <c r="F9404" s="3">
        <f ca="1">41260+(RANDBETWEEN(1,10))</f>
        <v>41267</v>
      </c>
      <c r="G9404" t="s">
        <v>26</v>
      </c>
      <c r="H9404" t="s">
        <v>96</v>
      </c>
      <c r="I9404" t="s">
        <v>52</v>
      </c>
      <c r="J9404">
        <v>335.125</v>
      </c>
      <c r="K9404">
        <v>0.09</v>
      </c>
      <c r="L9404">
        <v>0.35</v>
      </c>
      <c r="M9404">
        <v>6.7549999999999999</v>
      </c>
      <c r="N9404">
        <v>-3.71</v>
      </c>
      <c r="O9404" s="1" t="s">
        <v>64</v>
      </c>
      <c r="P9404" s="1" t="s">
        <v>183</v>
      </c>
      <c r="Q9404" s="1" t="s">
        <v>184</v>
      </c>
      <c r="R9404" s="1" t="s">
        <v>128</v>
      </c>
      <c r="S9404" s="1" t="s">
        <v>129</v>
      </c>
      <c r="T9404" s="1" t="s">
        <v>185</v>
      </c>
      <c r="U9404" s="2" t="s">
        <v>4373</v>
      </c>
      <c r="V9404" s="2" t="s">
        <v>47</v>
      </c>
      <c r="W9404" s="2" t="s">
        <v>74</v>
      </c>
      <c r="X9404" s="2">
        <v>12.984999999999999</v>
      </c>
    </row>
    <row r="9405" spans="1:24" x14ac:dyDescent="0.3">
      <c r="A9405">
        <v>8389</v>
      </c>
      <c r="B9405" t="s">
        <v>16481</v>
      </c>
      <c r="C9405" s="3">
        <v>40905</v>
      </c>
      <c r="D9405" t="s">
        <v>39</v>
      </c>
      <c r="E9405">
        <v>13</v>
      </c>
      <c r="F9405" s="3">
        <f ca="1">40906+(RANDBETWEEN(1,10))</f>
        <v>40910</v>
      </c>
      <c r="G9405" t="s">
        <v>26</v>
      </c>
      <c r="H9405" t="s">
        <v>27</v>
      </c>
      <c r="I9405" t="s">
        <v>86</v>
      </c>
      <c r="J9405">
        <v>1533.875</v>
      </c>
      <c r="K9405">
        <v>0.02</v>
      </c>
      <c r="L9405">
        <v>0.4</v>
      </c>
      <c r="M9405">
        <v>59.78</v>
      </c>
      <c r="N9405">
        <v>-112.98</v>
      </c>
      <c r="O9405" s="1" t="s">
        <v>64</v>
      </c>
      <c r="P9405" s="1" t="s">
        <v>106</v>
      </c>
      <c r="Q9405" s="1" t="s">
        <v>107</v>
      </c>
      <c r="R9405" s="1" t="s">
        <v>67</v>
      </c>
      <c r="S9405" s="1" t="s">
        <v>108</v>
      </c>
      <c r="T9405" s="1" t="s">
        <v>109</v>
      </c>
      <c r="U9405" s="2" t="s">
        <v>6956</v>
      </c>
      <c r="V9405" s="2" t="s">
        <v>47</v>
      </c>
      <c r="W9405" s="2" t="s">
        <v>74</v>
      </c>
      <c r="X9405" s="2">
        <v>108.43</v>
      </c>
    </row>
    <row r="9406" spans="1:24" x14ac:dyDescent="0.3">
      <c r="A9406">
        <v>862</v>
      </c>
      <c r="B9406" t="s">
        <v>16482</v>
      </c>
      <c r="C9406" s="3">
        <v>41375</v>
      </c>
      <c r="D9406" t="s">
        <v>148</v>
      </c>
      <c r="E9406">
        <v>49</v>
      </c>
      <c r="F9406" s="3">
        <f ca="1">41377+(RANDBETWEEN(1,10))</f>
        <v>41384</v>
      </c>
      <c r="G9406" t="s">
        <v>26</v>
      </c>
      <c r="H9406" t="s">
        <v>27</v>
      </c>
      <c r="I9406" t="s">
        <v>97</v>
      </c>
      <c r="J9406">
        <v>9523.4650000000001</v>
      </c>
      <c r="K9406">
        <v>0.01</v>
      </c>
      <c r="L9406">
        <v>0.59</v>
      </c>
      <c r="M9406">
        <v>13.965</v>
      </c>
      <c r="N9406">
        <v>2066.1165000000001</v>
      </c>
      <c r="O9406" s="1" t="s">
        <v>225</v>
      </c>
      <c r="P9406" s="1" t="s">
        <v>289</v>
      </c>
      <c r="Q9406" s="1" t="s">
        <v>290</v>
      </c>
      <c r="R9406" s="1" t="s">
        <v>228</v>
      </c>
      <c r="S9406" s="1" t="s">
        <v>229</v>
      </c>
      <c r="T9406" s="1" t="s">
        <v>291</v>
      </c>
      <c r="U9406" s="2" t="s">
        <v>1991</v>
      </c>
      <c r="V9406" s="2" t="s">
        <v>36</v>
      </c>
      <c r="W9406" s="2" t="s">
        <v>37</v>
      </c>
      <c r="X9406" s="2">
        <v>230.965</v>
      </c>
    </row>
    <row r="9407" spans="1:24" x14ac:dyDescent="0.3">
      <c r="A9407">
        <v>87</v>
      </c>
      <c r="B9407" t="s">
        <v>16483</v>
      </c>
      <c r="C9407" s="3">
        <v>40806</v>
      </c>
      <c r="D9407" t="s">
        <v>62</v>
      </c>
      <c r="E9407">
        <v>75</v>
      </c>
      <c r="F9407" s="3">
        <f ca="1">40807+(RANDBETWEEN(1,10))</f>
        <v>40810</v>
      </c>
      <c r="G9407" t="s">
        <v>26</v>
      </c>
      <c r="H9407" t="s">
        <v>27</v>
      </c>
      <c r="I9407" t="s">
        <v>97</v>
      </c>
      <c r="J9407">
        <v>829.04499999999996</v>
      </c>
      <c r="K9407">
        <v>0.04</v>
      </c>
      <c r="L9407">
        <v>0.37</v>
      </c>
      <c r="M9407">
        <v>3.4649999999999999</v>
      </c>
      <c r="N9407">
        <v>126.07</v>
      </c>
      <c r="O9407" s="1" t="s">
        <v>225</v>
      </c>
      <c r="P9407" s="1" t="s">
        <v>289</v>
      </c>
      <c r="Q9407" s="1" t="s">
        <v>290</v>
      </c>
      <c r="R9407" s="1" t="s">
        <v>228</v>
      </c>
      <c r="S9407" s="1" t="s">
        <v>229</v>
      </c>
      <c r="T9407" s="1" t="s">
        <v>291</v>
      </c>
      <c r="U9407" s="2" t="s">
        <v>796</v>
      </c>
      <c r="V9407" s="2" t="s">
        <v>47</v>
      </c>
      <c r="W9407" s="2" t="s">
        <v>203</v>
      </c>
      <c r="X9407" s="2">
        <v>10.78</v>
      </c>
    </row>
    <row r="9408" spans="1:24" x14ac:dyDescent="0.3">
      <c r="A9408">
        <v>88</v>
      </c>
      <c r="B9408" t="s">
        <v>16483</v>
      </c>
      <c r="C9408" s="3">
        <v>40806</v>
      </c>
      <c r="D9408" t="s">
        <v>62</v>
      </c>
      <c r="E9408">
        <v>53</v>
      </c>
      <c r="F9408" s="3">
        <f ca="1">40807+(RANDBETWEEN(1,10))</f>
        <v>40816</v>
      </c>
      <c r="G9408" t="s">
        <v>26</v>
      </c>
      <c r="H9408" t="s">
        <v>27</v>
      </c>
      <c r="I9408" t="s">
        <v>97</v>
      </c>
      <c r="J9408">
        <v>1298.1849999999999</v>
      </c>
      <c r="K9408">
        <v>0.02</v>
      </c>
      <c r="L9408">
        <v>0.37</v>
      </c>
      <c r="M9408">
        <v>20.65</v>
      </c>
      <c r="N9408">
        <v>-177.24</v>
      </c>
      <c r="O9408" s="1" t="s">
        <v>225</v>
      </c>
      <c r="P9408" s="1" t="s">
        <v>289</v>
      </c>
      <c r="Q9408" s="1" t="s">
        <v>290</v>
      </c>
      <c r="R9408" s="1" t="s">
        <v>228</v>
      </c>
      <c r="S9408" s="1" t="s">
        <v>229</v>
      </c>
      <c r="T9408" s="1" t="s">
        <v>291</v>
      </c>
      <c r="U9408" s="2" t="s">
        <v>797</v>
      </c>
      <c r="V9408" s="2" t="s">
        <v>47</v>
      </c>
      <c r="W9408" s="2" t="s">
        <v>74</v>
      </c>
      <c r="X9408" s="2">
        <v>22.68</v>
      </c>
    </row>
    <row r="9409" spans="1:24" x14ac:dyDescent="0.3">
      <c r="A9409">
        <v>89</v>
      </c>
      <c r="B9409" t="s">
        <v>16483</v>
      </c>
      <c r="C9409" s="3">
        <v>40806</v>
      </c>
      <c r="D9409" t="s">
        <v>62</v>
      </c>
      <c r="E9409">
        <v>47</v>
      </c>
      <c r="F9409" s="3">
        <f ca="1">40808+(RANDBETWEEN(1,10))</f>
        <v>40809</v>
      </c>
      <c r="G9409" t="s">
        <v>26</v>
      </c>
      <c r="H9409" t="s">
        <v>27</v>
      </c>
      <c r="I9409" t="s">
        <v>97</v>
      </c>
      <c r="J9409">
        <v>17419.22</v>
      </c>
      <c r="K9409">
        <v>0.04</v>
      </c>
      <c r="L9409">
        <v>0.59</v>
      </c>
      <c r="M9409">
        <v>14.7</v>
      </c>
      <c r="N9409">
        <v>1786.7114999999999</v>
      </c>
      <c r="O9409" s="1" t="s">
        <v>225</v>
      </c>
      <c r="P9409" s="1" t="s">
        <v>289</v>
      </c>
      <c r="Q9409" s="1" t="s">
        <v>290</v>
      </c>
      <c r="R9409" s="1" t="s">
        <v>228</v>
      </c>
      <c r="S9409" s="1" t="s">
        <v>229</v>
      </c>
      <c r="T9409" s="1" t="s">
        <v>291</v>
      </c>
      <c r="U9409" s="2" t="s">
        <v>798</v>
      </c>
      <c r="V9409" s="2" t="s">
        <v>36</v>
      </c>
      <c r="W9409" s="2" t="s">
        <v>37</v>
      </c>
      <c r="X9409" s="2">
        <v>440.96499999999997</v>
      </c>
    </row>
    <row r="9410" spans="1:24" x14ac:dyDescent="0.3">
      <c r="A9410">
        <v>914</v>
      </c>
      <c r="B9410" t="s">
        <v>16484</v>
      </c>
      <c r="C9410" s="3">
        <v>40897</v>
      </c>
      <c r="D9410" t="s">
        <v>62</v>
      </c>
      <c r="E9410">
        <v>22</v>
      </c>
      <c r="F9410" s="3">
        <f ca="1">40899+(RANDBETWEEN(1,10))</f>
        <v>40900</v>
      </c>
      <c r="G9410" t="s">
        <v>76</v>
      </c>
      <c r="H9410" t="s">
        <v>77</v>
      </c>
      <c r="I9410" t="s">
        <v>52</v>
      </c>
      <c r="J9410">
        <v>110847.1</v>
      </c>
      <c r="K9410">
        <v>0.02</v>
      </c>
      <c r="L9410">
        <v>0.59</v>
      </c>
      <c r="M9410">
        <v>51.45</v>
      </c>
      <c r="N9410">
        <v>7098.42</v>
      </c>
      <c r="O9410" s="1" t="s">
        <v>40</v>
      </c>
      <c r="P9410" s="1" t="s">
        <v>149</v>
      </c>
      <c r="Q9410" s="1" t="s">
        <v>150</v>
      </c>
      <c r="R9410" s="1" t="s">
        <v>43</v>
      </c>
      <c r="S9410" s="1" t="s">
        <v>44</v>
      </c>
      <c r="T9410" s="1" t="s">
        <v>151</v>
      </c>
      <c r="U9410" s="2" t="s">
        <v>1332</v>
      </c>
      <c r="V9410" s="2" t="s">
        <v>36</v>
      </c>
      <c r="W9410" s="2" t="s">
        <v>142</v>
      </c>
      <c r="X9410" s="2">
        <v>4760.49</v>
      </c>
    </row>
    <row r="9411" spans="1:24" x14ac:dyDescent="0.3">
      <c r="A9411">
        <v>95</v>
      </c>
      <c r="B9411" t="s">
        <v>16485</v>
      </c>
      <c r="C9411" s="3">
        <v>41932</v>
      </c>
      <c r="D9411" t="s">
        <v>148</v>
      </c>
      <c r="E9411">
        <v>105</v>
      </c>
      <c r="F9411" s="3">
        <f ca="1">41934+(RANDBETWEEN(1,10))</f>
        <v>41940</v>
      </c>
      <c r="G9411" t="s">
        <v>26</v>
      </c>
      <c r="H9411" t="s">
        <v>27</v>
      </c>
      <c r="I9411" t="s">
        <v>28</v>
      </c>
      <c r="J9411">
        <v>1932.105</v>
      </c>
      <c r="K9411">
        <v>0.1</v>
      </c>
      <c r="L9411">
        <v>0.4</v>
      </c>
      <c r="M9411">
        <v>21.91</v>
      </c>
      <c r="N9411">
        <v>-582.01499999999999</v>
      </c>
      <c r="O9411" s="1" t="s">
        <v>64</v>
      </c>
      <c r="P9411" s="1" t="s">
        <v>65</v>
      </c>
      <c r="Q9411" s="1" t="s">
        <v>66</v>
      </c>
      <c r="R9411" s="1" t="s">
        <v>67</v>
      </c>
      <c r="S9411" s="1" t="s">
        <v>68</v>
      </c>
      <c r="T9411" s="1" t="s">
        <v>69</v>
      </c>
      <c r="U9411" s="2" t="s">
        <v>817</v>
      </c>
      <c r="V9411" s="2" t="s">
        <v>47</v>
      </c>
      <c r="W9411" s="2" t="s">
        <v>74</v>
      </c>
      <c r="X9411" s="2">
        <v>18.48</v>
      </c>
    </row>
    <row r="9412" spans="1:24" x14ac:dyDescent="0.3">
      <c r="A9412">
        <v>96</v>
      </c>
      <c r="B9412" t="s">
        <v>16485</v>
      </c>
      <c r="C9412" s="3">
        <v>41932</v>
      </c>
      <c r="D9412" t="s">
        <v>148</v>
      </c>
      <c r="E9412">
        <v>90</v>
      </c>
      <c r="F9412" s="3">
        <f ca="1">41934+(RANDBETWEEN(1,10))</f>
        <v>41935</v>
      </c>
      <c r="G9412" t="s">
        <v>26</v>
      </c>
      <c r="H9412" t="s">
        <v>27</v>
      </c>
      <c r="I9412" t="s">
        <v>28</v>
      </c>
      <c r="J9412">
        <v>18541.705000000002</v>
      </c>
      <c r="K9412">
        <v>0.01</v>
      </c>
      <c r="L9412">
        <v>0.55000000000000004</v>
      </c>
      <c r="M9412">
        <v>8.75</v>
      </c>
      <c r="N9412">
        <v>3085.866</v>
      </c>
      <c r="O9412" s="1" t="s">
        <v>64</v>
      </c>
      <c r="P9412" s="1" t="s">
        <v>65</v>
      </c>
      <c r="Q9412" s="1" t="s">
        <v>66</v>
      </c>
      <c r="R9412" s="1" t="s">
        <v>67</v>
      </c>
      <c r="S9412" s="1" t="s">
        <v>68</v>
      </c>
      <c r="T9412" s="1" t="s">
        <v>69</v>
      </c>
      <c r="U9412" s="2">
        <v>6190</v>
      </c>
      <c r="V9412" s="2" t="s">
        <v>36</v>
      </c>
      <c r="W9412" s="2" t="s">
        <v>37</v>
      </c>
      <c r="X9412" s="2">
        <v>230.965</v>
      </c>
    </row>
    <row r="9413" spans="1:24" x14ac:dyDescent="0.3">
      <c r="A9413">
        <v>960</v>
      </c>
      <c r="B9413" t="s">
        <v>16486</v>
      </c>
      <c r="C9413" s="3">
        <v>41724</v>
      </c>
      <c r="D9413" t="s">
        <v>25</v>
      </c>
      <c r="E9413">
        <v>4</v>
      </c>
      <c r="F9413" s="3">
        <f ca="1">41726+(RANDBETWEEN(1,10))</f>
        <v>41731</v>
      </c>
      <c r="G9413" t="s">
        <v>26</v>
      </c>
      <c r="H9413" t="s">
        <v>51</v>
      </c>
      <c r="I9413" t="s">
        <v>97</v>
      </c>
      <c r="J9413">
        <v>655.9</v>
      </c>
      <c r="K9413">
        <v>0.08</v>
      </c>
      <c r="L9413">
        <v>0.59</v>
      </c>
      <c r="M9413">
        <v>11.55</v>
      </c>
      <c r="N9413">
        <v>-788.55700000000002</v>
      </c>
      <c r="O9413" s="1" t="s">
        <v>64</v>
      </c>
      <c r="P9413" s="1" t="s">
        <v>16010</v>
      </c>
      <c r="Q9413" s="1" t="s">
        <v>16011</v>
      </c>
      <c r="R9413" s="1" t="s">
        <v>128</v>
      </c>
      <c r="S9413" s="1" t="s">
        <v>129</v>
      </c>
      <c r="T9413" s="1" t="s">
        <v>16012</v>
      </c>
      <c r="U9413" s="2" t="s">
        <v>3769</v>
      </c>
      <c r="V9413" s="2" t="s">
        <v>36</v>
      </c>
      <c r="W9413" s="2" t="s">
        <v>37</v>
      </c>
      <c r="X9413" s="2">
        <v>195.965</v>
      </c>
    </row>
    <row r="9414" spans="1:24" x14ac:dyDescent="0.3">
      <c r="A9414">
        <v>969</v>
      </c>
      <c r="B9414" t="s">
        <v>16487</v>
      </c>
      <c r="C9414" s="3">
        <v>41647</v>
      </c>
      <c r="D9414" t="s">
        <v>148</v>
      </c>
      <c r="E9414">
        <v>4</v>
      </c>
      <c r="F9414" s="3">
        <f ca="1">41649+(RANDBETWEEN(1,10))</f>
        <v>41659</v>
      </c>
      <c r="G9414" t="s">
        <v>76</v>
      </c>
      <c r="H9414" t="s">
        <v>258</v>
      </c>
      <c r="I9414" t="s">
        <v>97</v>
      </c>
      <c r="J9414">
        <v>4157.51</v>
      </c>
      <c r="K9414">
        <v>7.0000000000000007E-2</v>
      </c>
      <c r="L9414">
        <v>0.74</v>
      </c>
      <c r="M9414">
        <v>299.70499999999998</v>
      </c>
      <c r="N9414">
        <v>-1944.096</v>
      </c>
      <c r="O9414" s="1" t="s">
        <v>40</v>
      </c>
      <c r="P9414" s="1" t="s">
        <v>13080</v>
      </c>
      <c r="Q9414" s="1" t="s">
        <v>13081</v>
      </c>
      <c r="R9414" s="1" t="s">
        <v>220</v>
      </c>
      <c r="S9414" s="1" t="s">
        <v>221</v>
      </c>
      <c r="T9414" s="1" t="s">
        <v>13082</v>
      </c>
      <c r="U9414" s="2" t="s">
        <v>3542</v>
      </c>
      <c r="V9414" s="2" t="s">
        <v>83</v>
      </c>
      <c r="W9414" s="2" t="s">
        <v>263</v>
      </c>
      <c r="X9414" s="2">
        <v>1316.4549999999999</v>
      </c>
    </row>
    <row r="9415" spans="1:24" x14ac:dyDescent="0.3">
      <c r="A9415">
        <v>97</v>
      </c>
      <c r="B9415" t="s">
        <v>16488</v>
      </c>
      <c r="C9415" s="3">
        <v>41442</v>
      </c>
      <c r="D9415" t="s">
        <v>39</v>
      </c>
      <c r="E9415">
        <v>20</v>
      </c>
      <c r="F9415" s="3">
        <f ca="1">41442+(RANDBETWEEN(1,10))</f>
        <v>41444</v>
      </c>
      <c r="G9415" t="s">
        <v>26</v>
      </c>
      <c r="H9415" t="s">
        <v>27</v>
      </c>
      <c r="I9415" t="s">
        <v>28</v>
      </c>
      <c r="J9415">
        <v>545.65</v>
      </c>
      <c r="K9415">
        <v>0.03</v>
      </c>
      <c r="L9415">
        <v>0.38</v>
      </c>
      <c r="M9415">
        <v>27.02</v>
      </c>
      <c r="N9415">
        <v>-189.13475</v>
      </c>
      <c r="O9415" s="1" t="s">
        <v>87</v>
      </c>
      <c r="P9415" s="1" t="s">
        <v>309</v>
      </c>
      <c r="Q9415" s="1" t="s">
        <v>310</v>
      </c>
      <c r="R9415" s="1" t="s">
        <v>90</v>
      </c>
      <c r="S9415" s="1" t="s">
        <v>91</v>
      </c>
      <c r="T9415" s="1" t="s">
        <v>311</v>
      </c>
      <c r="U9415" s="2" t="s">
        <v>823</v>
      </c>
      <c r="V9415" s="2" t="s">
        <v>47</v>
      </c>
      <c r="W9415" s="2" t="s">
        <v>111</v>
      </c>
      <c r="X9415" s="2">
        <v>25.55</v>
      </c>
    </row>
    <row r="9416" spans="1:24" x14ac:dyDescent="0.3">
      <c r="A9416">
        <v>975</v>
      </c>
      <c r="B9416" t="s">
        <v>16489</v>
      </c>
      <c r="C9416" s="3">
        <v>41010</v>
      </c>
      <c r="D9416" t="s">
        <v>39</v>
      </c>
      <c r="E9416">
        <v>9</v>
      </c>
      <c r="F9416" s="3">
        <f ca="1">41012+(RANDBETWEEN(1,10))</f>
        <v>41017</v>
      </c>
      <c r="G9416" t="s">
        <v>26</v>
      </c>
      <c r="H9416" t="s">
        <v>281</v>
      </c>
      <c r="I9416" t="s">
        <v>28</v>
      </c>
      <c r="J9416">
        <v>392.42</v>
      </c>
      <c r="K9416">
        <v>0.01</v>
      </c>
      <c r="L9416">
        <v>0.42</v>
      </c>
      <c r="M9416">
        <v>21.42</v>
      </c>
      <c r="N9416">
        <v>-29.574999999999999</v>
      </c>
      <c r="O9416" s="1" t="s">
        <v>40</v>
      </c>
      <c r="P9416" s="1" t="s">
        <v>15915</v>
      </c>
      <c r="Q9416" s="1" t="s">
        <v>15916</v>
      </c>
      <c r="R9416" s="1" t="s">
        <v>43</v>
      </c>
      <c r="S9416" s="1" t="s">
        <v>44</v>
      </c>
      <c r="T9416" s="1" t="s">
        <v>15917</v>
      </c>
      <c r="U9416" s="2" t="s">
        <v>3147</v>
      </c>
      <c r="V9416" s="2" t="s">
        <v>47</v>
      </c>
      <c r="W9416" s="2" t="s">
        <v>71</v>
      </c>
      <c r="X9416" s="2">
        <v>39.655000000000001</v>
      </c>
    </row>
    <row r="9417" spans="1:24" x14ac:dyDescent="0.3">
      <c r="A9417">
        <v>976</v>
      </c>
      <c r="B9417" t="s">
        <v>16489</v>
      </c>
      <c r="C9417" s="3">
        <v>41010</v>
      </c>
      <c r="D9417" t="s">
        <v>39</v>
      </c>
      <c r="E9417">
        <v>11</v>
      </c>
      <c r="F9417" s="3">
        <f ca="1">41011+(RANDBETWEEN(1,10))</f>
        <v>41016</v>
      </c>
      <c r="G9417" t="s">
        <v>156</v>
      </c>
      <c r="H9417" t="s">
        <v>27</v>
      </c>
      <c r="I9417" t="s">
        <v>28</v>
      </c>
      <c r="J9417">
        <v>173.53</v>
      </c>
      <c r="K9417">
        <v>0.1</v>
      </c>
      <c r="L9417">
        <v>0.4</v>
      </c>
      <c r="M9417">
        <v>21.945</v>
      </c>
      <c r="N9417">
        <v>-164.58224999999999</v>
      </c>
      <c r="O9417" s="1" t="s">
        <v>40</v>
      </c>
      <c r="P9417" s="1" t="s">
        <v>15915</v>
      </c>
      <c r="Q9417" s="1" t="s">
        <v>15916</v>
      </c>
      <c r="R9417" s="1" t="s">
        <v>43</v>
      </c>
      <c r="S9417" s="1" t="s">
        <v>44</v>
      </c>
      <c r="T9417" s="1" t="s">
        <v>15917</v>
      </c>
      <c r="U9417" s="2" t="s">
        <v>1887</v>
      </c>
      <c r="V9417" s="2" t="s">
        <v>47</v>
      </c>
      <c r="W9417" s="2" t="s">
        <v>111</v>
      </c>
      <c r="X9417" s="2">
        <v>11.76</v>
      </c>
    </row>
    <row r="9418" spans="1:24" x14ac:dyDescent="0.3">
      <c r="A9418">
        <v>977</v>
      </c>
      <c r="B9418" t="s">
        <v>16489</v>
      </c>
      <c r="C9418" s="3">
        <v>41010</v>
      </c>
      <c r="D9418" t="s">
        <v>39</v>
      </c>
      <c r="E9418">
        <v>16</v>
      </c>
      <c r="F9418" s="3">
        <f ca="1">41012+(RANDBETWEEN(1,10))</f>
        <v>41014</v>
      </c>
      <c r="G9418" t="s">
        <v>76</v>
      </c>
      <c r="H9418" t="s">
        <v>77</v>
      </c>
      <c r="I9418" t="s">
        <v>28</v>
      </c>
      <c r="J9418">
        <v>6788.7749999999996</v>
      </c>
      <c r="K9418">
        <v>0.05</v>
      </c>
      <c r="L9418">
        <v>0.74</v>
      </c>
      <c r="M9418">
        <v>245.7</v>
      </c>
      <c r="N9418">
        <v>-3100.0549999999998</v>
      </c>
      <c r="O9418" s="1" t="s">
        <v>40</v>
      </c>
      <c r="P9418" s="1" t="s">
        <v>15915</v>
      </c>
      <c r="Q9418" s="1" t="s">
        <v>15916</v>
      </c>
      <c r="R9418" s="1" t="s">
        <v>43</v>
      </c>
      <c r="S9418" s="1" t="s">
        <v>44</v>
      </c>
      <c r="T9418" s="1" t="s">
        <v>15917</v>
      </c>
      <c r="U9418" s="2" t="s">
        <v>358</v>
      </c>
      <c r="V9418" s="2" t="s">
        <v>83</v>
      </c>
      <c r="W9418" s="2" t="s">
        <v>84</v>
      </c>
      <c r="X9418" s="2">
        <v>430.46499999999997</v>
      </c>
    </row>
    <row r="9419" spans="1:24" x14ac:dyDescent="0.3">
      <c r="A9419">
        <v>978</v>
      </c>
      <c r="B9419" t="s">
        <v>16489</v>
      </c>
      <c r="C9419" s="3">
        <v>41010</v>
      </c>
      <c r="D9419" t="s">
        <v>39</v>
      </c>
      <c r="E9419">
        <v>29</v>
      </c>
      <c r="F9419" s="3">
        <f ca="1">41011+(RANDBETWEEN(1,10))</f>
        <v>41018</v>
      </c>
      <c r="G9419" t="s">
        <v>156</v>
      </c>
      <c r="H9419" t="s">
        <v>51</v>
      </c>
      <c r="I9419" t="s">
        <v>28</v>
      </c>
      <c r="J9419">
        <v>1629.32</v>
      </c>
      <c r="K9419">
        <v>0.02</v>
      </c>
      <c r="L9419">
        <v>0.39</v>
      </c>
      <c r="M9419">
        <v>31.465</v>
      </c>
      <c r="N9419">
        <v>228.72499999999999</v>
      </c>
      <c r="O9419" s="1" t="s">
        <v>40</v>
      </c>
      <c r="P9419" s="1" t="s">
        <v>15915</v>
      </c>
      <c r="Q9419" s="1" t="s">
        <v>15916</v>
      </c>
      <c r="R9419" s="1" t="s">
        <v>43</v>
      </c>
      <c r="S9419" s="1" t="s">
        <v>44</v>
      </c>
      <c r="T9419" s="1" t="s">
        <v>15917</v>
      </c>
      <c r="U9419" s="2" t="s">
        <v>2064</v>
      </c>
      <c r="V9419" s="2" t="s">
        <v>83</v>
      </c>
      <c r="W9419" s="2" t="s">
        <v>178</v>
      </c>
      <c r="X9419" s="2">
        <v>52.43</v>
      </c>
    </row>
    <row r="9420" spans="1:24" x14ac:dyDescent="0.3">
      <c r="A9420">
        <v>979</v>
      </c>
      <c r="B9420" t="s">
        <v>16490</v>
      </c>
      <c r="C9420" s="3">
        <v>40947</v>
      </c>
      <c r="D9420" t="s">
        <v>148</v>
      </c>
      <c r="E9420">
        <v>44</v>
      </c>
      <c r="F9420" s="3">
        <f ca="1">40948+(RANDBETWEEN(1,10))</f>
        <v>40950</v>
      </c>
      <c r="G9420" t="s">
        <v>76</v>
      </c>
      <c r="H9420" t="s">
        <v>77</v>
      </c>
      <c r="I9420" t="s">
        <v>86</v>
      </c>
      <c r="J9420">
        <v>43037.714999999997</v>
      </c>
      <c r="K9420">
        <v>0.01</v>
      </c>
      <c r="L9420">
        <v>0.78</v>
      </c>
      <c r="M9420">
        <v>199.5</v>
      </c>
      <c r="N9420">
        <v>-1458.45</v>
      </c>
      <c r="O9420" s="1" t="s">
        <v>40</v>
      </c>
      <c r="P9420" s="1" t="s">
        <v>7320</v>
      </c>
      <c r="Q9420" s="1" t="s">
        <v>7321</v>
      </c>
      <c r="R9420" s="1" t="s">
        <v>43</v>
      </c>
      <c r="S9420" s="1" t="s">
        <v>44</v>
      </c>
      <c r="T9420" s="1" t="s">
        <v>7322</v>
      </c>
      <c r="U9420" s="2" t="s">
        <v>3811</v>
      </c>
      <c r="V9420" s="2" t="s">
        <v>83</v>
      </c>
      <c r="W9420" s="2" t="s">
        <v>84</v>
      </c>
      <c r="X9420" s="2">
        <v>983.43</v>
      </c>
    </row>
    <row r="9421" spans="1:24" x14ac:dyDescent="0.3">
      <c r="A9421">
        <v>98</v>
      </c>
      <c r="B9421" t="s">
        <v>16488</v>
      </c>
      <c r="C9421" s="3">
        <v>41442</v>
      </c>
      <c r="D9421" t="s">
        <v>39</v>
      </c>
      <c r="E9421">
        <v>36</v>
      </c>
      <c r="F9421" s="3">
        <f ca="1">41443+(RANDBETWEEN(1,10))</f>
        <v>41452</v>
      </c>
      <c r="G9421" t="s">
        <v>26</v>
      </c>
      <c r="H9421" t="s">
        <v>27</v>
      </c>
      <c r="I9421" t="s">
        <v>28</v>
      </c>
      <c r="J9421">
        <v>5183.6400000000003</v>
      </c>
      <c r="K9421">
        <v>0.09</v>
      </c>
      <c r="L9421" t="s">
        <v>182</v>
      </c>
      <c r="M9421">
        <v>21.77</v>
      </c>
      <c r="N9421">
        <v>446.95</v>
      </c>
      <c r="O9421" s="1" t="s">
        <v>87</v>
      </c>
      <c r="P9421" s="1" t="s">
        <v>309</v>
      </c>
      <c r="Q9421" s="1" t="s">
        <v>310</v>
      </c>
      <c r="R9421" s="1" t="s">
        <v>90</v>
      </c>
      <c r="S9421" s="1" t="s">
        <v>91</v>
      </c>
      <c r="T9421" s="1" t="s">
        <v>311</v>
      </c>
      <c r="U9421" s="2" t="s">
        <v>824</v>
      </c>
      <c r="V9421" s="2" t="s">
        <v>47</v>
      </c>
      <c r="W9421" s="2" t="s">
        <v>119</v>
      </c>
      <c r="X9421" s="2">
        <v>149.66</v>
      </c>
    </row>
    <row r="9422" spans="1:24" x14ac:dyDescent="0.3">
      <c r="A9422">
        <v>980</v>
      </c>
      <c r="B9422" t="s">
        <v>16490</v>
      </c>
      <c r="C9422" s="3">
        <v>40947</v>
      </c>
      <c r="D9422" t="s">
        <v>148</v>
      </c>
      <c r="E9422">
        <v>18</v>
      </c>
      <c r="F9422" s="3">
        <f ca="1">40949+(RANDBETWEEN(1,10))</f>
        <v>40958</v>
      </c>
      <c r="G9422" t="s">
        <v>26</v>
      </c>
      <c r="H9422" t="s">
        <v>27</v>
      </c>
      <c r="I9422" t="s">
        <v>86</v>
      </c>
      <c r="J9422">
        <v>448.45499999999998</v>
      </c>
      <c r="K9422">
        <v>0.03</v>
      </c>
      <c r="L9422">
        <v>0.37</v>
      </c>
      <c r="M9422">
        <v>20.79</v>
      </c>
      <c r="N9422">
        <v>-122.185</v>
      </c>
      <c r="O9422" s="1" t="s">
        <v>40</v>
      </c>
      <c r="P9422" s="1" t="s">
        <v>7320</v>
      </c>
      <c r="Q9422" s="1" t="s">
        <v>7321</v>
      </c>
      <c r="R9422" s="1" t="s">
        <v>43</v>
      </c>
      <c r="S9422" s="1" t="s">
        <v>44</v>
      </c>
      <c r="T9422" s="1" t="s">
        <v>7322</v>
      </c>
      <c r="U9422" s="2" t="s">
        <v>3813</v>
      </c>
      <c r="V9422" s="2" t="s">
        <v>47</v>
      </c>
      <c r="W9422" s="2" t="s">
        <v>74</v>
      </c>
      <c r="X9422" s="2">
        <v>22.68</v>
      </c>
    </row>
    <row r="9423" spans="1:24" x14ac:dyDescent="0.3">
      <c r="A9423">
        <v>985</v>
      </c>
      <c r="B9423" t="s">
        <v>16491</v>
      </c>
      <c r="C9423" s="3">
        <v>41643</v>
      </c>
      <c r="D9423" t="s">
        <v>50</v>
      </c>
      <c r="E9423">
        <v>3</v>
      </c>
      <c r="F9423" s="3">
        <f ca="1">41643+(RANDBETWEEN(1,10))</f>
        <v>41652</v>
      </c>
      <c r="G9423" t="s">
        <v>26</v>
      </c>
      <c r="H9423" t="s">
        <v>281</v>
      </c>
      <c r="I9423" t="s">
        <v>28</v>
      </c>
      <c r="J9423">
        <v>602.14</v>
      </c>
      <c r="K9423">
        <v>0.02</v>
      </c>
      <c r="L9423">
        <v>0.64</v>
      </c>
      <c r="M9423">
        <v>38.85</v>
      </c>
      <c r="N9423">
        <v>200.31200000000001</v>
      </c>
      <c r="O9423" s="1" t="s">
        <v>64</v>
      </c>
      <c r="P9423" s="1" t="s">
        <v>7301</v>
      </c>
      <c r="Q9423" s="1" t="s">
        <v>7302</v>
      </c>
      <c r="R9423" s="1" t="s">
        <v>128</v>
      </c>
      <c r="S9423" s="1" t="s">
        <v>129</v>
      </c>
      <c r="T9423" s="1" t="s">
        <v>7303</v>
      </c>
      <c r="U9423" s="2" t="s">
        <v>3827</v>
      </c>
      <c r="V9423" s="2" t="s">
        <v>83</v>
      </c>
      <c r="W9423" s="2" t="s">
        <v>178</v>
      </c>
      <c r="X9423" s="2">
        <v>189.7</v>
      </c>
    </row>
    <row r="9424" spans="1:24" x14ac:dyDescent="0.3">
      <c r="A9424">
        <v>986</v>
      </c>
      <c r="B9424" t="s">
        <v>16491</v>
      </c>
      <c r="C9424" s="3">
        <v>41643</v>
      </c>
      <c r="D9424" t="s">
        <v>50</v>
      </c>
      <c r="E9424">
        <v>3</v>
      </c>
      <c r="F9424" s="3">
        <f ca="1">41645+(RANDBETWEEN(1,10))</f>
        <v>41646</v>
      </c>
      <c r="G9424" t="s">
        <v>26</v>
      </c>
      <c r="H9424" t="s">
        <v>96</v>
      </c>
      <c r="I9424" t="s">
        <v>28</v>
      </c>
      <c r="J9424">
        <v>395.99</v>
      </c>
      <c r="K9424">
        <v>0.06</v>
      </c>
      <c r="L9424">
        <v>0.38</v>
      </c>
      <c r="M9424">
        <v>17.78</v>
      </c>
      <c r="N9424">
        <v>-118.88800000000001</v>
      </c>
      <c r="O9424" s="1" t="s">
        <v>64</v>
      </c>
      <c r="P9424" s="1" t="s">
        <v>7301</v>
      </c>
      <c r="Q9424" s="1" t="s">
        <v>7302</v>
      </c>
      <c r="R9424" s="1" t="s">
        <v>128</v>
      </c>
      <c r="S9424" s="1" t="s">
        <v>129</v>
      </c>
      <c r="T9424" s="1" t="s">
        <v>7303</v>
      </c>
      <c r="U9424" s="2" t="s">
        <v>2638</v>
      </c>
      <c r="V9424" s="2" t="s">
        <v>47</v>
      </c>
      <c r="W9424" s="2" t="s">
        <v>74</v>
      </c>
      <c r="X9424" s="2">
        <v>132.79</v>
      </c>
    </row>
    <row r="9425" spans="1:24" x14ac:dyDescent="0.3">
      <c r="A9425">
        <v>987</v>
      </c>
      <c r="B9425" t="s">
        <v>16491</v>
      </c>
      <c r="C9425" s="3">
        <v>41643</v>
      </c>
      <c r="D9425" t="s">
        <v>50</v>
      </c>
      <c r="E9425">
        <v>35</v>
      </c>
      <c r="F9425" s="3">
        <f ca="1">41644+(RANDBETWEEN(1,10))</f>
        <v>41650</v>
      </c>
      <c r="G9425" t="s">
        <v>26</v>
      </c>
      <c r="H9425" t="s">
        <v>27</v>
      </c>
      <c r="I9425" t="s">
        <v>28</v>
      </c>
      <c r="J9425">
        <v>6602.82</v>
      </c>
      <c r="K9425">
        <v>0.1</v>
      </c>
      <c r="L9425">
        <v>0.59</v>
      </c>
      <c r="M9425">
        <v>17.78</v>
      </c>
      <c r="N9425">
        <v>570.91999999999996</v>
      </c>
      <c r="O9425" s="1" t="s">
        <v>64</v>
      </c>
      <c r="P9425" s="1" t="s">
        <v>7301</v>
      </c>
      <c r="Q9425" s="1" t="s">
        <v>7302</v>
      </c>
      <c r="R9425" s="1" t="s">
        <v>128</v>
      </c>
      <c r="S9425" s="1" t="s">
        <v>129</v>
      </c>
      <c r="T9425" s="1" t="s">
        <v>7303</v>
      </c>
      <c r="U9425" s="2" t="s">
        <v>3832</v>
      </c>
      <c r="V9425" s="2" t="s">
        <v>47</v>
      </c>
      <c r="W9425" s="2" t="s">
        <v>119</v>
      </c>
      <c r="X9425" s="2">
        <v>193.51499999999999</v>
      </c>
    </row>
    <row r="9426" spans="1:24" x14ac:dyDescent="0.3">
      <c r="A9426">
        <v>991</v>
      </c>
      <c r="B9426" t="s">
        <v>16492</v>
      </c>
      <c r="C9426" s="3">
        <v>41476</v>
      </c>
      <c r="D9426" t="s">
        <v>62</v>
      </c>
      <c r="E9426">
        <v>49</v>
      </c>
      <c r="F9426" s="3">
        <f ca="1">41478+(RANDBETWEEN(1,10))</f>
        <v>41488</v>
      </c>
      <c r="G9426" t="s">
        <v>26</v>
      </c>
      <c r="H9426" t="s">
        <v>27</v>
      </c>
      <c r="I9426" t="s">
        <v>28</v>
      </c>
      <c r="J9426">
        <v>632.94000000000005</v>
      </c>
      <c r="K9426">
        <v>0.06</v>
      </c>
      <c r="L9426">
        <v>0.38</v>
      </c>
      <c r="M9426">
        <v>1.75</v>
      </c>
      <c r="N9426">
        <v>199.5</v>
      </c>
      <c r="O9426" s="1" t="s">
        <v>64</v>
      </c>
      <c r="P9426" s="1" t="s">
        <v>126</v>
      </c>
      <c r="Q9426" s="1" t="s">
        <v>127</v>
      </c>
      <c r="R9426" s="1" t="s">
        <v>128</v>
      </c>
      <c r="S9426" s="1" t="s">
        <v>129</v>
      </c>
      <c r="T9426" s="1" t="s">
        <v>130</v>
      </c>
      <c r="U9426" s="2" t="s">
        <v>702</v>
      </c>
      <c r="V9426" s="2" t="s">
        <v>47</v>
      </c>
      <c r="W9426" s="2" t="s">
        <v>203</v>
      </c>
      <c r="X9426" s="2">
        <v>12.914999999999999</v>
      </c>
    </row>
    <row r="9427" spans="1:24" x14ac:dyDescent="0.3">
      <c r="A9427">
        <v>998</v>
      </c>
      <c r="B9427" t="s">
        <v>16493</v>
      </c>
      <c r="C9427" s="3">
        <v>41647</v>
      </c>
      <c r="D9427" t="s">
        <v>39</v>
      </c>
      <c r="E9427">
        <v>28</v>
      </c>
      <c r="F9427" s="3">
        <f ca="1">41649+(RANDBETWEEN(1,10))</f>
        <v>41655</v>
      </c>
      <c r="G9427" t="s">
        <v>26</v>
      </c>
      <c r="H9427" t="s">
        <v>27</v>
      </c>
      <c r="I9427" t="s">
        <v>28</v>
      </c>
      <c r="J9427">
        <v>85267.875</v>
      </c>
      <c r="K9427">
        <v>0.03</v>
      </c>
      <c r="L9427">
        <v>0.38</v>
      </c>
      <c r="M9427">
        <v>69.965000000000003</v>
      </c>
      <c r="N9427">
        <v>13014.887199999999</v>
      </c>
      <c r="O9427" s="1" t="s">
        <v>64</v>
      </c>
      <c r="P9427" s="1" t="s">
        <v>194</v>
      </c>
      <c r="Q9427" s="1" t="s">
        <v>195</v>
      </c>
      <c r="R9427" s="1" t="s">
        <v>67</v>
      </c>
      <c r="S9427" s="1" t="s">
        <v>108</v>
      </c>
      <c r="T9427" s="1" t="s">
        <v>196</v>
      </c>
      <c r="U9427" s="2" t="s">
        <v>1207</v>
      </c>
      <c r="V9427" s="2" t="s">
        <v>47</v>
      </c>
      <c r="W9427" s="2" t="s">
        <v>111</v>
      </c>
      <c r="X9427" s="2">
        <v>3139.4650000000001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2A9E6-4633-4A2D-8235-903A25B6E474}">
  <dimension ref="A1:H18"/>
  <sheetViews>
    <sheetView workbookViewId="0">
      <selection activeCell="A2" sqref="A2"/>
    </sheetView>
  </sheetViews>
  <sheetFormatPr defaultRowHeight="14.4" x14ac:dyDescent="0.3"/>
  <cols>
    <col min="1" max="1" width="20.88671875" bestFit="1" customWidth="1"/>
    <col min="2" max="2" width="8.21875" bestFit="1" customWidth="1"/>
    <col min="3" max="3" width="5.77734375" bestFit="1" customWidth="1"/>
    <col min="4" max="4" width="5.88671875" bestFit="1" customWidth="1"/>
    <col min="5" max="5" width="9.6640625" bestFit="1" customWidth="1"/>
    <col min="6" max="11" width="9.77734375" bestFit="1" customWidth="1"/>
  </cols>
  <sheetData>
    <row r="1" spans="1:8" x14ac:dyDescent="0.3">
      <c r="A1" s="5" t="s">
        <v>16494</v>
      </c>
      <c r="B1" t="s">
        <v>16495</v>
      </c>
      <c r="C1" t="s">
        <v>16496</v>
      </c>
      <c r="D1" t="s">
        <v>16497</v>
      </c>
      <c r="E1" t="s">
        <v>16498</v>
      </c>
      <c r="F1" t="s">
        <v>16499</v>
      </c>
    </row>
    <row r="2" spans="1:8" x14ac:dyDescent="0.3">
      <c r="A2" s="6" t="s">
        <v>60</v>
      </c>
      <c r="B2" s="4">
        <v>5</v>
      </c>
      <c r="C2" s="4">
        <v>2</v>
      </c>
      <c r="D2" s="4">
        <v>3</v>
      </c>
      <c r="E2" s="4">
        <v>4</v>
      </c>
      <c r="F2" s="4">
        <v>15</v>
      </c>
    </row>
    <row r="3" spans="1:8" x14ac:dyDescent="0.3">
      <c r="A3" s="6" t="s">
        <v>104</v>
      </c>
      <c r="B3" s="4">
        <v>5</v>
      </c>
      <c r="C3" s="4">
        <v>3</v>
      </c>
      <c r="D3" s="4">
        <v>2</v>
      </c>
      <c r="E3" s="4">
        <v>4</v>
      </c>
      <c r="F3" s="4">
        <v>83</v>
      </c>
    </row>
    <row r="4" spans="1:8" x14ac:dyDescent="0.3">
      <c r="A4" s="6" t="s">
        <v>203</v>
      </c>
      <c r="B4" s="4">
        <v>5</v>
      </c>
      <c r="C4" s="4">
        <v>2</v>
      </c>
      <c r="D4" s="4">
        <v>3</v>
      </c>
      <c r="E4" s="4">
        <v>3</v>
      </c>
      <c r="F4" s="4">
        <v>8</v>
      </c>
    </row>
    <row r="5" spans="1:8" x14ac:dyDescent="0.3">
      <c r="A5" s="6" t="s">
        <v>48</v>
      </c>
      <c r="B5" s="4">
        <v>5</v>
      </c>
      <c r="C5" s="4">
        <v>3</v>
      </c>
      <c r="D5" s="4">
        <v>2</v>
      </c>
      <c r="E5" s="4">
        <v>4</v>
      </c>
      <c r="F5" s="4">
        <v>77</v>
      </c>
    </row>
    <row r="6" spans="1:8" x14ac:dyDescent="0.3">
      <c r="A6" s="6" t="s">
        <v>1327</v>
      </c>
      <c r="B6" s="4">
        <v>5</v>
      </c>
      <c r="C6" s="4">
        <v>2</v>
      </c>
      <c r="D6" s="4">
        <v>3</v>
      </c>
      <c r="E6" s="4">
        <v>3</v>
      </c>
      <c r="F6" s="4">
        <v>9</v>
      </c>
    </row>
    <row r="7" spans="1:8" x14ac:dyDescent="0.3">
      <c r="A7" s="6" t="s">
        <v>84</v>
      </c>
      <c r="B7" s="4">
        <v>5</v>
      </c>
      <c r="C7" s="4">
        <v>2</v>
      </c>
      <c r="D7" s="4">
        <v>3</v>
      </c>
      <c r="E7" s="4">
        <v>4</v>
      </c>
      <c r="F7" s="4">
        <v>14</v>
      </c>
    </row>
    <row r="8" spans="1:8" x14ac:dyDescent="0.3">
      <c r="A8" s="6" t="s">
        <v>94</v>
      </c>
      <c r="B8" s="4">
        <v>4</v>
      </c>
      <c r="C8" s="4">
        <v>3</v>
      </c>
      <c r="D8" s="4">
        <v>3</v>
      </c>
      <c r="E8" s="4">
        <v>3</v>
      </c>
      <c r="F8" s="4">
        <v>8</v>
      </c>
    </row>
    <row r="9" spans="1:8" x14ac:dyDescent="0.3">
      <c r="A9" s="6" t="s">
        <v>74</v>
      </c>
      <c r="B9" s="4">
        <v>5</v>
      </c>
      <c r="C9" s="4">
        <v>2</v>
      </c>
      <c r="D9" s="4">
        <v>3</v>
      </c>
      <c r="E9" s="4">
        <v>4</v>
      </c>
      <c r="F9" s="4">
        <v>12</v>
      </c>
    </row>
    <row r="10" spans="1:8" x14ac:dyDescent="0.3">
      <c r="A10" s="6" t="s">
        <v>71</v>
      </c>
      <c r="B10" s="4">
        <v>4</v>
      </c>
      <c r="C10" s="4">
        <v>3</v>
      </c>
      <c r="D10" s="4">
        <v>3</v>
      </c>
      <c r="E10" s="4">
        <v>3</v>
      </c>
      <c r="F10" s="4">
        <v>9</v>
      </c>
      <c r="H10" t="s">
        <v>16500</v>
      </c>
    </row>
    <row r="11" spans="1:8" x14ac:dyDescent="0.3">
      <c r="A11" s="6" t="s">
        <v>111</v>
      </c>
      <c r="B11" s="4">
        <v>5</v>
      </c>
      <c r="C11" s="4">
        <v>2</v>
      </c>
      <c r="D11" s="4">
        <v>3</v>
      </c>
      <c r="E11" s="4">
        <v>4</v>
      </c>
      <c r="F11" s="4">
        <v>7</v>
      </c>
      <c r="H11">
        <v>1</v>
      </c>
    </row>
    <row r="12" spans="1:8" x14ac:dyDescent="0.3">
      <c r="A12" s="6" t="s">
        <v>176</v>
      </c>
      <c r="B12" s="4">
        <v>5</v>
      </c>
      <c r="C12" s="4">
        <v>2</v>
      </c>
      <c r="D12" s="4">
        <v>3</v>
      </c>
      <c r="E12" s="4">
        <v>4</v>
      </c>
      <c r="F12" s="4">
        <v>8</v>
      </c>
      <c r="H12">
        <v>2</v>
      </c>
    </row>
    <row r="13" spans="1:8" x14ac:dyDescent="0.3">
      <c r="A13" s="6" t="s">
        <v>263</v>
      </c>
      <c r="B13" s="4">
        <v>5</v>
      </c>
      <c r="C13" s="4">
        <v>3</v>
      </c>
      <c r="D13" s="4">
        <v>2</v>
      </c>
      <c r="E13" s="4">
        <v>4</v>
      </c>
      <c r="F13" s="4">
        <v>8</v>
      </c>
    </row>
    <row r="14" spans="1:8" x14ac:dyDescent="0.3">
      <c r="A14" s="6" t="s">
        <v>298</v>
      </c>
      <c r="B14" s="4">
        <v>5</v>
      </c>
      <c r="C14" s="4">
        <v>3</v>
      </c>
      <c r="D14" s="4">
        <v>2</v>
      </c>
      <c r="E14" s="4">
        <v>4</v>
      </c>
      <c r="F14" s="4">
        <v>7</v>
      </c>
    </row>
    <row r="15" spans="1:8" x14ac:dyDescent="0.3">
      <c r="A15" s="6" t="s">
        <v>119</v>
      </c>
      <c r="B15" s="4">
        <v>5</v>
      </c>
      <c r="C15" s="4">
        <v>2</v>
      </c>
      <c r="D15" s="4">
        <v>3</v>
      </c>
      <c r="E15" s="4">
        <v>4</v>
      </c>
      <c r="F15" s="4">
        <v>9</v>
      </c>
    </row>
    <row r="16" spans="1:8" x14ac:dyDescent="0.3">
      <c r="A16" s="6" t="s">
        <v>37</v>
      </c>
      <c r="B16" s="4">
        <v>5</v>
      </c>
      <c r="C16" s="4">
        <v>3</v>
      </c>
      <c r="D16" s="4">
        <v>2</v>
      </c>
      <c r="E16" s="4">
        <v>4</v>
      </c>
      <c r="F16" s="4">
        <v>29</v>
      </c>
    </row>
    <row r="17" spans="1:6" x14ac:dyDescent="0.3">
      <c r="A17" s="6" t="s">
        <v>142</v>
      </c>
      <c r="B17" s="4">
        <v>5</v>
      </c>
      <c r="C17" s="4">
        <v>2</v>
      </c>
      <c r="D17" s="4">
        <v>3</v>
      </c>
      <c r="E17" s="4">
        <v>4</v>
      </c>
      <c r="F17" s="4">
        <v>8</v>
      </c>
    </row>
    <row r="18" spans="1:6" x14ac:dyDescent="0.3">
      <c r="A18" s="6" t="s">
        <v>178</v>
      </c>
      <c r="B18" s="4">
        <v>5</v>
      </c>
      <c r="C18" s="4">
        <v>3</v>
      </c>
      <c r="D18" s="4">
        <v>2</v>
      </c>
      <c r="E18" s="4">
        <v>4</v>
      </c>
      <c r="F18" s="4">
        <v>9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680DF-DD6E-4382-A6E8-C14FEC00690B}">
  <dimension ref="A1:G9144"/>
  <sheetViews>
    <sheetView tabSelected="1" workbookViewId="0">
      <selection activeCell="I7" sqref="I7"/>
    </sheetView>
  </sheetViews>
  <sheetFormatPr defaultRowHeight="14.4" x14ac:dyDescent="0.3"/>
  <cols>
    <col min="1" max="1" width="23.6640625" bestFit="1" customWidth="1"/>
    <col min="2" max="2" width="24.44140625" bestFit="1" customWidth="1"/>
    <col min="3" max="3" width="18.77734375" bestFit="1" customWidth="1"/>
  </cols>
  <sheetData>
    <row r="1" spans="1:7" x14ac:dyDescent="0.3">
      <c r="A1" s="5" t="s">
        <v>1</v>
      </c>
      <c r="B1" s="5" t="s">
        <v>14</v>
      </c>
      <c r="C1" s="5" t="s">
        <v>10</v>
      </c>
      <c r="F1" t="s">
        <v>14</v>
      </c>
      <c r="G1" t="s">
        <v>10</v>
      </c>
    </row>
    <row r="2" spans="1:7" x14ac:dyDescent="0.3">
      <c r="A2" t="s">
        <v>16298</v>
      </c>
      <c r="B2" t="s">
        <v>64</v>
      </c>
      <c r="C2">
        <v>0.08</v>
      </c>
      <c r="F2" t="s">
        <v>64</v>
      </c>
      <c r="G2">
        <v>0.08</v>
      </c>
    </row>
    <row r="3" spans="1:7" x14ac:dyDescent="0.3">
      <c r="A3" t="s">
        <v>16483</v>
      </c>
      <c r="B3" t="s">
        <v>225</v>
      </c>
      <c r="C3">
        <v>0.02</v>
      </c>
      <c r="F3" t="s">
        <v>225</v>
      </c>
      <c r="G3">
        <v>0.02</v>
      </c>
    </row>
    <row r="4" spans="1:7" x14ac:dyDescent="0.3">
      <c r="A4" t="s">
        <v>16483</v>
      </c>
      <c r="B4" t="s">
        <v>225</v>
      </c>
      <c r="C4">
        <v>0.04</v>
      </c>
      <c r="F4" t="s">
        <v>225</v>
      </c>
      <c r="G4">
        <v>0.04</v>
      </c>
    </row>
    <row r="5" spans="1:7" x14ac:dyDescent="0.3">
      <c r="A5" t="s">
        <v>85</v>
      </c>
      <c r="B5" t="s">
        <v>87</v>
      </c>
      <c r="C5">
        <v>0.01</v>
      </c>
      <c r="F5" t="s">
        <v>87</v>
      </c>
      <c r="G5">
        <v>0.01</v>
      </c>
    </row>
    <row r="6" spans="1:7" x14ac:dyDescent="0.3">
      <c r="A6" t="s">
        <v>273</v>
      </c>
      <c r="B6" t="s">
        <v>40</v>
      </c>
      <c r="C6">
        <v>0.06</v>
      </c>
      <c r="F6" t="s">
        <v>40</v>
      </c>
      <c r="G6">
        <v>0.06</v>
      </c>
    </row>
    <row r="7" spans="1:7" x14ac:dyDescent="0.3">
      <c r="A7" t="s">
        <v>273</v>
      </c>
      <c r="B7" t="s">
        <v>40</v>
      </c>
      <c r="C7">
        <v>0.08</v>
      </c>
      <c r="F7" t="s">
        <v>40</v>
      </c>
      <c r="G7">
        <v>0.08</v>
      </c>
    </row>
    <row r="8" spans="1:7" x14ac:dyDescent="0.3">
      <c r="A8" t="s">
        <v>15947</v>
      </c>
      <c r="B8" t="s">
        <v>64</v>
      </c>
      <c r="C8">
        <v>7.0000000000000007E-2</v>
      </c>
      <c r="F8" t="s">
        <v>64</v>
      </c>
      <c r="G8">
        <v>7.0000000000000007E-2</v>
      </c>
    </row>
    <row r="9" spans="1:7" x14ac:dyDescent="0.3">
      <c r="A9" t="s">
        <v>16073</v>
      </c>
      <c r="B9" t="s">
        <v>64</v>
      </c>
      <c r="C9">
        <v>0.1</v>
      </c>
    </row>
    <row r="10" spans="1:7" x14ac:dyDescent="0.3">
      <c r="A10" t="s">
        <v>16105</v>
      </c>
      <c r="B10" t="s">
        <v>225</v>
      </c>
      <c r="C10">
        <v>7.0000000000000007E-2</v>
      </c>
    </row>
    <row r="11" spans="1:7" x14ac:dyDescent="0.3">
      <c r="A11" t="s">
        <v>16129</v>
      </c>
      <c r="B11" t="s">
        <v>64</v>
      </c>
      <c r="C11">
        <v>0.01</v>
      </c>
    </row>
    <row r="12" spans="1:7" x14ac:dyDescent="0.3">
      <c r="A12" t="s">
        <v>16140</v>
      </c>
      <c r="B12" t="s">
        <v>64</v>
      </c>
      <c r="C12">
        <v>0.09</v>
      </c>
    </row>
    <row r="13" spans="1:7" x14ac:dyDescent="0.3">
      <c r="A13" t="s">
        <v>16140</v>
      </c>
      <c r="B13" t="s">
        <v>64</v>
      </c>
      <c r="C13">
        <v>0.1</v>
      </c>
    </row>
    <row r="14" spans="1:7" x14ac:dyDescent="0.3">
      <c r="A14" t="s">
        <v>16173</v>
      </c>
      <c r="B14" t="s">
        <v>40</v>
      </c>
      <c r="C14">
        <v>7.0000000000000007E-2</v>
      </c>
    </row>
    <row r="15" spans="1:7" x14ac:dyDescent="0.3">
      <c r="A15" t="s">
        <v>16218</v>
      </c>
      <c r="B15" t="s">
        <v>64</v>
      </c>
      <c r="C15">
        <v>0.02</v>
      </c>
    </row>
    <row r="16" spans="1:7" x14ac:dyDescent="0.3">
      <c r="A16" t="s">
        <v>16353</v>
      </c>
      <c r="B16" t="s">
        <v>53</v>
      </c>
      <c r="C16">
        <v>0.05</v>
      </c>
    </row>
    <row r="17" spans="1:3" x14ac:dyDescent="0.3">
      <c r="A17" t="s">
        <v>16420</v>
      </c>
      <c r="B17" t="s">
        <v>53</v>
      </c>
      <c r="C17">
        <v>0.02</v>
      </c>
    </row>
    <row r="18" spans="1:3" x14ac:dyDescent="0.3">
      <c r="A18" t="s">
        <v>16420</v>
      </c>
      <c r="B18" t="s">
        <v>53</v>
      </c>
      <c r="C18">
        <v>0.03</v>
      </c>
    </row>
    <row r="19" spans="1:3" x14ac:dyDescent="0.3">
      <c r="A19" t="s">
        <v>16460</v>
      </c>
      <c r="B19" t="s">
        <v>64</v>
      </c>
      <c r="C19">
        <v>7.0000000000000007E-2</v>
      </c>
    </row>
    <row r="20" spans="1:3" x14ac:dyDescent="0.3">
      <c r="A20" t="s">
        <v>16474</v>
      </c>
      <c r="B20" t="s">
        <v>64</v>
      </c>
      <c r="C20">
        <v>0.03</v>
      </c>
    </row>
    <row r="21" spans="1:3" x14ac:dyDescent="0.3">
      <c r="A21" t="s">
        <v>16484</v>
      </c>
      <c r="B21" t="s">
        <v>40</v>
      </c>
      <c r="C21">
        <v>0.02</v>
      </c>
    </row>
    <row r="22" spans="1:3" x14ac:dyDescent="0.3">
      <c r="A22" t="s">
        <v>38</v>
      </c>
      <c r="B22" t="s">
        <v>40</v>
      </c>
      <c r="C22">
        <v>0.09</v>
      </c>
    </row>
    <row r="23" spans="1:3" x14ac:dyDescent="0.3">
      <c r="A23" t="s">
        <v>61</v>
      </c>
      <c r="B23" t="s">
        <v>64</v>
      </c>
      <c r="C23">
        <v>0.03</v>
      </c>
    </row>
    <row r="24" spans="1:3" x14ac:dyDescent="0.3">
      <c r="A24" t="s">
        <v>61</v>
      </c>
      <c r="B24" t="s">
        <v>64</v>
      </c>
      <c r="C24">
        <v>0.06</v>
      </c>
    </row>
    <row r="25" spans="1:3" x14ac:dyDescent="0.3">
      <c r="A25" t="s">
        <v>61</v>
      </c>
      <c r="B25" t="s">
        <v>64</v>
      </c>
      <c r="C25">
        <v>0.1</v>
      </c>
    </row>
    <row r="26" spans="1:3" x14ac:dyDescent="0.3">
      <c r="A26" t="s">
        <v>95</v>
      </c>
      <c r="B26" t="s">
        <v>53</v>
      </c>
      <c r="C26">
        <v>0.03</v>
      </c>
    </row>
    <row r="27" spans="1:3" x14ac:dyDescent="0.3">
      <c r="A27" t="s">
        <v>125</v>
      </c>
      <c r="B27" t="s">
        <v>64</v>
      </c>
      <c r="C27">
        <v>0.01</v>
      </c>
    </row>
    <row r="28" spans="1:3" x14ac:dyDescent="0.3">
      <c r="A28" t="s">
        <v>143</v>
      </c>
      <c r="B28" t="s">
        <v>64</v>
      </c>
      <c r="C28">
        <v>0.02</v>
      </c>
    </row>
    <row r="29" spans="1:3" x14ac:dyDescent="0.3">
      <c r="A29" t="s">
        <v>153</v>
      </c>
      <c r="B29" t="s">
        <v>40</v>
      </c>
      <c r="C29">
        <v>0.08</v>
      </c>
    </row>
    <row r="30" spans="1:3" x14ac:dyDescent="0.3">
      <c r="A30" t="s">
        <v>167</v>
      </c>
      <c r="B30" t="s">
        <v>53</v>
      </c>
      <c r="C30">
        <v>0.1</v>
      </c>
    </row>
    <row r="31" spans="1:3" x14ac:dyDescent="0.3">
      <c r="A31" t="s">
        <v>179</v>
      </c>
      <c r="B31" t="s">
        <v>64</v>
      </c>
      <c r="C31">
        <v>0.06</v>
      </c>
    </row>
    <row r="32" spans="1:3" x14ac:dyDescent="0.3">
      <c r="A32" t="s">
        <v>198</v>
      </c>
      <c r="B32" t="s">
        <v>40</v>
      </c>
      <c r="C32">
        <v>0.02</v>
      </c>
    </row>
    <row r="33" spans="1:3" x14ac:dyDescent="0.3">
      <c r="A33" t="s">
        <v>198</v>
      </c>
      <c r="B33" t="s">
        <v>40</v>
      </c>
      <c r="C33">
        <v>7.0000000000000007E-2</v>
      </c>
    </row>
    <row r="34" spans="1:3" x14ac:dyDescent="0.3">
      <c r="A34" t="s">
        <v>238</v>
      </c>
      <c r="B34" t="s">
        <v>64</v>
      </c>
      <c r="C34">
        <v>0</v>
      </c>
    </row>
    <row r="35" spans="1:3" x14ac:dyDescent="0.3">
      <c r="A35" t="s">
        <v>249</v>
      </c>
      <c r="B35" t="s">
        <v>40</v>
      </c>
      <c r="C35">
        <v>0.01</v>
      </c>
    </row>
    <row r="36" spans="1:3" x14ac:dyDescent="0.3">
      <c r="A36" t="s">
        <v>294</v>
      </c>
      <c r="B36" t="s">
        <v>64</v>
      </c>
      <c r="C36">
        <v>0.01</v>
      </c>
    </row>
    <row r="37" spans="1:3" x14ac:dyDescent="0.3">
      <c r="A37" t="s">
        <v>296</v>
      </c>
      <c r="B37" t="s">
        <v>53</v>
      </c>
      <c r="C37">
        <v>0.06</v>
      </c>
    </row>
    <row r="38" spans="1:3" x14ac:dyDescent="0.3">
      <c r="A38" t="s">
        <v>299</v>
      </c>
      <c r="B38" t="s">
        <v>64</v>
      </c>
      <c r="C38">
        <v>0.03</v>
      </c>
    </row>
    <row r="39" spans="1:3" x14ac:dyDescent="0.3">
      <c r="A39" t="s">
        <v>299</v>
      </c>
      <c r="B39" t="s">
        <v>64</v>
      </c>
      <c r="C39">
        <v>0.09</v>
      </c>
    </row>
    <row r="40" spans="1:3" x14ac:dyDescent="0.3">
      <c r="A40" t="s">
        <v>313</v>
      </c>
      <c r="B40" t="s">
        <v>64</v>
      </c>
      <c r="C40">
        <v>0.04</v>
      </c>
    </row>
    <row r="41" spans="1:3" x14ac:dyDescent="0.3">
      <c r="A41" t="s">
        <v>327</v>
      </c>
      <c r="B41" t="s">
        <v>64</v>
      </c>
      <c r="C41">
        <v>0.06</v>
      </c>
    </row>
    <row r="42" spans="1:3" x14ac:dyDescent="0.3">
      <c r="A42" t="s">
        <v>359</v>
      </c>
      <c r="B42" t="s">
        <v>225</v>
      </c>
      <c r="C42">
        <v>0.04</v>
      </c>
    </row>
    <row r="43" spans="1:3" x14ac:dyDescent="0.3">
      <c r="A43" t="s">
        <v>359</v>
      </c>
      <c r="B43" t="s">
        <v>225</v>
      </c>
      <c r="C43">
        <v>0.1</v>
      </c>
    </row>
    <row r="44" spans="1:3" x14ac:dyDescent="0.3">
      <c r="A44" t="s">
        <v>366</v>
      </c>
      <c r="B44" t="s">
        <v>29</v>
      </c>
      <c r="C44">
        <v>0</v>
      </c>
    </row>
    <row r="45" spans="1:3" x14ac:dyDescent="0.3">
      <c r="A45" t="s">
        <v>2774</v>
      </c>
      <c r="B45" t="s">
        <v>225</v>
      </c>
      <c r="C45">
        <v>0.04</v>
      </c>
    </row>
    <row r="46" spans="1:3" x14ac:dyDescent="0.3">
      <c r="A46" t="s">
        <v>3812</v>
      </c>
      <c r="B46" t="s">
        <v>40</v>
      </c>
      <c r="C46">
        <v>7.0000000000000007E-2</v>
      </c>
    </row>
    <row r="47" spans="1:3" x14ac:dyDescent="0.3">
      <c r="A47" t="s">
        <v>4306</v>
      </c>
      <c r="B47" t="s">
        <v>64</v>
      </c>
      <c r="C47">
        <v>0.02</v>
      </c>
    </row>
    <row r="48" spans="1:3" x14ac:dyDescent="0.3">
      <c r="A48" t="s">
        <v>5070</v>
      </c>
      <c r="B48" t="s">
        <v>53</v>
      </c>
      <c r="C48">
        <v>0.01</v>
      </c>
    </row>
    <row r="49" spans="1:3" x14ac:dyDescent="0.3">
      <c r="A49" t="s">
        <v>5070</v>
      </c>
      <c r="B49" t="s">
        <v>53</v>
      </c>
      <c r="C49">
        <v>0.09</v>
      </c>
    </row>
    <row r="50" spans="1:3" x14ac:dyDescent="0.3">
      <c r="A50" t="s">
        <v>5636</v>
      </c>
      <c r="B50" t="s">
        <v>40</v>
      </c>
      <c r="C50">
        <v>0.04</v>
      </c>
    </row>
    <row r="51" spans="1:3" x14ac:dyDescent="0.3">
      <c r="A51" t="s">
        <v>7013</v>
      </c>
      <c r="B51" t="s">
        <v>64</v>
      </c>
      <c r="C51">
        <v>0.01</v>
      </c>
    </row>
    <row r="52" spans="1:3" x14ac:dyDescent="0.3">
      <c r="A52" t="s">
        <v>7013</v>
      </c>
      <c r="B52" t="s">
        <v>64</v>
      </c>
      <c r="C52">
        <v>0.06</v>
      </c>
    </row>
    <row r="53" spans="1:3" x14ac:dyDescent="0.3">
      <c r="A53" t="s">
        <v>7300</v>
      </c>
      <c r="B53" t="s">
        <v>64</v>
      </c>
      <c r="C53">
        <v>0.06</v>
      </c>
    </row>
    <row r="54" spans="1:3" x14ac:dyDescent="0.3">
      <c r="A54" t="s">
        <v>7348</v>
      </c>
      <c r="B54" t="s">
        <v>64</v>
      </c>
      <c r="C54">
        <v>0.02</v>
      </c>
    </row>
    <row r="55" spans="1:3" x14ac:dyDescent="0.3">
      <c r="A55" t="s">
        <v>7348</v>
      </c>
      <c r="B55" t="s">
        <v>64</v>
      </c>
      <c r="C55">
        <v>0.08</v>
      </c>
    </row>
    <row r="56" spans="1:3" x14ac:dyDescent="0.3">
      <c r="A56" t="s">
        <v>11132</v>
      </c>
      <c r="B56" t="s">
        <v>53</v>
      </c>
      <c r="C56">
        <v>0.04</v>
      </c>
    </row>
    <row r="57" spans="1:3" x14ac:dyDescent="0.3">
      <c r="A57" t="s">
        <v>11132</v>
      </c>
      <c r="B57" t="s">
        <v>53</v>
      </c>
      <c r="C57">
        <v>0.09</v>
      </c>
    </row>
    <row r="58" spans="1:3" x14ac:dyDescent="0.3">
      <c r="A58" t="s">
        <v>11417</v>
      </c>
      <c r="B58" t="s">
        <v>53</v>
      </c>
      <c r="C58">
        <v>7.0000000000000007E-2</v>
      </c>
    </row>
    <row r="59" spans="1:3" x14ac:dyDescent="0.3">
      <c r="A59" t="s">
        <v>12240</v>
      </c>
      <c r="B59" t="s">
        <v>64</v>
      </c>
      <c r="C59">
        <v>0</v>
      </c>
    </row>
    <row r="60" spans="1:3" x14ac:dyDescent="0.3">
      <c r="A60" t="s">
        <v>12810</v>
      </c>
      <c r="B60" t="s">
        <v>64</v>
      </c>
      <c r="C60">
        <v>0</v>
      </c>
    </row>
    <row r="61" spans="1:3" x14ac:dyDescent="0.3">
      <c r="A61" t="s">
        <v>13079</v>
      </c>
      <c r="B61" t="s">
        <v>40</v>
      </c>
      <c r="C61">
        <v>0.03</v>
      </c>
    </row>
    <row r="62" spans="1:3" x14ac:dyDescent="0.3">
      <c r="A62" t="s">
        <v>14953</v>
      </c>
      <c r="B62" t="s">
        <v>225</v>
      </c>
      <c r="C62">
        <v>0.02</v>
      </c>
    </row>
    <row r="63" spans="1:3" x14ac:dyDescent="0.3">
      <c r="A63" t="s">
        <v>15698</v>
      </c>
      <c r="B63" t="s">
        <v>53</v>
      </c>
      <c r="C63">
        <v>7.0000000000000007E-2</v>
      </c>
    </row>
    <row r="64" spans="1:3" x14ac:dyDescent="0.3">
      <c r="A64" t="s">
        <v>15872</v>
      </c>
      <c r="B64" t="s">
        <v>53</v>
      </c>
      <c r="C64">
        <v>0.08</v>
      </c>
    </row>
    <row r="65" spans="1:3" x14ac:dyDescent="0.3">
      <c r="A65" t="s">
        <v>15878</v>
      </c>
      <c r="B65" t="s">
        <v>87</v>
      </c>
      <c r="C65">
        <v>0.04</v>
      </c>
    </row>
    <row r="66" spans="1:3" x14ac:dyDescent="0.3">
      <c r="A66" t="s">
        <v>15888</v>
      </c>
      <c r="B66" t="s">
        <v>64</v>
      </c>
      <c r="C66">
        <v>0.03</v>
      </c>
    </row>
    <row r="67" spans="1:3" x14ac:dyDescent="0.3">
      <c r="A67" t="s">
        <v>15892</v>
      </c>
      <c r="B67" t="s">
        <v>40</v>
      </c>
      <c r="C67">
        <v>0</v>
      </c>
    </row>
    <row r="68" spans="1:3" x14ac:dyDescent="0.3">
      <c r="A68" t="s">
        <v>15892</v>
      </c>
      <c r="B68" t="s">
        <v>40</v>
      </c>
      <c r="C68">
        <v>0.02</v>
      </c>
    </row>
    <row r="69" spans="1:3" x14ac:dyDescent="0.3">
      <c r="A69" t="s">
        <v>15892</v>
      </c>
      <c r="B69" t="s">
        <v>40</v>
      </c>
      <c r="C69">
        <v>7.0000000000000007E-2</v>
      </c>
    </row>
    <row r="70" spans="1:3" x14ac:dyDescent="0.3">
      <c r="A70" t="s">
        <v>15898</v>
      </c>
      <c r="B70" t="s">
        <v>53</v>
      </c>
      <c r="C70">
        <v>0.09</v>
      </c>
    </row>
    <row r="71" spans="1:3" x14ac:dyDescent="0.3">
      <c r="A71" t="s">
        <v>15901</v>
      </c>
      <c r="B71" t="s">
        <v>87</v>
      </c>
      <c r="C71">
        <v>0.04</v>
      </c>
    </row>
    <row r="72" spans="1:3" x14ac:dyDescent="0.3">
      <c r="A72" t="s">
        <v>15913</v>
      </c>
      <c r="B72" t="s">
        <v>64</v>
      </c>
      <c r="C72">
        <v>0.04</v>
      </c>
    </row>
    <row r="73" spans="1:3" x14ac:dyDescent="0.3">
      <c r="A73" t="s">
        <v>15913</v>
      </c>
      <c r="B73" t="s">
        <v>64</v>
      </c>
      <c r="C73">
        <v>0.06</v>
      </c>
    </row>
    <row r="74" spans="1:3" x14ac:dyDescent="0.3">
      <c r="A74" t="s">
        <v>15923</v>
      </c>
      <c r="B74" t="s">
        <v>64</v>
      </c>
      <c r="C74">
        <v>0.04</v>
      </c>
    </row>
    <row r="75" spans="1:3" x14ac:dyDescent="0.3">
      <c r="A75" t="s">
        <v>15928</v>
      </c>
      <c r="B75" t="s">
        <v>40</v>
      </c>
      <c r="C75">
        <v>0.01</v>
      </c>
    </row>
    <row r="76" spans="1:3" x14ac:dyDescent="0.3">
      <c r="A76" t="s">
        <v>15931</v>
      </c>
      <c r="B76" t="s">
        <v>64</v>
      </c>
      <c r="C76">
        <v>0</v>
      </c>
    </row>
    <row r="77" spans="1:3" x14ac:dyDescent="0.3">
      <c r="A77" t="s">
        <v>15931</v>
      </c>
      <c r="B77" t="s">
        <v>64</v>
      </c>
      <c r="C77">
        <v>7.0000000000000007E-2</v>
      </c>
    </row>
    <row r="78" spans="1:3" x14ac:dyDescent="0.3">
      <c r="A78" t="s">
        <v>15934</v>
      </c>
      <c r="B78" t="s">
        <v>87</v>
      </c>
      <c r="C78">
        <v>0.02</v>
      </c>
    </row>
    <row r="79" spans="1:3" x14ac:dyDescent="0.3">
      <c r="A79" t="s">
        <v>15934</v>
      </c>
      <c r="B79" t="s">
        <v>87</v>
      </c>
      <c r="C79">
        <v>0.04</v>
      </c>
    </row>
    <row r="80" spans="1:3" x14ac:dyDescent="0.3">
      <c r="A80" t="s">
        <v>15936</v>
      </c>
      <c r="B80" t="s">
        <v>40</v>
      </c>
      <c r="C80">
        <v>0.03</v>
      </c>
    </row>
    <row r="81" spans="1:3" x14ac:dyDescent="0.3">
      <c r="A81" t="s">
        <v>15940</v>
      </c>
      <c r="B81" t="s">
        <v>40</v>
      </c>
      <c r="C81">
        <v>7.0000000000000007E-2</v>
      </c>
    </row>
    <row r="82" spans="1:3" x14ac:dyDescent="0.3">
      <c r="A82" t="s">
        <v>15948</v>
      </c>
      <c r="B82" t="s">
        <v>64</v>
      </c>
      <c r="C82">
        <v>0.05</v>
      </c>
    </row>
    <row r="83" spans="1:3" x14ac:dyDescent="0.3">
      <c r="A83" t="s">
        <v>15972</v>
      </c>
      <c r="B83" t="s">
        <v>64</v>
      </c>
      <c r="C83">
        <v>0.02</v>
      </c>
    </row>
    <row r="84" spans="1:3" x14ac:dyDescent="0.3">
      <c r="A84" t="s">
        <v>15972</v>
      </c>
      <c r="B84" t="s">
        <v>64</v>
      </c>
      <c r="C84">
        <v>0.04</v>
      </c>
    </row>
    <row r="85" spans="1:3" x14ac:dyDescent="0.3">
      <c r="A85" t="s">
        <v>15995</v>
      </c>
      <c r="B85" t="s">
        <v>64</v>
      </c>
      <c r="C85">
        <v>0.05</v>
      </c>
    </row>
    <row r="86" spans="1:3" x14ac:dyDescent="0.3">
      <c r="A86" t="s">
        <v>16001</v>
      </c>
      <c r="B86" t="s">
        <v>40</v>
      </c>
      <c r="C86">
        <v>0.05</v>
      </c>
    </row>
    <row r="87" spans="1:3" x14ac:dyDescent="0.3">
      <c r="A87" t="s">
        <v>16009</v>
      </c>
      <c r="B87" t="s">
        <v>64</v>
      </c>
      <c r="C87">
        <v>0.01</v>
      </c>
    </row>
    <row r="88" spans="1:3" x14ac:dyDescent="0.3">
      <c r="A88" t="s">
        <v>16009</v>
      </c>
      <c r="B88" t="s">
        <v>64</v>
      </c>
      <c r="C88">
        <v>0.02</v>
      </c>
    </row>
    <row r="89" spans="1:3" x14ac:dyDescent="0.3">
      <c r="A89" t="s">
        <v>16013</v>
      </c>
      <c r="B89" t="s">
        <v>64</v>
      </c>
      <c r="C89">
        <v>0</v>
      </c>
    </row>
    <row r="90" spans="1:3" x14ac:dyDescent="0.3">
      <c r="A90" t="s">
        <v>16020</v>
      </c>
      <c r="B90" t="s">
        <v>64</v>
      </c>
      <c r="C90">
        <v>0.09</v>
      </c>
    </row>
    <row r="91" spans="1:3" x14ac:dyDescent="0.3">
      <c r="A91" t="s">
        <v>16032</v>
      </c>
      <c r="B91" t="s">
        <v>29</v>
      </c>
      <c r="C91">
        <v>0.03</v>
      </c>
    </row>
    <row r="92" spans="1:3" x14ac:dyDescent="0.3">
      <c r="A92" t="s">
        <v>16032</v>
      </c>
      <c r="B92" t="s">
        <v>29</v>
      </c>
      <c r="C92">
        <v>0.1</v>
      </c>
    </row>
    <row r="93" spans="1:3" x14ac:dyDescent="0.3">
      <c r="A93" t="s">
        <v>16033</v>
      </c>
      <c r="B93" t="s">
        <v>64</v>
      </c>
      <c r="C93">
        <v>0.05</v>
      </c>
    </row>
    <row r="94" spans="1:3" x14ac:dyDescent="0.3">
      <c r="A94" t="s">
        <v>16043</v>
      </c>
      <c r="B94" t="s">
        <v>64</v>
      </c>
      <c r="C94">
        <v>0.09</v>
      </c>
    </row>
    <row r="95" spans="1:3" x14ac:dyDescent="0.3">
      <c r="A95" t="s">
        <v>16054</v>
      </c>
      <c r="B95" t="s">
        <v>40</v>
      </c>
      <c r="C95">
        <v>0.03</v>
      </c>
    </row>
    <row r="96" spans="1:3" x14ac:dyDescent="0.3">
      <c r="A96" t="s">
        <v>16054</v>
      </c>
      <c r="B96" t="s">
        <v>40</v>
      </c>
      <c r="C96">
        <v>7.0000000000000007E-2</v>
      </c>
    </row>
    <row r="97" spans="1:3" x14ac:dyDescent="0.3">
      <c r="A97" t="s">
        <v>16076</v>
      </c>
      <c r="B97" t="s">
        <v>64</v>
      </c>
      <c r="C97">
        <v>0.04</v>
      </c>
    </row>
    <row r="98" spans="1:3" x14ac:dyDescent="0.3">
      <c r="A98" t="s">
        <v>16076</v>
      </c>
      <c r="B98" t="s">
        <v>64</v>
      </c>
      <c r="C98">
        <v>7.0000000000000007E-2</v>
      </c>
    </row>
    <row r="99" spans="1:3" x14ac:dyDescent="0.3">
      <c r="A99" t="s">
        <v>16088</v>
      </c>
      <c r="B99" t="s">
        <v>64</v>
      </c>
      <c r="C99">
        <v>7.0000000000000007E-2</v>
      </c>
    </row>
    <row r="100" spans="1:3" x14ac:dyDescent="0.3">
      <c r="A100" t="s">
        <v>16099</v>
      </c>
      <c r="B100" t="s">
        <v>53</v>
      </c>
      <c r="C100">
        <v>0.04</v>
      </c>
    </row>
    <row r="101" spans="1:3" x14ac:dyDescent="0.3">
      <c r="A101" t="s">
        <v>16103</v>
      </c>
      <c r="B101" t="s">
        <v>53</v>
      </c>
      <c r="C101">
        <v>0.05</v>
      </c>
    </row>
    <row r="102" spans="1:3" x14ac:dyDescent="0.3">
      <c r="A102" t="s">
        <v>16103</v>
      </c>
      <c r="B102" t="s">
        <v>53</v>
      </c>
      <c r="C102">
        <v>0.06</v>
      </c>
    </row>
    <row r="103" spans="1:3" x14ac:dyDescent="0.3">
      <c r="A103" t="s">
        <v>16103</v>
      </c>
      <c r="B103" t="s">
        <v>53</v>
      </c>
      <c r="C103">
        <v>0.1</v>
      </c>
    </row>
    <row r="104" spans="1:3" x14ac:dyDescent="0.3">
      <c r="A104" t="s">
        <v>16119</v>
      </c>
      <c r="B104" t="s">
        <v>40</v>
      </c>
      <c r="C104">
        <v>0.04</v>
      </c>
    </row>
    <row r="105" spans="1:3" x14ac:dyDescent="0.3">
      <c r="A105" t="s">
        <v>16119</v>
      </c>
      <c r="B105" t="s">
        <v>40</v>
      </c>
      <c r="C105">
        <v>7.0000000000000007E-2</v>
      </c>
    </row>
    <row r="106" spans="1:3" x14ac:dyDescent="0.3">
      <c r="A106" t="s">
        <v>16126</v>
      </c>
      <c r="B106" t="s">
        <v>40</v>
      </c>
      <c r="C106">
        <v>0.01</v>
      </c>
    </row>
    <row r="107" spans="1:3" x14ac:dyDescent="0.3">
      <c r="A107" t="s">
        <v>16126</v>
      </c>
      <c r="B107" t="s">
        <v>40</v>
      </c>
      <c r="C107">
        <v>0.05</v>
      </c>
    </row>
    <row r="108" spans="1:3" x14ac:dyDescent="0.3">
      <c r="A108" t="s">
        <v>16133</v>
      </c>
      <c r="B108" t="s">
        <v>40</v>
      </c>
      <c r="C108">
        <v>0.01</v>
      </c>
    </row>
    <row r="109" spans="1:3" x14ac:dyDescent="0.3">
      <c r="A109" t="s">
        <v>16137</v>
      </c>
      <c r="B109" t="s">
        <v>64</v>
      </c>
      <c r="C109">
        <v>0.03</v>
      </c>
    </row>
    <row r="110" spans="1:3" x14ac:dyDescent="0.3">
      <c r="A110" t="s">
        <v>16141</v>
      </c>
      <c r="B110" t="s">
        <v>40</v>
      </c>
      <c r="C110">
        <v>0.08</v>
      </c>
    </row>
    <row r="111" spans="1:3" x14ac:dyDescent="0.3">
      <c r="A111" t="s">
        <v>16151</v>
      </c>
      <c r="B111" t="s">
        <v>53</v>
      </c>
      <c r="C111">
        <v>0.09</v>
      </c>
    </row>
    <row r="112" spans="1:3" x14ac:dyDescent="0.3">
      <c r="A112" t="s">
        <v>16157</v>
      </c>
      <c r="B112" t="s">
        <v>40</v>
      </c>
      <c r="C112">
        <v>0.04</v>
      </c>
    </row>
    <row r="113" spans="1:3" x14ac:dyDescent="0.3">
      <c r="A113" t="s">
        <v>16157</v>
      </c>
      <c r="B113" t="s">
        <v>40</v>
      </c>
      <c r="C113">
        <v>0.1</v>
      </c>
    </row>
    <row r="114" spans="1:3" x14ac:dyDescent="0.3">
      <c r="A114" t="s">
        <v>16163</v>
      </c>
      <c r="B114" t="s">
        <v>64</v>
      </c>
      <c r="C114">
        <v>0.01</v>
      </c>
    </row>
    <row r="115" spans="1:3" x14ac:dyDescent="0.3">
      <c r="A115" t="s">
        <v>16163</v>
      </c>
      <c r="B115" t="s">
        <v>64</v>
      </c>
      <c r="C115">
        <v>0.09</v>
      </c>
    </row>
    <row r="116" spans="1:3" x14ac:dyDescent="0.3">
      <c r="A116" t="s">
        <v>16163</v>
      </c>
      <c r="B116" t="s">
        <v>64</v>
      </c>
      <c r="C116">
        <v>0.1</v>
      </c>
    </row>
    <row r="117" spans="1:3" x14ac:dyDescent="0.3">
      <c r="A117" t="s">
        <v>16181</v>
      </c>
      <c r="B117" t="s">
        <v>40</v>
      </c>
      <c r="C117">
        <v>0</v>
      </c>
    </row>
    <row r="118" spans="1:3" x14ac:dyDescent="0.3">
      <c r="A118" t="s">
        <v>16181</v>
      </c>
      <c r="B118" t="s">
        <v>40</v>
      </c>
      <c r="C118">
        <v>0.05</v>
      </c>
    </row>
    <row r="119" spans="1:3" x14ac:dyDescent="0.3">
      <c r="A119" t="s">
        <v>16181</v>
      </c>
      <c r="B119" t="s">
        <v>40</v>
      </c>
      <c r="C119">
        <v>7.0000000000000007E-2</v>
      </c>
    </row>
    <row r="120" spans="1:3" x14ac:dyDescent="0.3">
      <c r="A120" t="s">
        <v>16184</v>
      </c>
      <c r="B120" t="s">
        <v>40</v>
      </c>
      <c r="C120">
        <v>0</v>
      </c>
    </row>
    <row r="121" spans="1:3" x14ac:dyDescent="0.3">
      <c r="A121" t="s">
        <v>16185</v>
      </c>
      <c r="B121" t="s">
        <v>53</v>
      </c>
      <c r="C121">
        <v>0.01</v>
      </c>
    </row>
    <row r="122" spans="1:3" x14ac:dyDescent="0.3">
      <c r="A122" t="s">
        <v>16190</v>
      </c>
      <c r="B122" t="s">
        <v>64</v>
      </c>
      <c r="C122">
        <v>0.05</v>
      </c>
    </row>
    <row r="123" spans="1:3" x14ac:dyDescent="0.3">
      <c r="A123" t="s">
        <v>16190</v>
      </c>
      <c r="B123" t="s">
        <v>64</v>
      </c>
      <c r="C123">
        <v>0.09</v>
      </c>
    </row>
    <row r="124" spans="1:3" x14ac:dyDescent="0.3">
      <c r="A124" t="s">
        <v>16192</v>
      </c>
      <c r="B124" t="s">
        <v>40</v>
      </c>
      <c r="C124">
        <v>0.1</v>
      </c>
    </row>
    <row r="125" spans="1:3" x14ac:dyDescent="0.3">
      <c r="A125" t="s">
        <v>16194</v>
      </c>
      <c r="B125" t="s">
        <v>40</v>
      </c>
      <c r="C125">
        <v>0.08</v>
      </c>
    </row>
    <row r="126" spans="1:3" x14ac:dyDescent="0.3">
      <c r="A126" t="s">
        <v>16195</v>
      </c>
      <c r="B126" t="s">
        <v>40</v>
      </c>
      <c r="C126">
        <v>0.02</v>
      </c>
    </row>
    <row r="127" spans="1:3" x14ac:dyDescent="0.3">
      <c r="A127" t="s">
        <v>16198</v>
      </c>
      <c r="B127" t="s">
        <v>64</v>
      </c>
      <c r="C127">
        <v>0.02</v>
      </c>
    </row>
    <row r="128" spans="1:3" x14ac:dyDescent="0.3">
      <c r="A128" t="s">
        <v>16201</v>
      </c>
      <c r="B128" t="s">
        <v>64</v>
      </c>
      <c r="C128">
        <v>0.03</v>
      </c>
    </row>
    <row r="129" spans="1:3" x14ac:dyDescent="0.3">
      <c r="A129" t="s">
        <v>16206</v>
      </c>
      <c r="B129" t="s">
        <v>40</v>
      </c>
      <c r="C129">
        <v>0.05</v>
      </c>
    </row>
    <row r="130" spans="1:3" x14ac:dyDescent="0.3">
      <c r="A130" t="s">
        <v>16206</v>
      </c>
      <c r="B130" t="s">
        <v>40</v>
      </c>
      <c r="C130">
        <v>7.0000000000000007E-2</v>
      </c>
    </row>
    <row r="131" spans="1:3" x14ac:dyDescent="0.3">
      <c r="A131" t="s">
        <v>16207</v>
      </c>
      <c r="B131" t="s">
        <v>40</v>
      </c>
      <c r="C131">
        <v>0.02</v>
      </c>
    </row>
    <row r="132" spans="1:3" x14ac:dyDescent="0.3">
      <c r="A132" t="s">
        <v>16212</v>
      </c>
      <c r="B132" t="s">
        <v>64</v>
      </c>
      <c r="C132">
        <v>0.03</v>
      </c>
    </row>
    <row r="133" spans="1:3" x14ac:dyDescent="0.3">
      <c r="A133" t="s">
        <v>16219</v>
      </c>
      <c r="B133" t="s">
        <v>53</v>
      </c>
      <c r="C133">
        <v>0.1</v>
      </c>
    </row>
    <row r="134" spans="1:3" x14ac:dyDescent="0.3">
      <c r="A134" t="s">
        <v>16224</v>
      </c>
      <c r="B134" t="s">
        <v>53</v>
      </c>
      <c r="C134">
        <v>0.05</v>
      </c>
    </row>
    <row r="135" spans="1:3" x14ac:dyDescent="0.3">
      <c r="A135" t="s">
        <v>16225</v>
      </c>
      <c r="B135" t="s">
        <v>64</v>
      </c>
      <c r="C135">
        <v>0.06</v>
      </c>
    </row>
    <row r="136" spans="1:3" x14ac:dyDescent="0.3">
      <c r="A136" t="s">
        <v>16234</v>
      </c>
      <c r="B136" t="s">
        <v>64</v>
      </c>
      <c r="C136">
        <v>0.04</v>
      </c>
    </row>
    <row r="137" spans="1:3" x14ac:dyDescent="0.3">
      <c r="A137" t="s">
        <v>16234</v>
      </c>
      <c r="B137" t="s">
        <v>64</v>
      </c>
      <c r="C137">
        <v>0.05</v>
      </c>
    </row>
    <row r="138" spans="1:3" x14ac:dyDescent="0.3">
      <c r="A138" t="s">
        <v>16240</v>
      </c>
      <c r="B138" t="s">
        <v>29</v>
      </c>
      <c r="C138">
        <v>7.0000000000000007E-2</v>
      </c>
    </row>
    <row r="139" spans="1:3" x14ac:dyDescent="0.3">
      <c r="A139" t="s">
        <v>16248</v>
      </c>
      <c r="B139" t="s">
        <v>87</v>
      </c>
      <c r="C139">
        <v>0.03</v>
      </c>
    </row>
    <row r="140" spans="1:3" x14ac:dyDescent="0.3">
      <c r="A140" t="s">
        <v>16248</v>
      </c>
      <c r="B140" t="s">
        <v>87</v>
      </c>
      <c r="C140">
        <v>0.05</v>
      </c>
    </row>
    <row r="141" spans="1:3" x14ac:dyDescent="0.3">
      <c r="A141" t="s">
        <v>16250</v>
      </c>
      <c r="B141" t="s">
        <v>40</v>
      </c>
      <c r="C141">
        <v>0.05</v>
      </c>
    </row>
    <row r="142" spans="1:3" x14ac:dyDescent="0.3">
      <c r="A142" t="s">
        <v>16259</v>
      </c>
      <c r="B142" t="s">
        <v>64</v>
      </c>
      <c r="C142">
        <v>0.04</v>
      </c>
    </row>
    <row r="143" spans="1:3" x14ac:dyDescent="0.3">
      <c r="A143" t="s">
        <v>16264</v>
      </c>
      <c r="B143" t="s">
        <v>40</v>
      </c>
      <c r="C143">
        <v>0.02</v>
      </c>
    </row>
    <row r="144" spans="1:3" x14ac:dyDescent="0.3">
      <c r="A144" t="s">
        <v>16266</v>
      </c>
      <c r="B144" t="s">
        <v>40</v>
      </c>
      <c r="C144">
        <v>7.0000000000000007E-2</v>
      </c>
    </row>
    <row r="145" spans="1:3" x14ac:dyDescent="0.3">
      <c r="A145" t="s">
        <v>16266</v>
      </c>
      <c r="B145" t="s">
        <v>40</v>
      </c>
      <c r="C145">
        <v>0.08</v>
      </c>
    </row>
    <row r="146" spans="1:3" x14ac:dyDescent="0.3">
      <c r="A146" t="s">
        <v>16268</v>
      </c>
      <c r="B146" t="s">
        <v>40</v>
      </c>
      <c r="C146">
        <v>0.04</v>
      </c>
    </row>
    <row r="147" spans="1:3" x14ac:dyDescent="0.3">
      <c r="A147" t="s">
        <v>16282</v>
      </c>
      <c r="B147" t="s">
        <v>53</v>
      </c>
      <c r="C147">
        <v>0.03</v>
      </c>
    </row>
    <row r="148" spans="1:3" x14ac:dyDescent="0.3">
      <c r="A148" t="s">
        <v>16282</v>
      </c>
      <c r="B148" t="s">
        <v>53</v>
      </c>
      <c r="C148">
        <v>0.05</v>
      </c>
    </row>
    <row r="149" spans="1:3" x14ac:dyDescent="0.3">
      <c r="A149" t="s">
        <v>16286</v>
      </c>
      <c r="B149" t="s">
        <v>40</v>
      </c>
      <c r="C149">
        <v>0.01</v>
      </c>
    </row>
    <row r="150" spans="1:3" x14ac:dyDescent="0.3">
      <c r="A150" t="s">
        <v>16286</v>
      </c>
      <c r="B150" t="s">
        <v>40</v>
      </c>
      <c r="C150">
        <v>0.04</v>
      </c>
    </row>
    <row r="151" spans="1:3" x14ac:dyDescent="0.3">
      <c r="A151" t="s">
        <v>16291</v>
      </c>
      <c r="B151" t="s">
        <v>64</v>
      </c>
      <c r="C151">
        <v>0.03</v>
      </c>
    </row>
    <row r="152" spans="1:3" x14ac:dyDescent="0.3">
      <c r="A152" t="s">
        <v>16296</v>
      </c>
      <c r="B152" t="s">
        <v>53</v>
      </c>
      <c r="C152">
        <v>0</v>
      </c>
    </row>
    <row r="153" spans="1:3" x14ac:dyDescent="0.3">
      <c r="A153" t="s">
        <v>16296</v>
      </c>
      <c r="B153" t="s">
        <v>53</v>
      </c>
      <c r="C153">
        <v>0.06</v>
      </c>
    </row>
    <row r="154" spans="1:3" x14ac:dyDescent="0.3">
      <c r="A154" t="s">
        <v>16301</v>
      </c>
      <c r="B154" t="s">
        <v>64</v>
      </c>
      <c r="C154">
        <v>0.02</v>
      </c>
    </row>
    <row r="155" spans="1:3" x14ac:dyDescent="0.3">
      <c r="A155" t="s">
        <v>16308</v>
      </c>
      <c r="B155" t="s">
        <v>87</v>
      </c>
      <c r="C155">
        <v>0.08</v>
      </c>
    </row>
    <row r="156" spans="1:3" x14ac:dyDescent="0.3">
      <c r="A156" t="s">
        <v>16314</v>
      </c>
      <c r="B156" t="s">
        <v>64</v>
      </c>
      <c r="C156">
        <v>0</v>
      </c>
    </row>
    <row r="157" spans="1:3" x14ac:dyDescent="0.3">
      <c r="A157" t="s">
        <v>16318</v>
      </c>
      <c r="B157" t="s">
        <v>40</v>
      </c>
      <c r="C157">
        <v>0.03</v>
      </c>
    </row>
    <row r="158" spans="1:3" x14ac:dyDescent="0.3">
      <c r="A158" t="s">
        <v>16319</v>
      </c>
      <c r="B158" t="s">
        <v>40</v>
      </c>
      <c r="C158">
        <v>0</v>
      </c>
    </row>
    <row r="159" spans="1:3" x14ac:dyDescent="0.3">
      <c r="A159" t="s">
        <v>16319</v>
      </c>
      <c r="B159" t="s">
        <v>40</v>
      </c>
      <c r="C159">
        <v>0.1</v>
      </c>
    </row>
    <row r="160" spans="1:3" x14ac:dyDescent="0.3">
      <c r="A160" t="s">
        <v>16321</v>
      </c>
      <c r="B160" t="s">
        <v>40</v>
      </c>
      <c r="C160">
        <v>0.06</v>
      </c>
    </row>
    <row r="161" spans="1:3" x14ac:dyDescent="0.3">
      <c r="A161" t="s">
        <v>16321</v>
      </c>
      <c r="B161" t="s">
        <v>40</v>
      </c>
      <c r="C161">
        <v>7.0000000000000007E-2</v>
      </c>
    </row>
    <row r="162" spans="1:3" x14ac:dyDescent="0.3">
      <c r="A162" t="s">
        <v>16321</v>
      </c>
      <c r="B162" t="s">
        <v>40</v>
      </c>
      <c r="C162">
        <v>0.08</v>
      </c>
    </row>
    <row r="163" spans="1:3" x14ac:dyDescent="0.3">
      <c r="A163" t="s">
        <v>16321</v>
      </c>
      <c r="B163" t="s">
        <v>40</v>
      </c>
      <c r="C163">
        <v>0.1</v>
      </c>
    </row>
    <row r="164" spans="1:3" x14ac:dyDescent="0.3">
      <c r="A164" t="s">
        <v>16326</v>
      </c>
      <c r="B164" t="s">
        <v>40</v>
      </c>
      <c r="C164">
        <v>7.0000000000000007E-2</v>
      </c>
    </row>
    <row r="165" spans="1:3" x14ac:dyDescent="0.3">
      <c r="A165" t="s">
        <v>16328</v>
      </c>
      <c r="B165" t="s">
        <v>64</v>
      </c>
      <c r="C165">
        <v>0</v>
      </c>
    </row>
    <row r="166" spans="1:3" x14ac:dyDescent="0.3">
      <c r="A166" t="s">
        <v>16333</v>
      </c>
      <c r="B166" t="s">
        <v>87</v>
      </c>
      <c r="C166">
        <v>0.02</v>
      </c>
    </row>
    <row r="167" spans="1:3" x14ac:dyDescent="0.3">
      <c r="A167" t="s">
        <v>16339</v>
      </c>
      <c r="B167" t="s">
        <v>29</v>
      </c>
      <c r="C167">
        <v>0</v>
      </c>
    </row>
    <row r="168" spans="1:3" x14ac:dyDescent="0.3">
      <c r="A168" t="s">
        <v>16348</v>
      </c>
      <c r="B168" t="s">
        <v>64</v>
      </c>
      <c r="C168">
        <v>0.09</v>
      </c>
    </row>
    <row r="169" spans="1:3" x14ac:dyDescent="0.3">
      <c r="A169" t="s">
        <v>16351</v>
      </c>
      <c r="B169" t="s">
        <v>64</v>
      </c>
      <c r="C169">
        <v>0.05</v>
      </c>
    </row>
    <row r="170" spans="1:3" x14ac:dyDescent="0.3">
      <c r="A170" t="s">
        <v>16366</v>
      </c>
      <c r="B170" t="s">
        <v>40</v>
      </c>
      <c r="C170">
        <v>0.01</v>
      </c>
    </row>
    <row r="171" spans="1:3" x14ac:dyDescent="0.3">
      <c r="A171" t="s">
        <v>16366</v>
      </c>
      <c r="B171" t="s">
        <v>40</v>
      </c>
      <c r="C171">
        <v>0.1</v>
      </c>
    </row>
    <row r="172" spans="1:3" x14ac:dyDescent="0.3">
      <c r="A172" t="s">
        <v>16369</v>
      </c>
      <c r="B172" t="s">
        <v>53</v>
      </c>
      <c r="C172">
        <v>0.02</v>
      </c>
    </row>
    <row r="173" spans="1:3" x14ac:dyDescent="0.3">
      <c r="A173" t="s">
        <v>16372</v>
      </c>
      <c r="B173" t="s">
        <v>87</v>
      </c>
      <c r="C173">
        <v>0</v>
      </c>
    </row>
    <row r="174" spans="1:3" x14ac:dyDescent="0.3">
      <c r="A174" t="s">
        <v>16390</v>
      </c>
      <c r="B174" t="s">
        <v>40</v>
      </c>
      <c r="C174">
        <v>0.1</v>
      </c>
    </row>
    <row r="175" spans="1:3" x14ac:dyDescent="0.3">
      <c r="A175" t="s">
        <v>16395</v>
      </c>
      <c r="B175" t="s">
        <v>53</v>
      </c>
      <c r="C175">
        <v>0.08</v>
      </c>
    </row>
    <row r="176" spans="1:3" x14ac:dyDescent="0.3">
      <c r="A176" t="s">
        <v>16398</v>
      </c>
      <c r="B176" t="s">
        <v>29</v>
      </c>
      <c r="C176">
        <v>0.01</v>
      </c>
    </row>
    <row r="177" spans="1:3" x14ac:dyDescent="0.3">
      <c r="A177" t="s">
        <v>16398</v>
      </c>
      <c r="B177" t="s">
        <v>29</v>
      </c>
      <c r="C177">
        <v>0.04</v>
      </c>
    </row>
    <row r="178" spans="1:3" x14ac:dyDescent="0.3">
      <c r="A178" t="s">
        <v>16398</v>
      </c>
      <c r="B178" t="s">
        <v>29</v>
      </c>
      <c r="C178">
        <v>0.08</v>
      </c>
    </row>
    <row r="179" spans="1:3" x14ac:dyDescent="0.3">
      <c r="A179" t="s">
        <v>16399</v>
      </c>
      <c r="B179" t="s">
        <v>64</v>
      </c>
      <c r="C179">
        <v>7.0000000000000007E-2</v>
      </c>
    </row>
    <row r="180" spans="1:3" x14ac:dyDescent="0.3">
      <c r="A180" t="s">
        <v>16407</v>
      </c>
      <c r="B180" t="s">
        <v>53</v>
      </c>
      <c r="C180">
        <v>0</v>
      </c>
    </row>
    <row r="181" spans="1:3" x14ac:dyDescent="0.3">
      <c r="A181" t="s">
        <v>16410</v>
      </c>
      <c r="B181" t="s">
        <v>53</v>
      </c>
      <c r="C181">
        <v>0.09</v>
      </c>
    </row>
    <row r="182" spans="1:3" x14ac:dyDescent="0.3">
      <c r="A182" t="s">
        <v>16413</v>
      </c>
      <c r="B182" t="s">
        <v>64</v>
      </c>
      <c r="C182">
        <v>0.09</v>
      </c>
    </row>
    <row r="183" spans="1:3" x14ac:dyDescent="0.3">
      <c r="A183" t="s">
        <v>16417</v>
      </c>
      <c r="B183" t="s">
        <v>64</v>
      </c>
      <c r="C183">
        <v>0.08</v>
      </c>
    </row>
    <row r="184" spans="1:3" x14ac:dyDescent="0.3">
      <c r="A184" t="s">
        <v>16417</v>
      </c>
      <c r="B184" t="s">
        <v>64</v>
      </c>
      <c r="C184">
        <v>0.09</v>
      </c>
    </row>
    <row r="185" spans="1:3" x14ac:dyDescent="0.3">
      <c r="A185" t="s">
        <v>16422</v>
      </c>
      <c r="B185" t="s">
        <v>53</v>
      </c>
      <c r="C185">
        <v>0.01</v>
      </c>
    </row>
    <row r="186" spans="1:3" x14ac:dyDescent="0.3">
      <c r="A186" t="s">
        <v>16422</v>
      </c>
      <c r="B186" t="s">
        <v>53</v>
      </c>
      <c r="C186">
        <v>0.02</v>
      </c>
    </row>
    <row r="187" spans="1:3" x14ac:dyDescent="0.3">
      <c r="A187" t="s">
        <v>16422</v>
      </c>
      <c r="B187" t="s">
        <v>53</v>
      </c>
      <c r="C187">
        <v>0.03</v>
      </c>
    </row>
    <row r="188" spans="1:3" x14ac:dyDescent="0.3">
      <c r="A188" t="s">
        <v>16423</v>
      </c>
      <c r="B188" t="s">
        <v>64</v>
      </c>
      <c r="C188">
        <v>0.02</v>
      </c>
    </row>
    <row r="189" spans="1:3" x14ac:dyDescent="0.3">
      <c r="A189" t="s">
        <v>16423</v>
      </c>
      <c r="B189" t="s">
        <v>64</v>
      </c>
      <c r="C189">
        <v>7.0000000000000007E-2</v>
      </c>
    </row>
    <row r="190" spans="1:3" x14ac:dyDescent="0.3">
      <c r="A190" t="s">
        <v>16425</v>
      </c>
      <c r="B190" t="s">
        <v>40</v>
      </c>
      <c r="C190">
        <v>0.09</v>
      </c>
    </row>
    <row r="191" spans="1:3" x14ac:dyDescent="0.3">
      <c r="A191" t="s">
        <v>16428</v>
      </c>
      <c r="B191" t="s">
        <v>29</v>
      </c>
      <c r="C191">
        <v>0</v>
      </c>
    </row>
    <row r="192" spans="1:3" x14ac:dyDescent="0.3">
      <c r="A192" t="s">
        <v>16428</v>
      </c>
      <c r="B192" t="s">
        <v>29</v>
      </c>
      <c r="C192">
        <v>0.01</v>
      </c>
    </row>
    <row r="193" spans="1:3" x14ac:dyDescent="0.3">
      <c r="A193" t="s">
        <v>16428</v>
      </c>
      <c r="B193" t="s">
        <v>29</v>
      </c>
      <c r="C193">
        <v>0.06</v>
      </c>
    </row>
    <row r="194" spans="1:3" x14ac:dyDescent="0.3">
      <c r="A194" t="s">
        <v>16434</v>
      </c>
      <c r="B194" t="s">
        <v>53</v>
      </c>
      <c r="C194">
        <v>0</v>
      </c>
    </row>
    <row r="195" spans="1:3" x14ac:dyDescent="0.3">
      <c r="A195" t="s">
        <v>16435</v>
      </c>
      <c r="B195" t="s">
        <v>64</v>
      </c>
      <c r="C195">
        <v>0.03</v>
      </c>
    </row>
    <row r="196" spans="1:3" x14ac:dyDescent="0.3">
      <c r="A196" t="s">
        <v>16445</v>
      </c>
      <c r="B196" t="s">
        <v>225</v>
      </c>
      <c r="C196">
        <v>7.0000000000000007E-2</v>
      </c>
    </row>
    <row r="197" spans="1:3" x14ac:dyDescent="0.3">
      <c r="A197" t="s">
        <v>16454</v>
      </c>
      <c r="B197" t="s">
        <v>64</v>
      </c>
      <c r="C197">
        <v>0.02</v>
      </c>
    </row>
    <row r="198" spans="1:3" x14ac:dyDescent="0.3">
      <c r="A198" t="s">
        <v>16461</v>
      </c>
      <c r="B198" t="s">
        <v>225</v>
      </c>
      <c r="C198">
        <v>0.09</v>
      </c>
    </row>
    <row r="199" spans="1:3" x14ac:dyDescent="0.3">
      <c r="A199" t="s">
        <v>16465</v>
      </c>
      <c r="B199" t="s">
        <v>53</v>
      </c>
      <c r="C199">
        <v>7.0000000000000007E-2</v>
      </c>
    </row>
    <row r="200" spans="1:3" x14ac:dyDescent="0.3">
      <c r="A200" t="s">
        <v>16475</v>
      </c>
      <c r="B200" t="s">
        <v>40</v>
      </c>
      <c r="C200">
        <v>0.05</v>
      </c>
    </row>
    <row r="201" spans="1:3" x14ac:dyDescent="0.3">
      <c r="A201" t="s">
        <v>16481</v>
      </c>
      <c r="B201" t="s">
        <v>64</v>
      </c>
      <c r="C201">
        <v>0.02</v>
      </c>
    </row>
    <row r="202" spans="1:3" x14ac:dyDescent="0.3">
      <c r="A202" t="s">
        <v>3852</v>
      </c>
      <c r="B202" t="s">
        <v>87</v>
      </c>
      <c r="C202">
        <v>0.03</v>
      </c>
    </row>
    <row r="203" spans="1:3" x14ac:dyDescent="0.3">
      <c r="A203" t="s">
        <v>5133</v>
      </c>
      <c r="B203" t="s">
        <v>87</v>
      </c>
      <c r="C203">
        <v>0.01</v>
      </c>
    </row>
    <row r="204" spans="1:3" x14ac:dyDescent="0.3">
      <c r="A204" t="s">
        <v>4599</v>
      </c>
      <c r="B204" t="s">
        <v>87</v>
      </c>
      <c r="C204">
        <v>0.08</v>
      </c>
    </row>
    <row r="205" spans="1:3" x14ac:dyDescent="0.3">
      <c r="A205" t="s">
        <v>14384</v>
      </c>
      <c r="B205" t="s">
        <v>40</v>
      </c>
      <c r="C205">
        <v>0.09</v>
      </c>
    </row>
    <row r="206" spans="1:3" x14ac:dyDescent="0.3">
      <c r="A206" t="s">
        <v>13716</v>
      </c>
      <c r="B206" t="s">
        <v>40</v>
      </c>
      <c r="C206">
        <v>0.09</v>
      </c>
    </row>
    <row r="207" spans="1:3" x14ac:dyDescent="0.3">
      <c r="A207" t="s">
        <v>14576</v>
      </c>
      <c r="B207" t="s">
        <v>40</v>
      </c>
      <c r="C207">
        <v>0.1</v>
      </c>
    </row>
    <row r="208" spans="1:3" x14ac:dyDescent="0.3">
      <c r="A208" t="s">
        <v>4370</v>
      </c>
      <c r="B208" t="s">
        <v>87</v>
      </c>
      <c r="C208">
        <v>0.03</v>
      </c>
    </row>
    <row r="209" spans="1:3" x14ac:dyDescent="0.3">
      <c r="A209" t="s">
        <v>4370</v>
      </c>
      <c r="B209" t="s">
        <v>87</v>
      </c>
      <c r="C209">
        <v>7.0000000000000007E-2</v>
      </c>
    </row>
    <row r="210" spans="1:3" x14ac:dyDescent="0.3">
      <c r="A210" t="s">
        <v>437</v>
      </c>
      <c r="B210" t="s">
        <v>53</v>
      </c>
      <c r="C210">
        <v>0.09</v>
      </c>
    </row>
    <row r="211" spans="1:3" x14ac:dyDescent="0.3">
      <c r="A211" t="s">
        <v>13375</v>
      </c>
      <c r="B211" t="s">
        <v>53</v>
      </c>
      <c r="C211">
        <v>0.05</v>
      </c>
    </row>
    <row r="212" spans="1:3" x14ac:dyDescent="0.3">
      <c r="A212" t="s">
        <v>1696</v>
      </c>
      <c r="B212" t="s">
        <v>87</v>
      </c>
      <c r="C212">
        <v>0.08</v>
      </c>
    </row>
    <row r="213" spans="1:3" x14ac:dyDescent="0.3">
      <c r="A213" t="s">
        <v>444</v>
      </c>
      <c r="B213" t="s">
        <v>29</v>
      </c>
      <c r="C213">
        <v>0.03</v>
      </c>
    </row>
    <row r="214" spans="1:3" x14ac:dyDescent="0.3">
      <c r="A214" t="s">
        <v>444</v>
      </c>
      <c r="B214" t="s">
        <v>29</v>
      </c>
      <c r="C214">
        <v>0.09</v>
      </c>
    </row>
    <row r="215" spans="1:3" x14ac:dyDescent="0.3">
      <c r="A215" t="s">
        <v>10588</v>
      </c>
      <c r="B215" t="s">
        <v>29</v>
      </c>
      <c r="C215">
        <v>0.09</v>
      </c>
    </row>
    <row r="216" spans="1:3" x14ac:dyDescent="0.3">
      <c r="A216" t="s">
        <v>3328</v>
      </c>
      <c r="B216" t="s">
        <v>87</v>
      </c>
      <c r="C216">
        <v>0.04</v>
      </c>
    </row>
    <row r="217" spans="1:3" x14ac:dyDescent="0.3">
      <c r="A217" t="s">
        <v>4989</v>
      </c>
      <c r="B217" t="s">
        <v>40</v>
      </c>
      <c r="C217">
        <v>0.03</v>
      </c>
    </row>
    <row r="218" spans="1:3" x14ac:dyDescent="0.3">
      <c r="A218" t="s">
        <v>4989</v>
      </c>
      <c r="B218" t="s">
        <v>40</v>
      </c>
      <c r="C218">
        <v>0.09</v>
      </c>
    </row>
    <row r="219" spans="1:3" x14ac:dyDescent="0.3">
      <c r="A219" t="s">
        <v>4989</v>
      </c>
      <c r="B219" t="s">
        <v>64</v>
      </c>
      <c r="C219">
        <v>0.06</v>
      </c>
    </row>
    <row r="220" spans="1:3" x14ac:dyDescent="0.3">
      <c r="A220" t="s">
        <v>4989</v>
      </c>
      <c r="B220" t="s">
        <v>64</v>
      </c>
      <c r="C220">
        <v>0.09</v>
      </c>
    </row>
    <row r="221" spans="1:3" x14ac:dyDescent="0.3">
      <c r="A221" t="s">
        <v>3771</v>
      </c>
      <c r="B221" t="s">
        <v>29</v>
      </c>
      <c r="C221">
        <v>0.03</v>
      </c>
    </row>
    <row r="222" spans="1:3" x14ac:dyDescent="0.3">
      <c r="A222" t="s">
        <v>8050</v>
      </c>
      <c r="B222" t="s">
        <v>53</v>
      </c>
      <c r="C222">
        <v>0.08</v>
      </c>
    </row>
    <row r="223" spans="1:3" x14ac:dyDescent="0.3">
      <c r="A223" t="s">
        <v>457</v>
      </c>
      <c r="B223" t="s">
        <v>29</v>
      </c>
      <c r="C223">
        <v>0.01</v>
      </c>
    </row>
    <row r="224" spans="1:3" x14ac:dyDescent="0.3">
      <c r="A224" t="s">
        <v>14036</v>
      </c>
      <c r="B224" t="s">
        <v>53</v>
      </c>
      <c r="C224">
        <v>0</v>
      </c>
    </row>
    <row r="225" spans="1:3" x14ac:dyDescent="0.3">
      <c r="A225" t="s">
        <v>6057</v>
      </c>
      <c r="B225" t="s">
        <v>53</v>
      </c>
      <c r="C225">
        <v>0.08</v>
      </c>
    </row>
    <row r="226" spans="1:3" x14ac:dyDescent="0.3">
      <c r="A226" t="s">
        <v>10032</v>
      </c>
      <c r="B226" t="s">
        <v>40</v>
      </c>
      <c r="C226">
        <v>0.1</v>
      </c>
    </row>
    <row r="227" spans="1:3" x14ac:dyDescent="0.3">
      <c r="A227" t="s">
        <v>9622</v>
      </c>
      <c r="B227" t="s">
        <v>87</v>
      </c>
      <c r="C227">
        <v>0</v>
      </c>
    </row>
    <row r="228" spans="1:3" x14ac:dyDescent="0.3">
      <c r="A228" t="s">
        <v>9622</v>
      </c>
      <c r="B228" t="s">
        <v>87</v>
      </c>
      <c r="C228">
        <v>0.01</v>
      </c>
    </row>
    <row r="229" spans="1:3" x14ac:dyDescent="0.3">
      <c r="A229" t="s">
        <v>9622</v>
      </c>
      <c r="B229" t="s">
        <v>87</v>
      </c>
      <c r="C229">
        <v>0.02</v>
      </c>
    </row>
    <row r="230" spans="1:3" x14ac:dyDescent="0.3">
      <c r="A230" t="s">
        <v>10488</v>
      </c>
      <c r="B230" t="s">
        <v>87</v>
      </c>
      <c r="C230">
        <v>7.0000000000000007E-2</v>
      </c>
    </row>
    <row r="231" spans="1:3" x14ac:dyDescent="0.3">
      <c r="A231" t="s">
        <v>2748</v>
      </c>
      <c r="B231" t="s">
        <v>225</v>
      </c>
      <c r="C231">
        <v>0.02</v>
      </c>
    </row>
    <row r="232" spans="1:3" x14ac:dyDescent="0.3">
      <c r="A232" t="s">
        <v>9408</v>
      </c>
      <c r="B232" t="s">
        <v>40</v>
      </c>
      <c r="C232">
        <v>0.02</v>
      </c>
    </row>
    <row r="233" spans="1:3" x14ac:dyDescent="0.3">
      <c r="A233" t="s">
        <v>9408</v>
      </c>
      <c r="B233" t="s">
        <v>40</v>
      </c>
      <c r="C233">
        <v>0.04</v>
      </c>
    </row>
    <row r="234" spans="1:3" x14ac:dyDescent="0.3">
      <c r="A234" t="s">
        <v>9408</v>
      </c>
      <c r="B234" t="s">
        <v>40</v>
      </c>
      <c r="C234">
        <v>0.09</v>
      </c>
    </row>
    <row r="235" spans="1:3" x14ac:dyDescent="0.3">
      <c r="A235" t="s">
        <v>13323</v>
      </c>
      <c r="B235" t="s">
        <v>29</v>
      </c>
      <c r="C235">
        <v>0</v>
      </c>
    </row>
    <row r="236" spans="1:3" x14ac:dyDescent="0.3">
      <c r="A236" t="s">
        <v>9938</v>
      </c>
      <c r="B236" t="s">
        <v>29</v>
      </c>
      <c r="C236">
        <v>0</v>
      </c>
    </row>
    <row r="237" spans="1:3" x14ac:dyDescent="0.3">
      <c r="A237" t="s">
        <v>13212</v>
      </c>
      <c r="B237" t="s">
        <v>40</v>
      </c>
      <c r="C237">
        <v>7.0000000000000007E-2</v>
      </c>
    </row>
    <row r="238" spans="1:3" x14ac:dyDescent="0.3">
      <c r="A238" t="s">
        <v>7566</v>
      </c>
      <c r="B238" t="s">
        <v>29</v>
      </c>
      <c r="C238">
        <v>0.08</v>
      </c>
    </row>
    <row r="239" spans="1:3" x14ac:dyDescent="0.3">
      <c r="A239" t="s">
        <v>15526</v>
      </c>
      <c r="B239" t="s">
        <v>87</v>
      </c>
      <c r="C239">
        <v>0.01</v>
      </c>
    </row>
    <row r="240" spans="1:3" x14ac:dyDescent="0.3">
      <c r="A240" t="s">
        <v>5347</v>
      </c>
      <c r="B240" t="s">
        <v>53</v>
      </c>
      <c r="C240">
        <v>0.08</v>
      </c>
    </row>
    <row r="241" spans="1:3" x14ac:dyDescent="0.3">
      <c r="A241" t="s">
        <v>12100</v>
      </c>
      <c r="B241" t="s">
        <v>53</v>
      </c>
      <c r="C241">
        <v>0.04</v>
      </c>
    </row>
    <row r="242" spans="1:3" x14ac:dyDescent="0.3">
      <c r="A242" t="s">
        <v>8457</v>
      </c>
      <c r="B242" t="s">
        <v>225</v>
      </c>
      <c r="C242">
        <v>0.04</v>
      </c>
    </row>
    <row r="243" spans="1:3" x14ac:dyDescent="0.3">
      <c r="A243" t="s">
        <v>12136</v>
      </c>
      <c r="B243" t="s">
        <v>87</v>
      </c>
      <c r="C243">
        <v>0</v>
      </c>
    </row>
    <row r="244" spans="1:3" x14ac:dyDescent="0.3">
      <c r="A244" t="s">
        <v>12136</v>
      </c>
      <c r="B244" t="s">
        <v>87</v>
      </c>
      <c r="C244">
        <v>0.01</v>
      </c>
    </row>
    <row r="245" spans="1:3" x14ac:dyDescent="0.3">
      <c r="A245" t="s">
        <v>8681</v>
      </c>
      <c r="B245" t="s">
        <v>64</v>
      </c>
      <c r="C245">
        <v>0.05</v>
      </c>
    </row>
    <row r="246" spans="1:3" x14ac:dyDescent="0.3">
      <c r="A246" t="s">
        <v>11347</v>
      </c>
      <c r="B246" t="s">
        <v>64</v>
      </c>
      <c r="C246">
        <v>0</v>
      </c>
    </row>
    <row r="247" spans="1:3" x14ac:dyDescent="0.3">
      <c r="A247" t="s">
        <v>11347</v>
      </c>
      <c r="B247" t="s">
        <v>64</v>
      </c>
      <c r="C247">
        <v>0.02</v>
      </c>
    </row>
    <row r="248" spans="1:3" x14ac:dyDescent="0.3">
      <c r="A248" t="s">
        <v>11347</v>
      </c>
      <c r="B248" t="s">
        <v>64</v>
      </c>
      <c r="C248">
        <v>0.09</v>
      </c>
    </row>
    <row r="249" spans="1:3" x14ac:dyDescent="0.3">
      <c r="A249" t="s">
        <v>11347</v>
      </c>
      <c r="B249" t="s">
        <v>87</v>
      </c>
      <c r="C249">
        <v>0.05</v>
      </c>
    </row>
    <row r="250" spans="1:3" x14ac:dyDescent="0.3">
      <c r="A250" t="s">
        <v>8712</v>
      </c>
      <c r="B250" t="s">
        <v>225</v>
      </c>
      <c r="C250">
        <v>0.08</v>
      </c>
    </row>
    <row r="251" spans="1:3" x14ac:dyDescent="0.3">
      <c r="A251" t="s">
        <v>10963</v>
      </c>
      <c r="B251" t="s">
        <v>87</v>
      </c>
      <c r="C251">
        <v>0.08</v>
      </c>
    </row>
    <row r="252" spans="1:3" x14ac:dyDescent="0.3">
      <c r="A252" t="s">
        <v>14826</v>
      </c>
      <c r="B252" t="s">
        <v>225</v>
      </c>
      <c r="C252">
        <v>0.01</v>
      </c>
    </row>
    <row r="253" spans="1:3" x14ac:dyDescent="0.3">
      <c r="A253" t="s">
        <v>14826</v>
      </c>
      <c r="B253" t="s">
        <v>225</v>
      </c>
      <c r="C253">
        <v>0.03</v>
      </c>
    </row>
    <row r="254" spans="1:3" x14ac:dyDescent="0.3">
      <c r="A254" t="s">
        <v>10950</v>
      </c>
      <c r="B254" t="s">
        <v>87</v>
      </c>
      <c r="C254">
        <v>0.01</v>
      </c>
    </row>
    <row r="255" spans="1:3" x14ac:dyDescent="0.3">
      <c r="A255" t="s">
        <v>13553</v>
      </c>
      <c r="B255" t="s">
        <v>40</v>
      </c>
      <c r="C255">
        <v>0.06</v>
      </c>
    </row>
    <row r="256" spans="1:3" x14ac:dyDescent="0.3">
      <c r="A256" t="s">
        <v>13553</v>
      </c>
      <c r="B256" t="s">
        <v>40</v>
      </c>
      <c r="C256">
        <v>0.1</v>
      </c>
    </row>
    <row r="257" spans="1:3" x14ac:dyDescent="0.3">
      <c r="A257" t="s">
        <v>6406</v>
      </c>
      <c r="B257" t="s">
        <v>87</v>
      </c>
      <c r="C257">
        <v>0</v>
      </c>
    </row>
    <row r="258" spans="1:3" x14ac:dyDescent="0.3">
      <c r="A258" t="s">
        <v>7462</v>
      </c>
      <c r="B258" t="s">
        <v>40</v>
      </c>
      <c r="C258">
        <v>0.05</v>
      </c>
    </row>
    <row r="259" spans="1:3" x14ac:dyDescent="0.3">
      <c r="A259" t="s">
        <v>7768</v>
      </c>
      <c r="B259" t="s">
        <v>29</v>
      </c>
      <c r="C259">
        <v>0.03</v>
      </c>
    </row>
    <row r="260" spans="1:3" x14ac:dyDescent="0.3">
      <c r="A260" t="s">
        <v>10160</v>
      </c>
      <c r="B260" t="s">
        <v>40</v>
      </c>
      <c r="C260">
        <v>0.03</v>
      </c>
    </row>
    <row r="261" spans="1:3" x14ac:dyDescent="0.3">
      <c r="A261" t="s">
        <v>8245</v>
      </c>
      <c r="B261" t="s">
        <v>29</v>
      </c>
      <c r="C261">
        <v>0.01</v>
      </c>
    </row>
    <row r="262" spans="1:3" x14ac:dyDescent="0.3">
      <c r="A262" t="s">
        <v>8245</v>
      </c>
      <c r="B262" t="s">
        <v>29</v>
      </c>
      <c r="C262">
        <v>0.04</v>
      </c>
    </row>
    <row r="263" spans="1:3" x14ac:dyDescent="0.3">
      <c r="A263" t="s">
        <v>2476</v>
      </c>
      <c r="B263" t="s">
        <v>29</v>
      </c>
      <c r="C263">
        <v>0.01</v>
      </c>
    </row>
    <row r="264" spans="1:3" x14ac:dyDescent="0.3">
      <c r="A264" t="s">
        <v>2476</v>
      </c>
      <c r="B264" t="s">
        <v>29</v>
      </c>
      <c r="C264">
        <v>0.06</v>
      </c>
    </row>
    <row r="265" spans="1:3" x14ac:dyDescent="0.3">
      <c r="A265" t="s">
        <v>10992</v>
      </c>
      <c r="B265" t="s">
        <v>225</v>
      </c>
      <c r="C265">
        <v>7.0000000000000007E-2</v>
      </c>
    </row>
    <row r="266" spans="1:3" x14ac:dyDescent="0.3">
      <c r="A266" t="s">
        <v>537</v>
      </c>
      <c r="B266" t="s">
        <v>40</v>
      </c>
      <c r="C266">
        <v>0.04</v>
      </c>
    </row>
    <row r="267" spans="1:3" x14ac:dyDescent="0.3">
      <c r="A267" t="s">
        <v>537</v>
      </c>
      <c r="B267" t="s">
        <v>40</v>
      </c>
      <c r="C267">
        <v>0.09</v>
      </c>
    </row>
    <row r="268" spans="1:3" x14ac:dyDescent="0.3">
      <c r="A268" t="s">
        <v>10071</v>
      </c>
      <c r="B268" t="s">
        <v>29</v>
      </c>
      <c r="C268">
        <v>0</v>
      </c>
    </row>
    <row r="269" spans="1:3" x14ac:dyDescent="0.3">
      <c r="A269" t="s">
        <v>10071</v>
      </c>
      <c r="B269" t="s">
        <v>29</v>
      </c>
      <c r="C269">
        <v>0.09</v>
      </c>
    </row>
    <row r="270" spans="1:3" x14ac:dyDescent="0.3">
      <c r="A270" t="s">
        <v>12578</v>
      </c>
      <c r="B270" t="s">
        <v>225</v>
      </c>
      <c r="C270">
        <v>0.08</v>
      </c>
    </row>
    <row r="271" spans="1:3" x14ac:dyDescent="0.3">
      <c r="A271" t="s">
        <v>12578</v>
      </c>
      <c r="B271" t="s">
        <v>29</v>
      </c>
      <c r="C271">
        <v>7.0000000000000007E-2</v>
      </c>
    </row>
    <row r="272" spans="1:3" x14ac:dyDescent="0.3">
      <c r="A272" t="s">
        <v>10594</v>
      </c>
      <c r="B272" t="s">
        <v>225</v>
      </c>
      <c r="C272">
        <v>0.03</v>
      </c>
    </row>
    <row r="273" spans="1:3" x14ac:dyDescent="0.3">
      <c r="A273" t="s">
        <v>13299</v>
      </c>
      <c r="B273" t="s">
        <v>29</v>
      </c>
      <c r="C273">
        <v>0.04</v>
      </c>
    </row>
    <row r="274" spans="1:3" x14ac:dyDescent="0.3">
      <c r="A274" t="s">
        <v>6633</v>
      </c>
      <c r="B274" t="s">
        <v>64</v>
      </c>
      <c r="C274">
        <v>0.17</v>
      </c>
    </row>
    <row r="275" spans="1:3" x14ac:dyDescent="0.3">
      <c r="A275" t="s">
        <v>4187</v>
      </c>
      <c r="B275" t="s">
        <v>225</v>
      </c>
      <c r="C275">
        <v>0.09</v>
      </c>
    </row>
    <row r="276" spans="1:3" x14ac:dyDescent="0.3">
      <c r="A276" t="s">
        <v>11100</v>
      </c>
      <c r="B276" t="s">
        <v>225</v>
      </c>
      <c r="C276">
        <v>7.0000000000000007E-2</v>
      </c>
    </row>
    <row r="277" spans="1:3" x14ac:dyDescent="0.3">
      <c r="A277" t="s">
        <v>7229</v>
      </c>
      <c r="B277" t="s">
        <v>29</v>
      </c>
      <c r="C277">
        <v>0.01</v>
      </c>
    </row>
    <row r="278" spans="1:3" x14ac:dyDescent="0.3">
      <c r="A278" t="s">
        <v>7229</v>
      </c>
      <c r="B278" t="s">
        <v>53</v>
      </c>
      <c r="C278">
        <v>0.03</v>
      </c>
    </row>
    <row r="279" spans="1:3" x14ac:dyDescent="0.3">
      <c r="A279" t="s">
        <v>2756</v>
      </c>
      <c r="B279" t="s">
        <v>53</v>
      </c>
      <c r="C279">
        <v>0.02</v>
      </c>
    </row>
    <row r="280" spans="1:3" x14ac:dyDescent="0.3">
      <c r="A280" t="s">
        <v>6971</v>
      </c>
      <c r="B280" t="s">
        <v>53</v>
      </c>
      <c r="C280">
        <v>0.04</v>
      </c>
    </row>
    <row r="281" spans="1:3" x14ac:dyDescent="0.3">
      <c r="A281" t="s">
        <v>6971</v>
      </c>
      <c r="B281" t="s">
        <v>53</v>
      </c>
      <c r="C281">
        <v>0.05</v>
      </c>
    </row>
    <row r="282" spans="1:3" x14ac:dyDescent="0.3">
      <c r="A282" t="s">
        <v>8667</v>
      </c>
      <c r="B282" t="s">
        <v>64</v>
      </c>
      <c r="C282">
        <v>0.04</v>
      </c>
    </row>
    <row r="283" spans="1:3" x14ac:dyDescent="0.3">
      <c r="A283" t="s">
        <v>8667</v>
      </c>
      <c r="B283" t="s">
        <v>64</v>
      </c>
      <c r="C283">
        <v>0.08</v>
      </c>
    </row>
    <row r="284" spans="1:3" x14ac:dyDescent="0.3">
      <c r="A284" t="s">
        <v>567</v>
      </c>
      <c r="B284" t="s">
        <v>64</v>
      </c>
      <c r="C284">
        <v>0.06</v>
      </c>
    </row>
    <row r="285" spans="1:3" x14ac:dyDescent="0.3">
      <c r="A285" t="s">
        <v>12826</v>
      </c>
      <c r="B285" t="s">
        <v>87</v>
      </c>
      <c r="C285">
        <v>0.09</v>
      </c>
    </row>
    <row r="286" spans="1:3" x14ac:dyDescent="0.3">
      <c r="A286" t="s">
        <v>6239</v>
      </c>
      <c r="B286" t="s">
        <v>40</v>
      </c>
      <c r="C286">
        <v>7.0000000000000007E-2</v>
      </c>
    </row>
    <row r="287" spans="1:3" x14ac:dyDescent="0.3">
      <c r="A287" t="s">
        <v>4791</v>
      </c>
      <c r="B287" t="s">
        <v>64</v>
      </c>
      <c r="C287">
        <v>0.02</v>
      </c>
    </row>
    <row r="288" spans="1:3" x14ac:dyDescent="0.3">
      <c r="A288" t="s">
        <v>4791</v>
      </c>
      <c r="B288" t="s">
        <v>64</v>
      </c>
      <c r="C288">
        <v>0.08</v>
      </c>
    </row>
    <row r="289" spans="1:3" x14ac:dyDescent="0.3">
      <c r="A289" t="s">
        <v>13276</v>
      </c>
      <c r="B289" t="s">
        <v>40</v>
      </c>
      <c r="C289">
        <v>0.05</v>
      </c>
    </row>
    <row r="290" spans="1:3" x14ac:dyDescent="0.3">
      <c r="A290" t="s">
        <v>8795</v>
      </c>
      <c r="B290" t="s">
        <v>29</v>
      </c>
      <c r="C290">
        <v>0</v>
      </c>
    </row>
    <row r="291" spans="1:3" x14ac:dyDescent="0.3">
      <c r="A291" t="s">
        <v>594</v>
      </c>
      <c r="B291" t="s">
        <v>225</v>
      </c>
      <c r="C291">
        <v>0.09</v>
      </c>
    </row>
    <row r="292" spans="1:3" x14ac:dyDescent="0.3">
      <c r="A292" t="s">
        <v>6065</v>
      </c>
      <c r="B292" t="s">
        <v>64</v>
      </c>
      <c r="C292">
        <v>0.02</v>
      </c>
    </row>
    <row r="293" spans="1:3" x14ac:dyDescent="0.3">
      <c r="A293" t="s">
        <v>600</v>
      </c>
      <c r="B293" t="s">
        <v>87</v>
      </c>
      <c r="C293">
        <v>0.05</v>
      </c>
    </row>
    <row r="294" spans="1:3" x14ac:dyDescent="0.3">
      <c r="A294" t="s">
        <v>14448</v>
      </c>
      <c r="B294" t="s">
        <v>87</v>
      </c>
      <c r="C294">
        <v>0.04</v>
      </c>
    </row>
    <row r="295" spans="1:3" x14ac:dyDescent="0.3">
      <c r="A295" t="s">
        <v>11355</v>
      </c>
      <c r="B295" t="s">
        <v>87</v>
      </c>
      <c r="C295">
        <v>0.02</v>
      </c>
    </row>
    <row r="296" spans="1:3" x14ac:dyDescent="0.3">
      <c r="A296" t="s">
        <v>11355</v>
      </c>
      <c r="B296" t="s">
        <v>87</v>
      </c>
      <c r="C296">
        <v>0.06</v>
      </c>
    </row>
    <row r="297" spans="1:3" x14ac:dyDescent="0.3">
      <c r="A297" t="s">
        <v>11643</v>
      </c>
      <c r="B297" t="s">
        <v>29</v>
      </c>
      <c r="C297">
        <v>0</v>
      </c>
    </row>
    <row r="298" spans="1:3" x14ac:dyDescent="0.3">
      <c r="A298" t="s">
        <v>12811</v>
      </c>
      <c r="B298" t="s">
        <v>29</v>
      </c>
      <c r="C298">
        <v>0.04</v>
      </c>
    </row>
    <row r="299" spans="1:3" x14ac:dyDescent="0.3">
      <c r="A299" t="s">
        <v>636</v>
      </c>
      <c r="B299" t="s">
        <v>64</v>
      </c>
      <c r="C299">
        <v>0.06</v>
      </c>
    </row>
    <row r="300" spans="1:3" x14ac:dyDescent="0.3">
      <c r="A300" t="s">
        <v>636</v>
      </c>
      <c r="B300" t="s">
        <v>64</v>
      </c>
      <c r="C300">
        <v>7.0000000000000007E-2</v>
      </c>
    </row>
    <row r="301" spans="1:3" x14ac:dyDescent="0.3">
      <c r="A301" t="s">
        <v>2915</v>
      </c>
      <c r="B301" t="s">
        <v>29</v>
      </c>
      <c r="C301">
        <v>0.08</v>
      </c>
    </row>
    <row r="302" spans="1:3" x14ac:dyDescent="0.3">
      <c r="A302" t="s">
        <v>14522</v>
      </c>
      <c r="B302" t="s">
        <v>225</v>
      </c>
      <c r="C302">
        <v>0.01</v>
      </c>
    </row>
    <row r="303" spans="1:3" x14ac:dyDescent="0.3">
      <c r="A303" t="s">
        <v>14522</v>
      </c>
      <c r="B303" t="s">
        <v>225</v>
      </c>
      <c r="C303">
        <v>0.04</v>
      </c>
    </row>
    <row r="304" spans="1:3" x14ac:dyDescent="0.3">
      <c r="A304" t="s">
        <v>7872</v>
      </c>
      <c r="B304" t="s">
        <v>53</v>
      </c>
      <c r="C304">
        <v>0.06</v>
      </c>
    </row>
    <row r="305" spans="1:3" x14ac:dyDescent="0.3">
      <c r="A305" t="s">
        <v>7872</v>
      </c>
      <c r="B305" t="s">
        <v>53</v>
      </c>
      <c r="C305">
        <v>7.0000000000000007E-2</v>
      </c>
    </row>
    <row r="306" spans="1:3" x14ac:dyDescent="0.3">
      <c r="A306" t="s">
        <v>4557</v>
      </c>
      <c r="B306" t="s">
        <v>53</v>
      </c>
      <c r="C306">
        <v>0.09</v>
      </c>
    </row>
    <row r="307" spans="1:3" x14ac:dyDescent="0.3">
      <c r="A307" t="s">
        <v>14214</v>
      </c>
      <c r="B307" t="s">
        <v>40</v>
      </c>
      <c r="C307">
        <v>0</v>
      </c>
    </row>
    <row r="308" spans="1:3" x14ac:dyDescent="0.3">
      <c r="A308" t="s">
        <v>672</v>
      </c>
      <c r="B308" t="s">
        <v>29</v>
      </c>
      <c r="C308">
        <v>0</v>
      </c>
    </row>
    <row r="309" spans="1:3" x14ac:dyDescent="0.3">
      <c r="A309" t="s">
        <v>8562</v>
      </c>
      <c r="B309" t="s">
        <v>53</v>
      </c>
      <c r="C309">
        <v>0.01</v>
      </c>
    </row>
    <row r="310" spans="1:3" x14ac:dyDescent="0.3">
      <c r="A310" t="s">
        <v>6866</v>
      </c>
      <c r="B310" t="s">
        <v>53</v>
      </c>
      <c r="C310">
        <v>0</v>
      </c>
    </row>
    <row r="311" spans="1:3" x14ac:dyDescent="0.3">
      <c r="A311" t="s">
        <v>6866</v>
      </c>
      <c r="B311" t="s">
        <v>53</v>
      </c>
      <c r="C311">
        <v>0.03</v>
      </c>
    </row>
    <row r="312" spans="1:3" x14ac:dyDescent="0.3">
      <c r="A312" t="s">
        <v>1854</v>
      </c>
      <c r="B312" t="s">
        <v>87</v>
      </c>
      <c r="C312">
        <v>7.0000000000000007E-2</v>
      </c>
    </row>
    <row r="313" spans="1:3" x14ac:dyDescent="0.3">
      <c r="A313" t="s">
        <v>4156</v>
      </c>
      <c r="B313" t="s">
        <v>87</v>
      </c>
      <c r="C313">
        <v>0.01</v>
      </c>
    </row>
    <row r="314" spans="1:3" x14ac:dyDescent="0.3">
      <c r="A314" t="s">
        <v>686</v>
      </c>
      <c r="B314" t="s">
        <v>87</v>
      </c>
      <c r="C314">
        <v>0.08</v>
      </c>
    </row>
    <row r="315" spans="1:3" x14ac:dyDescent="0.3">
      <c r="A315" t="s">
        <v>6850</v>
      </c>
      <c r="B315" t="s">
        <v>40</v>
      </c>
      <c r="C315">
        <v>0.09</v>
      </c>
    </row>
    <row r="316" spans="1:3" x14ac:dyDescent="0.3">
      <c r="A316" t="s">
        <v>8418</v>
      </c>
      <c r="B316" t="s">
        <v>64</v>
      </c>
      <c r="C316">
        <v>0.02</v>
      </c>
    </row>
    <row r="317" spans="1:3" x14ac:dyDescent="0.3">
      <c r="A317" t="s">
        <v>8418</v>
      </c>
      <c r="B317" t="s">
        <v>64</v>
      </c>
      <c r="C317">
        <v>0.08</v>
      </c>
    </row>
    <row r="318" spans="1:3" x14ac:dyDescent="0.3">
      <c r="A318" t="s">
        <v>15340</v>
      </c>
      <c r="B318" t="s">
        <v>64</v>
      </c>
      <c r="C318">
        <v>0.04</v>
      </c>
    </row>
    <row r="319" spans="1:3" x14ac:dyDescent="0.3">
      <c r="A319" t="s">
        <v>715</v>
      </c>
      <c r="B319" t="s">
        <v>87</v>
      </c>
      <c r="C319">
        <v>7.0000000000000007E-2</v>
      </c>
    </row>
    <row r="320" spans="1:3" x14ac:dyDescent="0.3">
      <c r="A320" t="s">
        <v>715</v>
      </c>
      <c r="B320" t="s">
        <v>87</v>
      </c>
      <c r="C320">
        <v>0.1</v>
      </c>
    </row>
    <row r="321" spans="1:3" x14ac:dyDescent="0.3">
      <c r="A321" t="s">
        <v>3968</v>
      </c>
      <c r="B321" t="s">
        <v>53</v>
      </c>
      <c r="C321">
        <v>0.02</v>
      </c>
    </row>
    <row r="322" spans="1:3" x14ac:dyDescent="0.3">
      <c r="A322" t="s">
        <v>4459</v>
      </c>
      <c r="B322" t="s">
        <v>53</v>
      </c>
      <c r="C322">
        <v>0.01</v>
      </c>
    </row>
    <row r="323" spans="1:3" x14ac:dyDescent="0.3">
      <c r="A323" t="s">
        <v>4459</v>
      </c>
      <c r="B323" t="s">
        <v>53</v>
      </c>
      <c r="C323">
        <v>0.04</v>
      </c>
    </row>
    <row r="324" spans="1:3" x14ac:dyDescent="0.3">
      <c r="A324" t="s">
        <v>11829</v>
      </c>
      <c r="B324" t="s">
        <v>29</v>
      </c>
      <c r="C324">
        <v>0.03</v>
      </c>
    </row>
    <row r="325" spans="1:3" x14ac:dyDescent="0.3">
      <c r="A325" t="s">
        <v>1108</v>
      </c>
      <c r="B325" t="s">
        <v>53</v>
      </c>
      <c r="C325">
        <v>0.01</v>
      </c>
    </row>
    <row r="326" spans="1:3" x14ac:dyDescent="0.3">
      <c r="A326" t="s">
        <v>1108</v>
      </c>
      <c r="B326" t="s">
        <v>53</v>
      </c>
      <c r="C326">
        <v>0.03</v>
      </c>
    </row>
    <row r="327" spans="1:3" x14ac:dyDescent="0.3">
      <c r="A327" t="s">
        <v>10753</v>
      </c>
      <c r="B327" t="s">
        <v>29</v>
      </c>
      <c r="C327">
        <v>0.04</v>
      </c>
    </row>
    <row r="328" spans="1:3" x14ac:dyDescent="0.3">
      <c r="A328" t="s">
        <v>10753</v>
      </c>
      <c r="B328" t="s">
        <v>29</v>
      </c>
      <c r="C328">
        <v>7.0000000000000007E-2</v>
      </c>
    </row>
    <row r="329" spans="1:3" x14ac:dyDescent="0.3">
      <c r="A329" t="s">
        <v>4642</v>
      </c>
      <c r="B329" t="s">
        <v>29</v>
      </c>
      <c r="C329">
        <v>0.02</v>
      </c>
    </row>
    <row r="330" spans="1:3" x14ac:dyDescent="0.3">
      <c r="A330" t="s">
        <v>4642</v>
      </c>
      <c r="B330" t="s">
        <v>29</v>
      </c>
      <c r="C330">
        <v>7.0000000000000007E-2</v>
      </c>
    </row>
    <row r="331" spans="1:3" x14ac:dyDescent="0.3">
      <c r="A331" t="s">
        <v>7209</v>
      </c>
      <c r="B331" t="s">
        <v>40</v>
      </c>
      <c r="C331">
        <v>0.03</v>
      </c>
    </row>
    <row r="332" spans="1:3" x14ac:dyDescent="0.3">
      <c r="A332" t="s">
        <v>3316</v>
      </c>
      <c r="B332" t="s">
        <v>225</v>
      </c>
      <c r="C332">
        <v>0.1</v>
      </c>
    </row>
    <row r="333" spans="1:3" x14ac:dyDescent="0.3">
      <c r="A333" t="s">
        <v>3121</v>
      </c>
      <c r="B333" t="s">
        <v>29</v>
      </c>
      <c r="C333">
        <v>0.1</v>
      </c>
    </row>
    <row r="334" spans="1:3" x14ac:dyDescent="0.3">
      <c r="A334" t="s">
        <v>8992</v>
      </c>
      <c r="B334" t="s">
        <v>87</v>
      </c>
      <c r="C334">
        <v>0.09</v>
      </c>
    </row>
    <row r="335" spans="1:3" x14ac:dyDescent="0.3">
      <c r="A335" t="s">
        <v>11640</v>
      </c>
      <c r="B335" t="s">
        <v>87</v>
      </c>
      <c r="C335">
        <v>0.02</v>
      </c>
    </row>
    <row r="336" spans="1:3" x14ac:dyDescent="0.3">
      <c r="A336" t="s">
        <v>10227</v>
      </c>
      <c r="B336" t="s">
        <v>29</v>
      </c>
      <c r="C336">
        <v>0.05</v>
      </c>
    </row>
    <row r="337" spans="1:3" x14ac:dyDescent="0.3">
      <c r="A337" t="s">
        <v>5675</v>
      </c>
      <c r="B337" t="s">
        <v>64</v>
      </c>
      <c r="C337">
        <v>0.08</v>
      </c>
    </row>
    <row r="338" spans="1:3" x14ac:dyDescent="0.3">
      <c r="A338" t="s">
        <v>5675</v>
      </c>
      <c r="B338" t="s">
        <v>87</v>
      </c>
      <c r="C338">
        <v>0.01</v>
      </c>
    </row>
    <row r="339" spans="1:3" x14ac:dyDescent="0.3">
      <c r="A339" t="s">
        <v>13351</v>
      </c>
      <c r="B339" t="s">
        <v>29</v>
      </c>
      <c r="C339">
        <v>0.03</v>
      </c>
    </row>
    <row r="340" spans="1:3" x14ac:dyDescent="0.3">
      <c r="A340" t="s">
        <v>13351</v>
      </c>
      <c r="B340" t="s">
        <v>29</v>
      </c>
      <c r="C340">
        <v>7.0000000000000007E-2</v>
      </c>
    </row>
    <row r="341" spans="1:3" x14ac:dyDescent="0.3">
      <c r="A341" t="s">
        <v>11185</v>
      </c>
      <c r="B341" t="s">
        <v>87</v>
      </c>
      <c r="C341">
        <v>0.09</v>
      </c>
    </row>
    <row r="342" spans="1:3" x14ac:dyDescent="0.3">
      <c r="A342" t="s">
        <v>15280</v>
      </c>
      <c r="B342" t="s">
        <v>29</v>
      </c>
      <c r="C342">
        <v>0.1</v>
      </c>
    </row>
    <row r="343" spans="1:3" x14ac:dyDescent="0.3">
      <c r="A343" t="s">
        <v>9121</v>
      </c>
      <c r="B343" t="s">
        <v>87</v>
      </c>
      <c r="C343">
        <v>0.04</v>
      </c>
    </row>
    <row r="344" spans="1:3" x14ac:dyDescent="0.3">
      <c r="A344" t="s">
        <v>791</v>
      </c>
      <c r="B344" t="s">
        <v>40</v>
      </c>
      <c r="C344">
        <v>0.02</v>
      </c>
    </row>
    <row r="345" spans="1:3" x14ac:dyDescent="0.3">
      <c r="A345" t="s">
        <v>791</v>
      </c>
      <c r="B345" t="s">
        <v>40</v>
      </c>
      <c r="C345">
        <v>0.04</v>
      </c>
    </row>
    <row r="346" spans="1:3" x14ac:dyDescent="0.3">
      <c r="A346" t="s">
        <v>6871</v>
      </c>
      <c r="B346" t="s">
        <v>40</v>
      </c>
      <c r="C346">
        <v>7.0000000000000007E-2</v>
      </c>
    </row>
    <row r="347" spans="1:3" x14ac:dyDescent="0.3">
      <c r="A347" t="s">
        <v>6871</v>
      </c>
      <c r="B347" t="s">
        <v>40</v>
      </c>
      <c r="C347">
        <v>0.08</v>
      </c>
    </row>
    <row r="348" spans="1:3" x14ac:dyDescent="0.3">
      <c r="A348" t="s">
        <v>14004</v>
      </c>
      <c r="B348" t="s">
        <v>87</v>
      </c>
      <c r="C348">
        <v>0</v>
      </c>
    </row>
    <row r="349" spans="1:3" x14ac:dyDescent="0.3">
      <c r="A349" t="s">
        <v>3954</v>
      </c>
      <c r="B349" t="s">
        <v>87</v>
      </c>
      <c r="C349">
        <v>0.03</v>
      </c>
    </row>
    <row r="350" spans="1:3" x14ac:dyDescent="0.3">
      <c r="A350" t="s">
        <v>3954</v>
      </c>
      <c r="B350" t="s">
        <v>87</v>
      </c>
      <c r="C350">
        <v>0.06</v>
      </c>
    </row>
    <row r="351" spans="1:3" x14ac:dyDescent="0.3">
      <c r="A351" t="s">
        <v>3954</v>
      </c>
      <c r="B351" t="s">
        <v>87</v>
      </c>
      <c r="C351">
        <v>0.1</v>
      </c>
    </row>
    <row r="352" spans="1:3" x14ac:dyDescent="0.3">
      <c r="A352" t="s">
        <v>14016</v>
      </c>
      <c r="B352" t="s">
        <v>87</v>
      </c>
      <c r="C352">
        <v>0.06</v>
      </c>
    </row>
    <row r="353" spans="1:3" x14ac:dyDescent="0.3">
      <c r="A353" t="s">
        <v>15143</v>
      </c>
      <c r="B353" t="s">
        <v>29</v>
      </c>
      <c r="C353">
        <v>0.05</v>
      </c>
    </row>
    <row r="354" spans="1:3" x14ac:dyDescent="0.3">
      <c r="A354" t="s">
        <v>15395</v>
      </c>
      <c r="B354" t="s">
        <v>64</v>
      </c>
      <c r="C354">
        <v>0.02</v>
      </c>
    </row>
    <row r="355" spans="1:3" x14ac:dyDescent="0.3">
      <c r="A355" t="s">
        <v>3634</v>
      </c>
      <c r="B355" t="s">
        <v>53</v>
      </c>
      <c r="C355">
        <v>7.0000000000000007E-2</v>
      </c>
    </row>
    <row r="356" spans="1:3" x14ac:dyDescent="0.3">
      <c r="A356" t="s">
        <v>3634</v>
      </c>
      <c r="B356" t="s">
        <v>53</v>
      </c>
      <c r="C356">
        <v>0.09</v>
      </c>
    </row>
    <row r="357" spans="1:3" x14ac:dyDescent="0.3">
      <c r="A357" t="s">
        <v>10226</v>
      </c>
      <c r="B357" t="s">
        <v>53</v>
      </c>
      <c r="C357">
        <v>0.03</v>
      </c>
    </row>
    <row r="358" spans="1:3" x14ac:dyDescent="0.3">
      <c r="A358" t="s">
        <v>10601</v>
      </c>
      <c r="B358" t="s">
        <v>87</v>
      </c>
      <c r="C358">
        <v>7.0000000000000007E-2</v>
      </c>
    </row>
    <row r="359" spans="1:3" x14ac:dyDescent="0.3">
      <c r="A359" t="s">
        <v>14662</v>
      </c>
      <c r="B359" t="s">
        <v>29</v>
      </c>
      <c r="C359">
        <v>0.01</v>
      </c>
    </row>
    <row r="360" spans="1:3" x14ac:dyDescent="0.3">
      <c r="A360" t="s">
        <v>14662</v>
      </c>
      <c r="B360" t="s">
        <v>29</v>
      </c>
      <c r="C360">
        <v>0.02</v>
      </c>
    </row>
    <row r="361" spans="1:3" x14ac:dyDescent="0.3">
      <c r="A361" t="s">
        <v>13578</v>
      </c>
      <c r="B361" t="s">
        <v>87</v>
      </c>
      <c r="C361">
        <v>0.04</v>
      </c>
    </row>
    <row r="362" spans="1:3" x14ac:dyDescent="0.3">
      <c r="A362" t="s">
        <v>13578</v>
      </c>
      <c r="B362" t="s">
        <v>87</v>
      </c>
      <c r="C362">
        <v>0.06</v>
      </c>
    </row>
    <row r="363" spans="1:3" x14ac:dyDescent="0.3">
      <c r="A363" t="s">
        <v>851</v>
      </c>
      <c r="B363" t="s">
        <v>29</v>
      </c>
      <c r="C363">
        <v>0.05</v>
      </c>
    </row>
    <row r="364" spans="1:3" x14ac:dyDescent="0.3">
      <c r="A364" t="s">
        <v>7679</v>
      </c>
      <c r="B364" t="s">
        <v>40</v>
      </c>
      <c r="C364">
        <v>0.02</v>
      </c>
    </row>
    <row r="365" spans="1:3" x14ac:dyDescent="0.3">
      <c r="A365" t="s">
        <v>7679</v>
      </c>
      <c r="B365" t="s">
        <v>40</v>
      </c>
      <c r="C365">
        <v>0.04</v>
      </c>
    </row>
    <row r="366" spans="1:3" x14ac:dyDescent="0.3">
      <c r="A366" t="s">
        <v>7679</v>
      </c>
      <c r="B366" t="s">
        <v>40</v>
      </c>
      <c r="C366">
        <v>0.09</v>
      </c>
    </row>
    <row r="367" spans="1:3" x14ac:dyDescent="0.3">
      <c r="A367" t="s">
        <v>10387</v>
      </c>
      <c r="B367" t="s">
        <v>40</v>
      </c>
      <c r="C367">
        <v>0.08</v>
      </c>
    </row>
    <row r="368" spans="1:3" x14ac:dyDescent="0.3">
      <c r="A368" t="s">
        <v>857</v>
      </c>
      <c r="B368" t="s">
        <v>29</v>
      </c>
      <c r="C368">
        <v>0.01</v>
      </c>
    </row>
    <row r="369" spans="1:3" x14ac:dyDescent="0.3">
      <c r="A369" t="s">
        <v>15564</v>
      </c>
      <c r="B369" t="s">
        <v>40</v>
      </c>
      <c r="C369">
        <v>0.04</v>
      </c>
    </row>
    <row r="370" spans="1:3" x14ac:dyDescent="0.3">
      <c r="A370" t="s">
        <v>8366</v>
      </c>
      <c r="B370" t="s">
        <v>29</v>
      </c>
      <c r="C370">
        <v>0.09</v>
      </c>
    </row>
    <row r="371" spans="1:3" x14ac:dyDescent="0.3">
      <c r="A371" t="s">
        <v>7641</v>
      </c>
      <c r="B371" t="s">
        <v>64</v>
      </c>
      <c r="C371">
        <v>0.08</v>
      </c>
    </row>
    <row r="372" spans="1:3" x14ac:dyDescent="0.3">
      <c r="A372" t="s">
        <v>6379</v>
      </c>
      <c r="B372" t="s">
        <v>225</v>
      </c>
      <c r="C372">
        <v>0.01</v>
      </c>
    </row>
    <row r="373" spans="1:3" x14ac:dyDescent="0.3">
      <c r="A373" t="s">
        <v>6759</v>
      </c>
      <c r="B373" t="s">
        <v>225</v>
      </c>
      <c r="C373">
        <v>0.09</v>
      </c>
    </row>
    <row r="374" spans="1:3" x14ac:dyDescent="0.3">
      <c r="A374" t="s">
        <v>12153</v>
      </c>
      <c r="B374" t="s">
        <v>64</v>
      </c>
      <c r="C374">
        <v>0.05</v>
      </c>
    </row>
    <row r="375" spans="1:3" x14ac:dyDescent="0.3">
      <c r="A375" t="s">
        <v>10109</v>
      </c>
      <c r="B375" t="s">
        <v>87</v>
      </c>
      <c r="C375">
        <v>0.09</v>
      </c>
    </row>
    <row r="376" spans="1:3" x14ac:dyDescent="0.3">
      <c r="A376" t="s">
        <v>8599</v>
      </c>
      <c r="B376" t="s">
        <v>87</v>
      </c>
      <c r="C376">
        <v>0.09</v>
      </c>
    </row>
    <row r="377" spans="1:3" x14ac:dyDescent="0.3">
      <c r="A377" t="s">
        <v>5826</v>
      </c>
      <c r="B377" t="s">
        <v>29</v>
      </c>
      <c r="C377">
        <v>0.03</v>
      </c>
    </row>
    <row r="378" spans="1:3" x14ac:dyDescent="0.3">
      <c r="A378" t="s">
        <v>11453</v>
      </c>
      <c r="B378" t="s">
        <v>29</v>
      </c>
      <c r="C378">
        <v>7.0000000000000007E-2</v>
      </c>
    </row>
    <row r="379" spans="1:3" x14ac:dyDescent="0.3">
      <c r="A379" t="s">
        <v>5122</v>
      </c>
      <c r="B379" t="s">
        <v>40</v>
      </c>
      <c r="C379">
        <v>0.01</v>
      </c>
    </row>
    <row r="380" spans="1:3" x14ac:dyDescent="0.3">
      <c r="A380" t="s">
        <v>15410</v>
      </c>
      <c r="B380" t="s">
        <v>87</v>
      </c>
      <c r="C380">
        <v>0.1</v>
      </c>
    </row>
    <row r="381" spans="1:3" x14ac:dyDescent="0.3">
      <c r="A381" t="s">
        <v>14912</v>
      </c>
      <c r="B381" t="s">
        <v>29</v>
      </c>
      <c r="C381">
        <v>0.08</v>
      </c>
    </row>
    <row r="382" spans="1:3" x14ac:dyDescent="0.3">
      <c r="A382" t="s">
        <v>4772</v>
      </c>
      <c r="B382" t="s">
        <v>64</v>
      </c>
      <c r="C382">
        <v>0</v>
      </c>
    </row>
    <row r="383" spans="1:3" x14ac:dyDescent="0.3">
      <c r="A383" t="s">
        <v>4772</v>
      </c>
      <c r="B383" t="s">
        <v>64</v>
      </c>
      <c r="C383">
        <v>7.0000000000000007E-2</v>
      </c>
    </row>
    <row r="384" spans="1:3" x14ac:dyDescent="0.3">
      <c r="A384" t="s">
        <v>4772</v>
      </c>
      <c r="B384" t="s">
        <v>64</v>
      </c>
      <c r="C384">
        <v>0.1</v>
      </c>
    </row>
    <row r="385" spans="1:3" x14ac:dyDescent="0.3">
      <c r="A385" t="s">
        <v>3969</v>
      </c>
      <c r="B385" t="s">
        <v>225</v>
      </c>
      <c r="C385">
        <v>0.09</v>
      </c>
    </row>
    <row r="386" spans="1:3" x14ac:dyDescent="0.3">
      <c r="A386" t="s">
        <v>3969</v>
      </c>
      <c r="B386" t="s">
        <v>64</v>
      </c>
      <c r="C386">
        <v>7.0000000000000007E-2</v>
      </c>
    </row>
    <row r="387" spans="1:3" x14ac:dyDescent="0.3">
      <c r="A387" t="s">
        <v>10114</v>
      </c>
      <c r="B387" t="s">
        <v>40</v>
      </c>
      <c r="C387">
        <v>0.1</v>
      </c>
    </row>
    <row r="388" spans="1:3" x14ac:dyDescent="0.3">
      <c r="A388" t="s">
        <v>10114</v>
      </c>
      <c r="B388" t="s">
        <v>53</v>
      </c>
      <c r="C388">
        <v>0.01</v>
      </c>
    </row>
    <row r="389" spans="1:3" x14ac:dyDescent="0.3">
      <c r="A389" t="s">
        <v>10114</v>
      </c>
      <c r="B389" t="s">
        <v>53</v>
      </c>
      <c r="C389">
        <v>0.02</v>
      </c>
    </row>
    <row r="390" spans="1:3" x14ac:dyDescent="0.3">
      <c r="A390" t="s">
        <v>10114</v>
      </c>
      <c r="B390" t="s">
        <v>53</v>
      </c>
      <c r="C390">
        <v>7.0000000000000007E-2</v>
      </c>
    </row>
    <row r="391" spans="1:3" x14ac:dyDescent="0.3">
      <c r="A391" t="s">
        <v>5110</v>
      </c>
      <c r="B391" t="s">
        <v>87</v>
      </c>
      <c r="C391">
        <v>0.06</v>
      </c>
    </row>
    <row r="392" spans="1:3" x14ac:dyDescent="0.3">
      <c r="A392" t="s">
        <v>13189</v>
      </c>
      <c r="B392" t="s">
        <v>53</v>
      </c>
      <c r="C392">
        <v>0.06</v>
      </c>
    </row>
    <row r="393" spans="1:3" x14ac:dyDescent="0.3">
      <c r="A393" t="s">
        <v>15414</v>
      </c>
      <c r="B393" t="s">
        <v>40</v>
      </c>
      <c r="C393">
        <v>0.1</v>
      </c>
    </row>
    <row r="394" spans="1:3" x14ac:dyDescent="0.3">
      <c r="A394" t="s">
        <v>7412</v>
      </c>
      <c r="B394" t="s">
        <v>64</v>
      </c>
      <c r="C394">
        <v>0.05</v>
      </c>
    </row>
    <row r="395" spans="1:3" x14ac:dyDescent="0.3">
      <c r="A395" t="s">
        <v>7412</v>
      </c>
      <c r="B395" t="s">
        <v>64</v>
      </c>
      <c r="C395">
        <v>0.09</v>
      </c>
    </row>
    <row r="396" spans="1:3" x14ac:dyDescent="0.3">
      <c r="A396" t="s">
        <v>12224</v>
      </c>
      <c r="B396" t="s">
        <v>40</v>
      </c>
      <c r="C396">
        <v>0.1</v>
      </c>
    </row>
    <row r="397" spans="1:3" x14ac:dyDescent="0.3">
      <c r="A397" t="s">
        <v>961</v>
      </c>
      <c r="B397" t="s">
        <v>29</v>
      </c>
      <c r="C397">
        <v>0.03</v>
      </c>
    </row>
    <row r="398" spans="1:3" x14ac:dyDescent="0.3">
      <c r="A398" t="s">
        <v>12115</v>
      </c>
      <c r="B398" t="s">
        <v>40</v>
      </c>
      <c r="C398">
        <v>0</v>
      </c>
    </row>
    <row r="399" spans="1:3" x14ac:dyDescent="0.3">
      <c r="A399" t="s">
        <v>12115</v>
      </c>
      <c r="B399" t="s">
        <v>40</v>
      </c>
      <c r="C399">
        <v>0.06</v>
      </c>
    </row>
    <row r="400" spans="1:3" x14ac:dyDescent="0.3">
      <c r="A400" t="s">
        <v>14002</v>
      </c>
      <c r="B400" t="s">
        <v>64</v>
      </c>
      <c r="C400">
        <v>0.03</v>
      </c>
    </row>
    <row r="401" spans="1:3" x14ac:dyDescent="0.3">
      <c r="A401" t="s">
        <v>967</v>
      </c>
      <c r="B401" t="s">
        <v>29</v>
      </c>
      <c r="C401">
        <v>0.01</v>
      </c>
    </row>
    <row r="402" spans="1:3" x14ac:dyDescent="0.3">
      <c r="A402" t="s">
        <v>2976</v>
      </c>
      <c r="B402" t="s">
        <v>29</v>
      </c>
      <c r="C402">
        <v>0.04</v>
      </c>
    </row>
    <row r="403" spans="1:3" x14ac:dyDescent="0.3">
      <c r="A403" t="s">
        <v>6507</v>
      </c>
      <c r="B403" t="s">
        <v>53</v>
      </c>
      <c r="C403">
        <v>0.03</v>
      </c>
    </row>
    <row r="404" spans="1:3" x14ac:dyDescent="0.3">
      <c r="A404" t="s">
        <v>6507</v>
      </c>
      <c r="B404" t="s">
        <v>53</v>
      </c>
      <c r="C404">
        <v>0.06</v>
      </c>
    </row>
    <row r="405" spans="1:3" x14ac:dyDescent="0.3">
      <c r="A405" t="s">
        <v>6507</v>
      </c>
      <c r="B405" t="s">
        <v>87</v>
      </c>
      <c r="C405">
        <v>0.09</v>
      </c>
    </row>
    <row r="406" spans="1:3" x14ac:dyDescent="0.3">
      <c r="A406" t="s">
        <v>1124</v>
      </c>
      <c r="B406" t="s">
        <v>87</v>
      </c>
      <c r="C406">
        <v>0.02</v>
      </c>
    </row>
    <row r="407" spans="1:3" x14ac:dyDescent="0.3">
      <c r="A407" t="s">
        <v>1124</v>
      </c>
      <c r="B407" t="s">
        <v>87</v>
      </c>
      <c r="C407">
        <v>0.03</v>
      </c>
    </row>
    <row r="408" spans="1:3" x14ac:dyDescent="0.3">
      <c r="A408" t="s">
        <v>977</v>
      </c>
      <c r="B408" t="s">
        <v>87</v>
      </c>
      <c r="C408">
        <v>0.01</v>
      </c>
    </row>
    <row r="409" spans="1:3" x14ac:dyDescent="0.3">
      <c r="A409" t="s">
        <v>6979</v>
      </c>
      <c r="B409" t="s">
        <v>53</v>
      </c>
      <c r="C409">
        <v>7.0000000000000007E-2</v>
      </c>
    </row>
    <row r="410" spans="1:3" x14ac:dyDescent="0.3">
      <c r="A410" t="s">
        <v>11363</v>
      </c>
      <c r="B410" t="s">
        <v>53</v>
      </c>
      <c r="C410">
        <v>0.04</v>
      </c>
    </row>
    <row r="411" spans="1:3" x14ac:dyDescent="0.3">
      <c r="A411" t="s">
        <v>12290</v>
      </c>
      <c r="B411" t="s">
        <v>29</v>
      </c>
      <c r="C411">
        <v>0.05</v>
      </c>
    </row>
    <row r="412" spans="1:3" x14ac:dyDescent="0.3">
      <c r="A412" t="s">
        <v>9629</v>
      </c>
      <c r="B412" t="s">
        <v>29</v>
      </c>
      <c r="C412">
        <v>0.08</v>
      </c>
    </row>
    <row r="413" spans="1:3" x14ac:dyDescent="0.3">
      <c r="A413" t="s">
        <v>13648</v>
      </c>
      <c r="B413" t="s">
        <v>53</v>
      </c>
      <c r="C413">
        <v>0.08</v>
      </c>
    </row>
    <row r="414" spans="1:3" x14ac:dyDescent="0.3">
      <c r="A414" t="s">
        <v>13329</v>
      </c>
      <c r="B414" t="s">
        <v>40</v>
      </c>
      <c r="C414">
        <v>0.09</v>
      </c>
    </row>
    <row r="415" spans="1:3" x14ac:dyDescent="0.3">
      <c r="A415" t="s">
        <v>11977</v>
      </c>
      <c r="B415" t="s">
        <v>87</v>
      </c>
      <c r="C415">
        <v>0.03</v>
      </c>
    </row>
    <row r="416" spans="1:3" x14ac:dyDescent="0.3">
      <c r="A416" t="s">
        <v>14682</v>
      </c>
      <c r="B416" t="s">
        <v>29</v>
      </c>
      <c r="C416">
        <v>0.05</v>
      </c>
    </row>
    <row r="417" spans="1:3" x14ac:dyDescent="0.3">
      <c r="A417" t="s">
        <v>4742</v>
      </c>
      <c r="B417" t="s">
        <v>29</v>
      </c>
      <c r="C417">
        <v>0.02</v>
      </c>
    </row>
    <row r="418" spans="1:3" x14ac:dyDescent="0.3">
      <c r="A418" t="s">
        <v>13438</v>
      </c>
      <c r="B418" t="s">
        <v>29</v>
      </c>
      <c r="C418">
        <v>0.01</v>
      </c>
    </row>
    <row r="419" spans="1:3" x14ac:dyDescent="0.3">
      <c r="A419" t="s">
        <v>1841</v>
      </c>
      <c r="B419" t="s">
        <v>40</v>
      </c>
      <c r="C419">
        <v>0.01</v>
      </c>
    </row>
    <row r="420" spans="1:3" x14ac:dyDescent="0.3">
      <c r="A420" t="s">
        <v>1841</v>
      </c>
      <c r="B420" t="s">
        <v>40</v>
      </c>
      <c r="C420">
        <v>0.02</v>
      </c>
    </row>
    <row r="421" spans="1:3" x14ac:dyDescent="0.3">
      <c r="A421" t="s">
        <v>1110</v>
      </c>
      <c r="B421" t="s">
        <v>29</v>
      </c>
      <c r="C421">
        <v>0</v>
      </c>
    </row>
    <row r="422" spans="1:3" x14ac:dyDescent="0.3">
      <c r="A422" t="s">
        <v>1008</v>
      </c>
      <c r="B422" t="s">
        <v>29</v>
      </c>
      <c r="C422">
        <v>7.0000000000000007E-2</v>
      </c>
    </row>
    <row r="423" spans="1:3" x14ac:dyDescent="0.3">
      <c r="A423" t="s">
        <v>12125</v>
      </c>
      <c r="B423" t="s">
        <v>40</v>
      </c>
      <c r="C423">
        <v>0.01</v>
      </c>
    </row>
    <row r="424" spans="1:3" x14ac:dyDescent="0.3">
      <c r="A424" t="s">
        <v>12125</v>
      </c>
      <c r="B424" t="s">
        <v>87</v>
      </c>
      <c r="C424">
        <v>0.01</v>
      </c>
    </row>
    <row r="425" spans="1:3" x14ac:dyDescent="0.3">
      <c r="A425" t="s">
        <v>15338</v>
      </c>
      <c r="B425" t="s">
        <v>87</v>
      </c>
      <c r="C425">
        <v>0.01</v>
      </c>
    </row>
    <row r="426" spans="1:3" x14ac:dyDescent="0.3">
      <c r="A426" t="s">
        <v>15338</v>
      </c>
      <c r="B426" t="s">
        <v>87</v>
      </c>
      <c r="C426">
        <v>0.02</v>
      </c>
    </row>
    <row r="427" spans="1:3" x14ac:dyDescent="0.3">
      <c r="A427" t="s">
        <v>1013</v>
      </c>
      <c r="B427" t="s">
        <v>40</v>
      </c>
      <c r="C427">
        <v>0.09</v>
      </c>
    </row>
    <row r="428" spans="1:3" x14ac:dyDescent="0.3">
      <c r="A428" t="s">
        <v>4312</v>
      </c>
      <c r="B428" t="s">
        <v>64</v>
      </c>
      <c r="C428">
        <v>0.01</v>
      </c>
    </row>
    <row r="429" spans="1:3" x14ac:dyDescent="0.3">
      <c r="A429" t="s">
        <v>4312</v>
      </c>
      <c r="B429" t="s">
        <v>64</v>
      </c>
      <c r="C429">
        <v>0.1</v>
      </c>
    </row>
    <row r="430" spans="1:3" x14ac:dyDescent="0.3">
      <c r="A430" t="s">
        <v>3548</v>
      </c>
      <c r="B430" t="s">
        <v>53</v>
      </c>
      <c r="C430">
        <v>0</v>
      </c>
    </row>
    <row r="431" spans="1:3" x14ac:dyDescent="0.3">
      <c r="A431" t="s">
        <v>2983</v>
      </c>
      <c r="B431" t="s">
        <v>87</v>
      </c>
      <c r="C431">
        <v>0.08</v>
      </c>
    </row>
    <row r="432" spans="1:3" x14ac:dyDescent="0.3">
      <c r="A432" t="s">
        <v>1031</v>
      </c>
      <c r="B432" t="s">
        <v>40</v>
      </c>
      <c r="C432">
        <v>0</v>
      </c>
    </row>
    <row r="433" spans="1:3" x14ac:dyDescent="0.3">
      <c r="A433" t="s">
        <v>1031</v>
      </c>
      <c r="B433" t="s">
        <v>40</v>
      </c>
      <c r="C433">
        <v>0.03</v>
      </c>
    </row>
    <row r="434" spans="1:3" x14ac:dyDescent="0.3">
      <c r="A434" t="s">
        <v>8240</v>
      </c>
      <c r="B434" t="s">
        <v>40</v>
      </c>
      <c r="C434">
        <v>0</v>
      </c>
    </row>
    <row r="435" spans="1:3" x14ac:dyDescent="0.3">
      <c r="A435" t="s">
        <v>12037</v>
      </c>
      <c r="B435" t="s">
        <v>53</v>
      </c>
      <c r="C435">
        <v>0.03</v>
      </c>
    </row>
    <row r="436" spans="1:3" x14ac:dyDescent="0.3">
      <c r="A436" t="s">
        <v>12037</v>
      </c>
      <c r="B436" t="s">
        <v>53</v>
      </c>
      <c r="C436">
        <v>0.09</v>
      </c>
    </row>
    <row r="437" spans="1:3" x14ac:dyDescent="0.3">
      <c r="A437" t="s">
        <v>1042</v>
      </c>
      <c r="B437" t="s">
        <v>29</v>
      </c>
      <c r="C437">
        <v>7.0000000000000007E-2</v>
      </c>
    </row>
    <row r="438" spans="1:3" x14ac:dyDescent="0.3">
      <c r="A438" t="s">
        <v>5938</v>
      </c>
      <c r="B438" t="s">
        <v>87</v>
      </c>
      <c r="C438">
        <v>7.0000000000000007E-2</v>
      </c>
    </row>
    <row r="439" spans="1:3" x14ac:dyDescent="0.3">
      <c r="A439" t="s">
        <v>1048</v>
      </c>
      <c r="B439" t="s">
        <v>29</v>
      </c>
      <c r="C439">
        <v>0.06</v>
      </c>
    </row>
    <row r="440" spans="1:3" x14ac:dyDescent="0.3">
      <c r="A440" t="s">
        <v>1048</v>
      </c>
      <c r="B440" t="s">
        <v>87</v>
      </c>
      <c r="C440">
        <v>0.08</v>
      </c>
    </row>
    <row r="441" spans="1:3" x14ac:dyDescent="0.3">
      <c r="A441" t="s">
        <v>15224</v>
      </c>
      <c r="B441" t="s">
        <v>40</v>
      </c>
      <c r="C441">
        <v>0.06</v>
      </c>
    </row>
    <row r="442" spans="1:3" x14ac:dyDescent="0.3">
      <c r="A442" t="s">
        <v>14094</v>
      </c>
      <c r="B442" t="s">
        <v>40</v>
      </c>
      <c r="C442">
        <v>0.02</v>
      </c>
    </row>
    <row r="443" spans="1:3" x14ac:dyDescent="0.3">
      <c r="A443" t="s">
        <v>14094</v>
      </c>
      <c r="B443" t="s">
        <v>225</v>
      </c>
      <c r="C443">
        <v>0.03</v>
      </c>
    </row>
    <row r="444" spans="1:3" x14ac:dyDescent="0.3">
      <c r="A444" t="s">
        <v>5673</v>
      </c>
      <c r="B444" t="s">
        <v>225</v>
      </c>
      <c r="C444">
        <v>0.01</v>
      </c>
    </row>
    <row r="445" spans="1:3" x14ac:dyDescent="0.3">
      <c r="A445" t="s">
        <v>1082</v>
      </c>
      <c r="B445" t="s">
        <v>40</v>
      </c>
      <c r="C445">
        <v>0.06</v>
      </c>
    </row>
    <row r="446" spans="1:3" x14ac:dyDescent="0.3">
      <c r="A446" t="s">
        <v>5495</v>
      </c>
      <c r="B446" t="s">
        <v>225</v>
      </c>
      <c r="C446">
        <v>0.01</v>
      </c>
    </row>
    <row r="447" spans="1:3" x14ac:dyDescent="0.3">
      <c r="A447" t="s">
        <v>5495</v>
      </c>
      <c r="B447" t="s">
        <v>225</v>
      </c>
      <c r="C447">
        <v>0.04</v>
      </c>
    </row>
    <row r="448" spans="1:3" x14ac:dyDescent="0.3">
      <c r="A448" t="s">
        <v>5495</v>
      </c>
      <c r="B448" t="s">
        <v>225</v>
      </c>
      <c r="C448">
        <v>0.05</v>
      </c>
    </row>
    <row r="449" spans="1:3" x14ac:dyDescent="0.3">
      <c r="A449" t="s">
        <v>5495</v>
      </c>
      <c r="B449" t="s">
        <v>225</v>
      </c>
      <c r="C449">
        <v>0.06</v>
      </c>
    </row>
    <row r="450" spans="1:3" x14ac:dyDescent="0.3">
      <c r="A450" t="s">
        <v>13145</v>
      </c>
      <c r="B450" t="s">
        <v>87</v>
      </c>
      <c r="C450">
        <v>0.02</v>
      </c>
    </row>
    <row r="451" spans="1:3" x14ac:dyDescent="0.3">
      <c r="A451" t="s">
        <v>1090</v>
      </c>
      <c r="B451" t="s">
        <v>87</v>
      </c>
      <c r="C451">
        <v>7.0000000000000007E-2</v>
      </c>
    </row>
    <row r="452" spans="1:3" x14ac:dyDescent="0.3">
      <c r="A452" t="s">
        <v>12864</v>
      </c>
      <c r="B452" t="s">
        <v>87</v>
      </c>
      <c r="C452">
        <v>0</v>
      </c>
    </row>
    <row r="453" spans="1:3" x14ac:dyDescent="0.3">
      <c r="A453" t="s">
        <v>8820</v>
      </c>
      <c r="B453" t="s">
        <v>53</v>
      </c>
      <c r="C453">
        <v>0</v>
      </c>
    </row>
    <row r="454" spans="1:3" x14ac:dyDescent="0.3">
      <c r="A454" t="s">
        <v>8820</v>
      </c>
      <c r="B454" t="s">
        <v>53</v>
      </c>
      <c r="C454">
        <v>0.03</v>
      </c>
    </row>
    <row r="455" spans="1:3" x14ac:dyDescent="0.3">
      <c r="A455" t="s">
        <v>14170</v>
      </c>
      <c r="B455" t="s">
        <v>29</v>
      </c>
      <c r="C455">
        <v>0.02</v>
      </c>
    </row>
    <row r="456" spans="1:3" x14ac:dyDescent="0.3">
      <c r="A456" t="s">
        <v>14170</v>
      </c>
      <c r="B456" t="s">
        <v>29</v>
      </c>
      <c r="C456">
        <v>0.08</v>
      </c>
    </row>
    <row r="457" spans="1:3" x14ac:dyDescent="0.3">
      <c r="A457" t="s">
        <v>12106</v>
      </c>
      <c r="B457" t="s">
        <v>53</v>
      </c>
      <c r="C457">
        <v>0.1</v>
      </c>
    </row>
    <row r="458" spans="1:3" x14ac:dyDescent="0.3">
      <c r="A458" t="s">
        <v>9650</v>
      </c>
      <c r="B458" t="s">
        <v>53</v>
      </c>
      <c r="C458">
        <v>0.03</v>
      </c>
    </row>
    <row r="459" spans="1:3" x14ac:dyDescent="0.3">
      <c r="A459" t="s">
        <v>14090</v>
      </c>
      <c r="B459" t="s">
        <v>87</v>
      </c>
      <c r="C459">
        <v>0.05</v>
      </c>
    </row>
    <row r="460" spans="1:3" x14ac:dyDescent="0.3">
      <c r="A460" t="s">
        <v>12377</v>
      </c>
      <c r="B460" t="s">
        <v>64</v>
      </c>
      <c r="C460">
        <v>0.1</v>
      </c>
    </row>
    <row r="461" spans="1:3" x14ac:dyDescent="0.3">
      <c r="A461" t="s">
        <v>6802</v>
      </c>
      <c r="B461" t="s">
        <v>87</v>
      </c>
      <c r="C461">
        <v>0.03</v>
      </c>
    </row>
    <row r="462" spans="1:3" x14ac:dyDescent="0.3">
      <c r="A462" t="s">
        <v>10236</v>
      </c>
      <c r="B462" t="s">
        <v>64</v>
      </c>
      <c r="C462">
        <v>0.03</v>
      </c>
    </row>
    <row r="463" spans="1:3" x14ac:dyDescent="0.3">
      <c r="A463" t="s">
        <v>10236</v>
      </c>
      <c r="B463" t="s">
        <v>64</v>
      </c>
      <c r="C463">
        <v>7.0000000000000007E-2</v>
      </c>
    </row>
    <row r="464" spans="1:3" x14ac:dyDescent="0.3">
      <c r="A464" t="s">
        <v>14433</v>
      </c>
      <c r="B464" t="s">
        <v>87</v>
      </c>
      <c r="C464">
        <v>0.04</v>
      </c>
    </row>
    <row r="465" spans="1:3" x14ac:dyDescent="0.3">
      <c r="A465" t="s">
        <v>9222</v>
      </c>
      <c r="B465" t="s">
        <v>87</v>
      </c>
      <c r="C465">
        <v>0.06</v>
      </c>
    </row>
    <row r="466" spans="1:3" x14ac:dyDescent="0.3">
      <c r="A466" t="s">
        <v>9222</v>
      </c>
      <c r="B466" t="s">
        <v>87</v>
      </c>
      <c r="C466">
        <v>0.1</v>
      </c>
    </row>
    <row r="467" spans="1:3" x14ac:dyDescent="0.3">
      <c r="A467" t="s">
        <v>3855</v>
      </c>
      <c r="B467" t="s">
        <v>40</v>
      </c>
      <c r="C467">
        <v>0</v>
      </c>
    </row>
    <row r="468" spans="1:3" x14ac:dyDescent="0.3">
      <c r="A468" t="s">
        <v>8574</v>
      </c>
      <c r="B468" t="s">
        <v>40</v>
      </c>
      <c r="C468">
        <v>0.04</v>
      </c>
    </row>
    <row r="469" spans="1:3" x14ac:dyDescent="0.3">
      <c r="A469" t="s">
        <v>8574</v>
      </c>
      <c r="B469" t="s">
        <v>40</v>
      </c>
      <c r="C469">
        <v>0.08</v>
      </c>
    </row>
    <row r="470" spans="1:3" x14ac:dyDescent="0.3">
      <c r="A470" t="s">
        <v>8968</v>
      </c>
      <c r="B470" t="s">
        <v>225</v>
      </c>
      <c r="C470">
        <v>0.06</v>
      </c>
    </row>
    <row r="471" spans="1:3" x14ac:dyDescent="0.3">
      <c r="A471" t="s">
        <v>10356</v>
      </c>
      <c r="B471" t="s">
        <v>53</v>
      </c>
      <c r="C471">
        <v>0.03</v>
      </c>
    </row>
    <row r="472" spans="1:3" x14ac:dyDescent="0.3">
      <c r="A472" t="s">
        <v>10356</v>
      </c>
      <c r="B472" t="s">
        <v>53</v>
      </c>
      <c r="C472">
        <v>0.1</v>
      </c>
    </row>
    <row r="473" spans="1:3" x14ac:dyDescent="0.3">
      <c r="A473" t="s">
        <v>7072</v>
      </c>
      <c r="B473" t="s">
        <v>40</v>
      </c>
      <c r="C473">
        <v>0.1</v>
      </c>
    </row>
    <row r="474" spans="1:3" x14ac:dyDescent="0.3">
      <c r="A474" t="s">
        <v>12543</v>
      </c>
      <c r="B474" t="s">
        <v>87</v>
      </c>
      <c r="C474">
        <v>0.03</v>
      </c>
    </row>
    <row r="475" spans="1:3" x14ac:dyDescent="0.3">
      <c r="A475" t="s">
        <v>9216</v>
      </c>
      <c r="B475" t="s">
        <v>53</v>
      </c>
      <c r="C475">
        <v>0.04</v>
      </c>
    </row>
    <row r="476" spans="1:3" x14ac:dyDescent="0.3">
      <c r="A476" t="s">
        <v>9216</v>
      </c>
      <c r="B476" t="s">
        <v>53</v>
      </c>
      <c r="C476">
        <v>0.08</v>
      </c>
    </row>
    <row r="477" spans="1:3" x14ac:dyDescent="0.3">
      <c r="A477" t="s">
        <v>9216</v>
      </c>
      <c r="B477" t="s">
        <v>53</v>
      </c>
      <c r="C477">
        <v>0.09</v>
      </c>
    </row>
    <row r="478" spans="1:3" x14ac:dyDescent="0.3">
      <c r="A478" t="s">
        <v>9216</v>
      </c>
      <c r="B478" t="s">
        <v>53</v>
      </c>
      <c r="C478">
        <v>0.21</v>
      </c>
    </row>
    <row r="479" spans="1:3" x14ac:dyDescent="0.3">
      <c r="A479" t="s">
        <v>11880</v>
      </c>
      <c r="B479" t="s">
        <v>87</v>
      </c>
      <c r="C479">
        <v>0.09</v>
      </c>
    </row>
    <row r="480" spans="1:3" x14ac:dyDescent="0.3">
      <c r="A480" t="s">
        <v>4531</v>
      </c>
      <c r="B480" t="s">
        <v>40</v>
      </c>
      <c r="C480">
        <v>0.04</v>
      </c>
    </row>
    <row r="481" spans="1:3" x14ac:dyDescent="0.3">
      <c r="A481" t="s">
        <v>13642</v>
      </c>
      <c r="B481" t="s">
        <v>53</v>
      </c>
      <c r="C481">
        <v>0.09</v>
      </c>
    </row>
    <row r="482" spans="1:3" x14ac:dyDescent="0.3">
      <c r="A482" t="s">
        <v>12273</v>
      </c>
      <c r="B482" t="s">
        <v>87</v>
      </c>
      <c r="C482">
        <v>0.05</v>
      </c>
    </row>
    <row r="483" spans="1:3" x14ac:dyDescent="0.3">
      <c r="A483" t="s">
        <v>4555</v>
      </c>
      <c r="B483" t="s">
        <v>53</v>
      </c>
      <c r="C483">
        <v>0.04</v>
      </c>
    </row>
    <row r="484" spans="1:3" x14ac:dyDescent="0.3">
      <c r="A484" t="s">
        <v>14041</v>
      </c>
      <c r="B484" t="s">
        <v>225</v>
      </c>
      <c r="C484">
        <v>0.03</v>
      </c>
    </row>
    <row r="485" spans="1:3" x14ac:dyDescent="0.3">
      <c r="A485" t="s">
        <v>14041</v>
      </c>
      <c r="B485" t="s">
        <v>53</v>
      </c>
      <c r="C485">
        <v>0.01</v>
      </c>
    </row>
    <row r="486" spans="1:3" x14ac:dyDescent="0.3">
      <c r="A486" t="s">
        <v>10053</v>
      </c>
      <c r="B486" t="s">
        <v>225</v>
      </c>
      <c r="C486">
        <v>0.03</v>
      </c>
    </row>
    <row r="487" spans="1:3" x14ac:dyDescent="0.3">
      <c r="A487" t="s">
        <v>8763</v>
      </c>
      <c r="B487" t="s">
        <v>225</v>
      </c>
      <c r="C487">
        <v>0.09</v>
      </c>
    </row>
    <row r="488" spans="1:3" x14ac:dyDescent="0.3">
      <c r="A488" t="s">
        <v>5748</v>
      </c>
      <c r="B488" t="s">
        <v>29</v>
      </c>
      <c r="C488">
        <v>0.02</v>
      </c>
    </row>
    <row r="489" spans="1:3" x14ac:dyDescent="0.3">
      <c r="A489" t="s">
        <v>5748</v>
      </c>
      <c r="B489" t="s">
        <v>53</v>
      </c>
      <c r="C489">
        <v>0.05</v>
      </c>
    </row>
    <row r="490" spans="1:3" x14ac:dyDescent="0.3">
      <c r="A490" t="s">
        <v>3187</v>
      </c>
      <c r="B490" t="s">
        <v>53</v>
      </c>
      <c r="C490">
        <v>7.0000000000000007E-2</v>
      </c>
    </row>
    <row r="491" spans="1:3" x14ac:dyDescent="0.3">
      <c r="A491" t="s">
        <v>6377</v>
      </c>
      <c r="B491" t="s">
        <v>29</v>
      </c>
      <c r="C491">
        <v>0.01</v>
      </c>
    </row>
    <row r="492" spans="1:3" x14ac:dyDescent="0.3">
      <c r="A492" t="s">
        <v>6377</v>
      </c>
      <c r="B492" t="s">
        <v>29</v>
      </c>
      <c r="C492">
        <v>7.0000000000000007E-2</v>
      </c>
    </row>
    <row r="493" spans="1:3" x14ac:dyDescent="0.3">
      <c r="A493" t="s">
        <v>15684</v>
      </c>
      <c r="B493" t="s">
        <v>40</v>
      </c>
      <c r="C493">
        <v>0.04</v>
      </c>
    </row>
    <row r="494" spans="1:3" x14ac:dyDescent="0.3">
      <c r="A494" t="s">
        <v>15684</v>
      </c>
      <c r="B494" t="s">
        <v>40</v>
      </c>
      <c r="C494">
        <v>0.05</v>
      </c>
    </row>
    <row r="495" spans="1:3" x14ac:dyDescent="0.3">
      <c r="A495" t="s">
        <v>1174</v>
      </c>
      <c r="B495" t="s">
        <v>225</v>
      </c>
      <c r="C495">
        <v>0</v>
      </c>
    </row>
    <row r="496" spans="1:3" x14ac:dyDescent="0.3">
      <c r="A496" t="s">
        <v>13850</v>
      </c>
      <c r="B496" t="s">
        <v>87</v>
      </c>
      <c r="C496">
        <v>0.05</v>
      </c>
    </row>
    <row r="497" spans="1:3" x14ac:dyDescent="0.3">
      <c r="A497" t="s">
        <v>13850</v>
      </c>
      <c r="B497" t="s">
        <v>87</v>
      </c>
      <c r="C497">
        <v>0.08</v>
      </c>
    </row>
    <row r="498" spans="1:3" x14ac:dyDescent="0.3">
      <c r="A498" t="s">
        <v>13850</v>
      </c>
      <c r="B498" t="s">
        <v>87</v>
      </c>
      <c r="C498">
        <v>0.09</v>
      </c>
    </row>
    <row r="499" spans="1:3" x14ac:dyDescent="0.3">
      <c r="A499" t="s">
        <v>7908</v>
      </c>
      <c r="B499" t="s">
        <v>225</v>
      </c>
      <c r="C499">
        <v>0.01</v>
      </c>
    </row>
    <row r="500" spans="1:3" x14ac:dyDescent="0.3">
      <c r="A500" t="s">
        <v>6214</v>
      </c>
      <c r="B500" t="s">
        <v>40</v>
      </c>
      <c r="C500">
        <v>0.09</v>
      </c>
    </row>
    <row r="501" spans="1:3" x14ac:dyDescent="0.3">
      <c r="A501" t="s">
        <v>4223</v>
      </c>
      <c r="B501" t="s">
        <v>40</v>
      </c>
      <c r="C501">
        <v>0.02</v>
      </c>
    </row>
    <row r="502" spans="1:3" x14ac:dyDescent="0.3">
      <c r="A502" t="s">
        <v>4223</v>
      </c>
      <c r="B502" t="s">
        <v>64</v>
      </c>
      <c r="C502">
        <v>0.06</v>
      </c>
    </row>
    <row r="503" spans="1:3" x14ac:dyDescent="0.3">
      <c r="A503" t="s">
        <v>8251</v>
      </c>
      <c r="B503" t="s">
        <v>53</v>
      </c>
      <c r="C503">
        <v>0.02</v>
      </c>
    </row>
    <row r="504" spans="1:3" x14ac:dyDescent="0.3">
      <c r="A504" t="s">
        <v>8251</v>
      </c>
      <c r="B504" t="s">
        <v>53</v>
      </c>
      <c r="C504">
        <v>0.06</v>
      </c>
    </row>
    <row r="505" spans="1:3" x14ac:dyDescent="0.3">
      <c r="A505" t="s">
        <v>8251</v>
      </c>
      <c r="B505" t="s">
        <v>53</v>
      </c>
      <c r="C505">
        <v>7.0000000000000007E-2</v>
      </c>
    </row>
    <row r="506" spans="1:3" x14ac:dyDescent="0.3">
      <c r="A506" t="s">
        <v>1847</v>
      </c>
      <c r="B506" t="s">
        <v>40</v>
      </c>
      <c r="C506">
        <v>0.06</v>
      </c>
    </row>
    <row r="507" spans="1:3" x14ac:dyDescent="0.3">
      <c r="A507" t="s">
        <v>3888</v>
      </c>
      <c r="B507" t="s">
        <v>29</v>
      </c>
      <c r="C507">
        <v>0.04</v>
      </c>
    </row>
    <row r="508" spans="1:3" x14ac:dyDescent="0.3">
      <c r="A508" t="s">
        <v>3888</v>
      </c>
      <c r="B508" t="s">
        <v>29</v>
      </c>
      <c r="C508">
        <v>7.0000000000000007E-2</v>
      </c>
    </row>
    <row r="509" spans="1:3" x14ac:dyDescent="0.3">
      <c r="A509" t="s">
        <v>1191</v>
      </c>
      <c r="B509" t="s">
        <v>40</v>
      </c>
      <c r="C509">
        <v>0.1</v>
      </c>
    </row>
    <row r="510" spans="1:3" x14ac:dyDescent="0.3">
      <c r="A510" t="s">
        <v>13858</v>
      </c>
      <c r="B510" t="s">
        <v>29</v>
      </c>
      <c r="C510">
        <v>0.09</v>
      </c>
    </row>
    <row r="511" spans="1:3" x14ac:dyDescent="0.3">
      <c r="A511" t="s">
        <v>6148</v>
      </c>
      <c r="B511" t="s">
        <v>40</v>
      </c>
      <c r="C511">
        <v>0.1</v>
      </c>
    </row>
    <row r="512" spans="1:3" x14ac:dyDescent="0.3">
      <c r="A512" t="s">
        <v>7250</v>
      </c>
      <c r="B512" t="s">
        <v>64</v>
      </c>
      <c r="C512">
        <v>0.01</v>
      </c>
    </row>
    <row r="513" spans="1:3" x14ac:dyDescent="0.3">
      <c r="A513" t="s">
        <v>13865</v>
      </c>
      <c r="B513" t="s">
        <v>64</v>
      </c>
      <c r="C513">
        <v>0.09</v>
      </c>
    </row>
    <row r="514" spans="1:3" x14ac:dyDescent="0.3">
      <c r="A514" t="s">
        <v>5352</v>
      </c>
      <c r="B514" t="s">
        <v>40</v>
      </c>
      <c r="C514">
        <v>0.06</v>
      </c>
    </row>
    <row r="515" spans="1:3" x14ac:dyDescent="0.3">
      <c r="A515" t="s">
        <v>5352</v>
      </c>
      <c r="B515" t="s">
        <v>64</v>
      </c>
      <c r="C515">
        <v>0.04</v>
      </c>
    </row>
    <row r="516" spans="1:3" x14ac:dyDescent="0.3">
      <c r="A516" t="s">
        <v>8587</v>
      </c>
      <c r="B516" t="s">
        <v>64</v>
      </c>
      <c r="C516">
        <v>0</v>
      </c>
    </row>
    <row r="517" spans="1:3" x14ac:dyDescent="0.3">
      <c r="A517" t="s">
        <v>8587</v>
      </c>
      <c r="B517" t="s">
        <v>64</v>
      </c>
      <c r="C517">
        <v>7.0000000000000007E-2</v>
      </c>
    </row>
    <row r="518" spans="1:3" x14ac:dyDescent="0.3">
      <c r="A518" t="s">
        <v>6271</v>
      </c>
      <c r="B518" t="s">
        <v>29</v>
      </c>
      <c r="C518">
        <v>0.02</v>
      </c>
    </row>
    <row r="519" spans="1:3" x14ac:dyDescent="0.3">
      <c r="A519" t="s">
        <v>6271</v>
      </c>
      <c r="B519" t="s">
        <v>29</v>
      </c>
      <c r="C519">
        <v>0.08</v>
      </c>
    </row>
    <row r="520" spans="1:3" x14ac:dyDescent="0.3">
      <c r="A520" t="s">
        <v>11804</v>
      </c>
      <c r="B520" t="s">
        <v>87</v>
      </c>
      <c r="C520">
        <v>0.02</v>
      </c>
    </row>
    <row r="521" spans="1:3" x14ac:dyDescent="0.3">
      <c r="A521" t="s">
        <v>8723</v>
      </c>
      <c r="B521" t="s">
        <v>53</v>
      </c>
      <c r="C521">
        <v>0.08</v>
      </c>
    </row>
    <row r="522" spans="1:3" x14ac:dyDescent="0.3">
      <c r="A522" t="s">
        <v>8723</v>
      </c>
      <c r="B522" t="s">
        <v>87</v>
      </c>
      <c r="C522">
        <v>0.03</v>
      </c>
    </row>
    <row r="523" spans="1:3" x14ac:dyDescent="0.3">
      <c r="A523" t="s">
        <v>8723</v>
      </c>
      <c r="B523" t="s">
        <v>87</v>
      </c>
      <c r="C523">
        <v>0.1</v>
      </c>
    </row>
    <row r="524" spans="1:3" x14ac:dyDescent="0.3">
      <c r="A524" t="s">
        <v>6674</v>
      </c>
      <c r="B524" t="s">
        <v>53</v>
      </c>
      <c r="C524">
        <v>0.03</v>
      </c>
    </row>
    <row r="525" spans="1:3" x14ac:dyDescent="0.3">
      <c r="A525" t="s">
        <v>2790</v>
      </c>
      <c r="B525" t="s">
        <v>53</v>
      </c>
      <c r="C525">
        <v>0.04</v>
      </c>
    </row>
    <row r="526" spans="1:3" x14ac:dyDescent="0.3">
      <c r="A526" t="s">
        <v>9656</v>
      </c>
      <c r="B526" t="s">
        <v>87</v>
      </c>
      <c r="C526">
        <v>0.05</v>
      </c>
    </row>
    <row r="527" spans="1:3" x14ac:dyDescent="0.3">
      <c r="A527" t="s">
        <v>5022</v>
      </c>
      <c r="B527" t="s">
        <v>87</v>
      </c>
      <c r="C527">
        <v>7.0000000000000007E-2</v>
      </c>
    </row>
    <row r="528" spans="1:3" x14ac:dyDescent="0.3">
      <c r="A528" t="s">
        <v>8861</v>
      </c>
      <c r="B528" t="s">
        <v>40</v>
      </c>
      <c r="C528">
        <v>0.04</v>
      </c>
    </row>
    <row r="529" spans="1:3" x14ac:dyDescent="0.3">
      <c r="A529" t="s">
        <v>5945</v>
      </c>
      <c r="B529" t="s">
        <v>87</v>
      </c>
      <c r="C529">
        <v>0.02</v>
      </c>
    </row>
    <row r="530" spans="1:3" x14ac:dyDescent="0.3">
      <c r="A530" t="s">
        <v>6761</v>
      </c>
      <c r="B530" t="s">
        <v>225</v>
      </c>
      <c r="C530">
        <v>0</v>
      </c>
    </row>
    <row r="531" spans="1:3" x14ac:dyDescent="0.3">
      <c r="A531" t="s">
        <v>6761</v>
      </c>
      <c r="B531" t="s">
        <v>225</v>
      </c>
      <c r="C531">
        <v>0.05</v>
      </c>
    </row>
    <row r="532" spans="1:3" x14ac:dyDescent="0.3">
      <c r="A532" t="s">
        <v>1247</v>
      </c>
      <c r="B532" t="s">
        <v>87</v>
      </c>
      <c r="C532">
        <v>0</v>
      </c>
    </row>
    <row r="533" spans="1:3" x14ac:dyDescent="0.3">
      <c r="A533" t="s">
        <v>14771</v>
      </c>
      <c r="B533" t="s">
        <v>29</v>
      </c>
      <c r="C533">
        <v>0.02</v>
      </c>
    </row>
    <row r="534" spans="1:3" x14ac:dyDescent="0.3">
      <c r="A534" t="s">
        <v>6534</v>
      </c>
      <c r="B534" t="s">
        <v>40</v>
      </c>
      <c r="C534">
        <v>0.01</v>
      </c>
    </row>
    <row r="535" spans="1:3" x14ac:dyDescent="0.3">
      <c r="A535" t="s">
        <v>6534</v>
      </c>
      <c r="B535" t="s">
        <v>40</v>
      </c>
      <c r="C535">
        <v>0.03</v>
      </c>
    </row>
    <row r="536" spans="1:3" x14ac:dyDescent="0.3">
      <c r="A536" t="s">
        <v>1583</v>
      </c>
      <c r="B536" t="s">
        <v>53</v>
      </c>
      <c r="C536">
        <v>0.02</v>
      </c>
    </row>
    <row r="537" spans="1:3" x14ac:dyDescent="0.3">
      <c r="A537" t="s">
        <v>1241</v>
      </c>
      <c r="B537" t="s">
        <v>53</v>
      </c>
      <c r="C537">
        <v>0.06</v>
      </c>
    </row>
    <row r="538" spans="1:3" x14ac:dyDescent="0.3">
      <c r="A538" t="s">
        <v>14017</v>
      </c>
      <c r="B538" t="s">
        <v>29</v>
      </c>
      <c r="C538">
        <v>0.04</v>
      </c>
    </row>
    <row r="539" spans="1:3" x14ac:dyDescent="0.3">
      <c r="A539" t="s">
        <v>7169</v>
      </c>
      <c r="B539" t="s">
        <v>87</v>
      </c>
      <c r="C539">
        <v>0</v>
      </c>
    </row>
    <row r="540" spans="1:3" x14ac:dyDescent="0.3">
      <c r="A540" t="s">
        <v>7169</v>
      </c>
      <c r="B540" t="s">
        <v>87</v>
      </c>
      <c r="C540">
        <v>0.02</v>
      </c>
    </row>
    <row r="541" spans="1:3" x14ac:dyDescent="0.3">
      <c r="A541" t="s">
        <v>11884</v>
      </c>
      <c r="B541" t="s">
        <v>53</v>
      </c>
      <c r="C541">
        <v>0.01</v>
      </c>
    </row>
    <row r="542" spans="1:3" x14ac:dyDescent="0.3">
      <c r="A542" t="s">
        <v>5306</v>
      </c>
      <c r="B542" t="s">
        <v>225</v>
      </c>
      <c r="C542">
        <v>0.1</v>
      </c>
    </row>
    <row r="543" spans="1:3" x14ac:dyDescent="0.3">
      <c r="A543" t="s">
        <v>5306</v>
      </c>
      <c r="B543" t="s">
        <v>87</v>
      </c>
      <c r="C543">
        <v>0.03</v>
      </c>
    </row>
    <row r="544" spans="1:3" x14ac:dyDescent="0.3">
      <c r="A544" t="s">
        <v>5306</v>
      </c>
      <c r="B544" t="s">
        <v>87</v>
      </c>
      <c r="C544">
        <v>7.0000000000000007E-2</v>
      </c>
    </row>
    <row r="545" spans="1:3" x14ac:dyDescent="0.3">
      <c r="A545" t="s">
        <v>1249</v>
      </c>
      <c r="B545" t="s">
        <v>225</v>
      </c>
      <c r="C545">
        <v>0</v>
      </c>
    </row>
    <row r="546" spans="1:3" x14ac:dyDescent="0.3">
      <c r="A546" t="s">
        <v>8662</v>
      </c>
      <c r="B546" t="s">
        <v>53</v>
      </c>
      <c r="C546">
        <v>0.02</v>
      </c>
    </row>
    <row r="547" spans="1:3" x14ac:dyDescent="0.3">
      <c r="A547" t="s">
        <v>8662</v>
      </c>
      <c r="B547" t="s">
        <v>53</v>
      </c>
      <c r="C547">
        <v>0.04</v>
      </c>
    </row>
    <row r="548" spans="1:3" x14ac:dyDescent="0.3">
      <c r="A548" t="s">
        <v>8662</v>
      </c>
      <c r="B548" t="s">
        <v>53</v>
      </c>
      <c r="C548">
        <v>0.05</v>
      </c>
    </row>
    <row r="549" spans="1:3" x14ac:dyDescent="0.3">
      <c r="A549" t="s">
        <v>8662</v>
      </c>
      <c r="B549" t="s">
        <v>87</v>
      </c>
      <c r="C549">
        <v>0.04</v>
      </c>
    </row>
    <row r="550" spans="1:3" x14ac:dyDescent="0.3">
      <c r="A550" t="s">
        <v>8662</v>
      </c>
      <c r="B550" t="s">
        <v>87</v>
      </c>
      <c r="C550">
        <v>0.05</v>
      </c>
    </row>
    <row r="551" spans="1:3" x14ac:dyDescent="0.3">
      <c r="A551" t="s">
        <v>7031</v>
      </c>
      <c r="B551" t="s">
        <v>87</v>
      </c>
      <c r="C551">
        <v>7.0000000000000007E-2</v>
      </c>
    </row>
    <row r="552" spans="1:3" x14ac:dyDescent="0.3">
      <c r="A552" t="s">
        <v>5610</v>
      </c>
      <c r="B552" t="s">
        <v>87</v>
      </c>
      <c r="C552">
        <v>0.08</v>
      </c>
    </row>
    <row r="553" spans="1:3" x14ac:dyDescent="0.3">
      <c r="A553" t="s">
        <v>8921</v>
      </c>
      <c r="B553" t="s">
        <v>53</v>
      </c>
      <c r="C553">
        <v>7.0000000000000007E-2</v>
      </c>
    </row>
    <row r="554" spans="1:3" x14ac:dyDescent="0.3">
      <c r="A554" t="s">
        <v>15690</v>
      </c>
      <c r="B554" t="s">
        <v>40</v>
      </c>
      <c r="C554">
        <v>0.04</v>
      </c>
    </row>
    <row r="555" spans="1:3" x14ac:dyDescent="0.3">
      <c r="A555" t="s">
        <v>11387</v>
      </c>
      <c r="B555" t="s">
        <v>40</v>
      </c>
      <c r="C555">
        <v>0.03</v>
      </c>
    </row>
    <row r="556" spans="1:3" x14ac:dyDescent="0.3">
      <c r="A556" t="s">
        <v>14213</v>
      </c>
      <c r="B556" t="s">
        <v>40</v>
      </c>
      <c r="C556">
        <v>0.08</v>
      </c>
    </row>
    <row r="557" spans="1:3" x14ac:dyDescent="0.3">
      <c r="A557" t="s">
        <v>7356</v>
      </c>
      <c r="B557" t="s">
        <v>40</v>
      </c>
      <c r="C557">
        <v>0.01</v>
      </c>
    </row>
    <row r="558" spans="1:3" x14ac:dyDescent="0.3">
      <c r="A558" t="s">
        <v>7273</v>
      </c>
      <c r="B558" t="s">
        <v>87</v>
      </c>
      <c r="C558">
        <v>0.03</v>
      </c>
    </row>
    <row r="559" spans="1:3" x14ac:dyDescent="0.3">
      <c r="A559" t="s">
        <v>1299</v>
      </c>
      <c r="B559" t="s">
        <v>225</v>
      </c>
      <c r="C559">
        <v>0.09</v>
      </c>
    </row>
    <row r="560" spans="1:3" x14ac:dyDescent="0.3">
      <c r="A560" t="s">
        <v>1299</v>
      </c>
      <c r="B560" t="s">
        <v>87</v>
      </c>
      <c r="C560">
        <v>0.09</v>
      </c>
    </row>
    <row r="561" spans="1:3" x14ac:dyDescent="0.3">
      <c r="A561" t="s">
        <v>7913</v>
      </c>
      <c r="B561" t="s">
        <v>225</v>
      </c>
      <c r="C561">
        <v>0.02</v>
      </c>
    </row>
    <row r="562" spans="1:3" x14ac:dyDescent="0.3">
      <c r="A562" t="s">
        <v>9519</v>
      </c>
      <c r="B562" t="s">
        <v>53</v>
      </c>
      <c r="C562">
        <v>0.05</v>
      </c>
    </row>
    <row r="563" spans="1:3" x14ac:dyDescent="0.3">
      <c r="A563" t="s">
        <v>8220</v>
      </c>
      <c r="B563" t="s">
        <v>29</v>
      </c>
      <c r="C563">
        <v>0.04</v>
      </c>
    </row>
    <row r="564" spans="1:3" x14ac:dyDescent="0.3">
      <c r="A564" t="s">
        <v>11597</v>
      </c>
      <c r="B564" t="s">
        <v>87</v>
      </c>
      <c r="C564">
        <v>0.02</v>
      </c>
    </row>
    <row r="565" spans="1:3" x14ac:dyDescent="0.3">
      <c r="A565" t="s">
        <v>14678</v>
      </c>
      <c r="B565" t="s">
        <v>40</v>
      </c>
      <c r="C565">
        <v>0</v>
      </c>
    </row>
    <row r="566" spans="1:3" x14ac:dyDescent="0.3">
      <c r="A566" t="s">
        <v>1321</v>
      </c>
      <c r="B566" t="s">
        <v>29</v>
      </c>
      <c r="C566">
        <v>0.06</v>
      </c>
    </row>
    <row r="567" spans="1:3" x14ac:dyDescent="0.3">
      <c r="A567" t="s">
        <v>1321</v>
      </c>
      <c r="B567" t="s">
        <v>53</v>
      </c>
      <c r="C567">
        <v>7.0000000000000007E-2</v>
      </c>
    </row>
    <row r="568" spans="1:3" x14ac:dyDescent="0.3">
      <c r="A568" t="s">
        <v>1321</v>
      </c>
      <c r="B568" t="s">
        <v>87</v>
      </c>
      <c r="C568">
        <v>0.02</v>
      </c>
    </row>
    <row r="569" spans="1:3" x14ac:dyDescent="0.3">
      <c r="A569" t="s">
        <v>1321</v>
      </c>
      <c r="B569" t="s">
        <v>87</v>
      </c>
      <c r="C569">
        <v>0.04</v>
      </c>
    </row>
    <row r="570" spans="1:3" x14ac:dyDescent="0.3">
      <c r="A570" t="s">
        <v>7844</v>
      </c>
      <c r="B570" t="s">
        <v>29</v>
      </c>
      <c r="C570">
        <v>0.03</v>
      </c>
    </row>
    <row r="571" spans="1:3" x14ac:dyDescent="0.3">
      <c r="A571" t="s">
        <v>8832</v>
      </c>
      <c r="B571" t="s">
        <v>87</v>
      </c>
      <c r="C571">
        <v>0.01</v>
      </c>
    </row>
    <row r="572" spans="1:3" x14ac:dyDescent="0.3">
      <c r="A572" t="s">
        <v>12442</v>
      </c>
      <c r="B572" t="s">
        <v>40</v>
      </c>
      <c r="C572">
        <v>0.03</v>
      </c>
    </row>
    <row r="573" spans="1:3" x14ac:dyDescent="0.3">
      <c r="A573" t="s">
        <v>11655</v>
      </c>
      <c r="B573" t="s">
        <v>40</v>
      </c>
      <c r="C573">
        <v>0.01</v>
      </c>
    </row>
    <row r="574" spans="1:3" x14ac:dyDescent="0.3">
      <c r="A574" t="s">
        <v>11655</v>
      </c>
      <c r="B574" t="s">
        <v>40</v>
      </c>
      <c r="C574">
        <v>0.04</v>
      </c>
    </row>
    <row r="575" spans="1:3" x14ac:dyDescent="0.3">
      <c r="A575" t="s">
        <v>12379</v>
      </c>
      <c r="B575" t="s">
        <v>53</v>
      </c>
      <c r="C575">
        <v>0.05</v>
      </c>
    </row>
    <row r="576" spans="1:3" x14ac:dyDescent="0.3">
      <c r="A576" t="s">
        <v>13058</v>
      </c>
      <c r="B576" t="s">
        <v>53</v>
      </c>
      <c r="C576">
        <v>0</v>
      </c>
    </row>
    <row r="577" spans="1:3" x14ac:dyDescent="0.3">
      <c r="A577" t="s">
        <v>14000</v>
      </c>
      <c r="B577" t="s">
        <v>64</v>
      </c>
      <c r="C577">
        <v>0.04</v>
      </c>
    </row>
    <row r="578" spans="1:3" x14ac:dyDescent="0.3">
      <c r="A578" t="s">
        <v>9202</v>
      </c>
      <c r="B578" t="s">
        <v>29</v>
      </c>
      <c r="C578">
        <v>0.03</v>
      </c>
    </row>
    <row r="579" spans="1:3" x14ac:dyDescent="0.3">
      <c r="A579" t="s">
        <v>12617</v>
      </c>
      <c r="B579" t="s">
        <v>87</v>
      </c>
      <c r="C579">
        <v>0.02</v>
      </c>
    </row>
    <row r="580" spans="1:3" x14ac:dyDescent="0.3">
      <c r="A580" t="s">
        <v>10147</v>
      </c>
      <c r="B580" t="s">
        <v>87</v>
      </c>
      <c r="C580">
        <v>0.05</v>
      </c>
    </row>
    <row r="581" spans="1:3" x14ac:dyDescent="0.3">
      <c r="A581" t="s">
        <v>4871</v>
      </c>
      <c r="B581" t="s">
        <v>225</v>
      </c>
      <c r="C581">
        <v>0</v>
      </c>
    </row>
    <row r="582" spans="1:3" x14ac:dyDescent="0.3">
      <c r="A582" t="s">
        <v>13265</v>
      </c>
      <c r="B582" t="s">
        <v>87</v>
      </c>
      <c r="C582">
        <v>0.08</v>
      </c>
    </row>
    <row r="583" spans="1:3" x14ac:dyDescent="0.3">
      <c r="A583" t="s">
        <v>7000</v>
      </c>
      <c r="B583" t="s">
        <v>87</v>
      </c>
      <c r="C583">
        <v>0.04</v>
      </c>
    </row>
    <row r="584" spans="1:3" x14ac:dyDescent="0.3">
      <c r="A584" t="s">
        <v>13703</v>
      </c>
      <c r="B584" t="s">
        <v>64</v>
      </c>
      <c r="C584">
        <v>0.02</v>
      </c>
    </row>
    <row r="585" spans="1:3" x14ac:dyDescent="0.3">
      <c r="A585" t="s">
        <v>15239</v>
      </c>
      <c r="B585" t="s">
        <v>29</v>
      </c>
      <c r="C585">
        <v>0.1</v>
      </c>
    </row>
    <row r="586" spans="1:3" x14ac:dyDescent="0.3">
      <c r="A586" t="s">
        <v>6071</v>
      </c>
      <c r="B586" t="s">
        <v>40</v>
      </c>
      <c r="C586">
        <v>0.01</v>
      </c>
    </row>
    <row r="587" spans="1:3" x14ac:dyDescent="0.3">
      <c r="A587" t="s">
        <v>6071</v>
      </c>
      <c r="B587" t="s">
        <v>29</v>
      </c>
      <c r="C587">
        <v>0.03</v>
      </c>
    </row>
    <row r="588" spans="1:3" x14ac:dyDescent="0.3">
      <c r="A588" t="s">
        <v>1998</v>
      </c>
      <c r="B588" t="s">
        <v>40</v>
      </c>
      <c r="C588">
        <v>0.01</v>
      </c>
    </row>
    <row r="589" spans="1:3" x14ac:dyDescent="0.3">
      <c r="A589" t="s">
        <v>7745</v>
      </c>
      <c r="B589" t="s">
        <v>64</v>
      </c>
      <c r="C589">
        <v>0.02</v>
      </c>
    </row>
    <row r="590" spans="1:3" x14ac:dyDescent="0.3">
      <c r="A590" t="s">
        <v>7745</v>
      </c>
      <c r="B590" t="s">
        <v>87</v>
      </c>
      <c r="C590">
        <v>0.02</v>
      </c>
    </row>
    <row r="591" spans="1:3" x14ac:dyDescent="0.3">
      <c r="A591" t="s">
        <v>15030</v>
      </c>
      <c r="B591" t="s">
        <v>87</v>
      </c>
      <c r="C591">
        <v>0.06</v>
      </c>
    </row>
    <row r="592" spans="1:3" x14ac:dyDescent="0.3">
      <c r="A592" t="s">
        <v>10439</v>
      </c>
      <c r="B592" t="s">
        <v>64</v>
      </c>
      <c r="C592">
        <v>0.04</v>
      </c>
    </row>
    <row r="593" spans="1:3" x14ac:dyDescent="0.3">
      <c r="A593" t="s">
        <v>6333</v>
      </c>
      <c r="B593" t="s">
        <v>87</v>
      </c>
      <c r="C593">
        <v>0.05</v>
      </c>
    </row>
    <row r="594" spans="1:3" x14ac:dyDescent="0.3">
      <c r="A594" t="s">
        <v>6333</v>
      </c>
      <c r="B594" t="s">
        <v>87</v>
      </c>
      <c r="C594">
        <v>0.08</v>
      </c>
    </row>
    <row r="595" spans="1:3" x14ac:dyDescent="0.3">
      <c r="A595" t="s">
        <v>9195</v>
      </c>
      <c r="B595" t="s">
        <v>87</v>
      </c>
      <c r="C595">
        <v>0.01</v>
      </c>
    </row>
    <row r="596" spans="1:3" x14ac:dyDescent="0.3">
      <c r="A596" t="s">
        <v>9778</v>
      </c>
      <c r="B596" t="s">
        <v>87</v>
      </c>
      <c r="C596">
        <v>0</v>
      </c>
    </row>
    <row r="597" spans="1:3" x14ac:dyDescent="0.3">
      <c r="A597" t="s">
        <v>9778</v>
      </c>
      <c r="B597" t="s">
        <v>87</v>
      </c>
      <c r="C597">
        <v>0.03</v>
      </c>
    </row>
    <row r="598" spans="1:3" x14ac:dyDescent="0.3">
      <c r="A598" t="s">
        <v>9778</v>
      </c>
      <c r="B598" t="s">
        <v>87</v>
      </c>
      <c r="C598">
        <v>0.09</v>
      </c>
    </row>
    <row r="599" spans="1:3" x14ac:dyDescent="0.3">
      <c r="A599" t="s">
        <v>11285</v>
      </c>
      <c r="B599" t="s">
        <v>64</v>
      </c>
      <c r="C599">
        <v>7.0000000000000007E-2</v>
      </c>
    </row>
    <row r="600" spans="1:3" x14ac:dyDescent="0.3">
      <c r="A600" t="s">
        <v>11285</v>
      </c>
      <c r="B600" t="s">
        <v>64</v>
      </c>
      <c r="C600">
        <v>0.09</v>
      </c>
    </row>
    <row r="601" spans="1:3" x14ac:dyDescent="0.3">
      <c r="A601" t="s">
        <v>11285</v>
      </c>
      <c r="B601" t="s">
        <v>29</v>
      </c>
      <c r="C601">
        <v>7.0000000000000007E-2</v>
      </c>
    </row>
    <row r="602" spans="1:3" x14ac:dyDescent="0.3">
      <c r="A602" t="s">
        <v>5913</v>
      </c>
      <c r="B602" t="s">
        <v>29</v>
      </c>
      <c r="C602">
        <v>0.05</v>
      </c>
    </row>
    <row r="603" spans="1:3" x14ac:dyDescent="0.3">
      <c r="A603" t="s">
        <v>5343</v>
      </c>
      <c r="B603" t="s">
        <v>29</v>
      </c>
      <c r="C603">
        <v>0.06</v>
      </c>
    </row>
    <row r="604" spans="1:3" x14ac:dyDescent="0.3">
      <c r="A604" t="s">
        <v>11501</v>
      </c>
      <c r="B604" t="s">
        <v>64</v>
      </c>
      <c r="C604">
        <v>0.04</v>
      </c>
    </row>
    <row r="605" spans="1:3" x14ac:dyDescent="0.3">
      <c r="A605" t="s">
        <v>8211</v>
      </c>
      <c r="B605" t="s">
        <v>29</v>
      </c>
      <c r="C605">
        <v>0.01</v>
      </c>
    </row>
    <row r="606" spans="1:3" x14ac:dyDescent="0.3">
      <c r="A606" t="s">
        <v>8211</v>
      </c>
      <c r="B606" t="s">
        <v>29</v>
      </c>
      <c r="C606">
        <v>0.08</v>
      </c>
    </row>
    <row r="607" spans="1:3" x14ac:dyDescent="0.3">
      <c r="A607" t="s">
        <v>13749</v>
      </c>
      <c r="B607" t="s">
        <v>29</v>
      </c>
      <c r="C607">
        <v>0.1</v>
      </c>
    </row>
    <row r="608" spans="1:3" x14ac:dyDescent="0.3">
      <c r="A608" t="s">
        <v>1446</v>
      </c>
      <c r="B608" t="s">
        <v>64</v>
      </c>
      <c r="C608">
        <v>0.05</v>
      </c>
    </row>
    <row r="609" spans="1:3" x14ac:dyDescent="0.3">
      <c r="A609" t="s">
        <v>13889</v>
      </c>
      <c r="B609" t="s">
        <v>87</v>
      </c>
      <c r="C609">
        <v>0.1</v>
      </c>
    </row>
    <row r="610" spans="1:3" x14ac:dyDescent="0.3">
      <c r="A610" t="s">
        <v>15422</v>
      </c>
      <c r="B610" t="s">
        <v>53</v>
      </c>
      <c r="C610">
        <v>0.04</v>
      </c>
    </row>
    <row r="611" spans="1:3" x14ac:dyDescent="0.3">
      <c r="A611" t="s">
        <v>3500</v>
      </c>
      <c r="B611" t="s">
        <v>40</v>
      </c>
      <c r="C611">
        <v>0.01</v>
      </c>
    </row>
    <row r="612" spans="1:3" x14ac:dyDescent="0.3">
      <c r="A612" t="s">
        <v>3500</v>
      </c>
      <c r="B612" t="s">
        <v>29</v>
      </c>
      <c r="C612">
        <v>7.0000000000000007E-2</v>
      </c>
    </row>
    <row r="613" spans="1:3" x14ac:dyDescent="0.3">
      <c r="A613" t="s">
        <v>3219</v>
      </c>
      <c r="B613" t="s">
        <v>64</v>
      </c>
      <c r="C613">
        <v>0.02</v>
      </c>
    </row>
    <row r="614" spans="1:3" x14ac:dyDescent="0.3">
      <c r="A614" t="s">
        <v>9713</v>
      </c>
      <c r="B614" t="s">
        <v>29</v>
      </c>
      <c r="C614">
        <v>0.02</v>
      </c>
    </row>
    <row r="615" spans="1:3" x14ac:dyDescent="0.3">
      <c r="A615" t="s">
        <v>15820</v>
      </c>
      <c r="B615" t="s">
        <v>29</v>
      </c>
      <c r="C615">
        <v>0.04</v>
      </c>
    </row>
    <row r="616" spans="1:3" x14ac:dyDescent="0.3">
      <c r="A616" t="s">
        <v>15820</v>
      </c>
      <c r="B616" t="s">
        <v>53</v>
      </c>
      <c r="C616">
        <v>0.06</v>
      </c>
    </row>
    <row r="617" spans="1:3" x14ac:dyDescent="0.3">
      <c r="A617" t="s">
        <v>1481</v>
      </c>
      <c r="B617" t="s">
        <v>225</v>
      </c>
      <c r="C617">
        <v>0</v>
      </c>
    </row>
    <row r="618" spans="1:3" x14ac:dyDescent="0.3">
      <c r="A618" t="s">
        <v>1481</v>
      </c>
      <c r="B618" t="s">
        <v>225</v>
      </c>
      <c r="C618">
        <v>7.0000000000000007E-2</v>
      </c>
    </row>
    <row r="619" spans="1:3" x14ac:dyDescent="0.3">
      <c r="A619" t="s">
        <v>1481</v>
      </c>
      <c r="B619" t="s">
        <v>225</v>
      </c>
      <c r="C619">
        <v>0.1</v>
      </c>
    </row>
    <row r="620" spans="1:3" x14ac:dyDescent="0.3">
      <c r="A620" t="s">
        <v>12390</v>
      </c>
      <c r="B620" t="s">
        <v>53</v>
      </c>
      <c r="C620">
        <v>0.02</v>
      </c>
    </row>
    <row r="621" spans="1:3" x14ac:dyDescent="0.3">
      <c r="A621" t="s">
        <v>7198</v>
      </c>
      <c r="B621" t="s">
        <v>40</v>
      </c>
      <c r="C621">
        <v>0.02</v>
      </c>
    </row>
    <row r="622" spans="1:3" x14ac:dyDescent="0.3">
      <c r="A622" t="s">
        <v>5879</v>
      </c>
      <c r="B622" t="s">
        <v>40</v>
      </c>
      <c r="C622">
        <v>0.04</v>
      </c>
    </row>
    <row r="623" spans="1:3" x14ac:dyDescent="0.3">
      <c r="A623" t="s">
        <v>5487</v>
      </c>
      <c r="B623" t="s">
        <v>53</v>
      </c>
      <c r="C623">
        <v>0.04</v>
      </c>
    </row>
    <row r="624" spans="1:3" x14ac:dyDescent="0.3">
      <c r="A624" t="s">
        <v>10668</v>
      </c>
      <c r="B624" t="s">
        <v>53</v>
      </c>
      <c r="C624">
        <v>0</v>
      </c>
    </row>
    <row r="625" spans="1:3" x14ac:dyDescent="0.3">
      <c r="A625" t="s">
        <v>7149</v>
      </c>
      <c r="B625" t="s">
        <v>29</v>
      </c>
      <c r="C625">
        <v>0</v>
      </c>
    </row>
    <row r="626" spans="1:3" x14ac:dyDescent="0.3">
      <c r="A626" t="s">
        <v>7149</v>
      </c>
      <c r="B626" t="s">
        <v>29</v>
      </c>
      <c r="C626">
        <v>0.03</v>
      </c>
    </row>
    <row r="627" spans="1:3" x14ac:dyDescent="0.3">
      <c r="A627" t="s">
        <v>13110</v>
      </c>
      <c r="B627" t="s">
        <v>64</v>
      </c>
      <c r="C627">
        <v>0.1</v>
      </c>
    </row>
    <row r="628" spans="1:3" x14ac:dyDescent="0.3">
      <c r="A628" t="s">
        <v>1508</v>
      </c>
      <c r="B628" t="s">
        <v>40</v>
      </c>
      <c r="C628">
        <v>0.05</v>
      </c>
    </row>
    <row r="629" spans="1:3" x14ac:dyDescent="0.3">
      <c r="A629" t="s">
        <v>1508</v>
      </c>
      <c r="B629" t="s">
        <v>40</v>
      </c>
      <c r="C629">
        <v>0.06</v>
      </c>
    </row>
    <row r="630" spans="1:3" x14ac:dyDescent="0.3">
      <c r="A630" t="s">
        <v>1515</v>
      </c>
      <c r="B630" t="s">
        <v>40</v>
      </c>
      <c r="C630">
        <v>0.06</v>
      </c>
    </row>
    <row r="631" spans="1:3" x14ac:dyDescent="0.3">
      <c r="A631" t="s">
        <v>1515</v>
      </c>
      <c r="B631" t="s">
        <v>40</v>
      </c>
      <c r="C631">
        <v>0.09</v>
      </c>
    </row>
    <row r="632" spans="1:3" x14ac:dyDescent="0.3">
      <c r="A632" t="s">
        <v>14539</v>
      </c>
      <c r="B632" t="s">
        <v>53</v>
      </c>
      <c r="C632">
        <v>0.08</v>
      </c>
    </row>
    <row r="633" spans="1:3" x14ac:dyDescent="0.3">
      <c r="A633" t="s">
        <v>14164</v>
      </c>
      <c r="B633" t="s">
        <v>225</v>
      </c>
      <c r="C633">
        <v>0.05</v>
      </c>
    </row>
    <row r="634" spans="1:3" x14ac:dyDescent="0.3">
      <c r="A634" t="s">
        <v>12355</v>
      </c>
      <c r="B634" t="s">
        <v>64</v>
      </c>
      <c r="C634">
        <v>0.02</v>
      </c>
    </row>
    <row r="635" spans="1:3" x14ac:dyDescent="0.3">
      <c r="A635" t="s">
        <v>11689</v>
      </c>
      <c r="B635" t="s">
        <v>53</v>
      </c>
      <c r="C635">
        <v>0.01</v>
      </c>
    </row>
    <row r="636" spans="1:3" x14ac:dyDescent="0.3">
      <c r="A636" t="s">
        <v>1529</v>
      </c>
      <c r="B636" t="s">
        <v>64</v>
      </c>
      <c r="C636">
        <v>7.0000000000000007E-2</v>
      </c>
    </row>
    <row r="637" spans="1:3" x14ac:dyDescent="0.3">
      <c r="A637" t="s">
        <v>15114</v>
      </c>
      <c r="B637" t="s">
        <v>29</v>
      </c>
      <c r="C637">
        <v>0.03</v>
      </c>
    </row>
    <row r="638" spans="1:3" x14ac:dyDescent="0.3">
      <c r="A638" t="s">
        <v>12018</v>
      </c>
      <c r="B638" t="s">
        <v>53</v>
      </c>
      <c r="C638">
        <v>0.02</v>
      </c>
    </row>
    <row r="639" spans="1:3" x14ac:dyDescent="0.3">
      <c r="A639" t="s">
        <v>13042</v>
      </c>
      <c r="B639" t="s">
        <v>29</v>
      </c>
      <c r="C639">
        <v>0.04</v>
      </c>
    </row>
    <row r="640" spans="1:3" x14ac:dyDescent="0.3">
      <c r="A640" t="s">
        <v>13042</v>
      </c>
      <c r="B640" t="s">
        <v>29</v>
      </c>
      <c r="C640">
        <v>0.06</v>
      </c>
    </row>
    <row r="641" spans="1:3" x14ac:dyDescent="0.3">
      <c r="A641" t="s">
        <v>11256</v>
      </c>
      <c r="B641" t="s">
        <v>40</v>
      </c>
      <c r="C641">
        <v>0.03</v>
      </c>
    </row>
    <row r="642" spans="1:3" x14ac:dyDescent="0.3">
      <c r="A642" t="s">
        <v>11256</v>
      </c>
      <c r="B642" t="s">
        <v>40</v>
      </c>
      <c r="C642">
        <v>0.08</v>
      </c>
    </row>
    <row r="643" spans="1:3" x14ac:dyDescent="0.3">
      <c r="A643" t="s">
        <v>11512</v>
      </c>
      <c r="B643" t="s">
        <v>40</v>
      </c>
      <c r="C643">
        <v>0.09</v>
      </c>
    </row>
    <row r="644" spans="1:3" x14ac:dyDescent="0.3">
      <c r="A644" t="s">
        <v>1572</v>
      </c>
      <c r="B644" t="s">
        <v>53</v>
      </c>
      <c r="C644">
        <v>0.09</v>
      </c>
    </row>
    <row r="645" spans="1:3" x14ac:dyDescent="0.3">
      <c r="A645" t="s">
        <v>1577</v>
      </c>
      <c r="B645" t="s">
        <v>87</v>
      </c>
      <c r="C645">
        <v>0.01</v>
      </c>
    </row>
    <row r="646" spans="1:3" x14ac:dyDescent="0.3">
      <c r="A646" t="s">
        <v>1577</v>
      </c>
      <c r="B646" t="s">
        <v>87</v>
      </c>
      <c r="C646">
        <v>0.05</v>
      </c>
    </row>
    <row r="647" spans="1:3" x14ac:dyDescent="0.3">
      <c r="A647" t="s">
        <v>1584</v>
      </c>
      <c r="B647" t="s">
        <v>40</v>
      </c>
      <c r="C647">
        <v>0.05</v>
      </c>
    </row>
    <row r="648" spans="1:3" x14ac:dyDescent="0.3">
      <c r="A648" t="s">
        <v>9585</v>
      </c>
      <c r="B648" t="s">
        <v>53</v>
      </c>
      <c r="C648">
        <v>0.01</v>
      </c>
    </row>
    <row r="649" spans="1:3" x14ac:dyDescent="0.3">
      <c r="A649" t="s">
        <v>1689</v>
      </c>
      <c r="B649" t="s">
        <v>29</v>
      </c>
      <c r="C649">
        <v>0.01</v>
      </c>
    </row>
    <row r="650" spans="1:3" x14ac:dyDescent="0.3">
      <c r="A650" t="s">
        <v>1689</v>
      </c>
      <c r="B650" t="s">
        <v>29</v>
      </c>
      <c r="C650">
        <v>0.04</v>
      </c>
    </row>
    <row r="651" spans="1:3" x14ac:dyDescent="0.3">
      <c r="A651" t="s">
        <v>1689</v>
      </c>
      <c r="B651" t="s">
        <v>53</v>
      </c>
      <c r="C651">
        <v>0.01</v>
      </c>
    </row>
    <row r="652" spans="1:3" x14ac:dyDescent="0.3">
      <c r="A652" t="s">
        <v>12176</v>
      </c>
      <c r="B652" t="s">
        <v>40</v>
      </c>
      <c r="C652">
        <v>0</v>
      </c>
    </row>
    <row r="653" spans="1:3" x14ac:dyDescent="0.3">
      <c r="A653" t="s">
        <v>1600</v>
      </c>
      <c r="B653" t="s">
        <v>40</v>
      </c>
      <c r="C653">
        <v>0.04</v>
      </c>
    </row>
    <row r="654" spans="1:3" x14ac:dyDescent="0.3">
      <c r="A654" t="s">
        <v>12520</v>
      </c>
      <c r="B654" t="s">
        <v>40</v>
      </c>
      <c r="C654">
        <v>0.08</v>
      </c>
    </row>
    <row r="655" spans="1:3" x14ac:dyDescent="0.3">
      <c r="A655" t="s">
        <v>11431</v>
      </c>
      <c r="B655" t="s">
        <v>29</v>
      </c>
      <c r="C655">
        <v>0.06</v>
      </c>
    </row>
    <row r="656" spans="1:3" x14ac:dyDescent="0.3">
      <c r="A656" t="s">
        <v>1611</v>
      </c>
      <c r="B656" t="s">
        <v>40</v>
      </c>
      <c r="C656">
        <v>0.05</v>
      </c>
    </row>
    <row r="657" spans="1:3" x14ac:dyDescent="0.3">
      <c r="A657" t="s">
        <v>1611</v>
      </c>
      <c r="B657" t="s">
        <v>87</v>
      </c>
      <c r="C657">
        <v>0.09</v>
      </c>
    </row>
    <row r="658" spans="1:3" x14ac:dyDescent="0.3">
      <c r="A658" t="s">
        <v>5866</v>
      </c>
      <c r="B658" t="s">
        <v>40</v>
      </c>
      <c r="C658">
        <v>0.05</v>
      </c>
    </row>
    <row r="659" spans="1:3" x14ac:dyDescent="0.3">
      <c r="A659" t="s">
        <v>7763</v>
      </c>
      <c r="B659" t="s">
        <v>53</v>
      </c>
      <c r="C659">
        <v>0.01</v>
      </c>
    </row>
    <row r="660" spans="1:3" x14ac:dyDescent="0.3">
      <c r="A660" t="s">
        <v>7763</v>
      </c>
      <c r="B660" t="s">
        <v>53</v>
      </c>
      <c r="C660">
        <v>7.0000000000000007E-2</v>
      </c>
    </row>
    <row r="661" spans="1:3" x14ac:dyDescent="0.3">
      <c r="A661" t="s">
        <v>8505</v>
      </c>
      <c r="B661" t="s">
        <v>225</v>
      </c>
      <c r="C661">
        <v>0.04</v>
      </c>
    </row>
    <row r="662" spans="1:3" x14ac:dyDescent="0.3">
      <c r="A662" t="s">
        <v>8505</v>
      </c>
      <c r="B662" t="s">
        <v>225</v>
      </c>
      <c r="C662">
        <v>0.06</v>
      </c>
    </row>
    <row r="663" spans="1:3" x14ac:dyDescent="0.3">
      <c r="A663" t="s">
        <v>8082</v>
      </c>
      <c r="B663" t="s">
        <v>53</v>
      </c>
      <c r="C663">
        <v>0</v>
      </c>
    </row>
    <row r="664" spans="1:3" x14ac:dyDescent="0.3">
      <c r="A664" t="s">
        <v>8082</v>
      </c>
      <c r="B664" t="s">
        <v>53</v>
      </c>
      <c r="C664">
        <v>0.02</v>
      </c>
    </row>
    <row r="665" spans="1:3" x14ac:dyDescent="0.3">
      <c r="A665" t="s">
        <v>11018</v>
      </c>
      <c r="B665" t="s">
        <v>225</v>
      </c>
      <c r="C665">
        <v>0.02</v>
      </c>
    </row>
    <row r="666" spans="1:3" x14ac:dyDescent="0.3">
      <c r="A666" t="s">
        <v>14543</v>
      </c>
      <c r="B666" t="s">
        <v>225</v>
      </c>
      <c r="C666">
        <v>0.04</v>
      </c>
    </row>
    <row r="667" spans="1:3" x14ac:dyDescent="0.3">
      <c r="A667" t="s">
        <v>15631</v>
      </c>
      <c r="B667" t="s">
        <v>53</v>
      </c>
      <c r="C667">
        <v>0.1</v>
      </c>
    </row>
    <row r="668" spans="1:3" x14ac:dyDescent="0.3">
      <c r="A668" t="s">
        <v>1655</v>
      </c>
      <c r="B668" t="s">
        <v>225</v>
      </c>
      <c r="C668">
        <v>0.06</v>
      </c>
    </row>
    <row r="669" spans="1:3" x14ac:dyDescent="0.3">
      <c r="A669" t="s">
        <v>1655</v>
      </c>
      <c r="B669" t="s">
        <v>225</v>
      </c>
      <c r="C669">
        <v>0.08</v>
      </c>
    </row>
    <row r="670" spans="1:3" x14ac:dyDescent="0.3">
      <c r="A670" t="s">
        <v>2397</v>
      </c>
      <c r="B670" t="s">
        <v>40</v>
      </c>
      <c r="C670">
        <v>0.05</v>
      </c>
    </row>
    <row r="671" spans="1:3" x14ac:dyDescent="0.3">
      <c r="A671" t="s">
        <v>2397</v>
      </c>
      <c r="B671" t="s">
        <v>40</v>
      </c>
      <c r="C671">
        <v>0.09</v>
      </c>
    </row>
    <row r="672" spans="1:3" x14ac:dyDescent="0.3">
      <c r="A672" t="s">
        <v>3692</v>
      </c>
      <c r="B672" t="s">
        <v>64</v>
      </c>
      <c r="C672">
        <v>0.01</v>
      </c>
    </row>
    <row r="673" spans="1:3" x14ac:dyDescent="0.3">
      <c r="A673" t="s">
        <v>3692</v>
      </c>
      <c r="B673" t="s">
        <v>87</v>
      </c>
      <c r="C673">
        <v>0</v>
      </c>
    </row>
    <row r="674" spans="1:3" x14ac:dyDescent="0.3">
      <c r="A674" t="s">
        <v>4012</v>
      </c>
      <c r="B674" t="s">
        <v>87</v>
      </c>
      <c r="C674">
        <v>0.06</v>
      </c>
    </row>
    <row r="675" spans="1:3" x14ac:dyDescent="0.3">
      <c r="A675" t="s">
        <v>4012</v>
      </c>
      <c r="B675" t="s">
        <v>87</v>
      </c>
      <c r="C675">
        <v>7.0000000000000007E-2</v>
      </c>
    </row>
    <row r="676" spans="1:3" x14ac:dyDescent="0.3">
      <c r="A676" t="s">
        <v>6675</v>
      </c>
      <c r="B676" t="s">
        <v>29</v>
      </c>
      <c r="C676">
        <v>0.05</v>
      </c>
    </row>
    <row r="677" spans="1:3" x14ac:dyDescent="0.3">
      <c r="A677" t="s">
        <v>6675</v>
      </c>
      <c r="B677" t="s">
        <v>53</v>
      </c>
      <c r="C677">
        <v>0.04</v>
      </c>
    </row>
    <row r="678" spans="1:3" x14ac:dyDescent="0.3">
      <c r="A678" t="s">
        <v>12371</v>
      </c>
      <c r="B678" t="s">
        <v>225</v>
      </c>
      <c r="C678">
        <v>0.08</v>
      </c>
    </row>
    <row r="679" spans="1:3" x14ac:dyDescent="0.3">
      <c r="A679" t="s">
        <v>4652</v>
      </c>
      <c r="B679" t="s">
        <v>64</v>
      </c>
      <c r="C679">
        <v>0.04</v>
      </c>
    </row>
    <row r="680" spans="1:3" x14ac:dyDescent="0.3">
      <c r="A680" t="s">
        <v>4652</v>
      </c>
      <c r="B680" t="s">
        <v>64</v>
      </c>
      <c r="C680">
        <v>0.05</v>
      </c>
    </row>
    <row r="681" spans="1:3" x14ac:dyDescent="0.3">
      <c r="A681" t="s">
        <v>4652</v>
      </c>
      <c r="B681" t="s">
        <v>64</v>
      </c>
      <c r="C681">
        <v>0.08</v>
      </c>
    </row>
    <row r="682" spans="1:3" x14ac:dyDescent="0.3">
      <c r="A682" t="s">
        <v>4647</v>
      </c>
      <c r="B682" t="s">
        <v>64</v>
      </c>
      <c r="C682">
        <v>0.05</v>
      </c>
    </row>
    <row r="683" spans="1:3" x14ac:dyDescent="0.3">
      <c r="A683" t="s">
        <v>1719</v>
      </c>
      <c r="B683" t="s">
        <v>53</v>
      </c>
      <c r="C683">
        <v>0.01</v>
      </c>
    </row>
    <row r="684" spans="1:3" x14ac:dyDescent="0.3">
      <c r="A684" t="s">
        <v>1745</v>
      </c>
      <c r="B684" t="s">
        <v>53</v>
      </c>
      <c r="C684">
        <v>0</v>
      </c>
    </row>
    <row r="685" spans="1:3" x14ac:dyDescent="0.3">
      <c r="A685" t="s">
        <v>1745</v>
      </c>
      <c r="B685" t="s">
        <v>53</v>
      </c>
      <c r="C685">
        <v>0.05</v>
      </c>
    </row>
    <row r="686" spans="1:3" x14ac:dyDescent="0.3">
      <c r="A686" t="s">
        <v>1745</v>
      </c>
      <c r="B686" t="s">
        <v>53</v>
      </c>
      <c r="C686">
        <v>0.09</v>
      </c>
    </row>
    <row r="687" spans="1:3" x14ac:dyDescent="0.3">
      <c r="A687" t="s">
        <v>13874</v>
      </c>
      <c r="B687" t="s">
        <v>29</v>
      </c>
      <c r="C687">
        <v>0.03</v>
      </c>
    </row>
    <row r="688" spans="1:3" x14ac:dyDescent="0.3">
      <c r="A688" t="s">
        <v>15513</v>
      </c>
      <c r="B688" t="s">
        <v>40</v>
      </c>
      <c r="C688">
        <v>0.04</v>
      </c>
    </row>
    <row r="689" spans="1:3" x14ac:dyDescent="0.3">
      <c r="A689" t="s">
        <v>8036</v>
      </c>
      <c r="B689" t="s">
        <v>87</v>
      </c>
      <c r="C689">
        <v>0.01</v>
      </c>
    </row>
    <row r="690" spans="1:3" x14ac:dyDescent="0.3">
      <c r="A690" t="s">
        <v>14616</v>
      </c>
      <c r="B690" t="s">
        <v>40</v>
      </c>
      <c r="C690">
        <v>0.03</v>
      </c>
    </row>
    <row r="691" spans="1:3" x14ac:dyDescent="0.3">
      <c r="A691" t="s">
        <v>5370</v>
      </c>
      <c r="B691" t="s">
        <v>29</v>
      </c>
      <c r="C691">
        <v>7.0000000000000007E-2</v>
      </c>
    </row>
    <row r="692" spans="1:3" x14ac:dyDescent="0.3">
      <c r="A692" t="s">
        <v>15409</v>
      </c>
      <c r="B692" t="s">
        <v>29</v>
      </c>
      <c r="C692">
        <v>0.01</v>
      </c>
    </row>
    <row r="693" spans="1:3" x14ac:dyDescent="0.3">
      <c r="A693" t="s">
        <v>3491</v>
      </c>
      <c r="B693" t="s">
        <v>87</v>
      </c>
      <c r="C693">
        <v>0</v>
      </c>
    </row>
    <row r="694" spans="1:3" x14ac:dyDescent="0.3">
      <c r="A694" t="s">
        <v>3491</v>
      </c>
      <c r="B694" t="s">
        <v>87</v>
      </c>
      <c r="C694">
        <v>0.09</v>
      </c>
    </row>
    <row r="695" spans="1:3" x14ac:dyDescent="0.3">
      <c r="A695" t="s">
        <v>6882</v>
      </c>
      <c r="B695" t="s">
        <v>64</v>
      </c>
      <c r="C695">
        <v>0</v>
      </c>
    </row>
    <row r="696" spans="1:3" x14ac:dyDescent="0.3">
      <c r="A696" t="s">
        <v>15235</v>
      </c>
      <c r="B696" t="s">
        <v>225</v>
      </c>
      <c r="C696">
        <v>0.1</v>
      </c>
    </row>
    <row r="697" spans="1:3" x14ac:dyDescent="0.3">
      <c r="A697" t="s">
        <v>15605</v>
      </c>
      <c r="B697" t="s">
        <v>225</v>
      </c>
      <c r="C697">
        <v>0.08</v>
      </c>
    </row>
    <row r="698" spans="1:3" x14ac:dyDescent="0.3">
      <c r="A698" t="s">
        <v>7295</v>
      </c>
      <c r="B698" t="s">
        <v>40</v>
      </c>
      <c r="C698">
        <v>0</v>
      </c>
    </row>
    <row r="699" spans="1:3" x14ac:dyDescent="0.3">
      <c r="A699" t="s">
        <v>5828</v>
      </c>
      <c r="B699" t="s">
        <v>40</v>
      </c>
      <c r="C699">
        <v>0.01</v>
      </c>
    </row>
    <row r="700" spans="1:3" x14ac:dyDescent="0.3">
      <c r="A700" t="s">
        <v>5828</v>
      </c>
      <c r="B700" t="s">
        <v>40</v>
      </c>
      <c r="C700">
        <v>0.1</v>
      </c>
    </row>
    <row r="701" spans="1:3" x14ac:dyDescent="0.3">
      <c r="A701" t="s">
        <v>13958</v>
      </c>
      <c r="B701" t="s">
        <v>40</v>
      </c>
      <c r="C701">
        <v>0.1</v>
      </c>
    </row>
    <row r="702" spans="1:3" x14ac:dyDescent="0.3">
      <c r="A702" t="s">
        <v>10863</v>
      </c>
      <c r="B702" t="s">
        <v>87</v>
      </c>
      <c r="C702">
        <v>0</v>
      </c>
    </row>
    <row r="703" spans="1:3" x14ac:dyDescent="0.3">
      <c r="A703" t="s">
        <v>11733</v>
      </c>
      <c r="B703" t="s">
        <v>53</v>
      </c>
      <c r="C703">
        <v>0.02</v>
      </c>
    </row>
    <row r="704" spans="1:3" x14ac:dyDescent="0.3">
      <c r="A704" t="s">
        <v>11733</v>
      </c>
      <c r="B704" t="s">
        <v>87</v>
      </c>
      <c r="C704">
        <v>0.02</v>
      </c>
    </row>
    <row r="705" spans="1:3" x14ac:dyDescent="0.3">
      <c r="A705" t="s">
        <v>1891</v>
      </c>
      <c r="B705" t="s">
        <v>225</v>
      </c>
      <c r="C705">
        <v>0.06</v>
      </c>
    </row>
    <row r="706" spans="1:3" x14ac:dyDescent="0.3">
      <c r="A706" t="s">
        <v>3573</v>
      </c>
      <c r="B706" t="s">
        <v>225</v>
      </c>
      <c r="C706">
        <v>7.0000000000000007E-2</v>
      </c>
    </row>
    <row r="707" spans="1:3" x14ac:dyDescent="0.3">
      <c r="A707" t="s">
        <v>5027</v>
      </c>
      <c r="B707" t="s">
        <v>87</v>
      </c>
      <c r="C707">
        <v>0.04</v>
      </c>
    </row>
    <row r="708" spans="1:3" x14ac:dyDescent="0.3">
      <c r="A708" t="s">
        <v>5027</v>
      </c>
      <c r="B708" t="s">
        <v>87</v>
      </c>
      <c r="C708">
        <v>0.05</v>
      </c>
    </row>
    <row r="709" spans="1:3" x14ac:dyDescent="0.3">
      <c r="A709" t="s">
        <v>5027</v>
      </c>
      <c r="B709" t="s">
        <v>87</v>
      </c>
      <c r="C709">
        <v>7.0000000000000007E-2</v>
      </c>
    </row>
    <row r="710" spans="1:3" x14ac:dyDescent="0.3">
      <c r="A710" t="s">
        <v>11571</v>
      </c>
      <c r="B710" t="s">
        <v>53</v>
      </c>
      <c r="C710">
        <v>0.08</v>
      </c>
    </row>
    <row r="711" spans="1:3" x14ac:dyDescent="0.3">
      <c r="A711" t="s">
        <v>2034</v>
      </c>
      <c r="B711" t="s">
        <v>225</v>
      </c>
      <c r="C711">
        <v>0.01</v>
      </c>
    </row>
    <row r="712" spans="1:3" x14ac:dyDescent="0.3">
      <c r="A712" t="s">
        <v>2034</v>
      </c>
      <c r="B712" t="s">
        <v>225</v>
      </c>
      <c r="C712">
        <v>0.02</v>
      </c>
    </row>
    <row r="713" spans="1:3" x14ac:dyDescent="0.3">
      <c r="A713" t="s">
        <v>2034</v>
      </c>
      <c r="B713" t="s">
        <v>225</v>
      </c>
      <c r="C713">
        <v>0.03</v>
      </c>
    </row>
    <row r="714" spans="1:3" x14ac:dyDescent="0.3">
      <c r="A714" t="s">
        <v>2034</v>
      </c>
      <c r="B714" t="s">
        <v>225</v>
      </c>
      <c r="C714">
        <v>0.09</v>
      </c>
    </row>
    <row r="715" spans="1:3" x14ac:dyDescent="0.3">
      <c r="A715" t="s">
        <v>8468</v>
      </c>
      <c r="B715" t="s">
        <v>87</v>
      </c>
      <c r="C715">
        <v>0.06</v>
      </c>
    </row>
    <row r="716" spans="1:3" x14ac:dyDescent="0.3">
      <c r="A716" t="s">
        <v>4743</v>
      </c>
      <c r="B716" t="s">
        <v>40</v>
      </c>
      <c r="C716">
        <v>0.08</v>
      </c>
    </row>
    <row r="717" spans="1:3" x14ac:dyDescent="0.3">
      <c r="A717" t="s">
        <v>3404</v>
      </c>
      <c r="B717" t="s">
        <v>40</v>
      </c>
      <c r="C717">
        <v>0.03</v>
      </c>
    </row>
    <row r="718" spans="1:3" x14ac:dyDescent="0.3">
      <c r="A718" t="s">
        <v>3404</v>
      </c>
      <c r="B718" t="s">
        <v>40</v>
      </c>
      <c r="C718">
        <v>0.06</v>
      </c>
    </row>
    <row r="719" spans="1:3" x14ac:dyDescent="0.3">
      <c r="A719" t="s">
        <v>9831</v>
      </c>
      <c r="B719" t="s">
        <v>29</v>
      </c>
      <c r="C719">
        <v>0.1</v>
      </c>
    </row>
    <row r="720" spans="1:3" x14ac:dyDescent="0.3">
      <c r="A720" t="s">
        <v>9831</v>
      </c>
      <c r="B720" t="s">
        <v>87</v>
      </c>
      <c r="C720">
        <v>0.05</v>
      </c>
    </row>
    <row r="721" spans="1:3" x14ac:dyDescent="0.3">
      <c r="A721" t="s">
        <v>11957</v>
      </c>
      <c r="B721" t="s">
        <v>40</v>
      </c>
      <c r="C721">
        <v>0.03</v>
      </c>
    </row>
    <row r="722" spans="1:3" x14ac:dyDescent="0.3">
      <c r="A722" t="s">
        <v>5190</v>
      </c>
      <c r="B722" t="s">
        <v>40</v>
      </c>
      <c r="C722">
        <v>0.09</v>
      </c>
    </row>
    <row r="723" spans="1:3" x14ac:dyDescent="0.3">
      <c r="A723" t="s">
        <v>5190</v>
      </c>
      <c r="B723" t="s">
        <v>87</v>
      </c>
      <c r="C723">
        <v>0.03</v>
      </c>
    </row>
    <row r="724" spans="1:3" x14ac:dyDescent="0.3">
      <c r="A724" t="s">
        <v>8312</v>
      </c>
      <c r="B724" t="s">
        <v>53</v>
      </c>
      <c r="C724">
        <v>0</v>
      </c>
    </row>
    <row r="725" spans="1:3" x14ac:dyDescent="0.3">
      <c r="A725" t="s">
        <v>8312</v>
      </c>
      <c r="B725" t="s">
        <v>87</v>
      </c>
      <c r="C725">
        <v>0.04</v>
      </c>
    </row>
    <row r="726" spans="1:3" x14ac:dyDescent="0.3">
      <c r="A726" t="s">
        <v>8312</v>
      </c>
      <c r="B726" t="s">
        <v>87</v>
      </c>
      <c r="C726">
        <v>0.06</v>
      </c>
    </row>
    <row r="727" spans="1:3" x14ac:dyDescent="0.3">
      <c r="A727" t="s">
        <v>9326</v>
      </c>
      <c r="B727" t="s">
        <v>87</v>
      </c>
      <c r="C727">
        <v>0.05</v>
      </c>
    </row>
    <row r="728" spans="1:3" x14ac:dyDescent="0.3">
      <c r="A728" t="s">
        <v>12339</v>
      </c>
      <c r="B728" t="s">
        <v>87</v>
      </c>
      <c r="C728">
        <v>0.05</v>
      </c>
    </row>
    <row r="729" spans="1:3" x14ac:dyDescent="0.3">
      <c r="A729" t="s">
        <v>12339</v>
      </c>
      <c r="B729" t="s">
        <v>87</v>
      </c>
      <c r="C729">
        <v>0.06</v>
      </c>
    </row>
    <row r="730" spans="1:3" x14ac:dyDescent="0.3">
      <c r="A730" t="s">
        <v>12339</v>
      </c>
      <c r="B730" t="s">
        <v>87</v>
      </c>
      <c r="C730">
        <v>0.09</v>
      </c>
    </row>
    <row r="731" spans="1:3" x14ac:dyDescent="0.3">
      <c r="A731" t="s">
        <v>14071</v>
      </c>
      <c r="B731" t="s">
        <v>64</v>
      </c>
      <c r="C731">
        <v>0.02</v>
      </c>
    </row>
    <row r="732" spans="1:3" x14ac:dyDescent="0.3">
      <c r="A732" t="s">
        <v>12094</v>
      </c>
      <c r="B732" t="s">
        <v>64</v>
      </c>
      <c r="C732">
        <v>0.05</v>
      </c>
    </row>
    <row r="733" spans="1:3" x14ac:dyDescent="0.3">
      <c r="A733" t="s">
        <v>8545</v>
      </c>
      <c r="B733" t="s">
        <v>29</v>
      </c>
      <c r="C733">
        <v>0.1</v>
      </c>
    </row>
    <row r="734" spans="1:3" x14ac:dyDescent="0.3">
      <c r="A734" t="s">
        <v>13878</v>
      </c>
      <c r="B734" t="s">
        <v>53</v>
      </c>
      <c r="C734">
        <v>0.03</v>
      </c>
    </row>
    <row r="735" spans="1:3" x14ac:dyDescent="0.3">
      <c r="A735" t="s">
        <v>13878</v>
      </c>
      <c r="B735" t="s">
        <v>87</v>
      </c>
      <c r="C735">
        <v>0.01</v>
      </c>
    </row>
    <row r="736" spans="1:3" x14ac:dyDescent="0.3">
      <c r="A736" t="s">
        <v>14972</v>
      </c>
      <c r="B736" t="s">
        <v>29</v>
      </c>
      <c r="C736">
        <v>0.01</v>
      </c>
    </row>
    <row r="737" spans="1:3" x14ac:dyDescent="0.3">
      <c r="A737" t="s">
        <v>14972</v>
      </c>
      <c r="B737" t="s">
        <v>29</v>
      </c>
      <c r="C737">
        <v>0.02</v>
      </c>
    </row>
    <row r="738" spans="1:3" x14ac:dyDescent="0.3">
      <c r="A738" t="s">
        <v>14972</v>
      </c>
      <c r="B738" t="s">
        <v>29</v>
      </c>
      <c r="C738">
        <v>0.03</v>
      </c>
    </row>
    <row r="739" spans="1:3" x14ac:dyDescent="0.3">
      <c r="A739" t="s">
        <v>6790</v>
      </c>
      <c r="B739" t="s">
        <v>53</v>
      </c>
      <c r="C739">
        <v>7.0000000000000007E-2</v>
      </c>
    </row>
    <row r="740" spans="1:3" x14ac:dyDescent="0.3">
      <c r="A740" t="s">
        <v>2978</v>
      </c>
      <c r="B740" t="s">
        <v>40</v>
      </c>
      <c r="C740">
        <v>0.05</v>
      </c>
    </row>
    <row r="741" spans="1:3" x14ac:dyDescent="0.3">
      <c r="A741" t="s">
        <v>8149</v>
      </c>
      <c r="B741" t="s">
        <v>53</v>
      </c>
      <c r="C741">
        <v>0.09</v>
      </c>
    </row>
    <row r="742" spans="1:3" x14ac:dyDescent="0.3">
      <c r="A742" t="s">
        <v>12249</v>
      </c>
      <c r="B742" t="s">
        <v>40</v>
      </c>
      <c r="C742">
        <v>0.05</v>
      </c>
    </row>
    <row r="743" spans="1:3" x14ac:dyDescent="0.3">
      <c r="A743" t="s">
        <v>7304</v>
      </c>
      <c r="B743" t="s">
        <v>64</v>
      </c>
      <c r="C743">
        <v>0.02</v>
      </c>
    </row>
    <row r="744" spans="1:3" x14ac:dyDescent="0.3">
      <c r="A744" t="s">
        <v>7304</v>
      </c>
      <c r="B744" t="s">
        <v>64</v>
      </c>
      <c r="C744">
        <v>0.06</v>
      </c>
    </row>
    <row r="745" spans="1:3" x14ac:dyDescent="0.3">
      <c r="A745" t="s">
        <v>12628</v>
      </c>
      <c r="B745" t="s">
        <v>64</v>
      </c>
      <c r="C745">
        <v>0.04</v>
      </c>
    </row>
    <row r="746" spans="1:3" x14ac:dyDescent="0.3">
      <c r="A746" t="s">
        <v>10175</v>
      </c>
      <c r="B746" t="s">
        <v>64</v>
      </c>
      <c r="C746">
        <v>0.01</v>
      </c>
    </row>
    <row r="747" spans="1:3" x14ac:dyDescent="0.3">
      <c r="A747" t="s">
        <v>6801</v>
      </c>
      <c r="B747" t="s">
        <v>64</v>
      </c>
      <c r="C747">
        <v>0.03</v>
      </c>
    </row>
    <row r="748" spans="1:3" x14ac:dyDescent="0.3">
      <c r="A748" t="s">
        <v>1870</v>
      </c>
      <c r="B748" t="s">
        <v>64</v>
      </c>
      <c r="C748">
        <v>0.05</v>
      </c>
    </row>
    <row r="749" spans="1:3" x14ac:dyDescent="0.3">
      <c r="A749" t="s">
        <v>8974</v>
      </c>
      <c r="B749" t="s">
        <v>53</v>
      </c>
      <c r="C749">
        <v>0.06</v>
      </c>
    </row>
    <row r="750" spans="1:3" x14ac:dyDescent="0.3">
      <c r="A750" t="s">
        <v>5087</v>
      </c>
      <c r="B750" t="s">
        <v>87</v>
      </c>
      <c r="C750">
        <v>0.01</v>
      </c>
    </row>
    <row r="751" spans="1:3" x14ac:dyDescent="0.3">
      <c r="A751" t="s">
        <v>5087</v>
      </c>
      <c r="B751" t="s">
        <v>87</v>
      </c>
      <c r="C751">
        <v>0.04</v>
      </c>
    </row>
    <row r="752" spans="1:3" x14ac:dyDescent="0.3">
      <c r="A752" t="s">
        <v>8016</v>
      </c>
      <c r="B752" t="s">
        <v>53</v>
      </c>
      <c r="C752">
        <v>0.04</v>
      </c>
    </row>
    <row r="753" spans="1:3" x14ac:dyDescent="0.3">
      <c r="A753" t="s">
        <v>13615</v>
      </c>
      <c r="B753" t="s">
        <v>29</v>
      </c>
      <c r="C753">
        <v>7.0000000000000007E-2</v>
      </c>
    </row>
    <row r="754" spans="1:3" x14ac:dyDescent="0.3">
      <c r="A754" t="s">
        <v>11722</v>
      </c>
      <c r="B754" t="s">
        <v>29</v>
      </c>
      <c r="C754">
        <v>0.1</v>
      </c>
    </row>
    <row r="755" spans="1:3" x14ac:dyDescent="0.3">
      <c r="A755" t="s">
        <v>9240</v>
      </c>
      <c r="B755" t="s">
        <v>29</v>
      </c>
      <c r="C755">
        <v>0.09</v>
      </c>
    </row>
    <row r="756" spans="1:3" x14ac:dyDescent="0.3">
      <c r="A756" t="s">
        <v>13527</v>
      </c>
      <c r="B756" t="s">
        <v>225</v>
      </c>
      <c r="C756">
        <v>0.05</v>
      </c>
    </row>
    <row r="757" spans="1:3" x14ac:dyDescent="0.3">
      <c r="A757" t="s">
        <v>11885</v>
      </c>
      <c r="B757" t="s">
        <v>225</v>
      </c>
      <c r="C757">
        <v>7.0000000000000007E-2</v>
      </c>
    </row>
    <row r="758" spans="1:3" x14ac:dyDescent="0.3">
      <c r="A758" t="s">
        <v>4415</v>
      </c>
      <c r="B758" t="s">
        <v>40</v>
      </c>
      <c r="C758">
        <v>0.02</v>
      </c>
    </row>
    <row r="759" spans="1:3" x14ac:dyDescent="0.3">
      <c r="A759" t="s">
        <v>4415</v>
      </c>
      <c r="B759" t="s">
        <v>40</v>
      </c>
      <c r="C759">
        <v>0.03</v>
      </c>
    </row>
    <row r="760" spans="1:3" x14ac:dyDescent="0.3">
      <c r="A760" t="s">
        <v>5402</v>
      </c>
      <c r="B760" t="s">
        <v>40</v>
      </c>
      <c r="C760">
        <v>0.03</v>
      </c>
    </row>
    <row r="761" spans="1:3" x14ac:dyDescent="0.3">
      <c r="A761" t="s">
        <v>5402</v>
      </c>
      <c r="B761" t="s">
        <v>87</v>
      </c>
      <c r="C761">
        <v>0.05</v>
      </c>
    </row>
    <row r="762" spans="1:3" x14ac:dyDescent="0.3">
      <c r="A762" t="s">
        <v>5086</v>
      </c>
      <c r="B762" t="s">
        <v>40</v>
      </c>
      <c r="C762">
        <v>0.09</v>
      </c>
    </row>
    <row r="763" spans="1:3" x14ac:dyDescent="0.3">
      <c r="A763" t="s">
        <v>4587</v>
      </c>
      <c r="B763" t="s">
        <v>29</v>
      </c>
      <c r="C763">
        <v>7.0000000000000007E-2</v>
      </c>
    </row>
    <row r="764" spans="1:3" x14ac:dyDescent="0.3">
      <c r="A764" t="s">
        <v>14193</v>
      </c>
      <c r="B764" t="s">
        <v>29</v>
      </c>
      <c r="C764">
        <v>0.01</v>
      </c>
    </row>
    <row r="765" spans="1:3" x14ac:dyDescent="0.3">
      <c r="A765" t="s">
        <v>9115</v>
      </c>
      <c r="B765" t="s">
        <v>40</v>
      </c>
      <c r="C765">
        <v>0.03</v>
      </c>
    </row>
    <row r="766" spans="1:3" x14ac:dyDescent="0.3">
      <c r="A766" t="s">
        <v>9180</v>
      </c>
      <c r="B766" t="s">
        <v>53</v>
      </c>
      <c r="C766">
        <v>0.05</v>
      </c>
    </row>
    <row r="767" spans="1:3" x14ac:dyDescent="0.3">
      <c r="A767" t="s">
        <v>2554</v>
      </c>
      <c r="B767" t="s">
        <v>40</v>
      </c>
      <c r="C767">
        <v>0.06</v>
      </c>
    </row>
    <row r="768" spans="1:3" x14ac:dyDescent="0.3">
      <c r="A768" t="s">
        <v>10091</v>
      </c>
      <c r="B768" t="s">
        <v>64</v>
      </c>
      <c r="C768">
        <v>0.02</v>
      </c>
    </row>
    <row r="769" spans="1:3" x14ac:dyDescent="0.3">
      <c r="A769" t="s">
        <v>12356</v>
      </c>
      <c r="B769" t="s">
        <v>64</v>
      </c>
      <c r="C769">
        <v>0.01</v>
      </c>
    </row>
    <row r="770" spans="1:3" x14ac:dyDescent="0.3">
      <c r="A770" t="s">
        <v>15015</v>
      </c>
      <c r="B770" t="s">
        <v>53</v>
      </c>
      <c r="C770">
        <v>0.09</v>
      </c>
    </row>
    <row r="771" spans="1:3" x14ac:dyDescent="0.3">
      <c r="A771" t="s">
        <v>11497</v>
      </c>
      <c r="B771" t="s">
        <v>29</v>
      </c>
      <c r="C771">
        <v>0.04</v>
      </c>
    </row>
    <row r="772" spans="1:3" x14ac:dyDescent="0.3">
      <c r="A772" t="s">
        <v>8949</v>
      </c>
      <c r="B772" t="s">
        <v>87</v>
      </c>
      <c r="C772">
        <v>0.03</v>
      </c>
    </row>
    <row r="773" spans="1:3" x14ac:dyDescent="0.3">
      <c r="A773" t="s">
        <v>4831</v>
      </c>
      <c r="B773" t="s">
        <v>29</v>
      </c>
      <c r="C773">
        <v>0.02</v>
      </c>
    </row>
    <row r="774" spans="1:3" x14ac:dyDescent="0.3">
      <c r="A774" t="s">
        <v>3122</v>
      </c>
      <c r="B774" t="s">
        <v>29</v>
      </c>
      <c r="C774">
        <v>0.06</v>
      </c>
    </row>
    <row r="775" spans="1:3" x14ac:dyDescent="0.3">
      <c r="A775" t="s">
        <v>3122</v>
      </c>
      <c r="B775" t="s">
        <v>29</v>
      </c>
      <c r="C775">
        <v>7.0000000000000007E-2</v>
      </c>
    </row>
    <row r="776" spans="1:3" x14ac:dyDescent="0.3">
      <c r="A776" t="s">
        <v>3122</v>
      </c>
      <c r="B776" t="s">
        <v>29</v>
      </c>
      <c r="C776">
        <v>0.09</v>
      </c>
    </row>
    <row r="777" spans="1:3" x14ac:dyDescent="0.3">
      <c r="A777" t="s">
        <v>3342</v>
      </c>
      <c r="B777" t="s">
        <v>29</v>
      </c>
      <c r="C777">
        <v>0</v>
      </c>
    </row>
    <row r="778" spans="1:3" x14ac:dyDescent="0.3">
      <c r="A778" t="s">
        <v>1992</v>
      </c>
      <c r="B778" t="s">
        <v>87</v>
      </c>
      <c r="C778">
        <v>0.06</v>
      </c>
    </row>
    <row r="779" spans="1:3" x14ac:dyDescent="0.3">
      <c r="A779" t="s">
        <v>10711</v>
      </c>
      <c r="B779" t="s">
        <v>53</v>
      </c>
      <c r="C779">
        <v>0.03</v>
      </c>
    </row>
    <row r="780" spans="1:3" x14ac:dyDescent="0.3">
      <c r="A780" t="s">
        <v>4600</v>
      </c>
      <c r="B780" t="s">
        <v>87</v>
      </c>
      <c r="C780">
        <v>0.04</v>
      </c>
    </row>
    <row r="781" spans="1:3" x14ac:dyDescent="0.3">
      <c r="A781" t="s">
        <v>4600</v>
      </c>
      <c r="B781" t="s">
        <v>87</v>
      </c>
      <c r="C781">
        <v>0.08</v>
      </c>
    </row>
    <row r="782" spans="1:3" x14ac:dyDescent="0.3">
      <c r="A782" t="s">
        <v>2002</v>
      </c>
      <c r="B782" t="s">
        <v>53</v>
      </c>
      <c r="C782">
        <v>0.04</v>
      </c>
    </row>
    <row r="783" spans="1:3" x14ac:dyDescent="0.3">
      <c r="A783" t="s">
        <v>2002</v>
      </c>
      <c r="B783" t="s">
        <v>53</v>
      </c>
      <c r="C783">
        <v>0.09</v>
      </c>
    </row>
    <row r="784" spans="1:3" x14ac:dyDescent="0.3">
      <c r="A784" t="s">
        <v>3511</v>
      </c>
      <c r="B784" t="s">
        <v>87</v>
      </c>
      <c r="C784">
        <v>0.06</v>
      </c>
    </row>
    <row r="785" spans="1:3" x14ac:dyDescent="0.3">
      <c r="A785" t="s">
        <v>2015</v>
      </c>
      <c r="B785" t="s">
        <v>225</v>
      </c>
      <c r="C785">
        <v>0.06</v>
      </c>
    </row>
    <row r="786" spans="1:3" x14ac:dyDescent="0.3">
      <c r="A786" t="s">
        <v>2015</v>
      </c>
      <c r="B786" t="s">
        <v>225</v>
      </c>
      <c r="C786">
        <v>7.0000000000000007E-2</v>
      </c>
    </row>
    <row r="787" spans="1:3" x14ac:dyDescent="0.3">
      <c r="A787" t="s">
        <v>7922</v>
      </c>
      <c r="B787" t="s">
        <v>64</v>
      </c>
      <c r="C787">
        <v>0</v>
      </c>
    </row>
    <row r="788" spans="1:3" x14ac:dyDescent="0.3">
      <c r="A788" t="s">
        <v>8486</v>
      </c>
      <c r="B788" t="s">
        <v>87</v>
      </c>
      <c r="C788">
        <v>0.04</v>
      </c>
    </row>
    <row r="789" spans="1:3" x14ac:dyDescent="0.3">
      <c r="A789" t="s">
        <v>12000</v>
      </c>
      <c r="B789" t="s">
        <v>87</v>
      </c>
      <c r="C789">
        <v>7.0000000000000007E-2</v>
      </c>
    </row>
    <row r="790" spans="1:3" x14ac:dyDescent="0.3">
      <c r="A790" t="s">
        <v>2038</v>
      </c>
      <c r="B790" t="s">
        <v>225</v>
      </c>
      <c r="C790">
        <v>0</v>
      </c>
    </row>
    <row r="791" spans="1:3" x14ac:dyDescent="0.3">
      <c r="A791" t="s">
        <v>2038</v>
      </c>
      <c r="B791" t="s">
        <v>225</v>
      </c>
      <c r="C791">
        <v>0.09</v>
      </c>
    </row>
    <row r="792" spans="1:3" x14ac:dyDescent="0.3">
      <c r="A792" t="s">
        <v>2038</v>
      </c>
      <c r="B792" t="s">
        <v>225</v>
      </c>
      <c r="C792">
        <v>0.1</v>
      </c>
    </row>
    <row r="793" spans="1:3" x14ac:dyDescent="0.3">
      <c r="A793" t="s">
        <v>2046</v>
      </c>
      <c r="B793" t="s">
        <v>40</v>
      </c>
      <c r="C793">
        <v>0</v>
      </c>
    </row>
    <row r="794" spans="1:3" x14ac:dyDescent="0.3">
      <c r="A794" t="s">
        <v>2062</v>
      </c>
      <c r="B794" t="s">
        <v>40</v>
      </c>
      <c r="C794">
        <v>0</v>
      </c>
    </row>
    <row r="795" spans="1:3" x14ac:dyDescent="0.3">
      <c r="A795" t="s">
        <v>2062</v>
      </c>
      <c r="B795" t="s">
        <v>40</v>
      </c>
      <c r="C795">
        <v>0.02</v>
      </c>
    </row>
    <row r="796" spans="1:3" x14ac:dyDescent="0.3">
      <c r="A796" t="s">
        <v>2062</v>
      </c>
      <c r="B796" t="s">
        <v>40</v>
      </c>
      <c r="C796">
        <v>0.05</v>
      </c>
    </row>
    <row r="797" spans="1:3" x14ac:dyDescent="0.3">
      <c r="A797" t="s">
        <v>10005</v>
      </c>
      <c r="B797" t="s">
        <v>87</v>
      </c>
      <c r="C797">
        <v>7.0000000000000007E-2</v>
      </c>
    </row>
    <row r="798" spans="1:3" x14ac:dyDescent="0.3">
      <c r="A798" t="s">
        <v>2052</v>
      </c>
      <c r="B798" t="s">
        <v>40</v>
      </c>
      <c r="C798">
        <v>0.1</v>
      </c>
    </row>
    <row r="799" spans="1:3" x14ac:dyDescent="0.3">
      <c r="A799" t="s">
        <v>2052</v>
      </c>
      <c r="B799" t="s">
        <v>53</v>
      </c>
      <c r="C799">
        <v>0.06</v>
      </c>
    </row>
    <row r="800" spans="1:3" x14ac:dyDescent="0.3">
      <c r="A800" t="s">
        <v>13225</v>
      </c>
      <c r="B800" t="s">
        <v>53</v>
      </c>
      <c r="C800">
        <v>0.08</v>
      </c>
    </row>
    <row r="801" spans="1:3" x14ac:dyDescent="0.3">
      <c r="A801" t="s">
        <v>13714</v>
      </c>
      <c r="B801" t="s">
        <v>53</v>
      </c>
      <c r="C801">
        <v>0.1</v>
      </c>
    </row>
    <row r="802" spans="1:3" x14ac:dyDescent="0.3">
      <c r="A802" t="s">
        <v>2079</v>
      </c>
      <c r="B802" t="s">
        <v>64</v>
      </c>
      <c r="C802">
        <v>0.05</v>
      </c>
    </row>
    <row r="803" spans="1:3" x14ac:dyDescent="0.3">
      <c r="A803" t="s">
        <v>2808</v>
      </c>
      <c r="B803" t="s">
        <v>29</v>
      </c>
      <c r="C803">
        <v>0.08</v>
      </c>
    </row>
    <row r="804" spans="1:3" x14ac:dyDescent="0.3">
      <c r="A804" t="s">
        <v>5394</v>
      </c>
      <c r="B804" t="s">
        <v>29</v>
      </c>
      <c r="C804">
        <v>0.08</v>
      </c>
    </row>
    <row r="805" spans="1:3" x14ac:dyDescent="0.3">
      <c r="A805" t="s">
        <v>5940</v>
      </c>
      <c r="B805" t="s">
        <v>87</v>
      </c>
      <c r="C805">
        <v>0.01</v>
      </c>
    </row>
    <row r="806" spans="1:3" x14ac:dyDescent="0.3">
      <c r="A806" t="s">
        <v>14673</v>
      </c>
      <c r="B806" t="s">
        <v>29</v>
      </c>
      <c r="C806">
        <v>7.0000000000000007E-2</v>
      </c>
    </row>
    <row r="807" spans="1:3" x14ac:dyDescent="0.3">
      <c r="A807" t="s">
        <v>3942</v>
      </c>
      <c r="B807" t="s">
        <v>87</v>
      </c>
      <c r="C807">
        <v>0.02</v>
      </c>
    </row>
    <row r="808" spans="1:3" x14ac:dyDescent="0.3">
      <c r="A808" t="s">
        <v>3942</v>
      </c>
      <c r="B808" t="s">
        <v>87</v>
      </c>
      <c r="C808">
        <v>0.05</v>
      </c>
    </row>
    <row r="809" spans="1:3" x14ac:dyDescent="0.3">
      <c r="A809" t="s">
        <v>2102</v>
      </c>
      <c r="B809" t="s">
        <v>40</v>
      </c>
      <c r="C809">
        <v>0.01</v>
      </c>
    </row>
    <row r="810" spans="1:3" x14ac:dyDescent="0.3">
      <c r="A810" t="s">
        <v>2102</v>
      </c>
      <c r="B810" t="s">
        <v>40</v>
      </c>
      <c r="C810">
        <v>7.0000000000000007E-2</v>
      </c>
    </row>
    <row r="811" spans="1:3" x14ac:dyDescent="0.3">
      <c r="A811" t="s">
        <v>8413</v>
      </c>
      <c r="B811" t="s">
        <v>40</v>
      </c>
      <c r="C811">
        <v>0.06</v>
      </c>
    </row>
    <row r="812" spans="1:3" x14ac:dyDescent="0.3">
      <c r="A812" t="s">
        <v>6351</v>
      </c>
      <c r="B812" t="s">
        <v>40</v>
      </c>
      <c r="C812">
        <v>0.05</v>
      </c>
    </row>
    <row r="813" spans="1:3" x14ac:dyDescent="0.3">
      <c r="A813" t="s">
        <v>9815</v>
      </c>
      <c r="B813" t="s">
        <v>87</v>
      </c>
      <c r="C813">
        <v>0.09</v>
      </c>
    </row>
    <row r="814" spans="1:3" x14ac:dyDescent="0.3">
      <c r="A814" t="s">
        <v>11617</v>
      </c>
      <c r="B814" t="s">
        <v>40</v>
      </c>
      <c r="C814">
        <v>0.05</v>
      </c>
    </row>
    <row r="815" spans="1:3" x14ac:dyDescent="0.3">
      <c r="A815" t="s">
        <v>15070</v>
      </c>
      <c r="B815" t="s">
        <v>87</v>
      </c>
      <c r="C815">
        <v>0.09</v>
      </c>
    </row>
    <row r="816" spans="1:3" x14ac:dyDescent="0.3">
      <c r="A816" t="s">
        <v>15208</v>
      </c>
      <c r="B816" t="s">
        <v>64</v>
      </c>
      <c r="C816">
        <v>0</v>
      </c>
    </row>
    <row r="817" spans="1:3" x14ac:dyDescent="0.3">
      <c r="A817" t="s">
        <v>5154</v>
      </c>
      <c r="B817" t="s">
        <v>29</v>
      </c>
      <c r="C817">
        <v>0.06</v>
      </c>
    </row>
    <row r="818" spans="1:3" x14ac:dyDescent="0.3">
      <c r="A818" t="s">
        <v>13238</v>
      </c>
      <c r="B818" t="s">
        <v>225</v>
      </c>
      <c r="C818">
        <v>0</v>
      </c>
    </row>
    <row r="819" spans="1:3" x14ac:dyDescent="0.3">
      <c r="A819" t="s">
        <v>13238</v>
      </c>
      <c r="B819" t="s">
        <v>225</v>
      </c>
      <c r="C819">
        <v>0.06</v>
      </c>
    </row>
    <row r="820" spans="1:3" x14ac:dyDescent="0.3">
      <c r="A820" t="s">
        <v>15799</v>
      </c>
      <c r="B820" t="s">
        <v>29</v>
      </c>
      <c r="C820">
        <v>0.01</v>
      </c>
    </row>
    <row r="821" spans="1:3" x14ac:dyDescent="0.3">
      <c r="A821" t="s">
        <v>15799</v>
      </c>
      <c r="B821" t="s">
        <v>29</v>
      </c>
      <c r="C821">
        <v>7.0000000000000007E-2</v>
      </c>
    </row>
    <row r="822" spans="1:3" x14ac:dyDescent="0.3">
      <c r="A822" t="s">
        <v>3991</v>
      </c>
      <c r="B822" t="s">
        <v>64</v>
      </c>
      <c r="C822">
        <v>7.0000000000000007E-2</v>
      </c>
    </row>
    <row r="823" spans="1:3" x14ac:dyDescent="0.3">
      <c r="A823" t="s">
        <v>2846</v>
      </c>
      <c r="B823" t="s">
        <v>64</v>
      </c>
      <c r="C823">
        <v>7.0000000000000007E-2</v>
      </c>
    </row>
    <row r="824" spans="1:3" x14ac:dyDescent="0.3">
      <c r="A824" t="s">
        <v>9545</v>
      </c>
      <c r="B824" t="s">
        <v>64</v>
      </c>
      <c r="C824">
        <v>0.06</v>
      </c>
    </row>
    <row r="825" spans="1:3" x14ac:dyDescent="0.3">
      <c r="A825" t="s">
        <v>13092</v>
      </c>
      <c r="B825" t="s">
        <v>40</v>
      </c>
      <c r="C825">
        <v>0.03</v>
      </c>
    </row>
    <row r="826" spans="1:3" x14ac:dyDescent="0.3">
      <c r="A826" t="s">
        <v>14996</v>
      </c>
      <c r="B826" t="s">
        <v>40</v>
      </c>
      <c r="C826">
        <v>7.0000000000000007E-2</v>
      </c>
    </row>
    <row r="827" spans="1:3" x14ac:dyDescent="0.3">
      <c r="A827" t="s">
        <v>11418</v>
      </c>
      <c r="B827" t="s">
        <v>40</v>
      </c>
      <c r="C827">
        <v>0.01</v>
      </c>
    </row>
    <row r="828" spans="1:3" x14ac:dyDescent="0.3">
      <c r="A828" t="s">
        <v>11418</v>
      </c>
      <c r="B828" t="s">
        <v>40</v>
      </c>
      <c r="C828">
        <v>0.09</v>
      </c>
    </row>
    <row r="829" spans="1:3" x14ac:dyDescent="0.3">
      <c r="A829" t="s">
        <v>11418</v>
      </c>
      <c r="B829" t="s">
        <v>40</v>
      </c>
      <c r="C829">
        <v>0.1</v>
      </c>
    </row>
    <row r="830" spans="1:3" x14ac:dyDescent="0.3">
      <c r="A830" t="s">
        <v>2155</v>
      </c>
      <c r="B830" t="s">
        <v>64</v>
      </c>
      <c r="C830">
        <v>0.1</v>
      </c>
    </row>
    <row r="831" spans="1:3" x14ac:dyDescent="0.3">
      <c r="A831" t="s">
        <v>2161</v>
      </c>
      <c r="B831" t="s">
        <v>87</v>
      </c>
      <c r="C831">
        <v>0.05</v>
      </c>
    </row>
    <row r="832" spans="1:3" x14ac:dyDescent="0.3">
      <c r="A832" t="s">
        <v>2161</v>
      </c>
      <c r="B832" t="s">
        <v>87</v>
      </c>
      <c r="C832">
        <v>7.0000000000000007E-2</v>
      </c>
    </row>
    <row r="833" spans="1:3" x14ac:dyDescent="0.3">
      <c r="A833" t="s">
        <v>11070</v>
      </c>
      <c r="B833" t="s">
        <v>29</v>
      </c>
      <c r="C833">
        <v>0.01</v>
      </c>
    </row>
    <row r="834" spans="1:3" x14ac:dyDescent="0.3">
      <c r="A834" t="s">
        <v>14014</v>
      </c>
      <c r="B834" t="s">
        <v>29</v>
      </c>
      <c r="C834">
        <v>0.1</v>
      </c>
    </row>
    <row r="835" spans="1:3" x14ac:dyDescent="0.3">
      <c r="A835" t="s">
        <v>2191</v>
      </c>
      <c r="B835" t="s">
        <v>40</v>
      </c>
      <c r="C835">
        <v>0.04</v>
      </c>
    </row>
    <row r="836" spans="1:3" x14ac:dyDescent="0.3">
      <c r="A836" t="s">
        <v>10864</v>
      </c>
      <c r="B836" t="s">
        <v>87</v>
      </c>
      <c r="C836">
        <v>0.05</v>
      </c>
    </row>
    <row r="837" spans="1:3" x14ac:dyDescent="0.3">
      <c r="A837" t="s">
        <v>2197</v>
      </c>
      <c r="B837" t="s">
        <v>87</v>
      </c>
      <c r="C837">
        <v>0.1</v>
      </c>
    </row>
    <row r="838" spans="1:3" x14ac:dyDescent="0.3">
      <c r="A838" t="s">
        <v>15715</v>
      </c>
      <c r="B838" t="s">
        <v>29</v>
      </c>
      <c r="C838">
        <v>0.03</v>
      </c>
    </row>
    <row r="839" spans="1:3" x14ac:dyDescent="0.3">
      <c r="A839" t="s">
        <v>14665</v>
      </c>
      <c r="B839" t="s">
        <v>64</v>
      </c>
      <c r="C839">
        <v>0.1</v>
      </c>
    </row>
    <row r="840" spans="1:3" x14ac:dyDescent="0.3">
      <c r="A840" t="s">
        <v>2202</v>
      </c>
      <c r="B840" t="s">
        <v>87</v>
      </c>
      <c r="C840">
        <v>7.0000000000000007E-2</v>
      </c>
    </row>
    <row r="841" spans="1:3" x14ac:dyDescent="0.3">
      <c r="A841" t="s">
        <v>5950</v>
      </c>
      <c r="B841" t="s">
        <v>53</v>
      </c>
      <c r="C841">
        <v>0.08</v>
      </c>
    </row>
    <row r="842" spans="1:3" x14ac:dyDescent="0.3">
      <c r="A842" t="s">
        <v>13728</v>
      </c>
      <c r="B842" t="s">
        <v>40</v>
      </c>
      <c r="C842">
        <v>0.09</v>
      </c>
    </row>
    <row r="843" spans="1:3" x14ac:dyDescent="0.3">
      <c r="A843" t="s">
        <v>11672</v>
      </c>
      <c r="B843" t="s">
        <v>40</v>
      </c>
      <c r="C843">
        <v>0.06</v>
      </c>
    </row>
    <row r="844" spans="1:3" x14ac:dyDescent="0.3">
      <c r="A844" t="s">
        <v>11997</v>
      </c>
      <c r="B844" t="s">
        <v>64</v>
      </c>
      <c r="C844">
        <v>0.09</v>
      </c>
    </row>
    <row r="845" spans="1:3" x14ac:dyDescent="0.3">
      <c r="A845" t="s">
        <v>7069</v>
      </c>
      <c r="B845" t="s">
        <v>40</v>
      </c>
      <c r="C845">
        <v>7.0000000000000007E-2</v>
      </c>
    </row>
    <row r="846" spans="1:3" x14ac:dyDescent="0.3">
      <c r="A846" t="s">
        <v>9073</v>
      </c>
      <c r="B846" t="s">
        <v>64</v>
      </c>
      <c r="C846">
        <v>0.04</v>
      </c>
    </row>
    <row r="847" spans="1:3" x14ac:dyDescent="0.3">
      <c r="A847" t="s">
        <v>9073</v>
      </c>
      <c r="B847" t="s">
        <v>64</v>
      </c>
      <c r="C847">
        <v>0.1</v>
      </c>
    </row>
    <row r="848" spans="1:3" x14ac:dyDescent="0.3">
      <c r="A848" t="s">
        <v>15733</v>
      </c>
      <c r="B848" t="s">
        <v>29</v>
      </c>
      <c r="C848">
        <v>0.05</v>
      </c>
    </row>
    <row r="849" spans="1:3" x14ac:dyDescent="0.3">
      <c r="A849" t="s">
        <v>10804</v>
      </c>
      <c r="B849" t="s">
        <v>40</v>
      </c>
      <c r="C849">
        <v>0.06</v>
      </c>
    </row>
    <row r="850" spans="1:3" x14ac:dyDescent="0.3">
      <c r="A850" t="s">
        <v>10804</v>
      </c>
      <c r="B850" t="s">
        <v>225</v>
      </c>
      <c r="C850">
        <v>0.03</v>
      </c>
    </row>
    <row r="851" spans="1:3" x14ac:dyDescent="0.3">
      <c r="A851" t="s">
        <v>10804</v>
      </c>
      <c r="B851" t="s">
        <v>225</v>
      </c>
      <c r="C851">
        <v>0.08</v>
      </c>
    </row>
    <row r="852" spans="1:3" x14ac:dyDescent="0.3">
      <c r="A852" t="s">
        <v>10804</v>
      </c>
      <c r="B852" t="s">
        <v>29</v>
      </c>
      <c r="C852">
        <v>0.02</v>
      </c>
    </row>
    <row r="853" spans="1:3" x14ac:dyDescent="0.3">
      <c r="A853" t="s">
        <v>10804</v>
      </c>
      <c r="B853" t="s">
        <v>87</v>
      </c>
      <c r="C853">
        <v>0.05</v>
      </c>
    </row>
    <row r="854" spans="1:3" x14ac:dyDescent="0.3">
      <c r="A854" t="s">
        <v>2225</v>
      </c>
      <c r="B854" t="s">
        <v>87</v>
      </c>
      <c r="C854">
        <v>7.0000000000000007E-2</v>
      </c>
    </row>
    <row r="855" spans="1:3" x14ac:dyDescent="0.3">
      <c r="A855" t="s">
        <v>7434</v>
      </c>
      <c r="B855" t="s">
        <v>40</v>
      </c>
      <c r="C855">
        <v>0.06</v>
      </c>
    </row>
    <row r="856" spans="1:3" x14ac:dyDescent="0.3">
      <c r="A856" t="s">
        <v>11433</v>
      </c>
      <c r="B856" t="s">
        <v>225</v>
      </c>
      <c r="C856">
        <v>0.03</v>
      </c>
    </row>
    <row r="857" spans="1:3" x14ac:dyDescent="0.3">
      <c r="A857" t="s">
        <v>12489</v>
      </c>
      <c r="B857" t="s">
        <v>225</v>
      </c>
      <c r="C857">
        <v>0.09</v>
      </c>
    </row>
    <row r="858" spans="1:3" x14ac:dyDescent="0.3">
      <c r="A858" t="s">
        <v>15107</v>
      </c>
      <c r="B858" t="s">
        <v>53</v>
      </c>
      <c r="C858">
        <v>0</v>
      </c>
    </row>
    <row r="859" spans="1:3" x14ac:dyDescent="0.3">
      <c r="A859" t="s">
        <v>4186</v>
      </c>
      <c r="B859" t="s">
        <v>53</v>
      </c>
      <c r="C859">
        <v>0.02</v>
      </c>
    </row>
    <row r="860" spans="1:3" x14ac:dyDescent="0.3">
      <c r="A860" t="s">
        <v>4413</v>
      </c>
      <c r="B860" t="s">
        <v>53</v>
      </c>
      <c r="C860">
        <v>0.05</v>
      </c>
    </row>
    <row r="861" spans="1:3" x14ac:dyDescent="0.3">
      <c r="A861" t="s">
        <v>12487</v>
      </c>
      <c r="B861" t="s">
        <v>53</v>
      </c>
      <c r="C861">
        <v>0.06</v>
      </c>
    </row>
    <row r="862" spans="1:3" x14ac:dyDescent="0.3">
      <c r="A862" t="s">
        <v>10415</v>
      </c>
      <c r="B862" t="s">
        <v>53</v>
      </c>
      <c r="C862">
        <v>0.04</v>
      </c>
    </row>
    <row r="863" spans="1:3" x14ac:dyDescent="0.3">
      <c r="A863" t="s">
        <v>10415</v>
      </c>
      <c r="B863" t="s">
        <v>53</v>
      </c>
      <c r="C863">
        <v>7.0000000000000007E-2</v>
      </c>
    </row>
    <row r="864" spans="1:3" x14ac:dyDescent="0.3">
      <c r="A864" t="s">
        <v>5957</v>
      </c>
      <c r="B864" t="s">
        <v>64</v>
      </c>
      <c r="C864">
        <v>0.02</v>
      </c>
    </row>
    <row r="865" spans="1:3" x14ac:dyDescent="0.3">
      <c r="A865" t="s">
        <v>12097</v>
      </c>
      <c r="B865" t="s">
        <v>53</v>
      </c>
      <c r="C865">
        <v>0.03</v>
      </c>
    </row>
    <row r="866" spans="1:3" x14ac:dyDescent="0.3">
      <c r="A866" t="s">
        <v>15466</v>
      </c>
      <c r="B866" t="s">
        <v>53</v>
      </c>
      <c r="C866">
        <v>0.02</v>
      </c>
    </row>
    <row r="867" spans="1:3" x14ac:dyDescent="0.3">
      <c r="A867" t="s">
        <v>8704</v>
      </c>
      <c r="B867" t="s">
        <v>53</v>
      </c>
      <c r="C867">
        <v>0.08</v>
      </c>
    </row>
    <row r="868" spans="1:3" x14ac:dyDescent="0.3">
      <c r="A868" t="s">
        <v>5645</v>
      </c>
      <c r="B868" t="s">
        <v>64</v>
      </c>
      <c r="C868">
        <v>0.09</v>
      </c>
    </row>
    <row r="869" spans="1:3" x14ac:dyDescent="0.3">
      <c r="A869" t="s">
        <v>10560</v>
      </c>
      <c r="B869" t="s">
        <v>40</v>
      </c>
      <c r="C869">
        <v>0.02</v>
      </c>
    </row>
    <row r="870" spans="1:3" x14ac:dyDescent="0.3">
      <c r="A870" t="s">
        <v>10560</v>
      </c>
      <c r="B870" t="s">
        <v>40</v>
      </c>
      <c r="C870">
        <v>0.04</v>
      </c>
    </row>
    <row r="871" spans="1:3" x14ac:dyDescent="0.3">
      <c r="A871" t="s">
        <v>10560</v>
      </c>
      <c r="B871" t="s">
        <v>40</v>
      </c>
      <c r="C871">
        <v>0.05</v>
      </c>
    </row>
    <row r="872" spans="1:3" x14ac:dyDescent="0.3">
      <c r="A872" t="s">
        <v>2941</v>
      </c>
      <c r="B872" t="s">
        <v>64</v>
      </c>
      <c r="C872">
        <v>0.04</v>
      </c>
    </row>
    <row r="873" spans="1:3" x14ac:dyDescent="0.3">
      <c r="A873" t="s">
        <v>10857</v>
      </c>
      <c r="B873" t="s">
        <v>29</v>
      </c>
      <c r="C873">
        <v>0.03</v>
      </c>
    </row>
    <row r="874" spans="1:3" x14ac:dyDescent="0.3">
      <c r="A874" t="s">
        <v>2282</v>
      </c>
      <c r="B874" t="s">
        <v>225</v>
      </c>
      <c r="C874">
        <v>0.01</v>
      </c>
    </row>
    <row r="875" spans="1:3" x14ac:dyDescent="0.3">
      <c r="A875" t="s">
        <v>2715</v>
      </c>
      <c r="B875" t="s">
        <v>64</v>
      </c>
      <c r="C875">
        <v>0.03</v>
      </c>
    </row>
    <row r="876" spans="1:3" x14ac:dyDescent="0.3">
      <c r="A876" t="s">
        <v>2715</v>
      </c>
      <c r="B876" t="s">
        <v>64</v>
      </c>
      <c r="C876">
        <v>7.0000000000000007E-2</v>
      </c>
    </row>
    <row r="877" spans="1:3" x14ac:dyDescent="0.3">
      <c r="A877" t="s">
        <v>7716</v>
      </c>
      <c r="B877" t="s">
        <v>64</v>
      </c>
      <c r="C877">
        <v>0</v>
      </c>
    </row>
    <row r="878" spans="1:3" x14ac:dyDescent="0.3">
      <c r="A878" t="s">
        <v>7716</v>
      </c>
      <c r="B878" t="s">
        <v>64</v>
      </c>
      <c r="C878">
        <v>0.05</v>
      </c>
    </row>
    <row r="879" spans="1:3" x14ac:dyDescent="0.3">
      <c r="A879" t="s">
        <v>8580</v>
      </c>
      <c r="B879" t="s">
        <v>53</v>
      </c>
      <c r="C879">
        <v>0</v>
      </c>
    </row>
    <row r="880" spans="1:3" x14ac:dyDescent="0.3">
      <c r="A880" t="s">
        <v>8580</v>
      </c>
      <c r="B880" t="s">
        <v>53</v>
      </c>
      <c r="C880">
        <v>0.03</v>
      </c>
    </row>
    <row r="881" spans="1:3" x14ac:dyDescent="0.3">
      <c r="A881" t="s">
        <v>5543</v>
      </c>
      <c r="B881" t="s">
        <v>53</v>
      </c>
      <c r="C881">
        <v>7.0000000000000007E-2</v>
      </c>
    </row>
    <row r="882" spans="1:3" x14ac:dyDescent="0.3">
      <c r="A882" t="s">
        <v>4488</v>
      </c>
      <c r="B882" t="s">
        <v>29</v>
      </c>
      <c r="C882">
        <v>0.01</v>
      </c>
    </row>
    <row r="883" spans="1:3" x14ac:dyDescent="0.3">
      <c r="A883" t="s">
        <v>4881</v>
      </c>
      <c r="B883" t="s">
        <v>225</v>
      </c>
      <c r="C883">
        <v>7.0000000000000007E-2</v>
      </c>
    </row>
    <row r="884" spans="1:3" x14ac:dyDescent="0.3">
      <c r="A884" t="s">
        <v>4881</v>
      </c>
      <c r="B884" t="s">
        <v>225</v>
      </c>
      <c r="C884">
        <v>0.1</v>
      </c>
    </row>
    <row r="885" spans="1:3" x14ac:dyDescent="0.3">
      <c r="A885" t="s">
        <v>14163</v>
      </c>
      <c r="B885" t="s">
        <v>53</v>
      </c>
      <c r="C885">
        <v>0.06</v>
      </c>
    </row>
    <row r="886" spans="1:3" x14ac:dyDescent="0.3">
      <c r="A886" t="s">
        <v>3119</v>
      </c>
      <c r="B886" t="s">
        <v>53</v>
      </c>
      <c r="C886">
        <v>0.03</v>
      </c>
    </row>
    <row r="887" spans="1:3" x14ac:dyDescent="0.3">
      <c r="A887" t="s">
        <v>2824</v>
      </c>
      <c r="B887" t="s">
        <v>53</v>
      </c>
      <c r="C887">
        <v>7.0000000000000007E-2</v>
      </c>
    </row>
    <row r="888" spans="1:3" x14ac:dyDescent="0.3">
      <c r="A888" t="s">
        <v>8094</v>
      </c>
      <c r="B888" t="s">
        <v>53</v>
      </c>
      <c r="C888">
        <v>0.01</v>
      </c>
    </row>
    <row r="889" spans="1:3" x14ac:dyDescent="0.3">
      <c r="A889" t="s">
        <v>8094</v>
      </c>
      <c r="B889" t="s">
        <v>53</v>
      </c>
      <c r="C889">
        <v>0.03</v>
      </c>
    </row>
    <row r="890" spans="1:3" x14ac:dyDescent="0.3">
      <c r="A890" t="s">
        <v>9975</v>
      </c>
      <c r="B890" t="s">
        <v>53</v>
      </c>
      <c r="C890">
        <v>0.09</v>
      </c>
    </row>
    <row r="891" spans="1:3" x14ac:dyDescent="0.3">
      <c r="A891" t="s">
        <v>14747</v>
      </c>
      <c r="B891" t="s">
        <v>40</v>
      </c>
      <c r="C891">
        <v>0.03</v>
      </c>
    </row>
    <row r="892" spans="1:3" x14ac:dyDescent="0.3">
      <c r="A892" t="s">
        <v>9951</v>
      </c>
      <c r="B892" t="s">
        <v>64</v>
      </c>
      <c r="C892">
        <v>0.06</v>
      </c>
    </row>
    <row r="893" spans="1:3" x14ac:dyDescent="0.3">
      <c r="A893" t="s">
        <v>2316</v>
      </c>
      <c r="B893" t="s">
        <v>225</v>
      </c>
      <c r="C893">
        <v>0.02</v>
      </c>
    </row>
    <row r="894" spans="1:3" x14ac:dyDescent="0.3">
      <c r="A894" t="s">
        <v>2316</v>
      </c>
      <c r="B894" t="s">
        <v>64</v>
      </c>
      <c r="C894">
        <v>0.03</v>
      </c>
    </row>
    <row r="895" spans="1:3" x14ac:dyDescent="0.3">
      <c r="A895" t="s">
        <v>2316</v>
      </c>
      <c r="B895" t="s">
        <v>64</v>
      </c>
      <c r="C895">
        <v>0.06</v>
      </c>
    </row>
    <row r="896" spans="1:3" x14ac:dyDescent="0.3">
      <c r="A896" t="s">
        <v>12722</v>
      </c>
      <c r="B896" t="s">
        <v>87</v>
      </c>
      <c r="C896">
        <v>0.04</v>
      </c>
    </row>
    <row r="897" spans="1:3" x14ac:dyDescent="0.3">
      <c r="A897" t="s">
        <v>2329</v>
      </c>
      <c r="B897" t="s">
        <v>64</v>
      </c>
      <c r="C897">
        <v>0.1</v>
      </c>
    </row>
    <row r="898" spans="1:3" x14ac:dyDescent="0.3">
      <c r="A898" t="s">
        <v>2329</v>
      </c>
      <c r="B898" t="s">
        <v>29</v>
      </c>
      <c r="C898">
        <v>0.09</v>
      </c>
    </row>
    <row r="899" spans="1:3" x14ac:dyDescent="0.3">
      <c r="A899" t="s">
        <v>13432</v>
      </c>
      <c r="B899" t="s">
        <v>225</v>
      </c>
      <c r="C899">
        <v>0.06</v>
      </c>
    </row>
    <row r="900" spans="1:3" x14ac:dyDescent="0.3">
      <c r="A900" t="s">
        <v>5983</v>
      </c>
      <c r="B900" t="s">
        <v>53</v>
      </c>
      <c r="C900">
        <v>0.05</v>
      </c>
    </row>
    <row r="901" spans="1:3" x14ac:dyDescent="0.3">
      <c r="A901" t="s">
        <v>11154</v>
      </c>
      <c r="B901" t="s">
        <v>40</v>
      </c>
      <c r="C901">
        <v>0.04</v>
      </c>
    </row>
    <row r="902" spans="1:3" x14ac:dyDescent="0.3">
      <c r="A902" t="s">
        <v>11154</v>
      </c>
      <c r="B902" t="s">
        <v>40</v>
      </c>
      <c r="C902">
        <v>0.06</v>
      </c>
    </row>
    <row r="903" spans="1:3" x14ac:dyDescent="0.3">
      <c r="A903" t="s">
        <v>2345</v>
      </c>
      <c r="B903" t="s">
        <v>29</v>
      </c>
      <c r="C903">
        <v>0.03</v>
      </c>
    </row>
    <row r="904" spans="1:3" x14ac:dyDescent="0.3">
      <c r="A904" t="s">
        <v>2345</v>
      </c>
      <c r="B904" t="s">
        <v>29</v>
      </c>
      <c r="C904">
        <v>0.09</v>
      </c>
    </row>
    <row r="905" spans="1:3" x14ac:dyDescent="0.3">
      <c r="A905" t="s">
        <v>2351</v>
      </c>
      <c r="B905" t="s">
        <v>29</v>
      </c>
      <c r="C905">
        <v>0.1</v>
      </c>
    </row>
    <row r="906" spans="1:3" x14ac:dyDescent="0.3">
      <c r="A906" t="s">
        <v>10293</v>
      </c>
      <c r="B906" t="s">
        <v>64</v>
      </c>
      <c r="C906">
        <v>0</v>
      </c>
    </row>
    <row r="907" spans="1:3" x14ac:dyDescent="0.3">
      <c r="A907" t="s">
        <v>13025</v>
      </c>
      <c r="B907" t="s">
        <v>40</v>
      </c>
      <c r="C907">
        <v>0.05</v>
      </c>
    </row>
    <row r="908" spans="1:3" x14ac:dyDescent="0.3">
      <c r="A908" t="s">
        <v>12412</v>
      </c>
      <c r="B908" t="s">
        <v>87</v>
      </c>
      <c r="C908">
        <v>7.0000000000000007E-2</v>
      </c>
    </row>
    <row r="909" spans="1:3" x14ac:dyDescent="0.3">
      <c r="A909" t="s">
        <v>14701</v>
      </c>
      <c r="B909" t="s">
        <v>87</v>
      </c>
      <c r="C909">
        <v>0.04</v>
      </c>
    </row>
    <row r="910" spans="1:3" x14ac:dyDescent="0.3">
      <c r="A910" t="s">
        <v>14701</v>
      </c>
      <c r="B910" t="s">
        <v>87</v>
      </c>
      <c r="C910">
        <v>0.08</v>
      </c>
    </row>
    <row r="911" spans="1:3" x14ac:dyDescent="0.3">
      <c r="A911" t="s">
        <v>5581</v>
      </c>
      <c r="B911" t="s">
        <v>40</v>
      </c>
      <c r="C911">
        <v>0</v>
      </c>
    </row>
    <row r="912" spans="1:3" x14ac:dyDescent="0.3">
      <c r="A912" t="s">
        <v>12627</v>
      </c>
      <c r="B912" t="s">
        <v>53</v>
      </c>
      <c r="C912">
        <v>0.04</v>
      </c>
    </row>
    <row r="913" spans="1:3" x14ac:dyDescent="0.3">
      <c r="A913" t="s">
        <v>9300</v>
      </c>
      <c r="B913" t="s">
        <v>225</v>
      </c>
      <c r="C913">
        <v>0</v>
      </c>
    </row>
    <row r="914" spans="1:3" x14ac:dyDescent="0.3">
      <c r="A914" t="s">
        <v>13926</v>
      </c>
      <c r="B914" t="s">
        <v>87</v>
      </c>
      <c r="C914">
        <v>0.06</v>
      </c>
    </row>
    <row r="915" spans="1:3" x14ac:dyDescent="0.3">
      <c r="A915" t="s">
        <v>7655</v>
      </c>
      <c r="B915" t="s">
        <v>53</v>
      </c>
      <c r="C915">
        <v>0.1</v>
      </c>
    </row>
    <row r="916" spans="1:3" x14ac:dyDescent="0.3">
      <c r="A916" t="s">
        <v>3570</v>
      </c>
      <c r="B916" t="s">
        <v>53</v>
      </c>
      <c r="C916">
        <v>0.05</v>
      </c>
    </row>
    <row r="917" spans="1:3" x14ac:dyDescent="0.3">
      <c r="A917" t="s">
        <v>15253</v>
      </c>
      <c r="B917" t="s">
        <v>40</v>
      </c>
      <c r="C917">
        <v>0</v>
      </c>
    </row>
    <row r="918" spans="1:3" x14ac:dyDescent="0.3">
      <c r="A918" t="s">
        <v>2414</v>
      </c>
      <c r="B918" t="s">
        <v>87</v>
      </c>
      <c r="C918">
        <v>0.06</v>
      </c>
    </row>
    <row r="919" spans="1:3" x14ac:dyDescent="0.3">
      <c r="A919" t="s">
        <v>11550</v>
      </c>
      <c r="B919" t="s">
        <v>40</v>
      </c>
      <c r="C919">
        <v>0.05</v>
      </c>
    </row>
    <row r="920" spans="1:3" x14ac:dyDescent="0.3">
      <c r="A920" t="s">
        <v>6709</v>
      </c>
      <c r="B920" t="s">
        <v>53</v>
      </c>
      <c r="C920">
        <v>0.03</v>
      </c>
    </row>
    <row r="921" spans="1:3" x14ac:dyDescent="0.3">
      <c r="A921" t="s">
        <v>2380</v>
      </c>
      <c r="B921" t="s">
        <v>87</v>
      </c>
      <c r="C921">
        <v>0.04</v>
      </c>
    </row>
    <row r="922" spans="1:3" x14ac:dyDescent="0.3">
      <c r="A922" t="s">
        <v>2380</v>
      </c>
      <c r="B922" t="s">
        <v>87</v>
      </c>
      <c r="C922">
        <v>0.1</v>
      </c>
    </row>
    <row r="923" spans="1:3" x14ac:dyDescent="0.3">
      <c r="A923" t="s">
        <v>12272</v>
      </c>
      <c r="B923" t="s">
        <v>87</v>
      </c>
      <c r="C923">
        <v>0.09</v>
      </c>
    </row>
    <row r="924" spans="1:3" x14ac:dyDescent="0.3">
      <c r="A924" t="s">
        <v>10432</v>
      </c>
      <c r="B924" t="s">
        <v>87</v>
      </c>
      <c r="C924">
        <v>7.0000000000000007E-2</v>
      </c>
    </row>
    <row r="925" spans="1:3" x14ac:dyDescent="0.3">
      <c r="A925" t="s">
        <v>7927</v>
      </c>
      <c r="B925" t="s">
        <v>53</v>
      </c>
      <c r="C925">
        <v>0.01</v>
      </c>
    </row>
    <row r="926" spans="1:3" x14ac:dyDescent="0.3">
      <c r="A926" t="s">
        <v>7927</v>
      </c>
      <c r="B926" t="s">
        <v>53</v>
      </c>
      <c r="C926">
        <v>0.04</v>
      </c>
    </row>
    <row r="927" spans="1:3" x14ac:dyDescent="0.3">
      <c r="A927" t="s">
        <v>7927</v>
      </c>
      <c r="B927" t="s">
        <v>53</v>
      </c>
      <c r="C927">
        <v>0.08</v>
      </c>
    </row>
    <row r="928" spans="1:3" x14ac:dyDescent="0.3">
      <c r="A928" t="s">
        <v>6748</v>
      </c>
      <c r="B928" t="s">
        <v>87</v>
      </c>
      <c r="C928">
        <v>0.09</v>
      </c>
    </row>
    <row r="929" spans="1:3" x14ac:dyDescent="0.3">
      <c r="A929" t="s">
        <v>14850</v>
      </c>
      <c r="B929" t="s">
        <v>53</v>
      </c>
      <c r="C929">
        <v>0.09</v>
      </c>
    </row>
    <row r="930" spans="1:3" x14ac:dyDescent="0.3">
      <c r="A930" t="s">
        <v>11325</v>
      </c>
      <c r="B930" t="s">
        <v>225</v>
      </c>
      <c r="C930">
        <v>0</v>
      </c>
    </row>
    <row r="931" spans="1:3" x14ac:dyDescent="0.3">
      <c r="A931" t="s">
        <v>11605</v>
      </c>
      <c r="B931" t="s">
        <v>40</v>
      </c>
      <c r="C931">
        <v>0.06</v>
      </c>
    </row>
    <row r="932" spans="1:3" x14ac:dyDescent="0.3">
      <c r="A932" t="s">
        <v>9185</v>
      </c>
      <c r="B932" t="s">
        <v>40</v>
      </c>
      <c r="C932">
        <v>0.06</v>
      </c>
    </row>
    <row r="933" spans="1:3" x14ac:dyDescent="0.3">
      <c r="A933" t="s">
        <v>9185</v>
      </c>
      <c r="B933" t="s">
        <v>40</v>
      </c>
      <c r="C933">
        <v>0.08</v>
      </c>
    </row>
    <row r="934" spans="1:3" x14ac:dyDescent="0.3">
      <c r="A934" t="s">
        <v>9185</v>
      </c>
      <c r="B934" t="s">
        <v>40</v>
      </c>
      <c r="C934">
        <v>0.1</v>
      </c>
    </row>
    <row r="935" spans="1:3" x14ac:dyDescent="0.3">
      <c r="A935" t="s">
        <v>11752</v>
      </c>
      <c r="B935" t="s">
        <v>29</v>
      </c>
      <c r="C935">
        <v>0.02</v>
      </c>
    </row>
    <row r="936" spans="1:3" x14ac:dyDescent="0.3">
      <c r="A936" t="s">
        <v>2433</v>
      </c>
      <c r="B936" t="s">
        <v>87</v>
      </c>
      <c r="C936">
        <v>7.0000000000000007E-2</v>
      </c>
    </row>
    <row r="937" spans="1:3" x14ac:dyDescent="0.3">
      <c r="A937" t="s">
        <v>3834</v>
      </c>
      <c r="B937" t="s">
        <v>225</v>
      </c>
      <c r="C937">
        <v>0</v>
      </c>
    </row>
    <row r="938" spans="1:3" x14ac:dyDescent="0.3">
      <c r="A938" t="s">
        <v>3834</v>
      </c>
      <c r="B938" t="s">
        <v>225</v>
      </c>
      <c r="C938">
        <v>7.0000000000000007E-2</v>
      </c>
    </row>
    <row r="939" spans="1:3" x14ac:dyDescent="0.3">
      <c r="A939" t="s">
        <v>8959</v>
      </c>
      <c r="B939" t="s">
        <v>225</v>
      </c>
      <c r="C939">
        <v>0.06</v>
      </c>
    </row>
    <row r="940" spans="1:3" x14ac:dyDescent="0.3">
      <c r="A940" t="s">
        <v>2450</v>
      </c>
      <c r="B940" t="s">
        <v>40</v>
      </c>
      <c r="C940">
        <v>0.01</v>
      </c>
    </row>
    <row r="941" spans="1:3" x14ac:dyDescent="0.3">
      <c r="A941" t="s">
        <v>3550</v>
      </c>
      <c r="B941" t="s">
        <v>40</v>
      </c>
      <c r="C941">
        <v>0.1</v>
      </c>
    </row>
    <row r="942" spans="1:3" x14ac:dyDescent="0.3">
      <c r="A942" t="s">
        <v>6151</v>
      </c>
      <c r="B942" t="s">
        <v>29</v>
      </c>
      <c r="C942">
        <v>0.05</v>
      </c>
    </row>
    <row r="943" spans="1:3" x14ac:dyDescent="0.3">
      <c r="A943" t="s">
        <v>8337</v>
      </c>
      <c r="B943" t="s">
        <v>225</v>
      </c>
      <c r="C943">
        <v>0</v>
      </c>
    </row>
    <row r="944" spans="1:3" x14ac:dyDescent="0.3">
      <c r="A944" t="s">
        <v>8337</v>
      </c>
      <c r="B944" t="s">
        <v>225</v>
      </c>
      <c r="C944">
        <v>0.06</v>
      </c>
    </row>
    <row r="945" spans="1:3" x14ac:dyDescent="0.3">
      <c r="A945" t="s">
        <v>8337</v>
      </c>
      <c r="B945" t="s">
        <v>225</v>
      </c>
      <c r="C945">
        <v>0.09</v>
      </c>
    </row>
    <row r="946" spans="1:3" x14ac:dyDescent="0.3">
      <c r="A946" t="s">
        <v>7828</v>
      </c>
      <c r="B946" t="s">
        <v>225</v>
      </c>
      <c r="C946">
        <v>0.08</v>
      </c>
    </row>
    <row r="947" spans="1:3" x14ac:dyDescent="0.3">
      <c r="A947" t="s">
        <v>13721</v>
      </c>
      <c r="B947" t="s">
        <v>53</v>
      </c>
      <c r="C947">
        <v>0.02</v>
      </c>
    </row>
    <row r="948" spans="1:3" x14ac:dyDescent="0.3">
      <c r="A948" t="s">
        <v>7136</v>
      </c>
      <c r="B948" t="s">
        <v>64</v>
      </c>
      <c r="C948">
        <v>0</v>
      </c>
    </row>
    <row r="949" spans="1:3" x14ac:dyDescent="0.3">
      <c r="A949" t="s">
        <v>14117</v>
      </c>
      <c r="B949" t="s">
        <v>64</v>
      </c>
      <c r="C949">
        <v>0</v>
      </c>
    </row>
    <row r="950" spans="1:3" x14ac:dyDescent="0.3">
      <c r="A950" t="s">
        <v>14117</v>
      </c>
      <c r="B950" t="s">
        <v>64</v>
      </c>
      <c r="C950">
        <v>0.05</v>
      </c>
    </row>
    <row r="951" spans="1:3" x14ac:dyDescent="0.3">
      <c r="A951" t="s">
        <v>2489</v>
      </c>
      <c r="B951" t="s">
        <v>225</v>
      </c>
      <c r="C951">
        <v>0.08</v>
      </c>
    </row>
    <row r="952" spans="1:3" x14ac:dyDescent="0.3">
      <c r="A952" t="s">
        <v>2565</v>
      </c>
      <c r="B952" t="s">
        <v>225</v>
      </c>
      <c r="C952">
        <v>0.08</v>
      </c>
    </row>
    <row r="953" spans="1:3" x14ac:dyDescent="0.3">
      <c r="A953" t="s">
        <v>8150</v>
      </c>
      <c r="B953" t="s">
        <v>225</v>
      </c>
      <c r="C953">
        <v>7.0000000000000007E-2</v>
      </c>
    </row>
    <row r="954" spans="1:3" x14ac:dyDescent="0.3">
      <c r="A954" t="s">
        <v>8150</v>
      </c>
      <c r="B954" t="s">
        <v>225</v>
      </c>
      <c r="C954">
        <v>0.08</v>
      </c>
    </row>
    <row r="955" spans="1:3" x14ac:dyDescent="0.3">
      <c r="A955" t="s">
        <v>8293</v>
      </c>
      <c r="B955" t="s">
        <v>40</v>
      </c>
      <c r="C955">
        <v>0.02</v>
      </c>
    </row>
    <row r="956" spans="1:3" x14ac:dyDescent="0.3">
      <c r="A956" t="s">
        <v>5188</v>
      </c>
      <c r="B956" t="s">
        <v>29</v>
      </c>
      <c r="C956">
        <v>7.0000000000000007E-2</v>
      </c>
    </row>
    <row r="957" spans="1:3" x14ac:dyDescent="0.3">
      <c r="A957" t="s">
        <v>4828</v>
      </c>
      <c r="B957" t="s">
        <v>29</v>
      </c>
      <c r="C957">
        <v>0.1</v>
      </c>
    </row>
    <row r="958" spans="1:3" x14ac:dyDescent="0.3">
      <c r="A958" t="s">
        <v>12824</v>
      </c>
      <c r="B958" t="s">
        <v>64</v>
      </c>
      <c r="C958">
        <v>0.1</v>
      </c>
    </row>
    <row r="959" spans="1:3" x14ac:dyDescent="0.3">
      <c r="A959" t="s">
        <v>9813</v>
      </c>
      <c r="B959" t="s">
        <v>40</v>
      </c>
      <c r="C959">
        <v>7.0000000000000007E-2</v>
      </c>
    </row>
    <row r="960" spans="1:3" x14ac:dyDescent="0.3">
      <c r="A960" t="s">
        <v>2536</v>
      </c>
      <c r="B960" t="s">
        <v>40</v>
      </c>
      <c r="C960">
        <v>0.02</v>
      </c>
    </row>
    <row r="961" spans="1:3" x14ac:dyDescent="0.3">
      <c r="A961" t="s">
        <v>2536</v>
      </c>
      <c r="B961" t="s">
        <v>53</v>
      </c>
      <c r="C961">
        <v>0</v>
      </c>
    </row>
    <row r="962" spans="1:3" x14ac:dyDescent="0.3">
      <c r="A962" t="s">
        <v>2574</v>
      </c>
      <c r="B962" t="s">
        <v>87</v>
      </c>
      <c r="C962">
        <v>0.02</v>
      </c>
    </row>
    <row r="963" spans="1:3" x14ac:dyDescent="0.3">
      <c r="A963" t="s">
        <v>2574</v>
      </c>
      <c r="B963" t="s">
        <v>87</v>
      </c>
      <c r="C963">
        <v>0.05</v>
      </c>
    </row>
    <row r="964" spans="1:3" x14ac:dyDescent="0.3">
      <c r="A964" t="s">
        <v>15840</v>
      </c>
      <c r="B964" t="s">
        <v>64</v>
      </c>
      <c r="C964">
        <v>0.02</v>
      </c>
    </row>
    <row r="965" spans="1:3" x14ac:dyDescent="0.3">
      <c r="A965" t="s">
        <v>7120</v>
      </c>
      <c r="B965" t="s">
        <v>53</v>
      </c>
      <c r="C965">
        <v>0.03</v>
      </c>
    </row>
    <row r="966" spans="1:3" x14ac:dyDescent="0.3">
      <c r="A966" t="s">
        <v>7120</v>
      </c>
      <c r="B966" t="s">
        <v>53</v>
      </c>
      <c r="C966">
        <v>7.0000000000000007E-2</v>
      </c>
    </row>
    <row r="967" spans="1:3" x14ac:dyDescent="0.3">
      <c r="A967" t="s">
        <v>12407</v>
      </c>
      <c r="B967" t="s">
        <v>53</v>
      </c>
      <c r="C967">
        <v>0.03</v>
      </c>
    </row>
    <row r="968" spans="1:3" x14ac:dyDescent="0.3">
      <c r="A968" t="s">
        <v>5421</v>
      </c>
      <c r="B968" t="s">
        <v>53</v>
      </c>
      <c r="C968">
        <v>0.03</v>
      </c>
    </row>
    <row r="969" spans="1:3" x14ac:dyDescent="0.3">
      <c r="A969" t="s">
        <v>13153</v>
      </c>
      <c r="B969" t="s">
        <v>29</v>
      </c>
      <c r="C969">
        <v>7.0000000000000007E-2</v>
      </c>
    </row>
    <row r="970" spans="1:3" x14ac:dyDescent="0.3">
      <c r="A970" t="s">
        <v>11668</v>
      </c>
      <c r="B970" t="s">
        <v>29</v>
      </c>
      <c r="C970">
        <v>0.08</v>
      </c>
    </row>
    <row r="971" spans="1:3" x14ac:dyDescent="0.3">
      <c r="A971" t="s">
        <v>3337</v>
      </c>
      <c r="B971" t="s">
        <v>53</v>
      </c>
      <c r="C971">
        <v>0.08</v>
      </c>
    </row>
    <row r="972" spans="1:3" x14ac:dyDescent="0.3">
      <c r="A972" t="s">
        <v>13912</v>
      </c>
      <c r="B972" t="s">
        <v>29</v>
      </c>
      <c r="C972">
        <v>0.02</v>
      </c>
    </row>
    <row r="973" spans="1:3" x14ac:dyDescent="0.3">
      <c r="A973" t="s">
        <v>13912</v>
      </c>
      <c r="B973" t="s">
        <v>29</v>
      </c>
      <c r="C973">
        <v>0.09</v>
      </c>
    </row>
    <row r="974" spans="1:3" x14ac:dyDescent="0.3">
      <c r="A974" t="s">
        <v>10209</v>
      </c>
      <c r="B974" t="s">
        <v>29</v>
      </c>
      <c r="C974">
        <v>0</v>
      </c>
    </row>
    <row r="975" spans="1:3" x14ac:dyDescent="0.3">
      <c r="A975" t="s">
        <v>10209</v>
      </c>
      <c r="B975" t="s">
        <v>29</v>
      </c>
      <c r="C975">
        <v>0.02</v>
      </c>
    </row>
    <row r="976" spans="1:3" x14ac:dyDescent="0.3">
      <c r="A976" t="s">
        <v>14538</v>
      </c>
      <c r="B976" t="s">
        <v>29</v>
      </c>
      <c r="C976">
        <v>0.05</v>
      </c>
    </row>
    <row r="977" spans="1:3" x14ac:dyDescent="0.3">
      <c r="A977" t="s">
        <v>11424</v>
      </c>
      <c r="B977" t="s">
        <v>40</v>
      </c>
      <c r="C977">
        <v>0</v>
      </c>
    </row>
    <row r="978" spans="1:3" x14ac:dyDescent="0.3">
      <c r="A978" t="s">
        <v>15755</v>
      </c>
      <c r="B978" t="s">
        <v>40</v>
      </c>
      <c r="C978">
        <v>7.0000000000000007E-2</v>
      </c>
    </row>
    <row r="979" spans="1:3" x14ac:dyDescent="0.3">
      <c r="A979" t="s">
        <v>8692</v>
      </c>
      <c r="B979" t="s">
        <v>40</v>
      </c>
      <c r="C979">
        <v>7.0000000000000007E-2</v>
      </c>
    </row>
    <row r="980" spans="1:3" x14ac:dyDescent="0.3">
      <c r="A980" t="s">
        <v>4676</v>
      </c>
      <c r="B980" t="s">
        <v>40</v>
      </c>
      <c r="C980">
        <v>0.06</v>
      </c>
    </row>
    <row r="981" spans="1:3" x14ac:dyDescent="0.3">
      <c r="A981" t="s">
        <v>15611</v>
      </c>
      <c r="B981" t="s">
        <v>53</v>
      </c>
      <c r="C981">
        <v>0</v>
      </c>
    </row>
    <row r="982" spans="1:3" x14ac:dyDescent="0.3">
      <c r="A982" t="s">
        <v>7759</v>
      </c>
      <c r="B982" t="s">
        <v>29</v>
      </c>
      <c r="C982">
        <v>0.01</v>
      </c>
    </row>
    <row r="983" spans="1:3" x14ac:dyDescent="0.3">
      <c r="A983" t="s">
        <v>8373</v>
      </c>
      <c r="B983" t="s">
        <v>87</v>
      </c>
      <c r="C983">
        <v>0.03</v>
      </c>
    </row>
    <row r="984" spans="1:3" x14ac:dyDescent="0.3">
      <c r="A984" t="s">
        <v>15033</v>
      </c>
      <c r="B984" t="s">
        <v>225</v>
      </c>
      <c r="C984">
        <v>0.04</v>
      </c>
    </row>
    <row r="985" spans="1:3" x14ac:dyDescent="0.3">
      <c r="A985" t="s">
        <v>15033</v>
      </c>
      <c r="B985" t="s">
        <v>225</v>
      </c>
      <c r="C985">
        <v>0.09</v>
      </c>
    </row>
    <row r="986" spans="1:3" x14ac:dyDescent="0.3">
      <c r="A986" t="s">
        <v>5368</v>
      </c>
      <c r="B986" t="s">
        <v>87</v>
      </c>
      <c r="C986">
        <v>0.01</v>
      </c>
    </row>
    <row r="987" spans="1:3" x14ac:dyDescent="0.3">
      <c r="A987" t="s">
        <v>5353</v>
      </c>
      <c r="B987" t="s">
        <v>87</v>
      </c>
      <c r="C987">
        <v>0.01</v>
      </c>
    </row>
    <row r="988" spans="1:3" x14ac:dyDescent="0.3">
      <c r="A988" t="s">
        <v>5353</v>
      </c>
      <c r="B988" t="s">
        <v>87</v>
      </c>
      <c r="C988">
        <v>0.06</v>
      </c>
    </row>
    <row r="989" spans="1:3" x14ac:dyDescent="0.3">
      <c r="A989" t="s">
        <v>11685</v>
      </c>
      <c r="B989" t="s">
        <v>87</v>
      </c>
      <c r="C989">
        <v>0.05</v>
      </c>
    </row>
    <row r="990" spans="1:3" x14ac:dyDescent="0.3">
      <c r="A990" t="s">
        <v>13689</v>
      </c>
      <c r="B990" t="s">
        <v>87</v>
      </c>
      <c r="C990">
        <v>0.04</v>
      </c>
    </row>
    <row r="991" spans="1:3" x14ac:dyDescent="0.3">
      <c r="A991" t="s">
        <v>13163</v>
      </c>
      <c r="B991" t="s">
        <v>87</v>
      </c>
      <c r="C991">
        <v>0.02</v>
      </c>
    </row>
    <row r="992" spans="1:3" x14ac:dyDescent="0.3">
      <c r="A992" t="s">
        <v>9233</v>
      </c>
      <c r="B992" t="s">
        <v>87</v>
      </c>
      <c r="C992">
        <v>0.01</v>
      </c>
    </row>
    <row r="993" spans="1:3" x14ac:dyDescent="0.3">
      <c r="A993" t="s">
        <v>9490</v>
      </c>
      <c r="B993" t="s">
        <v>87</v>
      </c>
      <c r="C993">
        <v>0.1</v>
      </c>
    </row>
    <row r="994" spans="1:3" x14ac:dyDescent="0.3">
      <c r="A994" t="s">
        <v>7087</v>
      </c>
      <c r="B994" t="s">
        <v>40</v>
      </c>
      <c r="C994">
        <v>0</v>
      </c>
    </row>
    <row r="995" spans="1:3" x14ac:dyDescent="0.3">
      <c r="A995" t="s">
        <v>7087</v>
      </c>
      <c r="B995" t="s">
        <v>29</v>
      </c>
      <c r="C995">
        <v>0.03</v>
      </c>
    </row>
    <row r="996" spans="1:3" x14ac:dyDescent="0.3">
      <c r="A996" t="s">
        <v>7087</v>
      </c>
      <c r="B996" t="s">
        <v>29</v>
      </c>
      <c r="C996">
        <v>0.04</v>
      </c>
    </row>
    <row r="997" spans="1:3" x14ac:dyDescent="0.3">
      <c r="A997" t="s">
        <v>7714</v>
      </c>
      <c r="B997" t="s">
        <v>40</v>
      </c>
      <c r="C997">
        <v>0.01</v>
      </c>
    </row>
    <row r="998" spans="1:3" x14ac:dyDescent="0.3">
      <c r="A998" t="s">
        <v>7714</v>
      </c>
      <c r="B998" t="s">
        <v>40</v>
      </c>
      <c r="C998">
        <v>0.02</v>
      </c>
    </row>
    <row r="999" spans="1:3" x14ac:dyDescent="0.3">
      <c r="A999" t="s">
        <v>7714</v>
      </c>
      <c r="B999" t="s">
        <v>40</v>
      </c>
      <c r="C999">
        <v>0.09</v>
      </c>
    </row>
    <row r="1000" spans="1:3" x14ac:dyDescent="0.3">
      <c r="A1000" t="s">
        <v>13620</v>
      </c>
      <c r="B1000" t="s">
        <v>29</v>
      </c>
      <c r="C1000">
        <v>0.05</v>
      </c>
    </row>
    <row r="1001" spans="1:3" x14ac:dyDescent="0.3">
      <c r="A1001" t="s">
        <v>5233</v>
      </c>
      <c r="B1001" t="s">
        <v>29</v>
      </c>
      <c r="C1001">
        <v>0.08</v>
      </c>
    </row>
    <row r="1002" spans="1:3" x14ac:dyDescent="0.3">
      <c r="A1002" t="s">
        <v>5233</v>
      </c>
      <c r="B1002" t="s">
        <v>87</v>
      </c>
      <c r="C1002">
        <v>7.0000000000000007E-2</v>
      </c>
    </row>
    <row r="1003" spans="1:3" x14ac:dyDescent="0.3">
      <c r="A1003" t="s">
        <v>7260</v>
      </c>
      <c r="B1003" t="s">
        <v>40</v>
      </c>
      <c r="C1003">
        <v>0.1</v>
      </c>
    </row>
    <row r="1004" spans="1:3" x14ac:dyDescent="0.3">
      <c r="A1004" t="s">
        <v>4792</v>
      </c>
      <c r="B1004" t="s">
        <v>40</v>
      </c>
      <c r="C1004">
        <v>0.02</v>
      </c>
    </row>
    <row r="1005" spans="1:3" x14ac:dyDescent="0.3">
      <c r="A1005" t="s">
        <v>4792</v>
      </c>
      <c r="B1005" t="s">
        <v>40</v>
      </c>
      <c r="C1005">
        <v>7.0000000000000007E-2</v>
      </c>
    </row>
    <row r="1006" spans="1:3" x14ac:dyDescent="0.3">
      <c r="A1006" t="s">
        <v>4792</v>
      </c>
      <c r="B1006" t="s">
        <v>40</v>
      </c>
      <c r="C1006">
        <v>0.08</v>
      </c>
    </row>
    <row r="1007" spans="1:3" x14ac:dyDescent="0.3">
      <c r="A1007" t="s">
        <v>15459</v>
      </c>
      <c r="B1007" t="s">
        <v>40</v>
      </c>
      <c r="C1007">
        <v>0.05</v>
      </c>
    </row>
    <row r="1008" spans="1:3" x14ac:dyDescent="0.3">
      <c r="A1008" t="s">
        <v>8612</v>
      </c>
      <c r="B1008" t="s">
        <v>40</v>
      </c>
      <c r="C1008">
        <v>0.06</v>
      </c>
    </row>
    <row r="1009" spans="1:3" x14ac:dyDescent="0.3">
      <c r="A1009" t="s">
        <v>8612</v>
      </c>
      <c r="B1009" t="s">
        <v>29</v>
      </c>
      <c r="C1009">
        <v>0.02</v>
      </c>
    </row>
    <row r="1010" spans="1:3" x14ac:dyDescent="0.3">
      <c r="A1010" t="s">
        <v>8612</v>
      </c>
      <c r="B1010" t="s">
        <v>53</v>
      </c>
      <c r="C1010">
        <v>0.05</v>
      </c>
    </row>
    <row r="1011" spans="1:3" x14ac:dyDescent="0.3">
      <c r="A1011" t="s">
        <v>8612</v>
      </c>
      <c r="B1011" t="s">
        <v>87</v>
      </c>
      <c r="C1011">
        <v>0.06</v>
      </c>
    </row>
    <row r="1012" spans="1:3" x14ac:dyDescent="0.3">
      <c r="A1012" t="s">
        <v>8937</v>
      </c>
      <c r="B1012" t="s">
        <v>53</v>
      </c>
      <c r="C1012">
        <v>0.02</v>
      </c>
    </row>
    <row r="1013" spans="1:3" x14ac:dyDescent="0.3">
      <c r="A1013" t="s">
        <v>10713</v>
      </c>
      <c r="B1013" t="s">
        <v>53</v>
      </c>
      <c r="C1013">
        <v>0.1</v>
      </c>
    </row>
    <row r="1014" spans="1:3" x14ac:dyDescent="0.3">
      <c r="A1014" t="s">
        <v>12561</v>
      </c>
      <c r="B1014" t="s">
        <v>64</v>
      </c>
      <c r="C1014">
        <v>0.08</v>
      </c>
    </row>
    <row r="1015" spans="1:3" x14ac:dyDescent="0.3">
      <c r="A1015" t="s">
        <v>12561</v>
      </c>
      <c r="B1015" t="s">
        <v>64</v>
      </c>
      <c r="C1015">
        <v>0.1</v>
      </c>
    </row>
    <row r="1016" spans="1:3" x14ac:dyDescent="0.3">
      <c r="A1016" t="s">
        <v>2768</v>
      </c>
      <c r="B1016" t="s">
        <v>53</v>
      </c>
      <c r="C1016">
        <v>0.03</v>
      </c>
    </row>
    <row r="1017" spans="1:3" x14ac:dyDescent="0.3">
      <c r="A1017" t="s">
        <v>2768</v>
      </c>
      <c r="B1017" t="s">
        <v>53</v>
      </c>
      <c r="C1017">
        <v>0.04</v>
      </c>
    </row>
    <row r="1018" spans="1:3" x14ac:dyDescent="0.3">
      <c r="A1018" t="s">
        <v>2768</v>
      </c>
      <c r="B1018" t="s">
        <v>53</v>
      </c>
      <c r="C1018">
        <v>7.0000000000000007E-2</v>
      </c>
    </row>
    <row r="1019" spans="1:3" x14ac:dyDescent="0.3">
      <c r="A1019" t="s">
        <v>5825</v>
      </c>
      <c r="B1019" t="s">
        <v>53</v>
      </c>
      <c r="C1019">
        <v>0.03</v>
      </c>
    </row>
    <row r="1020" spans="1:3" x14ac:dyDescent="0.3">
      <c r="A1020" t="s">
        <v>5825</v>
      </c>
      <c r="B1020" t="s">
        <v>53</v>
      </c>
      <c r="C1020">
        <v>7.0000000000000007E-2</v>
      </c>
    </row>
    <row r="1021" spans="1:3" x14ac:dyDescent="0.3">
      <c r="A1021" t="s">
        <v>5457</v>
      </c>
      <c r="B1021" t="s">
        <v>53</v>
      </c>
      <c r="C1021">
        <v>0.04</v>
      </c>
    </row>
    <row r="1022" spans="1:3" x14ac:dyDescent="0.3">
      <c r="A1022" t="s">
        <v>2795</v>
      </c>
      <c r="B1022" t="s">
        <v>87</v>
      </c>
      <c r="C1022">
        <v>0.01</v>
      </c>
    </row>
    <row r="1023" spans="1:3" x14ac:dyDescent="0.3">
      <c r="A1023" t="s">
        <v>13068</v>
      </c>
      <c r="B1023" t="s">
        <v>225</v>
      </c>
      <c r="C1023">
        <v>0.03</v>
      </c>
    </row>
    <row r="1024" spans="1:3" x14ac:dyDescent="0.3">
      <c r="A1024" t="s">
        <v>13068</v>
      </c>
      <c r="B1024" t="s">
        <v>225</v>
      </c>
      <c r="C1024">
        <v>7.0000000000000007E-2</v>
      </c>
    </row>
    <row r="1025" spans="1:3" x14ac:dyDescent="0.3">
      <c r="A1025" t="s">
        <v>10462</v>
      </c>
      <c r="B1025" t="s">
        <v>225</v>
      </c>
      <c r="C1025">
        <v>0.03</v>
      </c>
    </row>
    <row r="1026" spans="1:3" x14ac:dyDescent="0.3">
      <c r="A1026" t="s">
        <v>10462</v>
      </c>
      <c r="B1026" t="s">
        <v>53</v>
      </c>
      <c r="C1026">
        <v>0.01</v>
      </c>
    </row>
    <row r="1027" spans="1:3" x14ac:dyDescent="0.3">
      <c r="A1027" t="s">
        <v>10462</v>
      </c>
      <c r="B1027" t="s">
        <v>53</v>
      </c>
      <c r="C1027">
        <v>0.08</v>
      </c>
    </row>
    <row r="1028" spans="1:3" x14ac:dyDescent="0.3">
      <c r="A1028" t="s">
        <v>15283</v>
      </c>
      <c r="B1028" t="s">
        <v>87</v>
      </c>
      <c r="C1028">
        <v>0.06</v>
      </c>
    </row>
    <row r="1029" spans="1:3" x14ac:dyDescent="0.3">
      <c r="A1029" t="s">
        <v>6902</v>
      </c>
      <c r="B1029" t="s">
        <v>53</v>
      </c>
      <c r="C1029">
        <v>7.0000000000000007E-2</v>
      </c>
    </row>
    <row r="1030" spans="1:3" x14ac:dyDescent="0.3">
      <c r="A1030" t="s">
        <v>9909</v>
      </c>
      <c r="B1030" t="s">
        <v>53</v>
      </c>
      <c r="C1030">
        <v>0.01</v>
      </c>
    </row>
    <row r="1031" spans="1:3" x14ac:dyDescent="0.3">
      <c r="A1031" t="s">
        <v>2812</v>
      </c>
      <c r="B1031" t="s">
        <v>53</v>
      </c>
      <c r="C1031">
        <v>0.05</v>
      </c>
    </row>
    <row r="1032" spans="1:3" x14ac:dyDescent="0.3">
      <c r="A1032" t="s">
        <v>6791</v>
      </c>
      <c r="B1032" t="s">
        <v>53</v>
      </c>
      <c r="C1032">
        <v>0.09</v>
      </c>
    </row>
    <row r="1033" spans="1:3" x14ac:dyDescent="0.3">
      <c r="A1033" t="s">
        <v>13974</v>
      </c>
      <c r="B1033" t="s">
        <v>40</v>
      </c>
      <c r="C1033">
        <v>0.09</v>
      </c>
    </row>
    <row r="1034" spans="1:3" x14ac:dyDescent="0.3">
      <c r="A1034" t="s">
        <v>3642</v>
      </c>
      <c r="B1034" t="s">
        <v>29</v>
      </c>
      <c r="C1034">
        <v>0.02</v>
      </c>
    </row>
    <row r="1035" spans="1:3" x14ac:dyDescent="0.3">
      <c r="A1035" t="s">
        <v>3642</v>
      </c>
      <c r="B1035" t="s">
        <v>29</v>
      </c>
      <c r="C1035">
        <v>0.1</v>
      </c>
    </row>
    <row r="1036" spans="1:3" x14ac:dyDescent="0.3">
      <c r="A1036" t="s">
        <v>12086</v>
      </c>
      <c r="B1036" t="s">
        <v>40</v>
      </c>
      <c r="C1036">
        <v>0</v>
      </c>
    </row>
    <row r="1037" spans="1:3" x14ac:dyDescent="0.3">
      <c r="A1037" t="s">
        <v>12086</v>
      </c>
      <c r="B1037" t="s">
        <v>40</v>
      </c>
      <c r="C1037">
        <v>7.0000000000000007E-2</v>
      </c>
    </row>
    <row r="1038" spans="1:3" x14ac:dyDescent="0.3">
      <c r="A1038" t="s">
        <v>2873</v>
      </c>
      <c r="B1038" t="s">
        <v>40</v>
      </c>
      <c r="C1038">
        <v>0.01</v>
      </c>
    </row>
    <row r="1039" spans="1:3" x14ac:dyDescent="0.3">
      <c r="A1039" t="s">
        <v>2873</v>
      </c>
      <c r="B1039" t="s">
        <v>225</v>
      </c>
      <c r="C1039">
        <v>0.03</v>
      </c>
    </row>
    <row r="1040" spans="1:3" x14ac:dyDescent="0.3">
      <c r="A1040" t="s">
        <v>2873</v>
      </c>
      <c r="B1040" t="s">
        <v>29</v>
      </c>
      <c r="C1040">
        <v>0.06</v>
      </c>
    </row>
    <row r="1041" spans="1:3" x14ac:dyDescent="0.3">
      <c r="A1041" t="s">
        <v>8566</v>
      </c>
      <c r="B1041" t="s">
        <v>64</v>
      </c>
      <c r="C1041">
        <v>0.06</v>
      </c>
    </row>
    <row r="1042" spans="1:3" x14ac:dyDescent="0.3">
      <c r="A1042" t="s">
        <v>12955</v>
      </c>
      <c r="B1042" t="s">
        <v>87</v>
      </c>
      <c r="C1042">
        <v>0.04</v>
      </c>
    </row>
    <row r="1043" spans="1:3" x14ac:dyDescent="0.3">
      <c r="A1043" t="s">
        <v>13419</v>
      </c>
      <c r="B1043" t="s">
        <v>64</v>
      </c>
      <c r="C1043">
        <v>0</v>
      </c>
    </row>
    <row r="1044" spans="1:3" x14ac:dyDescent="0.3">
      <c r="A1044" t="s">
        <v>12368</v>
      </c>
      <c r="B1044" t="s">
        <v>225</v>
      </c>
      <c r="C1044">
        <v>0.04</v>
      </c>
    </row>
    <row r="1045" spans="1:3" x14ac:dyDescent="0.3">
      <c r="A1045" t="s">
        <v>12368</v>
      </c>
      <c r="B1045" t="s">
        <v>225</v>
      </c>
      <c r="C1045">
        <v>0.05</v>
      </c>
    </row>
    <row r="1046" spans="1:3" x14ac:dyDescent="0.3">
      <c r="A1046" t="s">
        <v>9961</v>
      </c>
      <c r="B1046" t="s">
        <v>225</v>
      </c>
      <c r="C1046">
        <v>0.09</v>
      </c>
    </row>
    <row r="1047" spans="1:3" x14ac:dyDescent="0.3">
      <c r="A1047" t="s">
        <v>10996</v>
      </c>
      <c r="B1047" t="s">
        <v>40</v>
      </c>
      <c r="C1047">
        <v>0.08</v>
      </c>
    </row>
    <row r="1048" spans="1:3" x14ac:dyDescent="0.3">
      <c r="A1048" t="s">
        <v>10996</v>
      </c>
      <c r="B1048" t="s">
        <v>40</v>
      </c>
      <c r="C1048">
        <v>0.1</v>
      </c>
    </row>
    <row r="1049" spans="1:3" x14ac:dyDescent="0.3">
      <c r="A1049" t="s">
        <v>2864</v>
      </c>
      <c r="B1049" t="s">
        <v>64</v>
      </c>
      <c r="C1049">
        <v>0</v>
      </c>
    </row>
    <row r="1050" spans="1:3" x14ac:dyDescent="0.3">
      <c r="A1050" t="s">
        <v>2864</v>
      </c>
      <c r="B1050" t="s">
        <v>64</v>
      </c>
      <c r="C1050">
        <v>0.05</v>
      </c>
    </row>
    <row r="1051" spans="1:3" x14ac:dyDescent="0.3">
      <c r="A1051" t="s">
        <v>2864</v>
      </c>
      <c r="B1051" t="s">
        <v>87</v>
      </c>
      <c r="C1051">
        <v>0.08</v>
      </c>
    </row>
    <row r="1052" spans="1:3" x14ac:dyDescent="0.3">
      <c r="A1052" t="s">
        <v>7987</v>
      </c>
      <c r="B1052" t="s">
        <v>40</v>
      </c>
      <c r="C1052">
        <v>0.02</v>
      </c>
    </row>
    <row r="1053" spans="1:3" x14ac:dyDescent="0.3">
      <c r="A1053" t="s">
        <v>7987</v>
      </c>
      <c r="B1053" t="s">
        <v>40</v>
      </c>
      <c r="C1053">
        <v>7.0000000000000007E-2</v>
      </c>
    </row>
    <row r="1054" spans="1:3" x14ac:dyDescent="0.3">
      <c r="A1054" t="s">
        <v>8191</v>
      </c>
      <c r="B1054" t="s">
        <v>53</v>
      </c>
      <c r="C1054">
        <v>0.04</v>
      </c>
    </row>
    <row r="1055" spans="1:3" x14ac:dyDescent="0.3">
      <c r="A1055" t="s">
        <v>2889</v>
      </c>
      <c r="B1055" t="s">
        <v>53</v>
      </c>
      <c r="C1055">
        <v>0.02</v>
      </c>
    </row>
    <row r="1056" spans="1:3" x14ac:dyDescent="0.3">
      <c r="A1056" t="s">
        <v>13758</v>
      </c>
      <c r="B1056" t="s">
        <v>64</v>
      </c>
      <c r="C1056">
        <v>0.02</v>
      </c>
    </row>
    <row r="1057" spans="1:3" x14ac:dyDescent="0.3">
      <c r="A1057" t="s">
        <v>6941</v>
      </c>
      <c r="B1057" t="s">
        <v>40</v>
      </c>
      <c r="C1057">
        <v>0</v>
      </c>
    </row>
    <row r="1058" spans="1:3" x14ac:dyDescent="0.3">
      <c r="A1058" t="s">
        <v>5302</v>
      </c>
      <c r="B1058" t="s">
        <v>40</v>
      </c>
      <c r="C1058">
        <v>0.04</v>
      </c>
    </row>
    <row r="1059" spans="1:3" x14ac:dyDescent="0.3">
      <c r="A1059" t="s">
        <v>13696</v>
      </c>
      <c r="B1059" t="s">
        <v>225</v>
      </c>
      <c r="C1059">
        <v>0.09</v>
      </c>
    </row>
    <row r="1060" spans="1:3" x14ac:dyDescent="0.3">
      <c r="A1060" t="s">
        <v>3476</v>
      </c>
      <c r="B1060" t="s">
        <v>29</v>
      </c>
      <c r="C1060">
        <v>0.03</v>
      </c>
    </row>
    <row r="1061" spans="1:3" x14ac:dyDescent="0.3">
      <c r="A1061" t="s">
        <v>3476</v>
      </c>
      <c r="B1061" t="s">
        <v>29</v>
      </c>
      <c r="C1061">
        <v>7.0000000000000007E-2</v>
      </c>
    </row>
    <row r="1062" spans="1:3" x14ac:dyDescent="0.3">
      <c r="A1062" t="s">
        <v>9171</v>
      </c>
      <c r="B1062" t="s">
        <v>225</v>
      </c>
      <c r="C1062">
        <v>0.01</v>
      </c>
    </row>
    <row r="1063" spans="1:3" x14ac:dyDescent="0.3">
      <c r="A1063" t="s">
        <v>15178</v>
      </c>
      <c r="B1063" t="s">
        <v>53</v>
      </c>
      <c r="C1063">
        <v>0.08</v>
      </c>
    </row>
    <row r="1064" spans="1:3" x14ac:dyDescent="0.3">
      <c r="A1064" t="s">
        <v>15178</v>
      </c>
      <c r="B1064" t="s">
        <v>53</v>
      </c>
      <c r="C1064">
        <v>0.09</v>
      </c>
    </row>
    <row r="1065" spans="1:3" x14ac:dyDescent="0.3">
      <c r="A1065" t="s">
        <v>15098</v>
      </c>
      <c r="B1065" t="s">
        <v>53</v>
      </c>
      <c r="C1065">
        <v>0.04</v>
      </c>
    </row>
    <row r="1066" spans="1:3" x14ac:dyDescent="0.3">
      <c r="A1066" t="s">
        <v>15098</v>
      </c>
      <c r="B1066" t="s">
        <v>53</v>
      </c>
      <c r="C1066">
        <v>0.05</v>
      </c>
    </row>
    <row r="1067" spans="1:3" x14ac:dyDescent="0.3">
      <c r="A1067" t="s">
        <v>15403</v>
      </c>
      <c r="B1067" t="s">
        <v>29</v>
      </c>
      <c r="C1067">
        <v>0.04</v>
      </c>
    </row>
    <row r="1068" spans="1:3" x14ac:dyDescent="0.3">
      <c r="A1068" t="s">
        <v>15403</v>
      </c>
      <c r="B1068" t="s">
        <v>29</v>
      </c>
      <c r="C1068">
        <v>0.08</v>
      </c>
    </row>
    <row r="1069" spans="1:3" x14ac:dyDescent="0.3">
      <c r="A1069" t="s">
        <v>11267</v>
      </c>
      <c r="B1069" t="s">
        <v>29</v>
      </c>
      <c r="C1069">
        <v>0.06</v>
      </c>
    </row>
    <row r="1070" spans="1:3" x14ac:dyDescent="0.3">
      <c r="A1070" t="s">
        <v>3790</v>
      </c>
      <c r="B1070" t="s">
        <v>87</v>
      </c>
      <c r="C1070">
        <v>0.06</v>
      </c>
    </row>
    <row r="1071" spans="1:3" x14ac:dyDescent="0.3">
      <c r="A1071" t="s">
        <v>7123</v>
      </c>
      <c r="B1071" t="s">
        <v>40</v>
      </c>
      <c r="C1071">
        <v>0</v>
      </c>
    </row>
    <row r="1072" spans="1:3" x14ac:dyDescent="0.3">
      <c r="A1072" t="s">
        <v>5855</v>
      </c>
      <c r="B1072" t="s">
        <v>87</v>
      </c>
      <c r="C1072">
        <v>0.08</v>
      </c>
    </row>
    <row r="1073" spans="1:3" x14ac:dyDescent="0.3">
      <c r="A1073" t="s">
        <v>4149</v>
      </c>
      <c r="B1073" t="s">
        <v>87</v>
      </c>
      <c r="C1073">
        <v>0.09</v>
      </c>
    </row>
    <row r="1074" spans="1:3" x14ac:dyDescent="0.3">
      <c r="A1074" t="s">
        <v>6366</v>
      </c>
      <c r="B1074" t="s">
        <v>40</v>
      </c>
      <c r="C1074">
        <v>7.0000000000000007E-2</v>
      </c>
    </row>
    <row r="1075" spans="1:3" x14ac:dyDescent="0.3">
      <c r="A1075" t="s">
        <v>3006</v>
      </c>
      <c r="B1075" t="s">
        <v>225</v>
      </c>
      <c r="C1075">
        <v>0.03</v>
      </c>
    </row>
    <row r="1076" spans="1:3" x14ac:dyDescent="0.3">
      <c r="A1076" t="s">
        <v>3006</v>
      </c>
      <c r="B1076" t="s">
        <v>225</v>
      </c>
      <c r="C1076">
        <v>0.1</v>
      </c>
    </row>
    <row r="1077" spans="1:3" x14ac:dyDescent="0.3">
      <c r="A1077" t="s">
        <v>10197</v>
      </c>
      <c r="B1077" t="s">
        <v>64</v>
      </c>
      <c r="C1077">
        <v>0.01</v>
      </c>
    </row>
    <row r="1078" spans="1:3" x14ac:dyDescent="0.3">
      <c r="A1078" t="s">
        <v>10197</v>
      </c>
      <c r="B1078" t="s">
        <v>64</v>
      </c>
      <c r="C1078">
        <v>0.04</v>
      </c>
    </row>
    <row r="1079" spans="1:3" x14ac:dyDescent="0.3">
      <c r="A1079" t="s">
        <v>11489</v>
      </c>
      <c r="B1079" t="s">
        <v>64</v>
      </c>
      <c r="C1079">
        <v>0</v>
      </c>
    </row>
    <row r="1080" spans="1:3" x14ac:dyDescent="0.3">
      <c r="A1080" t="s">
        <v>11489</v>
      </c>
      <c r="B1080" t="s">
        <v>64</v>
      </c>
      <c r="C1080">
        <v>0.04</v>
      </c>
    </row>
    <row r="1081" spans="1:3" x14ac:dyDescent="0.3">
      <c r="A1081" t="s">
        <v>13566</v>
      </c>
      <c r="B1081" t="s">
        <v>225</v>
      </c>
      <c r="C1081">
        <v>0.09</v>
      </c>
    </row>
    <row r="1082" spans="1:3" x14ac:dyDescent="0.3">
      <c r="A1082" t="s">
        <v>5872</v>
      </c>
      <c r="B1082" t="s">
        <v>87</v>
      </c>
      <c r="C1082">
        <v>0.09</v>
      </c>
    </row>
    <row r="1083" spans="1:3" x14ac:dyDescent="0.3">
      <c r="A1083" t="s">
        <v>8675</v>
      </c>
      <c r="B1083" t="s">
        <v>29</v>
      </c>
      <c r="C1083">
        <v>0</v>
      </c>
    </row>
    <row r="1084" spans="1:3" x14ac:dyDescent="0.3">
      <c r="A1084" t="s">
        <v>15032</v>
      </c>
      <c r="B1084" t="s">
        <v>40</v>
      </c>
      <c r="C1084">
        <v>0.05</v>
      </c>
    </row>
    <row r="1085" spans="1:3" x14ac:dyDescent="0.3">
      <c r="A1085" t="s">
        <v>12424</v>
      </c>
      <c r="B1085" t="s">
        <v>87</v>
      </c>
      <c r="C1085">
        <v>0.01</v>
      </c>
    </row>
    <row r="1086" spans="1:3" x14ac:dyDescent="0.3">
      <c r="A1086" t="s">
        <v>13493</v>
      </c>
      <c r="B1086" t="s">
        <v>87</v>
      </c>
      <c r="C1086">
        <v>0.04</v>
      </c>
    </row>
    <row r="1087" spans="1:3" x14ac:dyDescent="0.3">
      <c r="A1087" t="s">
        <v>15393</v>
      </c>
      <c r="B1087" t="s">
        <v>40</v>
      </c>
      <c r="C1087">
        <v>0.03</v>
      </c>
    </row>
    <row r="1088" spans="1:3" x14ac:dyDescent="0.3">
      <c r="A1088" t="s">
        <v>10348</v>
      </c>
      <c r="B1088" t="s">
        <v>29</v>
      </c>
      <c r="C1088">
        <v>0.09</v>
      </c>
    </row>
    <row r="1089" spans="1:3" x14ac:dyDescent="0.3">
      <c r="A1089" t="s">
        <v>10348</v>
      </c>
      <c r="B1089" t="s">
        <v>53</v>
      </c>
      <c r="C1089">
        <v>0.01</v>
      </c>
    </row>
    <row r="1090" spans="1:3" x14ac:dyDescent="0.3">
      <c r="A1090" t="s">
        <v>10348</v>
      </c>
      <c r="B1090" t="s">
        <v>53</v>
      </c>
      <c r="C1090">
        <v>0.05</v>
      </c>
    </row>
    <row r="1091" spans="1:3" x14ac:dyDescent="0.3">
      <c r="A1091" t="s">
        <v>14410</v>
      </c>
      <c r="B1091" t="s">
        <v>225</v>
      </c>
      <c r="C1091">
        <v>0.03</v>
      </c>
    </row>
    <row r="1092" spans="1:3" x14ac:dyDescent="0.3">
      <c r="A1092" t="s">
        <v>3077</v>
      </c>
      <c r="B1092" t="s">
        <v>225</v>
      </c>
      <c r="C1092">
        <v>0.01</v>
      </c>
    </row>
    <row r="1093" spans="1:3" x14ac:dyDescent="0.3">
      <c r="A1093" t="s">
        <v>11042</v>
      </c>
      <c r="B1093" t="s">
        <v>53</v>
      </c>
      <c r="C1093">
        <v>0.05</v>
      </c>
    </row>
    <row r="1094" spans="1:3" x14ac:dyDescent="0.3">
      <c r="A1094" t="s">
        <v>13524</v>
      </c>
      <c r="B1094" t="s">
        <v>40</v>
      </c>
      <c r="C1094">
        <v>7.0000000000000007E-2</v>
      </c>
    </row>
    <row r="1095" spans="1:3" x14ac:dyDescent="0.3">
      <c r="A1095" t="s">
        <v>11209</v>
      </c>
      <c r="B1095" t="s">
        <v>64</v>
      </c>
      <c r="C1095">
        <v>0.02</v>
      </c>
    </row>
    <row r="1096" spans="1:3" x14ac:dyDescent="0.3">
      <c r="A1096" t="s">
        <v>3103</v>
      </c>
      <c r="B1096" t="s">
        <v>87</v>
      </c>
      <c r="C1096">
        <v>0.01</v>
      </c>
    </row>
    <row r="1097" spans="1:3" x14ac:dyDescent="0.3">
      <c r="A1097" t="s">
        <v>9402</v>
      </c>
      <c r="B1097" t="s">
        <v>87</v>
      </c>
      <c r="C1097">
        <v>0</v>
      </c>
    </row>
    <row r="1098" spans="1:3" x14ac:dyDescent="0.3">
      <c r="A1098" t="s">
        <v>12931</v>
      </c>
      <c r="B1098" t="s">
        <v>87</v>
      </c>
      <c r="C1098">
        <v>0.05</v>
      </c>
    </row>
    <row r="1099" spans="1:3" x14ac:dyDescent="0.3">
      <c r="A1099" t="s">
        <v>10237</v>
      </c>
      <c r="B1099" t="s">
        <v>40</v>
      </c>
      <c r="C1099">
        <v>0</v>
      </c>
    </row>
    <row r="1100" spans="1:3" x14ac:dyDescent="0.3">
      <c r="A1100" t="s">
        <v>11479</v>
      </c>
      <c r="B1100" t="s">
        <v>87</v>
      </c>
      <c r="C1100">
        <v>0.03</v>
      </c>
    </row>
    <row r="1101" spans="1:3" x14ac:dyDescent="0.3">
      <c r="A1101" t="s">
        <v>11479</v>
      </c>
      <c r="B1101" t="s">
        <v>87</v>
      </c>
      <c r="C1101">
        <v>0.09</v>
      </c>
    </row>
    <row r="1102" spans="1:3" x14ac:dyDescent="0.3">
      <c r="A1102" t="s">
        <v>6863</v>
      </c>
      <c r="B1102" t="s">
        <v>40</v>
      </c>
      <c r="C1102">
        <v>0.05</v>
      </c>
    </row>
    <row r="1103" spans="1:3" x14ac:dyDescent="0.3">
      <c r="A1103" t="s">
        <v>15148</v>
      </c>
      <c r="B1103" t="s">
        <v>87</v>
      </c>
      <c r="C1103">
        <v>0.02</v>
      </c>
    </row>
    <row r="1104" spans="1:3" x14ac:dyDescent="0.3">
      <c r="A1104" t="s">
        <v>8365</v>
      </c>
      <c r="B1104" t="s">
        <v>225</v>
      </c>
      <c r="C1104">
        <v>7.0000000000000007E-2</v>
      </c>
    </row>
    <row r="1105" spans="1:3" x14ac:dyDescent="0.3">
      <c r="A1105" t="s">
        <v>9163</v>
      </c>
      <c r="B1105" t="s">
        <v>87</v>
      </c>
      <c r="C1105">
        <v>0.02</v>
      </c>
    </row>
    <row r="1106" spans="1:3" x14ac:dyDescent="0.3">
      <c r="A1106" t="s">
        <v>9163</v>
      </c>
      <c r="B1106" t="s">
        <v>87</v>
      </c>
      <c r="C1106">
        <v>0.04</v>
      </c>
    </row>
    <row r="1107" spans="1:3" x14ac:dyDescent="0.3">
      <c r="A1107" t="s">
        <v>12074</v>
      </c>
      <c r="B1107" t="s">
        <v>64</v>
      </c>
      <c r="C1107">
        <v>0.08</v>
      </c>
    </row>
    <row r="1108" spans="1:3" x14ac:dyDescent="0.3">
      <c r="A1108" t="s">
        <v>12074</v>
      </c>
      <c r="B1108" t="s">
        <v>87</v>
      </c>
      <c r="C1108">
        <v>0.1</v>
      </c>
    </row>
    <row r="1109" spans="1:3" x14ac:dyDescent="0.3">
      <c r="A1109" t="s">
        <v>14738</v>
      </c>
      <c r="B1109" t="s">
        <v>64</v>
      </c>
      <c r="C1109">
        <v>0</v>
      </c>
    </row>
    <row r="1110" spans="1:3" x14ac:dyDescent="0.3">
      <c r="A1110" t="s">
        <v>14738</v>
      </c>
      <c r="B1110" t="s">
        <v>64</v>
      </c>
      <c r="C1110">
        <v>0.08</v>
      </c>
    </row>
    <row r="1111" spans="1:3" x14ac:dyDescent="0.3">
      <c r="A1111" t="s">
        <v>9598</v>
      </c>
      <c r="B1111" t="s">
        <v>87</v>
      </c>
      <c r="C1111">
        <v>0.02</v>
      </c>
    </row>
    <row r="1112" spans="1:3" x14ac:dyDescent="0.3">
      <c r="A1112" t="s">
        <v>10691</v>
      </c>
      <c r="B1112" t="s">
        <v>87</v>
      </c>
      <c r="C1112">
        <v>0.09</v>
      </c>
    </row>
    <row r="1113" spans="1:3" x14ac:dyDescent="0.3">
      <c r="A1113" t="s">
        <v>15394</v>
      </c>
      <c r="B1113" t="s">
        <v>87</v>
      </c>
      <c r="C1113">
        <v>0.06</v>
      </c>
    </row>
    <row r="1114" spans="1:3" x14ac:dyDescent="0.3">
      <c r="A1114" t="s">
        <v>10778</v>
      </c>
      <c r="B1114" t="s">
        <v>87</v>
      </c>
      <c r="C1114">
        <v>0.08</v>
      </c>
    </row>
    <row r="1115" spans="1:3" x14ac:dyDescent="0.3">
      <c r="A1115" t="s">
        <v>4678</v>
      </c>
      <c r="B1115" t="s">
        <v>40</v>
      </c>
      <c r="C1115">
        <v>0.04</v>
      </c>
    </row>
    <row r="1116" spans="1:3" x14ac:dyDescent="0.3">
      <c r="A1116" t="s">
        <v>9032</v>
      </c>
      <c r="B1116" t="s">
        <v>40</v>
      </c>
      <c r="C1116">
        <v>0.04</v>
      </c>
    </row>
    <row r="1117" spans="1:3" x14ac:dyDescent="0.3">
      <c r="A1117" t="s">
        <v>9032</v>
      </c>
      <c r="B1117" t="s">
        <v>87</v>
      </c>
      <c r="C1117">
        <v>0.01</v>
      </c>
    </row>
    <row r="1118" spans="1:3" x14ac:dyDescent="0.3">
      <c r="A1118" t="s">
        <v>9032</v>
      </c>
      <c r="B1118" t="s">
        <v>87</v>
      </c>
      <c r="C1118">
        <v>0.02</v>
      </c>
    </row>
    <row r="1119" spans="1:3" x14ac:dyDescent="0.3">
      <c r="A1119" t="s">
        <v>4936</v>
      </c>
      <c r="B1119" t="s">
        <v>64</v>
      </c>
      <c r="C1119">
        <v>0.01</v>
      </c>
    </row>
    <row r="1120" spans="1:3" x14ac:dyDescent="0.3">
      <c r="A1120" t="s">
        <v>4236</v>
      </c>
      <c r="B1120" t="s">
        <v>53</v>
      </c>
      <c r="C1120">
        <v>0.06</v>
      </c>
    </row>
    <row r="1121" spans="1:3" x14ac:dyDescent="0.3">
      <c r="A1121" t="s">
        <v>4236</v>
      </c>
      <c r="B1121" t="s">
        <v>53</v>
      </c>
      <c r="C1121">
        <v>0.08</v>
      </c>
    </row>
    <row r="1122" spans="1:3" x14ac:dyDescent="0.3">
      <c r="A1122" t="s">
        <v>3166</v>
      </c>
      <c r="B1122" t="s">
        <v>64</v>
      </c>
      <c r="C1122">
        <v>0.02</v>
      </c>
    </row>
    <row r="1123" spans="1:3" x14ac:dyDescent="0.3">
      <c r="A1123" t="s">
        <v>3166</v>
      </c>
      <c r="B1123" t="s">
        <v>64</v>
      </c>
      <c r="C1123">
        <v>0.04</v>
      </c>
    </row>
    <row r="1124" spans="1:3" x14ac:dyDescent="0.3">
      <c r="A1124" t="s">
        <v>4940</v>
      </c>
      <c r="B1124" t="s">
        <v>53</v>
      </c>
      <c r="C1124">
        <v>0.01</v>
      </c>
    </row>
    <row r="1125" spans="1:3" x14ac:dyDescent="0.3">
      <c r="A1125" t="s">
        <v>3624</v>
      </c>
      <c r="B1125" t="s">
        <v>53</v>
      </c>
      <c r="C1125">
        <v>0.02</v>
      </c>
    </row>
    <row r="1126" spans="1:3" x14ac:dyDescent="0.3">
      <c r="A1126" t="s">
        <v>14290</v>
      </c>
      <c r="B1126" t="s">
        <v>64</v>
      </c>
      <c r="C1126">
        <v>0</v>
      </c>
    </row>
    <row r="1127" spans="1:3" x14ac:dyDescent="0.3">
      <c r="A1127" t="s">
        <v>8484</v>
      </c>
      <c r="B1127" t="s">
        <v>40</v>
      </c>
      <c r="C1127">
        <v>0.06</v>
      </c>
    </row>
    <row r="1128" spans="1:3" x14ac:dyDescent="0.3">
      <c r="A1128" t="s">
        <v>8484</v>
      </c>
      <c r="B1128" t="s">
        <v>40</v>
      </c>
      <c r="C1128">
        <v>7.0000000000000007E-2</v>
      </c>
    </row>
    <row r="1129" spans="1:3" x14ac:dyDescent="0.3">
      <c r="A1129" t="s">
        <v>10273</v>
      </c>
      <c r="B1129" t="s">
        <v>225</v>
      </c>
      <c r="C1129">
        <v>7.0000000000000007E-2</v>
      </c>
    </row>
    <row r="1130" spans="1:3" x14ac:dyDescent="0.3">
      <c r="A1130" t="s">
        <v>5103</v>
      </c>
      <c r="B1130" t="s">
        <v>53</v>
      </c>
      <c r="C1130">
        <v>0.1</v>
      </c>
    </row>
    <row r="1131" spans="1:3" x14ac:dyDescent="0.3">
      <c r="A1131" t="s">
        <v>3208</v>
      </c>
      <c r="B1131" t="s">
        <v>29</v>
      </c>
      <c r="C1131">
        <v>0.02</v>
      </c>
    </row>
    <row r="1132" spans="1:3" x14ac:dyDescent="0.3">
      <c r="A1132" t="s">
        <v>3208</v>
      </c>
      <c r="B1132" t="s">
        <v>29</v>
      </c>
      <c r="C1132">
        <v>0.03</v>
      </c>
    </row>
    <row r="1133" spans="1:3" x14ac:dyDescent="0.3">
      <c r="A1133" t="s">
        <v>11277</v>
      </c>
      <c r="B1133" t="s">
        <v>40</v>
      </c>
      <c r="C1133">
        <v>0</v>
      </c>
    </row>
    <row r="1134" spans="1:3" x14ac:dyDescent="0.3">
      <c r="A1134" t="s">
        <v>11277</v>
      </c>
      <c r="B1134" t="s">
        <v>40</v>
      </c>
      <c r="C1134">
        <v>0.09</v>
      </c>
    </row>
    <row r="1135" spans="1:3" x14ac:dyDescent="0.3">
      <c r="A1135" t="s">
        <v>10617</v>
      </c>
      <c r="B1135" t="s">
        <v>29</v>
      </c>
      <c r="C1135">
        <v>0.05</v>
      </c>
    </row>
    <row r="1136" spans="1:3" x14ac:dyDescent="0.3">
      <c r="A1136" t="s">
        <v>5944</v>
      </c>
      <c r="B1136" t="s">
        <v>29</v>
      </c>
      <c r="C1136">
        <v>0.01</v>
      </c>
    </row>
    <row r="1137" spans="1:3" x14ac:dyDescent="0.3">
      <c r="A1137" t="s">
        <v>5944</v>
      </c>
      <c r="B1137" t="s">
        <v>29</v>
      </c>
      <c r="C1137">
        <v>0.06</v>
      </c>
    </row>
    <row r="1138" spans="1:3" x14ac:dyDescent="0.3">
      <c r="A1138" t="s">
        <v>9845</v>
      </c>
      <c r="B1138" t="s">
        <v>40</v>
      </c>
      <c r="C1138">
        <v>0.09</v>
      </c>
    </row>
    <row r="1139" spans="1:3" x14ac:dyDescent="0.3">
      <c r="A1139" t="s">
        <v>3241</v>
      </c>
      <c r="B1139" t="s">
        <v>40</v>
      </c>
      <c r="C1139">
        <v>0.03</v>
      </c>
    </row>
    <row r="1140" spans="1:3" x14ac:dyDescent="0.3">
      <c r="A1140" t="s">
        <v>15538</v>
      </c>
      <c r="B1140" t="s">
        <v>87</v>
      </c>
      <c r="C1140">
        <v>7.0000000000000007E-2</v>
      </c>
    </row>
    <row r="1141" spans="1:3" x14ac:dyDescent="0.3">
      <c r="A1141" t="s">
        <v>11720</v>
      </c>
      <c r="B1141" t="s">
        <v>53</v>
      </c>
      <c r="C1141">
        <v>0.02</v>
      </c>
    </row>
    <row r="1142" spans="1:3" x14ac:dyDescent="0.3">
      <c r="A1142" t="s">
        <v>13483</v>
      </c>
      <c r="B1142" t="s">
        <v>87</v>
      </c>
      <c r="C1142">
        <v>0.03</v>
      </c>
    </row>
    <row r="1143" spans="1:3" x14ac:dyDescent="0.3">
      <c r="A1143" t="s">
        <v>13483</v>
      </c>
      <c r="B1143" t="s">
        <v>87</v>
      </c>
      <c r="C1143">
        <v>0.05</v>
      </c>
    </row>
    <row r="1144" spans="1:3" x14ac:dyDescent="0.3">
      <c r="A1144" t="s">
        <v>10686</v>
      </c>
      <c r="B1144" t="s">
        <v>64</v>
      </c>
      <c r="C1144">
        <v>0.05</v>
      </c>
    </row>
    <row r="1145" spans="1:3" x14ac:dyDescent="0.3">
      <c r="A1145" t="s">
        <v>10686</v>
      </c>
      <c r="B1145" t="s">
        <v>64</v>
      </c>
      <c r="C1145">
        <v>0.1</v>
      </c>
    </row>
    <row r="1146" spans="1:3" x14ac:dyDescent="0.3">
      <c r="A1146" t="s">
        <v>8682</v>
      </c>
      <c r="B1146" t="s">
        <v>87</v>
      </c>
      <c r="C1146">
        <v>0.08</v>
      </c>
    </row>
    <row r="1147" spans="1:3" x14ac:dyDescent="0.3">
      <c r="A1147" t="s">
        <v>13156</v>
      </c>
      <c r="B1147" t="s">
        <v>29</v>
      </c>
      <c r="C1147">
        <v>7.0000000000000007E-2</v>
      </c>
    </row>
    <row r="1148" spans="1:3" x14ac:dyDescent="0.3">
      <c r="A1148" t="s">
        <v>11822</v>
      </c>
      <c r="B1148" t="s">
        <v>29</v>
      </c>
      <c r="C1148">
        <v>0.05</v>
      </c>
    </row>
    <row r="1149" spans="1:3" x14ac:dyDescent="0.3">
      <c r="A1149" t="s">
        <v>7812</v>
      </c>
      <c r="B1149" t="s">
        <v>87</v>
      </c>
      <c r="C1149">
        <v>7.0000000000000007E-2</v>
      </c>
    </row>
    <row r="1150" spans="1:3" x14ac:dyDescent="0.3">
      <c r="A1150" t="s">
        <v>7812</v>
      </c>
      <c r="B1150" t="s">
        <v>87</v>
      </c>
      <c r="C1150">
        <v>0.1</v>
      </c>
    </row>
    <row r="1151" spans="1:3" x14ac:dyDescent="0.3">
      <c r="A1151" t="s">
        <v>13075</v>
      </c>
      <c r="B1151" t="s">
        <v>53</v>
      </c>
      <c r="C1151">
        <v>0.02</v>
      </c>
    </row>
    <row r="1152" spans="1:3" x14ac:dyDescent="0.3">
      <c r="A1152" t="s">
        <v>5771</v>
      </c>
      <c r="B1152" t="s">
        <v>29</v>
      </c>
      <c r="C1152">
        <v>0.05</v>
      </c>
    </row>
    <row r="1153" spans="1:3" x14ac:dyDescent="0.3">
      <c r="A1153" t="s">
        <v>3273</v>
      </c>
      <c r="B1153" t="s">
        <v>29</v>
      </c>
      <c r="C1153">
        <v>0.03</v>
      </c>
    </row>
    <row r="1154" spans="1:3" x14ac:dyDescent="0.3">
      <c r="A1154" t="s">
        <v>13335</v>
      </c>
      <c r="B1154" t="s">
        <v>64</v>
      </c>
      <c r="C1154">
        <v>0.08</v>
      </c>
    </row>
    <row r="1155" spans="1:3" x14ac:dyDescent="0.3">
      <c r="A1155" t="s">
        <v>14991</v>
      </c>
      <c r="B1155" t="s">
        <v>64</v>
      </c>
      <c r="C1155">
        <v>0.05</v>
      </c>
    </row>
    <row r="1156" spans="1:3" x14ac:dyDescent="0.3">
      <c r="A1156" t="s">
        <v>3293</v>
      </c>
      <c r="B1156" t="s">
        <v>87</v>
      </c>
      <c r="C1156">
        <v>0.06</v>
      </c>
    </row>
    <row r="1157" spans="1:3" x14ac:dyDescent="0.3">
      <c r="A1157" t="s">
        <v>3293</v>
      </c>
      <c r="B1157" t="s">
        <v>87</v>
      </c>
      <c r="C1157">
        <v>0.09</v>
      </c>
    </row>
    <row r="1158" spans="1:3" x14ac:dyDescent="0.3">
      <c r="A1158" t="s">
        <v>13917</v>
      </c>
      <c r="B1158" t="s">
        <v>64</v>
      </c>
      <c r="C1158">
        <v>0.06</v>
      </c>
    </row>
    <row r="1159" spans="1:3" x14ac:dyDescent="0.3">
      <c r="A1159" t="s">
        <v>5312</v>
      </c>
      <c r="B1159" t="s">
        <v>87</v>
      </c>
      <c r="C1159">
        <v>0.01</v>
      </c>
    </row>
    <row r="1160" spans="1:3" x14ac:dyDescent="0.3">
      <c r="A1160" t="s">
        <v>3317</v>
      </c>
      <c r="B1160" t="s">
        <v>29</v>
      </c>
      <c r="C1160">
        <v>0.05</v>
      </c>
    </row>
    <row r="1161" spans="1:3" x14ac:dyDescent="0.3">
      <c r="A1161" t="s">
        <v>14252</v>
      </c>
      <c r="B1161" t="s">
        <v>29</v>
      </c>
      <c r="C1161">
        <v>0.04</v>
      </c>
    </row>
    <row r="1162" spans="1:3" x14ac:dyDescent="0.3">
      <c r="A1162" t="s">
        <v>5765</v>
      </c>
      <c r="B1162" t="s">
        <v>29</v>
      </c>
      <c r="C1162">
        <v>0.09</v>
      </c>
    </row>
    <row r="1163" spans="1:3" x14ac:dyDescent="0.3">
      <c r="A1163" t="s">
        <v>4542</v>
      </c>
      <c r="B1163" t="s">
        <v>53</v>
      </c>
      <c r="C1163">
        <v>0.04</v>
      </c>
    </row>
    <row r="1164" spans="1:3" x14ac:dyDescent="0.3">
      <c r="A1164" t="s">
        <v>4542</v>
      </c>
      <c r="B1164" t="s">
        <v>53</v>
      </c>
      <c r="C1164">
        <v>0.09</v>
      </c>
    </row>
    <row r="1165" spans="1:3" x14ac:dyDescent="0.3">
      <c r="A1165" t="s">
        <v>9737</v>
      </c>
      <c r="B1165" t="s">
        <v>53</v>
      </c>
      <c r="C1165">
        <v>0.01</v>
      </c>
    </row>
    <row r="1166" spans="1:3" x14ac:dyDescent="0.3">
      <c r="A1166" t="s">
        <v>9737</v>
      </c>
      <c r="B1166" t="s">
        <v>53</v>
      </c>
      <c r="C1166">
        <v>0.03</v>
      </c>
    </row>
    <row r="1167" spans="1:3" x14ac:dyDescent="0.3">
      <c r="A1167" t="s">
        <v>10694</v>
      </c>
      <c r="B1167" t="s">
        <v>64</v>
      </c>
      <c r="C1167">
        <v>0.04</v>
      </c>
    </row>
    <row r="1168" spans="1:3" x14ac:dyDescent="0.3">
      <c r="A1168" t="s">
        <v>9558</v>
      </c>
      <c r="B1168" t="s">
        <v>64</v>
      </c>
      <c r="C1168">
        <v>0.02</v>
      </c>
    </row>
    <row r="1169" spans="1:3" x14ac:dyDescent="0.3">
      <c r="A1169" t="s">
        <v>9558</v>
      </c>
      <c r="B1169" t="s">
        <v>64</v>
      </c>
      <c r="C1169">
        <v>0.09</v>
      </c>
    </row>
    <row r="1170" spans="1:3" x14ac:dyDescent="0.3">
      <c r="A1170" t="s">
        <v>4580</v>
      </c>
      <c r="B1170" t="s">
        <v>87</v>
      </c>
      <c r="C1170">
        <v>0.06</v>
      </c>
    </row>
    <row r="1171" spans="1:3" x14ac:dyDescent="0.3">
      <c r="A1171" t="s">
        <v>4185</v>
      </c>
      <c r="B1171" t="s">
        <v>87</v>
      </c>
      <c r="C1171">
        <v>0.02</v>
      </c>
    </row>
    <row r="1172" spans="1:3" x14ac:dyDescent="0.3">
      <c r="A1172" t="s">
        <v>4185</v>
      </c>
      <c r="B1172" t="s">
        <v>87</v>
      </c>
      <c r="C1172">
        <v>0.03</v>
      </c>
    </row>
    <row r="1173" spans="1:3" x14ac:dyDescent="0.3">
      <c r="A1173" t="s">
        <v>4185</v>
      </c>
      <c r="B1173" t="s">
        <v>87</v>
      </c>
      <c r="C1173">
        <v>0.05</v>
      </c>
    </row>
    <row r="1174" spans="1:3" x14ac:dyDescent="0.3">
      <c r="A1174" t="s">
        <v>3362</v>
      </c>
      <c r="B1174" t="s">
        <v>40</v>
      </c>
      <c r="C1174">
        <v>0.01</v>
      </c>
    </row>
    <row r="1175" spans="1:3" x14ac:dyDescent="0.3">
      <c r="A1175" t="s">
        <v>3362</v>
      </c>
      <c r="B1175" t="s">
        <v>64</v>
      </c>
      <c r="C1175">
        <v>0.1</v>
      </c>
    </row>
    <row r="1176" spans="1:3" x14ac:dyDescent="0.3">
      <c r="A1176" t="s">
        <v>7122</v>
      </c>
      <c r="B1176" t="s">
        <v>40</v>
      </c>
      <c r="C1176">
        <v>0</v>
      </c>
    </row>
    <row r="1177" spans="1:3" x14ac:dyDescent="0.3">
      <c r="A1177" t="s">
        <v>7122</v>
      </c>
      <c r="B1177" t="s">
        <v>40</v>
      </c>
      <c r="C1177">
        <v>0.05</v>
      </c>
    </row>
    <row r="1178" spans="1:3" x14ac:dyDescent="0.3">
      <c r="A1178" t="s">
        <v>7122</v>
      </c>
      <c r="B1178" t="s">
        <v>40</v>
      </c>
      <c r="C1178">
        <v>0.09</v>
      </c>
    </row>
    <row r="1179" spans="1:3" x14ac:dyDescent="0.3">
      <c r="A1179" t="s">
        <v>8817</v>
      </c>
      <c r="B1179" t="s">
        <v>225</v>
      </c>
      <c r="C1179">
        <v>0.05</v>
      </c>
    </row>
    <row r="1180" spans="1:3" x14ac:dyDescent="0.3">
      <c r="A1180" t="s">
        <v>3373</v>
      </c>
      <c r="B1180" t="s">
        <v>225</v>
      </c>
      <c r="C1180">
        <v>7.0000000000000007E-2</v>
      </c>
    </row>
    <row r="1181" spans="1:3" x14ac:dyDescent="0.3">
      <c r="A1181" t="s">
        <v>6733</v>
      </c>
      <c r="B1181" t="s">
        <v>225</v>
      </c>
      <c r="C1181">
        <v>0.09</v>
      </c>
    </row>
    <row r="1182" spans="1:3" x14ac:dyDescent="0.3">
      <c r="A1182" t="s">
        <v>3379</v>
      </c>
      <c r="B1182" t="s">
        <v>64</v>
      </c>
      <c r="C1182">
        <v>0.01</v>
      </c>
    </row>
    <row r="1183" spans="1:3" x14ac:dyDescent="0.3">
      <c r="A1183" t="s">
        <v>13930</v>
      </c>
      <c r="B1183" t="s">
        <v>64</v>
      </c>
      <c r="C1183">
        <v>7.0000000000000007E-2</v>
      </c>
    </row>
    <row r="1184" spans="1:3" x14ac:dyDescent="0.3">
      <c r="A1184" t="s">
        <v>9818</v>
      </c>
      <c r="B1184" t="s">
        <v>225</v>
      </c>
      <c r="C1184">
        <v>0.03</v>
      </c>
    </row>
    <row r="1185" spans="1:3" x14ac:dyDescent="0.3">
      <c r="A1185" t="s">
        <v>9818</v>
      </c>
      <c r="B1185" t="s">
        <v>225</v>
      </c>
      <c r="C1185">
        <v>0.1</v>
      </c>
    </row>
    <row r="1186" spans="1:3" x14ac:dyDescent="0.3">
      <c r="A1186" t="s">
        <v>3723</v>
      </c>
      <c r="B1186" t="s">
        <v>87</v>
      </c>
      <c r="C1186">
        <v>0.01</v>
      </c>
    </row>
    <row r="1187" spans="1:3" x14ac:dyDescent="0.3">
      <c r="A1187" t="s">
        <v>3723</v>
      </c>
      <c r="B1187" t="s">
        <v>87</v>
      </c>
      <c r="C1187">
        <v>0.04</v>
      </c>
    </row>
    <row r="1188" spans="1:3" x14ac:dyDescent="0.3">
      <c r="A1188" t="s">
        <v>5850</v>
      </c>
      <c r="B1188" t="s">
        <v>87</v>
      </c>
      <c r="C1188">
        <v>0.02</v>
      </c>
    </row>
    <row r="1189" spans="1:3" x14ac:dyDescent="0.3">
      <c r="A1189" t="s">
        <v>5850</v>
      </c>
      <c r="B1189" t="s">
        <v>87</v>
      </c>
      <c r="C1189">
        <v>0.05</v>
      </c>
    </row>
    <row r="1190" spans="1:3" x14ac:dyDescent="0.3">
      <c r="A1190" t="s">
        <v>9958</v>
      </c>
      <c r="B1190" t="s">
        <v>87</v>
      </c>
      <c r="C1190">
        <v>0.08</v>
      </c>
    </row>
    <row r="1191" spans="1:3" x14ac:dyDescent="0.3">
      <c r="A1191" t="s">
        <v>3461</v>
      </c>
      <c r="B1191" t="s">
        <v>64</v>
      </c>
      <c r="C1191">
        <v>0.02</v>
      </c>
    </row>
    <row r="1192" spans="1:3" x14ac:dyDescent="0.3">
      <c r="A1192" t="s">
        <v>3461</v>
      </c>
      <c r="B1192" t="s">
        <v>64</v>
      </c>
      <c r="C1192">
        <v>0.06</v>
      </c>
    </row>
    <row r="1193" spans="1:3" x14ac:dyDescent="0.3">
      <c r="A1193" t="s">
        <v>3438</v>
      </c>
      <c r="B1193" t="s">
        <v>64</v>
      </c>
      <c r="C1193">
        <v>0.09</v>
      </c>
    </row>
    <row r="1194" spans="1:3" x14ac:dyDescent="0.3">
      <c r="A1194" t="s">
        <v>10956</v>
      </c>
      <c r="B1194" t="s">
        <v>40</v>
      </c>
      <c r="C1194">
        <v>0.09</v>
      </c>
    </row>
    <row r="1195" spans="1:3" x14ac:dyDescent="0.3">
      <c r="A1195" t="s">
        <v>8242</v>
      </c>
      <c r="B1195" t="s">
        <v>87</v>
      </c>
      <c r="C1195">
        <v>0</v>
      </c>
    </row>
    <row r="1196" spans="1:3" x14ac:dyDescent="0.3">
      <c r="A1196" t="s">
        <v>14881</v>
      </c>
      <c r="B1196" t="s">
        <v>40</v>
      </c>
      <c r="C1196">
        <v>0.03</v>
      </c>
    </row>
    <row r="1197" spans="1:3" x14ac:dyDescent="0.3">
      <c r="A1197" t="s">
        <v>14881</v>
      </c>
      <c r="B1197" t="s">
        <v>40</v>
      </c>
      <c r="C1197">
        <v>7.0000000000000007E-2</v>
      </c>
    </row>
    <row r="1198" spans="1:3" x14ac:dyDescent="0.3">
      <c r="A1198" t="s">
        <v>14881</v>
      </c>
      <c r="B1198" t="s">
        <v>40</v>
      </c>
      <c r="C1198">
        <v>0.09</v>
      </c>
    </row>
    <row r="1199" spans="1:3" x14ac:dyDescent="0.3">
      <c r="A1199" t="s">
        <v>3464</v>
      </c>
      <c r="B1199" t="s">
        <v>64</v>
      </c>
      <c r="C1199">
        <v>0.01</v>
      </c>
    </row>
    <row r="1200" spans="1:3" x14ac:dyDescent="0.3">
      <c r="A1200" t="s">
        <v>3464</v>
      </c>
      <c r="B1200" t="s">
        <v>29</v>
      </c>
      <c r="C1200">
        <v>0.04</v>
      </c>
    </row>
    <row r="1201" spans="1:3" x14ac:dyDescent="0.3">
      <c r="A1201" t="s">
        <v>15451</v>
      </c>
      <c r="B1201" t="s">
        <v>87</v>
      </c>
      <c r="C1201">
        <v>0.03</v>
      </c>
    </row>
    <row r="1202" spans="1:3" x14ac:dyDescent="0.3">
      <c r="A1202" t="s">
        <v>15451</v>
      </c>
      <c r="B1202" t="s">
        <v>87</v>
      </c>
      <c r="C1202">
        <v>0.1</v>
      </c>
    </row>
    <row r="1203" spans="1:3" x14ac:dyDescent="0.3">
      <c r="A1203" t="s">
        <v>4150</v>
      </c>
      <c r="B1203" t="s">
        <v>87</v>
      </c>
      <c r="C1203">
        <v>0.03</v>
      </c>
    </row>
    <row r="1204" spans="1:3" x14ac:dyDescent="0.3">
      <c r="A1204" t="s">
        <v>4150</v>
      </c>
      <c r="B1204" t="s">
        <v>87</v>
      </c>
      <c r="C1204">
        <v>0.1</v>
      </c>
    </row>
    <row r="1205" spans="1:3" x14ac:dyDescent="0.3">
      <c r="A1205" t="s">
        <v>11654</v>
      </c>
      <c r="B1205" t="s">
        <v>40</v>
      </c>
      <c r="C1205">
        <v>0</v>
      </c>
    </row>
    <row r="1206" spans="1:3" x14ac:dyDescent="0.3">
      <c r="A1206" t="s">
        <v>11654</v>
      </c>
      <c r="B1206" t="s">
        <v>40</v>
      </c>
      <c r="C1206">
        <v>0.08</v>
      </c>
    </row>
    <row r="1207" spans="1:3" x14ac:dyDescent="0.3">
      <c r="A1207" t="s">
        <v>8319</v>
      </c>
      <c r="B1207" t="s">
        <v>225</v>
      </c>
      <c r="C1207">
        <v>0.1</v>
      </c>
    </row>
    <row r="1208" spans="1:3" x14ac:dyDescent="0.3">
      <c r="A1208" t="s">
        <v>9156</v>
      </c>
      <c r="B1208" t="s">
        <v>225</v>
      </c>
      <c r="C1208">
        <v>0.08</v>
      </c>
    </row>
    <row r="1209" spans="1:3" x14ac:dyDescent="0.3">
      <c r="A1209" t="s">
        <v>3505</v>
      </c>
      <c r="B1209" t="s">
        <v>225</v>
      </c>
      <c r="C1209">
        <v>0</v>
      </c>
    </row>
    <row r="1210" spans="1:3" x14ac:dyDescent="0.3">
      <c r="A1210" t="s">
        <v>3505</v>
      </c>
      <c r="B1210" t="s">
        <v>225</v>
      </c>
      <c r="C1210">
        <v>0.08</v>
      </c>
    </row>
    <row r="1211" spans="1:3" x14ac:dyDescent="0.3">
      <c r="A1211" t="s">
        <v>12016</v>
      </c>
      <c r="B1211" t="s">
        <v>29</v>
      </c>
      <c r="C1211">
        <v>0.08</v>
      </c>
    </row>
    <row r="1212" spans="1:3" x14ac:dyDescent="0.3">
      <c r="A1212" t="s">
        <v>12140</v>
      </c>
      <c r="B1212" t="s">
        <v>29</v>
      </c>
      <c r="C1212">
        <v>0.01</v>
      </c>
    </row>
    <row r="1213" spans="1:3" x14ac:dyDescent="0.3">
      <c r="A1213" t="s">
        <v>12209</v>
      </c>
      <c r="B1213" t="s">
        <v>64</v>
      </c>
      <c r="C1213">
        <v>0.03</v>
      </c>
    </row>
    <row r="1214" spans="1:3" x14ac:dyDescent="0.3">
      <c r="A1214" t="s">
        <v>12209</v>
      </c>
      <c r="B1214" t="s">
        <v>64</v>
      </c>
      <c r="C1214">
        <v>0.04</v>
      </c>
    </row>
    <row r="1215" spans="1:3" x14ac:dyDescent="0.3">
      <c r="A1215" t="s">
        <v>11619</v>
      </c>
      <c r="B1215" t="s">
        <v>29</v>
      </c>
      <c r="C1215">
        <v>0.09</v>
      </c>
    </row>
    <row r="1216" spans="1:3" x14ac:dyDescent="0.3">
      <c r="A1216" t="s">
        <v>4730</v>
      </c>
      <c r="B1216" t="s">
        <v>29</v>
      </c>
      <c r="C1216">
        <v>0.06</v>
      </c>
    </row>
    <row r="1217" spans="1:3" x14ac:dyDescent="0.3">
      <c r="A1217" t="s">
        <v>3528</v>
      </c>
      <c r="B1217" t="s">
        <v>87</v>
      </c>
      <c r="C1217">
        <v>0.08</v>
      </c>
    </row>
    <row r="1218" spans="1:3" x14ac:dyDescent="0.3">
      <c r="A1218" t="s">
        <v>7311</v>
      </c>
      <c r="B1218" t="s">
        <v>29</v>
      </c>
      <c r="C1218">
        <v>0.01</v>
      </c>
    </row>
    <row r="1219" spans="1:3" x14ac:dyDescent="0.3">
      <c r="A1219" t="s">
        <v>14743</v>
      </c>
      <c r="B1219" t="s">
        <v>29</v>
      </c>
      <c r="C1219">
        <v>0.02</v>
      </c>
    </row>
    <row r="1220" spans="1:3" x14ac:dyDescent="0.3">
      <c r="A1220" t="s">
        <v>14743</v>
      </c>
      <c r="B1220" t="s">
        <v>29</v>
      </c>
      <c r="C1220">
        <v>7.0000000000000007E-2</v>
      </c>
    </row>
    <row r="1221" spans="1:3" x14ac:dyDescent="0.3">
      <c r="A1221" t="s">
        <v>14743</v>
      </c>
      <c r="B1221" t="s">
        <v>53</v>
      </c>
      <c r="C1221">
        <v>0.02</v>
      </c>
    </row>
    <row r="1222" spans="1:3" x14ac:dyDescent="0.3">
      <c r="A1222" t="s">
        <v>8360</v>
      </c>
      <c r="B1222" t="s">
        <v>29</v>
      </c>
      <c r="C1222">
        <v>0.06</v>
      </c>
    </row>
    <row r="1223" spans="1:3" x14ac:dyDescent="0.3">
      <c r="A1223" t="s">
        <v>3579</v>
      </c>
      <c r="B1223" t="s">
        <v>53</v>
      </c>
      <c r="C1223">
        <v>0</v>
      </c>
    </row>
    <row r="1224" spans="1:3" x14ac:dyDescent="0.3">
      <c r="A1224" t="s">
        <v>3579</v>
      </c>
      <c r="B1224" t="s">
        <v>53</v>
      </c>
      <c r="C1224">
        <v>7.0000000000000007E-2</v>
      </c>
    </row>
    <row r="1225" spans="1:3" x14ac:dyDescent="0.3">
      <c r="A1225" t="s">
        <v>3587</v>
      </c>
      <c r="B1225" t="s">
        <v>87</v>
      </c>
      <c r="C1225">
        <v>0.01</v>
      </c>
    </row>
    <row r="1226" spans="1:3" x14ac:dyDescent="0.3">
      <c r="A1226" t="s">
        <v>7369</v>
      </c>
      <c r="B1226" t="s">
        <v>40</v>
      </c>
      <c r="C1226">
        <v>0.04</v>
      </c>
    </row>
    <row r="1227" spans="1:3" x14ac:dyDescent="0.3">
      <c r="A1227" t="s">
        <v>7369</v>
      </c>
      <c r="B1227" t="s">
        <v>29</v>
      </c>
      <c r="C1227">
        <v>0.09</v>
      </c>
    </row>
    <row r="1228" spans="1:3" x14ac:dyDescent="0.3">
      <c r="A1228" t="s">
        <v>8607</v>
      </c>
      <c r="B1228" t="s">
        <v>40</v>
      </c>
      <c r="C1228">
        <v>0</v>
      </c>
    </row>
    <row r="1229" spans="1:3" x14ac:dyDescent="0.3">
      <c r="A1229" t="s">
        <v>13846</v>
      </c>
      <c r="B1229" t="s">
        <v>40</v>
      </c>
      <c r="C1229">
        <v>0.01</v>
      </c>
    </row>
    <row r="1230" spans="1:3" x14ac:dyDescent="0.3">
      <c r="A1230" t="s">
        <v>14647</v>
      </c>
      <c r="B1230" t="s">
        <v>87</v>
      </c>
      <c r="C1230">
        <v>0.1</v>
      </c>
    </row>
    <row r="1231" spans="1:3" x14ac:dyDescent="0.3">
      <c r="A1231" t="s">
        <v>7318</v>
      </c>
      <c r="B1231" t="s">
        <v>87</v>
      </c>
      <c r="C1231">
        <v>0.08</v>
      </c>
    </row>
    <row r="1232" spans="1:3" x14ac:dyDescent="0.3">
      <c r="A1232" t="s">
        <v>7318</v>
      </c>
      <c r="B1232" t="s">
        <v>87</v>
      </c>
      <c r="C1232">
        <v>0.1</v>
      </c>
    </row>
    <row r="1233" spans="1:3" x14ac:dyDescent="0.3">
      <c r="A1233" t="s">
        <v>4759</v>
      </c>
      <c r="B1233" t="s">
        <v>40</v>
      </c>
      <c r="C1233">
        <v>0.01</v>
      </c>
    </row>
    <row r="1234" spans="1:3" x14ac:dyDescent="0.3">
      <c r="A1234" t="s">
        <v>4759</v>
      </c>
      <c r="B1234" t="s">
        <v>40</v>
      </c>
      <c r="C1234">
        <v>0.03</v>
      </c>
    </row>
    <row r="1235" spans="1:3" x14ac:dyDescent="0.3">
      <c r="A1235" t="s">
        <v>12001</v>
      </c>
      <c r="B1235" t="s">
        <v>53</v>
      </c>
      <c r="C1235">
        <v>0.03</v>
      </c>
    </row>
    <row r="1236" spans="1:3" x14ac:dyDescent="0.3">
      <c r="A1236" t="s">
        <v>12001</v>
      </c>
      <c r="B1236" t="s">
        <v>53</v>
      </c>
      <c r="C1236">
        <v>0.04</v>
      </c>
    </row>
    <row r="1237" spans="1:3" x14ac:dyDescent="0.3">
      <c r="A1237" t="s">
        <v>9917</v>
      </c>
      <c r="B1237" t="s">
        <v>64</v>
      </c>
      <c r="C1237">
        <v>0.09</v>
      </c>
    </row>
    <row r="1238" spans="1:3" x14ac:dyDescent="0.3">
      <c r="A1238" t="s">
        <v>13394</v>
      </c>
      <c r="B1238" t="s">
        <v>40</v>
      </c>
      <c r="C1238">
        <v>0.1</v>
      </c>
    </row>
    <row r="1239" spans="1:3" x14ac:dyDescent="0.3">
      <c r="A1239" t="s">
        <v>8186</v>
      </c>
      <c r="B1239" t="s">
        <v>64</v>
      </c>
      <c r="C1239">
        <v>0.05</v>
      </c>
    </row>
    <row r="1240" spans="1:3" x14ac:dyDescent="0.3">
      <c r="A1240" t="s">
        <v>6352</v>
      </c>
      <c r="B1240" t="s">
        <v>225</v>
      </c>
      <c r="C1240">
        <v>0.01</v>
      </c>
    </row>
    <row r="1241" spans="1:3" x14ac:dyDescent="0.3">
      <c r="A1241" t="s">
        <v>6352</v>
      </c>
      <c r="B1241" t="s">
        <v>29</v>
      </c>
      <c r="C1241">
        <v>0.02</v>
      </c>
    </row>
    <row r="1242" spans="1:3" x14ac:dyDescent="0.3">
      <c r="A1242" t="s">
        <v>14479</v>
      </c>
      <c r="B1242" t="s">
        <v>64</v>
      </c>
      <c r="C1242">
        <v>0.06</v>
      </c>
    </row>
    <row r="1243" spans="1:3" x14ac:dyDescent="0.3">
      <c r="A1243" t="s">
        <v>5764</v>
      </c>
      <c r="B1243" t="s">
        <v>64</v>
      </c>
      <c r="C1243">
        <v>0.05</v>
      </c>
    </row>
    <row r="1244" spans="1:3" x14ac:dyDescent="0.3">
      <c r="A1244" t="s">
        <v>10420</v>
      </c>
      <c r="B1244" t="s">
        <v>64</v>
      </c>
      <c r="C1244">
        <v>0</v>
      </c>
    </row>
    <row r="1245" spans="1:3" x14ac:dyDescent="0.3">
      <c r="A1245" t="s">
        <v>3666</v>
      </c>
      <c r="B1245" t="s">
        <v>64</v>
      </c>
      <c r="C1245">
        <v>0.06</v>
      </c>
    </row>
    <row r="1246" spans="1:3" x14ac:dyDescent="0.3">
      <c r="A1246" t="s">
        <v>7426</v>
      </c>
      <c r="B1246" t="s">
        <v>64</v>
      </c>
      <c r="C1246">
        <v>0.1</v>
      </c>
    </row>
    <row r="1247" spans="1:3" x14ac:dyDescent="0.3">
      <c r="A1247" t="s">
        <v>13342</v>
      </c>
      <c r="B1247" t="s">
        <v>29</v>
      </c>
      <c r="C1247">
        <v>0.05</v>
      </c>
    </row>
    <row r="1248" spans="1:3" x14ac:dyDescent="0.3">
      <c r="A1248" t="s">
        <v>11500</v>
      </c>
      <c r="B1248" t="s">
        <v>40</v>
      </c>
      <c r="C1248">
        <v>0.01</v>
      </c>
    </row>
    <row r="1249" spans="1:3" x14ac:dyDescent="0.3">
      <c r="A1249" t="s">
        <v>11500</v>
      </c>
      <c r="B1249" t="s">
        <v>40</v>
      </c>
      <c r="C1249">
        <v>0.02</v>
      </c>
    </row>
    <row r="1250" spans="1:3" x14ac:dyDescent="0.3">
      <c r="A1250" t="s">
        <v>11500</v>
      </c>
      <c r="B1250" t="s">
        <v>40</v>
      </c>
      <c r="C1250">
        <v>0.1</v>
      </c>
    </row>
    <row r="1251" spans="1:3" x14ac:dyDescent="0.3">
      <c r="A1251" t="s">
        <v>5572</v>
      </c>
      <c r="B1251" t="s">
        <v>29</v>
      </c>
      <c r="C1251">
        <v>0</v>
      </c>
    </row>
    <row r="1252" spans="1:3" x14ac:dyDescent="0.3">
      <c r="A1252" t="s">
        <v>9665</v>
      </c>
      <c r="B1252" t="s">
        <v>225</v>
      </c>
      <c r="C1252">
        <v>0.06</v>
      </c>
    </row>
    <row r="1253" spans="1:3" x14ac:dyDescent="0.3">
      <c r="A1253" t="s">
        <v>7625</v>
      </c>
      <c r="B1253" t="s">
        <v>40</v>
      </c>
      <c r="C1253">
        <v>0</v>
      </c>
    </row>
    <row r="1254" spans="1:3" x14ac:dyDescent="0.3">
      <c r="A1254" t="s">
        <v>7625</v>
      </c>
      <c r="B1254" t="s">
        <v>40</v>
      </c>
      <c r="C1254">
        <v>0.03</v>
      </c>
    </row>
    <row r="1255" spans="1:3" x14ac:dyDescent="0.3">
      <c r="A1255" t="s">
        <v>3712</v>
      </c>
      <c r="B1255" t="s">
        <v>225</v>
      </c>
      <c r="C1255">
        <v>0.05</v>
      </c>
    </row>
    <row r="1256" spans="1:3" x14ac:dyDescent="0.3">
      <c r="A1256" t="s">
        <v>3712</v>
      </c>
      <c r="B1256" t="s">
        <v>225</v>
      </c>
      <c r="C1256">
        <v>7.0000000000000007E-2</v>
      </c>
    </row>
    <row r="1257" spans="1:3" x14ac:dyDescent="0.3">
      <c r="A1257" t="s">
        <v>4964</v>
      </c>
      <c r="B1257" t="s">
        <v>225</v>
      </c>
      <c r="C1257">
        <v>0.02</v>
      </c>
    </row>
    <row r="1258" spans="1:3" x14ac:dyDescent="0.3">
      <c r="A1258" t="s">
        <v>14893</v>
      </c>
      <c r="B1258" t="s">
        <v>29</v>
      </c>
      <c r="C1258">
        <v>0.02</v>
      </c>
    </row>
    <row r="1259" spans="1:3" x14ac:dyDescent="0.3">
      <c r="A1259" t="s">
        <v>14893</v>
      </c>
      <c r="B1259" t="s">
        <v>29</v>
      </c>
      <c r="C1259">
        <v>0.05</v>
      </c>
    </row>
    <row r="1260" spans="1:3" x14ac:dyDescent="0.3">
      <c r="A1260" t="s">
        <v>3718</v>
      </c>
      <c r="B1260" t="s">
        <v>29</v>
      </c>
      <c r="C1260">
        <v>0.06</v>
      </c>
    </row>
    <row r="1261" spans="1:3" x14ac:dyDescent="0.3">
      <c r="A1261" t="s">
        <v>8379</v>
      </c>
      <c r="B1261" t="s">
        <v>87</v>
      </c>
      <c r="C1261">
        <v>0.02</v>
      </c>
    </row>
    <row r="1262" spans="1:3" x14ac:dyDescent="0.3">
      <c r="A1262" t="s">
        <v>8379</v>
      </c>
      <c r="B1262" t="s">
        <v>87</v>
      </c>
      <c r="C1262">
        <v>0.1</v>
      </c>
    </row>
    <row r="1263" spans="1:3" x14ac:dyDescent="0.3">
      <c r="A1263" t="s">
        <v>5911</v>
      </c>
      <c r="B1263" t="s">
        <v>87</v>
      </c>
      <c r="C1263">
        <v>0.04</v>
      </c>
    </row>
    <row r="1264" spans="1:3" x14ac:dyDescent="0.3">
      <c r="A1264" t="s">
        <v>5911</v>
      </c>
      <c r="B1264" t="s">
        <v>87</v>
      </c>
      <c r="C1264">
        <v>0.09</v>
      </c>
    </row>
    <row r="1265" spans="1:3" x14ac:dyDescent="0.3">
      <c r="A1265" t="s">
        <v>13669</v>
      </c>
      <c r="B1265" t="s">
        <v>64</v>
      </c>
      <c r="C1265">
        <v>0</v>
      </c>
    </row>
    <row r="1266" spans="1:3" x14ac:dyDescent="0.3">
      <c r="A1266" t="s">
        <v>9420</v>
      </c>
      <c r="B1266" t="s">
        <v>53</v>
      </c>
      <c r="C1266">
        <v>0.1</v>
      </c>
    </row>
    <row r="1267" spans="1:3" x14ac:dyDescent="0.3">
      <c r="A1267" t="s">
        <v>6968</v>
      </c>
      <c r="B1267" t="s">
        <v>29</v>
      </c>
      <c r="C1267">
        <v>0.03</v>
      </c>
    </row>
    <row r="1268" spans="1:3" x14ac:dyDescent="0.3">
      <c r="A1268" t="s">
        <v>7407</v>
      </c>
      <c r="B1268" t="s">
        <v>225</v>
      </c>
      <c r="C1268">
        <v>0.05</v>
      </c>
    </row>
    <row r="1269" spans="1:3" x14ac:dyDescent="0.3">
      <c r="A1269" t="s">
        <v>3902</v>
      </c>
      <c r="B1269" t="s">
        <v>40</v>
      </c>
      <c r="C1269">
        <v>0.03</v>
      </c>
    </row>
    <row r="1270" spans="1:3" x14ac:dyDescent="0.3">
      <c r="A1270" t="s">
        <v>15076</v>
      </c>
      <c r="B1270" t="s">
        <v>225</v>
      </c>
      <c r="C1270">
        <v>7.0000000000000007E-2</v>
      </c>
    </row>
    <row r="1271" spans="1:3" x14ac:dyDescent="0.3">
      <c r="A1271" t="s">
        <v>11167</v>
      </c>
      <c r="B1271" t="s">
        <v>225</v>
      </c>
      <c r="C1271">
        <v>0.02</v>
      </c>
    </row>
    <row r="1272" spans="1:3" x14ac:dyDescent="0.3">
      <c r="A1272" t="s">
        <v>12163</v>
      </c>
      <c r="B1272" t="s">
        <v>87</v>
      </c>
      <c r="C1272">
        <v>0.05</v>
      </c>
    </row>
    <row r="1273" spans="1:3" x14ac:dyDescent="0.3">
      <c r="A1273" t="s">
        <v>13951</v>
      </c>
      <c r="B1273" t="s">
        <v>87</v>
      </c>
      <c r="C1273">
        <v>0.01</v>
      </c>
    </row>
    <row r="1274" spans="1:3" x14ac:dyDescent="0.3">
      <c r="A1274" t="s">
        <v>8109</v>
      </c>
      <c r="B1274" t="s">
        <v>29</v>
      </c>
      <c r="C1274">
        <v>0.08</v>
      </c>
    </row>
    <row r="1275" spans="1:3" x14ac:dyDescent="0.3">
      <c r="A1275" t="s">
        <v>10657</v>
      </c>
      <c r="B1275" t="s">
        <v>53</v>
      </c>
      <c r="C1275">
        <v>0.08</v>
      </c>
    </row>
    <row r="1276" spans="1:3" x14ac:dyDescent="0.3">
      <c r="A1276" t="s">
        <v>15210</v>
      </c>
      <c r="B1276" t="s">
        <v>87</v>
      </c>
      <c r="C1276">
        <v>0.05</v>
      </c>
    </row>
    <row r="1277" spans="1:3" x14ac:dyDescent="0.3">
      <c r="A1277" t="s">
        <v>3856</v>
      </c>
      <c r="B1277" t="s">
        <v>40</v>
      </c>
      <c r="C1277">
        <v>0.03</v>
      </c>
    </row>
    <row r="1278" spans="1:3" x14ac:dyDescent="0.3">
      <c r="A1278" t="s">
        <v>3856</v>
      </c>
      <c r="B1278" t="s">
        <v>87</v>
      </c>
      <c r="C1278">
        <v>0.08</v>
      </c>
    </row>
    <row r="1279" spans="1:3" x14ac:dyDescent="0.3">
      <c r="A1279" t="s">
        <v>3856</v>
      </c>
      <c r="B1279" t="s">
        <v>87</v>
      </c>
      <c r="C1279">
        <v>0.1</v>
      </c>
    </row>
    <row r="1280" spans="1:3" x14ac:dyDescent="0.3">
      <c r="A1280" t="s">
        <v>12448</v>
      </c>
      <c r="B1280" t="s">
        <v>87</v>
      </c>
      <c r="C1280">
        <v>0.09</v>
      </c>
    </row>
    <row r="1281" spans="1:3" x14ac:dyDescent="0.3">
      <c r="A1281" t="s">
        <v>3874</v>
      </c>
      <c r="B1281" t="s">
        <v>40</v>
      </c>
      <c r="C1281">
        <v>0.09</v>
      </c>
    </row>
    <row r="1282" spans="1:3" x14ac:dyDescent="0.3">
      <c r="A1282" t="s">
        <v>3922</v>
      </c>
      <c r="B1282" t="s">
        <v>40</v>
      </c>
      <c r="C1282">
        <v>0</v>
      </c>
    </row>
    <row r="1283" spans="1:3" x14ac:dyDescent="0.3">
      <c r="A1283" t="s">
        <v>3922</v>
      </c>
      <c r="B1283" t="s">
        <v>40</v>
      </c>
      <c r="C1283">
        <v>0.02</v>
      </c>
    </row>
    <row r="1284" spans="1:3" x14ac:dyDescent="0.3">
      <c r="A1284" t="s">
        <v>3922</v>
      </c>
      <c r="B1284" t="s">
        <v>40</v>
      </c>
      <c r="C1284">
        <v>0.05</v>
      </c>
    </row>
    <row r="1285" spans="1:3" x14ac:dyDescent="0.3">
      <c r="A1285" t="s">
        <v>12151</v>
      </c>
      <c r="B1285" t="s">
        <v>40</v>
      </c>
      <c r="C1285">
        <v>0.05</v>
      </c>
    </row>
    <row r="1286" spans="1:3" x14ac:dyDescent="0.3">
      <c r="A1286" t="s">
        <v>10914</v>
      </c>
      <c r="B1286" t="s">
        <v>64</v>
      </c>
      <c r="C1286">
        <v>0.04</v>
      </c>
    </row>
    <row r="1287" spans="1:3" x14ac:dyDescent="0.3">
      <c r="A1287" t="s">
        <v>10403</v>
      </c>
      <c r="B1287" t="s">
        <v>53</v>
      </c>
      <c r="C1287">
        <v>0.01</v>
      </c>
    </row>
    <row r="1288" spans="1:3" x14ac:dyDescent="0.3">
      <c r="A1288" t="s">
        <v>8009</v>
      </c>
      <c r="B1288" t="s">
        <v>64</v>
      </c>
      <c r="C1288">
        <v>0.08</v>
      </c>
    </row>
    <row r="1289" spans="1:3" x14ac:dyDescent="0.3">
      <c r="A1289" t="s">
        <v>6106</v>
      </c>
      <c r="B1289" t="s">
        <v>29</v>
      </c>
      <c r="C1289">
        <v>0.01</v>
      </c>
    </row>
    <row r="1290" spans="1:3" x14ac:dyDescent="0.3">
      <c r="A1290" t="s">
        <v>10685</v>
      </c>
      <c r="B1290" t="s">
        <v>87</v>
      </c>
      <c r="C1290">
        <v>0.02</v>
      </c>
    </row>
    <row r="1291" spans="1:3" x14ac:dyDescent="0.3">
      <c r="A1291" t="s">
        <v>10685</v>
      </c>
      <c r="B1291" t="s">
        <v>87</v>
      </c>
      <c r="C1291">
        <v>0.08</v>
      </c>
    </row>
    <row r="1292" spans="1:3" x14ac:dyDescent="0.3">
      <c r="A1292" t="s">
        <v>7592</v>
      </c>
      <c r="B1292" t="s">
        <v>64</v>
      </c>
      <c r="C1292">
        <v>0.03</v>
      </c>
    </row>
    <row r="1293" spans="1:3" x14ac:dyDescent="0.3">
      <c r="A1293" t="s">
        <v>3987</v>
      </c>
      <c r="B1293" t="s">
        <v>87</v>
      </c>
      <c r="C1293">
        <v>0.02</v>
      </c>
    </row>
    <row r="1294" spans="1:3" x14ac:dyDescent="0.3">
      <c r="A1294" t="s">
        <v>3987</v>
      </c>
      <c r="B1294" t="s">
        <v>87</v>
      </c>
      <c r="C1294">
        <v>7.0000000000000007E-2</v>
      </c>
    </row>
    <row r="1295" spans="1:3" x14ac:dyDescent="0.3">
      <c r="A1295" t="s">
        <v>9061</v>
      </c>
      <c r="B1295" t="s">
        <v>64</v>
      </c>
      <c r="C1295">
        <v>0.1</v>
      </c>
    </row>
    <row r="1296" spans="1:3" x14ac:dyDescent="0.3">
      <c r="A1296" t="s">
        <v>10218</v>
      </c>
      <c r="B1296" t="s">
        <v>225</v>
      </c>
      <c r="C1296">
        <v>0.01</v>
      </c>
    </row>
    <row r="1297" spans="1:3" x14ac:dyDescent="0.3">
      <c r="A1297" t="s">
        <v>9398</v>
      </c>
      <c r="B1297" t="s">
        <v>225</v>
      </c>
      <c r="C1297">
        <v>0.04</v>
      </c>
    </row>
    <row r="1298" spans="1:3" x14ac:dyDescent="0.3">
      <c r="A1298" t="s">
        <v>9398</v>
      </c>
      <c r="B1298" t="s">
        <v>225</v>
      </c>
      <c r="C1298">
        <v>0.08</v>
      </c>
    </row>
    <row r="1299" spans="1:3" x14ac:dyDescent="0.3">
      <c r="A1299" t="s">
        <v>8225</v>
      </c>
      <c r="B1299" t="s">
        <v>40</v>
      </c>
      <c r="C1299">
        <v>0.09</v>
      </c>
    </row>
    <row r="1300" spans="1:3" x14ac:dyDescent="0.3">
      <c r="A1300" t="s">
        <v>4000</v>
      </c>
      <c r="B1300" t="s">
        <v>87</v>
      </c>
      <c r="C1300">
        <v>0.09</v>
      </c>
    </row>
    <row r="1301" spans="1:3" x14ac:dyDescent="0.3">
      <c r="A1301" t="s">
        <v>10029</v>
      </c>
      <c r="B1301" t="s">
        <v>40</v>
      </c>
      <c r="C1301">
        <v>0.01</v>
      </c>
    </row>
    <row r="1302" spans="1:3" x14ac:dyDescent="0.3">
      <c r="A1302" t="s">
        <v>7399</v>
      </c>
      <c r="B1302" t="s">
        <v>87</v>
      </c>
      <c r="C1302">
        <v>0.09</v>
      </c>
    </row>
    <row r="1303" spans="1:3" x14ac:dyDescent="0.3">
      <c r="A1303" t="s">
        <v>9291</v>
      </c>
      <c r="B1303" t="s">
        <v>40</v>
      </c>
      <c r="C1303">
        <v>0.01</v>
      </c>
    </row>
    <row r="1304" spans="1:3" x14ac:dyDescent="0.3">
      <c r="A1304" t="s">
        <v>10375</v>
      </c>
      <c r="B1304" t="s">
        <v>40</v>
      </c>
      <c r="C1304">
        <v>0.1</v>
      </c>
    </row>
    <row r="1305" spans="1:3" x14ac:dyDescent="0.3">
      <c r="A1305" t="s">
        <v>15368</v>
      </c>
      <c r="B1305" t="s">
        <v>53</v>
      </c>
      <c r="C1305">
        <v>0.04</v>
      </c>
    </row>
    <row r="1306" spans="1:3" x14ac:dyDescent="0.3">
      <c r="A1306" t="s">
        <v>15368</v>
      </c>
      <c r="B1306" t="s">
        <v>53</v>
      </c>
      <c r="C1306">
        <v>0.08</v>
      </c>
    </row>
    <row r="1307" spans="1:3" x14ac:dyDescent="0.3">
      <c r="A1307" t="s">
        <v>4832</v>
      </c>
      <c r="B1307" t="s">
        <v>40</v>
      </c>
      <c r="C1307">
        <v>0.06</v>
      </c>
    </row>
    <row r="1308" spans="1:3" x14ac:dyDescent="0.3">
      <c r="A1308" t="s">
        <v>4337</v>
      </c>
      <c r="B1308" t="s">
        <v>64</v>
      </c>
      <c r="C1308">
        <v>0.06</v>
      </c>
    </row>
    <row r="1309" spans="1:3" x14ac:dyDescent="0.3">
      <c r="A1309" t="s">
        <v>4026</v>
      </c>
      <c r="B1309" t="s">
        <v>87</v>
      </c>
      <c r="C1309">
        <v>0.08</v>
      </c>
    </row>
    <row r="1310" spans="1:3" x14ac:dyDescent="0.3">
      <c r="A1310" t="s">
        <v>12626</v>
      </c>
      <c r="B1310" t="s">
        <v>40</v>
      </c>
      <c r="C1310">
        <v>0.01</v>
      </c>
    </row>
    <row r="1311" spans="1:3" x14ac:dyDescent="0.3">
      <c r="A1311" t="s">
        <v>12626</v>
      </c>
      <c r="B1311" t="s">
        <v>40</v>
      </c>
      <c r="C1311">
        <v>0.08</v>
      </c>
    </row>
    <row r="1312" spans="1:3" x14ac:dyDescent="0.3">
      <c r="A1312" t="s">
        <v>12626</v>
      </c>
      <c r="B1312" t="s">
        <v>40</v>
      </c>
      <c r="C1312">
        <v>0.09</v>
      </c>
    </row>
    <row r="1313" spans="1:3" x14ac:dyDescent="0.3">
      <c r="A1313" t="s">
        <v>4032</v>
      </c>
      <c r="B1313" t="s">
        <v>53</v>
      </c>
      <c r="C1313">
        <v>0.03</v>
      </c>
    </row>
    <row r="1314" spans="1:3" x14ac:dyDescent="0.3">
      <c r="A1314" t="s">
        <v>4037</v>
      </c>
      <c r="B1314" t="s">
        <v>53</v>
      </c>
      <c r="C1314">
        <v>0.03</v>
      </c>
    </row>
    <row r="1315" spans="1:3" x14ac:dyDescent="0.3">
      <c r="A1315" t="s">
        <v>6031</v>
      </c>
      <c r="B1315" t="s">
        <v>53</v>
      </c>
      <c r="C1315">
        <v>0.01</v>
      </c>
    </row>
    <row r="1316" spans="1:3" x14ac:dyDescent="0.3">
      <c r="A1316" t="s">
        <v>6031</v>
      </c>
      <c r="B1316" t="s">
        <v>53</v>
      </c>
      <c r="C1316">
        <v>0.09</v>
      </c>
    </row>
    <row r="1317" spans="1:3" x14ac:dyDescent="0.3">
      <c r="A1317" t="s">
        <v>15646</v>
      </c>
      <c r="B1317" t="s">
        <v>64</v>
      </c>
      <c r="C1317">
        <v>7.0000000000000007E-2</v>
      </c>
    </row>
    <row r="1318" spans="1:3" x14ac:dyDescent="0.3">
      <c r="A1318" t="s">
        <v>7717</v>
      </c>
      <c r="B1318" t="s">
        <v>40</v>
      </c>
      <c r="C1318">
        <v>0.01</v>
      </c>
    </row>
    <row r="1319" spans="1:3" x14ac:dyDescent="0.3">
      <c r="A1319" t="s">
        <v>7717</v>
      </c>
      <c r="B1319" t="s">
        <v>40</v>
      </c>
      <c r="C1319">
        <v>0.03</v>
      </c>
    </row>
    <row r="1320" spans="1:3" x14ac:dyDescent="0.3">
      <c r="A1320" t="s">
        <v>13298</v>
      </c>
      <c r="B1320" t="s">
        <v>40</v>
      </c>
      <c r="C1320">
        <v>0.01</v>
      </c>
    </row>
    <row r="1321" spans="1:3" x14ac:dyDescent="0.3">
      <c r="A1321" t="s">
        <v>13298</v>
      </c>
      <c r="B1321" t="s">
        <v>40</v>
      </c>
      <c r="C1321">
        <v>0.03</v>
      </c>
    </row>
    <row r="1322" spans="1:3" x14ac:dyDescent="0.3">
      <c r="A1322" t="s">
        <v>6514</v>
      </c>
      <c r="B1322" t="s">
        <v>53</v>
      </c>
      <c r="C1322">
        <v>0.01</v>
      </c>
    </row>
    <row r="1323" spans="1:3" x14ac:dyDescent="0.3">
      <c r="A1323" t="s">
        <v>6514</v>
      </c>
      <c r="B1323" t="s">
        <v>53</v>
      </c>
      <c r="C1323">
        <v>0.02</v>
      </c>
    </row>
    <row r="1324" spans="1:3" x14ac:dyDescent="0.3">
      <c r="A1324" t="s">
        <v>5240</v>
      </c>
      <c r="B1324" t="s">
        <v>53</v>
      </c>
      <c r="C1324">
        <v>0.08</v>
      </c>
    </row>
    <row r="1325" spans="1:3" x14ac:dyDescent="0.3">
      <c r="A1325" t="s">
        <v>5240</v>
      </c>
      <c r="B1325" t="s">
        <v>53</v>
      </c>
      <c r="C1325">
        <v>0.09</v>
      </c>
    </row>
    <row r="1326" spans="1:3" x14ac:dyDescent="0.3">
      <c r="A1326" t="s">
        <v>12292</v>
      </c>
      <c r="B1326" t="s">
        <v>225</v>
      </c>
      <c r="C1326">
        <v>0.06</v>
      </c>
    </row>
    <row r="1327" spans="1:3" x14ac:dyDescent="0.3">
      <c r="A1327" t="s">
        <v>12253</v>
      </c>
      <c r="B1327" t="s">
        <v>225</v>
      </c>
      <c r="C1327">
        <v>0.05</v>
      </c>
    </row>
    <row r="1328" spans="1:3" x14ac:dyDescent="0.3">
      <c r="A1328" t="s">
        <v>12253</v>
      </c>
      <c r="B1328" t="s">
        <v>225</v>
      </c>
      <c r="C1328">
        <v>0.08</v>
      </c>
    </row>
    <row r="1329" spans="1:3" x14ac:dyDescent="0.3">
      <c r="A1329" t="s">
        <v>14015</v>
      </c>
      <c r="B1329" t="s">
        <v>225</v>
      </c>
      <c r="C1329">
        <v>0.06</v>
      </c>
    </row>
    <row r="1330" spans="1:3" x14ac:dyDescent="0.3">
      <c r="A1330" t="s">
        <v>4920</v>
      </c>
      <c r="B1330" t="s">
        <v>53</v>
      </c>
      <c r="C1330">
        <v>0.06</v>
      </c>
    </row>
    <row r="1331" spans="1:3" x14ac:dyDescent="0.3">
      <c r="A1331" t="s">
        <v>10712</v>
      </c>
      <c r="B1331" t="s">
        <v>225</v>
      </c>
      <c r="C1331">
        <v>0.01</v>
      </c>
    </row>
    <row r="1332" spans="1:3" x14ac:dyDescent="0.3">
      <c r="A1332" t="s">
        <v>4129</v>
      </c>
      <c r="B1332" t="s">
        <v>53</v>
      </c>
      <c r="C1332">
        <v>7.0000000000000007E-2</v>
      </c>
    </row>
    <row r="1333" spans="1:3" x14ac:dyDescent="0.3">
      <c r="A1333" t="s">
        <v>4142</v>
      </c>
      <c r="B1333" t="s">
        <v>87</v>
      </c>
      <c r="C1333">
        <v>7.0000000000000007E-2</v>
      </c>
    </row>
    <row r="1334" spans="1:3" x14ac:dyDescent="0.3">
      <c r="A1334" t="s">
        <v>4142</v>
      </c>
      <c r="B1334" t="s">
        <v>87</v>
      </c>
      <c r="C1334">
        <v>0.08</v>
      </c>
    </row>
    <row r="1335" spans="1:3" x14ac:dyDescent="0.3">
      <c r="A1335" t="s">
        <v>4177</v>
      </c>
      <c r="B1335" t="s">
        <v>29</v>
      </c>
      <c r="C1335">
        <v>0</v>
      </c>
    </row>
    <row r="1336" spans="1:3" x14ac:dyDescent="0.3">
      <c r="A1336" t="s">
        <v>4177</v>
      </c>
      <c r="B1336" t="s">
        <v>29</v>
      </c>
      <c r="C1336">
        <v>0.04</v>
      </c>
    </row>
    <row r="1337" spans="1:3" x14ac:dyDescent="0.3">
      <c r="A1337" t="s">
        <v>4195</v>
      </c>
      <c r="B1337" t="s">
        <v>87</v>
      </c>
      <c r="C1337">
        <v>0.04</v>
      </c>
    </row>
    <row r="1338" spans="1:3" x14ac:dyDescent="0.3">
      <c r="A1338" t="s">
        <v>10002</v>
      </c>
      <c r="B1338" t="s">
        <v>40</v>
      </c>
      <c r="C1338">
        <v>0.06</v>
      </c>
    </row>
    <row r="1339" spans="1:3" x14ac:dyDescent="0.3">
      <c r="A1339" t="s">
        <v>13616</v>
      </c>
      <c r="B1339" t="s">
        <v>87</v>
      </c>
      <c r="C1339">
        <v>0.04</v>
      </c>
    </row>
    <row r="1340" spans="1:3" x14ac:dyDescent="0.3">
      <c r="A1340" t="s">
        <v>12471</v>
      </c>
      <c r="B1340" t="s">
        <v>87</v>
      </c>
      <c r="C1340">
        <v>0.03</v>
      </c>
    </row>
    <row r="1341" spans="1:3" x14ac:dyDescent="0.3">
      <c r="A1341" t="s">
        <v>12044</v>
      </c>
      <c r="B1341" t="s">
        <v>29</v>
      </c>
      <c r="C1341">
        <v>0.05</v>
      </c>
    </row>
    <row r="1342" spans="1:3" x14ac:dyDescent="0.3">
      <c r="A1342" t="s">
        <v>12044</v>
      </c>
      <c r="B1342" t="s">
        <v>29</v>
      </c>
      <c r="C1342">
        <v>0.09</v>
      </c>
    </row>
    <row r="1343" spans="1:3" x14ac:dyDescent="0.3">
      <c r="A1343" t="s">
        <v>9536</v>
      </c>
      <c r="B1343" t="s">
        <v>225</v>
      </c>
      <c r="C1343">
        <v>0.1</v>
      </c>
    </row>
    <row r="1344" spans="1:3" x14ac:dyDescent="0.3">
      <c r="A1344" t="s">
        <v>7668</v>
      </c>
      <c r="B1344" t="s">
        <v>40</v>
      </c>
      <c r="C1344">
        <v>0.1</v>
      </c>
    </row>
    <row r="1345" spans="1:3" x14ac:dyDescent="0.3">
      <c r="A1345" t="s">
        <v>4217</v>
      </c>
      <c r="B1345" t="s">
        <v>87</v>
      </c>
      <c r="C1345">
        <v>0.01</v>
      </c>
    </row>
    <row r="1346" spans="1:3" x14ac:dyDescent="0.3">
      <c r="A1346" t="s">
        <v>4217</v>
      </c>
      <c r="B1346" t="s">
        <v>87</v>
      </c>
      <c r="C1346">
        <v>0.09</v>
      </c>
    </row>
    <row r="1347" spans="1:3" x14ac:dyDescent="0.3">
      <c r="A1347" t="s">
        <v>4231</v>
      </c>
      <c r="B1347" t="s">
        <v>29</v>
      </c>
      <c r="C1347">
        <v>0.08</v>
      </c>
    </row>
    <row r="1348" spans="1:3" x14ac:dyDescent="0.3">
      <c r="A1348" t="s">
        <v>15479</v>
      </c>
      <c r="B1348" t="s">
        <v>64</v>
      </c>
      <c r="C1348">
        <v>0.08</v>
      </c>
    </row>
    <row r="1349" spans="1:3" x14ac:dyDescent="0.3">
      <c r="A1349" t="s">
        <v>7806</v>
      </c>
      <c r="B1349" t="s">
        <v>29</v>
      </c>
      <c r="C1349">
        <v>0.04</v>
      </c>
    </row>
    <row r="1350" spans="1:3" x14ac:dyDescent="0.3">
      <c r="A1350" t="s">
        <v>12975</v>
      </c>
      <c r="B1350" t="s">
        <v>40</v>
      </c>
      <c r="C1350">
        <v>0.06</v>
      </c>
    </row>
    <row r="1351" spans="1:3" x14ac:dyDescent="0.3">
      <c r="A1351" t="s">
        <v>12975</v>
      </c>
      <c r="B1351" t="s">
        <v>87</v>
      </c>
      <c r="C1351">
        <v>0.06</v>
      </c>
    </row>
    <row r="1352" spans="1:3" x14ac:dyDescent="0.3">
      <c r="A1352" t="s">
        <v>4262</v>
      </c>
      <c r="B1352" t="s">
        <v>53</v>
      </c>
      <c r="C1352">
        <v>0.01</v>
      </c>
    </row>
    <row r="1353" spans="1:3" x14ac:dyDescent="0.3">
      <c r="A1353" t="s">
        <v>4262</v>
      </c>
      <c r="B1353" t="s">
        <v>87</v>
      </c>
      <c r="C1353">
        <v>0.06</v>
      </c>
    </row>
    <row r="1354" spans="1:3" x14ac:dyDescent="0.3">
      <c r="A1354" t="s">
        <v>13469</v>
      </c>
      <c r="B1354" t="s">
        <v>29</v>
      </c>
      <c r="C1354">
        <v>0.05</v>
      </c>
    </row>
    <row r="1355" spans="1:3" x14ac:dyDescent="0.3">
      <c r="A1355" t="s">
        <v>9299</v>
      </c>
      <c r="B1355" t="s">
        <v>64</v>
      </c>
      <c r="C1355">
        <v>0.02</v>
      </c>
    </row>
    <row r="1356" spans="1:3" x14ac:dyDescent="0.3">
      <c r="A1356" t="s">
        <v>12762</v>
      </c>
      <c r="B1356" t="s">
        <v>225</v>
      </c>
      <c r="C1356">
        <v>0.04</v>
      </c>
    </row>
    <row r="1357" spans="1:3" x14ac:dyDescent="0.3">
      <c r="A1357" t="s">
        <v>12762</v>
      </c>
      <c r="B1357" t="s">
        <v>225</v>
      </c>
      <c r="C1357">
        <v>0.05</v>
      </c>
    </row>
    <row r="1358" spans="1:3" x14ac:dyDescent="0.3">
      <c r="A1358" t="s">
        <v>4301</v>
      </c>
      <c r="B1358" t="s">
        <v>40</v>
      </c>
      <c r="C1358">
        <v>0</v>
      </c>
    </row>
    <row r="1359" spans="1:3" x14ac:dyDescent="0.3">
      <c r="A1359" t="s">
        <v>4301</v>
      </c>
      <c r="B1359" t="s">
        <v>40</v>
      </c>
      <c r="C1359">
        <v>0.1</v>
      </c>
    </row>
    <row r="1360" spans="1:3" x14ac:dyDescent="0.3">
      <c r="A1360" t="s">
        <v>14845</v>
      </c>
      <c r="B1360" t="s">
        <v>40</v>
      </c>
      <c r="C1360">
        <v>0.08</v>
      </c>
    </row>
    <row r="1361" spans="1:3" x14ac:dyDescent="0.3">
      <c r="A1361" t="s">
        <v>14845</v>
      </c>
      <c r="B1361" t="s">
        <v>40</v>
      </c>
      <c r="C1361">
        <v>0.09</v>
      </c>
    </row>
    <row r="1362" spans="1:3" x14ac:dyDescent="0.3">
      <c r="A1362" t="s">
        <v>4317</v>
      </c>
      <c r="B1362" t="s">
        <v>225</v>
      </c>
      <c r="C1362">
        <v>0</v>
      </c>
    </row>
    <row r="1363" spans="1:3" x14ac:dyDescent="0.3">
      <c r="A1363" t="s">
        <v>15241</v>
      </c>
      <c r="B1363" t="s">
        <v>87</v>
      </c>
      <c r="C1363">
        <v>0</v>
      </c>
    </row>
    <row r="1364" spans="1:3" x14ac:dyDescent="0.3">
      <c r="A1364" t="s">
        <v>14819</v>
      </c>
      <c r="B1364" t="s">
        <v>87</v>
      </c>
      <c r="C1364">
        <v>0.06</v>
      </c>
    </row>
    <row r="1365" spans="1:3" x14ac:dyDescent="0.3">
      <c r="A1365" t="s">
        <v>14819</v>
      </c>
      <c r="B1365" t="s">
        <v>87</v>
      </c>
      <c r="C1365">
        <v>0.08</v>
      </c>
    </row>
    <row r="1366" spans="1:3" x14ac:dyDescent="0.3">
      <c r="A1366" t="s">
        <v>14156</v>
      </c>
      <c r="B1366" t="s">
        <v>87</v>
      </c>
      <c r="C1366">
        <v>0</v>
      </c>
    </row>
    <row r="1367" spans="1:3" x14ac:dyDescent="0.3">
      <c r="A1367" t="s">
        <v>4344</v>
      </c>
      <c r="B1367" t="s">
        <v>40</v>
      </c>
      <c r="C1367">
        <v>0.03</v>
      </c>
    </row>
    <row r="1368" spans="1:3" x14ac:dyDescent="0.3">
      <c r="A1368" t="s">
        <v>4344</v>
      </c>
      <c r="B1368" t="s">
        <v>40</v>
      </c>
      <c r="C1368">
        <v>0.06</v>
      </c>
    </row>
    <row r="1369" spans="1:3" x14ac:dyDescent="0.3">
      <c r="A1369" t="s">
        <v>4344</v>
      </c>
      <c r="B1369" t="s">
        <v>40</v>
      </c>
      <c r="C1369">
        <v>0.09</v>
      </c>
    </row>
    <row r="1370" spans="1:3" x14ac:dyDescent="0.3">
      <c r="A1370" t="s">
        <v>11487</v>
      </c>
      <c r="B1370" t="s">
        <v>87</v>
      </c>
      <c r="C1370">
        <v>0.06</v>
      </c>
    </row>
    <row r="1371" spans="1:3" x14ac:dyDescent="0.3">
      <c r="A1371" t="s">
        <v>4365</v>
      </c>
      <c r="B1371" t="s">
        <v>29</v>
      </c>
      <c r="C1371">
        <v>7.0000000000000007E-2</v>
      </c>
    </row>
    <row r="1372" spans="1:3" x14ac:dyDescent="0.3">
      <c r="A1372" t="s">
        <v>4365</v>
      </c>
      <c r="B1372" t="s">
        <v>29</v>
      </c>
      <c r="C1372">
        <v>0.1</v>
      </c>
    </row>
    <row r="1373" spans="1:3" x14ac:dyDescent="0.3">
      <c r="A1373" t="s">
        <v>10953</v>
      </c>
      <c r="B1373" t="s">
        <v>40</v>
      </c>
      <c r="C1373">
        <v>0</v>
      </c>
    </row>
    <row r="1374" spans="1:3" x14ac:dyDescent="0.3">
      <c r="A1374" t="s">
        <v>10953</v>
      </c>
      <c r="B1374" t="s">
        <v>40</v>
      </c>
      <c r="C1374">
        <v>0.1</v>
      </c>
    </row>
    <row r="1375" spans="1:3" x14ac:dyDescent="0.3">
      <c r="A1375" t="s">
        <v>13327</v>
      </c>
      <c r="B1375" t="s">
        <v>40</v>
      </c>
      <c r="C1375">
        <v>0.08</v>
      </c>
    </row>
    <row r="1376" spans="1:3" x14ac:dyDescent="0.3">
      <c r="A1376" t="s">
        <v>9088</v>
      </c>
      <c r="B1376" t="s">
        <v>87</v>
      </c>
      <c r="C1376">
        <v>0.09</v>
      </c>
    </row>
    <row r="1377" spans="1:3" x14ac:dyDescent="0.3">
      <c r="A1377" t="s">
        <v>13579</v>
      </c>
      <c r="B1377" t="s">
        <v>64</v>
      </c>
      <c r="C1377">
        <v>0.09</v>
      </c>
    </row>
    <row r="1378" spans="1:3" x14ac:dyDescent="0.3">
      <c r="A1378" t="s">
        <v>11780</v>
      </c>
      <c r="B1378" t="s">
        <v>53</v>
      </c>
      <c r="C1378">
        <v>0.09</v>
      </c>
    </row>
    <row r="1379" spans="1:3" x14ac:dyDescent="0.3">
      <c r="A1379" t="s">
        <v>4425</v>
      </c>
      <c r="B1379" t="s">
        <v>53</v>
      </c>
      <c r="C1379">
        <v>0.04</v>
      </c>
    </row>
    <row r="1380" spans="1:3" x14ac:dyDescent="0.3">
      <c r="A1380" t="s">
        <v>8770</v>
      </c>
      <c r="B1380" t="s">
        <v>225</v>
      </c>
      <c r="C1380">
        <v>0.01</v>
      </c>
    </row>
    <row r="1381" spans="1:3" x14ac:dyDescent="0.3">
      <c r="A1381" t="s">
        <v>8770</v>
      </c>
      <c r="B1381" t="s">
        <v>87</v>
      </c>
      <c r="C1381">
        <v>0</v>
      </c>
    </row>
    <row r="1382" spans="1:3" x14ac:dyDescent="0.3">
      <c r="A1382" t="s">
        <v>10620</v>
      </c>
      <c r="B1382" t="s">
        <v>53</v>
      </c>
      <c r="C1382">
        <v>0.05</v>
      </c>
    </row>
    <row r="1383" spans="1:3" x14ac:dyDescent="0.3">
      <c r="A1383" t="s">
        <v>10620</v>
      </c>
      <c r="B1383" t="s">
        <v>53</v>
      </c>
      <c r="C1383">
        <v>0.06</v>
      </c>
    </row>
    <row r="1384" spans="1:3" x14ac:dyDescent="0.3">
      <c r="A1384" t="s">
        <v>10620</v>
      </c>
      <c r="B1384" t="s">
        <v>87</v>
      </c>
      <c r="C1384">
        <v>0.1</v>
      </c>
    </row>
    <row r="1385" spans="1:3" x14ac:dyDescent="0.3">
      <c r="A1385" t="s">
        <v>4446</v>
      </c>
      <c r="B1385" t="s">
        <v>53</v>
      </c>
      <c r="C1385">
        <v>0.1</v>
      </c>
    </row>
    <row r="1386" spans="1:3" x14ac:dyDescent="0.3">
      <c r="A1386" t="s">
        <v>14695</v>
      </c>
      <c r="B1386" t="s">
        <v>87</v>
      </c>
      <c r="C1386">
        <v>0.08</v>
      </c>
    </row>
    <row r="1387" spans="1:3" x14ac:dyDescent="0.3">
      <c r="A1387" t="s">
        <v>8485</v>
      </c>
      <c r="B1387" t="s">
        <v>225</v>
      </c>
      <c r="C1387">
        <v>0.03</v>
      </c>
    </row>
    <row r="1388" spans="1:3" x14ac:dyDescent="0.3">
      <c r="A1388" t="s">
        <v>4463</v>
      </c>
      <c r="B1388" t="s">
        <v>225</v>
      </c>
      <c r="C1388">
        <v>0</v>
      </c>
    </row>
    <row r="1389" spans="1:3" x14ac:dyDescent="0.3">
      <c r="A1389" t="s">
        <v>4873</v>
      </c>
      <c r="B1389" t="s">
        <v>225</v>
      </c>
      <c r="C1389">
        <v>0.03</v>
      </c>
    </row>
    <row r="1390" spans="1:3" x14ac:dyDescent="0.3">
      <c r="A1390" t="s">
        <v>5989</v>
      </c>
      <c r="B1390" t="s">
        <v>40</v>
      </c>
      <c r="C1390">
        <v>0</v>
      </c>
    </row>
    <row r="1391" spans="1:3" x14ac:dyDescent="0.3">
      <c r="A1391" t="s">
        <v>14980</v>
      </c>
      <c r="B1391" t="s">
        <v>64</v>
      </c>
      <c r="C1391">
        <v>0</v>
      </c>
    </row>
    <row r="1392" spans="1:3" x14ac:dyDescent="0.3">
      <c r="A1392" t="s">
        <v>14980</v>
      </c>
      <c r="B1392" t="s">
        <v>64</v>
      </c>
      <c r="C1392">
        <v>7.0000000000000007E-2</v>
      </c>
    </row>
    <row r="1393" spans="1:3" x14ac:dyDescent="0.3">
      <c r="A1393" t="s">
        <v>9292</v>
      </c>
      <c r="B1393" t="s">
        <v>40</v>
      </c>
      <c r="C1393">
        <v>0.05</v>
      </c>
    </row>
    <row r="1394" spans="1:3" x14ac:dyDescent="0.3">
      <c r="A1394" t="s">
        <v>4496</v>
      </c>
      <c r="B1394" t="s">
        <v>40</v>
      </c>
      <c r="C1394">
        <v>0.03</v>
      </c>
    </row>
    <row r="1395" spans="1:3" x14ac:dyDescent="0.3">
      <c r="A1395" t="s">
        <v>4496</v>
      </c>
      <c r="B1395" t="s">
        <v>40</v>
      </c>
      <c r="C1395">
        <v>0.09</v>
      </c>
    </row>
    <row r="1396" spans="1:3" x14ac:dyDescent="0.3">
      <c r="A1396" t="s">
        <v>5623</v>
      </c>
      <c r="B1396" t="s">
        <v>53</v>
      </c>
      <c r="C1396">
        <v>0</v>
      </c>
    </row>
    <row r="1397" spans="1:3" x14ac:dyDescent="0.3">
      <c r="A1397" t="s">
        <v>7225</v>
      </c>
      <c r="B1397" t="s">
        <v>53</v>
      </c>
      <c r="C1397">
        <v>0.01</v>
      </c>
    </row>
    <row r="1398" spans="1:3" x14ac:dyDescent="0.3">
      <c r="A1398" t="s">
        <v>7225</v>
      </c>
      <c r="B1398" t="s">
        <v>53</v>
      </c>
      <c r="C1398">
        <v>0.05</v>
      </c>
    </row>
    <row r="1399" spans="1:3" x14ac:dyDescent="0.3">
      <c r="A1399" t="s">
        <v>4508</v>
      </c>
      <c r="B1399" t="s">
        <v>87</v>
      </c>
      <c r="C1399">
        <v>0</v>
      </c>
    </row>
    <row r="1400" spans="1:3" x14ac:dyDescent="0.3">
      <c r="A1400" t="s">
        <v>4508</v>
      </c>
      <c r="B1400" t="s">
        <v>87</v>
      </c>
      <c r="C1400">
        <v>0.1</v>
      </c>
    </row>
    <row r="1401" spans="1:3" x14ac:dyDescent="0.3">
      <c r="A1401" t="s">
        <v>8947</v>
      </c>
      <c r="B1401" t="s">
        <v>53</v>
      </c>
      <c r="C1401">
        <v>0.08</v>
      </c>
    </row>
    <row r="1402" spans="1:3" x14ac:dyDescent="0.3">
      <c r="A1402" t="s">
        <v>6146</v>
      </c>
      <c r="B1402" t="s">
        <v>40</v>
      </c>
      <c r="C1402">
        <v>0.01</v>
      </c>
    </row>
    <row r="1403" spans="1:3" x14ac:dyDescent="0.3">
      <c r="A1403" t="s">
        <v>6146</v>
      </c>
      <c r="B1403" t="s">
        <v>40</v>
      </c>
      <c r="C1403">
        <v>0.03</v>
      </c>
    </row>
    <row r="1404" spans="1:3" x14ac:dyDescent="0.3">
      <c r="A1404" t="s">
        <v>4545</v>
      </c>
      <c r="B1404" t="s">
        <v>29</v>
      </c>
      <c r="C1404">
        <v>0.02</v>
      </c>
    </row>
    <row r="1405" spans="1:3" x14ac:dyDescent="0.3">
      <c r="A1405" t="s">
        <v>4545</v>
      </c>
      <c r="B1405" t="s">
        <v>29</v>
      </c>
      <c r="C1405">
        <v>0.04</v>
      </c>
    </row>
    <row r="1406" spans="1:3" x14ac:dyDescent="0.3">
      <c r="A1406" t="s">
        <v>5988</v>
      </c>
      <c r="B1406" t="s">
        <v>53</v>
      </c>
      <c r="C1406">
        <v>0.09</v>
      </c>
    </row>
    <row r="1407" spans="1:3" x14ac:dyDescent="0.3">
      <c r="A1407" t="s">
        <v>8022</v>
      </c>
      <c r="B1407" t="s">
        <v>53</v>
      </c>
      <c r="C1407">
        <v>0.03</v>
      </c>
    </row>
    <row r="1408" spans="1:3" x14ac:dyDescent="0.3">
      <c r="A1408" t="s">
        <v>6903</v>
      </c>
      <c r="B1408" t="s">
        <v>64</v>
      </c>
      <c r="C1408">
        <v>7.0000000000000007E-2</v>
      </c>
    </row>
    <row r="1409" spans="1:3" x14ac:dyDescent="0.3">
      <c r="A1409" t="s">
        <v>8305</v>
      </c>
      <c r="B1409" t="s">
        <v>64</v>
      </c>
      <c r="C1409">
        <v>0.02</v>
      </c>
    </row>
    <row r="1410" spans="1:3" x14ac:dyDescent="0.3">
      <c r="A1410" t="s">
        <v>6716</v>
      </c>
      <c r="B1410" t="s">
        <v>40</v>
      </c>
      <c r="C1410">
        <v>0.08</v>
      </c>
    </row>
    <row r="1411" spans="1:3" x14ac:dyDescent="0.3">
      <c r="A1411" t="s">
        <v>7242</v>
      </c>
      <c r="B1411" t="s">
        <v>64</v>
      </c>
      <c r="C1411">
        <v>0.03</v>
      </c>
    </row>
    <row r="1412" spans="1:3" x14ac:dyDescent="0.3">
      <c r="A1412" t="s">
        <v>14705</v>
      </c>
      <c r="B1412" t="s">
        <v>87</v>
      </c>
      <c r="C1412">
        <v>0.06</v>
      </c>
    </row>
    <row r="1413" spans="1:3" x14ac:dyDescent="0.3">
      <c r="A1413" t="s">
        <v>5794</v>
      </c>
      <c r="B1413" t="s">
        <v>40</v>
      </c>
      <c r="C1413">
        <v>0.09</v>
      </c>
    </row>
    <row r="1414" spans="1:3" x14ac:dyDescent="0.3">
      <c r="A1414" t="s">
        <v>11963</v>
      </c>
      <c r="B1414" t="s">
        <v>40</v>
      </c>
      <c r="C1414">
        <v>0.06</v>
      </c>
    </row>
    <row r="1415" spans="1:3" x14ac:dyDescent="0.3">
      <c r="A1415" t="s">
        <v>11963</v>
      </c>
      <c r="B1415" t="s">
        <v>40</v>
      </c>
      <c r="C1415">
        <v>0.1</v>
      </c>
    </row>
    <row r="1416" spans="1:3" x14ac:dyDescent="0.3">
      <c r="A1416" t="s">
        <v>15469</v>
      </c>
      <c r="B1416" t="s">
        <v>64</v>
      </c>
      <c r="C1416">
        <v>0.02</v>
      </c>
    </row>
    <row r="1417" spans="1:3" x14ac:dyDescent="0.3">
      <c r="A1417" t="s">
        <v>15469</v>
      </c>
      <c r="B1417" t="s">
        <v>64</v>
      </c>
      <c r="C1417">
        <v>0.05</v>
      </c>
    </row>
    <row r="1418" spans="1:3" x14ac:dyDescent="0.3">
      <c r="A1418" t="s">
        <v>12851</v>
      </c>
      <c r="B1418" t="s">
        <v>40</v>
      </c>
      <c r="C1418">
        <v>0</v>
      </c>
    </row>
    <row r="1419" spans="1:3" x14ac:dyDescent="0.3">
      <c r="A1419" t="s">
        <v>4670</v>
      </c>
      <c r="B1419" t="s">
        <v>29</v>
      </c>
      <c r="C1419">
        <v>0.02</v>
      </c>
    </row>
    <row r="1420" spans="1:3" x14ac:dyDescent="0.3">
      <c r="A1420" t="s">
        <v>4670</v>
      </c>
      <c r="B1420" t="s">
        <v>29</v>
      </c>
      <c r="C1420">
        <v>0.05</v>
      </c>
    </row>
    <row r="1421" spans="1:3" x14ac:dyDescent="0.3">
      <c r="A1421" t="s">
        <v>4670</v>
      </c>
      <c r="B1421" t="s">
        <v>29</v>
      </c>
      <c r="C1421">
        <v>0.1</v>
      </c>
    </row>
    <row r="1422" spans="1:3" x14ac:dyDescent="0.3">
      <c r="A1422" t="s">
        <v>11931</v>
      </c>
      <c r="B1422" t="s">
        <v>87</v>
      </c>
      <c r="C1422">
        <v>0.04</v>
      </c>
    </row>
    <row r="1423" spans="1:3" x14ac:dyDescent="0.3">
      <c r="A1423" t="s">
        <v>12411</v>
      </c>
      <c r="B1423" t="s">
        <v>87</v>
      </c>
      <c r="C1423">
        <v>0.06</v>
      </c>
    </row>
    <row r="1424" spans="1:3" x14ac:dyDescent="0.3">
      <c r="A1424" t="s">
        <v>12585</v>
      </c>
      <c r="B1424" t="s">
        <v>87</v>
      </c>
      <c r="C1424">
        <v>0.06</v>
      </c>
    </row>
    <row r="1425" spans="1:3" x14ac:dyDescent="0.3">
      <c r="A1425" t="s">
        <v>5735</v>
      </c>
      <c r="B1425" t="s">
        <v>64</v>
      </c>
      <c r="C1425">
        <v>7.0000000000000007E-2</v>
      </c>
    </row>
    <row r="1426" spans="1:3" x14ac:dyDescent="0.3">
      <c r="A1426" t="s">
        <v>11210</v>
      </c>
      <c r="B1426" t="s">
        <v>40</v>
      </c>
      <c r="C1426">
        <v>0.05</v>
      </c>
    </row>
    <row r="1427" spans="1:3" x14ac:dyDescent="0.3">
      <c r="A1427" t="s">
        <v>11210</v>
      </c>
      <c r="B1427" t="s">
        <v>40</v>
      </c>
      <c r="C1427">
        <v>0.06</v>
      </c>
    </row>
    <row r="1428" spans="1:3" x14ac:dyDescent="0.3">
      <c r="A1428" t="s">
        <v>4688</v>
      </c>
      <c r="B1428" t="s">
        <v>40</v>
      </c>
      <c r="C1428">
        <v>0.1</v>
      </c>
    </row>
    <row r="1429" spans="1:3" x14ac:dyDescent="0.3">
      <c r="A1429" t="s">
        <v>4696</v>
      </c>
      <c r="B1429" t="s">
        <v>64</v>
      </c>
      <c r="C1429">
        <v>0.05</v>
      </c>
    </row>
    <row r="1430" spans="1:3" x14ac:dyDescent="0.3">
      <c r="A1430" t="s">
        <v>10604</v>
      </c>
      <c r="B1430" t="s">
        <v>87</v>
      </c>
      <c r="C1430">
        <v>0.04</v>
      </c>
    </row>
    <row r="1431" spans="1:3" x14ac:dyDescent="0.3">
      <c r="A1431" t="s">
        <v>10604</v>
      </c>
      <c r="B1431" t="s">
        <v>87</v>
      </c>
      <c r="C1431">
        <v>0.09</v>
      </c>
    </row>
    <row r="1432" spans="1:3" x14ac:dyDescent="0.3">
      <c r="A1432" t="s">
        <v>7175</v>
      </c>
      <c r="B1432" t="s">
        <v>87</v>
      </c>
      <c r="C1432">
        <v>0.01</v>
      </c>
    </row>
    <row r="1433" spans="1:3" x14ac:dyDescent="0.3">
      <c r="A1433" t="s">
        <v>14622</v>
      </c>
      <c r="B1433" t="s">
        <v>40</v>
      </c>
      <c r="C1433">
        <v>0</v>
      </c>
    </row>
    <row r="1434" spans="1:3" x14ac:dyDescent="0.3">
      <c r="A1434" t="s">
        <v>9220</v>
      </c>
      <c r="B1434" t="s">
        <v>87</v>
      </c>
      <c r="C1434">
        <v>0.1</v>
      </c>
    </row>
    <row r="1435" spans="1:3" x14ac:dyDescent="0.3">
      <c r="A1435" t="s">
        <v>8850</v>
      </c>
      <c r="B1435" t="s">
        <v>225</v>
      </c>
      <c r="C1435">
        <v>0.1</v>
      </c>
    </row>
    <row r="1436" spans="1:3" x14ac:dyDescent="0.3">
      <c r="A1436" t="s">
        <v>8850</v>
      </c>
      <c r="B1436" t="s">
        <v>87</v>
      </c>
      <c r="C1436">
        <v>7.0000000000000007E-2</v>
      </c>
    </row>
    <row r="1437" spans="1:3" x14ac:dyDescent="0.3">
      <c r="A1437" t="s">
        <v>9910</v>
      </c>
      <c r="B1437" t="s">
        <v>29</v>
      </c>
      <c r="C1437">
        <v>0.09</v>
      </c>
    </row>
    <row r="1438" spans="1:3" x14ac:dyDescent="0.3">
      <c r="A1438" t="s">
        <v>7085</v>
      </c>
      <c r="B1438" t="s">
        <v>29</v>
      </c>
      <c r="C1438">
        <v>0</v>
      </c>
    </row>
    <row r="1439" spans="1:3" x14ac:dyDescent="0.3">
      <c r="A1439" t="s">
        <v>7085</v>
      </c>
      <c r="B1439" t="s">
        <v>29</v>
      </c>
      <c r="C1439">
        <v>0.06</v>
      </c>
    </row>
    <row r="1440" spans="1:3" x14ac:dyDescent="0.3">
      <c r="A1440" t="s">
        <v>12532</v>
      </c>
      <c r="B1440" t="s">
        <v>40</v>
      </c>
      <c r="C1440">
        <v>0.05</v>
      </c>
    </row>
    <row r="1441" spans="1:3" x14ac:dyDescent="0.3">
      <c r="A1441" t="s">
        <v>12788</v>
      </c>
      <c r="B1441" t="s">
        <v>53</v>
      </c>
      <c r="C1441">
        <v>7.0000000000000007E-2</v>
      </c>
    </row>
    <row r="1442" spans="1:3" x14ac:dyDescent="0.3">
      <c r="A1442" t="s">
        <v>4762</v>
      </c>
      <c r="B1442" t="s">
        <v>40</v>
      </c>
      <c r="C1442">
        <v>0</v>
      </c>
    </row>
    <row r="1443" spans="1:3" x14ac:dyDescent="0.3">
      <c r="A1443" t="s">
        <v>4786</v>
      </c>
      <c r="B1443" t="s">
        <v>29</v>
      </c>
      <c r="C1443">
        <v>0.06</v>
      </c>
    </row>
    <row r="1444" spans="1:3" x14ac:dyDescent="0.3">
      <c r="A1444" t="s">
        <v>6369</v>
      </c>
      <c r="B1444" t="s">
        <v>29</v>
      </c>
      <c r="C1444">
        <v>0.02</v>
      </c>
    </row>
    <row r="1445" spans="1:3" x14ac:dyDescent="0.3">
      <c r="A1445" t="s">
        <v>10394</v>
      </c>
      <c r="B1445" t="s">
        <v>87</v>
      </c>
      <c r="C1445">
        <v>0.03</v>
      </c>
    </row>
    <row r="1446" spans="1:3" x14ac:dyDescent="0.3">
      <c r="A1446" t="s">
        <v>5936</v>
      </c>
      <c r="B1446" t="s">
        <v>225</v>
      </c>
      <c r="C1446">
        <v>0.02</v>
      </c>
    </row>
    <row r="1447" spans="1:3" x14ac:dyDescent="0.3">
      <c r="A1447" t="s">
        <v>6150</v>
      </c>
      <c r="B1447" t="s">
        <v>225</v>
      </c>
      <c r="C1447">
        <v>0.03</v>
      </c>
    </row>
    <row r="1448" spans="1:3" x14ac:dyDescent="0.3">
      <c r="A1448" t="s">
        <v>15672</v>
      </c>
      <c r="B1448" t="s">
        <v>225</v>
      </c>
      <c r="C1448">
        <v>0.03</v>
      </c>
    </row>
    <row r="1449" spans="1:3" x14ac:dyDescent="0.3">
      <c r="A1449" t="s">
        <v>15672</v>
      </c>
      <c r="B1449" t="s">
        <v>225</v>
      </c>
      <c r="C1449">
        <v>0.06</v>
      </c>
    </row>
    <row r="1450" spans="1:3" x14ac:dyDescent="0.3">
      <c r="A1450" t="s">
        <v>15672</v>
      </c>
      <c r="B1450" t="s">
        <v>225</v>
      </c>
      <c r="C1450">
        <v>0.08</v>
      </c>
    </row>
    <row r="1451" spans="1:3" x14ac:dyDescent="0.3">
      <c r="A1451" t="s">
        <v>9592</v>
      </c>
      <c r="B1451" t="s">
        <v>40</v>
      </c>
      <c r="C1451">
        <v>0.05</v>
      </c>
    </row>
    <row r="1452" spans="1:3" x14ac:dyDescent="0.3">
      <c r="A1452" t="s">
        <v>9491</v>
      </c>
      <c r="B1452" t="s">
        <v>64</v>
      </c>
      <c r="C1452">
        <v>0.09</v>
      </c>
    </row>
    <row r="1453" spans="1:3" x14ac:dyDescent="0.3">
      <c r="A1453" t="s">
        <v>4865</v>
      </c>
      <c r="B1453" t="s">
        <v>29</v>
      </c>
      <c r="C1453">
        <v>0.03</v>
      </c>
    </row>
    <row r="1454" spans="1:3" x14ac:dyDescent="0.3">
      <c r="A1454" t="s">
        <v>4865</v>
      </c>
      <c r="B1454" t="s">
        <v>29</v>
      </c>
      <c r="C1454">
        <v>0.06</v>
      </c>
    </row>
    <row r="1455" spans="1:3" x14ac:dyDescent="0.3">
      <c r="A1455" t="s">
        <v>6541</v>
      </c>
      <c r="B1455" t="s">
        <v>87</v>
      </c>
      <c r="C1455">
        <v>0.08</v>
      </c>
    </row>
    <row r="1456" spans="1:3" x14ac:dyDescent="0.3">
      <c r="A1456" t="s">
        <v>6541</v>
      </c>
      <c r="B1456" t="s">
        <v>87</v>
      </c>
      <c r="C1456">
        <v>0.09</v>
      </c>
    </row>
    <row r="1457" spans="1:3" x14ac:dyDescent="0.3">
      <c r="A1457" t="s">
        <v>4876</v>
      </c>
      <c r="B1457" t="s">
        <v>53</v>
      </c>
      <c r="C1457">
        <v>0.03</v>
      </c>
    </row>
    <row r="1458" spans="1:3" x14ac:dyDescent="0.3">
      <c r="A1458" t="s">
        <v>11860</v>
      </c>
      <c r="B1458" t="s">
        <v>225</v>
      </c>
      <c r="C1458">
        <v>0.05</v>
      </c>
    </row>
    <row r="1459" spans="1:3" x14ac:dyDescent="0.3">
      <c r="A1459" t="s">
        <v>11860</v>
      </c>
      <c r="B1459" t="s">
        <v>64</v>
      </c>
      <c r="C1459">
        <v>0.02</v>
      </c>
    </row>
    <row r="1460" spans="1:3" x14ac:dyDescent="0.3">
      <c r="A1460" t="s">
        <v>11860</v>
      </c>
      <c r="B1460" t="s">
        <v>64</v>
      </c>
      <c r="C1460">
        <v>0.04</v>
      </c>
    </row>
    <row r="1461" spans="1:3" x14ac:dyDescent="0.3">
      <c r="A1461" t="s">
        <v>4908</v>
      </c>
      <c r="B1461" t="s">
        <v>53</v>
      </c>
      <c r="C1461">
        <v>0.08</v>
      </c>
    </row>
    <row r="1462" spans="1:3" x14ac:dyDescent="0.3">
      <c r="A1462" t="s">
        <v>7298</v>
      </c>
      <c r="B1462" t="s">
        <v>225</v>
      </c>
      <c r="C1462">
        <v>7.0000000000000007E-2</v>
      </c>
    </row>
    <row r="1463" spans="1:3" x14ac:dyDescent="0.3">
      <c r="A1463" t="s">
        <v>14089</v>
      </c>
      <c r="B1463" t="s">
        <v>225</v>
      </c>
      <c r="C1463">
        <v>0</v>
      </c>
    </row>
    <row r="1464" spans="1:3" x14ac:dyDescent="0.3">
      <c r="A1464" t="s">
        <v>9582</v>
      </c>
      <c r="B1464" t="s">
        <v>87</v>
      </c>
      <c r="C1464">
        <v>0.01</v>
      </c>
    </row>
    <row r="1465" spans="1:3" x14ac:dyDescent="0.3">
      <c r="A1465" t="s">
        <v>11857</v>
      </c>
      <c r="B1465" t="s">
        <v>53</v>
      </c>
      <c r="C1465">
        <v>0.05</v>
      </c>
    </row>
    <row r="1466" spans="1:3" x14ac:dyDescent="0.3">
      <c r="A1466" t="s">
        <v>8878</v>
      </c>
      <c r="B1466" t="s">
        <v>29</v>
      </c>
      <c r="C1466">
        <v>0</v>
      </c>
    </row>
    <row r="1467" spans="1:3" x14ac:dyDescent="0.3">
      <c r="A1467" t="s">
        <v>8878</v>
      </c>
      <c r="B1467" t="s">
        <v>29</v>
      </c>
      <c r="C1467">
        <v>0.01</v>
      </c>
    </row>
    <row r="1468" spans="1:3" x14ac:dyDescent="0.3">
      <c r="A1468" t="s">
        <v>8878</v>
      </c>
      <c r="B1468" t="s">
        <v>29</v>
      </c>
      <c r="C1468">
        <v>0.1</v>
      </c>
    </row>
    <row r="1469" spans="1:3" x14ac:dyDescent="0.3">
      <c r="A1469" t="s">
        <v>14332</v>
      </c>
      <c r="B1469" t="s">
        <v>53</v>
      </c>
      <c r="C1469">
        <v>0.01</v>
      </c>
    </row>
    <row r="1470" spans="1:3" x14ac:dyDescent="0.3">
      <c r="A1470" t="s">
        <v>14332</v>
      </c>
      <c r="B1470" t="s">
        <v>53</v>
      </c>
      <c r="C1470">
        <v>0.03</v>
      </c>
    </row>
    <row r="1471" spans="1:3" x14ac:dyDescent="0.3">
      <c r="A1471" t="s">
        <v>14332</v>
      </c>
      <c r="B1471" t="s">
        <v>53</v>
      </c>
      <c r="C1471">
        <v>0.05</v>
      </c>
    </row>
    <row r="1472" spans="1:3" x14ac:dyDescent="0.3">
      <c r="A1472" t="s">
        <v>13250</v>
      </c>
      <c r="B1472" t="s">
        <v>53</v>
      </c>
      <c r="C1472">
        <v>0.1</v>
      </c>
    </row>
    <row r="1473" spans="1:3" x14ac:dyDescent="0.3">
      <c r="A1473" t="s">
        <v>4959</v>
      </c>
      <c r="B1473" t="s">
        <v>87</v>
      </c>
      <c r="C1473">
        <v>0.02</v>
      </c>
    </row>
    <row r="1474" spans="1:3" x14ac:dyDescent="0.3">
      <c r="A1474" t="s">
        <v>4966</v>
      </c>
      <c r="B1474" t="s">
        <v>40</v>
      </c>
      <c r="C1474">
        <v>0.03</v>
      </c>
    </row>
    <row r="1475" spans="1:3" x14ac:dyDescent="0.3">
      <c r="A1475" t="s">
        <v>14690</v>
      </c>
      <c r="B1475" t="s">
        <v>64</v>
      </c>
      <c r="C1475">
        <v>0.08</v>
      </c>
    </row>
    <row r="1476" spans="1:3" x14ac:dyDescent="0.3">
      <c r="A1476" t="s">
        <v>6234</v>
      </c>
      <c r="B1476" t="s">
        <v>225</v>
      </c>
      <c r="C1476">
        <v>0.01</v>
      </c>
    </row>
    <row r="1477" spans="1:3" x14ac:dyDescent="0.3">
      <c r="A1477" t="s">
        <v>6234</v>
      </c>
      <c r="B1477" t="s">
        <v>225</v>
      </c>
      <c r="C1477">
        <v>0.06</v>
      </c>
    </row>
    <row r="1478" spans="1:3" x14ac:dyDescent="0.3">
      <c r="A1478" t="s">
        <v>4979</v>
      </c>
      <c r="B1478" t="s">
        <v>225</v>
      </c>
      <c r="C1478">
        <v>0.06</v>
      </c>
    </row>
    <row r="1479" spans="1:3" x14ac:dyDescent="0.3">
      <c r="A1479" t="s">
        <v>4998</v>
      </c>
      <c r="B1479" t="s">
        <v>87</v>
      </c>
      <c r="C1479">
        <v>0.04</v>
      </c>
    </row>
    <row r="1480" spans="1:3" x14ac:dyDescent="0.3">
      <c r="A1480" t="s">
        <v>4998</v>
      </c>
      <c r="B1480" t="s">
        <v>87</v>
      </c>
      <c r="C1480">
        <v>0.09</v>
      </c>
    </row>
    <row r="1481" spans="1:3" x14ac:dyDescent="0.3">
      <c r="A1481" t="s">
        <v>4998</v>
      </c>
      <c r="B1481" t="s">
        <v>87</v>
      </c>
      <c r="C1481">
        <v>0.1</v>
      </c>
    </row>
    <row r="1482" spans="1:3" x14ac:dyDescent="0.3">
      <c r="A1482" t="s">
        <v>14545</v>
      </c>
      <c r="B1482" t="s">
        <v>53</v>
      </c>
      <c r="C1482">
        <v>0.04</v>
      </c>
    </row>
    <row r="1483" spans="1:3" x14ac:dyDescent="0.3">
      <c r="A1483" t="s">
        <v>14545</v>
      </c>
      <c r="B1483" t="s">
        <v>53</v>
      </c>
      <c r="C1483">
        <v>0.05</v>
      </c>
    </row>
    <row r="1484" spans="1:3" x14ac:dyDescent="0.3">
      <c r="A1484" t="s">
        <v>12744</v>
      </c>
      <c r="B1484" t="s">
        <v>53</v>
      </c>
      <c r="C1484">
        <v>0.01</v>
      </c>
    </row>
    <row r="1485" spans="1:3" x14ac:dyDescent="0.3">
      <c r="A1485" t="s">
        <v>5004</v>
      </c>
      <c r="B1485" t="s">
        <v>225</v>
      </c>
      <c r="C1485">
        <v>0</v>
      </c>
    </row>
    <row r="1486" spans="1:3" x14ac:dyDescent="0.3">
      <c r="A1486" t="s">
        <v>5010</v>
      </c>
      <c r="B1486" t="s">
        <v>40</v>
      </c>
      <c r="C1486">
        <v>0</v>
      </c>
    </row>
    <row r="1487" spans="1:3" x14ac:dyDescent="0.3">
      <c r="A1487" t="s">
        <v>5010</v>
      </c>
      <c r="B1487" t="s">
        <v>87</v>
      </c>
      <c r="C1487">
        <v>7.0000000000000007E-2</v>
      </c>
    </row>
    <row r="1488" spans="1:3" x14ac:dyDescent="0.3">
      <c r="A1488" t="s">
        <v>8458</v>
      </c>
      <c r="B1488" t="s">
        <v>87</v>
      </c>
      <c r="C1488">
        <v>0.01</v>
      </c>
    </row>
    <row r="1489" spans="1:3" x14ac:dyDescent="0.3">
      <c r="A1489" t="s">
        <v>9306</v>
      </c>
      <c r="B1489" t="s">
        <v>40</v>
      </c>
      <c r="C1489">
        <v>0.06</v>
      </c>
    </row>
    <row r="1490" spans="1:3" x14ac:dyDescent="0.3">
      <c r="A1490" t="s">
        <v>6620</v>
      </c>
      <c r="B1490" t="s">
        <v>87</v>
      </c>
      <c r="C1490">
        <v>0.02</v>
      </c>
    </row>
    <row r="1491" spans="1:3" x14ac:dyDescent="0.3">
      <c r="A1491" t="s">
        <v>6158</v>
      </c>
      <c r="B1491" t="s">
        <v>40</v>
      </c>
      <c r="C1491">
        <v>0.09</v>
      </c>
    </row>
    <row r="1492" spans="1:3" x14ac:dyDescent="0.3">
      <c r="A1492" t="s">
        <v>15112</v>
      </c>
      <c r="B1492" t="s">
        <v>29</v>
      </c>
      <c r="C1492">
        <v>0.02</v>
      </c>
    </row>
    <row r="1493" spans="1:3" x14ac:dyDescent="0.3">
      <c r="A1493" t="s">
        <v>11276</v>
      </c>
      <c r="B1493" t="s">
        <v>225</v>
      </c>
      <c r="C1493">
        <v>0.06</v>
      </c>
    </row>
    <row r="1494" spans="1:3" x14ac:dyDescent="0.3">
      <c r="A1494" t="s">
        <v>14706</v>
      </c>
      <c r="B1494" t="s">
        <v>225</v>
      </c>
      <c r="C1494">
        <v>0.04</v>
      </c>
    </row>
    <row r="1495" spans="1:3" x14ac:dyDescent="0.3">
      <c r="A1495" t="s">
        <v>14706</v>
      </c>
      <c r="B1495" t="s">
        <v>225</v>
      </c>
      <c r="C1495">
        <v>7.0000000000000007E-2</v>
      </c>
    </row>
    <row r="1496" spans="1:3" x14ac:dyDescent="0.3">
      <c r="A1496" t="s">
        <v>14249</v>
      </c>
      <c r="B1496" t="s">
        <v>225</v>
      </c>
      <c r="C1496">
        <v>0.01</v>
      </c>
    </row>
    <row r="1497" spans="1:3" x14ac:dyDescent="0.3">
      <c r="A1497" t="s">
        <v>14249</v>
      </c>
      <c r="B1497" t="s">
        <v>225</v>
      </c>
      <c r="C1497">
        <v>0.03</v>
      </c>
    </row>
    <row r="1498" spans="1:3" x14ac:dyDescent="0.3">
      <c r="A1498" t="s">
        <v>9702</v>
      </c>
      <c r="B1498" t="s">
        <v>225</v>
      </c>
      <c r="C1498">
        <v>0.06</v>
      </c>
    </row>
    <row r="1499" spans="1:3" x14ac:dyDescent="0.3">
      <c r="A1499" t="s">
        <v>9553</v>
      </c>
      <c r="B1499" t="s">
        <v>53</v>
      </c>
      <c r="C1499">
        <v>0.09</v>
      </c>
    </row>
    <row r="1500" spans="1:3" x14ac:dyDescent="0.3">
      <c r="A1500" t="s">
        <v>5072</v>
      </c>
      <c r="B1500" t="s">
        <v>40</v>
      </c>
      <c r="C1500">
        <v>0.09</v>
      </c>
    </row>
    <row r="1501" spans="1:3" x14ac:dyDescent="0.3">
      <c r="A1501" t="s">
        <v>5072</v>
      </c>
      <c r="B1501" t="s">
        <v>64</v>
      </c>
      <c r="C1501">
        <v>0.02</v>
      </c>
    </row>
    <row r="1502" spans="1:3" x14ac:dyDescent="0.3">
      <c r="A1502" t="s">
        <v>15165</v>
      </c>
      <c r="B1502" t="s">
        <v>87</v>
      </c>
      <c r="C1502">
        <v>0.03</v>
      </c>
    </row>
    <row r="1503" spans="1:3" x14ac:dyDescent="0.3">
      <c r="A1503" t="s">
        <v>13818</v>
      </c>
      <c r="B1503" t="s">
        <v>40</v>
      </c>
      <c r="C1503">
        <v>0.1</v>
      </c>
    </row>
    <row r="1504" spans="1:3" x14ac:dyDescent="0.3">
      <c r="A1504" t="s">
        <v>14952</v>
      </c>
      <c r="B1504" t="s">
        <v>40</v>
      </c>
      <c r="C1504">
        <v>0.06</v>
      </c>
    </row>
    <row r="1505" spans="1:3" x14ac:dyDescent="0.3">
      <c r="A1505" t="s">
        <v>7375</v>
      </c>
      <c r="B1505" t="s">
        <v>40</v>
      </c>
      <c r="C1505">
        <v>0.01</v>
      </c>
    </row>
    <row r="1506" spans="1:3" x14ac:dyDescent="0.3">
      <c r="A1506" t="s">
        <v>13031</v>
      </c>
      <c r="B1506" t="s">
        <v>225</v>
      </c>
      <c r="C1506">
        <v>0.01</v>
      </c>
    </row>
    <row r="1507" spans="1:3" x14ac:dyDescent="0.3">
      <c r="A1507" t="s">
        <v>6924</v>
      </c>
      <c r="B1507" t="s">
        <v>64</v>
      </c>
      <c r="C1507">
        <v>0.05</v>
      </c>
    </row>
    <row r="1508" spans="1:3" x14ac:dyDescent="0.3">
      <c r="A1508" t="s">
        <v>6924</v>
      </c>
      <c r="B1508" t="s">
        <v>53</v>
      </c>
      <c r="C1508">
        <v>0.02</v>
      </c>
    </row>
    <row r="1509" spans="1:3" x14ac:dyDescent="0.3">
      <c r="A1509" t="s">
        <v>13782</v>
      </c>
      <c r="B1509" t="s">
        <v>64</v>
      </c>
      <c r="C1509">
        <v>0.09</v>
      </c>
    </row>
    <row r="1510" spans="1:3" x14ac:dyDescent="0.3">
      <c r="A1510" t="s">
        <v>10553</v>
      </c>
      <c r="B1510" t="s">
        <v>40</v>
      </c>
      <c r="C1510">
        <v>7.0000000000000007E-2</v>
      </c>
    </row>
    <row r="1511" spans="1:3" x14ac:dyDescent="0.3">
      <c r="A1511" t="s">
        <v>5230</v>
      </c>
      <c r="B1511" t="s">
        <v>40</v>
      </c>
      <c r="C1511">
        <v>0.09</v>
      </c>
    </row>
    <row r="1512" spans="1:3" x14ac:dyDescent="0.3">
      <c r="A1512" t="s">
        <v>11699</v>
      </c>
      <c r="B1512" t="s">
        <v>29</v>
      </c>
      <c r="C1512">
        <v>0.09</v>
      </c>
    </row>
    <row r="1513" spans="1:3" x14ac:dyDescent="0.3">
      <c r="A1513" t="s">
        <v>5248</v>
      </c>
      <c r="B1513" t="s">
        <v>87</v>
      </c>
      <c r="C1513">
        <v>0.04</v>
      </c>
    </row>
    <row r="1514" spans="1:3" x14ac:dyDescent="0.3">
      <c r="A1514" t="s">
        <v>12019</v>
      </c>
      <c r="B1514" t="s">
        <v>40</v>
      </c>
      <c r="C1514">
        <v>0.01</v>
      </c>
    </row>
    <row r="1515" spans="1:3" x14ac:dyDescent="0.3">
      <c r="A1515" t="s">
        <v>12019</v>
      </c>
      <c r="B1515" t="s">
        <v>40</v>
      </c>
      <c r="C1515">
        <v>0.02</v>
      </c>
    </row>
    <row r="1516" spans="1:3" x14ac:dyDescent="0.3">
      <c r="A1516" t="s">
        <v>12019</v>
      </c>
      <c r="B1516" t="s">
        <v>87</v>
      </c>
      <c r="C1516">
        <v>7.0000000000000007E-2</v>
      </c>
    </row>
    <row r="1517" spans="1:3" x14ac:dyDescent="0.3">
      <c r="A1517" t="s">
        <v>7411</v>
      </c>
      <c r="B1517" t="s">
        <v>64</v>
      </c>
      <c r="C1517">
        <v>0.08</v>
      </c>
    </row>
    <row r="1518" spans="1:3" x14ac:dyDescent="0.3">
      <c r="A1518" t="s">
        <v>14216</v>
      </c>
      <c r="B1518" t="s">
        <v>225</v>
      </c>
      <c r="C1518">
        <v>0</v>
      </c>
    </row>
    <row r="1519" spans="1:3" x14ac:dyDescent="0.3">
      <c r="A1519" t="s">
        <v>14216</v>
      </c>
      <c r="B1519" t="s">
        <v>225</v>
      </c>
      <c r="C1519">
        <v>0.01</v>
      </c>
    </row>
    <row r="1520" spans="1:3" x14ac:dyDescent="0.3">
      <c r="A1520" t="s">
        <v>14216</v>
      </c>
      <c r="B1520" t="s">
        <v>225</v>
      </c>
      <c r="C1520">
        <v>0.02</v>
      </c>
    </row>
    <row r="1521" spans="1:3" x14ac:dyDescent="0.3">
      <c r="A1521" t="s">
        <v>14216</v>
      </c>
      <c r="B1521" t="s">
        <v>225</v>
      </c>
      <c r="C1521">
        <v>0.1</v>
      </c>
    </row>
    <row r="1522" spans="1:3" x14ac:dyDescent="0.3">
      <c r="A1522" t="s">
        <v>5712</v>
      </c>
      <c r="B1522" t="s">
        <v>40</v>
      </c>
      <c r="C1522">
        <v>0.1</v>
      </c>
    </row>
    <row r="1523" spans="1:3" x14ac:dyDescent="0.3">
      <c r="A1523" t="s">
        <v>5270</v>
      </c>
      <c r="B1523" t="s">
        <v>40</v>
      </c>
      <c r="C1523">
        <v>0.01</v>
      </c>
    </row>
    <row r="1524" spans="1:3" x14ac:dyDescent="0.3">
      <c r="A1524" t="s">
        <v>8057</v>
      </c>
      <c r="B1524" t="s">
        <v>40</v>
      </c>
      <c r="C1524">
        <v>0</v>
      </c>
    </row>
    <row r="1525" spans="1:3" x14ac:dyDescent="0.3">
      <c r="A1525" t="s">
        <v>9987</v>
      </c>
      <c r="B1525" t="s">
        <v>40</v>
      </c>
      <c r="C1525">
        <v>0.01</v>
      </c>
    </row>
    <row r="1526" spans="1:3" x14ac:dyDescent="0.3">
      <c r="A1526" t="s">
        <v>9987</v>
      </c>
      <c r="B1526" t="s">
        <v>40</v>
      </c>
      <c r="C1526">
        <v>0.03</v>
      </c>
    </row>
    <row r="1527" spans="1:3" x14ac:dyDescent="0.3">
      <c r="A1527" t="s">
        <v>12476</v>
      </c>
      <c r="B1527" t="s">
        <v>87</v>
      </c>
      <c r="C1527">
        <v>0.03</v>
      </c>
    </row>
    <row r="1528" spans="1:3" x14ac:dyDescent="0.3">
      <c r="A1528" t="s">
        <v>7893</v>
      </c>
      <c r="B1528" t="s">
        <v>87</v>
      </c>
      <c r="C1528">
        <v>0.1</v>
      </c>
    </row>
    <row r="1529" spans="1:3" x14ac:dyDescent="0.3">
      <c r="A1529" t="s">
        <v>7312</v>
      </c>
      <c r="B1529" t="s">
        <v>40</v>
      </c>
      <c r="C1529">
        <v>0.03</v>
      </c>
    </row>
    <row r="1530" spans="1:3" x14ac:dyDescent="0.3">
      <c r="A1530" t="s">
        <v>10975</v>
      </c>
      <c r="B1530" t="s">
        <v>40</v>
      </c>
      <c r="C1530">
        <v>0.06</v>
      </c>
    </row>
    <row r="1531" spans="1:3" x14ac:dyDescent="0.3">
      <c r="A1531" t="s">
        <v>10975</v>
      </c>
      <c r="B1531" t="s">
        <v>40</v>
      </c>
      <c r="C1531">
        <v>7.0000000000000007E-2</v>
      </c>
    </row>
    <row r="1532" spans="1:3" x14ac:dyDescent="0.3">
      <c r="A1532" t="s">
        <v>5313</v>
      </c>
      <c r="B1532" t="s">
        <v>53</v>
      </c>
      <c r="C1532">
        <v>0.1</v>
      </c>
    </row>
    <row r="1533" spans="1:3" x14ac:dyDescent="0.3">
      <c r="A1533" t="s">
        <v>5313</v>
      </c>
      <c r="B1533" t="s">
        <v>87</v>
      </c>
      <c r="C1533">
        <v>0.09</v>
      </c>
    </row>
    <row r="1534" spans="1:3" x14ac:dyDescent="0.3">
      <c r="A1534" t="s">
        <v>12141</v>
      </c>
      <c r="B1534" t="s">
        <v>40</v>
      </c>
      <c r="C1534">
        <v>0.02</v>
      </c>
    </row>
    <row r="1535" spans="1:3" x14ac:dyDescent="0.3">
      <c r="A1535" t="s">
        <v>9567</v>
      </c>
      <c r="B1535" t="s">
        <v>29</v>
      </c>
      <c r="C1535">
        <v>0.04</v>
      </c>
    </row>
    <row r="1536" spans="1:3" x14ac:dyDescent="0.3">
      <c r="A1536" t="s">
        <v>9567</v>
      </c>
      <c r="B1536" t="s">
        <v>87</v>
      </c>
      <c r="C1536">
        <v>0.02</v>
      </c>
    </row>
    <row r="1537" spans="1:3" x14ac:dyDescent="0.3">
      <c r="A1537" t="s">
        <v>9567</v>
      </c>
      <c r="B1537" t="s">
        <v>87</v>
      </c>
      <c r="C1537">
        <v>0.06</v>
      </c>
    </row>
    <row r="1538" spans="1:3" x14ac:dyDescent="0.3">
      <c r="A1538" t="s">
        <v>11892</v>
      </c>
      <c r="B1538" t="s">
        <v>29</v>
      </c>
      <c r="C1538">
        <v>0.09</v>
      </c>
    </row>
    <row r="1539" spans="1:3" x14ac:dyDescent="0.3">
      <c r="A1539" t="s">
        <v>15106</v>
      </c>
      <c r="B1539" t="s">
        <v>40</v>
      </c>
      <c r="C1539">
        <v>0.01</v>
      </c>
    </row>
    <row r="1540" spans="1:3" x14ac:dyDescent="0.3">
      <c r="A1540" t="s">
        <v>9374</v>
      </c>
      <c r="B1540" t="s">
        <v>64</v>
      </c>
      <c r="C1540">
        <v>0.05</v>
      </c>
    </row>
    <row r="1541" spans="1:3" x14ac:dyDescent="0.3">
      <c r="A1541" t="s">
        <v>9608</v>
      </c>
      <c r="B1541" t="s">
        <v>64</v>
      </c>
      <c r="C1541">
        <v>0.05</v>
      </c>
    </row>
    <row r="1542" spans="1:3" x14ac:dyDescent="0.3">
      <c r="A1542" t="s">
        <v>9608</v>
      </c>
      <c r="B1542" t="s">
        <v>64</v>
      </c>
      <c r="C1542">
        <v>7.0000000000000007E-2</v>
      </c>
    </row>
    <row r="1543" spans="1:3" x14ac:dyDescent="0.3">
      <c r="A1543" t="s">
        <v>12362</v>
      </c>
      <c r="B1543" t="s">
        <v>29</v>
      </c>
      <c r="C1543">
        <v>0.06</v>
      </c>
    </row>
    <row r="1544" spans="1:3" x14ac:dyDescent="0.3">
      <c r="A1544" t="s">
        <v>12362</v>
      </c>
      <c r="B1544" t="s">
        <v>29</v>
      </c>
      <c r="C1544">
        <v>0.08</v>
      </c>
    </row>
    <row r="1545" spans="1:3" x14ac:dyDescent="0.3">
      <c r="A1545" t="s">
        <v>12362</v>
      </c>
      <c r="B1545" t="s">
        <v>29</v>
      </c>
      <c r="C1545">
        <v>0.09</v>
      </c>
    </row>
    <row r="1546" spans="1:3" x14ac:dyDescent="0.3">
      <c r="A1546" t="s">
        <v>10513</v>
      </c>
      <c r="B1546" t="s">
        <v>40</v>
      </c>
      <c r="C1546">
        <v>0.08</v>
      </c>
    </row>
    <row r="1547" spans="1:3" x14ac:dyDescent="0.3">
      <c r="A1547" t="s">
        <v>13779</v>
      </c>
      <c r="B1547" t="s">
        <v>40</v>
      </c>
      <c r="C1547">
        <v>0.08</v>
      </c>
    </row>
    <row r="1548" spans="1:3" x14ac:dyDescent="0.3">
      <c r="A1548" t="s">
        <v>8978</v>
      </c>
      <c r="B1548" t="s">
        <v>53</v>
      </c>
      <c r="C1548">
        <v>7.0000000000000007E-2</v>
      </c>
    </row>
    <row r="1549" spans="1:3" x14ac:dyDescent="0.3">
      <c r="A1549" t="s">
        <v>13781</v>
      </c>
      <c r="B1549" t="s">
        <v>53</v>
      </c>
      <c r="C1549">
        <v>0.01</v>
      </c>
    </row>
    <row r="1550" spans="1:3" x14ac:dyDescent="0.3">
      <c r="A1550" t="s">
        <v>9279</v>
      </c>
      <c r="B1550" t="s">
        <v>29</v>
      </c>
      <c r="C1550">
        <v>0.05</v>
      </c>
    </row>
    <row r="1551" spans="1:3" x14ac:dyDescent="0.3">
      <c r="A1551" t="s">
        <v>5443</v>
      </c>
      <c r="B1551" t="s">
        <v>64</v>
      </c>
      <c r="C1551">
        <v>0</v>
      </c>
    </row>
    <row r="1552" spans="1:3" x14ac:dyDescent="0.3">
      <c r="A1552" t="s">
        <v>13072</v>
      </c>
      <c r="B1552" t="s">
        <v>87</v>
      </c>
      <c r="C1552">
        <v>0.02</v>
      </c>
    </row>
    <row r="1553" spans="1:3" x14ac:dyDescent="0.3">
      <c r="A1553" t="s">
        <v>7335</v>
      </c>
      <c r="B1553" t="s">
        <v>64</v>
      </c>
      <c r="C1553">
        <v>7.0000000000000007E-2</v>
      </c>
    </row>
    <row r="1554" spans="1:3" x14ac:dyDescent="0.3">
      <c r="A1554" t="s">
        <v>7335</v>
      </c>
      <c r="B1554" t="s">
        <v>87</v>
      </c>
      <c r="C1554">
        <v>0.09</v>
      </c>
    </row>
    <row r="1555" spans="1:3" x14ac:dyDescent="0.3">
      <c r="A1555" t="s">
        <v>14462</v>
      </c>
      <c r="B1555" t="s">
        <v>225</v>
      </c>
      <c r="C1555">
        <v>0.06</v>
      </c>
    </row>
    <row r="1556" spans="1:3" x14ac:dyDescent="0.3">
      <c r="A1556" t="s">
        <v>5471</v>
      </c>
      <c r="B1556" t="s">
        <v>29</v>
      </c>
      <c r="C1556">
        <v>0.01</v>
      </c>
    </row>
    <row r="1557" spans="1:3" x14ac:dyDescent="0.3">
      <c r="A1557" t="s">
        <v>5471</v>
      </c>
      <c r="B1557" t="s">
        <v>29</v>
      </c>
      <c r="C1557">
        <v>0.06</v>
      </c>
    </row>
    <row r="1558" spans="1:3" x14ac:dyDescent="0.3">
      <c r="A1558" t="s">
        <v>14245</v>
      </c>
      <c r="B1558" t="s">
        <v>225</v>
      </c>
      <c r="C1558">
        <v>0.06</v>
      </c>
    </row>
    <row r="1559" spans="1:3" x14ac:dyDescent="0.3">
      <c r="A1559" t="s">
        <v>5489</v>
      </c>
      <c r="B1559" t="s">
        <v>29</v>
      </c>
      <c r="C1559">
        <v>0.04</v>
      </c>
    </row>
    <row r="1560" spans="1:3" x14ac:dyDescent="0.3">
      <c r="A1560" t="s">
        <v>5489</v>
      </c>
      <c r="B1560" t="s">
        <v>29</v>
      </c>
      <c r="C1560">
        <v>0.05</v>
      </c>
    </row>
    <row r="1561" spans="1:3" x14ac:dyDescent="0.3">
      <c r="A1561" t="s">
        <v>11919</v>
      </c>
      <c r="B1561" t="s">
        <v>40</v>
      </c>
      <c r="C1561">
        <v>0.05</v>
      </c>
    </row>
    <row r="1562" spans="1:3" x14ac:dyDescent="0.3">
      <c r="A1562" t="s">
        <v>11919</v>
      </c>
      <c r="B1562" t="s">
        <v>87</v>
      </c>
      <c r="C1562">
        <v>0.1</v>
      </c>
    </row>
    <row r="1563" spans="1:3" x14ac:dyDescent="0.3">
      <c r="A1563" t="s">
        <v>7006</v>
      </c>
      <c r="B1563" t="s">
        <v>87</v>
      </c>
      <c r="C1563">
        <v>0.06</v>
      </c>
    </row>
    <row r="1564" spans="1:3" x14ac:dyDescent="0.3">
      <c r="A1564" t="s">
        <v>10768</v>
      </c>
      <c r="B1564" t="s">
        <v>64</v>
      </c>
      <c r="C1564">
        <v>0.05</v>
      </c>
    </row>
    <row r="1565" spans="1:3" x14ac:dyDescent="0.3">
      <c r="A1565" t="s">
        <v>10768</v>
      </c>
      <c r="B1565" t="s">
        <v>29</v>
      </c>
      <c r="C1565">
        <v>0.06</v>
      </c>
    </row>
    <row r="1566" spans="1:3" x14ac:dyDescent="0.3">
      <c r="A1566" t="s">
        <v>10768</v>
      </c>
      <c r="B1566" t="s">
        <v>87</v>
      </c>
      <c r="C1566">
        <v>7.0000000000000007E-2</v>
      </c>
    </row>
    <row r="1567" spans="1:3" x14ac:dyDescent="0.3">
      <c r="A1567" t="s">
        <v>9213</v>
      </c>
      <c r="B1567" t="s">
        <v>40</v>
      </c>
      <c r="C1567">
        <v>0.02</v>
      </c>
    </row>
    <row r="1568" spans="1:3" x14ac:dyDescent="0.3">
      <c r="A1568" t="s">
        <v>12925</v>
      </c>
      <c r="B1568" t="s">
        <v>29</v>
      </c>
      <c r="C1568">
        <v>0.05</v>
      </c>
    </row>
    <row r="1569" spans="1:3" x14ac:dyDescent="0.3">
      <c r="A1569" t="s">
        <v>13158</v>
      </c>
      <c r="B1569" t="s">
        <v>87</v>
      </c>
      <c r="C1569">
        <v>0.06</v>
      </c>
    </row>
    <row r="1570" spans="1:3" x14ac:dyDescent="0.3">
      <c r="A1570" t="s">
        <v>13158</v>
      </c>
      <c r="B1570" t="s">
        <v>87</v>
      </c>
      <c r="C1570">
        <v>0.1</v>
      </c>
    </row>
    <row r="1571" spans="1:3" x14ac:dyDescent="0.3">
      <c r="A1571" t="s">
        <v>14428</v>
      </c>
      <c r="B1571" t="s">
        <v>87</v>
      </c>
      <c r="C1571">
        <v>0.01</v>
      </c>
    </row>
    <row r="1572" spans="1:3" x14ac:dyDescent="0.3">
      <c r="A1572" t="s">
        <v>14428</v>
      </c>
      <c r="B1572" t="s">
        <v>87</v>
      </c>
      <c r="C1572">
        <v>0.02</v>
      </c>
    </row>
    <row r="1573" spans="1:3" x14ac:dyDescent="0.3">
      <c r="A1573" t="s">
        <v>8117</v>
      </c>
      <c r="B1573" t="s">
        <v>225</v>
      </c>
      <c r="C1573">
        <v>0.06</v>
      </c>
    </row>
    <row r="1574" spans="1:3" x14ac:dyDescent="0.3">
      <c r="A1574" t="s">
        <v>9602</v>
      </c>
      <c r="B1574" t="s">
        <v>40</v>
      </c>
      <c r="C1574">
        <v>0.1</v>
      </c>
    </row>
    <row r="1575" spans="1:3" x14ac:dyDescent="0.3">
      <c r="A1575" t="s">
        <v>14908</v>
      </c>
      <c r="B1575" t="s">
        <v>40</v>
      </c>
      <c r="C1575">
        <v>0.03</v>
      </c>
    </row>
    <row r="1576" spans="1:3" x14ac:dyDescent="0.3">
      <c r="A1576" t="s">
        <v>14908</v>
      </c>
      <c r="B1576" t="s">
        <v>40</v>
      </c>
      <c r="C1576">
        <v>0.05</v>
      </c>
    </row>
    <row r="1577" spans="1:3" x14ac:dyDescent="0.3">
      <c r="A1577" t="s">
        <v>14908</v>
      </c>
      <c r="B1577" t="s">
        <v>40</v>
      </c>
      <c r="C1577">
        <v>0.1</v>
      </c>
    </row>
    <row r="1578" spans="1:3" x14ac:dyDescent="0.3">
      <c r="A1578" t="s">
        <v>5657</v>
      </c>
      <c r="B1578" t="s">
        <v>40</v>
      </c>
      <c r="C1578">
        <v>0.09</v>
      </c>
    </row>
    <row r="1579" spans="1:3" x14ac:dyDescent="0.3">
      <c r="A1579" t="s">
        <v>15470</v>
      </c>
      <c r="B1579" t="s">
        <v>29</v>
      </c>
      <c r="C1579">
        <v>0.06</v>
      </c>
    </row>
    <row r="1580" spans="1:3" x14ac:dyDescent="0.3">
      <c r="A1580" t="s">
        <v>5604</v>
      </c>
      <c r="B1580" t="s">
        <v>64</v>
      </c>
      <c r="C1580">
        <v>0.02</v>
      </c>
    </row>
    <row r="1581" spans="1:3" x14ac:dyDescent="0.3">
      <c r="A1581" t="s">
        <v>5604</v>
      </c>
      <c r="B1581" t="s">
        <v>64</v>
      </c>
      <c r="C1581">
        <v>0.1</v>
      </c>
    </row>
    <row r="1582" spans="1:3" x14ac:dyDescent="0.3">
      <c r="A1582" t="s">
        <v>11883</v>
      </c>
      <c r="B1582" t="s">
        <v>29</v>
      </c>
      <c r="C1582">
        <v>0.08</v>
      </c>
    </row>
    <row r="1583" spans="1:3" x14ac:dyDescent="0.3">
      <c r="A1583" t="s">
        <v>11883</v>
      </c>
      <c r="B1583" t="s">
        <v>29</v>
      </c>
      <c r="C1583">
        <v>0.1</v>
      </c>
    </row>
    <row r="1584" spans="1:3" x14ac:dyDescent="0.3">
      <c r="A1584" t="s">
        <v>7152</v>
      </c>
      <c r="B1584" t="s">
        <v>64</v>
      </c>
      <c r="C1584">
        <v>0.03</v>
      </c>
    </row>
    <row r="1585" spans="1:3" x14ac:dyDescent="0.3">
      <c r="A1585" t="s">
        <v>15389</v>
      </c>
      <c r="B1585" t="s">
        <v>64</v>
      </c>
      <c r="C1585">
        <v>0.09</v>
      </c>
    </row>
    <row r="1586" spans="1:3" x14ac:dyDescent="0.3">
      <c r="A1586" t="s">
        <v>15389</v>
      </c>
      <c r="B1586" t="s">
        <v>53</v>
      </c>
      <c r="C1586">
        <v>7.0000000000000007E-2</v>
      </c>
    </row>
    <row r="1587" spans="1:3" x14ac:dyDescent="0.3">
      <c r="A1587" t="s">
        <v>9248</v>
      </c>
      <c r="B1587" t="s">
        <v>40</v>
      </c>
      <c r="C1587">
        <v>0</v>
      </c>
    </row>
    <row r="1588" spans="1:3" x14ac:dyDescent="0.3">
      <c r="A1588" t="s">
        <v>9248</v>
      </c>
      <c r="B1588" t="s">
        <v>40</v>
      </c>
      <c r="C1588">
        <v>0.09</v>
      </c>
    </row>
    <row r="1589" spans="1:3" x14ac:dyDescent="0.3">
      <c r="A1589" t="s">
        <v>13334</v>
      </c>
      <c r="B1589" t="s">
        <v>53</v>
      </c>
      <c r="C1589">
        <v>0.06</v>
      </c>
    </row>
    <row r="1590" spans="1:3" x14ac:dyDescent="0.3">
      <c r="A1590" t="s">
        <v>5650</v>
      </c>
      <c r="B1590" t="s">
        <v>29</v>
      </c>
      <c r="C1590">
        <v>0.08</v>
      </c>
    </row>
    <row r="1591" spans="1:3" x14ac:dyDescent="0.3">
      <c r="A1591" t="s">
        <v>13774</v>
      </c>
      <c r="B1591" t="s">
        <v>40</v>
      </c>
      <c r="C1591">
        <v>0.03</v>
      </c>
    </row>
    <row r="1592" spans="1:3" x14ac:dyDescent="0.3">
      <c r="A1592" t="s">
        <v>15772</v>
      </c>
      <c r="B1592" t="s">
        <v>64</v>
      </c>
      <c r="C1592">
        <v>0.08</v>
      </c>
    </row>
    <row r="1593" spans="1:3" x14ac:dyDescent="0.3">
      <c r="A1593" t="s">
        <v>6852</v>
      </c>
      <c r="B1593" t="s">
        <v>29</v>
      </c>
      <c r="C1593">
        <v>0.02</v>
      </c>
    </row>
    <row r="1594" spans="1:3" x14ac:dyDescent="0.3">
      <c r="A1594" t="s">
        <v>14257</v>
      </c>
      <c r="B1594" t="s">
        <v>53</v>
      </c>
      <c r="C1594">
        <v>0.02</v>
      </c>
    </row>
    <row r="1595" spans="1:3" x14ac:dyDescent="0.3">
      <c r="A1595" t="s">
        <v>10913</v>
      </c>
      <c r="B1595" t="s">
        <v>64</v>
      </c>
      <c r="C1595">
        <v>7.0000000000000007E-2</v>
      </c>
    </row>
    <row r="1596" spans="1:3" x14ac:dyDescent="0.3">
      <c r="A1596" t="s">
        <v>13103</v>
      </c>
      <c r="B1596" t="s">
        <v>29</v>
      </c>
      <c r="C1596">
        <v>0.01</v>
      </c>
    </row>
    <row r="1597" spans="1:3" x14ac:dyDescent="0.3">
      <c r="A1597" t="s">
        <v>13103</v>
      </c>
      <c r="B1597" t="s">
        <v>53</v>
      </c>
      <c r="C1597">
        <v>0.04</v>
      </c>
    </row>
    <row r="1598" spans="1:3" x14ac:dyDescent="0.3">
      <c r="A1598" t="s">
        <v>11713</v>
      </c>
      <c r="B1598" t="s">
        <v>29</v>
      </c>
      <c r="C1598">
        <v>0.05</v>
      </c>
    </row>
    <row r="1599" spans="1:3" x14ac:dyDescent="0.3">
      <c r="A1599" t="s">
        <v>11669</v>
      </c>
      <c r="B1599" t="s">
        <v>64</v>
      </c>
      <c r="C1599">
        <v>0.03</v>
      </c>
    </row>
    <row r="1600" spans="1:3" x14ac:dyDescent="0.3">
      <c r="A1600" t="s">
        <v>11669</v>
      </c>
      <c r="B1600" t="s">
        <v>64</v>
      </c>
      <c r="C1600">
        <v>0.08</v>
      </c>
    </row>
    <row r="1601" spans="1:3" x14ac:dyDescent="0.3">
      <c r="A1601" t="s">
        <v>6908</v>
      </c>
      <c r="B1601" t="s">
        <v>40</v>
      </c>
      <c r="C1601">
        <v>0.06</v>
      </c>
    </row>
    <row r="1602" spans="1:3" x14ac:dyDescent="0.3">
      <c r="A1602" t="s">
        <v>14715</v>
      </c>
      <c r="B1602" t="s">
        <v>64</v>
      </c>
      <c r="C1602">
        <v>0.03</v>
      </c>
    </row>
    <row r="1603" spans="1:3" x14ac:dyDescent="0.3">
      <c r="A1603" t="s">
        <v>10501</v>
      </c>
      <c r="B1603" t="s">
        <v>64</v>
      </c>
      <c r="C1603">
        <v>0</v>
      </c>
    </row>
    <row r="1604" spans="1:3" x14ac:dyDescent="0.3">
      <c r="A1604" t="s">
        <v>10501</v>
      </c>
      <c r="B1604" t="s">
        <v>64</v>
      </c>
      <c r="C1604">
        <v>0.01</v>
      </c>
    </row>
    <row r="1605" spans="1:3" x14ac:dyDescent="0.3">
      <c r="A1605" t="s">
        <v>11979</v>
      </c>
      <c r="B1605" t="s">
        <v>64</v>
      </c>
      <c r="C1605">
        <v>7.0000000000000007E-2</v>
      </c>
    </row>
    <row r="1606" spans="1:3" x14ac:dyDescent="0.3">
      <c r="A1606" t="s">
        <v>11979</v>
      </c>
      <c r="B1606" t="s">
        <v>64</v>
      </c>
      <c r="C1606">
        <v>0.08</v>
      </c>
    </row>
    <row r="1607" spans="1:3" x14ac:dyDescent="0.3">
      <c r="A1607" t="s">
        <v>8172</v>
      </c>
      <c r="B1607" t="s">
        <v>40</v>
      </c>
      <c r="C1607">
        <v>0.05</v>
      </c>
    </row>
    <row r="1608" spans="1:3" x14ac:dyDescent="0.3">
      <c r="A1608" t="s">
        <v>12286</v>
      </c>
      <c r="B1608" t="s">
        <v>40</v>
      </c>
      <c r="C1608">
        <v>0.05</v>
      </c>
    </row>
    <row r="1609" spans="1:3" x14ac:dyDescent="0.3">
      <c r="A1609" t="s">
        <v>12286</v>
      </c>
      <c r="B1609" t="s">
        <v>29</v>
      </c>
      <c r="C1609">
        <v>0.01</v>
      </c>
    </row>
    <row r="1610" spans="1:3" x14ac:dyDescent="0.3">
      <c r="A1610" t="s">
        <v>7783</v>
      </c>
      <c r="B1610" t="s">
        <v>29</v>
      </c>
      <c r="C1610">
        <v>0</v>
      </c>
    </row>
    <row r="1611" spans="1:3" x14ac:dyDescent="0.3">
      <c r="A1611" t="s">
        <v>5788</v>
      </c>
      <c r="B1611" t="s">
        <v>29</v>
      </c>
      <c r="C1611">
        <v>0.01</v>
      </c>
    </row>
    <row r="1612" spans="1:3" x14ac:dyDescent="0.3">
      <c r="A1612" t="s">
        <v>5788</v>
      </c>
      <c r="B1612" t="s">
        <v>29</v>
      </c>
      <c r="C1612">
        <v>0.08</v>
      </c>
    </row>
    <row r="1613" spans="1:3" x14ac:dyDescent="0.3">
      <c r="A1613" t="s">
        <v>13602</v>
      </c>
      <c r="B1613" t="s">
        <v>29</v>
      </c>
      <c r="C1613">
        <v>0.05</v>
      </c>
    </row>
    <row r="1614" spans="1:3" x14ac:dyDescent="0.3">
      <c r="A1614" t="s">
        <v>12451</v>
      </c>
      <c r="B1614" t="s">
        <v>29</v>
      </c>
      <c r="C1614">
        <v>0.01</v>
      </c>
    </row>
    <row r="1615" spans="1:3" x14ac:dyDescent="0.3">
      <c r="A1615" t="s">
        <v>12451</v>
      </c>
      <c r="B1615" t="s">
        <v>29</v>
      </c>
      <c r="C1615">
        <v>0.09</v>
      </c>
    </row>
    <row r="1616" spans="1:3" x14ac:dyDescent="0.3">
      <c r="A1616" t="s">
        <v>8285</v>
      </c>
      <c r="B1616" t="s">
        <v>64</v>
      </c>
      <c r="C1616">
        <v>0</v>
      </c>
    </row>
    <row r="1617" spans="1:3" x14ac:dyDescent="0.3">
      <c r="A1617" t="s">
        <v>8285</v>
      </c>
      <c r="B1617" t="s">
        <v>64</v>
      </c>
      <c r="C1617">
        <v>0.08</v>
      </c>
    </row>
    <row r="1618" spans="1:3" x14ac:dyDescent="0.3">
      <c r="A1618" t="s">
        <v>8285</v>
      </c>
      <c r="B1618" t="s">
        <v>64</v>
      </c>
      <c r="C1618">
        <v>0.1</v>
      </c>
    </row>
    <row r="1619" spans="1:3" x14ac:dyDescent="0.3">
      <c r="A1619" t="s">
        <v>8464</v>
      </c>
      <c r="B1619" t="s">
        <v>64</v>
      </c>
      <c r="C1619">
        <v>0</v>
      </c>
    </row>
    <row r="1620" spans="1:3" x14ac:dyDescent="0.3">
      <c r="A1620" t="s">
        <v>12135</v>
      </c>
      <c r="B1620" t="s">
        <v>87</v>
      </c>
      <c r="C1620">
        <v>0.06</v>
      </c>
    </row>
    <row r="1621" spans="1:3" x14ac:dyDescent="0.3">
      <c r="A1621" t="s">
        <v>6087</v>
      </c>
      <c r="B1621" t="s">
        <v>40</v>
      </c>
      <c r="C1621">
        <v>0.04</v>
      </c>
    </row>
    <row r="1622" spans="1:3" x14ac:dyDescent="0.3">
      <c r="A1622" t="s">
        <v>11745</v>
      </c>
      <c r="B1622" t="s">
        <v>40</v>
      </c>
      <c r="C1622">
        <v>0.08</v>
      </c>
    </row>
    <row r="1623" spans="1:3" x14ac:dyDescent="0.3">
      <c r="A1623" t="s">
        <v>5923</v>
      </c>
      <c r="B1623" t="s">
        <v>29</v>
      </c>
      <c r="C1623">
        <v>0.01</v>
      </c>
    </row>
    <row r="1624" spans="1:3" x14ac:dyDescent="0.3">
      <c r="A1624" t="s">
        <v>11648</v>
      </c>
      <c r="B1624" t="s">
        <v>40</v>
      </c>
      <c r="C1624">
        <v>0.01</v>
      </c>
    </row>
    <row r="1625" spans="1:3" x14ac:dyDescent="0.3">
      <c r="A1625" t="s">
        <v>11648</v>
      </c>
      <c r="B1625" t="s">
        <v>53</v>
      </c>
      <c r="C1625">
        <v>0.09</v>
      </c>
    </row>
    <row r="1626" spans="1:3" x14ac:dyDescent="0.3">
      <c r="A1626" t="s">
        <v>12523</v>
      </c>
      <c r="B1626" t="s">
        <v>64</v>
      </c>
      <c r="C1626">
        <v>0.03</v>
      </c>
    </row>
    <row r="1627" spans="1:3" x14ac:dyDescent="0.3">
      <c r="A1627" t="s">
        <v>5958</v>
      </c>
      <c r="B1627" t="s">
        <v>53</v>
      </c>
      <c r="C1627">
        <v>0.09</v>
      </c>
    </row>
    <row r="1628" spans="1:3" x14ac:dyDescent="0.3">
      <c r="A1628" t="s">
        <v>7385</v>
      </c>
      <c r="B1628" t="s">
        <v>53</v>
      </c>
      <c r="C1628">
        <v>0.1</v>
      </c>
    </row>
    <row r="1629" spans="1:3" x14ac:dyDescent="0.3">
      <c r="A1629" t="s">
        <v>5972</v>
      </c>
      <c r="B1629" t="s">
        <v>40</v>
      </c>
      <c r="C1629">
        <v>0.1</v>
      </c>
    </row>
    <row r="1630" spans="1:3" x14ac:dyDescent="0.3">
      <c r="A1630" t="s">
        <v>13452</v>
      </c>
      <c r="B1630" t="s">
        <v>87</v>
      </c>
      <c r="C1630">
        <v>0.1</v>
      </c>
    </row>
    <row r="1631" spans="1:3" x14ac:dyDescent="0.3">
      <c r="A1631" t="s">
        <v>6118</v>
      </c>
      <c r="B1631" t="s">
        <v>40</v>
      </c>
      <c r="C1631">
        <v>0.04</v>
      </c>
    </row>
    <row r="1632" spans="1:3" x14ac:dyDescent="0.3">
      <c r="A1632" t="s">
        <v>6013</v>
      </c>
      <c r="B1632" t="s">
        <v>87</v>
      </c>
      <c r="C1632">
        <v>0.06</v>
      </c>
    </row>
    <row r="1633" spans="1:3" x14ac:dyDescent="0.3">
      <c r="A1633" t="s">
        <v>8384</v>
      </c>
      <c r="B1633" t="s">
        <v>87</v>
      </c>
      <c r="C1633">
        <v>0.03</v>
      </c>
    </row>
    <row r="1634" spans="1:3" x14ac:dyDescent="0.3">
      <c r="A1634" t="s">
        <v>6021</v>
      </c>
      <c r="B1634" t="s">
        <v>87</v>
      </c>
      <c r="C1634">
        <v>0.04</v>
      </c>
    </row>
    <row r="1635" spans="1:3" x14ac:dyDescent="0.3">
      <c r="A1635" t="s">
        <v>12967</v>
      </c>
      <c r="B1635" t="s">
        <v>87</v>
      </c>
      <c r="C1635">
        <v>0.1</v>
      </c>
    </row>
    <row r="1636" spans="1:3" x14ac:dyDescent="0.3">
      <c r="A1636" t="s">
        <v>12500</v>
      </c>
      <c r="B1636" t="s">
        <v>64</v>
      </c>
      <c r="C1636">
        <v>0.03</v>
      </c>
    </row>
    <row r="1637" spans="1:3" x14ac:dyDescent="0.3">
      <c r="A1637" t="s">
        <v>12500</v>
      </c>
      <c r="B1637" t="s">
        <v>64</v>
      </c>
      <c r="C1637">
        <v>0.05</v>
      </c>
    </row>
    <row r="1638" spans="1:3" x14ac:dyDescent="0.3">
      <c r="A1638" t="s">
        <v>6111</v>
      </c>
      <c r="B1638" t="s">
        <v>40</v>
      </c>
      <c r="C1638">
        <v>0.05</v>
      </c>
    </row>
    <row r="1639" spans="1:3" x14ac:dyDescent="0.3">
      <c r="A1639" t="s">
        <v>15751</v>
      </c>
      <c r="B1639" t="s">
        <v>53</v>
      </c>
      <c r="C1639">
        <v>7.0000000000000007E-2</v>
      </c>
    </row>
    <row r="1640" spans="1:3" x14ac:dyDescent="0.3">
      <c r="A1640" t="s">
        <v>9586</v>
      </c>
      <c r="B1640" t="s">
        <v>40</v>
      </c>
      <c r="C1640">
        <v>0.03</v>
      </c>
    </row>
    <row r="1641" spans="1:3" x14ac:dyDescent="0.3">
      <c r="A1641" t="s">
        <v>9586</v>
      </c>
      <c r="B1641" t="s">
        <v>53</v>
      </c>
      <c r="C1641">
        <v>7.0000000000000007E-2</v>
      </c>
    </row>
    <row r="1642" spans="1:3" x14ac:dyDescent="0.3">
      <c r="A1642" t="s">
        <v>9626</v>
      </c>
      <c r="B1642" t="s">
        <v>29</v>
      </c>
      <c r="C1642">
        <v>0.01</v>
      </c>
    </row>
    <row r="1643" spans="1:3" x14ac:dyDescent="0.3">
      <c r="A1643" t="s">
        <v>9067</v>
      </c>
      <c r="B1643" t="s">
        <v>53</v>
      </c>
      <c r="C1643">
        <v>0.02</v>
      </c>
    </row>
    <row r="1644" spans="1:3" x14ac:dyDescent="0.3">
      <c r="A1644" t="s">
        <v>9067</v>
      </c>
      <c r="B1644" t="s">
        <v>87</v>
      </c>
      <c r="C1644">
        <v>0.08</v>
      </c>
    </row>
    <row r="1645" spans="1:3" x14ac:dyDescent="0.3">
      <c r="A1645" t="s">
        <v>15535</v>
      </c>
      <c r="B1645" t="s">
        <v>40</v>
      </c>
      <c r="C1645">
        <v>0.03</v>
      </c>
    </row>
    <row r="1646" spans="1:3" x14ac:dyDescent="0.3">
      <c r="A1646" t="s">
        <v>6176</v>
      </c>
      <c r="B1646" t="s">
        <v>53</v>
      </c>
      <c r="C1646">
        <v>0.03</v>
      </c>
    </row>
    <row r="1647" spans="1:3" x14ac:dyDescent="0.3">
      <c r="A1647" t="s">
        <v>6176</v>
      </c>
      <c r="B1647" t="s">
        <v>53</v>
      </c>
      <c r="C1647">
        <v>0.05</v>
      </c>
    </row>
    <row r="1648" spans="1:3" x14ac:dyDescent="0.3">
      <c r="A1648" t="s">
        <v>6176</v>
      </c>
      <c r="B1648" t="s">
        <v>53</v>
      </c>
      <c r="C1648">
        <v>0.08</v>
      </c>
    </row>
    <row r="1649" spans="1:3" x14ac:dyDescent="0.3">
      <c r="A1649" t="s">
        <v>13886</v>
      </c>
      <c r="B1649" t="s">
        <v>40</v>
      </c>
      <c r="C1649">
        <v>0.03</v>
      </c>
    </row>
    <row r="1650" spans="1:3" x14ac:dyDescent="0.3">
      <c r="A1650" t="s">
        <v>13577</v>
      </c>
      <c r="B1650" t="s">
        <v>53</v>
      </c>
      <c r="C1650">
        <v>0.03</v>
      </c>
    </row>
    <row r="1651" spans="1:3" x14ac:dyDescent="0.3">
      <c r="A1651" t="s">
        <v>6836</v>
      </c>
      <c r="B1651" t="s">
        <v>40</v>
      </c>
      <c r="C1651">
        <v>0.01</v>
      </c>
    </row>
    <row r="1652" spans="1:3" x14ac:dyDescent="0.3">
      <c r="A1652" t="s">
        <v>6836</v>
      </c>
      <c r="B1652" t="s">
        <v>40</v>
      </c>
      <c r="C1652">
        <v>0.06</v>
      </c>
    </row>
    <row r="1653" spans="1:3" x14ac:dyDescent="0.3">
      <c r="A1653" t="s">
        <v>15521</v>
      </c>
      <c r="B1653" t="s">
        <v>87</v>
      </c>
      <c r="C1653">
        <v>0.05</v>
      </c>
    </row>
    <row r="1654" spans="1:3" x14ac:dyDescent="0.3">
      <c r="A1654" t="s">
        <v>11221</v>
      </c>
      <c r="B1654" t="s">
        <v>53</v>
      </c>
      <c r="C1654">
        <v>0.05</v>
      </c>
    </row>
    <row r="1655" spans="1:3" x14ac:dyDescent="0.3">
      <c r="A1655" t="s">
        <v>11506</v>
      </c>
      <c r="B1655" t="s">
        <v>53</v>
      </c>
      <c r="C1655">
        <v>0.03</v>
      </c>
    </row>
    <row r="1656" spans="1:3" x14ac:dyDescent="0.3">
      <c r="A1656" t="s">
        <v>6222</v>
      </c>
      <c r="B1656" t="s">
        <v>40</v>
      </c>
      <c r="C1656">
        <v>0.01</v>
      </c>
    </row>
    <row r="1657" spans="1:3" x14ac:dyDescent="0.3">
      <c r="A1657" t="s">
        <v>6222</v>
      </c>
      <c r="B1657" t="s">
        <v>40</v>
      </c>
      <c r="C1657">
        <v>0.06</v>
      </c>
    </row>
    <row r="1658" spans="1:3" x14ac:dyDescent="0.3">
      <c r="A1658" t="s">
        <v>6222</v>
      </c>
      <c r="B1658" t="s">
        <v>40</v>
      </c>
      <c r="C1658">
        <v>0.1</v>
      </c>
    </row>
    <row r="1659" spans="1:3" x14ac:dyDescent="0.3">
      <c r="A1659" t="s">
        <v>9048</v>
      </c>
      <c r="B1659" t="s">
        <v>40</v>
      </c>
      <c r="C1659">
        <v>0.01</v>
      </c>
    </row>
    <row r="1660" spans="1:3" x14ac:dyDescent="0.3">
      <c r="A1660" t="s">
        <v>6285</v>
      </c>
      <c r="B1660" t="s">
        <v>40</v>
      </c>
      <c r="C1660">
        <v>0.08</v>
      </c>
    </row>
    <row r="1661" spans="1:3" x14ac:dyDescent="0.3">
      <c r="A1661" t="s">
        <v>6285</v>
      </c>
      <c r="B1661" t="s">
        <v>40</v>
      </c>
      <c r="C1661">
        <v>0.1</v>
      </c>
    </row>
    <row r="1662" spans="1:3" x14ac:dyDescent="0.3">
      <c r="A1662" t="s">
        <v>7287</v>
      </c>
      <c r="B1662" t="s">
        <v>40</v>
      </c>
      <c r="C1662">
        <v>0.06</v>
      </c>
    </row>
    <row r="1663" spans="1:3" x14ac:dyDescent="0.3">
      <c r="A1663" t="s">
        <v>10599</v>
      </c>
      <c r="B1663" t="s">
        <v>29</v>
      </c>
      <c r="C1663">
        <v>0.04</v>
      </c>
    </row>
    <row r="1664" spans="1:3" x14ac:dyDescent="0.3">
      <c r="A1664" t="s">
        <v>8135</v>
      </c>
      <c r="B1664" t="s">
        <v>225</v>
      </c>
      <c r="C1664">
        <v>0.01</v>
      </c>
    </row>
    <row r="1665" spans="1:3" x14ac:dyDescent="0.3">
      <c r="A1665" t="s">
        <v>8135</v>
      </c>
      <c r="B1665" t="s">
        <v>225</v>
      </c>
      <c r="C1665">
        <v>0.08</v>
      </c>
    </row>
    <row r="1666" spans="1:3" x14ac:dyDescent="0.3">
      <c r="A1666" t="s">
        <v>8135</v>
      </c>
      <c r="B1666" t="s">
        <v>225</v>
      </c>
      <c r="C1666">
        <v>0.09</v>
      </c>
    </row>
    <row r="1667" spans="1:3" x14ac:dyDescent="0.3">
      <c r="A1667" t="s">
        <v>14859</v>
      </c>
      <c r="B1667" t="s">
        <v>225</v>
      </c>
      <c r="C1667">
        <v>0.02</v>
      </c>
    </row>
    <row r="1668" spans="1:3" x14ac:dyDescent="0.3">
      <c r="A1668" t="s">
        <v>14859</v>
      </c>
      <c r="B1668" t="s">
        <v>53</v>
      </c>
      <c r="C1668">
        <v>0.09</v>
      </c>
    </row>
    <row r="1669" spans="1:3" x14ac:dyDescent="0.3">
      <c r="A1669" t="s">
        <v>14050</v>
      </c>
      <c r="B1669" t="s">
        <v>64</v>
      </c>
      <c r="C1669">
        <v>0</v>
      </c>
    </row>
    <row r="1670" spans="1:3" x14ac:dyDescent="0.3">
      <c r="A1670" t="s">
        <v>14817</v>
      </c>
      <c r="B1670" t="s">
        <v>29</v>
      </c>
      <c r="C1670">
        <v>0</v>
      </c>
    </row>
    <row r="1671" spans="1:3" x14ac:dyDescent="0.3">
      <c r="A1671" t="s">
        <v>14817</v>
      </c>
      <c r="B1671" t="s">
        <v>29</v>
      </c>
      <c r="C1671">
        <v>0.04</v>
      </c>
    </row>
    <row r="1672" spans="1:3" x14ac:dyDescent="0.3">
      <c r="A1672" t="s">
        <v>12317</v>
      </c>
      <c r="B1672" t="s">
        <v>87</v>
      </c>
      <c r="C1672">
        <v>0.03</v>
      </c>
    </row>
    <row r="1673" spans="1:3" x14ac:dyDescent="0.3">
      <c r="A1673" t="s">
        <v>13372</v>
      </c>
      <c r="B1673" t="s">
        <v>53</v>
      </c>
      <c r="C1673">
        <v>0.1</v>
      </c>
    </row>
    <row r="1674" spans="1:3" x14ac:dyDescent="0.3">
      <c r="A1674" t="s">
        <v>9764</v>
      </c>
      <c r="B1674" t="s">
        <v>53</v>
      </c>
      <c r="C1674">
        <v>0.06</v>
      </c>
    </row>
    <row r="1675" spans="1:3" x14ac:dyDescent="0.3">
      <c r="A1675" t="s">
        <v>9589</v>
      </c>
      <c r="B1675" t="s">
        <v>64</v>
      </c>
      <c r="C1675">
        <v>0.06</v>
      </c>
    </row>
    <row r="1676" spans="1:3" x14ac:dyDescent="0.3">
      <c r="A1676" t="s">
        <v>7983</v>
      </c>
      <c r="B1676" t="s">
        <v>64</v>
      </c>
      <c r="C1676">
        <v>0.02</v>
      </c>
    </row>
    <row r="1677" spans="1:3" x14ac:dyDescent="0.3">
      <c r="A1677" t="s">
        <v>7983</v>
      </c>
      <c r="B1677" t="s">
        <v>64</v>
      </c>
      <c r="C1677">
        <v>0.03</v>
      </c>
    </row>
    <row r="1678" spans="1:3" x14ac:dyDescent="0.3">
      <c r="A1678" t="s">
        <v>6494</v>
      </c>
      <c r="B1678" t="s">
        <v>225</v>
      </c>
      <c r="C1678">
        <v>0.02</v>
      </c>
    </row>
    <row r="1679" spans="1:3" x14ac:dyDescent="0.3">
      <c r="A1679" t="s">
        <v>6494</v>
      </c>
      <c r="B1679" t="s">
        <v>225</v>
      </c>
      <c r="C1679">
        <v>0.03</v>
      </c>
    </row>
    <row r="1680" spans="1:3" x14ac:dyDescent="0.3">
      <c r="A1680" t="s">
        <v>15419</v>
      </c>
      <c r="B1680" t="s">
        <v>53</v>
      </c>
      <c r="C1680">
        <v>0</v>
      </c>
    </row>
    <row r="1681" spans="1:3" x14ac:dyDescent="0.3">
      <c r="A1681" t="s">
        <v>15419</v>
      </c>
      <c r="B1681" t="s">
        <v>53</v>
      </c>
      <c r="C1681">
        <v>0.01</v>
      </c>
    </row>
    <row r="1682" spans="1:3" x14ac:dyDescent="0.3">
      <c r="A1682" t="s">
        <v>8403</v>
      </c>
      <c r="B1682" t="s">
        <v>64</v>
      </c>
      <c r="C1682">
        <v>0.04</v>
      </c>
    </row>
    <row r="1683" spans="1:3" x14ac:dyDescent="0.3">
      <c r="A1683" t="s">
        <v>10652</v>
      </c>
      <c r="B1683" t="s">
        <v>64</v>
      </c>
      <c r="C1683">
        <v>0.09</v>
      </c>
    </row>
    <row r="1684" spans="1:3" x14ac:dyDescent="0.3">
      <c r="A1684" t="s">
        <v>8687</v>
      </c>
      <c r="B1684" t="s">
        <v>53</v>
      </c>
      <c r="C1684">
        <v>0.03</v>
      </c>
    </row>
    <row r="1685" spans="1:3" x14ac:dyDescent="0.3">
      <c r="A1685" t="s">
        <v>13015</v>
      </c>
      <c r="B1685" t="s">
        <v>53</v>
      </c>
      <c r="C1685">
        <v>0.08</v>
      </c>
    </row>
    <row r="1686" spans="1:3" x14ac:dyDescent="0.3">
      <c r="A1686" t="s">
        <v>13015</v>
      </c>
      <c r="B1686" t="s">
        <v>53</v>
      </c>
      <c r="C1686">
        <v>0.09</v>
      </c>
    </row>
    <row r="1687" spans="1:3" x14ac:dyDescent="0.3">
      <c r="A1687" t="s">
        <v>7852</v>
      </c>
      <c r="B1687" t="s">
        <v>29</v>
      </c>
      <c r="C1687">
        <v>0.04</v>
      </c>
    </row>
    <row r="1688" spans="1:3" x14ac:dyDescent="0.3">
      <c r="A1688" t="s">
        <v>6561</v>
      </c>
      <c r="B1688" t="s">
        <v>40</v>
      </c>
      <c r="C1688">
        <v>0.06</v>
      </c>
    </row>
    <row r="1689" spans="1:3" x14ac:dyDescent="0.3">
      <c r="A1689" t="s">
        <v>9278</v>
      </c>
      <c r="B1689" t="s">
        <v>87</v>
      </c>
      <c r="C1689">
        <v>0.08</v>
      </c>
    </row>
    <row r="1690" spans="1:3" x14ac:dyDescent="0.3">
      <c r="A1690" t="s">
        <v>12304</v>
      </c>
      <c r="B1690" t="s">
        <v>87</v>
      </c>
      <c r="C1690">
        <v>0.03</v>
      </c>
    </row>
    <row r="1691" spans="1:3" x14ac:dyDescent="0.3">
      <c r="A1691" t="s">
        <v>7086</v>
      </c>
      <c r="B1691" t="s">
        <v>87</v>
      </c>
      <c r="C1691">
        <v>0</v>
      </c>
    </row>
    <row r="1692" spans="1:3" x14ac:dyDescent="0.3">
      <c r="A1692" t="s">
        <v>7086</v>
      </c>
      <c r="B1692" t="s">
        <v>87</v>
      </c>
      <c r="C1692">
        <v>0.08</v>
      </c>
    </row>
    <row r="1693" spans="1:3" x14ac:dyDescent="0.3">
      <c r="A1693" t="s">
        <v>6577</v>
      </c>
      <c r="B1693" t="s">
        <v>29</v>
      </c>
      <c r="C1693">
        <v>7.0000000000000007E-2</v>
      </c>
    </row>
    <row r="1694" spans="1:3" x14ac:dyDescent="0.3">
      <c r="A1694" t="s">
        <v>11414</v>
      </c>
      <c r="B1694" t="s">
        <v>40</v>
      </c>
      <c r="C1694">
        <v>0.01</v>
      </c>
    </row>
    <row r="1695" spans="1:3" x14ac:dyDescent="0.3">
      <c r="A1695" t="s">
        <v>11414</v>
      </c>
      <c r="B1695" t="s">
        <v>40</v>
      </c>
      <c r="C1695">
        <v>0.04</v>
      </c>
    </row>
    <row r="1696" spans="1:3" x14ac:dyDescent="0.3">
      <c r="A1696" t="s">
        <v>7894</v>
      </c>
      <c r="B1696" t="s">
        <v>64</v>
      </c>
      <c r="C1696">
        <v>0</v>
      </c>
    </row>
    <row r="1697" spans="1:3" x14ac:dyDescent="0.3">
      <c r="A1697" t="s">
        <v>6628</v>
      </c>
      <c r="B1697" t="s">
        <v>64</v>
      </c>
      <c r="C1697">
        <v>0.06</v>
      </c>
    </row>
    <row r="1698" spans="1:3" x14ac:dyDescent="0.3">
      <c r="A1698" t="s">
        <v>7194</v>
      </c>
      <c r="B1698" t="s">
        <v>53</v>
      </c>
      <c r="C1698">
        <v>0.01</v>
      </c>
    </row>
    <row r="1699" spans="1:3" x14ac:dyDescent="0.3">
      <c r="A1699" t="s">
        <v>7194</v>
      </c>
      <c r="B1699" t="s">
        <v>53</v>
      </c>
      <c r="C1699">
        <v>0.05</v>
      </c>
    </row>
    <row r="1700" spans="1:3" x14ac:dyDescent="0.3">
      <c r="A1700" t="s">
        <v>6663</v>
      </c>
      <c r="B1700" t="s">
        <v>53</v>
      </c>
      <c r="C1700">
        <v>0.03</v>
      </c>
    </row>
    <row r="1701" spans="1:3" x14ac:dyDescent="0.3">
      <c r="A1701" t="s">
        <v>6663</v>
      </c>
      <c r="B1701" t="s">
        <v>53</v>
      </c>
      <c r="C1701">
        <v>0.06</v>
      </c>
    </row>
    <row r="1702" spans="1:3" x14ac:dyDescent="0.3">
      <c r="A1702" t="s">
        <v>7757</v>
      </c>
      <c r="B1702" t="s">
        <v>40</v>
      </c>
      <c r="C1702">
        <v>0.09</v>
      </c>
    </row>
    <row r="1703" spans="1:3" x14ac:dyDescent="0.3">
      <c r="A1703" t="s">
        <v>10287</v>
      </c>
      <c r="B1703" t="s">
        <v>64</v>
      </c>
      <c r="C1703">
        <v>0.09</v>
      </c>
    </row>
    <row r="1704" spans="1:3" x14ac:dyDescent="0.3">
      <c r="A1704" t="s">
        <v>15095</v>
      </c>
      <c r="B1704" t="s">
        <v>87</v>
      </c>
      <c r="C1704">
        <v>0.02</v>
      </c>
    </row>
    <row r="1705" spans="1:3" x14ac:dyDescent="0.3">
      <c r="A1705" t="s">
        <v>12888</v>
      </c>
      <c r="B1705" t="s">
        <v>29</v>
      </c>
      <c r="C1705">
        <v>0</v>
      </c>
    </row>
    <row r="1706" spans="1:3" x14ac:dyDescent="0.3">
      <c r="A1706" t="s">
        <v>12888</v>
      </c>
      <c r="B1706" t="s">
        <v>29</v>
      </c>
      <c r="C1706">
        <v>0.05</v>
      </c>
    </row>
    <row r="1707" spans="1:3" x14ac:dyDescent="0.3">
      <c r="A1707" t="s">
        <v>12888</v>
      </c>
      <c r="B1707" t="s">
        <v>29</v>
      </c>
      <c r="C1707">
        <v>0.1</v>
      </c>
    </row>
    <row r="1708" spans="1:3" x14ac:dyDescent="0.3">
      <c r="A1708" t="s">
        <v>11505</v>
      </c>
      <c r="B1708" t="s">
        <v>29</v>
      </c>
      <c r="C1708">
        <v>0.06</v>
      </c>
    </row>
    <row r="1709" spans="1:3" x14ac:dyDescent="0.3">
      <c r="A1709" t="s">
        <v>11505</v>
      </c>
      <c r="B1709" t="s">
        <v>29</v>
      </c>
      <c r="C1709">
        <v>0.08</v>
      </c>
    </row>
    <row r="1710" spans="1:3" x14ac:dyDescent="0.3">
      <c r="A1710" t="s">
        <v>8668</v>
      </c>
      <c r="B1710" t="s">
        <v>87</v>
      </c>
      <c r="C1710">
        <v>0.02</v>
      </c>
    </row>
    <row r="1711" spans="1:3" x14ac:dyDescent="0.3">
      <c r="A1711" t="s">
        <v>11984</v>
      </c>
      <c r="B1711" t="s">
        <v>40</v>
      </c>
      <c r="C1711">
        <v>0.02</v>
      </c>
    </row>
    <row r="1712" spans="1:3" x14ac:dyDescent="0.3">
      <c r="A1712" t="s">
        <v>15387</v>
      </c>
      <c r="B1712" t="s">
        <v>87</v>
      </c>
      <c r="C1712">
        <v>0.1</v>
      </c>
    </row>
    <row r="1713" spans="1:3" x14ac:dyDescent="0.3">
      <c r="A1713" t="s">
        <v>13062</v>
      </c>
      <c r="B1713" t="s">
        <v>225</v>
      </c>
      <c r="C1713">
        <v>0.06</v>
      </c>
    </row>
    <row r="1714" spans="1:3" x14ac:dyDescent="0.3">
      <c r="A1714" t="s">
        <v>9820</v>
      </c>
      <c r="B1714" t="s">
        <v>64</v>
      </c>
      <c r="C1714">
        <v>0.1</v>
      </c>
    </row>
    <row r="1715" spans="1:3" x14ac:dyDescent="0.3">
      <c r="A1715" t="s">
        <v>14805</v>
      </c>
      <c r="B1715" t="s">
        <v>87</v>
      </c>
      <c r="C1715">
        <v>0.05</v>
      </c>
    </row>
    <row r="1716" spans="1:3" x14ac:dyDescent="0.3">
      <c r="A1716" t="s">
        <v>8110</v>
      </c>
      <c r="B1716" t="s">
        <v>87</v>
      </c>
      <c r="C1716">
        <v>0.05</v>
      </c>
    </row>
    <row r="1717" spans="1:3" x14ac:dyDescent="0.3">
      <c r="A1717" t="s">
        <v>13754</v>
      </c>
      <c r="B1717" t="s">
        <v>225</v>
      </c>
      <c r="C1717">
        <v>0.02</v>
      </c>
    </row>
    <row r="1718" spans="1:3" x14ac:dyDescent="0.3">
      <c r="A1718" t="s">
        <v>6974</v>
      </c>
      <c r="B1718" t="s">
        <v>40</v>
      </c>
      <c r="C1718">
        <v>0.04</v>
      </c>
    </row>
    <row r="1719" spans="1:3" x14ac:dyDescent="0.3">
      <c r="A1719" t="s">
        <v>14669</v>
      </c>
      <c r="B1719" t="s">
        <v>29</v>
      </c>
      <c r="C1719">
        <v>0.06</v>
      </c>
    </row>
    <row r="1720" spans="1:3" x14ac:dyDescent="0.3">
      <c r="A1720" t="s">
        <v>14237</v>
      </c>
      <c r="B1720" t="s">
        <v>53</v>
      </c>
      <c r="C1720">
        <v>0.06</v>
      </c>
    </row>
    <row r="1721" spans="1:3" x14ac:dyDescent="0.3">
      <c r="A1721" t="s">
        <v>9397</v>
      </c>
      <c r="B1721" t="s">
        <v>53</v>
      </c>
      <c r="C1721">
        <v>0.05</v>
      </c>
    </row>
    <row r="1722" spans="1:3" x14ac:dyDescent="0.3">
      <c r="A1722" t="s">
        <v>14509</v>
      </c>
      <c r="B1722" t="s">
        <v>29</v>
      </c>
      <c r="C1722">
        <v>0.05</v>
      </c>
    </row>
    <row r="1723" spans="1:3" x14ac:dyDescent="0.3">
      <c r="A1723" t="s">
        <v>7079</v>
      </c>
      <c r="B1723" t="s">
        <v>87</v>
      </c>
      <c r="C1723">
        <v>0</v>
      </c>
    </row>
    <row r="1724" spans="1:3" x14ac:dyDescent="0.3">
      <c r="A1724" t="s">
        <v>11971</v>
      </c>
      <c r="B1724" t="s">
        <v>87</v>
      </c>
      <c r="C1724">
        <v>7.0000000000000007E-2</v>
      </c>
    </row>
    <row r="1725" spans="1:3" x14ac:dyDescent="0.3">
      <c r="A1725" t="s">
        <v>13501</v>
      </c>
      <c r="B1725" t="s">
        <v>40</v>
      </c>
      <c r="C1725">
        <v>7.0000000000000007E-2</v>
      </c>
    </row>
    <row r="1726" spans="1:3" x14ac:dyDescent="0.3">
      <c r="A1726" t="s">
        <v>10942</v>
      </c>
      <c r="B1726" t="s">
        <v>225</v>
      </c>
      <c r="C1726">
        <v>0.02</v>
      </c>
    </row>
    <row r="1727" spans="1:3" x14ac:dyDescent="0.3">
      <c r="A1727" t="s">
        <v>10942</v>
      </c>
      <c r="B1727" t="s">
        <v>53</v>
      </c>
      <c r="C1727">
        <v>0.08</v>
      </c>
    </row>
    <row r="1728" spans="1:3" x14ac:dyDescent="0.3">
      <c r="A1728" t="s">
        <v>7226</v>
      </c>
      <c r="B1728" t="s">
        <v>53</v>
      </c>
      <c r="C1728">
        <v>0</v>
      </c>
    </row>
    <row r="1729" spans="1:3" x14ac:dyDescent="0.3">
      <c r="A1729" t="s">
        <v>7230</v>
      </c>
      <c r="B1729" t="s">
        <v>87</v>
      </c>
      <c r="C1729">
        <v>0.03</v>
      </c>
    </row>
    <row r="1730" spans="1:3" x14ac:dyDescent="0.3">
      <c r="A1730" t="s">
        <v>7230</v>
      </c>
      <c r="B1730" t="s">
        <v>87</v>
      </c>
      <c r="C1730">
        <v>0.08</v>
      </c>
    </row>
    <row r="1731" spans="1:3" x14ac:dyDescent="0.3">
      <c r="A1731" t="s">
        <v>10743</v>
      </c>
      <c r="B1731" t="s">
        <v>87</v>
      </c>
      <c r="C1731">
        <v>0.09</v>
      </c>
    </row>
    <row r="1732" spans="1:3" x14ac:dyDescent="0.3">
      <c r="A1732" t="s">
        <v>7255</v>
      </c>
      <c r="B1732" t="s">
        <v>29</v>
      </c>
      <c r="C1732">
        <v>0.03</v>
      </c>
    </row>
    <row r="1733" spans="1:3" x14ac:dyDescent="0.3">
      <c r="A1733" t="s">
        <v>12726</v>
      </c>
      <c r="B1733" t="s">
        <v>29</v>
      </c>
      <c r="C1733">
        <v>0.05</v>
      </c>
    </row>
    <row r="1734" spans="1:3" x14ac:dyDescent="0.3">
      <c r="A1734" t="s">
        <v>12726</v>
      </c>
      <c r="B1734" t="s">
        <v>29</v>
      </c>
      <c r="C1734">
        <v>0.08</v>
      </c>
    </row>
    <row r="1735" spans="1:3" x14ac:dyDescent="0.3">
      <c r="A1735" t="s">
        <v>12726</v>
      </c>
      <c r="B1735" t="s">
        <v>29</v>
      </c>
      <c r="C1735">
        <v>0.09</v>
      </c>
    </row>
    <row r="1736" spans="1:3" x14ac:dyDescent="0.3">
      <c r="A1736" t="s">
        <v>9563</v>
      </c>
      <c r="B1736" t="s">
        <v>53</v>
      </c>
      <c r="C1736">
        <v>0.05</v>
      </c>
    </row>
    <row r="1737" spans="1:3" x14ac:dyDescent="0.3">
      <c r="A1737" t="s">
        <v>9563</v>
      </c>
      <c r="B1737" t="s">
        <v>53</v>
      </c>
      <c r="C1737">
        <v>0.08</v>
      </c>
    </row>
    <row r="1738" spans="1:3" x14ac:dyDescent="0.3">
      <c r="A1738" t="s">
        <v>7283</v>
      </c>
      <c r="B1738" t="s">
        <v>53</v>
      </c>
      <c r="C1738">
        <v>0</v>
      </c>
    </row>
    <row r="1739" spans="1:3" x14ac:dyDescent="0.3">
      <c r="A1739" t="s">
        <v>7305</v>
      </c>
      <c r="B1739" t="s">
        <v>29</v>
      </c>
      <c r="C1739">
        <v>0.03</v>
      </c>
    </row>
    <row r="1740" spans="1:3" x14ac:dyDescent="0.3">
      <c r="A1740" t="s">
        <v>7305</v>
      </c>
      <c r="B1740" t="s">
        <v>29</v>
      </c>
      <c r="C1740">
        <v>0.04</v>
      </c>
    </row>
    <row r="1741" spans="1:3" x14ac:dyDescent="0.3">
      <c r="A1741" t="s">
        <v>13491</v>
      </c>
      <c r="B1741" t="s">
        <v>29</v>
      </c>
      <c r="C1741">
        <v>0.01</v>
      </c>
    </row>
    <row r="1742" spans="1:3" x14ac:dyDescent="0.3">
      <c r="A1742" t="s">
        <v>7323</v>
      </c>
      <c r="B1742" t="s">
        <v>40</v>
      </c>
      <c r="C1742">
        <v>0.04</v>
      </c>
    </row>
    <row r="1743" spans="1:3" x14ac:dyDescent="0.3">
      <c r="A1743" t="s">
        <v>9857</v>
      </c>
      <c r="B1743" t="s">
        <v>53</v>
      </c>
      <c r="C1743">
        <v>0</v>
      </c>
    </row>
    <row r="1744" spans="1:3" x14ac:dyDescent="0.3">
      <c r="A1744" t="s">
        <v>9857</v>
      </c>
      <c r="B1744" t="s">
        <v>53</v>
      </c>
      <c r="C1744">
        <v>0.04</v>
      </c>
    </row>
    <row r="1745" spans="1:3" x14ac:dyDescent="0.3">
      <c r="A1745" t="s">
        <v>7362</v>
      </c>
      <c r="B1745" t="s">
        <v>53</v>
      </c>
      <c r="C1745">
        <v>0.03</v>
      </c>
    </row>
    <row r="1746" spans="1:3" x14ac:dyDescent="0.3">
      <c r="A1746" t="s">
        <v>7380</v>
      </c>
      <c r="B1746" t="s">
        <v>29</v>
      </c>
      <c r="C1746">
        <v>0.05</v>
      </c>
    </row>
    <row r="1747" spans="1:3" x14ac:dyDescent="0.3">
      <c r="A1747" t="s">
        <v>11805</v>
      </c>
      <c r="B1747" t="s">
        <v>53</v>
      </c>
      <c r="C1747">
        <v>7.0000000000000007E-2</v>
      </c>
    </row>
    <row r="1748" spans="1:3" x14ac:dyDescent="0.3">
      <c r="A1748" t="s">
        <v>11805</v>
      </c>
      <c r="B1748" t="s">
        <v>87</v>
      </c>
      <c r="C1748">
        <v>0.09</v>
      </c>
    </row>
    <row r="1749" spans="1:3" x14ac:dyDescent="0.3">
      <c r="A1749" t="s">
        <v>11805</v>
      </c>
      <c r="B1749" t="s">
        <v>87</v>
      </c>
      <c r="C1749">
        <v>0.1</v>
      </c>
    </row>
    <row r="1750" spans="1:3" x14ac:dyDescent="0.3">
      <c r="A1750" t="s">
        <v>10879</v>
      </c>
      <c r="B1750" t="s">
        <v>29</v>
      </c>
      <c r="C1750">
        <v>0.05</v>
      </c>
    </row>
    <row r="1751" spans="1:3" x14ac:dyDescent="0.3">
      <c r="A1751" t="s">
        <v>14920</v>
      </c>
      <c r="B1751" t="s">
        <v>40</v>
      </c>
      <c r="C1751">
        <v>0</v>
      </c>
    </row>
    <row r="1752" spans="1:3" x14ac:dyDescent="0.3">
      <c r="A1752" t="s">
        <v>12162</v>
      </c>
      <c r="B1752" t="s">
        <v>29</v>
      </c>
      <c r="C1752">
        <v>0.09</v>
      </c>
    </row>
    <row r="1753" spans="1:3" x14ac:dyDescent="0.3">
      <c r="A1753" t="s">
        <v>13854</v>
      </c>
      <c r="B1753" t="s">
        <v>87</v>
      </c>
      <c r="C1753">
        <v>0.06</v>
      </c>
    </row>
    <row r="1754" spans="1:3" x14ac:dyDescent="0.3">
      <c r="A1754" t="s">
        <v>13790</v>
      </c>
      <c r="B1754" t="s">
        <v>64</v>
      </c>
      <c r="C1754">
        <v>0.05</v>
      </c>
    </row>
    <row r="1755" spans="1:3" x14ac:dyDescent="0.3">
      <c r="A1755" t="s">
        <v>13790</v>
      </c>
      <c r="B1755" t="s">
        <v>87</v>
      </c>
      <c r="C1755">
        <v>0.03</v>
      </c>
    </row>
    <row r="1756" spans="1:3" x14ac:dyDescent="0.3">
      <c r="A1756" t="s">
        <v>11763</v>
      </c>
      <c r="B1756" t="s">
        <v>87</v>
      </c>
      <c r="C1756">
        <v>0.01</v>
      </c>
    </row>
    <row r="1757" spans="1:3" x14ac:dyDescent="0.3">
      <c r="A1757" t="s">
        <v>14796</v>
      </c>
      <c r="B1757" t="s">
        <v>87</v>
      </c>
      <c r="C1757">
        <v>7.0000000000000007E-2</v>
      </c>
    </row>
    <row r="1758" spans="1:3" x14ac:dyDescent="0.3">
      <c r="A1758" t="s">
        <v>11045</v>
      </c>
      <c r="B1758" t="s">
        <v>87</v>
      </c>
      <c r="C1758">
        <v>0.06</v>
      </c>
    </row>
    <row r="1759" spans="1:3" x14ac:dyDescent="0.3">
      <c r="A1759" t="s">
        <v>10527</v>
      </c>
      <c r="B1759" t="s">
        <v>53</v>
      </c>
      <c r="C1759">
        <v>0.1</v>
      </c>
    </row>
    <row r="1760" spans="1:3" x14ac:dyDescent="0.3">
      <c r="A1760" t="s">
        <v>9786</v>
      </c>
      <c r="B1760" t="s">
        <v>53</v>
      </c>
      <c r="C1760">
        <v>0.04</v>
      </c>
    </row>
    <row r="1761" spans="1:3" x14ac:dyDescent="0.3">
      <c r="A1761" t="s">
        <v>7495</v>
      </c>
      <c r="B1761" t="s">
        <v>53</v>
      </c>
      <c r="C1761">
        <v>0.03</v>
      </c>
    </row>
    <row r="1762" spans="1:3" x14ac:dyDescent="0.3">
      <c r="A1762" t="s">
        <v>12312</v>
      </c>
      <c r="B1762" t="s">
        <v>40</v>
      </c>
      <c r="C1762">
        <v>0</v>
      </c>
    </row>
    <row r="1763" spans="1:3" x14ac:dyDescent="0.3">
      <c r="A1763" t="s">
        <v>15236</v>
      </c>
      <c r="B1763" t="s">
        <v>40</v>
      </c>
      <c r="C1763">
        <v>0.04</v>
      </c>
    </row>
    <row r="1764" spans="1:3" x14ac:dyDescent="0.3">
      <c r="A1764" t="s">
        <v>15236</v>
      </c>
      <c r="B1764" t="s">
        <v>29</v>
      </c>
      <c r="C1764">
        <v>0.04</v>
      </c>
    </row>
    <row r="1765" spans="1:3" x14ac:dyDescent="0.3">
      <c r="A1765" t="s">
        <v>15236</v>
      </c>
      <c r="B1765" t="s">
        <v>29</v>
      </c>
      <c r="C1765">
        <v>7.0000000000000007E-2</v>
      </c>
    </row>
    <row r="1766" spans="1:3" x14ac:dyDescent="0.3">
      <c r="A1766" t="s">
        <v>12081</v>
      </c>
      <c r="B1766" t="s">
        <v>29</v>
      </c>
      <c r="C1766">
        <v>0.06</v>
      </c>
    </row>
    <row r="1767" spans="1:3" x14ac:dyDescent="0.3">
      <c r="A1767" t="s">
        <v>12081</v>
      </c>
      <c r="B1767" t="s">
        <v>29</v>
      </c>
      <c r="C1767">
        <v>0.1</v>
      </c>
    </row>
    <row r="1768" spans="1:3" x14ac:dyDescent="0.3">
      <c r="A1768" t="s">
        <v>8777</v>
      </c>
      <c r="B1768" t="s">
        <v>29</v>
      </c>
      <c r="C1768">
        <v>0</v>
      </c>
    </row>
    <row r="1769" spans="1:3" x14ac:dyDescent="0.3">
      <c r="A1769" t="s">
        <v>8777</v>
      </c>
      <c r="B1769" t="s">
        <v>29</v>
      </c>
      <c r="C1769">
        <v>0.05</v>
      </c>
    </row>
    <row r="1770" spans="1:3" x14ac:dyDescent="0.3">
      <c r="A1770" t="s">
        <v>8854</v>
      </c>
      <c r="B1770" t="s">
        <v>53</v>
      </c>
      <c r="C1770">
        <v>0.03</v>
      </c>
    </row>
    <row r="1771" spans="1:3" x14ac:dyDescent="0.3">
      <c r="A1771" t="s">
        <v>8854</v>
      </c>
      <c r="B1771" t="s">
        <v>53</v>
      </c>
      <c r="C1771">
        <v>7.0000000000000007E-2</v>
      </c>
    </row>
    <row r="1772" spans="1:3" x14ac:dyDescent="0.3">
      <c r="A1772" t="s">
        <v>13564</v>
      </c>
      <c r="B1772" t="s">
        <v>64</v>
      </c>
      <c r="C1772">
        <v>0.04</v>
      </c>
    </row>
    <row r="1773" spans="1:3" x14ac:dyDescent="0.3">
      <c r="A1773" t="s">
        <v>7559</v>
      </c>
      <c r="B1773" t="s">
        <v>29</v>
      </c>
      <c r="C1773">
        <v>7.0000000000000007E-2</v>
      </c>
    </row>
    <row r="1774" spans="1:3" x14ac:dyDescent="0.3">
      <c r="A1774" t="s">
        <v>9662</v>
      </c>
      <c r="B1774" t="s">
        <v>53</v>
      </c>
      <c r="C1774">
        <v>0.09</v>
      </c>
    </row>
    <row r="1775" spans="1:3" x14ac:dyDescent="0.3">
      <c r="A1775" t="s">
        <v>8003</v>
      </c>
      <c r="B1775" t="s">
        <v>64</v>
      </c>
      <c r="C1775">
        <v>0.01</v>
      </c>
    </row>
    <row r="1776" spans="1:3" x14ac:dyDescent="0.3">
      <c r="A1776" t="s">
        <v>7680</v>
      </c>
      <c r="B1776" t="s">
        <v>64</v>
      </c>
      <c r="C1776">
        <v>0.02</v>
      </c>
    </row>
    <row r="1777" spans="1:3" x14ac:dyDescent="0.3">
      <c r="A1777" t="s">
        <v>7685</v>
      </c>
      <c r="B1777" t="s">
        <v>64</v>
      </c>
      <c r="C1777">
        <v>0.08</v>
      </c>
    </row>
    <row r="1778" spans="1:3" x14ac:dyDescent="0.3">
      <c r="A1778" t="s">
        <v>7685</v>
      </c>
      <c r="B1778" t="s">
        <v>53</v>
      </c>
      <c r="C1778">
        <v>0.05</v>
      </c>
    </row>
    <row r="1779" spans="1:3" x14ac:dyDescent="0.3">
      <c r="A1779" t="s">
        <v>13771</v>
      </c>
      <c r="B1779" t="s">
        <v>64</v>
      </c>
      <c r="C1779">
        <v>0.05</v>
      </c>
    </row>
    <row r="1780" spans="1:3" x14ac:dyDescent="0.3">
      <c r="A1780" t="s">
        <v>7697</v>
      </c>
      <c r="B1780" t="s">
        <v>40</v>
      </c>
      <c r="C1780">
        <v>0.09</v>
      </c>
    </row>
    <row r="1781" spans="1:3" x14ac:dyDescent="0.3">
      <c r="A1781" t="s">
        <v>7697</v>
      </c>
      <c r="B1781" t="s">
        <v>40</v>
      </c>
      <c r="C1781">
        <v>0.1</v>
      </c>
    </row>
    <row r="1782" spans="1:3" x14ac:dyDescent="0.3">
      <c r="A1782" t="s">
        <v>13757</v>
      </c>
      <c r="B1782" t="s">
        <v>53</v>
      </c>
      <c r="C1782">
        <v>0</v>
      </c>
    </row>
    <row r="1783" spans="1:3" x14ac:dyDescent="0.3">
      <c r="A1783" t="s">
        <v>13757</v>
      </c>
      <c r="B1783" t="s">
        <v>53</v>
      </c>
      <c r="C1783">
        <v>0.04</v>
      </c>
    </row>
    <row r="1784" spans="1:3" x14ac:dyDescent="0.3">
      <c r="A1784" t="s">
        <v>13741</v>
      </c>
      <c r="B1784" t="s">
        <v>53</v>
      </c>
      <c r="C1784">
        <v>0.06</v>
      </c>
    </row>
    <row r="1785" spans="1:3" x14ac:dyDescent="0.3">
      <c r="A1785" t="s">
        <v>13741</v>
      </c>
      <c r="B1785" t="s">
        <v>53</v>
      </c>
      <c r="C1785">
        <v>0.09</v>
      </c>
    </row>
    <row r="1786" spans="1:3" x14ac:dyDescent="0.3">
      <c r="A1786" t="s">
        <v>7776</v>
      </c>
      <c r="B1786" t="s">
        <v>87</v>
      </c>
      <c r="C1786">
        <v>0.09</v>
      </c>
    </row>
    <row r="1787" spans="1:3" x14ac:dyDescent="0.3">
      <c r="A1787" t="s">
        <v>12165</v>
      </c>
      <c r="B1787" t="s">
        <v>87</v>
      </c>
      <c r="C1787">
        <v>0.06</v>
      </c>
    </row>
    <row r="1788" spans="1:3" x14ac:dyDescent="0.3">
      <c r="A1788" t="s">
        <v>7807</v>
      </c>
      <c r="B1788" t="s">
        <v>40</v>
      </c>
      <c r="C1788">
        <v>0.04</v>
      </c>
    </row>
    <row r="1789" spans="1:3" x14ac:dyDescent="0.3">
      <c r="A1789" t="s">
        <v>7807</v>
      </c>
      <c r="B1789" t="s">
        <v>40</v>
      </c>
      <c r="C1789">
        <v>0.1</v>
      </c>
    </row>
    <row r="1790" spans="1:3" x14ac:dyDescent="0.3">
      <c r="A1790" t="s">
        <v>7813</v>
      </c>
      <c r="B1790" t="s">
        <v>29</v>
      </c>
      <c r="C1790">
        <v>0.1</v>
      </c>
    </row>
    <row r="1791" spans="1:3" x14ac:dyDescent="0.3">
      <c r="A1791" t="s">
        <v>7813</v>
      </c>
      <c r="B1791" t="s">
        <v>53</v>
      </c>
      <c r="C1791">
        <v>0</v>
      </c>
    </row>
    <row r="1792" spans="1:3" x14ac:dyDescent="0.3">
      <c r="A1792" t="s">
        <v>14157</v>
      </c>
      <c r="B1792" t="s">
        <v>40</v>
      </c>
      <c r="C1792">
        <v>0</v>
      </c>
    </row>
    <row r="1793" spans="1:3" x14ac:dyDescent="0.3">
      <c r="A1793" t="s">
        <v>8190</v>
      </c>
      <c r="B1793" t="s">
        <v>40</v>
      </c>
      <c r="C1793">
        <v>7.0000000000000007E-2</v>
      </c>
    </row>
    <row r="1794" spans="1:3" x14ac:dyDescent="0.3">
      <c r="A1794" t="s">
        <v>12865</v>
      </c>
      <c r="B1794" t="s">
        <v>29</v>
      </c>
      <c r="C1794">
        <v>0.03</v>
      </c>
    </row>
    <row r="1795" spans="1:3" x14ac:dyDescent="0.3">
      <c r="A1795" t="s">
        <v>12865</v>
      </c>
      <c r="B1795" t="s">
        <v>29</v>
      </c>
      <c r="C1795">
        <v>0.04</v>
      </c>
    </row>
    <row r="1796" spans="1:3" x14ac:dyDescent="0.3">
      <c r="A1796" t="s">
        <v>7969</v>
      </c>
      <c r="B1796" t="s">
        <v>64</v>
      </c>
      <c r="C1796">
        <v>7.0000000000000007E-2</v>
      </c>
    </row>
    <row r="1797" spans="1:3" x14ac:dyDescent="0.3">
      <c r="A1797" t="s">
        <v>9339</v>
      </c>
      <c r="B1797" t="s">
        <v>225</v>
      </c>
      <c r="C1797">
        <v>0</v>
      </c>
    </row>
    <row r="1798" spans="1:3" x14ac:dyDescent="0.3">
      <c r="A1798" t="s">
        <v>9339</v>
      </c>
      <c r="B1798" t="s">
        <v>225</v>
      </c>
      <c r="C1798">
        <v>0.06</v>
      </c>
    </row>
    <row r="1799" spans="1:3" x14ac:dyDescent="0.3">
      <c r="A1799" t="s">
        <v>9339</v>
      </c>
      <c r="B1799" t="s">
        <v>225</v>
      </c>
      <c r="C1799">
        <v>0.08</v>
      </c>
    </row>
    <row r="1800" spans="1:3" x14ac:dyDescent="0.3">
      <c r="A1800" t="s">
        <v>10827</v>
      </c>
      <c r="B1800" t="s">
        <v>40</v>
      </c>
      <c r="C1800">
        <v>0.02</v>
      </c>
    </row>
    <row r="1801" spans="1:3" x14ac:dyDescent="0.3">
      <c r="A1801" t="s">
        <v>10827</v>
      </c>
      <c r="B1801" t="s">
        <v>40</v>
      </c>
      <c r="C1801">
        <v>0.04</v>
      </c>
    </row>
    <row r="1802" spans="1:3" x14ac:dyDescent="0.3">
      <c r="A1802" t="s">
        <v>10827</v>
      </c>
      <c r="B1802" t="s">
        <v>40</v>
      </c>
      <c r="C1802">
        <v>0.05</v>
      </c>
    </row>
    <row r="1803" spans="1:3" x14ac:dyDescent="0.3">
      <c r="A1803" t="s">
        <v>8063</v>
      </c>
      <c r="B1803" t="s">
        <v>40</v>
      </c>
      <c r="C1803">
        <v>0.02</v>
      </c>
    </row>
    <row r="1804" spans="1:3" x14ac:dyDescent="0.3">
      <c r="A1804" t="s">
        <v>8063</v>
      </c>
      <c r="B1804" t="s">
        <v>225</v>
      </c>
      <c r="C1804">
        <v>7.0000000000000007E-2</v>
      </c>
    </row>
    <row r="1805" spans="1:3" x14ac:dyDescent="0.3">
      <c r="A1805" t="s">
        <v>8717</v>
      </c>
      <c r="B1805" t="s">
        <v>225</v>
      </c>
      <c r="C1805">
        <v>0</v>
      </c>
    </row>
    <row r="1806" spans="1:3" x14ac:dyDescent="0.3">
      <c r="A1806" t="s">
        <v>8717</v>
      </c>
      <c r="B1806" t="s">
        <v>225</v>
      </c>
      <c r="C1806">
        <v>7.0000000000000007E-2</v>
      </c>
    </row>
    <row r="1807" spans="1:3" x14ac:dyDescent="0.3">
      <c r="A1807" t="s">
        <v>13998</v>
      </c>
      <c r="B1807" t="s">
        <v>40</v>
      </c>
      <c r="C1807">
        <v>0.1</v>
      </c>
    </row>
    <row r="1808" spans="1:3" x14ac:dyDescent="0.3">
      <c r="A1808" t="s">
        <v>11586</v>
      </c>
      <c r="B1808" t="s">
        <v>53</v>
      </c>
      <c r="C1808">
        <v>0</v>
      </c>
    </row>
    <row r="1809" spans="1:3" x14ac:dyDescent="0.3">
      <c r="A1809" t="s">
        <v>11586</v>
      </c>
      <c r="B1809" t="s">
        <v>53</v>
      </c>
      <c r="C1809">
        <v>0.09</v>
      </c>
    </row>
    <row r="1810" spans="1:3" x14ac:dyDescent="0.3">
      <c r="A1810" t="s">
        <v>10964</v>
      </c>
      <c r="B1810" t="s">
        <v>29</v>
      </c>
      <c r="C1810">
        <v>0.03</v>
      </c>
    </row>
    <row r="1811" spans="1:3" x14ac:dyDescent="0.3">
      <c r="A1811" t="s">
        <v>11546</v>
      </c>
      <c r="B1811" t="s">
        <v>53</v>
      </c>
      <c r="C1811">
        <v>0.01</v>
      </c>
    </row>
    <row r="1812" spans="1:3" x14ac:dyDescent="0.3">
      <c r="A1812" t="s">
        <v>12807</v>
      </c>
      <c r="B1812" t="s">
        <v>29</v>
      </c>
      <c r="C1812">
        <v>0.04</v>
      </c>
    </row>
    <row r="1813" spans="1:3" x14ac:dyDescent="0.3">
      <c r="A1813" t="s">
        <v>12807</v>
      </c>
      <c r="B1813" t="s">
        <v>29</v>
      </c>
      <c r="C1813">
        <v>0.06</v>
      </c>
    </row>
    <row r="1814" spans="1:3" x14ac:dyDescent="0.3">
      <c r="A1814" t="s">
        <v>10162</v>
      </c>
      <c r="B1814" t="s">
        <v>53</v>
      </c>
      <c r="C1814">
        <v>0.03</v>
      </c>
    </row>
    <row r="1815" spans="1:3" x14ac:dyDescent="0.3">
      <c r="A1815" t="s">
        <v>8344</v>
      </c>
      <c r="B1815" t="s">
        <v>53</v>
      </c>
      <c r="C1815">
        <v>0.05</v>
      </c>
    </row>
    <row r="1816" spans="1:3" x14ac:dyDescent="0.3">
      <c r="A1816" t="s">
        <v>8806</v>
      </c>
      <c r="B1816" t="s">
        <v>40</v>
      </c>
      <c r="C1816">
        <v>0.01</v>
      </c>
    </row>
    <row r="1817" spans="1:3" x14ac:dyDescent="0.3">
      <c r="A1817" t="s">
        <v>11566</v>
      </c>
      <c r="B1817" t="s">
        <v>64</v>
      </c>
      <c r="C1817">
        <v>0.1</v>
      </c>
    </row>
    <row r="1818" spans="1:3" x14ac:dyDescent="0.3">
      <c r="A1818" t="s">
        <v>11969</v>
      </c>
      <c r="B1818" t="s">
        <v>64</v>
      </c>
      <c r="C1818">
        <v>0.06</v>
      </c>
    </row>
    <row r="1819" spans="1:3" x14ac:dyDescent="0.3">
      <c r="A1819" t="s">
        <v>10673</v>
      </c>
      <c r="B1819" t="s">
        <v>29</v>
      </c>
      <c r="C1819">
        <v>0.1</v>
      </c>
    </row>
    <row r="1820" spans="1:3" x14ac:dyDescent="0.3">
      <c r="A1820" t="s">
        <v>13420</v>
      </c>
      <c r="B1820" t="s">
        <v>40</v>
      </c>
      <c r="C1820">
        <v>0</v>
      </c>
    </row>
    <row r="1821" spans="1:3" x14ac:dyDescent="0.3">
      <c r="A1821" t="s">
        <v>8842</v>
      </c>
      <c r="B1821" t="s">
        <v>29</v>
      </c>
      <c r="C1821">
        <v>0.06</v>
      </c>
    </row>
    <row r="1822" spans="1:3" x14ac:dyDescent="0.3">
      <c r="A1822" t="s">
        <v>13937</v>
      </c>
      <c r="B1822" t="s">
        <v>53</v>
      </c>
      <c r="C1822">
        <v>0</v>
      </c>
    </row>
    <row r="1823" spans="1:3" x14ac:dyDescent="0.3">
      <c r="A1823" t="s">
        <v>13937</v>
      </c>
      <c r="B1823" t="s">
        <v>53</v>
      </c>
      <c r="C1823">
        <v>0.1</v>
      </c>
    </row>
    <row r="1824" spans="1:3" x14ac:dyDescent="0.3">
      <c r="A1824" t="s">
        <v>8991</v>
      </c>
      <c r="B1824" t="s">
        <v>53</v>
      </c>
      <c r="C1824">
        <v>0.01</v>
      </c>
    </row>
    <row r="1825" spans="1:3" x14ac:dyDescent="0.3">
      <c r="A1825" t="s">
        <v>10923</v>
      </c>
      <c r="B1825" t="s">
        <v>87</v>
      </c>
      <c r="C1825">
        <v>0.03</v>
      </c>
    </row>
    <row r="1826" spans="1:3" x14ac:dyDescent="0.3">
      <c r="A1826" t="s">
        <v>10923</v>
      </c>
      <c r="B1826" t="s">
        <v>87</v>
      </c>
      <c r="C1826">
        <v>0.05</v>
      </c>
    </row>
    <row r="1827" spans="1:3" x14ac:dyDescent="0.3">
      <c r="A1827" t="s">
        <v>9004</v>
      </c>
      <c r="B1827" t="s">
        <v>87</v>
      </c>
      <c r="C1827">
        <v>0.02</v>
      </c>
    </row>
    <row r="1828" spans="1:3" x14ac:dyDescent="0.3">
      <c r="A1828" t="s">
        <v>9004</v>
      </c>
      <c r="B1828" t="s">
        <v>87</v>
      </c>
      <c r="C1828">
        <v>7.0000000000000007E-2</v>
      </c>
    </row>
    <row r="1829" spans="1:3" x14ac:dyDescent="0.3">
      <c r="A1829" t="s">
        <v>14325</v>
      </c>
      <c r="B1829" t="s">
        <v>29</v>
      </c>
      <c r="C1829">
        <v>0.05</v>
      </c>
    </row>
    <row r="1830" spans="1:3" x14ac:dyDescent="0.3">
      <c r="A1830" t="s">
        <v>15596</v>
      </c>
      <c r="B1830" t="s">
        <v>40</v>
      </c>
      <c r="C1830">
        <v>0.09</v>
      </c>
    </row>
    <row r="1831" spans="1:3" x14ac:dyDescent="0.3">
      <c r="A1831" t="s">
        <v>15323</v>
      </c>
      <c r="B1831" t="s">
        <v>40</v>
      </c>
      <c r="C1831">
        <v>0.04</v>
      </c>
    </row>
    <row r="1832" spans="1:3" x14ac:dyDescent="0.3">
      <c r="A1832" t="s">
        <v>15323</v>
      </c>
      <c r="B1832" t="s">
        <v>40</v>
      </c>
      <c r="C1832">
        <v>0.06</v>
      </c>
    </row>
    <row r="1833" spans="1:3" x14ac:dyDescent="0.3">
      <c r="A1833" t="s">
        <v>14751</v>
      </c>
      <c r="B1833" t="s">
        <v>64</v>
      </c>
      <c r="C1833">
        <v>7.0000000000000007E-2</v>
      </c>
    </row>
    <row r="1834" spans="1:3" x14ac:dyDescent="0.3">
      <c r="A1834" t="s">
        <v>10787</v>
      </c>
      <c r="B1834" t="s">
        <v>64</v>
      </c>
      <c r="C1834">
        <v>0.05</v>
      </c>
    </row>
    <row r="1835" spans="1:3" x14ac:dyDescent="0.3">
      <c r="A1835" t="s">
        <v>9273</v>
      </c>
      <c r="B1835" t="s">
        <v>64</v>
      </c>
      <c r="C1835">
        <v>0.02</v>
      </c>
    </row>
    <row r="1836" spans="1:3" x14ac:dyDescent="0.3">
      <c r="A1836" t="s">
        <v>11435</v>
      </c>
      <c r="B1836" t="s">
        <v>29</v>
      </c>
      <c r="C1836">
        <v>0.02</v>
      </c>
    </row>
    <row r="1837" spans="1:3" x14ac:dyDescent="0.3">
      <c r="A1837" t="s">
        <v>12408</v>
      </c>
      <c r="B1837" t="s">
        <v>29</v>
      </c>
      <c r="C1837">
        <v>0.02</v>
      </c>
    </row>
    <row r="1838" spans="1:3" x14ac:dyDescent="0.3">
      <c r="A1838" t="s">
        <v>14396</v>
      </c>
      <c r="B1838" t="s">
        <v>40</v>
      </c>
      <c r="C1838">
        <v>0.06</v>
      </c>
    </row>
    <row r="1839" spans="1:3" x14ac:dyDescent="0.3">
      <c r="A1839" t="s">
        <v>10326</v>
      </c>
      <c r="B1839" t="s">
        <v>29</v>
      </c>
      <c r="C1839">
        <v>0.01</v>
      </c>
    </row>
    <row r="1840" spans="1:3" x14ac:dyDescent="0.3">
      <c r="A1840" t="s">
        <v>10326</v>
      </c>
      <c r="B1840" t="s">
        <v>29</v>
      </c>
      <c r="C1840">
        <v>0.1</v>
      </c>
    </row>
    <row r="1841" spans="1:3" x14ac:dyDescent="0.3">
      <c r="A1841" t="s">
        <v>14896</v>
      </c>
      <c r="B1841" t="s">
        <v>40</v>
      </c>
      <c r="C1841">
        <v>0.08</v>
      </c>
    </row>
    <row r="1842" spans="1:3" x14ac:dyDescent="0.3">
      <c r="A1842" t="s">
        <v>14896</v>
      </c>
      <c r="B1842" t="s">
        <v>40</v>
      </c>
      <c r="C1842">
        <v>0.09</v>
      </c>
    </row>
    <row r="1843" spans="1:3" x14ac:dyDescent="0.3">
      <c r="A1843" t="s">
        <v>11641</v>
      </c>
      <c r="B1843" t="s">
        <v>40</v>
      </c>
      <c r="C1843">
        <v>0.05</v>
      </c>
    </row>
    <row r="1844" spans="1:3" x14ac:dyDescent="0.3">
      <c r="A1844" t="s">
        <v>14154</v>
      </c>
      <c r="B1844" t="s">
        <v>40</v>
      </c>
      <c r="C1844">
        <v>0.03</v>
      </c>
    </row>
    <row r="1845" spans="1:3" x14ac:dyDescent="0.3">
      <c r="A1845" t="s">
        <v>14154</v>
      </c>
      <c r="B1845" t="s">
        <v>40</v>
      </c>
      <c r="C1845">
        <v>7.0000000000000007E-2</v>
      </c>
    </row>
    <row r="1846" spans="1:3" x14ac:dyDescent="0.3">
      <c r="A1846" t="s">
        <v>15315</v>
      </c>
      <c r="B1846" t="s">
        <v>225</v>
      </c>
      <c r="C1846">
        <v>0.08</v>
      </c>
    </row>
    <row r="1847" spans="1:3" x14ac:dyDescent="0.3">
      <c r="A1847" t="s">
        <v>12913</v>
      </c>
      <c r="B1847" t="s">
        <v>64</v>
      </c>
      <c r="C1847">
        <v>0.06</v>
      </c>
    </row>
    <row r="1848" spans="1:3" x14ac:dyDescent="0.3">
      <c r="A1848" t="s">
        <v>9612</v>
      </c>
      <c r="B1848" t="s">
        <v>64</v>
      </c>
      <c r="C1848">
        <v>0.03</v>
      </c>
    </row>
    <row r="1849" spans="1:3" x14ac:dyDescent="0.3">
      <c r="A1849" t="s">
        <v>9677</v>
      </c>
      <c r="B1849" t="s">
        <v>87</v>
      </c>
      <c r="C1849">
        <v>0.02</v>
      </c>
    </row>
    <row r="1850" spans="1:3" x14ac:dyDescent="0.3">
      <c r="A1850" t="s">
        <v>9677</v>
      </c>
      <c r="B1850" t="s">
        <v>87</v>
      </c>
      <c r="C1850">
        <v>0.03</v>
      </c>
    </row>
    <row r="1851" spans="1:3" x14ac:dyDescent="0.3">
      <c r="A1851" t="s">
        <v>12653</v>
      </c>
      <c r="B1851" t="s">
        <v>53</v>
      </c>
      <c r="C1851">
        <v>0.04</v>
      </c>
    </row>
    <row r="1852" spans="1:3" x14ac:dyDescent="0.3">
      <c r="A1852" t="s">
        <v>12653</v>
      </c>
      <c r="B1852" t="s">
        <v>53</v>
      </c>
      <c r="C1852">
        <v>0.1</v>
      </c>
    </row>
    <row r="1853" spans="1:3" x14ac:dyDescent="0.3">
      <c r="A1853" t="s">
        <v>11994</v>
      </c>
      <c r="B1853" t="s">
        <v>87</v>
      </c>
      <c r="C1853">
        <v>0</v>
      </c>
    </row>
    <row r="1854" spans="1:3" x14ac:dyDescent="0.3">
      <c r="A1854" t="s">
        <v>13348</v>
      </c>
      <c r="B1854" t="s">
        <v>53</v>
      </c>
      <c r="C1854">
        <v>0.02</v>
      </c>
    </row>
    <row r="1855" spans="1:3" x14ac:dyDescent="0.3">
      <c r="A1855" t="s">
        <v>11612</v>
      </c>
      <c r="B1855" t="s">
        <v>29</v>
      </c>
      <c r="C1855">
        <v>0.02</v>
      </c>
    </row>
    <row r="1856" spans="1:3" x14ac:dyDescent="0.3">
      <c r="A1856" t="s">
        <v>10034</v>
      </c>
      <c r="B1856" t="s">
        <v>40</v>
      </c>
      <c r="C1856">
        <v>0.06</v>
      </c>
    </row>
    <row r="1857" spans="1:3" x14ac:dyDescent="0.3">
      <c r="A1857" t="s">
        <v>10034</v>
      </c>
      <c r="B1857" t="s">
        <v>53</v>
      </c>
      <c r="C1857">
        <v>0.1</v>
      </c>
    </row>
    <row r="1858" spans="1:3" x14ac:dyDescent="0.3">
      <c r="A1858" t="s">
        <v>13905</v>
      </c>
      <c r="B1858" t="s">
        <v>29</v>
      </c>
      <c r="C1858">
        <v>0.05</v>
      </c>
    </row>
    <row r="1859" spans="1:3" x14ac:dyDescent="0.3">
      <c r="A1859" t="s">
        <v>13905</v>
      </c>
      <c r="B1859" t="s">
        <v>53</v>
      </c>
      <c r="C1859">
        <v>0.05</v>
      </c>
    </row>
    <row r="1860" spans="1:3" x14ac:dyDescent="0.3">
      <c r="A1860" t="s">
        <v>11746</v>
      </c>
      <c r="B1860" t="s">
        <v>225</v>
      </c>
      <c r="C1860">
        <v>0.06</v>
      </c>
    </row>
    <row r="1861" spans="1:3" x14ac:dyDescent="0.3">
      <c r="A1861" t="s">
        <v>11746</v>
      </c>
      <c r="B1861" t="s">
        <v>64</v>
      </c>
      <c r="C1861">
        <v>0.02</v>
      </c>
    </row>
    <row r="1862" spans="1:3" x14ac:dyDescent="0.3">
      <c r="A1862" t="s">
        <v>13789</v>
      </c>
      <c r="B1862" t="s">
        <v>225</v>
      </c>
      <c r="C1862">
        <v>0.04</v>
      </c>
    </row>
    <row r="1863" spans="1:3" x14ac:dyDescent="0.3">
      <c r="A1863" t="s">
        <v>10600</v>
      </c>
      <c r="B1863" t="s">
        <v>225</v>
      </c>
      <c r="C1863">
        <v>0.09</v>
      </c>
    </row>
    <row r="1864" spans="1:3" x14ac:dyDescent="0.3">
      <c r="A1864" t="s">
        <v>12524</v>
      </c>
      <c r="B1864" t="s">
        <v>225</v>
      </c>
      <c r="C1864">
        <v>0.03</v>
      </c>
    </row>
    <row r="1865" spans="1:3" x14ac:dyDescent="0.3">
      <c r="A1865" t="s">
        <v>10232</v>
      </c>
      <c r="B1865" t="s">
        <v>225</v>
      </c>
      <c r="C1865">
        <v>0.08</v>
      </c>
    </row>
    <row r="1866" spans="1:3" x14ac:dyDescent="0.3">
      <c r="A1866" t="s">
        <v>10933</v>
      </c>
      <c r="B1866" t="s">
        <v>87</v>
      </c>
      <c r="C1866">
        <v>0.04</v>
      </c>
    </row>
    <row r="1867" spans="1:3" x14ac:dyDescent="0.3">
      <c r="A1867" t="s">
        <v>15256</v>
      </c>
      <c r="B1867" t="s">
        <v>40</v>
      </c>
      <c r="C1867">
        <v>0</v>
      </c>
    </row>
    <row r="1868" spans="1:3" x14ac:dyDescent="0.3">
      <c r="A1868" t="s">
        <v>10377</v>
      </c>
      <c r="B1868" t="s">
        <v>64</v>
      </c>
      <c r="C1868">
        <v>0</v>
      </c>
    </row>
    <row r="1869" spans="1:3" x14ac:dyDescent="0.3">
      <c r="A1869" t="s">
        <v>10377</v>
      </c>
      <c r="B1869" t="s">
        <v>53</v>
      </c>
      <c r="C1869">
        <v>0.05</v>
      </c>
    </row>
    <row r="1870" spans="1:3" x14ac:dyDescent="0.3">
      <c r="A1870" t="s">
        <v>14400</v>
      </c>
      <c r="B1870" t="s">
        <v>53</v>
      </c>
      <c r="C1870">
        <v>0.06</v>
      </c>
    </row>
    <row r="1871" spans="1:3" x14ac:dyDescent="0.3">
      <c r="A1871" t="s">
        <v>15515</v>
      </c>
      <c r="B1871" t="s">
        <v>53</v>
      </c>
      <c r="C1871">
        <v>0.1</v>
      </c>
    </row>
    <row r="1872" spans="1:3" x14ac:dyDescent="0.3">
      <c r="A1872" t="s">
        <v>10456</v>
      </c>
      <c r="B1872" t="s">
        <v>53</v>
      </c>
      <c r="C1872">
        <v>0.05</v>
      </c>
    </row>
    <row r="1873" spans="1:3" x14ac:dyDescent="0.3">
      <c r="A1873" t="s">
        <v>10478</v>
      </c>
      <c r="B1873" t="s">
        <v>87</v>
      </c>
      <c r="C1873">
        <v>0.02</v>
      </c>
    </row>
    <row r="1874" spans="1:3" x14ac:dyDescent="0.3">
      <c r="A1874" t="s">
        <v>14810</v>
      </c>
      <c r="B1874" t="s">
        <v>40</v>
      </c>
      <c r="C1874">
        <v>0</v>
      </c>
    </row>
    <row r="1875" spans="1:3" x14ac:dyDescent="0.3">
      <c r="A1875" t="s">
        <v>15297</v>
      </c>
      <c r="B1875" t="s">
        <v>225</v>
      </c>
      <c r="C1875">
        <v>0</v>
      </c>
    </row>
    <row r="1876" spans="1:3" x14ac:dyDescent="0.3">
      <c r="A1876" t="s">
        <v>14693</v>
      </c>
      <c r="B1876" t="s">
        <v>64</v>
      </c>
      <c r="C1876">
        <v>0.1</v>
      </c>
    </row>
    <row r="1877" spans="1:3" x14ac:dyDescent="0.3">
      <c r="A1877" t="s">
        <v>13459</v>
      </c>
      <c r="B1877" t="s">
        <v>87</v>
      </c>
      <c r="C1877">
        <v>0.01</v>
      </c>
    </row>
    <row r="1878" spans="1:3" x14ac:dyDescent="0.3">
      <c r="A1878" t="s">
        <v>11153</v>
      </c>
      <c r="B1878" t="s">
        <v>87</v>
      </c>
      <c r="C1878">
        <v>0</v>
      </c>
    </row>
    <row r="1879" spans="1:3" x14ac:dyDescent="0.3">
      <c r="A1879" t="s">
        <v>10889</v>
      </c>
      <c r="B1879" t="s">
        <v>87</v>
      </c>
      <c r="C1879">
        <v>0.1</v>
      </c>
    </row>
    <row r="1880" spans="1:3" x14ac:dyDescent="0.3">
      <c r="A1880" t="s">
        <v>11174</v>
      </c>
      <c r="B1880" t="s">
        <v>87</v>
      </c>
      <c r="C1880">
        <v>0.04</v>
      </c>
    </row>
    <row r="1881" spans="1:3" x14ac:dyDescent="0.3">
      <c r="A1881" t="s">
        <v>15622</v>
      </c>
      <c r="B1881" t="s">
        <v>87</v>
      </c>
      <c r="C1881">
        <v>0.02</v>
      </c>
    </row>
    <row r="1882" spans="1:3" x14ac:dyDescent="0.3">
      <c r="A1882" t="s">
        <v>15622</v>
      </c>
      <c r="B1882" t="s">
        <v>87</v>
      </c>
      <c r="C1882">
        <v>0.04</v>
      </c>
    </row>
    <row r="1883" spans="1:3" x14ac:dyDescent="0.3">
      <c r="A1883" t="s">
        <v>15622</v>
      </c>
      <c r="B1883" t="s">
        <v>87</v>
      </c>
      <c r="C1883">
        <v>0.05</v>
      </c>
    </row>
    <row r="1884" spans="1:3" x14ac:dyDescent="0.3">
      <c r="A1884" t="s">
        <v>11377</v>
      </c>
      <c r="B1884" t="s">
        <v>53</v>
      </c>
      <c r="C1884">
        <v>0.04</v>
      </c>
    </row>
    <row r="1885" spans="1:3" x14ac:dyDescent="0.3">
      <c r="A1885" t="s">
        <v>11377</v>
      </c>
      <c r="B1885" t="s">
        <v>53</v>
      </c>
      <c r="C1885">
        <v>0.1</v>
      </c>
    </row>
    <row r="1886" spans="1:3" x14ac:dyDescent="0.3">
      <c r="A1886" t="s">
        <v>15765</v>
      </c>
      <c r="B1886" t="s">
        <v>225</v>
      </c>
      <c r="C1886">
        <v>0</v>
      </c>
    </row>
    <row r="1887" spans="1:3" x14ac:dyDescent="0.3">
      <c r="A1887" t="s">
        <v>12974</v>
      </c>
      <c r="B1887" t="s">
        <v>53</v>
      </c>
      <c r="C1887">
        <v>0.08</v>
      </c>
    </row>
    <row r="1888" spans="1:3" x14ac:dyDescent="0.3">
      <c r="A1888" t="s">
        <v>11889</v>
      </c>
      <c r="B1888" t="s">
        <v>53</v>
      </c>
      <c r="C1888">
        <v>0.01</v>
      </c>
    </row>
    <row r="1889" spans="1:3" x14ac:dyDescent="0.3">
      <c r="A1889" t="s">
        <v>11889</v>
      </c>
      <c r="B1889" t="s">
        <v>53</v>
      </c>
      <c r="C1889">
        <v>0.04</v>
      </c>
    </row>
    <row r="1890" spans="1:3" x14ac:dyDescent="0.3">
      <c r="A1890" t="s">
        <v>11889</v>
      </c>
      <c r="B1890" t="s">
        <v>53</v>
      </c>
      <c r="C1890">
        <v>7.0000000000000007E-2</v>
      </c>
    </row>
    <row r="1891" spans="1:3" x14ac:dyDescent="0.3">
      <c r="A1891" t="s">
        <v>15080</v>
      </c>
      <c r="B1891" t="s">
        <v>29</v>
      </c>
      <c r="C1891">
        <v>0.01</v>
      </c>
    </row>
    <row r="1892" spans="1:3" x14ac:dyDescent="0.3">
      <c r="A1892" t="s">
        <v>13196</v>
      </c>
      <c r="B1892" t="s">
        <v>40</v>
      </c>
      <c r="C1892">
        <v>0.01</v>
      </c>
    </row>
    <row r="1893" spans="1:3" x14ac:dyDescent="0.3">
      <c r="A1893" t="s">
        <v>13413</v>
      </c>
      <c r="B1893" t="s">
        <v>225</v>
      </c>
      <c r="C1893">
        <v>0.1</v>
      </c>
    </row>
    <row r="1894" spans="1:3" x14ac:dyDescent="0.3">
      <c r="A1894" t="s">
        <v>14452</v>
      </c>
      <c r="B1894" t="s">
        <v>40</v>
      </c>
      <c r="C1894">
        <v>0.03</v>
      </c>
    </row>
    <row r="1895" spans="1:3" x14ac:dyDescent="0.3">
      <c r="A1895" t="s">
        <v>15863</v>
      </c>
      <c r="B1895" t="s">
        <v>40</v>
      </c>
      <c r="C1895">
        <v>0.06</v>
      </c>
    </row>
    <row r="1896" spans="1:3" x14ac:dyDescent="0.3">
      <c r="A1896" t="s">
        <v>16281</v>
      </c>
      <c r="B1896" t="s">
        <v>40</v>
      </c>
      <c r="C1896">
        <v>0.02</v>
      </c>
    </row>
    <row r="1897" spans="1:3" x14ac:dyDescent="0.3">
      <c r="A1897" t="s">
        <v>16281</v>
      </c>
      <c r="B1897" t="s">
        <v>40</v>
      </c>
      <c r="C1897">
        <v>7.0000000000000007E-2</v>
      </c>
    </row>
    <row r="1898" spans="1:3" x14ac:dyDescent="0.3">
      <c r="A1898" t="s">
        <v>132</v>
      </c>
      <c r="B1898" t="s">
        <v>40</v>
      </c>
      <c r="C1898">
        <v>0.04</v>
      </c>
    </row>
    <row r="1899" spans="1:3" x14ac:dyDescent="0.3">
      <c r="A1899" t="s">
        <v>132</v>
      </c>
      <c r="B1899" t="s">
        <v>40</v>
      </c>
      <c r="C1899">
        <v>0.08</v>
      </c>
    </row>
    <row r="1900" spans="1:3" x14ac:dyDescent="0.3">
      <c r="A1900" t="s">
        <v>163</v>
      </c>
      <c r="B1900" t="s">
        <v>40</v>
      </c>
      <c r="C1900">
        <v>0.06</v>
      </c>
    </row>
    <row r="1901" spans="1:3" x14ac:dyDescent="0.3">
      <c r="A1901" t="s">
        <v>3310</v>
      </c>
      <c r="B1901" t="s">
        <v>64</v>
      </c>
      <c r="C1901">
        <v>0.08</v>
      </c>
    </row>
    <row r="1902" spans="1:3" x14ac:dyDescent="0.3">
      <c r="A1902" t="s">
        <v>15943</v>
      </c>
      <c r="B1902" t="s">
        <v>53</v>
      </c>
      <c r="C1902">
        <v>0.08</v>
      </c>
    </row>
    <row r="1903" spans="1:3" x14ac:dyDescent="0.3">
      <c r="A1903" t="s">
        <v>15976</v>
      </c>
      <c r="B1903" t="s">
        <v>40</v>
      </c>
      <c r="C1903">
        <v>0.01</v>
      </c>
    </row>
    <row r="1904" spans="1:3" x14ac:dyDescent="0.3">
      <c r="A1904" t="s">
        <v>15976</v>
      </c>
      <c r="B1904" t="s">
        <v>40</v>
      </c>
      <c r="C1904">
        <v>0.04</v>
      </c>
    </row>
    <row r="1905" spans="1:3" x14ac:dyDescent="0.3">
      <c r="A1905" t="s">
        <v>16024</v>
      </c>
      <c r="B1905" t="s">
        <v>40</v>
      </c>
      <c r="C1905">
        <v>0</v>
      </c>
    </row>
    <row r="1906" spans="1:3" x14ac:dyDescent="0.3">
      <c r="A1906" t="s">
        <v>16228</v>
      </c>
      <c r="B1906" t="s">
        <v>40</v>
      </c>
      <c r="C1906">
        <v>0.03</v>
      </c>
    </row>
    <row r="1907" spans="1:3" x14ac:dyDescent="0.3">
      <c r="A1907" t="s">
        <v>16242</v>
      </c>
      <c r="B1907" t="s">
        <v>64</v>
      </c>
      <c r="C1907">
        <v>0.05</v>
      </c>
    </row>
    <row r="1908" spans="1:3" x14ac:dyDescent="0.3">
      <c r="A1908" t="s">
        <v>16242</v>
      </c>
      <c r="B1908" t="s">
        <v>64</v>
      </c>
      <c r="C1908">
        <v>0.1</v>
      </c>
    </row>
    <row r="1909" spans="1:3" x14ac:dyDescent="0.3">
      <c r="A1909" t="s">
        <v>16315</v>
      </c>
      <c r="B1909" t="s">
        <v>64</v>
      </c>
      <c r="C1909">
        <v>0.08</v>
      </c>
    </row>
    <row r="1910" spans="1:3" x14ac:dyDescent="0.3">
      <c r="A1910" t="s">
        <v>16315</v>
      </c>
      <c r="B1910" t="s">
        <v>64</v>
      </c>
      <c r="C1910">
        <v>0.09</v>
      </c>
    </row>
    <row r="1911" spans="1:3" x14ac:dyDescent="0.3">
      <c r="A1911" t="s">
        <v>16385</v>
      </c>
      <c r="B1911" t="s">
        <v>64</v>
      </c>
      <c r="C1911">
        <v>7.0000000000000007E-2</v>
      </c>
    </row>
    <row r="1912" spans="1:3" x14ac:dyDescent="0.3">
      <c r="A1912" t="s">
        <v>16385</v>
      </c>
      <c r="B1912" t="s">
        <v>64</v>
      </c>
      <c r="C1912">
        <v>0.08</v>
      </c>
    </row>
    <row r="1913" spans="1:3" x14ac:dyDescent="0.3">
      <c r="A1913" t="s">
        <v>16385</v>
      </c>
      <c r="B1913" t="s">
        <v>64</v>
      </c>
      <c r="C1913">
        <v>0.1</v>
      </c>
    </row>
    <row r="1914" spans="1:3" x14ac:dyDescent="0.3">
      <c r="A1914" t="s">
        <v>16419</v>
      </c>
      <c r="B1914" t="s">
        <v>87</v>
      </c>
      <c r="C1914">
        <v>0.04</v>
      </c>
    </row>
    <row r="1915" spans="1:3" x14ac:dyDescent="0.3">
      <c r="A1915" t="s">
        <v>16424</v>
      </c>
      <c r="B1915" t="s">
        <v>29</v>
      </c>
      <c r="C1915">
        <v>0.02</v>
      </c>
    </row>
    <row r="1916" spans="1:3" x14ac:dyDescent="0.3">
      <c r="A1916" t="s">
        <v>16424</v>
      </c>
      <c r="B1916" t="s">
        <v>29</v>
      </c>
      <c r="C1916">
        <v>0.04</v>
      </c>
    </row>
    <row r="1917" spans="1:3" x14ac:dyDescent="0.3">
      <c r="A1917" t="s">
        <v>16448</v>
      </c>
      <c r="B1917" t="s">
        <v>64</v>
      </c>
      <c r="C1917">
        <v>0.01</v>
      </c>
    </row>
    <row r="1918" spans="1:3" x14ac:dyDescent="0.3">
      <c r="A1918" t="s">
        <v>16449</v>
      </c>
      <c r="B1918" t="s">
        <v>225</v>
      </c>
      <c r="C1918">
        <v>0.06</v>
      </c>
    </row>
    <row r="1919" spans="1:3" x14ac:dyDescent="0.3">
      <c r="A1919" t="s">
        <v>16489</v>
      </c>
      <c r="B1919" t="s">
        <v>40</v>
      </c>
      <c r="C1919">
        <v>0.01</v>
      </c>
    </row>
    <row r="1920" spans="1:3" x14ac:dyDescent="0.3">
      <c r="A1920" t="s">
        <v>16489</v>
      </c>
      <c r="B1920" t="s">
        <v>40</v>
      </c>
      <c r="C1920">
        <v>0.02</v>
      </c>
    </row>
    <row r="1921" spans="1:3" x14ac:dyDescent="0.3">
      <c r="A1921" t="s">
        <v>16489</v>
      </c>
      <c r="B1921" t="s">
        <v>40</v>
      </c>
      <c r="C1921">
        <v>0.05</v>
      </c>
    </row>
    <row r="1922" spans="1:3" x14ac:dyDescent="0.3">
      <c r="A1922" t="s">
        <v>16489</v>
      </c>
      <c r="B1922" t="s">
        <v>40</v>
      </c>
      <c r="C1922">
        <v>0.1</v>
      </c>
    </row>
    <row r="1923" spans="1:3" x14ac:dyDescent="0.3">
      <c r="A1923" t="s">
        <v>16490</v>
      </c>
      <c r="B1923" t="s">
        <v>40</v>
      </c>
      <c r="C1923">
        <v>0.01</v>
      </c>
    </row>
    <row r="1924" spans="1:3" x14ac:dyDescent="0.3">
      <c r="A1924" t="s">
        <v>16490</v>
      </c>
      <c r="B1924" t="s">
        <v>40</v>
      </c>
      <c r="C1924">
        <v>0.03</v>
      </c>
    </row>
    <row r="1925" spans="1:3" x14ac:dyDescent="0.3">
      <c r="A1925" t="s">
        <v>24</v>
      </c>
      <c r="B1925" t="s">
        <v>29</v>
      </c>
      <c r="C1925">
        <v>0.01</v>
      </c>
    </row>
    <row r="1926" spans="1:3" x14ac:dyDescent="0.3">
      <c r="A1926" t="s">
        <v>49</v>
      </c>
      <c r="B1926" t="s">
        <v>53</v>
      </c>
      <c r="C1926">
        <v>0.02</v>
      </c>
    </row>
    <row r="1927" spans="1:3" x14ac:dyDescent="0.3">
      <c r="A1927" t="s">
        <v>105</v>
      </c>
      <c r="B1927" t="s">
        <v>64</v>
      </c>
      <c r="C1927">
        <v>0.04</v>
      </c>
    </row>
    <row r="1928" spans="1:3" x14ac:dyDescent="0.3">
      <c r="A1928" t="s">
        <v>105</v>
      </c>
      <c r="B1928" t="s">
        <v>64</v>
      </c>
      <c r="C1928">
        <v>0.08</v>
      </c>
    </row>
    <row r="1929" spans="1:3" x14ac:dyDescent="0.3">
      <c r="A1929" t="s">
        <v>113</v>
      </c>
      <c r="B1929" t="s">
        <v>53</v>
      </c>
      <c r="C1929">
        <v>0.01</v>
      </c>
    </row>
    <row r="1930" spans="1:3" x14ac:dyDescent="0.3">
      <c r="A1930" t="s">
        <v>113</v>
      </c>
      <c r="B1930" t="s">
        <v>53</v>
      </c>
      <c r="C1930">
        <v>0.1</v>
      </c>
    </row>
    <row r="1931" spans="1:3" x14ac:dyDescent="0.3">
      <c r="A1931" t="s">
        <v>120</v>
      </c>
      <c r="B1931" t="s">
        <v>40</v>
      </c>
      <c r="C1931">
        <v>0.01</v>
      </c>
    </row>
    <row r="1932" spans="1:3" x14ac:dyDescent="0.3">
      <c r="A1932" t="s">
        <v>208</v>
      </c>
      <c r="B1932" t="s">
        <v>40</v>
      </c>
      <c r="C1932">
        <v>0.05</v>
      </c>
    </row>
    <row r="1933" spans="1:3" x14ac:dyDescent="0.3">
      <c r="A1933" t="s">
        <v>213</v>
      </c>
      <c r="B1933" t="s">
        <v>64</v>
      </c>
      <c r="C1933">
        <v>0</v>
      </c>
    </row>
    <row r="1934" spans="1:3" x14ac:dyDescent="0.3">
      <c r="A1934" t="s">
        <v>217</v>
      </c>
      <c r="B1934" t="s">
        <v>40</v>
      </c>
      <c r="C1934">
        <v>0.02</v>
      </c>
    </row>
    <row r="1935" spans="1:3" x14ac:dyDescent="0.3">
      <c r="A1935" t="s">
        <v>224</v>
      </c>
      <c r="B1935" t="s">
        <v>225</v>
      </c>
      <c r="C1935">
        <v>0.04</v>
      </c>
    </row>
    <row r="1936" spans="1:3" x14ac:dyDescent="0.3">
      <c r="A1936" t="s">
        <v>232</v>
      </c>
      <c r="B1936" t="s">
        <v>64</v>
      </c>
      <c r="C1936">
        <v>0.03</v>
      </c>
    </row>
    <row r="1937" spans="1:3" x14ac:dyDescent="0.3">
      <c r="A1937" t="s">
        <v>232</v>
      </c>
      <c r="B1937" t="s">
        <v>64</v>
      </c>
      <c r="C1937">
        <v>0.06</v>
      </c>
    </row>
    <row r="1938" spans="1:3" x14ac:dyDescent="0.3">
      <c r="A1938" t="s">
        <v>240</v>
      </c>
      <c r="B1938" t="s">
        <v>53</v>
      </c>
      <c r="C1938">
        <v>0.03</v>
      </c>
    </row>
    <row r="1939" spans="1:3" x14ac:dyDescent="0.3">
      <c r="A1939" t="s">
        <v>242</v>
      </c>
      <c r="B1939" t="s">
        <v>53</v>
      </c>
      <c r="C1939">
        <v>0.06</v>
      </c>
    </row>
    <row r="1940" spans="1:3" x14ac:dyDescent="0.3">
      <c r="A1940" t="s">
        <v>268</v>
      </c>
      <c r="B1940" t="s">
        <v>40</v>
      </c>
      <c r="C1940">
        <v>0.06</v>
      </c>
    </row>
    <row r="1941" spans="1:3" x14ac:dyDescent="0.3">
      <c r="A1941" t="s">
        <v>275</v>
      </c>
      <c r="B1941" t="s">
        <v>64</v>
      </c>
      <c r="C1941">
        <v>7.0000000000000007E-2</v>
      </c>
    </row>
    <row r="1942" spans="1:3" x14ac:dyDescent="0.3">
      <c r="A1942" t="s">
        <v>308</v>
      </c>
      <c r="B1942" t="s">
        <v>87</v>
      </c>
      <c r="C1942">
        <v>0.09</v>
      </c>
    </row>
    <row r="1943" spans="1:3" x14ac:dyDescent="0.3">
      <c r="A1943" t="s">
        <v>332</v>
      </c>
      <c r="B1943" t="s">
        <v>64</v>
      </c>
      <c r="C1943">
        <v>0.04</v>
      </c>
    </row>
    <row r="1944" spans="1:3" x14ac:dyDescent="0.3">
      <c r="A1944" t="s">
        <v>332</v>
      </c>
      <c r="B1944" t="s">
        <v>64</v>
      </c>
      <c r="C1944">
        <v>0.09</v>
      </c>
    </row>
    <row r="1945" spans="1:3" x14ac:dyDescent="0.3">
      <c r="A1945" t="s">
        <v>371</v>
      </c>
      <c r="B1945" t="s">
        <v>40</v>
      </c>
      <c r="C1945">
        <v>0.02</v>
      </c>
    </row>
    <row r="1946" spans="1:3" x14ac:dyDescent="0.3">
      <c r="A1946" t="s">
        <v>426</v>
      </c>
      <c r="B1946" t="s">
        <v>225</v>
      </c>
      <c r="C1946">
        <v>0.08</v>
      </c>
    </row>
    <row r="1947" spans="1:3" x14ac:dyDescent="0.3">
      <c r="A1947" t="s">
        <v>2898</v>
      </c>
      <c r="B1947" t="s">
        <v>40</v>
      </c>
      <c r="C1947">
        <v>7.0000000000000007E-2</v>
      </c>
    </row>
    <row r="1948" spans="1:3" x14ac:dyDescent="0.3">
      <c r="A1948" t="s">
        <v>5354</v>
      </c>
      <c r="B1948" t="s">
        <v>64</v>
      </c>
      <c r="C1948">
        <v>0.03</v>
      </c>
    </row>
    <row r="1949" spans="1:3" x14ac:dyDescent="0.3">
      <c r="A1949" t="s">
        <v>5354</v>
      </c>
      <c r="B1949" t="s">
        <v>64</v>
      </c>
      <c r="C1949">
        <v>0.08</v>
      </c>
    </row>
    <row r="1950" spans="1:3" x14ac:dyDescent="0.3">
      <c r="A1950" t="s">
        <v>7270</v>
      </c>
      <c r="B1950" t="s">
        <v>29</v>
      </c>
      <c r="C1950">
        <v>0.09</v>
      </c>
    </row>
    <row r="1951" spans="1:3" x14ac:dyDescent="0.3">
      <c r="A1951" t="s">
        <v>7270</v>
      </c>
      <c r="B1951" t="s">
        <v>29</v>
      </c>
      <c r="C1951">
        <v>0.1</v>
      </c>
    </row>
    <row r="1952" spans="1:3" x14ac:dyDescent="0.3">
      <c r="A1952" t="s">
        <v>7441</v>
      </c>
      <c r="B1952" t="s">
        <v>87</v>
      </c>
      <c r="C1952">
        <v>7.0000000000000007E-2</v>
      </c>
    </row>
    <row r="1953" spans="1:3" x14ac:dyDescent="0.3">
      <c r="A1953" t="s">
        <v>7441</v>
      </c>
      <c r="B1953" t="s">
        <v>87</v>
      </c>
      <c r="C1953">
        <v>0.09</v>
      </c>
    </row>
    <row r="1954" spans="1:3" x14ac:dyDescent="0.3">
      <c r="A1954" t="s">
        <v>7630</v>
      </c>
      <c r="B1954" t="s">
        <v>53</v>
      </c>
      <c r="C1954">
        <v>0.01</v>
      </c>
    </row>
    <row r="1955" spans="1:3" x14ac:dyDescent="0.3">
      <c r="A1955" t="s">
        <v>7630</v>
      </c>
      <c r="B1955" t="s">
        <v>53</v>
      </c>
      <c r="C1955">
        <v>0.06</v>
      </c>
    </row>
    <row r="1956" spans="1:3" x14ac:dyDescent="0.3">
      <c r="A1956" t="s">
        <v>7630</v>
      </c>
      <c r="B1956" t="s">
        <v>53</v>
      </c>
      <c r="C1956">
        <v>0.1</v>
      </c>
    </row>
    <row r="1957" spans="1:3" x14ac:dyDescent="0.3">
      <c r="A1957" t="s">
        <v>8713</v>
      </c>
      <c r="B1957" t="s">
        <v>64</v>
      </c>
      <c r="C1957">
        <v>0.02</v>
      </c>
    </row>
    <row r="1958" spans="1:3" x14ac:dyDescent="0.3">
      <c r="A1958" t="s">
        <v>8973</v>
      </c>
      <c r="B1958" t="s">
        <v>53</v>
      </c>
      <c r="C1958">
        <v>0.04</v>
      </c>
    </row>
    <row r="1959" spans="1:3" x14ac:dyDescent="0.3">
      <c r="A1959" t="s">
        <v>10684</v>
      </c>
      <c r="B1959" t="s">
        <v>53</v>
      </c>
      <c r="C1959">
        <v>0.01</v>
      </c>
    </row>
    <row r="1960" spans="1:3" x14ac:dyDescent="0.3">
      <c r="A1960" t="s">
        <v>10684</v>
      </c>
      <c r="B1960" t="s">
        <v>53</v>
      </c>
      <c r="C1960">
        <v>0.09</v>
      </c>
    </row>
    <row r="1961" spans="1:3" x14ac:dyDescent="0.3">
      <c r="A1961" t="s">
        <v>11536</v>
      </c>
      <c r="B1961" t="s">
        <v>53</v>
      </c>
      <c r="C1961">
        <v>0.01</v>
      </c>
    </row>
    <row r="1962" spans="1:3" x14ac:dyDescent="0.3">
      <c r="A1962" t="s">
        <v>11747</v>
      </c>
      <c r="B1962" t="s">
        <v>64</v>
      </c>
      <c r="C1962">
        <v>0</v>
      </c>
    </row>
    <row r="1963" spans="1:3" x14ac:dyDescent="0.3">
      <c r="A1963" t="s">
        <v>12941</v>
      </c>
      <c r="B1963" t="s">
        <v>53</v>
      </c>
      <c r="C1963">
        <v>0.01</v>
      </c>
    </row>
    <row r="1964" spans="1:3" x14ac:dyDescent="0.3">
      <c r="A1964" t="s">
        <v>14854</v>
      </c>
      <c r="B1964" t="s">
        <v>64</v>
      </c>
      <c r="C1964">
        <v>0</v>
      </c>
    </row>
    <row r="1965" spans="1:3" x14ac:dyDescent="0.3">
      <c r="A1965" t="s">
        <v>14854</v>
      </c>
      <c r="B1965" t="s">
        <v>64</v>
      </c>
      <c r="C1965">
        <v>0.02</v>
      </c>
    </row>
    <row r="1966" spans="1:3" x14ac:dyDescent="0.3">
      <c r="A1966" t="s">
        <v>15102</v>
      </c>
      <c r="B1966" t="s">
        <v>64</v>
      </c>
      <c r="C1966">
        <v>0.03</v>
      </c>
    </row>
    <row r="1967" spans="1:3" x14ac:dyDescent="0.3">
      <c r="A1967" t="s">
        <v>15102</v>
      </c>
      <c r="B1967" t="s">
        <v>64</v>
      </c>
      <c r="C1967">
        <v>0.1</v>
      </c>
    </row>
    <row r="1968" spans="1:3" x14ac:dyDescent="0.3">
      <c r="A1968" t="s">
        <v>15851</v>
      </c>
      <c r="B1968" t="s">
        <v>64</v>
      </c>
      <c r="C1968">
        <v>0</v>
      </c>
    </row>
    <row r="1969" spans="1:3" x14ac:dyDescent="0.3">
      <c r="A1969" t="s">
        <v>15851</v>
      </c>
      <c r="B1969" t="s">
        <v>64</v>
      </c>
      <c r="C1969">
        <v>0.04</v>
      </c>
    </row>
    <row r="1970" spans="1:3" x14ac:dyDescent="0.3">
      <c r="A1970" t="s">
        <v>15867</v>
      </c>
      <c r="B1970" t="s">
        <v>53</v>
      </c>
      <c r="C1970">
        <v>7.0000000000000007E-2</v>
      </c>
    </row>
    <row r="1971" spans="1:3" x14ac:dyDescent="0.3">
      <c r="A1971" t="s">
        <v>15867</v>
      </c>
      <c r="B1971" t="s">
        <v>53</v>
      </c>
      <c r="C1971">
        <v>0.08</v>
      </c>
    </row>
    <row r="1972" spans="1:3" x14ac:dyDescent="0.3">
      <c r="A1972" t="s">
        <v>15867</v>
      </c>
      <c r="B1972" t="s">
        <v>53</v>
      </c>
      <c r="C1972">
        <v>0.09</v>
      </c>
    </row>
    <row r="1973" spans="1:3" x14ac:dyDescent="0.3">
      <c r="A1973" t="s">
        <v>15868</v>
      </c>
      <c r="B1973" t="s">
        <v>53</v>
      </c>
      <c r="C1973">
        <v>0.01</v>
      </c>
    </row>
    <row r="1974" spans="1:3" x14ac:dyDescent="0.3">
      <c r="A1974" t="s">
        <v>15869</v>
      </c>
      <c r="B1974" t="s">
        <v>40</v>
      </c>
      <c r="C1974">
        <v>0.03</v>
      </c>
    </row>
    <row r="1975" spans="1:3" x14ac:dyDescent="0.3">
      <c r="A1975" t="s">
        <v>15869</v>
      </c>
      <c r="B1975" t="s">
        <v>40</v>
      </c>
      <c r="C1975">
        <v>0.08</v>
      </c>
    </row>
    <row r="1976" spans="1:3" x14ac:dyDescent="0.3">
      <c r="A1976" t="s">
        <v>15873</v>
      </c>
      <c r="B1976" t="s">
        <v>53</v>
      </c>
      <c r="C1976">
        <v>0.03</v>
      </c>
    </row>
    <row r="1977" spans="1:3" x14ac:dyDescent="0.3">
      <c r="A1977" t="s">
        <v>15873</v>
      </c>
      <c r="B1977" t="s">
        <v>53</v>
      </c>
      <c r="C1977">
        <v>0.1</v>
      </c>
    </row>
    <row r="1978" spans="1:3" x14ac:dyDescent="0.3">
      <c r="A1978" t="s">
        <v>15884</v>
      </c>
      <c r="B1978" t="s">
        <v>53</v>
      </c>
      <c r="C1978">
        <v>0.02</v>
      </c>
    </row>
    <row r="1979" spans="1:3" x14ac:dyDescent="0.3">
      <c r="A1979" t="s">
        <v>15887</v>
      </c>
      <c r="B1979" t="s">
        <v>64</v>
      </c>
      <c r="C1979">
        <v>0.05</v>
      </c>
    </row>
    <row r="1980" spans="1:3" x14ac:dyDescent="0.3">
      <c r="A1980" t="s">
        <v>15889</v>
      </c>
      <c r="B1980" t="s">
        <v>64</v>
      </c>
      <c r="C1980">
        <v>0</v>
      </c>
    </row>
    <row r="1981" spans="1:3" x14ac:dyDescent="0.3">
      <c r="A1981" t="s">
        <v>15890</v>
      </c>
      <c r="B1981" t="s">
        <v>53</v>
      </c>
      <c r="C1981">
        <v>0.03</v>
      </c>
    </row>
    <row r="1982" spans="1:3" x14ac:dyDescent="0.3">
      <c r="A1982" t="s">
        <v>15905</v>
      </c>
      <c r="B1982" t="s">
        <v>29</v>
      </c>
      <c r="C1982">
        <v>0</v>
      </c>
    </row>
    <row r="1983" spans="1:3" x14ac:dyDescent="0.3">
      <c r="A1983" t="s">
        <v>15905</v>
      </c>
      <c r="B1983" t="s">
        <v>29</v>
      </c>
      <c r="C1983">
        <v>0.03</v>
      </c>
    </row>
    <row r="1984" spans="1:3" x14ac:dyDescent="0.3">
      <c r="A1984" t="s">
        <v>15906</v>
      </c>
      <c r="B1984" t="s">
        <v>53</v>
      </c>
      <c r="C1984">
        <v>0.05</v>
      </c>
    </row>
    <row r="1985" spans="1:3" x14ac:dyDescent="0.3">
      <c r="A1985" t="s">
        <v>15926</v>
      </c>
      <c r="B1985" t="s">
        <v>40</v>
      </c>
      <c r="C1985">
        <v>0.09</v>
      </c>
    </row>
    <row r="1986" spans="1:3" x14ac:dyDescent="0.3">
      <c r="A1986" t="s">
        <v>15930</v>
      </c>
      <c r="B1986" t="s">
        <v>64</v>
      </c>
      <c r="C1986">
        <v>0.09</v>
      </c>
    </row>
    <row r="1987" spans="1:3" x14ac:dyDescent="0.3">
      <c r="A1987" t="s">
        <v>15938</v>
      </c>
      <c r="B1987" t="s">
        <v>53</v>
      </c>
      <c r="C1987">
        <v>0.06</v>
      </c>
    </row>
    <row r="1988" spans="1:3" x14ac:dyDescent="0.3">
      <c r="A1988" t="s">
        <v>15944</v>
      </c>
      <c r="B1988" t="s">
        <v>64</v>
      </c>
      <c r="C1988">
        <v>0.05</v>
      </c>
    </row>
    <row r="1989" spans="1:3" x14ac:dyDescent="0.3">
      <c r="A1989" t="s">
        <v>15945</v>
      </c>
      <c r="B1989" t="s">
        <v>40</v>
      </c>
      <c r="C1989">
        <v>0.01</v>
      </c>
    </row>
    <row r="1990" spans="1:3" x14ac:dyDescent="0.3">
      <c r="A1990" t="s">
        <v>15946</v>
      </c>
      <c r="B1990" t="s">
        <v>29</v>
      </c>
      <c r="C1990">
        <v>0.05</v>
      </c>
    </row>
    <row r="1991" spans="1:3" x14ac:dyDescent="0.3">
      <c r="A1991" t="s">
        <v>15949</v>
      </c>
      <c r="B1991" t="s">
        <v>40</v>
      </c>
      <c r="C1991">
        <v>0.05</v>
      </c>
    </row>
    <row r="1992" spans="1:3" x14ac:dyDescent="0.3">
      <c r="A1992" t="s">
        <v>15955</v>
      </c>
      <c r="B1992" t="s">
        <v>53</v>
      </c>
      <c r="C1992">
        <v>0.03</v>
      </c>
    </row>
    <row r="1993" spans="1:3" x14ac:dyDescent="0.3">
      <c r="A1993" t="s">
        <v>15955</v>
      </c>
      <c r="B1993" t="s">
        <v>53</v>
      </c>
      <c r="C1993">
        <v>0.04</v>
      </c>
    </row>
    <row r="1994" spans="1:3" x14ac:dyDescent="0.3">
      <c r="A1994" t="s">
        <v>15965</v>
      </c>
      <c r="B1994" t="s">
        <v>40</v>
      </c>
      <c r="C1994">
        <v>0.05</v>
      </c>
    </row>
    <row r="1995" spans="1:3" x14ac:dyDescent="0.3">
      <c r="A1995" t="s">
        <v>15965</v>
      </c>
      <c r="B1995" t="s">
        <v>40</v>
      </c>
      <c r="C1995">
        <v>0.1</v>
      </c>
    </row>
    <row r="1996" spans="1:3" x14ac:dyDescent="0.3">
      <c r="A1996" t="s">
        <v>15974</v>
      </c>
      <c r="B1996" t="s">
        <v>87</v>
      </c>
      <c r="C1996">
        <v>0.08</v>
      </c>
    </row>
    <row r="1997" spans="1:3" x14ac:dyDescent="0.3">
      <c r="A1997" t="s">
        <v>15982</v>
      </c>
      <c r="B1997" t="s">
        <v>64</v>
      </c>
      <c r="C1997">
        <v>0.01</v>
      </c>
    </row>
    <row r="1998" spans="1:3" x14ac:dyDescent="0.3">
      <c r="A1998" t="s">
        <v>15984</v>
      </c>
      <c r="B1998" t="s">
        <v>64</v>
      </c>
      <c r="C1998">
        <v>0.02</v>
      </c>
    </row>
    <row r="1999" spans="1:3" x14ac:dyDescent="0.3">
      <c r="A1999" t="s">
        <v>15996</v>
      </c>
      <c r="B1999" t="s">
        <v>40</v>
      </c>
      <c r="C1999">
        <v>0.05</v>
      </c>
    </row>
    <row r="2000" spans="1:3" x14ac:dyDescent="0.3">
      <c r="A2000" t="s">
        <v>15996</v>
      </c>
      <c r="B2000" t="s">
        <v>40</v>
      </c>
      <c r="C2000">
        <v>0.06</v>
      </c>
    </row>
    <row r="2001" spans="1:3" x14ac:dyDescent="0.3">
      <c r="A2001" t="s">
        <v>15997</v>
      </c>
      <c r="B2001" t="s">
        <v>64</v>
      </c>
      <c r="C2001">
        <v>0</v>
      </c>
    </row>
    <row r="2002" spans="1:3" x14ac:dyDescent="0.3">
      <c r="A2002" t="s">
        <v>16014</v>
      </c>
      <c r="B2002" t="s">
        <v>29</v>
      </c>
      <c r="C2002">
        <v>0.03</v>
      </c>
    </row>
    <row r="2003" spans="1:3" x14ac:dyDescent="0.3">
      <c r="A2003" t="s">
        <v>16016</v>
      </c>
      <c r="B2003" t="s">
        <v>225</v>
      </c>
      <c r="C2003">
        <v>0.03</v>
      </c>
    </row>
    <row r="2004" spans="1:3" x14ac:dyDescent="0.3">
      <c r="A2004" t="s">
        <v>16039</v>
      </c>
      <c r="B2004" t="s">
        <v>53</v>
      </c>
      <c r="C2004">
        <v>0.1</v>
      </c>
    </row>
    <row r="2005" spans="1:3" x14ac:dyDescent="0.3">
      <c r="A2005" t="s">
        <v>16041</v>
      </c>
      <c r="B2005" t="s">
        <v>64</v>
      </c>
      <c r="C2005">
        <v>0.01</v>
      </c>
    </row>
    <row r="2006" spans="1:3" x14ac:dyDescent="0.3">
      <c r="A2006" t="s">
        <v>16047</v>
      </c>
      <c r="B2006" t="s">
        <v>40</v>
      </c>
      <c r="C2006">
        <v>0.09</v>
      </c>
    </row>
    <row r="2007" spans="1:3" x14ac:dyDescent="0.3">
      <c r="A2007" t="s">
        <v>16048</v>
      </c>
      <c r="B2007" t="s">
        <v>40</v>
      </c>
      <c r="C2007">
        <v>0.06</v>
      </c>
    </row>
    <row r="2008" spans="1:3" x14ac:dyDescent="0.3">
      <c r="A2008" t="s">
        <v>16049</v>
      </c>
      <c r="B2008" t="s">
        <v>53</v>
      </c>
      <c r="C2008">
        <v>0.1</v>
      </c>
    </row>
    <row r="2009" spans="1:3" x14ac:dyDescent="0.3">
      <c r="A2009" t="s">
        <v>16056</v>
      </c>
      <c r="B2009" t="s">
        <v>40</v>
      </c>
      <c r="C2009">
        <v>0.1</v>
      </c>
    </row>
    <row r="2010" spans="1:3" x14ac:dyDescent="0.3">
      <c r="A2010" t="s">
        <v>16064</v>
      </c>
      <c r="B2010" t="s">
        <v>87</v>
      </c>
      <c r="C2010">
        <v>0.06</v>
      </c>
    </row>
    <row r="2011" spans="1:3" x14ac:dyDescent="0.3">
      <c r="A2011" t="s">
        <v>16067</v>
      </c>
      <c r="B2011" t="s">
        <v>53</v>
      </c>
      <c r="C2011">
        <v>0.03</v>
      </c>
    </row>
    <row r="2012" spans="1:3" x14ac:dyDescent="0.3">
      <c r="A2012" t="s">
        <v>16067</v>
      </c>
      <c r="B2012" t="s">
        <v>53</v>
      </c>
      <c r="C2012">
        <v>0.04</v>
      </c>
    </row>
    <row r="2013" spans="1:3" x14ac:dyDescent="0.3">
      <c r="A2013" t="s">
        <v>16067</v>
      </c>
      <c r="B2013" t="s">
        <v>53</v>
      </c>
      <c r="C2013">
        <v>0.09</v>
      </c>
    </row>
    <row r="2014" spans="1:3" x14ac:dyDescent="0.3">
      <c r="A2014" t="s">
        <v>16071</v>
      </c>
      <c r="B2014" t="s">
        <v>40</v>
      </c>
      <c r="C2014">
        <v>0.06</v>
      </c>
    </row>
    <row r="2015" spans="1:3" x14ac:dyDescent="0.3">
      <c r="A2015" t="s">
        <v>16072</v>
      </c>
      <c r="B2015" t="s">
        <v>64</v>
      </c>
      <c r="C2015">
        <v>0.06</v>
      </c>
    </row>
    <row r="2016" spans="1:3" x14ac:dyDescent="0.3">
      <c r="A2016" t="s">
        <v>16072</v>
      </c>
      <c r="B2016" t="s">
        <v>64</v>
      </c>
      <c r="C2016">
        <v>0.09</v>
      </c>
    </row>
    <row r="2017" spans="1:3" x14ac:dyDescent="0.3">
      <c r="A2017" t="s">
        <v>16078</v>
      </c>
      <c r="B2017" t="s">
        <v>40</v>
      </c>
      <c r="C2017">
        <v>0.08</v>
      </c>
    </row>
    <row r="2018" spans="1:3" x14ac:dyDescent="0.3">
      <c r="A2018" t="s">
        <v>16082</v>
      </c>
      <c r="B2018" t="s">
        <v>29</v>
      </c>
      <c r="C2018">
        <v>0.02</v>
      </c>
    </row>
    <row r="2019" spans="1:3" x14ac:dyDescent="0.3">
      <c r="A2019" t="s">
        <v>16082</v>
      </c>
      <c r="B2019" t="s">
        <v>29</v>
      </c>
      <c r="C2019">
        <v>7.0000000000000007E-2</v>
      </c>
    </row>
    <row r="2020" spans="1:3" x14ac:dyDescent="0.3">
      <c r="A2020" t="s">
        <v>16082</v>
      </c>
      <c r="B2020" t="s">
        <v>29</v>
      </c>
      <c r="C2020">
        <v>0.1</v>
      </c>
    </row>
    <row r="2021" spans="1:3" x14ac:dyDescent="0.3">
      <c r="A2021" t="s">
        <v>16094</v>
      </c>
      <c r="B2021" t="s">
        <v>64</v>
      </c>
      <c r="C2021">
        <v>0.05</v>
      </c>
    </row>
    <row r="2022" spans="1:3" x14ac:dyDescent="0.3">
      <c r="A2022" t="s">
        <v>16106</v>
      </c>
      <c r="B2022" t="s">
        <v>64</v>
      </c>
      <c r="C2022">
        <v>0.06</v>
      </c>
    </row>
    <row r="2023" spans="1:3" x14ac:dyDescent="0.3">
      <c r="A2023" t="s">
        <v>16106</v>
      </c>
      <c r="B2023" t="s">
        <v>64</v>
      </c>
      <c r="C2023">
        <v>0.08</v>
      </c>
    </row>
    <row r="2024" spans="1:3" x14ac:dyDescent="0.3">
      <c r="A2024" t="s">
        <v>16107</v>
      </c>
      <c r="B2024" t="s">
        <v>40</v>
      </c>
      <c r="C2024">
        <v>0</v>
      </c>
    </row>
    <row r="2025" spans="1:3" x14ac:dyDescent="0.3">
      <c r="A2025" t="s">
        <v>16112</v>
      </c>
      <c r="B2025" t="s">
        <v>64</v>
      </c>
      <c r="C2025">
        <v>0.04</v>
      </c>
    </row>
    <row r="2026" spans="1:3" x14ac:dyDescent="0.3">
      <c r="A2026" t="s">
        <v>16115</v>
      </c>
      <c r="B2026" t="s">
        <v>53</v>
      </c>
      <c r="C2026">
        <v>7.0000000000000007E-2</v>
      </c>
    </row>
    <row r="2027" spans="1:3" x14ac:dyDescent="0.3">
      <c r="A2027" t="s">
        <v>16115</v>
      </c>
      <c r="B2027" t="s">
        <v>53</v>
      </c>
      <c r="C2027">
        <v>0.09</v>
      </c>
    </row>
    <row r="2028" spans="1:3" x14ac:dyDescent="0.3">
      <c r="A2028" t="s">
        <v>16118</v>
      </c>
      <c r="B2028" t="s">
        <v>40</v>
      </c>
      <c r="C2028">
        <v>0.06</v>
      </c>
    </row>
    <row r="2029" spans="1:3" x14ac:dyDescent="0.3">
      <c r="A2029" t="s">
        <v>16123</v>
      </c>
      <c r="B2029" t="s">
        <v>53</v>
      </c>
      <c r="C2029">
        <v>0.08</v>
      </c>
    </row>
    <row r="2030" spans="1:3" x14ac:dyDescent="0.3">
      <c r="A2030" t="s">
        <v>16124</v>
      </c>
      <c r="B2030" t="s">
        <v>53</v>
      </c>
      <c r="C2030">
        <v>0.03</v>
      </c>
    </row>
    <row r="2031" spans="1:3" x14ac:dyDescent="0.3">
      <c r="A2031" t="s">
        <v>16130</v>
      </c>
      <c r="B2031" t="s">
        <v>87</v>
      </c>
      <c r="C2031">
        <v>0</v>
      </c>
    </row>
    <row r="2032" spans="1:3" x14ac:dyDescent="0.3">
      <c r="A2032" t="s">
        <v>16130</v>
      </c>
      <c r="B2032" t="s">
        <v>87</v>
      </c>
      <c r="C2032">
        <v>0.04</v>
      </c>
    </row>
    <row r="2033" spans="1:3" x14ac:dyDescent="0.3">
      <c r="A2033" t="s">
        <v>16131</v>
      </c>
      <c r="B2033" t="s">
        <v>40</v>
      </c>
      <c r="C2033">
        <v>0.01</v>
      </c>
    </row>
    <row r="2034" spans="1:3" x14ac:dyDescent="0.3">
      <c r="A2034" t="s">
        <v>16131</v>
      </c>
      <c r="B2034" t="s">
        <v>40</v>
      </c>
      <c r="C2034">
        <v>0.03</v>
      </c>
    </row>
    <row r="2035" spans="1:3" x14ac:dyDescent="0.3">
      <c r="A2035" t="s">
        <v>16134</v>
      </c>
      <c r="B2035" t="s">
        <v>29</v>
      </c>
      <c r="C2035">
        <v>0.04</v>
      </c>
    </row>
    <row r="2036" spans="1:3" x14ac:dyDescent="0.3">
      <c r="A2036" t="s">
        <v>16135</v>
      </c>
      <c r="B2036" t="s">
        <v>40</v>
      </c>
      <c r="C2036">
        <v>7.0000000000000007E-2</v>
      </c>
    </row>
    <row r="2037" spans="1:3" x14ac:dyDescent="0.3">
      <c r="A2037" t="s">
        <v>16135</v>
      </c>
      <c r="B2037" t="s">
        <v>40</v>
      </c>
      <c r="C2037">
        <v>0.08</v>
      </c>
    </row>
    <row r="2038" spans="1:3" x14ac:dyDescent="0.3">
      <c r="A2038" t="s">
        <v>16135</v>
      </c>
      <c r="B2038" t="s">
        <v>40</v>
      </c>
      <c r="C2038">
        <v>0.1</v>
      </c>
    </row>
    <row r="2039" spans="1:3" x14ac:dyDescent="0.3">
      <c r="A2039" t="s">
        <v>16139</v>
      </c>
      <c r="B2039" t="s">
        <v>64</v>
      </c>
      <c r="C2039">
        <v>0.03</v>
      </c>
    </row>
    <row r="2040" spans="1:3" x14ac:dyDescent="0.3">
      <c r="A2040" t="s">
        <v>16139</v>
      </c>
      <c r="B2040" t="s">
        <v>64</v>
      </c>
      <c r="C2040">
        <v>7.0000000000000007E-2</v>
      </c>
    </row>
    <row r="2041" spans="1:3" x14ac:dyDescent="0.3">
      <c r="A2041" t="s">
        <v>16139</v>
      </c>
      <c r="B2041" t="s">
        <v>64</v>
      </c>
      <c r="C2041">
        <v>0.1</v>
      </c>
    </row>
    <row r="2042" spans="1:3" x14ac:dyDescent="0.3">
      <c r="A2042" t="s">
        <v>16146</v>
      </c>
      <c r="B2042" t="s">
        <v>64</v>
      </c>
      <c r="C2042">
        <v>0.09</v>
      </c>
    </row>
    <row r="2043" spans="1:3" x14ac:dyDescent="0.3">
      <c r="A2043" t="s">
        <v>16147</v>
      </c>
      <c r="B2043" t="s">
        <v>53</v>
      </c>
      <c r="C2043">
        <v>0.04</v>
      </c>
    </row>
    <row r="2044" spans="1:3" x14ac:dyDescent="0.3">
      <c r="A2044" t="s">
        <v>16147</v>
      </c>
      <c r="B2044" t="s">
        <v>53</v>
      </c>
      <c r="C2044">
        <v>0.08</v>
      </c>
    </row>
    <row r="2045" spans="1:3" x14ac:dyDescent="0.3">
      <c r="A2045" t="s">
        <v>16150</v>
      </c>
      <c r="B2045" t="s">
        <v>225</v>
      </c>
      <c r="C2045">
        <v>0.03</v>
      </c>
    </row>
    <row r="2046" spans="1:3" x14ac:dyDescent="0.3">
      <c r="A2046" t="s">
        <v>16154</v>
      </c>
      <c r="B2046" t="s">
        <v>40</v>
      </c>
      <c r="C2046">
        <v>0.09</v>
      </c>
    </row>
    <row r="2047" spans="1:3" x14ac:dyDescent="0.3">
      <c r="A2047" t="s">
        <v>16164</v>
      </c>
      <c r="B2047" t="s">
        <v>40</v>
      </c>
      <c r="C2047">
        <v>0.01</v>
      </c>
    </row>
    <row r="2048" spans="1:3" x14ac:dyDescent="0.3">
      <c r="A2048" t="s">
        <v>16164</v>
      </c>
      <c r="B2048" t="s">
        <v>40</v>
      </c>
      <c r="C2048">
        <v>0.08</v>
      </c>
    </row>
    <row r="2049" spans="1:3" x14ac:dyDescent="0.3">
      <c r="A2049" t="s">
        <v>16175</v>
      </c>
      <c r="B2049" t="s">
        <v>40</v>
      </c>
      <c r="C2049">
        <v>0.01</v>
      </c>
    </row>
    <row r="2050" spans="1:3" x14ac:dyDescent="0.3">
      <c r="A2050" t="s">
        <v>16176</v>
      </c>
      <c r="B2050" t="s">
        <v>64</v>
      </c>
      <c r="C2050">
        <v>0.03</v>
      </c>
    </row>
    <row r="2051" spans="1:3" x14ac:dyDescent="0.3">
      <c r="A2051" t="s">
        <v>16178</v>
      </c>
      <c r="B2051" t="s">
        <v>64</v>
      </c>
      <c r="C2051">
        <v>7.0000000000000007E-2</v>
      </c>
    </row>
    <row r="2052" spans="1:3" x14ac:dyDescent="0.3">
      <c r="A2052" t="s">
        <v>16182</v>
      </c>
      <c r="B2052" t="s">
        <v>40</v>
      </c>
      <c r="C2052">
        <v>0.03</v>
      </c>
    </row>
    <row r="2053" spans="1:3" x14ac:dyDescent="0.3">
      <c r="A2053" t="s">
        <v>16182</v>
      </c>
      <c r="B2053" t="s">
        <v>40</v>
      </c>
      <c r="C2053">
        <v>0.05</v>
      </c>
    </row>
    <row r="2054" spans="1:3" x14ac:dyDescent="0.3">
      <c r="A2054" t="s">
        <v>16182</v>
      </c>
      <c r="B2054" t="s">
        <v>40</v>
      </c>
      <c r="C2054">
        <v>0.06</v>
      </c>
    </row>
    <row r="2055" spans="1:3" x14ac:dyDescent="0.3">
      <c r="A2055" t="s">
        <v>16196</v>
      </c>
      <c r="B2055" t="s">
        <v>64</v>
      </c>
      <c r="C2055">
        <v>0.09</v>
      </c>
    </row>
    <row r="2056" spans="1:3" x14ac:dyDescent="0.3">
      <c r="A2056" t="s">
        <v>16197</v>
      </c>
      <c r="B2056" t="s">
        <v>64</v>
      </c>
      <c r="C2056">
        <v>0.02</v>
      </c>
    </row>
    <row r="2057" spans="1:3" x14ac:dyDescent="0.3">
      <c r="A2057" t="s">
        <v>16205</v>
      </c>
      <c r="B2057" t="s">
        <v>64</v>
      </c>
      <c r="C2057">
        <v>0.02</v>
      </c>
    </row>
    <row r="2058" spans="1:3" x14ac:dyDescent="0.3">
      <c r="A2058" t="s">
        <v>16205</v>
      </c>
      <c r="B2058" t="s">
        <v>64</v>
      </c>
      <c r="C2058">
        <v>0.06</v>
      </c>
    </row>
    <row r="2059" spans="1:3" x14ac:dyDescent="0.3">
      <c r="A2059" t="s">
        <v>16205</v>
      </c>
      <c r="B2059" t="s">
        <v>64</v>
      </c>
      <c r="C2059">
        <v>7.0000000000000007E-2</v>
      </c>
    </row>
    <row r="2060" spans="1:3" x14ac:dyDescent="0.3">
      <c r="A2060" t="s">
        <v>16208</v>
      </c>
      <c r="B2060" t="s">
        <v>64</v>
      </c>
      <c r="C2060">
        <v>0.1</v>
      </c>
    </row>
    <row r="2061" spans="1:3" x14ac:dyDescent="0.3">
      <c r="A2061" t="s">
        <v>16223</v>
      </c>
      <c r="B2061" t="s">
        <v>53</v>
      </c>
      <c r="C2061">
        <v>0</v>
      </c>
    </row>
    <row r="2062" spans="1:3" x14ac:dyDescent="0.3">
      <c r="A2062" t="s">
        <v>16223</v>
      </c>
      <c r="B2062" t="s">
        <v>53</v>
      </c>
      <c r="C2062">
        <v>0.02</v>
      </c>
    </row>
    <row r="2063" spans="1:3" x14ac:dyDescent="0.3">
      <c r="A2063" t="s">
        <v>16237</v>
      </c>
      <c r="B2063" t="s">
        <v>40</v>
      </c>
      <c r="C2063">
        <v>0</v>
      </c>
    </row>
    <row r="2064" spans="1:3" x14ac:dyDescent="0.3">
      <c r="A2064" t="s">
        <v>16237</v>
      </c>
      <c r="B2064" t="s">
        <v>40</v>
      </c>
      <c r="C2064">
        <v>0.04</v>
      </c>
    </row>
    <row r="2065" spans="1:3" x14ac:dyDescent="0.3">
      <c r="A2065" t="s">
        <v>16237</v>
      </c>
      <c r="B2065" t="s">
        <v>40</v>
      </c>
      <c r="C2065">
        <v>0.08</v>
      </c>
    </row>
    <row r="2066" spans="1:3" x14ac:dyDescent="0.3">
      <c r="A2066" t="s">
        <v>16237</v>
      </c>
      <c r="B2066" t="s">
        <v>40</v>
      </c>
      <c r="C2066">
        <v>0.09</v>
      </c>
    </row>
    <row r="2067" spans="1:3" x14ac:dyDescent="0.3">
      <c r="A2067" t="s">
        <v>16241</v>
      </c>
      <c r="B2067" t="s">
        <v>64</v>
      </c>
      <c r="C2067">
        <v>0.01</v>
      </c>
    </row>
    <row r="2068" spans="1:3" x14ac:dyDescent="0.3">
      <c r="A2068" t="s">
        <v>16245</v>
      </c>
      <c r="B2068" t="s">
        <v>64</v>
      </c>
      <c r="C2068">
        <v>0.03</v>
      </c>
    </row>
    <row r="2069" spans="1:3" x14ac:dyDescent="0.3">
      <c r="A2069" t="s">
        <v>16257</v>
      </c>
      <c r="B2069" t="s">
        <v>64</v>
      </c>
      <c r="C2069">
        <v>0.01</v>
      </c>
    </row>
    <row r="2070" spans="1:3" x14ac:dyDescent="0.3">
      <c r="A2070" t="s">
        <v>16257</v>
      </c>
      <c r="B2070" t="s">
        <v>64</v>
      </c>
      <c r="C2070">
        <v>0.02</v>
      </c>
    </row>
    <row r="2071" spans="1:3" x14ac:dyDescent="0.3">
      <c r="A2071" t="s">
        <v>16258</v>
      </c>
      <c r="B2071" t="s">
        <v>40</v>
      </c>
      <c r="C2071">
        <v>0.04</v>
      </c>
    </row>
    <row r="2072" spans="1:3" x14ac:dyDescent="0.3">
      <c r="A2072" t="s">
        <v>16260</v>
      </c>
      <c r="B2072" t="s">
        <v>225</v>
      </c>
      <c r="C2072">
        <v>0.08</v>
      </c>
    </row>
    <row r="2073" spans="1:3" x14ac:dyDescent="0.3">
      <c r="A2073" t="s">
        <v>16271</v>
      </c>
      <c r="B2073" t="s">
        <v>40</v>
      </c>
      <c r="C2073">
        <v>0.03</v>
      </c>
    </row>
    <row r="2074" spans="1:3" x14ac:dyDescent="0.3">
      <c r="A2074" t="s">
        <v>16275</v>
      </c>
      <c r="B2074" t="s">
        <v>53</v>
      </c>
      <c r="C2074">
        <v>0</v>
      </c>
    </row>
    <row r="2075" spans="1:3" x14ac:dyDescent="0.3">
      <c r="A2075" t="s">
        <v>16275</v>
      </c>
      <c r="B2075" t="s">
        <v>53</v>
      </c>
      <c r="C2075">
        <v>7.0000000000000007E-2</v>
      </c>
    </row>
    <row r="2076" spans="1:3" x14ac:dyDescent="0.3">
      <c r="A2076" t="s">
        <v>16277</v>
      </c>
      <c r="B2076" t="s">
        <v>225</v>
      </c>
      <c r="C2076">
        <v>0.02</v>
      </c>
    </row>
    <row r="2077" spans="1:3" x14ac:dyDescent="0.3">
      <c r="A2077" t="s">
        <v>16277</v>
      </c>
      <c r="B2077" t="s">
        <v>225</v>
      </c>
      <c r="C2077">
        <v>0.04</v>
      </c>
    </row>
    <row r="2078" spans="1:3" x14ac:dyDescent="0.3">
      <c r="A2078" t="s">
        <v>16277</v>
      </c>
      <c r="B2078" t="s">
        <v>225</v>
      </c>
      <c r="C2078">
        <v>7.0000000000000007E-2</v>
      </c>
    </row>
    <row r="2079" spans="1:3" x14ac:dyDescent="0.3">
      <c r="A2079" t="s">
        <v>16277</v>
      </c>
      <c r="B2079" t="s">
        <v>225</v>
      </c>
      <c r="C2079">
        <v>0.08</v>
      </c>
    </row>
    <row r="2080" spans="1:3" x14ac:dyDescent="0.3">
      <c r="A2080" t="s">
        <v>16279</v>
      </c>
      <c r="B2080" t="s">
        <v>87</v>
      </c>
      <c r="C2080">
        <v>0</v>
      </c>
    </row>
    <row r="2081" spans="1:3" x14ac:dyDescent="0.3">
      <c r="A2081" t="s">
        <v>16283</v>
      </c>
      <c r="B2081" t="s">
        <v>64</v>
      </c>
      <c r="C2081">
        <v>0.02</v>
      </c>
    </row>
    <row r="2082" spans="1:3" x14ac:dyDescent="0.3">
      <c r="A2082" t="s">
        <v>16292</v>
      </c>
      <c r="B2082" t="s">
        <v>64</v>
      </c>
      <c r="C2082">
        <v>7.0000000000000007E-2</v>
      </c>
    </row>
    <row r="2083" spans="1:3" x14ac:dyDescent="0.3">
      <c r="A2083" t="s">
        <v>16295</v>
      </c>
      <c r="B2083" t="s">
        <v>64</v>
      </c>
      <c r="C2083">
        <v>0.08</v>
      </c>
    </row>
    <row r="2084" spans="1:3" x14ac:dyDescent="0.3">
      <c r="A2084" t="s">
        <v>16297</v>
      </c>
      <c r="B2084" t="s">
        <v>64</v>
      </c>
      <c r="C2084">
        <v>0.03</v>
      </c>
    </row>
    <row r="2085" spans="1:3" x14ac:dyDescent="0.3">
      <c r="A2085" t="s">
        <v>16297</v>
      </c>
      <c r="B2085" t="s">
        <v>64</v>
      </c>
      <c r="C2085">
        <v>0.05</v>
      </c>
    </row>
    <row r="2086" spans="1:3" x14ac:dyDescent="0.3">
      <c r="A2086" t="s">
        <v>16305</v>
      </c>
      <c r="B2086" t="s">
        <v>64</v>
      </c>
      <c r="C2086">
        <v>0.01</v>
      </c>
    </row>
    <row r="2087" spans="1:3" x14ac:dyDescent="0.3">
      <c r="A2087" t="s">
        <v>16309</v>
      </c>
      <c r="B2087" t="s">
        <v>225</v>
      </c>
      <c r="C2087">
        <v>0.02</v>
      </c>
    </row>
    <row r="2088" spans="1:3" x14ac:dyDescent="0.3">
      <c r="A2088" t="s">
        <v>16311</v>
      </c>
      <c r="B2088" t="s">
        <v>53</v>
      </c>
      <c r="C2088">
        <v>0.02</v>
      </c>
    </row>
    <row r="2089" spans="1:3" x14ac:dyDescent="0.3">
      <c r="A2089" t="s">
        <v>16311</v>
      </c>
      <c r="B2089" t="s">
        <v>53</v>
      </c>
      <c r="C2089">
        <v>0.08</v>
      </c>
    </row>
    <row r="2090" spans="1:3" x14ac:dyDescent="0.3">
      <c r="A2090" t="s">
        <v>16313</v>
      </c>
      <c r="B2090" t="s">
        <v>64</v>
      </c>
      <c r="C2090">
        <v>0.06</v>
      </c>
    </row>
    <row r="2091" spans="1:3" x14ac:dyDescent="0.3">
      <c r="A2091" t="s">
        <v>16330</v>
      </c>
      <c r="B2091" t="s">
        <v>53</v>
      </c>
      <c r="C2091">
        <v>7.0000000000000007E-2</v>
      </c>
    </row>
    <row r="2092" spans="1:3" x14ac:dyDescent="0.3">
      <c r="A2092" t="s">
        <v>16330</v>
      </c>
      <c r="B2092" t="s">
        <v>53</v>
      </c>
      <c r="C2092">
        <v>0.09</v>
      </c>
    </row>
    <row r="2093" spans="1:3" x14ac:dyDescent="0.3">
      <c r="A2093" t="s">
        <v>16334</v>
      </c>
      <c r="B2093" t="s">
        <v>64</v>
      </c>
      <c r="C2093">
        <v>7.0000000000000007E-2</v>
      </c>
    </row>
    <row r="2094" spans="1:3" x14ac:dyDescent="0.3">
      <c r="A2094" t="s">
        <v>16334</v>
      </c>
      <c r="B2094" t="s">
        <v>64</v>
      </c>
      <c r="C2094">
        <v>0.1</v>
      </c>
    </row>
    <row r="2095" spans="1:3" x14ac:dyDescent="0.3">
      <c r="A2095" t="s">
        <v>16336</v>
      </c>
      <c r="B2095" t="s">
        <v>40</v>
      </c>
      <c r="C2095">
        <v>0.03</v>
      </c>
    </row>
    <row r="2096" spans="1:3" x14ac:dyDescent="0.3">
      <c r="A2096" t="s">
        <v>16336</v>
      </c>
      <c r="B2096" t="s">
        <v>40</v>
      </c>
      <c r="C2096">
        <v>0.04</v>
      </c>
    </row>
    <row r="2097" spans="1:3" x14ac:dyDescent="0.3">
      <c r="A2097" t="s">
        <v>16336</v>
      </c>
      <c r="B2097" t="s">
        <v>40</v>
      </c>
      <c r="C2097">
        <v>0.09</v>
      </c>
    </row>
    <row r="2098" spans="1:3" x14ac:dyDescent="0.3">
      <c r="A2098" t="s">
        <v>16336</v>
      </c>
      <c r="B2098" t="s">
        <v>40</v>
      </c>
      <c r="C2098">
        <v>0.1</v>
      </c>
    </row>
    <row r="2099" spans="1:3" x14ac:dyDescent="0.3">
      <c r="A2099" t="s">
        <v>16340</v>
      </c>
      <c r="B2099" t="s">
        <v>64</v>
      </c>
      <c r="C2099">
        <v>0</v>
      </c>
    </row>
    <row r="2100" spans="1:3" x14ac:dyDescent="0.3">
      <c r="A2100" t="s">
        <v>16347</v>
      </c>
      <c r="B2100" t="s">
        <v>53</v>
      </c>
      <c r="C2100">
        <v>0.04</v>
      </c>
    </row>
    <row r="2101" spans="1:3" x14ac:dyDescent="0.3">
      <c r="A2101" t="s">
        <v>16349</v>
      </c>
      <c r="B2101" t="s">
        <v>64</v>
      </c>
      <c r="C2101">
        <v>0.03</v>
      </c>
    </row>
    <row r="2102" spans="1:3" x14ac:dyDescent="0.3">
      <c r="A2102" t="s">
        <v>16356</v>
      </c>
      <c r="B2102" t="s">
        <v>40</v>
      </c>
      <c r="C2102">
        <v>0.01</v>
      </c>
    </row>
    <row r="2103" spans="1:3" x14ac:dyDescent="0.3">
      <c r="A2103" t="s">
        <v>16361</v>
      </c>
      <c r="B2103" t="s">
        <v>40</v>
      </c>
      <c r="C2103">
        <v>0</v>
      </c>
    </row>
    <row r="2104" spans="1:3" x14ac:dyDescent="0.3">
      <c r="A2104" t="s">
        <v>16361</v>
      </c>
      <c r="B2104" t="s">
        <v>40</v>
      </c>
      <c r="C2104">
        <v>0.03</v>
      </c>
    </row>
    <row r="2105" spans="1:3" x14ac:dyDescent="0.3">
      <c r="A2105" t="s">
        <v>16362</v>
      </c>
      <c r="B2105" t="s">
        <v>64</v>
      </c>
      <c r="C2105">
        <v>0.05</v>
      </c>
    </row>
    <row r="2106" spans="1:3" x14ac:dyDescent="0.3">
      <c r="A2106" t="s">
        <v>16371</v>
      </c>
      <c r="B2106" t="s">
        <v>40</v>
      </c>
      <c r="C2106">
        <v>0.03</v>
      </c>
    </row>
    <row r="2107" spans="1:3" x14ac:dyDescent="0.3">
      <c r="A2107" t="s">
        <v>16383</v>
      </c>
      <c r="B2107" t="s">
        <v>40</v>
      </c>
      <c r="C2107">
        <v>0.03</v>
      </c>
    </row>
    <row r="2108" spans="1:3" x14ac:dyDescent="0.3">
      <c r="A2108" t="s">
        <v>16384</v>
      </c>
      <c r="B2108" t="s">
        <v>53</v>
      </c>
      <c r="C2108">
        <v>0.09</v>
      </c>
    </row>
    <row r="2109" spans="1:3" x14ac:dyDescent="0.3">
      <c r="A2109" t="s">
        <v>16388</v>
      </c>
      <c r="B2109" t="s">
        <v>40</v>
      </c>
      <c r="C2109">
        <v>0.09</v>
      </c>
    </row>
    <row r="2110" spans="1:3" x14ac:dyDescent="0.3">
      <c r="A2110" t="s">
        <v>16389</v>
      </c>
      <c r="B2110" t="s">
        <v>64</v>
      </c>
      <c r="C2110">
        <v>0.02</v>
      </c>
    </row>
    <row r="2111" spans="1:3" x14ac:dyDescent="0.3">
      <c r="A2111" t="s">
        <v>16389</v>
      </c>
      <c r="B2111" t="s">
        <v>64</v>
      </c>
      <c r="C2111">
        <v>0.1</v>
      </c>
    </row>
    <row r="2112" spans="1:3" x14ac:dyDescent="0.3">
      <c r="A2112" t="s">
        <v>16391</v>
      </c>
      <c r="B2112" t="s">
        <v>40</v>
      </c>
      <c r="C2112">
        <v>0.06</v>
      </c>
    </row>
    <row r="2113" spans="1:3" x14ac:dyDescent="0.3">
      <c r="A2113" t="s">
        <v>16393</v>
      </c>
      <c r="B2113" t="s">
        <v>64</v>
      </c>
      <c r="C2113">
        <v>0.01</v>
      </c>
    </row>
    <row r="2114" spans="1:3" x14ac:dyDescent="0.3">
      <c r="A2114" t="s">
        <v>16393</v>
      </c>
      <c r="B2114" t="s">
        <v>64</v>
      </c>
      <c r="C2114">
        <v>0.05</v>
      </c>
    </row>
    <row r="2115" spans="1:3" x14ac:dyDescent="0.3">
      <c r="A2115" t="s">
        <v>16401</v>
      </c>
      <c r="B2115" t="s">
        <v>225</v>
      </c>
      <c r="C2115">
        <v>0.1</v>
      </c>
    </row>
    <row r="2116" spans="1:3" x14ac:dyDescent="0.3">
      <c r="A2116" t="s">
        <v>16402</v>
      </c>
      <c r="B2116" t="s">
        <v>225</v>
      </c>
      <c r="C2116">
        <v>0.06</v>
      </c>
    </row>
    <row r="2117" spans="1:3" x14ac:dyDescent="0.3">
      <c r="A2117" t="s">
        <v>16405</v>
      </c>
      <c r="B2117" t="s">
        <v>40</v>
      </c>
      <c r="C2117">
        <v>0.03</v>
      </c>
    </row>
    <row r="2118" spans="1:3" x14ac:dyDescent="0.3">
      <c r="A2118" t="s">
        <v>16408</v>
      </c>
      <c r="B2118" t="s">
        <v>64</v>
      </c>
      <c r="C2118">
        <v>7.0000000000000007E-2</v>
      </c>
    </row>
    <row r="2119" spans="1:3" x14ac:dyDescent="0.3">
      <c r="A2119" t="s">
        <v>16409</v>
      </c>
      <c r="B2119" t="s">
        <v>40</v>
      </c>
      <c r="C2119">
        <v>0.01</v>
      </c>
    </row>
    <row r="2120" spans="1:3" x14ac:dyDescent="0.3">
      <c r="A2120" t="s">
        <v>16414</v>
      </c>
      <c r="B2120" t="s">
        <v>40</v>
      </c>
      <c r="C2120">
        <v>7.0000000000000007E-2</v>
      </c>
    </row>
    <row r="2121" spans="1:3" x14ac:dyDescent="0.3">
      <c r="A2121" t="s">
        <v>16421</v>
      </c>
      <c r="B2121" t="s">
        <v>40</v>
      </c>
      <c r="C2121">
        <v>0</v>
      </c>
    </row>
    <row r="2122" spans="1:3" x14ac:dyDescent="0.3">
      <c r="A2122" t="s">
        <v>16431</v>
      </c>
      <c r="B2122" t="s">
        <v>40</v>
      </c>
      <c r="C2122">
        <v>0.08</v>
      </c>
    </row>
    <row r="2123" spans="1:3" x14ac:dyDescent="0.3">
      <c r="A2123" t="s">
        <v>16433</v>
      </c>
      <c r="B2123" t="s">
        <v>64</v>
      </c>
      <c r="C2123">
        <v>0.08</v>
      </c>
    </row>
    <row r="2124" spans="1:3" x14ac:dyDescent="0.3">
      <c r="A2124" t="s">
        <v>16436</v>
      </c>
      <c r="B2124" t="s">
        <v>40</v>
      </c>
      <c r="C2124">
        <v>0.08</v>
      </c>
    </row>
    <row r="2125" spans="1:3" x14ac:dyDescent="0.3">
      <c r="A2125" t="s">
        <v>16437</v>
      </c>
      <c r="B2125" t="s">
        <v>40</v>
      </c>
      <c r="C2125">
        <v>0.04</v>
      </c>
    </row>
    <row r="2126" spans="1:3" x14ac:dyDescent="0.3">
      <c r="A2126" t="s">
        <v>16438</v>
      </c>
      <c r="B2126" t="s">
        <v>40</v>
      </c>
      <c r="C2126">
        <v>0.01</v>
      </c>
    </row>
    <row r="2127" spans="1:3" x14ac:dyDescent="0.3">
      <c r="A2127" t="s">
        <v>16438</v>
      </c>
      <c r="B2127" t="s">
        <v>40</v>
      </c>
      <c r="C2127">
        <v>0.02</v>
      </c>
    </row>
    <row r="2128" spans="1:3" x14ac:dyDescent="0.3">
      <c r="A2128" t="s">
        <v>16438</v>
      </c>
      <c r="B2128" t="s">
        <v>40</v>
      </c>
      <c r="C2128">
        <v>0.08</v>
      </c>
    </row>
    <row r="2129" spans="1:3" x14ac:dyDescent="0.3">
      <c r="A2129" t="s">
        <v>16441</v>
      </c>
      <c r="B2129" t="s">
        <v>29</v>
      </c>
      <c r="C2129">
        <v>0.03</v>
      </c>
    </row>
    <row r="2130" spans="1:3" x14ac:dyDescent="0.3">
      <c r="A2130" t="s">
        <v>16442</v>
      </c>
      <c r="B2130" t="s">
        <v>225</v>
      </c>
      <c r="C2130">
        <v>0.05</v>
      </c>
    </row>
    <row r="2131" spans="1:3" x14ac:dyDescent="0.3">
      <c r="A2131" t="s">
        <v>16450</v>
      </c>
      <c r="B2131" t="s">
        <v>64</v>
      </c>
      <c r="C2131">
        <v>0.03</v>
      </c>
    </row>
    <row r="2132" spans="1:3" x14ac:dyDescent="0.3">
      <c r="A2132" t="s">
        <v>16451</v>
      </c>
      <c r="B2132" t="s">
        <v>64</v>
      </c>
      <c r="C2132">
        <v>0.02</v>
      </c>
    </row>
    <row r="2133" spans="1:3" x14ac:dyDescent="0.3">
      <c r="A2133" t="s">
        <v>16451</v>
      </c>
      <c r="B2133" t="s">
        <v>64</v>
      </c>
      <c r="C2133">
        <v>0.1</v>
      </c>
    </row>
    <row r="2134" spans="1:3" x14ac:dyDescent="0.3">
      <c r="A2134" t="s">
        <v>16462</v>
      </c>
      <c r="B2134" t="s">
        <v>40</v>
      </c>
      <c r="C2134">
        <v>0.03</v>
      </c>
    </row>
    <row r="2135" spans="1:3" x14ac:dyDescent="0.3">
      <c r="A2135" t="s">
        <v>16463</v>
      </c>
      <c r="B2135" t="s">
        <v>53</v>
      </c>
      <c r="C2135">
        <v>0.04</v>
      </c>
    </row>
    <row r="2136" spans="1:3" x14ac:dyDescent="0.3">
      <c r="A2136" t="s">
        <v>16464</v>
      </c>
      <c r="B2136" t="s">
        <v>225</v>
      </c>
      <c r="C2136">
        <v>0.01</v>
      </c>
    </row>
    <row r="2137" spans="1:3" x14ac:dyDescent="0.3">
      <c r="A2137" t="s">
        <v>16469</v>
      </c>
      <c r="B2137" t="s">
        <v>40</v>
      </c>
      <c r="C2137">
        <v>0.05</v>
      </c>
    </row>
    <row r="2138" spans="1:3" x14ac:dyDescent="0.3">
      <c r="A2138" t="s">
        <v>16480</v>
      </c>
      <c r="B2138" t="s">
        <v>64</v>
      </c>
      <c r="C2138">
        <v>0.09</v>
      </c>
    </row>
    <row r="2139" spans="1:3" x14ac:dyDescent="0.3">
      <c r="A2139" t="s">
        <v>6931</v>
      </c>
      <c r="B2139" t="s">
        <v>225</v>
      </c>
      <c r="C2139">
        <v>0.09</v>
      </c>
    </row>
    <row r="2140" spans="1:3" x14ac:dyDescent="0.3">
      <c r="A2140" t="s">
        <v>6890</v>
      </c>
      <c r="B2140" t="s">
        <v>225</v>
      </c>
      <c r="C2140">
        <v>0.09</v>
      </c>
    </row>
    <row r="2141" spans="1:3" x14ac:dyDescent="0.3">
      <c r="A2141" t="s">
        <v>388</v>
      </c>
      <c r="B2141" t="s">
        <v>225</v>
      </c>
      <c r="C2141">
        <v>0.04</v>
      </c>
    </row>
    <row r="2142" spans="1:3" x14ac:dyDescent="0.3">
      <c r="A2142" t="s">
        <v>15352</v>
      </c>
      <c r="B2142" t="s">
        <v>40</v>
      </c>
      <c r="C2142">
        <v>0.03</v>
      </c>
    </row>
    <row r="2143" spans="1:3" x14ac:dyDescent="0.3">
      <c r="A2143" t="s">
        <v>15352</v>
      </c>
      <c r="B2143" t="s">
        <v>53</v>
      </c>
      <c r="C2143">
        <v>0.03</v>
      </c>
    </row>
    <row r="2144" spans="1:3" x14ac:dyDescent="0.3">
      <c r="A2144" t="s">
        <v>8086</v>
      </c>
      <c r="B2144" t="s">
        <v>29</v>
      </c>
      <c r="C2144">
        <v>0.02</v>
      </c>
    </row>
    <row r="2145" spans="1:3" x14ac:dyDescent="0.3">
      <c r="A2145" t="s">
        <v>8086</v>
      </c>
      <c r="B2145" t="s">
        <v>29</v>
      </c>
      <c r="C2145">
        <v>0.04</v>
      </c>
    </row>
    <row r="2146" spans="1:3" x14ac:dyDescent="0.3">
      <c r="A2146" t="s">
        <v>7241</v>
      </c>
      <c r="B2146" t="s">
        <v>29</v>
      </c>
      <c r="C2146">
        <v>0.09</v>
      </c>
    </row>
    <row r="2147" spans="1:3" x14ac:dyDescent="0.3">
      <c r="A2147" t="s">
        <v>13028</v>
      </c>
      <c r="B2147" t="s">
        <v>225</v>
      </c>
      <c r="C2147">
        <v>0.04</v>
      </c>
    </row>
    <row r="2148" spans="1:3" x14ac:dyDescent="0.3">
      <c r="A2148" t="s">
        <v>9551</v>
      </c>
      <c r="B2148" t="s">
        <v>40</v>
      </c>
      <c r="C2148">
        <v>0.08</v>
      </c>
    </row>
    <row r="2149" spans="1:3" x14ac:dyDescent="0.3">
      <c r="A2149" t="s">
        <v>12667</v>
      </c>
      <c r="B2149" t="s">
        <v>87</v>
      </c>
      <c r="C2149">
        <v>0.08</v>
      </c>
    </row>
    <row r="2150" spans="1:3" x14ac:dyDescent="0.3">
      <c r="A2150" t="s">
        <v>15639</v>
      </c>
      <c r="B2150" t="s">
        <v>40</v>
      </c>
      <c r="C2150">
        <v>0</v>
      </c>
    </row>
    <row r="2151" spans="1:3" x14ac:dyDescent="0.3">
      <c r="A2151" t="s">
        <v>15639</v>
      </c>
      <c r="B2151" t="s">
        <v>40</v>
      </c>
      <c r="C2151">
        <v>0.03</v>
      </c>
    </row>
    <row r="2152" spans="1:3" x14ac:dyDescent="0.3">
      <c r="A2152" t="s">
        <v>15486</v>
      </c>
      <c r="B2152" t="s">
        <v>53</v>
      </c>
      <c r="C2152">
        <v>0.01</v>
      </c>
    </row>
    <row r="2153" spans="1:3" x14ac:dyDescent="0.3">
      <c r="A2153" t="s">
        <v>15486</v>
      </c>
      <c r="B2153" t="s">
        <v>53</v>
      </c>
      <c r="C2153">
        <v>0.08</v>
      </c>
    </row>
    <row r="2154" spans="1:3" x14ac:dyDescent="0.3">
      <c r="A2154" t="s">
        <v>13178</v>
      </c>
      <c r="B2154" t="s">
        <v>53</v>
      </c>
      <c r="C2154">
        <v>0</v>
      </c>
    </row>
    <row r="2155" spans="1:3" x14ac:dyDescent="0.3">
      <c r="A2155" t="s">
        <v>13178</v>
      </c>
      <c r="B2155" t="s">
        <v>53</v>
      </c>
      <c r="C2155">
        <v>0.01</v>
      </c>
    </row>
    <row r="2156" spans="1:3" x14ac:dyDescent="0.3">
      <c r="A2156" t="s">
        <v>14142</v>
      </c>
      <c r="B2156" t="s">
        <v>87</v>
      </c>
      <c r="C2156">
        <v>0.04</v>
      </c>
    </row>
    <row r="2157" spans="1:3" x14ac:dyDescent="0.3">
      <c r="A2157" t="s">
        <v>11911</v>
      </c>
      <c r="B2157" t="s">
        <v>87</v>
      </c>
      <c r="C2157">
        <v>0.04</v>
      </c>
    </row>
    <row r="2158" spans="1:3" x14ac:dyDescent="0.3">
      <c r="A2158" t="s">
        <v>11911</v>
      </c>
      <c r="B2158" t="s">
        <v>87</v>
      </c>
      <c r="C2158">
        <v>0.05</v>
      </c>
    </row>
    <row r="2159" spans="1:3" x14ac:dyDescent="0.3">
      <c r="A2159" t="s">
        <v>2562</v>
      </c>
      <c r="B2159" t="s">
        <v>87</v>
      </c>
      <c r="C2159">
        <v>0.01</v>
      </c>
    </row>
    <row r="2160" spans="1:3" x14ac:dyDescent="0.3">
      <c r="A2160" t="s">
        <v>2562</v>
      </c>
      <c r="B2160" t="s">
        <v>87</v>
      </c>
      <c r="C2160">
        <v>0.05</v>
      </c>
    </row>
    <row r="2161" spans="1:3" x14ac:dyDescent="0.3">
      <c r="A2161" t="s">
        <v>7334</v>
      </c>
      <c r="B2161" t="s">
        <v>64</v>
      </c>
      <c r="C2161">
        <v>0.01</v>
      </c>
    </row>
    <row r="2162" spans="1:3" x14ac:dyDescent="0.3">
      <c r="A2162" t="s">
        <v>451</v>
      </c>
      <c r="B2162" t="s">
        <v>40</v>
      </c>
      <c r="C2162">
        <v>0.03</v>
      </c>
    </row>
    <row r="2163" spans="1:3" x14ac:dyDescent="0.3">
      <c r="A2163" t="s">
        <v>451</v>
      </c>
      <c r="B2163" t="s">
        <v>40</v>
      </c>
      <c r="C2163">
        <v>0.05</v>
      </c>
    </row>
    <row r="2164" spans="1:3" x14ac:dyDescent="0.3">
      <c r="A2164" t="s">
        <v>14083</v>
      </c>
      <c r="B2164" t="s">
        <v>40</v>
      </c>
      <c r="C2164">
        <v>0</v>
      </c>
    </row>
    <row r="2165" spans="1:3" x14ac:dyDescent="0.3">
      <c r="A2165" t="s">
        <v>14083</v>
      </c>
      <c r="B2165" t="s">
        <v>40</v>
      </c>
      <c r="C2165">
        <v>0.01</v>
      </c>
    </row>
    <row r="2166" spans="1:3" x14ac:dyDescent="0.3">
      <c r="A2166" t="s">
        <v>14083</v>
      </c>
      <c r="B2166" t="s">
        <v>40</v>
      </c>
      <c r="C2166">
        <v>0.08</v>
      </c>
    </row>
    <row r="2167" spans="1:3" x14ac:dyDescent="0.3">
      <c r="A2167" t="s">
        <v>10664</v>
      </c>
      <c r="B2167" t="s">
        <v>40</v>
      </c>
      <c r="C2167">
        <v>0.05</v>
      </c>
    </row>
    <row r="2168" spans="1:3" x14ac:dyDescent="0.3">
      <c r="A2168" t="s">
        <v>13465</v>
      </c>
      <c r="B2168" t="s">
        <v>40</v>
      </c>
      <c r="C2168">
        <v>7.0000000000000007E-2</v>
      </c>
    </row>
    <row r="2169" spans="1:3" x14ac:dyDescent="0.3">
      <c r="A2169" t="s">
        <v>13465</v>
      </c>
      <c r="B2169" t="s">
        <v>53</v>
      </c>
      <c r="C2169">
        <v>0.09</v>
      </c>
    </row>
    <row r="2170" spans="1:3" x14ac:dyDescent="0.3">
      <c r="A2170" t="s">
        <v>13064</v>
      </c>
      <c r="B2170" t="s">
        <v>40</v>
      </c>
      <c r="C2170">
        <v>0.1</v>
      </c>
    </row>
    <row r="2171" spans="1:3" x14ac:dyDescent="0.3">
      <c r="A2171" t="s">
        <v>463</v>
      </c>
      <c r="B2171" t="s">
        <v>225</v>
      </c>
      <c r="C2171">
        <v>0.03</v>
      </c>
    </row>
    <row r="2172" spans="1:3" x14ac:dyDescent="0.3">
      <c r="A2172" t="s">
        <v>8326</v>
      </c>
      <c r="B2172" t="s">
        <v>40</v>
      </c>
      <c r="C2172">
        <v>0</v>
      </c>
    </row>
    <row r="2173" spans="1:3" x14ac:dyDescent="0.3">
      <c r="A2173" t="s">
        <v>8326</v>
      </c>
      <c r="B2173" t="s">
        <v>29</v>
      </c>
      <c r="C2173">
        <v>0.05</v>
      </c>
    </row>
    <row r="2174" spans="1:3" x14ac:dyDescent="0.3">
      <c r="A2174" t="s">
        <v>650</v>
      </c>
      <c r="B2174" t="s">
        <v>87</v>
      </c>
      <c r="C2174">
        <v>0.06</v>
      </c>
    </row>
    <row r="2175" spans="1:3" x14ac:dyDescent="0.3">
      <c r="A2175" t="s">
        <v>2818</v>
      </c>
      <c r="B2175" t="s">
        <v>87</v>
      </c>
      <c r="C2175">
        <v>0.06</v>
      </c>
    </row>
    <row r="2176" spans="1:3" x14ac:dyDescent="0.3">
      <c r="A2176" t="s">
        <v>2818</v>
      </c>
      <c r="B2176" t="s">
        <v>87</v>
      </c>
      <c r="C2176">
        <v>0.08</v>
      </c>
    </row>
    <row r="2177" spans="1:3" x14ac:dyDescent="0.3">
      <c r="A2177" t="s">
        <v>11847</v>
      </c>
      <c r="B2177" t="s">
        <v>64</v>
      </c>
      <c r="C2177">
        <v>7.0000000000000007E-2</v>
      </c>
    </row>
    <row r="2178" spans="1:3" x14ac:dyDescent="0.3">
      <c r="A2178" t="s">
        <v>14374</v>
      </c>
      <c r="B2178" t="s">
        <v>64</v>
      </c>
      <c r="C2178">
        <v>0.06</v>
      </c>
    </row>
    <row r="2179" spans="1:3" x14ac:dyDescent="0.3">
      <c r="A2179" t="s">
        <v>14374</v>
      </c>
      <c r="B2179" t="s">
        <v>64</v>
      </c>
      <c r="C2179">
        <v>7.0000000000000007E-2</v>
      </c>
    </row>
    <row r="2180" spans="1:3" x14ac:dyDescent="0.3">
      <c r="A2180" t="s">
        <v>2917</v>
      </c>
      <c r="B2180" t="s">
        <v>40</v>
      </c>
      <c r="C2180">
        <v>0</v>
      </c>
    </row>
    <row r="2181" spans="1:3" x14ac:dyDescent="0.3">
      <c r="A2181" t="s">
        <v>484</v>
      </c>
      <c r="B2181" t="s">
        <v>64</v>
      </c>
      <c r="C2181">
        <v>0.03</v>
      </c>
    </row>
    <row r="2182" spans="1:3" x14ac:dyDescent="0.3">
      <c r="A2182" t="s">
        <v>484</v>
      </c>
      <c r="B2182" t="s">
        <v>53</v>
      </c>
      <c r="C2182">
        <v>0.05</v>
      </c>
    </row>
    <row r="2183" spans="1:3" x14ac:dyDescent="0.3">
      <c r="A2183" t="s">
        <v>3181</v>
      </c>
      <c r="B2183" t="s">
        <v>53</v>
      </c>
      <c r="C2183">
        <v>0.01</v>
      </c>
    </row>
    <row r="2184" spans="1:3" x14ac:dyDescent="0.3">
      <c r="A2184" t="s">
        <v>3181</v>
      </c>
      <c r="B2184" t="s">
        <v>53</v>
      </c>
      <c r="C2184">
        <v>0.06</v>
      </c>
    </row>
    <row r="2185" spans="1:3" x14ac:dyDescent="0.3">
      <c r="A2185" t="s">
        <v>9131</v>
      </c>
      <c r="B2185" t="s">
        <v>225</v>
      </c>
      <c r="C2185">
        <v>0.09</v>
      </c>
    </row>
    <row r="2186" spans="1:3" x14ac:dyDescent="0.3">
      <c r="A2186" t="s">
        <v>12764</v>
      </c>
      <c r="B2186" t="s">
        <v>53</v>
      </c>
      <c r="C2186">
        <v>0.08</v>
      </c>
    </row>
    <row r="2187" spans="1:3" x14ac:dyDescent="0.3">
      <c r="A2187" t="s">
        <v>11071</v>
      </c>
      <c r="B2187" t="s">
        <v>225</v>
      </c>
      <c r="C2187">
        <v>0.06</v>
      </c>
    </row>
    <row r="2188" spans="1:3" x14ac:dyDescent="0.3">
      <c r="A2188" t="s">
        <v>12981</v>
      </c>
      <c r="B2188" t="s">
        <v>225</v>
      </c>
      <c r="C2188">
        <v>0.08</v>
      </c>
    </row>
    <row r="2189" spans="1:3" x14ac:dyDescent="0.3">
      <c r="A2189" t="s">
        <v>8645</v>
      </c>
      <c r="B2189" t="s">
        <v>64</v>
      </c>
      <c r="C2189">
        <v>0.02</v>
      </c>
    </row>
    <row r="2190" spans="1:3" x14ac:dyDescent="0.3">
      <c r="A2190" t="s">
        <v>14551</v>
      </c>
      <c r="B2190" t="s">
        <v>225</v>
      </c>
      <c r="C2190">
        <v>0.08</v>
      </c>
    </row>
    <row r="2191" spans="1:3" x14ac:dyDescent="0.3">
      <c r="A2191" t="s">
        <v>13484</v>
      </c>
      <c r="B2191" t="s">
        <v>225</v>
      </c>
      <c r="C2191">
        <v>0.03</v>
      </c>
    </row>
    <row r="2192" spans="1:3" x14ac:dyDescent="0.3">
      <c r="A2192" t="s">
        <v>9324</v>
      </c>
      <c r="B2192" t="s">
        <v>64</v>
      </c>
      <c r="C2192">
        <v>0.09</v>
      </c>
    </row>
    <row r="2193" spans="1:3" x14ac:dyDescent="0.3">
      <c r="A2193" t="s">
        <v>9754</v>
      </c>
      <c r="B2193" t="s">
        <v>225</v>
      </c>
      <c r="C2193">
        <v>0.02</v>
      </c>
    </row>
    <row r="2194" spans="1:3" x14ac:dyDescent="0.3">
      <c r="A2194" t="s">
        <v>9754</v>
      </c>
      <c r="B2194" t="s">
        <v>225</v>
      </c>
      <c r="C2194">
        <v>0.04</v>
      </c>
    </row>
    <row r="2195" spans="1:3" x14ac:dyDescent="0.3">
      <c r="A2195" t="s">
        <v>9754</v>
      </c>
      <c r="B2195" t="s">
        <v>225</v>
      </c>
      <c r="C2195">
        <v>0.06</v>
      </c>
    </row>
    <row r="2196" spans="1:3" x14ac:dyDescent="0.3">
      <c r="A2196" t="s">
        <v>9754</v>
      </c>
      <c r="B2196" t="s">
        <v>87</v>
      </c>
      <c r="C2196">
        <v>7.0000000000000007E-2</v>
      </c>
    </row>
    <row r="2197" spans="1:3" x14ac:dyDescent="0.3">
      <c r="A2197" t="s">
        <v>14801</v>
      </c>
      <c r="B2197" t="s">
        <v>87</v>
      </c>
      <c r="C2197">
        <v>0.03</v>
      </c>
    </row>
    <row r="2198" spans="1:3" x14ac:dyDescent="0.3">
      <c r="A2198" t="s">
        <v>9047</v>
      </c>
      <c r="B2198" t="s">
        <v>87</v>
      </c>
      <c r="C2198">
        <v>0.05</v>
      </c>
    </row>
    <row r="2199" spans="1:3" x14ac:dyDescent="0.3">
      <c r="A2199" t="s">
        <v>9047</v>
      </c>
      <c r="B2199" t="s">
        <v>87</v>
      </c>
      <c r="C2199">
        <v>0.1</v>
      </c>
    </row>
    <row r="2200" spans="1:3" x14ac:dyDescent="0.3">
      <c r="A2200" t="s">
        <v>512</v>
      </c>
      <c r="B2200" t="s">
        <v>225</v>
      </c>
      <c r="C2200">
        <v>0.06</v>
      </c>
    </row>
    <row r="2201" spans="1:3" x14ac:dyDescent="0.3">
      <c r="A2201" t="s">
        <v>15314</v>
      </c>
      <c r="B2201" t="s">
        <v>40</v>
      </c>
      <c r="C2201">
        <v>0.1</v>
      </c>
    </row>
    <row r="2202" spans="1:3" x14ac:dyDescent="0.3">
      <c r="A2202" t="s">
        <v>1888</v>
      </c>
      <c r="B2202" t="s">
        <v>64</v>
      </c>
      <c r="C2202">
        <v>0.03</v>
      </c>
    </row>
    <row r="2203" spans="1:3" x14ac:dyDescent="0.3">
      <c r="A2203" t="s">
        <v>1888</v>
      </c>
      <c r="B2203" t="s">
        <v>64</v>
      </c>
      <c r="C2203">
        <v>0.08</v>
      </c>
    </row>
    <row r="2204" spans="1:3" x14ac:dyDescent="0.3">
      <c r="A2204" t="s">
        <v>1888</v>
      </c>
      <c r="B2204" t="s">
        <v>64</v>
      </c>
      <c r="C2204">
        <v>0.1</v>
      </c>
    </row>
    <row r="2205" spans="1:3" x14ac:dyDescent="0.3">
      <c r="A2205" t="s">
        <v>11117</v>
      </c>
      <c r="B2205" t="s">
        <v>40</v>
      </c>
      <c r="C2205">
        <v>0.03</v>
      </c>
    </row>
    <row r="2206" spans="1:3" x14ac:dyDescent="0.3">
      <c r="A2206" t="s">
        <v>5344</v>
      </c>
      <c r="B2206" t="s">
        <v>29</v>
      </c>
      <c r="C2206">
        <v>0.09</v>
      </c>
    </row>
    <row r="2207" spans="1:3" x14ac:dyDescent="0.3">
      <c r="A2207" t="s">
        <v>9453</v>
      </c>
      <c r="B2207" t="s">
        <v>29</v>
      </c>
      <c r="C2207">
        <v>0.01</v>
      </c>
    </row>
    <row r="2208" spans="1:3" x14ac:dyDescent="0.3">
      <c r="A2208" t="s">
        <v>6957</v>
      </c>
      <c r="B2208" t="s">
        <v>29</v>
      </c>
      <c r="C2208">
        <v>0</v>
      </c>
    </row>
    <row r="2209" spans="1:3" x14ac:dyDescent="0.3">
      <c r="A2209" t="s">
        <v>10973</v>
      </c>
      <c r="B2209" t="s">
        <v>40</v>
      </c>
      <c r="C2209">
        <v>7.0000000000000007E-2</v>
      </c>
    </row>
    <row r="2210" spans="1:3" x14ac:dyDescent="0.3">
      <c r="A2210" t="s">
        <v>525</v>
      </c>
      <c r="B2210" t="s">
        <v>64</v>
      </c>
      <c r="C2210">
        <v>0.03</v>
      </c>
    </row>
    <row r="2211" spans="1:3" x14ac:dyDescent="0.3">
      <c r="A2211" t="s">
        <v>8422</v>
      </c>
      <c r="B2211" t="s">
        <v>87</v>
      </c>
      <c r="C2211">
        <v>0.03</v>
      </c>
    </row>
    <row r="2212" spans="1:3" x14ac:dyDescent="0.3">
      <c r="A2212" t="s">
        <v>8422</v>
      </c>
      <c r="B2212" t="s">
        <v>87</v>
      </c>
      <c r="C2212">
        <v>0.06</v>
      </c>
    </row>
    <row r="2213" spans="1:3" x14ac:dyDescent="0.3">
      <c r="A2213" t="s">
        <v>9157</v>
      </c>
      <c r="B2213" t="s">
        <v>225</v>
      </c>
      <c r="C2213">
        <v>0.03</v>
      </c>
    </row>
    <row r="2214" spans="1:3" x14ac:dyDescent="0.3">
      <c r="A2214" t="s">
        <v>3783</v>
      </c>
      <c r="B2214" t="s">
        <v>225</v>
      </c>
      <c r="C2214">
        <v>0.02</v>
      </c>
    </row>
    <row r="2215" spans="1:3" x14ac:dyDescent="0.3">
      <c r="A2215" t="s">
        <v>3783</v>
      </c>
      <c r="B2215" t="s">
        <v>225</v>
      </c>
      <c r="C2215">
        <v>7.0000000000000007E-2</v>
      </c>
    </row>
    <row r="2216" spans="1:3" x14ac:dyDescent="0.3">
      <c r="A2216" t="s">
        <v>551</v>
      </c>
      <c r="B2216" t="s">
        <v>225</v>
      </c>
      <c r="C2216">
        <v>0.11</v>
      </c>
    </row>
    <row r="2217" spans="1:3" x14ac:dyDescent="0.3">
      <c r="A2217" t="s">
        <v>13047</v>
      </c>
      <c r="B2217" t="s">
        <v>40</v>
      </c>
      <c r="C2217">
        <v>0.01</v>
      </c>
    </row>
    <row r="2218" spans="1:3" x14ac:dyDescent="0.3">
      <c r="A2218" t="s">
        <v>13047</v>
      </c>
      <c r="B2218" t="s">
        <v>40</v>
      </c>
      <c r="C2218">
        <v>0.02</v>
      </c>
    </row>
    <row r="2219" spans="1:3" x14ac:dyDescent="0.3">
      <c r="A2219" t="s">
        <v>10533</v>
      </c>
      <c r="B2219" t="s">
        <v>225</v>
      </c>
      <c r="C2219">
        <v>0</v>
      </c>
    </row>
    <row r="2220" spans="1:3" x14ac:dyDescent="0.3">
      <c r="A2220" t="s">
        <v>556</v>
      </c>
      <c r="B2220" t="s">
        <v>225</v>
      </c>
      <c r="C2220">
        <v>0.02</v>
      </c>
    </row>
    <row r="2221" spans="1:3" x14ac:dyDescent="0.3">
      <c r="A2221" t="s">
        <v>11235</v>
      </c>
      <c r="B2221" t="s">
        <v>29</v>
      </c>
      <c r="C2221">
        <v>0.08</v>
      </c>
    </row>
    <row r="2222" spans="1:3" x14ac:dyDescent="0.3">
      <c r="A2222" t="s">
        <v>560</v>
      </c>
      <c r="B2222" t="s">
        <v>29</v>
      </c>
      <c r="C2222">
        <v>0.06</v>
      </c>
    </row>
    <row r="2223" spans="1:3" x14ac:dyDescent="0.3">
      <c r="A2223" t="s">
        <v>11126</v>
      </c>
      <c r="B2223" t="s">
        <v>64</v>
      </c>
      <c r="C2223">
        <v>0.02</v>
      </c>
    </row>
    <row r="2224" spans="1:3" x14ac:dyDescent="0.3">
      <c r="A2224" t="s">
        <v>11126</v>
      </c>
      <c r="B2224" t="s">
        <v>64</v>
      </c>
      <c r="C2224">
        <v>0.04</v>
      </c>
    </row>
    <row r="2225" spans="1:3" x14ac:dyDescent="0.3">
      <c r="A2225" t="s">
        <v>11165</v>
      </c>
      <c r="B2225" t="s">
        <v>87</v>
      </c>
      <c r="C2225">
        <v>0.05</v>
      </c>
    </row>
    <row r="2226" spans="1:3" x14ac:dyDescent="0.3">
      <c r="A2226" t="s">
        <v>11165</v>
      </c>
      <c r="B2226" t="s">
        <v>87</v>
      </c>
      <c r="C2226">
        <v>0.08</v>
      </c>
    </row>
    <row r="2227" spans="1:3" x14ac:dyDescent="0.3">
      <c r="A2227" t="s">
        <v>11165</v>
      </c>
      <c r="B2227" t="s">
        <v>87</v>
      </c>
      <c r="C2227">
        <v>0.1</v>
      </c>
    </row>
    <row r="2228" spans="1:3" x14ac:dyDescent="0.3">
      <c r="A2228" t="s">
        <v>12465</v>
      </c>
      <c r="B2228" t="s">
        <v>87</v>
      </c>
      <c r="C2228">
        <v>0.05</v>
      </c>
    </row>
    <row r="2229" spans="1:3" x14ac:dyDescent="0.3">
      <c r="A2229" t="s">
        <v>573</v>
      </c>
      <c r="B2229" t="s">
        <v>40</v>
      </c>
      <c r="C2229">
        <v>0</v>
      </c>
    </row>
    <row r="2230" spans="1:3" x14ac:dyDescent="0.3">
      <c r="A2230" t="s">
        <v>573</v>
      </c>
      <c r="B2230" t="s">
        <v>40</v>
      </c>
      <c r="C2230">
        <v>0.02</v>
      </c>
    </row>
    <row r="2231" spans="1:3" x14ac:dyDescent="0.3">
      <c r="A2231" t="s">
        <v>573</v>
      </c>
      <c r="B2231" t="s">
        <v>87</v>
      </c>
      <c r="C2231">
        <v>0</v>
      </c>
    </row>
    <row r="2232" spans="1:3" x14ac:dyDescent="0.3">
      <c r="A2232" t="s">
        <v>6678</v>
      </c>
      <c r="B2232" t="s">
        <v>40</v>
      </c>
      <c r="C2232">
        <v>0.09</v>
      </c>
    </row>
    <row r="2233" spans="1:3" x14ac:dyDescent="0.3">
      <c r="A2233" t="s">
        <v>6678</v>
      </c>
      <c r="B2233" t="s">
        <v>29</v>
      </c>
      <c r="C2233">
        <v>0</v>
      </c>
    </row>
    <row r="2234" spans="1:3" x14ac:dyDescent="0.3">
      <c r="A2234" t="s">
        <v>6678</v>
      </c>
      <c r="B2234" t="s">
        <v>29</v>
      </c>
      <c r="C2234">
        <v>0.06</v>
      </c>
    </row>
    <row r="2235" spans="1:3" x14ac:dyDescent="0.3">
      <c r="A2235" t="s">
        <v>6678</v>
      </c>
      <c r="B2235" t="s">
        <v>29</v>
      </c>
      <c r="C2235">
        <v>0.08</v>
      </c>
    </row>
    <row r="2236" spans="1:3" x14ac:dyDescent="0.3">
      <c r="A2236" t="s">
        <v>8296</v>
      </c>
      <c r="B2236" t="s">
        <v>29</v>
      </c>
      <c r="C2236">
        <v>0.05</v>
      </c>
    </row>
    <row r="2237" spans="1:3" x14ac:dyDescent="0.3">
      <c r="A2237" t="s">
        <v>15793</v>
      </c>
      <c r="B2237" t="s">
        <v>40</v>
      </c>
      <c r="C2237">
        <v>0.09</v>
      </c>
    </row>
    <row r="2238" spans="1:3" x14ac:dyDescent="0.3">
      <c r="A2238" t="s">
        <v>589</v>
      </c>
      <c r="B2238" t="s">
        <v>64</v>
      </c>
      <c r="C2238">
        <v>0.04</v>
      </c>
    </row>
    <row r="2239" spans="1:3" x14ac:dyDescent="0.3">
      <c r="A2239" t="s">
        <v>10747</v>
      </c>
      <c r="B2239" t="s">
        <v>29</v>
      </c>
      <c r="C2239">
        <v>0.06</v>
      </c>
    </row>
    <row r="2240" spans="1:3" x14ac:dyDescent="0.3">
      <c r="A2240" t="s">
        <v>2168</v>
      </c>
      <c r="B2240" t="s">
        <v>225</v>
      </c>
      <c r="C2240">
        <v>0.05</v>
      </c>
    </row>
    <row r="2241" spans="1:3" x14ac:dyDescent="0.3">
      <c r="A2241" t="s">
        <v>2168</v>
      </c>
      <c r="B2241" t="s">
        <v>29</v>
      </c>
      <c r="C2241">
        <v>0.1</v>
      </c>
    </row>
    <row r="2242" spans="1:3" x14ac:dyDescent="0.3">
      <c r="A2242" t="s">
        <v>3032</v>
      </c>
      <c r="B2242" t="s">
        <v>53</v>
      </c>
      <c r="C2242">
        <v>0</v>
      </c>
    </row>
    <row r="2243" spans="1:3" x14ac:dyDescent="0.3">
      <c r="A2243" t="s">
        <v>3032</v>
      </c>
      <c r="B2243" t="s">
        <v>87</v>
      </c>
      <c r="C2243">
        <v>7.0000000000000007E-2</v>
      </c>
    </row>
    <row r="2244" spans="1:3" x14ac:dyDescent="0.3">
      <c r="A2244" t="s">
        <v>14725</v>
      </c>
      <c r="B2244" t="s">
        <v>87</v>
      </c>
      <c r="C2244">
        <v>0.04</v>
      </c>
    </row>
    <row r="2245" spans="1:3" x14ac:dyDescent="0.3">
      <c r="A2245" t="s">
        <v>6886</v>
      </c>
      <c r="B2245" t="s">
        <v>87</v>
      </c>
      <c r="C2245">
        <v>0.09</v>
      </c>
    </row>
    <row r="2246" spans="1:3" x14ac:dyDescent="0.3">
      <c r="A2246" t="s">
        <v>619</v>
      </c>
      <c r="B2246" t="s">
        <v>64</v>
      </c>
      <c r="C2246">
        <v>0.06</v>
      </c>
    </row>
    <row r="2247" spans="1:3" x14ac:dyDescent="0.3">
      <c r="A2247" t="s">
        <v>8638</v>
      </c>
      <c r="B2247" t="s">
        <v>64</v>
      </c>
      <c r="C2247">
        <v>7.0000000000000007E-2</v>
      </c>
    </row>
    <row r="2248" spans="1:3" x14ac:dyDescent="0.3">
      <c r="A2248" t="s">
        <v>9684</v>
      </c>
      <c r="B2248" t="s">
        <v>64</v>
      </c>
      <c r="C2248">
        <v>0.08</v>
      </c>
    </row>
    <row r="2249" spans="1:3" x14ac:dyDescent="0.3">
      <c r="A2249" t="s">
        <v>9684</v>
      </c>
      <c r="B2249" t="s">
        <v>87</v>
      </c>
      <c r="C2249">
        <v>0</v>
      </c>
    </row>
    <row r="2250" spans="1:3" x14ac:dyDescent="0.3">
      <c r="A2250" t="s">
        <v>9684</v>
      </c>
      <c r="B2250" t="s">
        <v>87</v>
      </c>
      <c r="C2250">
        <v>0.02</v>
      </c>
    </row>
    <row r="2251" spans="1:3" x14ac:dyDescent="0.3">
      <c r="A2251" t="s">
        <v>3413</v>
      </c>
      <c r="B2251" t="s">
        <v>64</v>
      </c>
      <c r="C2251">
        <v>0.1</v>
      </c>
    </row>
    <row r="2252" spans="1:3" x14ac:dyDescent="0.3">
      <c r="A2252" t="s">
        <v>13785</v>
      </c>
      <c r="B2252" t="s">
        <v>64</v>
      </c>
      <c r="C2252">
        <v>0.04</v>
      </c>
    </row>
    <row r="2253" spans="1:3" x14ac:dyDescent="0.3">
      <c r="A2253" t="s">
        <v>13785</v>
      </c>
      <c r="B2253" t="s">
        <v>29</v>
      </c>
      <c r="C2253">
        <v>0.09</v>
      </c>
    </row>
    <row r="2254" spans="1:3" x14ac:dyDescent="0.3">
      <c r="A2254" t="s">
        <v>13785</v>
      </c>
      <c r="B2254" t="s">
        <v>29</v>
      </c>
      <c r="C2254">
        <v>0.1</v>
      </c>
    </row>
    <row r="2255" spans="1:3" x14ac:dyDescent="0.3">
      <c r="A2255" t="s">
        <v>14122</v>
      </c>
      <c r="B2255" t="s">
        <v>53</v>
      </c>
      <c r="C2255">
        <v>0.09</v>
      </c>
    </row>
    <row r="2256" spans="1:3" x14ac:dyDescent="0.3">
      <c r="A2256" t="s">
        <v>3165</v>
      </c>
      <c r="B2256" t="s">
        <v>29</v>
      </c>
      <c r="C2256">
        <v>0.1</v>
      </c>
    </row>
    <row r="2257" spans="1:3" x14ac:dyDescent="0.3">
      <c r="A2257" t="s">
        <v>13692</v>
      </c>
      <c r="B2257" t="s">
        <v>40</v>
      </c>
      <c r="C2257">
        <v>7.0000000000000007E-2</v>
      </c>
    </row>
    <row r="2258" spans="1:3" x14ac:dyDescent="0.3">
      <c r="A2258" t="s">
        <v>13692</v>
      </c>
      <c r="B2258" t="s">
        <v>40</v>
      </c>
      <c r="C2258">
        <v>0.08</v>
      </c>
    </row>
    <row r="2259" spans="1:3" x14ac:dyDescent="0.3">
      <c r="A2259" t="s">
        <v>11823</v>
      </c>
      <c r="B2259" t="s">
        <v>225</v>
      </c>
      <c r="C2259">
        <v>7.0000000000000007E-2</v>
      </c>
    </row>
    <row r="2260" spans="1:3" x14ac:dyDescent="0.3">
      <c r="A2260" t="s">
        <v>11823</v>
      </c>
      <c r="B2260" t="s">
        <v>53</v>
      </c>
      <c r="C2260">
        <v>0</v>
      </c>
    </row>
    <row r="2261" spans="1:3" x14ac:dyDescent="0.3">
      <c r="A2261" t="s">
        <v>11129</v>
      </c>
      <c r="B2261" t="s">
        <v>225</v>
      </c>
      <c r="C2261">
        <v>0.02</v>
      </c>
    </row>
    <row r="2262" spans="1:3" x14ac:dyDescent="0.3">
      <c r="A2262" t="s">
        <v>666</v>
      </c>
      <c r="B2262" t="s">
        <v>225</v>
      </c>
      <c r="C2262">
        <v>0.02</v>
      </c>
    </row>
    <row r="2263" spans="1:3" x14ac:dyDescent="0.3">
      <c r="A2263" t="s">
        <v>5667</v>
      </c>
      <c r="B2263" t="s">
        <v>29</v>
      </c>
      <c r="C2263">
        <v>0.01</v>
      </c>
    </row>
    <row r="2264" spans="1:3" x14ac:dyDescent="0.3">
      <c r="A2264" t="s">
        <v>3805</v>
      </c>
      <c r="B2264" t="s">
        <v>87</v>
      </c>
      <c r="C2264">
        <v>0.01</v>
      </c>
    </row>
    <row r="2265" spans="1:3" x14ac:dyDescent="0.3">
      <c r="A2265" t="s">
        <v>3805</v>
      </c>
      <c r="B2265" t="s">
        <v>87</v>
      </c>
      <c r="C2265">
        <v>0.02</v>
      </c>
    </row>
    <row r="2266" spans="1:3" x14ac:dyDescent="0.3">
      <c r="A2266" t="s">
        <v>3805</v>
      </c>
      <c r="B2266" t="s">
        <v>87</v>
      </c>
      <c r="C2266">
        <v>0.05</v>
      </c>
    </row>
    <row r="2267" spans="1:3" x14ac:dyDescent="0.3">
      <c r="A2267" t="s">
        <v>3805</v>
      </c>
      <c r="B2267" t="s">
        <v>87</v>
      </c>
      <c r="C2267">
        <v>0.1</v>
      </c>
    </row>
    <row r="2268" spans="1:3" x14ac:dyDescent="0.3">
      <c r="A2268" t="s">
        <v>679</v>
      </c>
      <c r="B2268" t="s">
        <v>87</v>
      </c>
      <c r="C2268">
        <v>0.02</v>
      </c>
    </row>
    <row r="2269" spans="1:3" x14ac:dyDescent="0.3">
      <c r="A2269" t="s">
        <v>679</v>
      </c>
      <c r="B2269" t="s">
        <v>87</v>
      </c>
      <c r="C2269">
        <v>7.0000000000000007E-2</v>
      </c>
    </row>
    <row r="2270" spans="1:3" x14ac:dyDescent="0.3">
      <c r="A2270" t="s">
        <v>11080</v>
      </c>
      <c r="B2270" t="s">
        <v>53</v>
      </c>
      <c r="C2270">
        <v>0.03</v>
      </c>
    </row>
    <row r="2271" spans="1:3" x14ac:dyDescent="0.3">
      <c r="A2271" t="s">
        <v>11080</v>
      </c>
      <c r="B2271" t="s">
        <v>53</v>
      </c>
      <c r="C2271">
        <v>7.0000000000000007E-2</v>
      </c>
    </row>
    <row r="2272" spans="1:3" x14ac:dyDescent="0.3">
      <c r="A2272" t="s">
        <v>11080</v>
      </c>
      <c r="B2272" t="s">
        <v>53</v>
      </c>
      <c r="C2272">
        <v>0.1</v>
      </c>
    </row>
    <row r="2273" spans="1:3" x14ac:dyDescent="0.3">
      <c r="A2273" t="s">
        <v>14684</v>
      </c>
      <c r="B2273" t="s">
        <v>40</v>
      </c>
      <c r="C2273">
        <v>0.01</v>
      </c>
    </row>
    <row r="2274" spans="1:3" x14ac:dyDescent="0.3">
      <c r="A2274" t="s">
        <v>14684</v>
      </c>
      <c r="B2274" t="s">
        <v>40</v>
      </c>
      <c r="C2274">
        <v>0.05</v>
      </c>
    </row>
    <row r="2275" spans="1:3" x14ac:dyDescent="0.3">
      <c r="A2275" t="s">
        <v>10927</v>
      </c>
      <c r="B2275" t="s">
        <v>64</v>
      </c>
      <c r="C2275">
        <v>0.04</v>
      </c>
    </row>
    <row r="2276" spans="1:3" x14ac:dyDescent="0.3">
      <c r="A2276" t="s">
        <v>12047</v>
      </c>
      <c r="B2276" t="s">
        <v>87</v>
      </c>
      <c r="C2276">
        <v>0.1</v>
      </c>
    </row>
    <row r="2277" spans="1:3" x14ac:dyDescent="0.3">
      <c r="A2277" t="s">
        <v>11801</v>
      </c>
      <c r="B2277" t="s">
        <v>87</v>
      </c>
      <c r="C2277">
        <v>0.09</v>
      </c>
    </row>
    <row r="2278" spans="1:3" x14ac:dyDescent="0.3">
      <c r="A2278" t="s">
        <v>9627</v>
      </c>
      <c r="B2278" t="s">
        <v>40</v>
      </c>
      <c r="C2278">
        <v>0</v>
      </c>
    </row>
    <row r="2279" spans="1:3" x14ac:dyDescent="0.3">
      <c r="A2279" t="s">
        <v>9627</v>
      </c>
      <c r="B2279" t="s">
        <v>40</v>
      </c>
      <c r="C2279">
        <v>0.03</v>
      </c>
    </row>
    <row r="2280" spans="1:3" x14ac:dyDescent="0.3">
      <c r="A2280" t="s">
        <v>4830</v>
      </c>
      <c r="B2280" t="s">
        <v>40</v>
      </c>
      <c r="C2280">
        <v>0.04</v>
      </c>
    </row>
    <row r="2281" spans="1:3" x14ac:dyDescent="0.3">
      <c r="A2281" t="s">
        <v>710</v>
      </c>
      <c r="B2281" t="s">
        <v>225</v>
      </c>
      <c r="C2281">
        <v>0.01</v>
      </c>
    </row>
    <row r="2282" spans="1:3" x14ac:dyDescent="0.3">
      <c r="A2282" t="s">
        <v>13987</v>
      </c>
      <c r="B2282" t="s">
        <v>53</v>
      </c>
      <c r="C2282">
        <v>0.05</v>
      </c>
    </row>
    <row r="2283" spans="1:3" x14ac:dyDescent="0.3">
      <c r="A2283" t="s">
        <v>3671</v>
      </c>
      <c r="B2283" t="s">
        <v>87</v>
      </c>
      <c r="C2283">
        <v>0.04</v>
      </c>
    </row>
    <row r="2284" spans="1:3" x14ac:dyDescent="0.3">
      <c r="A2284" t="s">
        <v>5199</v>
      </c>
      <c r="B2284" t="s">
        <v>87</v>
      </c>
      <c r="C2284">
        <v>0.01</v>
      </c>
    </row>
    <row r="2285" spans="1:3" x14ac:dyDescent="0.3">
      <c r="A2285" t="s">
        <v>5199</v>
      </c>
      <c r="B2285" t="s">
        <v>87</v>
      </c>
      <c r="C2285">
        <v>0.03</v>
      </c>
    </row>
    <row r="2286" spans="1:3" x14ac:dyDescent="0.3">
      <c r="A2286" t="s">
        <v>5199</v>
      </c>
      <c r="B2286" t="s">
        <v>87</v>
      </c>
      <c r="C2286">
        <v>7.0000000000000007E-2</v>
      </c>
    </row>
    <row r="2287" spans="1:3" x14ac:dyDescent="0.3">
      <c r="A2287" t="s">
        <v>3944</v>
      </c>
      <c r="B2287" t="s">
        <v>53</v>
      </c>
      <c r="C2287">
        <v>0.04</v>
      </c>
    </row>
    <row r="2288" spans="1:3" x14ac:dyDescent="0.3">
      <c r="A2288" t="s">
        <v>3944</v>
      </c>
      <c r="B2288" t="s">
        <v>53</v>
      </c>
      <c r="C2288">
        <v>7.0000000000000007E-2</v>
      </c>
    </row>
    <row r="2289" spans="1:3" x14ac:dyDescent="0.3">
      <c r="A2289" t="s">
        <v>15401</v>
      </c>
      <c r="B2289" t="s">
        <v>40</v>
      </c>
      <c r="C2289">
        <v>0.04</v>
      </c>
    </row>
    <row r="2290" spans="1:3" x14ac:dyDescent="0.3">
      <c r="A2290" t="s">
        <v>15401</v>
      </c>
      <c r="B2290" t="s">
        <v>40</v>
      </c>
      <c r="C2290">
        <v>0.06</v>
      </c>
    </row>
    <row r="2291" spans="1:3" x14ac:dyDescent="0.3">
      <c r="A2291" t="s">
        <v>9399</v>
      </c>
      <c r="B2291" t="s">
        <v>29</v>
      </c>
      <c r="C2291">
        <v>0.01</v>
      </c>
    </row>
    <row r="2292" spans="1:3" x14ac:dyDescent="0.3">
      <c r="A2292" t="s">
        <v>9399</v>
      </c>
      <c r="B2292" t="s">
        <v>29</v>
      </c>
      <c r="C2292">
        <v>0.09</v>
      </c>
    </row>
    <row r="2293" spans="1:3" x14ac:dyDescent="0.3">
      <c r="A2293" t="s">
        <v>14924</v>
      </c>
      <c r="B2293" t="s">
        <v>29</v>
      </c>
      <c r="C2293">
        <v>0.09</v>
      </c>
    </row>
    <row r="2294" spans="1:3" x14ac:dyDescent="0.3">
      <c r="A2294" t="s">
        <v>8170</v>
      </c>
      <c r="B2294" t="s">
        <v>87</v>
      </c>
      <c r="C2294">
        <v>7.0000000000000007E-2</v>
      </c>
    </row>
    <row r="2295" spans="1:3" x14ac:dyDescent="0.3">
      <c r="A2295" t="s">
        <v>3124</v>
      </c>
      <c r="B2295" t="s">
        <v>53</v>
      </c>
      <c r="C2295">
        <v>0.03</v>
      </c>
    </row>
    <row r="2296" spans="1:3" x14ac:dyDescent="0.3">
      <c r="A2296" t="s">
        <v>3124</v>
      </c>
      <c r="B2296" t="s">
        <v>53</v>
      </c>
      <c r="C2296">
        <v>0.08</v>
      </c>
    </row>
    <row r="2297" spans="1:3" x14ac:dyDescent="0.3">
      <c r="A2297" t="s">
        <v>4524</v>
      </c>
      <c r="B2297" t="s">
        <v>29</v>
      </c>
      <c r="C2297">
        <v>7.0000000000000007E-2</v>
      </c>
    </row>
    <row r="2298" spans="1:3" x14ac:dyDescent="0.3">
      <c r="A2298" t="s">
        <v>3462</v>
      </c>
      <c r="B2298" t="s">
        <v>53</v>
      </c>
      <c r="C2298">
        <v>0.1</v>
      </c>
    </row>
    <row r="2299" spans="1:3" x14ac:dyDescent="0.3">
      <c r="A2299" t="s">
        <v>15804</v>
      </c>
      <c r="B2299" t="s">
        <v>29</v>
      </c>
      <c r="C2299">
        <v>0</v>
      </c>
    </row>
    <row r="2300" spans="1:3" x14ac:dyDescent="0.3">
      <c r="A2300" t="s">
        <v>3895</v>
      </c>
      <c r="B2300" t="s">
        <v>40</v>
      </c>
      <c r="C2300">
        <v>0.04</v>
      </c>
    </row>
    <row r="2301" spans="1:3" x14ac:dyDescent="0.3">
      <c r="A2301" t="s">
        <v>3895</v>
      </c>
      <c r="B2301" t="s">
        <v>40</v>
      </c>
      <c r="C2301">
        <v>0.09</v>
      </c>
    </row>
    <row r="2302" spans="1:3" x14ac:dyDescent="0.3">
      <c r="A2302" t="s">
        <v>9527</v>
      </c>
      <c r="B2302" t="s">
        <v>40</v>
      </c>
      <c r="C2302">
        <v>0.08</v>
      </c>
    </row>
    <row r="2303" spans="1:3" x14ac:dyDescent="0.3">
      <c r="A2303" t="s">
        <v>9527</v>
      </c>
      <c r="B2303" t="s">
        <v>29</v>
      </c>
      <c r="C2303">
        <v>0.09</v>
      </c>
    </row>
    <row r="2304" spans="1:3" x14ac:dyDescent="0.3">
      <c r="A2304" t="s">
        <v>3770</v>
      </c>
      <c r="B2304" t="s">
        <v>225</v>
      </c>
      <c r="C2304">
        <v>7.0000000000000007E-2</v>
      </c>
    </row>
    <row r="2305" spans="1:3" x14ac:dyDescent="0.3">
      <c r="A2305" t="s">
        <v>7279</v>
      </c>
      <c r="B2305" t="s">
        <v>29</v>
      </c>
      <c r="C2305">
        <v>0</v>
      </c>
    </row>
    <row r="2306" spans="1:3" x14ac:dyDescent="0.3">
      <c r="A2306" t="s">
        <v>8425</v>
      </c>
      <c r="B2306" t="s">
        <v>225</v>
      </c>
      <c r="C2306">
        <v>0.06</v>
      </c>
    </row>
    <row r="2307" spans="1:3" x14ac:dyDescent="0.3">
      <c r="A2307" t="s">
        <v>8425</v>
      </c>
      <c r="B2307" t="s">
        <v>29</v>
      </c>
      <c r="C2307">
        <v>0.02</v>
      </c>
    </row>
    <row r="2308" spans="1:3" x14ac:dyDescent="0.3">
      <c r="A2308" t="s">
        <v>988</v>
      </c>
      <c r="B2308" t="s">
        <v>64</v>
      </c>
      <c r="C2308">
        <v>0.04</v>
      </c>
    </row>
    <row r="2309" spans="1:3" x14ac:dyDescent="0.3">
      <c r="A2309" t="s">
        <v>6228</v>
      </c>
      <c r="B2309" t="s">
        <v>87</v>
      </c>
      <c r="C2309">
        <v>0.02</v>
      </c>
    </row>
    <row r="2310" spans="1:3" x14ac:dyDescent="0.3">
      <c r="A2310" t="s">
        <v>12062</v>
      </c>
      <c r="B2310" t="s">
        <v>53</v>
      </c>
      <c r="C2310">
        <v>0.08</v>
      </c>
    </row>
    <row r="2311" spans="1:3" x14ac:dyDescent="0.3">
      <c r="A2311" t="s">
        <v>12062</v>
      </c>
      <c r="B2311" t="s">
        <v>53</v>
      </c>
      <c r="C2311">
        <v>0.09</v>
      </c>
    </row>
    <row r="2312" spans="1:3" x14ac:dyDescent="0.3">
      <c r="A2312" t="s">
        <v>5812</v>
      </c>
      <c r="B2312" t="s">
        <v>53</v>
      </c>
      <c r="C2312">
        <v>0.06</v>
      </c>
    </row>
    <row r="2313" spans="1:3" x14ac:dyDescent="0.3">
      <c r="A2313" t="s">
        <v>6969</v>
      </c>
      <c r="B2313" t="s">
        <v>53</v>
      </c>
      <c r="C2313">
        <v>0.01</v>
      </c>
    </row>
    <row r="2314" spans="1:3" x14ac:dyDescent="0.3">
      <c r="A2314" t="s">
        <v>6969</v>
      </c>
      <c r="B2314" t="s">
        <v>53</v>
      </c>
      <c r="C2314">
        <v>0.08</v>
      </c>
    </row>
    <row r="2315" spans="1:3" x14ac:dyDescent="0.3">
      <c r="A2315" t="s">
        <v>15800</v>
      </c>
      <c r="B2315" t="s">
        <v>87</v>
      </c>
      <c r="C2315">
        <v>0.05</v>
      </c>
    </row>
    <row r="2316" spans="1:3" x14ac:dyDescent="0.3">
      <c r="A2316" t="s">
        <v>810</v>
      </c>
      <c r="B2316" t="s">
        <v>40</v>
      </c>
      <c r="C2316">
        <v>0.04</v>
      </c>
    </row>
    <row r="2317" spans="1:3" x14ac:dyDescent="0.3">
      <c r="A2317" t="s">
        <v>7848</v>
      </c>
      <c r="B2317" t="s">
        <v>40</v>
      </c>
      <c r="C2317">
        <v>0.04</v>
      </c>
    </row>
    <row r="2318" spans="1:3" x14ac:dyDescent="0.3">
      <c r="A2318" t="s">
        <v>10216</v>
      </c>
      <c r="B2318" t="s">
        <v>29</v>
      </c>
      <c r="C2318">
        <v>0.02</v>
      </c>
    </row>
    <row r="2319" spans="1:3" x14ac:dyDescent="0.3">
      <c r="A2319" t="s">
        <v>10216</v>
      </c>
      <c r="B2319" t="s">
        <v>29</v>
      </c>
      <c r="C2319">
        <v>7.0000000000000007E-2</v>
      </c>
    </row>
    <row r="2320" spans="1:3" x14ac:dyDescent="0.3">
      <c r="A2320" t="s">
        <v>9550</v>
      </c>
      <c r="B2320" t="s">
        <v>29</v>
      </c>
      <c r="C2320">
        <v>0.03</v>
      </c>
    </row>
    <row r="2321" spans="1:3" x14ac:dyDescent="0.3">
      <c r="A2321" t="s">
        <v>9550</v>
      </c>
      <c r="B2321" t="s">
        <v>29</v>
      </c>
      <c r="C2321">
        <v>0.08</v>
      </c>
    </row>
    <row r="2322" spans="1:3" x14ac:dyDescent="0.3">
      <c r="A2322" t="s">
        <v>5656</v>
      </c>
      <c r="B2322" t="s">
        <v>64</v>
      </c>
      <c r="C2322">
        <v>0.02</v>
      </c>
    </row>
    <row r="2323" spans="1:3" x14ac:dyDescent="0.3">
      <c r="A2323" t="s">
        <v>5656</v>
      </c>
      <c r="B2323" t="s">
        <v>64</v>
      </c>
      <c r="C2323">
        <v>0.06</v>
      </c>
    </row>
    <row r="2324" spans="1:3" x14ac:dyDescent="0.3">
      <c r="A2324" t="s">
        <v>1306</v>
      </c>
      <c r="B2324" t="s">
        <v>64</v>
      </c>
      <c r="C2324">
        <v>0.05</v>
      </c>
    </row>
    <row r="2325" spans="1:3" x14ac:dyDescent="0.3">
      <c r="A2325" t="s">
        <v>1306</v>
      </c>
      <c r="B2325" t="s">
        <v>64</v>
      </c>
      <c r="C2325">
        <v>0.1</v>
      </c>
    </row>
    <row r="2326" spans="1:3" x14ac:dyDescent="0.3">
      <c r="A2326" t="s">
        <v>6830</v>
      </c>
      <c r="B2326" t="s">
        <v>87</v>
      </c>
      <c r="C2326">
        <v>0.09</v>
      </c>
    </row>
    <row r="2327" spans="1:3" x14ac:dyDescent="0.3">
      <c r="A2327" t="s">
        <v>6746</v>
      </c>
      <c r="B2327" t="s">
        <v>87</v>
      </c>
      <c r="C2327">
        <v>0.04</v>
      </c>
    </row>
    <row r="2328" spans="1:3" x14ac:dyDescent="0.3">
      <c r="A2328" t="s">
        <v>6746</v>
      </c>
      <c r="B2328" t="s">
        <v>87</v>
      </c>
      <c r="C2328">
        <v>0.09</v>
      </c>
    </row>
    <row r="2329" spans="1:3" x14ac:dyDescent="0.3">
      <c r="A2329" t="s">
        <v>780</v>
      </c>
      <c r="B2329" t="s">
        <v>40</v>
      </c>
      <c r="C2329">
        <v>0.08</v>
      </c>
    </row>
    <row r="2330" spans="1:3" x14ac:dyDescent="0.3">
      <c r="A2330" t="s">
        <v>780</v>
      </c>
      <c r="B2330" t="s">
        <v>64</v>
      </c>
      <c r="C2330">
        <v>0.05</v>
      </c>
    </row>
    <row r="2331" spans="1:3" x14ac:dyDescent="0.3">
      <c r="A2331" t="s">
        <v>1494</v>
      </c>
      <c r="B2331" t="s">
        <v>64</v>
      </c>
      <c r="C2331">
        <v>0.04</v>
      </c>
    </row>
    <row r="2332" spans="1:3" x14ac:dyDescent="0.3">
      <c r="A2332" t="s">
        <v>11332</v>
      </c>
      <c r="B2332" t="s">
        <v>53</v>
      </c>
      <c r="C2332">
        <v>0.04</v>
      </c>
    </row>
    <row r="2333" spans="1:3" x14ac:dyDescent="0.3">
      <c r="A2333" t="s">
        <v>11332</v>
      </c>
      <c r="B2333" t="s">
        <v>53</v>
      </c>
      <c r="C2333">
        <v>0.09</v>
      </c>
    </row>
    <row r="2334" spans="1:3" x14ac:dyDescent="0.3">
      <c r="A2334" t="s">
        <v>9926</v>
      </c>
      <c r="B2334" t="s">
        <v>40</v>
      </c>
      <c r="C2334">
        <v>0.08</v>
      </c>
    </row>
    <row r="2335" spans="1:3" x14ac:dyDescent="0.3">
      <c r="A2335" t="s">
        <v>1535</v>
      </c>
      <c r="B2335" t="s">
        <v>40</v>
      </c>
      <c r="C2335">
        <v>0</v>
      </c>
    </row>
    <row r="2336" spans="1:3" x14ac:dyDescent="0.3">
      <c r="A2336" t="s">
        <v>11101</v>
      </c>
      <c r="B2336" t="s">
        <v>53</v>
      </c>
      <c r="C2336">
        <v>0.05</v>
      </c>
    </row>
    <row r="2337" spans="1:3" x14ac:dyDescent="0.3">
      <c r="A2337" t="s">
        <v>14930</v>
      </c>
      <c r="B2337" t="s">
        <v>87</v>
      </c>
      <c r="C2337">
        <v>0.01</v>
      </c>
    </row>
    <row r="2338" spans="1:3" x14ac:dyDescent="0.3">
      <c r="A2338" t="s">
        <v>2631</v>
      </c>
      <c r="B2338" t="s">
        <v>87</v>
      </c>
      <c r="C2338">
        <v>0.05</v>
      </c>
    </row>
    <row r="2339" spans="1:3" x14ac:dyDescent="0.3">
      <c r="A2339" t="s">
        <v>2631</v>
      </c>
      <c r="B2339" t="s">
        <v>87</v>
      </c>
      <c r="C2339">
        <v>0.1</v>
      </c>
    </row>
    <row r="2340" spans="1:3" x14ac:dyDescent="0.3">
      <c r="A2340" t="s">
        <v>6279</v>
      </c>
      <c r="B2340" t="s">
        <v>87</v>
      </c>
      <c r="C2340">
        <v>7.0000000000000007E-2</v>
      </c>
    </row>
    <row r="2341" spans="1:3" x14ac:dyDescent="0.3">
      <c r="A2341" t="s">
        <v>6279</v>
      </c>
      <c r="B2341" t="s">
        <v>87</v>
      </c>
      <c r="C2341">
        <v>0.09</v>
      </c>
    </row>
    <row r="2342" spans="1:3" x14ac:dyDescent="0.3">
      <c r="A2342" t="s">
        <v>5288</v>
      </c>
      <c r="B2342" t="s">
        <v>29</v>
      </c>
      <c r="C2342">
        <v>0.09</v>
      </c>
    </row>
    <row r="2343" spans="1:3" x14ac:dyDescent="0.3">
      <c r="A2343" t="s">
        <v>9438</v>
      </c>
      <c r="B2343" t="s">
        <v>87</v>
      </c>
      <c r="C2343">
        <v>0.04</v>
      </c>
    </row>
    <row r="2344" spans="1:3" x14ac:dyDescent="0.3">
      <c r="A2344" t="s">
        <v>9438</v>
      </c>
      <c r="B2344" t="s">
        <v>87</v>
      </c>
      <c r="C2344">
        <v>0.06</v>
      </c>
    </row>
    <row r="2345" spans="1:3" x14ac:dyDescent="0.3">
      <c r="A2345" t="s">
        <v>832</v>
      </c>
      <c r="B2345" t="s">
        <v>53</v>
      </c>
      <c r="C2345">
        <v>0.01</v>
      </c>
    </row>
    <row r="2346" spans="1:3" x14ac:dyDescent="0.3">
      <c r="A2346" t="s">
        <v>832</v>
      </c>
      <c r="B2346" t="s">
        <v>53</v>
      </c>
      <c r="C2346">
        <v>0.02</v>
      </c>
    </row>
    <row r="2347" spans="1:3" x14ac:dyDescent="0.3">
      <c r="A2347" t="s">
        <v>14782</v>
      </c>
      <c r="B2347" t="s">
        <v>53</v>
      </c>
      <c r="C2347">
        <v>0.04</v>
      </c>
    </row>
    <row r="2348" spans="1:3" x14ac:dyDescent="0.3">
      <c r="A2348" t="s">
        <v>14443</v>
      </c>
      <c r="B2348" t="s">
        <v>53</v>
      </c>
      <c r="C2348">
        <v>0.01</v>
      </c>
    </row>
    <row r="2349" spans="1:3" x14ac:dyDescent="0.3">
      <c r="A2349" t="s">
        <v>7867</v>
      </c>
      <c r="B2349" t="s">
        <v>87</v>
      </c>
      <c r="C2349">
        <v>0.09</v>
      </c>
    </row>
    <row r="2350" spans="1:3" x14ac:dyDescent="0.3">
      <c r="A2350" t="s">
        <v>10926</v>
      </c>
      <c r="B2350" t="s">
        <v>87</v>
      </c>
      <c r="C2350">
        <v>0.04</v>
      </c>
    </row>
    <row r="2351" spans="1:3" x14ac:dyDescent="0.3">
      <c r="A2351" t="s">
        <v>12497</v>
      </c>
      <c r="B2351" t="s">
        <v>29</v>
      </c>
      <c r="C2351">
        <v>0</v>
      </c>
    </row>
    <row r="2352" spans="1:3" x14ac:dyDescent="0.3">
      <c r="A2352" t="s">
        <v>12597</v>
      </c>
      <c r="B2352" t="s">
        <v>29</v>
      </c>
      <c r="C2352">
        <v>0.01</v>
      </c>
    </row>
    <row r="2353" spans="1:3" x14ac:dyDescent="0.3">
      <c r="A2353" t="s">
        <v>15574</v>
      </c>
      <c r="B2353" t="s">
        <v>225</v>
      </c>
      <c r="C2353">
        <v>0.03</v>
      </c>
    </row>
    <row r="2354" spans="1:3" x14ac:dyDescent="0.3">
      <c r="A2354" t="s">
        <v>9864</v>
      </c>
      <c r="B2354" t="s">
        <v>53</v>
      </c>
      <c r="C2354">
        <v>0.09</v>
      </c>
    </row>
    <row r="2355" spans="1:3" x14ac:dyDescent="0.3">
      <c r="A2355" t="s">
        <v>5083</v>
      </c>
      <c r="B2355" t="s">
        <v>29</v>
      </c>
      <c r="C2355">
        <v>0.01</v>
      </c>
    </row>
    <row r="2356" spans="1:3" x14ac:dyDescent="0.3">
      <c r="A2356" t="s">
        <v>5083</v>
      </c>
      <c r="B2356" t="s">
        <v>29</v>
      </c>
      <c r="C2356">
        <v>0.02</v>
      </c>
    </row>
    <row r="2357" spans="1:3" x14ac:dyDescent="0.3">
      <c r="A2357" t="s">
        <v>12482</v>
      </c>
      <c r="B2357" t="s">
        <v>53</v>
      </c>
      <c r="C2357">
        <v>0.09</v>
      </c>
    </row>
    <row r="2358" spans="1:3" x14ac:dyDescent="0.3">
      <c r="A2358" t="s">
        <v>10951</v>
      </c>
      <c r="B2358" t="s">
        <v>53</v>
      </c>
      <c r="C2358">
        <v>0.04</v>
      </c>
    </row>
    <row r="2359" spans="1:3" x14ac:dyDescent="0.3">
      <c r="A2359" t="s">
        <v>9922</v>
      </c>
      <c r="B2359" t="s">
        <v>40</v>
      </c>
      <c r="C2359">
        <v>0.02</v>
      </c>
    </row>
    <row r="2360" spans="1:3" x14ac:dyDescent="0.3">
      <c r="A2360" t="s">
        <v>10906</v>
      </c>
      <c r="B2360" t="s">
        <v>40</v>
      </c>
      <c r="C2360">
        <v>0</v>
      </c>
    </row>
    <row r="2361" spans="1:3" x14ac:dyDescent="0.3">
      <c r="A2361" t="s">
        <v>10906</v>
      </c>
      <c r="B2361" t="s">
        <v>40</v>
      </c>
      <c r="C2361">
        <v>0.04</v>
      </c>
    </row>
    <row r="2362" spans="1:3" x14ac:dyDescent="0.3">
      <c r="A2362" t="s">
        <v>10263</v>
      </c>
      <c r="B2362" t="s">
        <v>40</v>
      </c>
      <c r="C2362">
        <v>0.06</v>
      </c>
    </row>
    <row r="2363" spans="1:3" x14ac:dyDescent="0.3">
      <c r="A2363" t="s">
        <v>862</v>
      </c>
      <c r="B2363" t="s">
        <v>225</v>
      </c>
      <c r="C2363">
        <v>7.0000000000000007E-2</v>
      </c>
    </row>
    <row r="2364" spans="1:3" x14ac:dyDescent="0.3">
      <c r="A2364" t="s">
        <v>8241</v>
      </c>
      <c r="B2364" t="s">
        <v>29</v>
      </c>
      <c r="C2364">
        <v>0.01</v>
      </c>
    </row>
    <row r="2365" spans="1:3" x14ac:dyDescent="0.3">
      <c r="A2365" t="s">
        <v>8241</v>
      </c>
      <c r="B2365" t="s">
        <v>29</v>
      </c>
      <c r="C2365">
        <v>0.04</v>
      </c>
    </row>
    <row r="2366" spans="1:3" x14ac:dyDescent="0.3">
      <c r="A2366" t="s">
        <v>8241</v>
      </c>
      <c r="B2366" t="s">
        <v>29</v>
      </c>
      <c r="C2366">
        <v>0.08</v>
      </c>
    </row>
    <row r="2367" spans="1:3" x14ac:dyDescent="0.3">
      <c r="A2367" t="s">
        <v>874</v>
      </c>
      <c r="B2367" t="s">
        <v>87</v>
      </c>
      <c r="C2367">
        <v>0.01</v>
      </c>
    </row>
    <row r="2368" spans="1:3" x14ac:dyDescent="0.3">
      <c r="A2368" t="s">
        <v>874</v>
      </c>
      <c r="B2368" t="s">
        <v>87</v>
      </c>
      <c r="C2368">
        <v>0.02</v>
      </c>
    </row>
    <row r="2369" spans="1:3" x14ac:dyDescent="0.3">
      <c r="A2369" t="s">
        <v>874</v>
      </c>
      <c r="B2369" t="s">
        <v>87</v>
      </c>
      <c r="C2369">
        <v>0.09</v>
      </c>
    </row>
    <row r="2370" spans="1:3" x14ac:dyDescent="0.3">
      <c r="A2370" t="s">
        <v>15790</v>
      </c>
      <c r="B2370" t="s">
        <v>64</v>
      </c>
      <c r="C2370">
        <v>0</v>
      </c>
    </row>
    <row r="2371" spans="1:3" x14ac:dyDescent="0.3">
      <c r="A2371" t="s">
        <v>15790</v>
      </c>
      <c r="B2371" t="s">
        <v>64</v>
      </c>
      <c r="C2371">
        <v>0.03</v>
      </c>
    </row>
    <row r="2372" spans="1:3" x14ac:dyDescent="0.3">
      <c r="A2372" t="s">
        <v>882</v>
      </c>
      <c r="B2372" t="s">
        <v>225</v>
      </c>
      <c r="C2372">
        <v>0.04</v>
      </c>
    </row>
    <row r="2373" spans="1:3" x14ac:dyDescent="0.3">
      <c r="A2373" t="s">
        <v>882</v>
      </c>
      <c r="B2373" t="s">
        <v>225</v>
      </c>
      <c r="C2373">
        <v>0.08</v>
      </c>
    </row>
    <row r="2374" spans="1:3" x14ac:dyDescent="0.3">
      <c r="A2374" t="s">
        <v>10006</v>
      </c>
      <c r="B2374" t="s">
        <v>225</v>
      </c>
      <c r="C2374">
        <v>0.09</v>
      </c>
    </row>
    <row r="2375" spans="1:3" x14ac:dyDescent="0.3">
      <c r="A2375" t="s">
        <v>10204</v>
      </c>
      <c r="B2375" t="s">
        <v>40</v>
      </c>
      <c r="C2375">
        <v>0.1</v>
      </c>
    </row>
    <row r="2376" spans="1:3" x14ac:dyDescent="0.3">
      <c r="A2376" t="s">
        <v>10677</v>
      </c>
      <c r="B2376" t="s">
        <v>40</v>
      </c>
      <c r="C2376">
        <v>0</v>
      </c>
    </row>
    <row r="2377" spans="1:3" x14ac:dyDescent="0.3">
      <c r="A2377" t="s">
        <v>893</v>
      </c>
      <c r="B2377" t="s">
        <v>53</v>
      </c>
      <c r="C2377">
        <v>0.02</v>
      </c>
    </row>
    <row r="2378" spans="1:3" x14ac:dyDescent="0.3">
      <c r="A2378" t="s">
        <v>905</v>
      </c>
      <c r="B2378" t="s">
        <v>29</v>
      </c>
      <c r="C2378">
        <v>0.08</v>
      </c>
    </row>
    <row r="2379" spans="1:3" x14ac:dyDescent="0.3">
      <c r="A2379" t="s">
        <v>905</v>
      </c>
      <c r="B2379" t="s">
        <v>29</v>
      </c>
      <c r="C2379">
        <v>0.1</v>
      </c>
    </row>
    <row r="2380" spans="1:3" x14ac:dyDescent="0.3">
      <c r="A2380" t="s">
        <v>12663</v>
      </c>
      <c r="B2380" t="s">
        <v>87</v>
      </c>
      <c r="C2380">
        <v>0.01</v>
      </c>
    </row>
    <row r="2381" spans="1:3" x14ac:dyDescent="0.3">
      <c r="A2381" t="s">
        <v>4137</v>
      </c>
      <c r="B2381" t="s">
        <v>87</v>
      </c>
      <c r="C2381">
        <v>0.01</v>
      </c>
    </row>
    <row r="2382" spans="1:3" x14ac:dyDescent="0.3">
      <c r="A2382" t="s">
        <v>911</v>
      </c>
      <c r="B2382" t="s">
        <v>225</v>
      </c>
      <c r="C2382">
        <v>0.06</v>
      </c>
    </row>
    <row r="2383" spans="1:3" x14ac:dyDescent="0.3">
      <c r="A2383" t="s">
        <v>5982</v>
      </c>
      <c r="B2383" t="s">
        <v>64</v>
      </c>
      <c r="C2383">
        <v>0.05</v>
      </c>
    </row>
    <row r="2384" spans="1:3" x14ac:dyDescent="0.3">
      <c r="A2384" t="s">
        <v>7620</v>
      </c>
      <c r="B2384" t="s">
        <v>40</v>
      </c>
      <c r="C2384">
        <v>0.1</v>
      </c>
    </row>
    <row r="2385" spans="1:3" x14ac:dyDescent="0.3">
      <c r="A2385" t="s">
        <v>7620</v>
      </c>
      <c r="B2385" t="s">
        <v>64</v>
      </c>
      <c r="C2385">
        <v>0</v>
      </c>
    </row>
    <row r="2386" spans="1:3" x14ac:dyDescent="0.3">
      <c r="A2386" t="s">
        <v>5573</v>
      </c>
      <c r="B2386" t="s">
        <v>64</v>
      </c>
      <c r="C2386">
        <v>0.01</v>
      </c>
    </row>
    <row r="2387" spans="1:3" x14ac:dyDescent="0.3">
      <c r="A2387" t="s">
        <v>5573</v>
      </c>
      <c r="B2387" t="s">
        <v>64</v>
      </c>
      <c r="C2387">
        <v>0.04</v>
      </c>
    </row>
    <row r="2388" spans="1:3" x14ac:dyDescent="0.3">
      <c r="A2388" t="s">
        <v>8465</v>
      </c>
      <c r="B2388" t="s">
        <v>225</v>
      </c>
      <c r="C2388">
        <v>0.01</v>
      </c>
    </row>
    <row r="2389" spans="1:3" x14ac:dyDescent="0.3">
      <c r="A2389" t="s">
        <v>12480</v>
      </c>
      <c r="B2389" t="s">
        <v>40</v>
      </c>
      <c r="C2389">
        <v>0.06</v>
      </c>
    </row>
    <row r="2390" spans="1:3" x14ac:dyDescent="0.3">
      <c r="A2390" t="s">
        <v>5461</v>
      </c>
      <c r="B2390" t="s">
        <v>87</v>
      </c>
      <c r="C2390">
        <v>0</v>
      </c>
    </row>
    <row r="2391" spans="1:3" x14ac:dyDescent="0.3">
      <c r="A2391" t="s">
        <v>5461</v>
      </c>
      <c r="B2391" t="s">
        <v>87</v>
      </c>
      <c r="C2391">
        <v>0.01</v>
      </c>
    </row>
    <row r="2392" spans="1:3" x14ac:dyDescent="0.3">
      <c r="A2392" t="s">
        <v>5461</v>
      </c>
      <c r="B2392" t="s">
        <v>87</v>
      </c>
      <c r="C2392">
        <v>0.04</v>
      </c>
    </row>
    <row r="2393" spans="1:3" x14ac:dyDescent="0.3">
      <c r="A2393" t="s">
        <v>5461</v>
      </c>
      <c r="B2393" t="s">
        <v>87</v>
      </c>
      <c r="C2393">
        <v>0.05</v>
      </c>
    </row>
    <row r="2394" spans="1:3" x14ac:dyDescent="0.3">
      <c r="A2394" t="s">
        <v>5461</v>
      </c>
      <c r="B2394" t="s">
        <v>87</v>
      </c>
      <c r="C2394">
        <v>0.08</v>
      </c>
    </row>
    <row r="2395" spans="1:3" x14ac:dyDescent="0.3">
      <c r="A2395" t="s">
        <v>8689</v>
      </c>
      <c r="B2395" t="s">
        <v>40</v>
      </c>
      <c r="C2395">
        <v>0.03</v>
      </c>
    </row>
    <row r="2396" spans="1:3" x14ac:dyDescent="0.3">
      <c r="A2396" t="s">
        <v>13320</v>
      </c>
      <c r="B2396" t="s">
        <v>40</v>
      </c>
      <c r="C2396">
        <v>0.08</v>
      </c>
    </row>
    <row r="2397" spans="1:3" x14ac:dyDescent="0.3">
      <c r="A2397" t="s">
        <v>949</v>
      </c>
      <c r="B2397" t="s">
        <v>40</v>
      </c>
      <c r="C2397">
        <v>0.01</v>
      </c>
    </row>
    <row r="2398" spans="1:3" x14ac:dyDescent="0.3">
      <c r="A2398" t="s">
        <v>949</v>
      </c>
      <c r="B2398" t="s">
        <v>40</v>
      </c>
      <c r="C2398">
        <v>0.04</v>
      </c>
    </row>
    <row r="2399" spans="1:3" x14ac:dyDescent="0.3">
      <c r="A2399" t="s">
        <v>1976</v>
      </c>
      <c r="B2399" t="s">
        <v>40</v>
      </c>
      <c r="C2399">
        <v>0.08</v>
      </c>
    </row>
    <row r="2400" spans="1:3" x14ac:dyDescent="0.3">
      <c r="A2400" t="s">
        <v>12738</v>
      </c>
      <c r="B2400" t="s">
        <v>40</v>
      </c>
      <c r="C2400">
        <v>0.02</v>
      </c>
    </row>
    <row r="2401" spans="1:3" x14ac:dyDescent="0.3">
      <c r="A2401" t="s">
        <v>12738</v>
      </c>
      <c r="B2401" t="s">
        <v>40</v>
      </c>
      <c r="C2401">
        <v>0.04</v>
      </c>
    </row>
    <row r="2402" spans="1:3" x14ac:dyDescent="0.3">
      <c r="A2402" t="s">
        <v>7542</v>
      </c>
      <c r="B2402" t="s">
        <v>40</v>
      </c>
      <c r="C2402">
        <v>0.02</v>
      </c>
    </row>
    <row r="2403" spans="1:3" x14ac:dyDescent="0.3">
      <c r="A2403" t="s">
        <v>7840</v>
      </c>
      <c r="B2403" t="s">
        <v>64</v>
      </c>
      <c r="C2403">
        <v>0.06</v>
      </c>
    </row>
    <row r="2404" spans="1:3" x14ac:dyDescent="0.3">
      <c r="A2404" t="s">
        <v>7840</v>
      </c>
      <c r="B2404" t="s">
        <v>64</v>
      </c>
      <c r="C2404">
        <v>0.08</v>
      </c>
    </row>
    <row r="2405" spans="1:3" x14ac:dyDescent="0.3">
      <c r="A2405" t="s">
        <v>7108</v>
      </c>
      <c r="B2405" t="s">
        <v>29</v>
      </c>
      <c r="C2405">
        <v>0.09</v>
      </c>
    </row>
    <row r="2406" spans="1:3" x14ac:dyDescent="0.3">
      <c r="A2406" t="s">
        <v>8349</v>
      </c>
      <c r="B2406" t="s">
        <v>64</v>
      </c>
      <c r="C2406">
        <v>7.0000000000000007E-2</v>
      </c>
    </row>
    <row r="2407" spans="1:3" x14ac:dyDescent="0.3">
      <c r="A2407" t="s">
        <v>10215</v>
      </c>
      <c r="B2407" t="s">
        <v>53</v>
      </c>
      <c r="C2407">
        <v>0.08</v>
      </c>
    </row>
    <row r="2408" spans="1:3" x14ac:dyDescent="0.3">
      <c r="A2408" t="s">
        <v>10839</v>
      </c>
      <c r="B2408" t="s">
        <v>29</v>
      </c>
      <c r="C2408">
        <v>0.06</v>
      </c>
    </row>
    <row r="2409" spans="1:3" x14ac:dyDescent="0.3">
      <c r="A2409" t="s">
        <v>13867</v>
      </c>
      <c r="B2409" t="s">
        <v>29</v>
      </c>
      <c r="C2409">
        <v>0.05</v>
      </c>
    </row>
    <row r="2410" spans="1:3" x14ac:dyDescent="0.3">
      <c r="A2410" t="s">
        <v>10468</v>
      </c>
      <c r="B2410" t="s">
        <v>29</v>
      </c>
      <c r="C2410">
        <v>0</v>
      </c>
    </row>
    <row r="2411" spans="1:3" x14ac:dyDescent="0.3">
      <c r="A2411" t="s">
        <v>10468</v>
      </c>
      <c r="B2411" t="s">
        <v>29</v>
      </c>
      <c r="C2411">
        <v>0.02</v>
      </c>
    </row>
    <row r="2412" spans="1:3" x14ac:dyDescent="0.3">
      <c r="A2412" t="s">
        <v>15363</v>
      </c>
      <c r="B2412" t="s">
        <v>53</v>
      </c>
      <c r="C2412">
        <v>0.05</v>
      </c>
    </row>
    <row r="2413" spans="1:3" x14ac:dyDescent="0.3">
      <c r="A2413" t="s">
        <v>4334</v>
      </c>
      <c r="B2413" t="s">
        <v>87</v>
      </c>
      <c r="C2413">
        <v>0.04</v>
      </c>
    </row>
    <row r="2414" spans="1:3" x14ac:dyDescent="0.3">
      <c r="A2414" t="s">
        <v>14958</v>
      </c>
      <c r="B2414" t="s">
        <v>40</v>
      </c>
      <c r="C2414">
        <v>0.02</v>
      </c>
    </row>
    <row r="2415" spans="1:3" x14ac:dyDescent="0.3">
      <c r="A2415" t="s">
        <v>3155</v>
      </c>
      <c r="B2415" t="s">
        <v>29</v>
      </c>
      <c r="C2415">
        <v>7.0000000000000007E-2</v>
      </c>
    </row>
    <row r="2416" spans="1:3" x14ac:dyDescent="0.3">
      <c r="A2416" t="s">
        <v>3155</v>
      </c>
      <c r="B2416" t="s">
        <v>29</v>
      </c>
      <c r="C2416">
        <v>0.09</v>
      </c>
    </row>
    <row r="2417" spans="1:3" x14ac:dyDescent="0.3">
      <c r="A2417" t="s">
        <v>996</v>
      </c>
      <c r="B2417" t="s">
        <v>29</v>
      </c>
      <c r="C2417">
        <v>0.01</v>
      </c>
    </row>
    <row r="2418" spans="1:3" x14ac:dyDescent="0.3">
      <c r="A2418" t="s">
        <v>12402</v>
      </c>
      <c r="B2418" t="s">
        <v>29</v>
      </c>
      <c r="C2418">
        <v>0.03</v>
      </c>
    </row>
    <row r="2419" spans="1:3" x14ac:dyDescent="0.3">
      <c r="A2419" t="s">
        <v>12402</v>
      </c>
      <c r="B2419" t="s">
        <v>87</v>
      </c>
      <c r="C2419">
        <v>0</v>
      </c>
    </row>
    <row r="2420" spans="1:3" x14ac:dyDescent="0.3">
      <c r="A2420" t="s">
        <v>11516</v>
      </c>
      <c r="B2420" t="s">
        <v>53</v>
      </c>
      <c r="C2420">
        <v>0</v>
      </c>
    </row>
    <row r="2421" spans="1:3" x14ac:dyDescent="0.3">
      <c r="A2421" t="s">
        <v>1001</v>
      </c>
      <c r="B2421" t="s">
        <v>29</v>
      </c>
      <c r="C2421">
        <v>0.03</v>
      </c>
    </row>
    <row r="2422" spans="1:3" x14ac:dyDescent="0.3">
      <c r="A2422" t="s">
        <v>1001</v>
      </c>
      <c r="B2422" t="s">
        <v>29</v>
      </c>
      <c r="C2422">
        <v>0.04</v>
      </c>
    </row>
    <row r="2423" spans="1:3" x14ac:dyDescent="0.3">
      <c r="A2423" t="s">
        <v>10324</v>
      </c>
      <c r="B2423" t="s">
        <v>40</v>
      </c>
      <c r="C2423">
        <v>0.04</v>
      </c>
    </row>
    <row r="2424" spans="1:3" x14ac:dyDescent="0.3">
      <c r="A2424" t="s">
        <v>10324</v>
      </c>
      <c r="B2424" t="s">
        <v>40</v>
      </c>
      <c r="C2424">
        <v>0.08</v>
      </c>
    </row>
    <row r="2425" spans="1:3" x14ac:dyDescent="0.3">
      <c r="A2425" t="s">
        <v>14483</v>
      </c>
      <c r="B2425" t="s">
        <v>53</v>
      </c>
      <c r="C2425">
        <v>0.03</v>
      </c>
    </row>
    <row r="2426" spans="1:3" x14ac:dyDescent="0.3">
      <c r="A2426" t="s">
        <v>10640</v>
      </c>
      <c r="B2426" t="s">
        <v>40</v>
      </c>
      <c r="C2426">
        <v>0.05</v>
      </c>
    </row>
    <row r="2427" spans="1:3" x14ac:dyDescent="0.3">
      <c r="A2427" t="s">
        <v>7530</v>
      </c>
      <c r="B2427" t="s">
        <v>40</v>
      </c>
      <c r="C2427">
        <v>0.03</v>
      </c>
    </row>
    <row r="2428" spans="1:3" x14ac:dyDescent="0.3">
      <c r="A2428" t="s">
        <v>13500</v>
      </c>
      <c r="B2428" t="s">
        <v>87</v>
      </c>
      <c r="C2428">
        <v>7.0000000000000007E-2</v>
      </c>
    </row>
    <row r="2429" spans="1:3" x14ac:dyDescent="0.3">
      <c r="A2429" t="s">
        <v>10323</v>
      </c>
      <c r="B2429" t="s">
        <v>87</v>
      </c>
      <c r="C2429">
        <v>0.06</v>
      </c>
    </row>
    <row r="2430" spans="1:3" x14ac:dyDescent="0.3">
      <c r="A2430" t="s">
        <v>11162</v>
      </c>
      <c r="B2430" t="s">
        <v>87</v>
      </c>
      <c r="C2430">
        <v>0.08</v>
      </c>
    </row>
    <row r="2431" spans="1:3" x14ac:dyDescent="0.3">
      <c r="A2431" t="s">
        <v>12950</v>
      </c>
      <c r="B2431" t="s">
        <v>40</v>
      </c>
      <c r="C2431">
        <v>0.05</v>
      </c>
    </row>
    <row r="2432" spans="1:3" x14ac:dyDescent="0.3">
      <c r="A2432" t="s">
        <v>12950</v>
      </c>
      <c r="B2432" t="s">
        <v>29</v>
      </c>
      <c r="C2432">
        <v>0.02</v>
      </c>
    </row>
    <row r="2433" spans="1:3" x14ac:dyDescent="0.3">
      <c r="A2433" t="s">
        <v>11618</v>
      </c>
      <c r="B2433" t="s">
        <v>40</v>
      </c>
      <c r="C2433">
        <v>0.01</v>
      </c>
    </row>
    <row r="2434" spans="1:3" x14ac:dyDescent="0.3">
      <c r="A2434" t="s">
        <v>11618</v>
      </c>
      <c r="B2434" t="s">
        <v>40</v>
      </c>
      <c r="C2434">
        <v>0.08</v>
      </c>
    </row>
    <row r="2435" spans="1:3" x14ac:dyDescent="0.3">
      <c r="A2435" t="s">
        <v>11618</v>
      </c>
      <c r="B2435" t="s">
        <v>40</v>
      </c>
      <c r="C2435">
        <v>0.1</v>
      </c>
    </row>
    <row r="2436" spans="1:3" x14ac:dyDescent="0.3">
      <c r="A2436" t="s">
        <v>5860</v>
      </c>
      <c r="B2436" t="s">
        <v>29</v>
      </c>
      <c r="C2436">
        <v>0.05</v>
      </c>
    </row>
    <row r="2437" spans="1:3" x14ac:dyDescent="0.3">
      <c r="A2437" t="s">
        <v>5066</v>
      </c>
      <c r="B2437" t="s">
        <v>87</v>
      </c>
      <c r="C2437">
        <v>0.06</v>
      </c>
    </row>
    <row r="2438" spans="1:3" x14ac:dyDescent="0.3">
      <c r="A2438" t="s">
        <v>6513</v>
      </c>
      <c r="B2438" t="s">
        <v>40</v>
      </c>
      <c r="C2438">
        <v>0.09</v>
      </c>
    </row>
    <row r="2439" spans="1:3" x14ac:dyDescent="0.3">
      <c r="A2439" t="s">
        <v>11621</v>
      </c>
      <c r="B2439" t="s">
        <v>225</v>
      </c>
      <c r="C2439">
        <v>0.01</v>
      </c>
    </row>
    <row r="2440" spans="1:3" x14ac:dyDescent="0.3">
      <c r="A2440" t="s">
        <v>12648</v>
      </c>
      <c r="B2440" t="s">
        <v>225</v>
      </c>
      <c r="C2440">
        <v>0.03</v>
      </c>
    </row>
    <row r="2441" spans="1:3" x14ac:dyDescent="0.3">
      <c r="A2441" t="s">
        <v>15775</v>
      </c>
      <c r="B2441" t="s">
        <v>64</v>
      </c>
      <c r="C2441">
        <v>0.04</v>
      </c>
    </row>
    <row r="2442" spans="1:3" x14ac:dyDescent="0.3">
      <c r="A2442" t="s">
        <v>15775</v>
      </c>
      <c r="B2442" t="s">
        <v>29</v>
      </c>
      <c r="C2442">
        <v>0.08</v>
      </c>
    </row>
    <row r="2443" spans="1:3" x14ac:dyDescent="0.3">
      <c r="A2443" t="s">
        <v>2101</v>
      </c>
      <c r="B2443" t="s">
        <v>64</v>
      </c>
      <c r="C2443">
        <v>0.09</v>
      </c>
    </row>
    <row r="2444" spans="1:3" x14ac:dyDescent="0.3">
      <c r="A2444" t="s">
        <v>4124</v>
      </c>
      <c r="B2444" t="s">
        <v>40</v>
      </c>
      <c r="C2444">
        <v>0.1</v>
      </c>
    </row>
    <row r="2445" spans="1:3" x14ac:dyDescent="0.3">
      <c r="A2445" t="s">
        <v>4124</v>
      </c>
      <c r="B2445" t="s">
        <v>53</v>
      </c>
      <c r="C2445">
        <v>0.04</v>
      </c>
    </row>
    <row r="2446" spans="1:3" x14ac:dyDescent="0.3">
      <c r="A2446" t="s">
        <v>7042</v>
      </c>
      <c r="B2446" t="s">
        <v>225</v>
      </c>
      <c r="C2446">
        <v>0.01</v>
      </c>
    </row>
    <row r="2447" spans="1:3" x14ac:dyDescent="0.3">
      <c r="A2447" t="s">
        <v>10301</v>
      </c>
      <c r="B2447" t="s">
        <v>87</v>
      </c>
      <c r="C2447">
        <v>0.03</v>
      </c>
    </row>
    <row r="2448" spans="1:3" x14ac:dyDescent="0.3">
      <c r="A2448" t="s">
        <v>1096</v>
      </c>
      <c r="B2448" t="s">
        <v>64</v>
      </c>
      <c r="C2448">
        <v>0.08</v>
      </c>
    </row>
    <row r="2449" spans="1:3" x14ac:dyDescent="0.3">
      <c r="A2449" t="s">
        <v>9145</v>
      </c>
      <c r="B2449" t="s">
        <v>53</v>
      </c>
      <c r="C2449">
        <v>0.01</v>
      </c>
    </row>
    <row r="2450" spans="1:3" x14ac:dyDescent="0.3">
      <c r="A2450" t="s">
        <v>9145</v>
      </c>
      <c r="B2450" t="s">
        <v>53</v>
      </c>
      <c r="C2450">
        <v>7.0000000000000007E-2</v>
      </c>
    </row>
    <row r="2451" spans="1:3" x14ac:dyDescent="0.3">
      <c r="A2451" t="s">
        <v>13151</v>
      </c>
      <c r="B2451" t="s">
        <v>87</v>
      </c>
      <c r="C2451">
        <v>0.02</v>
      </c>
    </row>
    <row r="2452" spans="1:3" x14ac:dyDescent="0.3">
      <c r="A2452" t="s">
        <v>8158</v>
      </c>
      <c r="B2452" t="s">
        <v>87</v>
      </c>
      <c r="C2452">
        <v>7.0000000000000007E-2</v>
      </c>
    </row>
    <row r="2453" spans="1:3" x14ac:dyDescent="0.3">
      <c r="A2453" t="s">
        <v>6654</v>
      </c>
      <c r="B2453" t="s">
        <v>87</v>
      </c>
      <c r="C2453">
        <v>0.01</v>
      </c>
    </row>
    <row r="2454" spans="1:3" x14ac:dyDescent="0.3">
      <c r="A2454" t="s">
        <v>6654</v>
      </c>
      <c r="B2454" t="s">
        <v>87</v>
      </c>
      <c r="C2454">
        <v>7.0000000000000007E-2</v>
      </c>
    </row>
    <row r="2455" spans="1:3" x14ac:dyDescent="0.3">
      <c r="A2455" t="s">
        <v>6654</v>
      </c>
      <c r="B2455" t="s">
        <v>87</v>
      </c>
      <c r="C2455">
        <v>0.09</v>
      </c>
    </row>
    <row r="2456" spans="1:3" x14ac:dyDescent="0.3">
      <c r="A2456" t="s">
        <v>15156</v>
      </c>
      <c r="B2456" t="s">
        <v>40</v>
      </c>
      <c r="C2456">
        <v>0.08</v>
      </c>
    </row>
    <row r="2457" spans="1:3" x14ac:dyDescent="0.3">
      <c r="A2457" t="s">
        <v>15156</v>
      </c>
      <c r="B2457" t="s">
        <v>29</v>
      </c>
      <c r="C2457">
        <v>0.1</v>
      </c>
    </row>
    <row r="2458" spans="1:3" x14ac:dyDescent="0.3">
      <c r="A2458" t="s">
        <v>1118</v>
      </c>
      <c r="B2458" t="s">
        <v>53</v>
      </c>
      <c r="C2458">
        <v>7.0000000000000007E-2</v>
      </c>
    </row>
    <row r="2459" spans="1:3" x14ac:dyDescent="0.3">
      <c r="A2459" t="s">
        <v>15425</v>
      </c>
      <c r="B2459" t="s">
        <v>40</v>
      </c>
      <c r="C2459">
        <v>7.0000000000000007E-2</v>
      </c>
    </row>
    <row r="2460" spans="1:3" x14ac:dyDescent="0.3">
      <c r="A2460" t="s">
        <v>1220</v>
      </c>
      <c r="B2460" t="s">
        <v>225</v>
      </c>
      <c r="C2460">
        <v>0.05</v>
      </c>
    </row>
    <row r="2461" spans="1:3" x14ac:dyDescent="0.3">
      <c r="A2461" t="s">
        <v>1127</v>
      </c>
      <c r="B2461" t="s">
        <v>225</v>
      </c>
      <c r="C2461">
        <v>0</v>
      </c>
    </row>
    <row r="2462" spans="1:3" x14ac:dyDescent="0.3">
      <c r="A2462" t="s">
        <v>13698</v>
      </c>
      <c r="B2462" t="s">
        <v>87</v>
      </c>
      <c r="C2462">
        <v>0.06</v>
      </c>
    </row>
    <row r="2463" spans="1:3" x14ac:dyDescent="0.3">
      <c r="A2463" t="s">
        <v>13698</v>
      </c>
      <c r="B2463" t="s">
        <v>87</v>
      </c>
      <c r="C2463">
        <v>0.09</v>
      </c>
    </row>
    <row r="2464" spans="1:3" x14ac:dyDescent="0.3">
      <c r="A2464" t="s">
        <v>11446</v>
      </c>
      <c r="B2464" t="s">
        <v>40</v>
      </c>
      <c r="C2464">
        <v>0.03</v>
      </c>
    </row>
    <row r="2465" spans="1:3" x14ac:dyDescent="0.3">
      <c r="A2465" t="s">
        <v>11446</v>
      </c>
      <c r="B2465" t="s">
        <v>64</v>
      </c>
      <c r="C2465">
        <v>0.02</v>
      </c>
    </row>
    <row r="2466" spans="1:3" x14ac:dyDescent="0.3">
      <c r="A2466" t="s">
        <v>11446</v>
      </c>
      <c r="B2466" t="s">
        <v>64</v>
      </c>
      <c r="C2466">
        <v>0.04</v>
      </c>
    </row>
    <row r="2467" spans="1:3" x14ac:dyDescent="0.3">
      <c r="A2467" t="s">
        <v>8153</v>
      </c>
      <c r="B2467" t="s">
        <v>40</v>
      </c>
      <c r="C2467">
        <v>0.01</v>
      </c>
    </row>
    <row r="2468" spans="1:3" x14ac:dyDescent="0.3">
      <c r="A2468" t="s">
        <v>10678</v>
      </c>
      <c r="B2468" t="s">
        <v>40</v>
      </c>
      <c r="C2468">
        <v>0.09</v>
      </c>
    </row>
    <row r="2469" spans="1:3" x14ac:dyDescent="0.3">
      <c r="A2469" t="s">
        <v>13653</v>
      </c>
      <c r="B2469" t="s">
        <v>64</v>
      </c>
      <c r="C2469">
        <v>0.05</v>
      </c>
    </row>
    <row r="2470" spans="1:3" x14ac:dyDescent="0.3">
      <c r="A2470" t="s">
        <v>5500</v>
      </c>
      <c r="B2470" t="s">
        <v>87</v>
      </c>
      <c r="C2470">
        <v>7.0000000000000007E-2</v>
      </c>
    </row>
    <row r="2471" spans="1:3" x14ac:dyDescent="0.3">
      <c r="A2471" t="s">
        <v>5500</v>
      </c>
      <c r="B2471" t="s">
        <v>87</v>
      </c>
      <c r="C2471">
        <v>0.1</v>
      </c>
    </row>
    <row r="2472" spans="1:3" x14ac:dyDescent="0.3">
      <c r="A2472" t="s">
        <v>12765</v>
      </c>
      <c r="B2472" t="s">
        <v>87</v>
      </c>
      <c r="C2472">
        <v>0.04</v>
      </c>
    </row>
    <row r="2473" spans="1:3" x14ac:dyDescent="0.3">
      <c r="A2473" t="s">
        <v>9503</v>
      </c>
      <c r="B2473" t="s">
        <v>64</v>
      </c>
      <c r="C2473">
        <v>0.1</v>
      </c>
    </row>
    <row r="2474" spans="1:3" x14ac:dyDescent="0.3">
      <c r="A2474" t="s">
        <v>14229</v>
      </c>
      <c r="B2474" t="s">
        <v>87</v>
      </c>
      <c r="C2474">
        <v>0.05</v>
      </c>
    </row>
    <row r="2475" spans="1:3" x14ac:dyDescent="0.3">
      <c r="A2475" t="s">
        <v>9526</v>
      </c>
      <c r="B2475" t="s">
        <v>225</v>
      </c>
      <c r="C2475">
        <v>0.03</v>
      </c>
    </row>
    <row r="2476" spans="1:3" x14ac:dyDescent="0.3">
      <c r="A2476" t="s">
        <v>9072</v>
      </c>
      <c r="B2476" t="s">
        <v>225</v>
      </c>
      <c r="C2476">
        <v>0.03</v>
      </c>
    </row>
    <row r="2477" spans="1:3" x14ac:dyDescent="0.3">
      <c r="A2477" t="s">
        <v>15404</v>
      </c>
      <c r="B2477" t="s">
        <v>87</v>
      </c>
      <c r="C2477">
        <v>0.02</v>
      </c>
    </row>
    <row r="2478" spans="1:3" x14ac:dyDescent="0.3">
      <c r="A2478" t="s">
        <v>15404</v>
      </c>
      <c r="B2478" t="s">
        <v>87</v>
      </c>
      <c r="C2478">
        <v>0.08</v>
      </c>
    </row>
    <row r="2479" spans="1:3" x14ac:dyDescent="0.3">
      <c r="A2479" t="s">
        <v>6332</v>
      </c>
      <c r="B2479" t="s">
        <v>40</v>
      </c>
      <c r="C2479">
        <v>0.03</v>
      </c>
    </row>
    <row r="2480" spans="1:3" x14ac:dyDescent="0.3">
      <c r="A2480" t="s">
        <v>6332</v>
      </c>
      <c r="B2480" t="s">
        <v>40</v>
      </c>
      <c r="C2480">
        <v>7.0000000000000007E-2</v>
      </c>
    </row>
    <row r="2481" spans="1:3" x14ac:dyDescent="0.3">
      <c r="A2481" t="s">
        <v>12031</v>
      </c>
      <c r="B2481" t="s">
        <v>225</v>
      </c>
      <c r="C2481">
        <v>0.01</v>
      </c>
    </row>
    <row r="2482" spans="1:3" x14ac:dyDescent="0.3">
      <c r="A2482" t="s">
        <v>12031</v>
      </c>
      <c r="B2482" t="s">
        <v>225</v>
      </c>
      <c r="C2482">
        <v>7.0000000000000007E-2</v>
      </c>
    </row>
    <row r="2483" spans="1:3" x14ac:dyDescent="0.3">
      <c r="A2483" t="s">
        <v>12031</v>
      </c>
      <c r="B2483" t="s">
        <v>225</v>
      </c>
      <c r="C2483">
        <v>0.09</v>
      </c>
    </row>
    <row r="2484" spans="1:3" x14ac:dyDescent="0.3">
      <c r="A2484" t="s">
        <v>9203</v>
      </c>
      <c r="B2484" t="s">
        <v>40</v>
      </c>
      <c r="C2484">
        <v>0.05</v>
      </c>
    </row>
    <row r="2485" spans="1:3" x14ac:dyDescent="0.3">
      <c r="A2485" t="s">
        <v>15380</v>
      </c>
      <c r="B2485" t="s">
        <v>53</v>
      </c>
      <c r="C2485">
        <v>0.1</v>
      </c>
    </row>
    <row r="2486" spans="1:3" x14ac:dyDescent="0.3">
      <c r="A2486" t="s">
        <v>14238</v>
      </c>
      <c r="B2486" t="s">
        <v>53</v>
      </c>
      <c r="C2486">
        <v>0.08</v>
      </c>
    </row>
    <row r="2487" spans="1:3" x14ac:dyDescent="0.3">
      <c r="A2487" t="s">
        <v>5147</v>
      </c>
      <c r="B2487" t="s">
        <v>53</v>
      </c>
      <c r="C2487">
        <v>0.01</v>
      </c>
    </row>
    <row r="2488" spans="1:3" x14ac:dyDescent="0.3">
      <c r="A2488" t="s">
        <v>5147</v>
      </c>
      <c r="B2488" t="s">
        <v>53</v>
      </c>
      <c r="C2488">
        <v>7.0000000000000007E-2</v>
      </c>
    </row>
    <row r="2489" spans="1:3" x14ac:dyDescent="0.3">
      <c r="A2489" t="s">
        <v>3393</v>
      </c>
      <c r="B2489" t="s">
        <v>29</v>
      </c>
      <c r="C2489">
        <v>0.05</v>
      </c>
    </row>
    <row r="2490" spans="1:3" x14ac:dyDescent="0.3">
      <c r="A2490" t="s">
        <v>3393</v>
      </c>
      <c r="B2490" t="s">
        <v>53</v>
      </c>
      <c r="C2490">
        <v>0.03</v>
      </c>
    </row>
    <row r="2491" spans="1:3" x14ac:dyDescent="0.3">
      <c r="A2491" t="s">
        <v>3393</v>
      </c>
      <c r="B2491" t="s">
        <v>53</v>
      </c>
      <c r="C2491">
        <v>0.1</v>
      </c>
    </row>
    <row r="2492" spans="1:3" x14ac:dyDescent="0.3">
      <c r="A2492" t="s">
        <v>14730</v>
      </c>
      <c r="B2492" t="s">
        <v>64</v>
      </c>
      <c r="C2492">
        <v>0.06</v>
      </c>
    </row>
    <row r="2493" spans="1:3" x14ac:dyDescent="0.3">
      <c r="A2493" t="s">
        <v>1522</v>
      </c>
      <c r="B2493" t="s">
        <v>225</v>
      </c>
      <c r="C2493">
        <v>0.03</v>
      </c>
    </row>
    <row r="2494" spans="1:3" x14ac:dyDescent="0.3">
      <c r="A2494" t="s">
        <v>3189</v>
      </c>
      <c r="B2494" t="s">
        <v>64</v>
      </c>
      <c r="C2494">
        <v>0</v>
      </c>
    </row>
    <row r="2495" spans="1:3" x14ac:dyDescent="0.3">
      <c r="A2495" t="s">
        <v>3189</v>
      </c>
      <c r="B2495" t="s">
        <v>64</v>
      </c>
      <c r="C2495">
        <v>0.09</v>
      </c>
    </row>
    <row r="2496" spans="1:3" x14ac:dyDescent="0.3">
      <c r="A2496" t="s">
        <v>5861</v>
      </c>
      <c r="B2496" t="s">
        <v>87</v>
      </c>
      <c r="C2496">
        <v>0.08</v>
      </c>
    </row>
    <row r="2497" spans="1:3" x14ac:dyDescent="0.3">
      <c r="A2497" t="s">
        <v>9375</v>
      </c>
      <c r="B2497" t="s">
        <v>64</v>
      </c>
      <c r="C2497">
        <v>0.03</v>
      </c>
    </row>
    <row r="2498" spans="1:3" x14ac:dyDescent="0.3">
      <c r="A2498" t="s">
        <v>3872</v>
      </c>
      <c r="B2498" t="s">
        <v>64</v>
      </c>
      <c r="C2498">
        <v>0.09</v>
      </c>
    </row>
    <row r="2499" spans="1:3" x14ac:dyDescent="0.3">
      <c r="A2499" t="s">
        <v>7869</v>
      </c>
      <c r="B2499" t="s">
        <v>64</v>
      </c>
      <c r="C2499">
        <v>0.06</v>
      </c>
    </row>
    <row r="2500" spans="1:3" x14ac:dyDescent="0.3">
      <c r="A2500" t="s">
        <v>3840</v>
      </c>
      <c r="B2500" t="s">
        <v>40</v>
      </c>
      <c r="C2500">
        <v>0.05</v>
      </c>
    </row>
    <row r="2501" spans="1:3" x14ac:dyDescent="0.3">
      <c r="A2501" t="s">
        <v>3840</v>
      </c>
      <c r="B2501" t="s">
        <v>40</v>
      </c>
      <c r="C2501">
        <v>7.0000000000000007E-2</v>
      </c>
    </row>
    <row r="2502" spans="1:3" x14ac:dyDescent="0.3">
      <c r="A2502" t="s">
        <v>4874</v>
      </c>
      <c r="B2502" t="s">
        <v>40</v>
      </c>
      <c r="C2502">
        <v>0.02</v>
      </c>
    </row>
    <row r="2503" spans="1:3" x14ac:dyDescent="0.3">
      <c r="A2503" t="s">
        <v>11388</v>
      </c>
      <c r="B2503" t="s">
        <v>64</v>
      </c>
      <c r="C2503">
        <v>7.0000000000000007E-2</v>
      </c>
    </row>
    <row r="2504" spans="1:3" x14ac:dyDescent="0.3">
      <c r="A2504" t="s">
        <v>1208</v>
      </c>
      <c r="B2504" t="s">
        <v>40</v>
      </c>
      <c r="C2504">
        <v>0.08</v>
      </c>
    </row>
    <row r="2505" spans="1:3" x14ac:dyDescent="0.3">
      <c r="A2505" t="s">
        <v>15168</v>
      </c>
      <c r="B2505" t="s">
        <v>87</v>
      </c>
      <c r="C2505">
        <v>0.08</v>
      </c>
    </row>
    <row r="2506" spans="1:3" x14ac:dyDescent="0.3">
      <c r="A2506" t="s">
        <v>1214</v>
      </c>
      <c r="B2506" t="s">
        <v>64</v>
      </c>
      <c r="C2506">
        <v>0.05</v>
      </c>
    </row>
    <row r="2507" spans="1:3" x14ac:dyDescent="0.3">
      <c r="A2507" t="s">
        <v>5470</v>
      </c>
      <c r="B2507" t="s">
        <v>53</v>
      </c>
      <c r="C2507">
        <v>0</v>
      </c>
    </row>
    <row r="2508" spans="1:3" x14ac:dyDescent="0.3">
      <c r="A2508" t="s">
        <v>5470</v>
      </c>
      <c r="B2508" t="s">
        <v>53</v>
      </c>
      <c r="C2508">
        <v>0.06</v>
      </c>
    </row>
    <row r="2509" spans="1:3" x14ac:dyDescent="0.3">
      <c r="A2509" t="s">
        <v>8556</v>
      </c>
      <c r="B2509" t="s">
        <v>40</v>
      </c>
      <c r="C2509">
        <v>0.06</v>
      </c>
    </row>
    <row r="2510" spans="1:3" x14ac:dyDescent="0.3">
      <c r="A2510" t="s">
        <v>8862</v>
      </c>
      <c r="B2510" t="s">
        <v>225</v>
      </c>
      <c r="C2510">
        <v>0.01</v>
      </c>
    </row>
    <row r="2511" spans="1:3" x14ac:dyDescent="0.3">
      <c r="A2511" t="s">
        <v>1234</v>
      </c>
      <c r="B2511" t="s">
        <v>40</v>
      </c>
      <c r="C2511">
        <v>0.05</v>
      </c>
    </row>
    <row r="2512" spans="1:3" x14ac:dyDescent="0.3">
      <c r="A2512" t="s">
        <v>1234</v>
      </c>
      <c r="B2512" t="s">
        <v>40</v>
      </c>
      <c r="C2512">
        <v>0.06</v>
      </c>
    </row>
    <row r="2513" spans="1:3" x14ac:dyDescent="0.3">
      <c r="A2513" t="s">
        <v>5914</v>
      </c>
      <c r="B2513" t="s">
        <v>40</v>
      </c>
      <c r="C2513">
        <v>0.03</v>
      </c>
    </row>
    <row r="2514" spans="1:3" x14ac:dyDescent="0.3">
      <c r="A2514" t="s">
        <v>14360</v>
      </c>
      <c r="B2514" t="s">
        <v>40</v>
      </c>
      <c r="C2514">
        <v>0.03</v>
      </c>
    </row>
    <row r="2515" spans="1:3" x14ac:dyDescent="0.3">
      <c r="A2515" t="s">
        <v>13165</v>
      </c>
      <c r="B2515" t="s">
        <v>40</v>
      </c>
      <c r="C2515">
        <v>0.1</v>
      </c>
    </row>
    <row r="2516" spans="1:3" x14ac:dyDescent="0.3">
      <c r="A2516" t="s">
        <v>14619</v>
      </c>
      <c r="B2516" t="s">
        <v>40</v>
      </c>
      <c r="C2516">
        <v>0</v>
      </c>
    </row>
    <row r="2517" spans="1:3" x14ac:dyDescent="0.3">
      <c r="A2517" t="s">
        <v>14619</v>
      </c>
      <c r="B2517" t="s">
        <v>40</v>
      </c>
      <c r="C2517">
        <v>0.09</v>
      </c>
    </row>
    <row r="2518" spans="1:3" x14ac:dyDescent="0.3">
      <c r="A2518" t="s">
        <v>14619</v>
      </c>
      <c r="B2518" t="s">
        <v>29</v>
      </c>
      <c r="C2518">
        <v>0</v>
      </c>
    </row>
    <row r="2519" spans="1:3" x14ac:dyDescent="0.3">
      <c r="A2519" t="s">
        <v>14619</v>
      </c>
      <c r="B2519" t="s">
        <v>29</v>
      </c>
      <c r="C2519">
        <v>0.03</v>
      </c>
    </row>
    <row r="2520" spans="1:3" x14ac:dyDescent="0.3">
      <c r="A2520" t="s">
        <v>14619</v>
      </c>
      <c r="B2520" t="s">
        <v>29</v>
      </c>
      <c r="C2520">
        <v>7.0000000000000007E-2</v>
      </c>
    </row>
    <row r="2521" spans="1:3" x14ac:dyDescent="0.3">
      <c r="A2521" t="s">
        <v>10935</v>
      </c>
      <c r="B2521" t="s">
        <v>40</v>
      </c>
      <c r="C2521">
        <v>0.05</v>
      </c>
    </row>
    <row r="2522" spans="1:3" x14ac:dyDescent="0.3">
      <c r="A2522" t="s">
        <v>10935</v>
      </c>
      <c r="B2522" t="s">
        <v>29</v>
      </c>
      <c r="C2522">
        <v>7.0000000000000007E-2</v>
      </c>
    </row>
    <row r="2523" spans="1:3" x14ac:dyDescent="0.3">
      <c r="A2523" t="s">
        <v>8127</v>
      </c>
      <c r="B2523" t="s">
        <v>87</v>
      </c>
      <c r="C2523">
        <v>0.06</v>
      </c>
    </row>
    <row r="2524" spans="1:3" x14ac:dyDescent="0.3">
      <c r="A2524" t="s">
        <v>10650</v>
      </c>
      <c r="B2524" t="s">
        <v>87</v>
      </c>
      <c r="C2524">
        <v>0.04</v>
      </c>
    </row>
    <row r="2525" spans="1:3" x14ac:dyDescent="0.3">
      <c r="A2525" t="s">
        <v>10650</v>
      </c>
      <c r="B2525" t="s">
        <v>87</v>
      </c>
      <c r="C2525">
        <v>0.09</v>
      </c>
    </row>
    <row r="2526" spans="1:3" x14ac:dyDescent="0.3">
      <c r="A2526" t="s">
        <v>14638</v>
      </c>
      <c r="B2526" t="s">
        <v>87</v>
      </c>
      <c r="C2526">
        <v>0.08</v>
      </c>
    </row>
    <row r="2527" spans="1:3" x14ac:dyDescent="0.3">
      <c r="A2527" t="s">
        <v>5736</v>
      </c>
      <c r="B2527" t="s">
        <v>87</v>
      </c>
      <c r="C2527">
        <v>0</v>
      </c>
    </row>
    <row r="2528" spans="1:3" x14ac:dyDescent="0.3">
      <c r="A2528" t="s">
        <v>5736</v>
      </c>
      <c r="B2528" t="s">
        <v>87</v>
      </c>
      <c r="C2528">
        <v>0.02</v>
      </c>
    </row>
    <row r="2529" spans="1:3" x14ac:dyDescent="0.3">
      <c r="A2529" t="s">
        <v>2856</v>
      </c>
      <c r="B2529" t="s">
        <v>87</v>
      </c>
      <c r="C2529">
        <v>0.06</v>
      </c>
    </row>
    <row r="2530" spans="1:3" x14ac:dyDescent="0.3">
      <c r="A2530" t="s">
        <v>13140</v>
      </c>
      <c r="B2530" t="s">
        <v>29</v>
      </c>
      <c r="C2530">
        <v>7.0000000000000007E-2</v>
      </c>
    </row>
    <row r="2531" spans="1:3" x14ac:dyDescent="0.3">
      <c r="A2531" t="s">
        <v>10897</v>
      </c>
      <c r="B2531" t="s">
        <v>40</v>
      </c>
      <c r="C2531">
        <v>0.03</v>
      </c>
    </row>
    <row r="2532" spans="1:3" x14ac:dyDescent="0.3">
      <c r="A2532" t="s">
        <v>10897</v>
      </c>
      <c r="B2532" t="s">
        <v>40</v>
      </c>
      <c r="C2532">
        <v>0.04</v>
      </c>
    </row>
    <row r="2533" spans="1:3" x14ac:dyDescent="0.3">
      <c r="A2533" t="s">
        <v>13235</v>
      </c>
      <c r="B2533" t="s">
        <v>29</v>
      </c>
      <c r="C2533">
        <v>0.05</v>
      </c>
    </row>
    <row r="2534" spans="1:3" x14ac:dyDescent="0.3">
      <c r="A2534" t="s">
        <v>13235</v>
      </c>
      <c r="B2534" t="s">
        <v>29</v>
      </c>
      <c r="C2534">
        <v>7.0000000000000007E-2</v>
      </c>
    </row>
    <row r="2535" spans="1:3" x14ac:dyDescent="0.3">
      <c r="A2535" t="s">
        <v>5505</v>
      </c>
      <c r="B2535" t="s">
        <v>40</v>
      </c>
      <c r="C2535">
        <v>0</v>
      </c>
    </row>
    <row r="2536" spans="1:3" x14ac:dyDescent="0.3">
      <c r="A2536" t="s">
        <v>5505</v>
      </c>
      <c r="B2536" t="s">
        <v>40</v>
      </c>
      <c r="C2536">
        <v>0.03</v>
      </c>
    </row>
    <row r="2537" spans="1:3" x14ac:dyDescent="0.3">
      <c r="A2537" t="s">
        <v>5505</v>
      </c>
      <c r="B2537" t="s">
        <v>40</v>
      </c>
      <c r="C2537">
        <v>0.06</v>
      </c>
    </row>
    <row r="2538" spans="1:3" x14ac:dyDescent="0.3">
      <c r="A2538" t="s">
        <v>5505</v>
      </c>
      <c r="B2538" t="s">
        <v>64</v>
      </c>
      <c r="C2538">
        <v>0.02</v>
      </c>
    </row>
    <row r="2539" spans="1:3" x14ac:dyDescent="0.3">
      <c r="A2539" t="s">
        <v>5505</v>
      </c>
      <c r="B2539" t="s">
        <v>64</v>
      </c>
      <c r="C2539">
        <v>0.1</v>
      </c>
    </row>
    <row r="2540" spans="1:3" x14ac:dyDescent="0.3">
      <c r="A2540" t="s">
        <v>12258</v>
      </c>
      <c r="B2540" t="s">
        <v>53</v>
      </c>
      <c r="C2540">
        <v>0.08</v>
      </c>
    </row>
    <row r="2541" spans="1:3" x14ac:dyDescent="0.3">
      <c r="A2541" t="s">
        <v>15160</v>
      </c>
      <c r="B2541" t="s">
        <v>64</v>
      </c>
      <c r="C2541">
        <v>0.04</v>
      </c>
    </row>
    <row r="2542" spans="1:3" x14ac:dyDescent="0.3">
      <c r="A2542" t="s">
        <v>15160</v>
      </c>
      <c r="B2542" t="s">
        <v>64</v>
      </c>
      <c r="C2542">
        <v>0.1</v>
      </c>
    </row>
    <row r="2543" spans="1:3" x14ac:dyDescent="0.3">
      <c r="A2543" t="s">
        <v>13584</v>
      </c>
      <c r="B2543" t="s">
        <v>53</v>
      </c>
      <c r="C2543">
        <v>0.04</v>
      </c>
    </row>
    <row r="2544" spans="1:3" x14ac:dyDescent="0.3">
      <c r="A2544" t="s">
        <v>1277</v>
      </c>
      <c r="B2544" t="s">
        <v>225</v>
      </c>
      <c r="C2544">
        <v>0.06</v>
      </c>
    </row>
    <row r="2545" spans="1:3" x14ac:dyDescent="0.3">
      <c r="A2545" t="s">
        <v>1277</v>
      </c>
      <c r="B2545" t="s">
        <v>29</v>
      </c>
      <c r="C2545">
        <v>0.02</v>
      </c>
    </row>
    <row r="2546" spans="1:3" x14ac:dyDescent="0.3">
      <c r="A2546" t="s">
        <v>1277</v>
      </c>
      <c r="B2546" t="s">
        <v>29</v>
      </c>
      <c r="C2546">
        <v>0.06</v>
      </c>
    </row>
    <row r="2547" spans="1:3" x14ac:dyDescent="0.3">
      <c r="A2547" t="s">
        <v>14525</v>
      </c>
      <c r="B2547" t="s">
        <v>53</v>
      </c>
      <c r="C2547">
        <v>0.06</v>
      </c>
    </row>
    <row r="2548" spans="1:3" x14ac:dyDescent="0.3">
      <c r="A2548" t="s">
        <v>13667</v>
      </c>
      <c r="B2548" t="s">
        <v>40</v>
      </c>
      <c r="C2548">
        <v>0.06</v>
      </c>
    </row>
    <row r="2549" spans="1:3" x14ac:dyDescent="0.3">
      <c r="A2549" t="s">
        <v>1293</v>
      </c>
      <c r="B2549" t="s">
        <v>40</v>
      </c>
      <c r="C2549">
        <v>7.0000000000000007E-2</v>
      </c>
    </row>
    <row r="2550" spans="1:3" x14ac:dyDescent="0.3">
      <c r="A2550" t="s">
        <v>7825</v>
      </c>
      <c r="B2550" t="s">
        <v>40</v>
      </c>
      <c r="C2550">
        <v>0.1</v>
      </c>
    </row>
    <row r="2551" spans="1:3" x14ac:dyDescent="0.3">
      <c r="A2551" t="s">
        <v>11526</v>
      </c>
      <c r="B2551" t="s">
        <v>40</v>
      </c>
      <c r="C2551">
        <v>0</v>
      </c>
    </row>
    <row r="2552" spans="1:3" x14ac:dyDescent="0.3">
      <c r="A2552" t="s">
        <v>11526</v>
      </c>
      <c r="B2552" t="s">
        <v>40</v>
      </c>
      <c r="C2552">
        <v>0.08</v>
      </c>
    </row>
    <row r="2553" spans="1:3" x14ac:dyDescent="0.3">
      <c r="A2553" t="s">
        <v>6847</v>
      </c>
      <c r="B2553" t="s">
        <v>87</v>
      </c>
      <c r="C2553">
        <v>0.08</v>
      </c>
    </row>
    <row r="2554" spans="1:3" x14ac:dyDescent="0.3">
      <c r="A2554" t="s">
        <v>7446</v>
      </c>
      <c r="B2554" t="s">
        <v>225</v>
      </c>
      <c r="C2554">
        <v>0</v>
      </c>
    </row>
    <row r="2555" spans="1:3" x14ac:dyDescent="0.3">
      <c r="A2555" t="s">
        <v>7446</v>
      </c>
      <c r="B2555" t="s">
        <v>64</v>
      </c>
      <c r="C2555">
        <v>0.08</v>
      </c>
    </row>
    <row r="2556" spans="1:3" x14ac:dyDescent="0.3">
      <c r="A2556" t="s">
        <v>12739</v>
      </c>
      <c r="B2556" t="s">
        <v>40</v>
      </c>
      <c r="C2556">
        <v>0</v>
      </c>
    </row>
    <row r="2557" spans="1:3" x14ac:dyDescent="0.3">
      <c r="A2557" t="s">
        <v>12739</v>
      </c>
      <c r="B2557" t="s">
        <v>40</v>
      </c>
      <c r="C2557">
        <v>0.09</v>
      </c>
    </row>
    <row r="2558" spans="1:3" x14ac:dyDescent="0.3">
      <c r="A2558" t="s">
        <v>6932</v>
      </c>
      <c r="B2558" t="s">
        <v>40</v>
      </c>
      <c r="C2558">
        <v>7.0000000000000007E-2</v>
      </c>
    </row>
    <row r="2559" spans="1:3" x14ac:dyDescent="0.3">
      <c r="A2559" t="s">
        <v>6932</v>
      </c>
      <c r="B2559" t="s">
        <v>64</v>
      </c>
      <c r="C2559">
        <v>0.04</v>
      </c>
    </row>
    <row r="2560" spans="1:3" x14ac:dyDescent="0.3">
      <c r="A2560" t="s">
        <v>5902</v>
      </c>
      <c r="B2560" t="s">
        <v>40</v>
      </c>
      <c r="C2560">
        <v>0.09</v>
      </c>
    </row>
    <row r="2561" spans="1:3" x14ac:dyDescent="0.3">
      <c r="A2561" t="s">
        <v>5902</v>
      </c>
      <c r="B2561" t="s">
        <v>225</v>
      </c>
      <c r="C2561">
        <v>0.05</v>
      </c>
    </row>
    <row r="2562" spans="1:3" x14ac:dyDescent="0.3">
      <c r="A2562" t="s">
        <v>5902</v>
      </c>
      <c r="B2562" t="s">
        <v>29</v>
      </c>
      <c r="C2562">
        <v>0.09</v>
      </c>
    </row>
    <row r="2563" spans="1:3" x14ac:dyDescent="0.3">
      <c r="A2563" t="s">
        <v>13069</v>
      </c>
      <c r="B2563" t="s">
        <v>40</v>
      </c>
      <c r="C2563">
        <v>0.03</v>
      </c>
    </row>
    <row r="2564" spans="1:3" x14ac:dyDescent="0.3">
      <c r="A2564" t="s">
        <v>15192</v>
      </c>
      <c r="B2564" t="s">
        <v>40</v>
      </c>
      <c r="C2564">
        <v>0.1</v>
      </c>
    </row>
    <row r="2565" spans="1:3" x14ac:dyDescent="0.3">
      <c r="A2565" t="s">
        <v>9165</v>
      </c>
      <c r="B2565" t="s">
        <v>87</v>
      </c>
      <c r="C2565">
        <v>0.01</v>
      </c>
    </row>
    <row r="2566" spans="1:3" x14ac:dyDescent="0.3">
      <c r="A2566" t="s">
        <v>4439</v>
      </c>
      <c r="B2566" t="s">
        <v>29</v>
      </c>
      <c r="C2566">
        <v>0</v>
      </c>
    </row>
    <row r="2567" spans="1:3" x14ac:dyDescent="0.3">
      <c r="A2567" t="s">
        <v>4439</v>
      </c>
      <c r="B2567" t="s">
        <v>29</v>
      </c>
      <c r="C2567">
        <v>0.06</v>
      </c>
    </row>
    <row r="2568" spans="1:3" x14ac:dyDescent="0.3">
      <c r="A2568" t="s">
        <v>4439</v>
      </c>
      <c r="B2568" t="s">
        <v>29</v>
      </c>
      <c r="C2568">
        <v>0.08</v>
      </c>
    </row>
    <row r="2569" spans="1:3" x14ac:dyDescent="0.3">
      <c r="A2569" t="s">
        <v>11470</v>
      </c>
      <c r="B2569" t="s">
        <v>40</v>
      </c>
      <c r="C2569">
        <v>0</v>
      </c>
    </row>
    <row r="2570" spans="1:3" x14ac:dyDescent="0.3">
      <c r="A2570" t="s">
        <v>11470</v>
      </c>
      <c r="B2570" t="s">
        <v>40</v>
      </c>
      <c r="C2570">
        <v>7.0000000000000007E-2</v>
      </c>
    </row>
    <row r="2571" spans="1:3" x14ac:dyDescent="0.3">
      <c r="A2571" t="s">
        <v>8691</v>
      </c>
      <c r="B2571" t="s">
        <v>225</v>
      </c>
      <c r="C2571">
        <v>0.06</v>
      </c>
    </row>
    <row r="2572" spans="1:3" x14ac:dyDescent="0.3">
      <c r="A2572" t="s">
        <v>12909</v>
      </c>
      <c r="B2572" t="s">
        <v>40</v>
      </c>
      <c r="C2572">
        <v>0</v>
      </c>
    </row>
    <row r="2573" spans="1:3" x14ac:dyDescent="0.3">
      <c r="A2573" t="s">
        <v>12909</v>
      </c>
      <c r="B2573" t="s">
        <v>40</v>
      </c>
      <c r="C2573">
        <v>7.0000000000000007E-2</v>
      </c>
    </row>
    <row r="2574" spans="1:3" x14ac:dyDescent="0.3">
      <c r="A2574" t="s">
        <v>7915</v>
      </c>
      <c r="B2574" t="s">
        <v>225</v>
      </c>
      <c r="C2574">
        <v>0.02</v>
      </c>
    </row>
    <row r="2575" spans="1:3" x14ac:dyDescent="0.3">
      <c r="A2575" t="s">
        <v>7915</v>
      </c>
      <c r="B2575" t="s">
        <v>225</v>
      </c>
      <c r="C2575">
        <v>0.03</v>
      </c>
    </row>
    <row r="2576" spans="1:3" x14ac:dyDescent="0.3">
      <c r="A2576" t="s">
        <v>12246</v>
      </c>
      <c r="B2576" t="s">
        <v>40</v>
      </c>
      <c r="C2576">
        <v>0</v>
      </c>
    </row>
    <row r="2577" spans="1:3" x14ac:dyDescent="0.3">
      <c r="A2577" t="s">
        <v>12246</v>
      </c>
      <c r="B2577" t="s">
        <v>40</v>
      </c>
      <c r="C2577">
        <v>0.02</v>
      </c>
    </row>
    <row r="2578" spans="1:3" x14ac:dyDescent="0.3">
      <c r="A2578" t="s">
        <v>12246</v>
      </c>
      <c r="B2578" t="s">
        <v>40</v>
      </c>
      <c r="C2578">
        <v>0.1</v>
      </c>
    </row>
    <row r="2579" spans="1:3" x14ac:dyDescent="0.3">
      <c r="A2579" t="s">
        <v>7071</v>
      </c>
      <c r="B2579" t="s">
        <v>53</v>
      </c>
      <c r="C2579">
        <v>0.02</v>
      </c>
    </row>
    <row r="2580" spans="1:3" x14ac:dyDescent="0.3">
      <c r="A2580" t="s">
        <v>1366</v>
      </c>
      <c r="B2580" t="s">
        <v>29</v>
      </c>
      <c r="C2580">
        <v>0.09</v>
      </c>
    </row>
    <row r="2581" spans="1:3" x14ac:dyDescent="0.3">
      <c r="A2581" t="s">
        <v>11537</v>
      </c>
      <c r="B2581" t="s">
        <v>29</v>
      </c>
      <c r="C2581">
        <v>0.03</v>
      </c>
    </row>
    <row r="2582" spans="1:3" x14ac:dyDescent="0.3">
      <c r="A2582" t="s">
        <v>4807</v>
      </c>
      <c r="B2582" t="s">
        <v>225</v>
      </c>
      <c r="C2582">
        <v>0</v>
      </c>
    </row>
    <row r="2583" spans="1:3" x14ac:dyDescent="0.3">
      <c r="A2583" t="s">
        <v>3305</v>
      </c>
      <c r="B2583" t="s">
        <v>225</v>
      </c>
      <c r="C2583">
        <v>0.01</v>
      </c>
    </row>
    <row r="2584" spans="1:3" x14ac:dyDescent="0.3">
      <c r="A2584" t="s">
        <v>7187</v>
      </c>
      <c r="B2584" t="s">
        <v>225</v>
      </c>
      <c r="C2584">
        <v>0.02</v>
      </c>
    </row>
    <row r="2585" spans="1:3" x14ac:dyDescent="0.3">
      <c r="A2585" t="s">
        <v>7187</v>
      </c>
      <c r="B2585" t="s">
        <v>29</v>
      </c>
      <c r="C2585">
        <v>0</v>
      </c>
    </row>
    <row r="2586" spans="1:3" x14ac:dyDescent="0.3">
      <c r="A2586" t="s">
        <v>6342</v>
      </c>
      <c r="B2586" t="s">
        <v>29</v>
      </c>
      <c r="C2586">
        <v>0.05</v>
      </c>
    </row>
    <row r="2587" spans="1:3" x14ac:dyDescent="0.3">
      <c r="A2587" t="s">
        <v>9591</v>
      </c>
      <c r="B2587" t="s">
        <v>40</v>
      </c>
      <c r="C2587">
        <v>0.01</v>
      </c>
    </row>
    <row r="2588" spans="1:3" x14ac:dyDescent="0.3">
      <c r="A2588" t="s">
        <v>10780</v>
      </c>
      <c r="B2588" t="s">
        <v>40</v>
      </c>
      <c r="C2588">
        <v>0</v>
      </c>
    </row>
    <row r="2589" spans="1:3" x14ac:dyDescent="0.3">
      <c r="A2589" t="s">
        <v>10780</v>
      </c>
      <c r="B2589" t="s">
        <v>40</v>
      </c>
      <c r="C2589">
        <v>0.08</v>
      </c>
    </row>
    <row r="2590" spans="1:3" x14ac:dyDescent="0.3">
      <c r="A2590" t="s">
        <v>1477</v>
      </c>
      <c r="B2590" t="s">
        <v>40</v>
      </c>
      <c r="C2590">
        <v>0.01</v>
      </c>
    </row>
    <row r="2591" spans="1:3" x14ac:dyDescent="0.3">
      <c r="A2591" t="s">
        <v>4461</v>
      </c>
      <c r="B2591" t="s">
        <v>87</v>
      </c>
      <c r="C2591">
        <v>0.01</v>
      </c>
    </row>
    <row r="2592" spans="1:3" x14ac:dyDescent="0.3">
      <c r="A2592" t="s">
        <v>4461</v>
      </c>
      <c r="B2592" t="s">
        <v>87</v>
      </c>
      <c r="C2592">
        <v>0.04</v>
      </c>
    </row>
    <row r="2593" spans="1:3" x14ac:dyDescent="0.3">
      <c r="A2593" t="s">
        <v>4461</v>
      </c>
      <c r="B2593" t="s">
        <v>87</v>
      </c>
      <c r="C2593">
        <v>7.0000000000000007E-2</v>
      </c>
    </row>
    <row r="2594" spans="1:3" x14ac:dyDescent="0.3">
      <c r="A2594" t="s">
        <v>1394</v>
      </c>
      <c r="B2594" t="s">
        <v>87</v>
      </c>
      <c r="C2594">
        <v>0.06</v>
      </c>
    </row>
    <row r="2595" spans="1:3" x14ac:dyDescent="0.3">
      <c r="A2595" t="s">
        <v>1394</v>
      </c>
      <c r="B2595" t="s">
        <v>87</v>
      </c>
      <c r="C2595">
        <v>0.08</v>
      </c>
    </row>
    <row r="2596" spans="1:3" x14ac:dyDescent="0.3">
      <c r="A2596" t="s">
        <v>11263</v>
      </c>
      <c r="B2596" t="s">
        <v>64</v>
      </c>
      <c r="C2596">
        <v>0.01</v>
      </c>
    </row>
    <row r="2597" spans="1:3" x14ac:dyDescent="0.3">
      <c r="A2597" t="s">
        <v>11263</v>
      </c>
      <c r="B2597" t="s">
        <v>64</v>
      </c>
      <c r="C2597">
        <v>0.04</v>
      </c>
    </row>
    <row r="2598" spans="1:3" x14ac:dyDescent="0.3">
      <c r="A2598" t="s">
        <v>15002</v>
      </c>
      <c r="B2598" t="s">
        <v>29</v>
      </c>
      <c r="C2598">
        <v>0.04</v>
      </c>
    </row>
    <row r="2599" spans="1:3" x14ac:dyDescent="0.3">
      <c r="A2599" t="s">
        <v>15002</v>
      </c>
      <c r="B2599" t="s">
        <v>87</v>
      </c>
      <c r="C2599">
        <v>7.0000000000000007E-2</v>
      </c>
    </row>
    <row r="2600" spans="1:3" x14ac:dyDescent="0.3">
      <c r="A2600" t="s">
        <v>10489</v>
      </c>
      <c r="B2600" t="s">
        <v>29</v>
      </c>
      <c r="C2600">
        <v>0.01</v>
      </c>
    </row>
    <row r="2601" spans="1:3" x14ac:dyDescent="0.3">
      <c r="A2601" t="s">
        <v>10489</v>
      </c>
      <c r="B2601" t="s">
        <v>29</v>
      </c>
      <c r="C2601">
        <v>0.02</v>
      </c>
    </row>
    <row r="2602" spans="1:3" x14ac:dyDescent="0.3">
      <c r="A2602" t="s">
        <v>10489</v>
      </c>
      <c r="B2602" t="s">
        <v>29</v>
      </c>
      <c r="C2602">
        <v>0.06</v>
      </c>
    </row>
    <row r="2603" spans="1:3" x14ac:dyDescent="0.3">
      <c r="A2603" t="s">
        <v>5617</v>
      </c>
      <c r="B2603" t="s">
        <v>40</v>
      </c>
      <c r="C2603">
        <v>0.1</v>
      </c>
    </row>
    <row r="2604" spans="1:3" x14ac:dyDescent="0.3">
      <c r="A2604" t="s">
        <v>5617</v>
      </c>
      <c r="B2604" t="s">
        <v>87</v>
      </c>
      <c r="C2604">
        <v>0.04</v>
      </c>
    </row>
    <row r="2605" spans="1:3" x14ac:dyDescent="0.3">
      <c r="A2605" t="s">
        <v>15348</v>
      </c>
      <c r="B2605" t="s">
        <v>40</v>
      </c>
      <c r="C2605">
        <v>0.02</v>
      </c>
    </row>
    <row r="2606" spans="1:3" x14ac:dyDescent="0.3">
      <c r="A2606" t="s">
        <v>9181</v>
      </c>
      <c r="B2606" t="s">
        <v>29</v>
      </c>
      <c r="C2606">
        <v>7.0000000000000007E-2</v>
      </c>
    </row>
    <row r="2607" spans="1:3" x14ac:dyDescent="0.3">
      <c r="A2607" t="s">
        <v>10504</v>
      </c>
      <c r="B2607" t="s">
        <v>40</v>
      </c>
      <c r="C2607">
        <v>0</v>
      </c>
    </row>
    <row r="2608" spans="1:3" x14ac:dyDescent="0.3">
      <c r="A2608" t="s">
        <v>10504</v>
      </c>
      <c r="B2608" t="s">
        <v>29</v>
      </c>
      <c r="C2608">
        <v>7.0000000000000007E-2</v>
      </c>
    </row>
    <row r="2609" spans="1:3" x14ac:dyDescent="0.3">
      <c r="A2609" t="s">
        <v>10504</v>
      </c>
      <c r="B2609" t="s">
        <v>87</v>
      </c>
      <c r="C2609">
        <v>0.06</v>
      </c>
    </row>
    <row r="2610" spans="1:3" x14ac:dyDescent="0.3">
      <c r="A2610" t="s">
        <v>1417</v>
      </c>
      <c r="B2610" t="s">
        <v>87</v>
      </c>
      <c r="C2610">
        <v>0.04</v>
      </c>
    </row>
    <row r="2611" spans="1:3" x14ac:dyDescent="0.3">
      <c r="A2611" t="s">
        <v>1417</v>
      </c>
      <c r="B2611" t="s">
        <v>87</v>
      </c>
      <c r="C2611">
        <v>0.1</v>
      </c>
    </row>
    <row r="2612" spans="1:3" x14ac:dyDescent="0.3">
      <c r="A2612" t="s">
        <v>14370</v>
      </c>
      <c r="B2612" t="s">
        <v>87</v>
      </c>
      <c r="C2612">
        <v>0.03</v>
      </c>
    </row>
    <row r="2613" spans="1:3" x14ac:dyDescent="0.3">
      <c r="A2613" t="s">
        <v>15525</v>
      </c>
      <c r="B2613" t="s">
        <v>87</v>
      </c>
      <c r="C2613">
        <v>0.08</v>
      </c>
    </row>
    <row r="2614" spans="1:3" x14ac:dyDescent="0.3">
      <c r="A2614" t="s">
        <v>2187</v>
      </c>
      <c r="B2614" t="s">
        <v>87</v>
      </c>
      <c r="C2614">
        <v>0.01</v>
      </c>
    </row>
    <row r="2615" spans="1:3" x14ac:dyDescent="0.3">
      <c r="A2615" t="s">
        <v>2187</v>
      </c>
      <c r="B2615" t="s">
        <v>87</v>
      </c>
      <c r="C2615">
        <v>0.1</v>
      </c>
    </row>
    <row r="2616" spans="1:3" x14ac:dyDescent="0.3">
      <c r="A2616" t="s">
        <v>8399</v>
      </c>
      <c r="B2616" t="s">
        <v>64</v>
      </c>
      <c r="C2616">
        <v>0.05</v>
      </c>
    </row>
    <row r="2617" spans="1:3" x14ac:dyDescent="0.3">
      <c r="A2617" t="s">
        <v>11583</v>
      </c>
      <c r="B2617" t="s">
        <v>87</v>
      </c>
      <c r="C2617">
        <v>0.03</v>
      </c>
    </row>
    <row r="2618" spans="1:3" x14ac:dyDescent="0.3">
      <c r="A2618" t="s">
        <v>11583</v>
      </c>
      <c r="B2618" t="s">
        <v>87</v>
      </c>
      <c r="C2618">
        <v>0.04</v>
      </c>
    </row>
    <row r="2619" spans="1:3" x14ac:dyDescent="0.3">
      <c r="A2619" t="s">
        <v>1423</v>
      </c>
      <c r="B2619" t="s">
        <v>87</v>
      </c>
      <c r="C2619">
        <v>0</v>
      </c>
    </row>
    <row r="2620" spans="1:3" x14ac:dyDescent="0.3">
      <c r="A2620" t="s">
        <v>6918</v>
      </c>
      <c r="B2620" t="s">
        <v>87</v>
      </c>
      <c r="C2620">
        <v>0.05</v>
      </c>
    </row>
    <row r="2621" spans="1:3" x14ac:dyDescent="0.3">
      <c r="A2621" t="s">
        <v>11197</v>
      </c>
      <c r="B2621" t="s">
        <v>87</v>
      </c>
      <c r="C2621">
        <v>0.01</v>
      </c>
    </row>
    <row r="2622" spans="1:3" x14ac:dyDescent="0.3">
      <c r="A2622" t="s">
        <v>7565</v>
      </c>
      <c r="B2622" t="s">
        <v>87</v>
      </c>
      <c r="C2622">
        <v>7.0000000000000007E-2</v>
      </c>
    </row>
    <row r="2623" spans="1:3" x14ac:dyDescent="0.3">
      <c r="A2623" t="s">
        <v>7565</v>
      </c>
      <c r="B2623" t="s">
        <v>87</v>
      </c>
      <c r="C2623">
        <v>0.1</v>
      </c>
    </row>
    <row r="2624" spans="1:3" x14ac:dyDescent="0.3">
      <c r="A2624" t="s">
        <v>2895</v>
      </c>
      <c r="B2624" t="s">
        <v>87</v>
      </c>
      <c r="C2624">
        <v>0</v>
      </c>
    </row>
    <row r="2625" spans="1:3" x14ac:dyDescent="0.3">
      <c r="A2625" t="s">
        <v>11888</v>
      </c>
      <c r="B2625" t="s">
        <v>64</v>
      </c>
      <c r="C2625">
        <v>0.06</v>
      </c>
    </row>
    <row r="2626" spans="1:3" x14ac:dyDescent="0.3">
      <c r="A2626" t="s">
        <v>12399</v>
      </c>
      <c r="B2626" t="s">
        <v>87</v>
      </c>
      <c r="C2626">
        <v>0.01</v>
      </c>
    </row>
    <row r="2627" spans="1:3" x14ac:dyDescent="0.3">
      <c r="A2627" t="s">
        <v>7989</v>
      </c>
      <c r="B2627" t="s">
        <v>29</v>
      </c>
      <c r="C2627">
        <v>0.02</v>
      </c>
    </row>
    <row r="2628" spans="1:3" x14ac:dyDescent="0.3">
      <c r="A2628" t="s">
        <v>4612</v>
      </c>
      <c r="B2628" t="s">
        <v>29</v>
      </c>
      <c r="C2628">
        <v>0</v>
      </c>
    </row>
    <row r="2629" spans="1:3" x14ac:dyDescent="0.3">
      <c r="A2629" t="s">
        <v>8289</v>
      </c>
      <c r="B2629" t="s">
        <v>29</v>
      </c>
      <c r="C2629">
        <v>0.02</v>
      </c>
    </row>
    <row r="2630" spans="1:3" x14ac:dyDescent="0.3">
      <c r="A2630" t="s">
        <v>8289</v>
      </c>
      <c r="B2630" t="s">
        <v>29</v>
      </c>
      <c r="C2630">
        <v>0.04</v>
      </c>
    </row>
    <row r="2631" spans="1:3" x14ac:dyDescent="0.3">
      <c r="A2631" t="s">
        <v>10962</v>
      </c>
      <c r="B2631" t="s">
        <v>29</v>
      </c>
      <c r="C2631">
        <v>0.03</v>
      </c>
    </row>
    <row r="2632" spans="1:3" x14ac:dyDescent="0.3">
      <c r="A2632" t="s">
        <v>10962</v>
      </c>
      <c r="B2632" t="s">
        <v>29</v>
      </c>
      <c r="C2632">
        <v>0.1</v>
      </c>
    </row>
    <row r="2633" spans="1:3" x14ac:dyDescent="0.3">
      <c r="A2633" t="s">
        <v>5975</v>
      </c>
      <c r="B2633" t="s">
        <v>40</v>
      </c>
      <c r="C2633">
        <v>0.05</v>
      </c>
    </row>
    <row r="2634" spans="1:3" x14ac:dyDescent="0.3">
      <c r="A2634" t="s">
        <v>5975</v>
      </c>
      <c r="B2634" t="s">
        <v>29</v>
      </c>
      <c r="C2634">
        <v>0.01</v>
      </c>
    </row>
    <row r="2635" spans="1:3" x14ac:dyDescent="0.3">
      <c r="A2635" t="s">
        <v>5975</v>
      </c>
      <c r="B2635" t="s">
        <v>29</v>
      </c>
      <c r="C2635">
        <v>0.06</v>
      </c>
    </row>
    <row r="2636" spans="1:3" x14ac:dyDescent="0.3">
      <c r="A2636" t="s">
        <v>5975</v>
      </c>
      <c r="B2636" t="s">
        <v>29</v>
      </c>
      <c r="C2636">
        <v>0.08</v>
      </c>
    </row>
    <row r="2637" spans="1:3" x14ac:dyDescent="0.3">
      <c r="A2637" t="s">
        <v>10351</v>
      </c>
      <c r="B2637" t="s">
        <v>40</v>
      </c>
      <c r="C2637">
        <v>0.03</v>
      </c>
    </row>
    <row r="2638" spans="1:3" x14ac:dyDescent="0.3">
      <c r="A2638" t="s">
        <v>10351</v>
      </c>
      <c r="B2638" t="s">
        <v>40</v>
      </c>
      <c r="C2638">
        <v>0.1</v>
      </c>
    </row>
    <row r="2639" spans="1:3" x14ac:dyDescent="0.3">
      <c r="A2639" t="s">
        <v>1458</v>
      </c>
      <c r="B2639" t="s">
        <v>64</v>
      </c>
      <c r="C2639">
        <v>0.05</v>
      </c>
    </row>
    <row r="2640" spans="1:3" x14ac:dyDescent="0.3">
      <c r="A2640" t="s">
        <v>8665</v>
      </c>
      <c r="B2640" t="s">
        <v>64</v>
      </c>
      <c r="C2640">
        <v>0.1</v>
      </c>
    </row>
    <row r="2641" spans="1:3" x14ac:dyDescent="0.3">
      <c r="A2641" t="s">
        <v>12139</v>
      </c>
      <c r="B2641" t="s">
        <v>29</v>
      </c>
      <c r="C2641">
        <v>0</v>
      </c>
    </row>
    <row r="2642" spans="1:3" x14ac:dyDescent="0.3">
      <c r="A2642" t="s">
        <v>12139</v>
      </c>
      <c r="B2642" t="s">
        <v>29</v>
      </c>
      <c r="C2642">
        <v>0.01</v>
      </c>
    </row>
    <row r="2643" spans="1:3" x14ac:dyDescent="0.3">
      <c r="A2643" t="s">
        <v>12139</v>
      </c>
      <c r="B2643" t="s">
        <v>29</v>
      </c>
      <c r="C2643">
        <v>0.06</v>
      </c>
    </row>
    <row r="2644" spans="1:3" x14ac:dyDescent="0.3">
      <c r="A2644" t="s">
        <v>9101</v>
      </c>
      <c r="B2644" t="s">
        <v>225</v>
      </c>
      <c r="C2644">
        <v>7.0000000000000007E-2</v>
      </c>
    </row>
    <row r="2645" spans="1:3" x14ac:dyDescent="0.3">
      <c r="A2645" t="s">
        <v>7928</v>
      </c>
      <c r="B2645" t="s">
        <v>225</v>
      </c>
      <c r="C2645">
        <v>0.1</v>
      </c>
    </row>
    <row r="2646" spans="1:3" x14ac:dyDescent="0.3">
      <c r="A2646" t="s">
        <v>9493</v>
      </c>
      <c r="B2646" t="s">
        <v>29</v>
      </c>
      <c r="C2646">
        <v>0.01</v>
      </c>
    </row>
    <row r="2647" spans="1:3" x14ac:dyDescent="0.3">
      <c r="A2647" t="s">
        <v>8683</v>
      </c>
      <c r="B2647" t="s">
        <v>87</v>
      </c>
      <c r="C2647">
        <v>0.09</v>
      </c>
    </row>
    <row r="2648" spans="1:3" x14ac:dyDescent="0.3">
      <c r="A2648" t="s">
        <v>14784</v>
      </c>
      <c r="B2648" t="s">
        <v>225</v>
      </c>
      <c r="C2648">
        <v>0.1</v>
      </c>
    </row>
    <row r="2649" spans="1:3" x14ac:dyDescent="0.3">
      <c r="A2649" t="s">
        <v>14531</v>
      </c>
      <c r="B2649" t="s">
        <v>225</v>
      </c>
      <c r="C2649">
        <v>0.1</v>
      </c>
    </row>
    <row r="2650" spans="1:3" x14ac:dyDescent="0.3">
      <c r="A2650" t="s">
        <v>3311</v>
      </c>
      <c r="B2650" t="s">
        <v>53</v>
      </c>
      <c r="C2650">
        <v>0.06</v>
      </c>
    </row>
    <row r="2651" spans="1:3" x14ac:dyDescent="0.3">
      <c r="A2651" t="s">
        <v>1652</v>
      </c>
      <c r="B2651" t="s">
        <v>40</v>
      </c>
      <c r="C2651">
        <v>0.01</v>
      </c>
    </row>
    <row r="2652" spans="1:3" x14ac:dyDescent="0.3">
      <c r="A2652" t="s">
        <v>1652</v>
      </c>
      <c r="B2652" t="s">
        <v>40</v>
      </c>
      <c r="C2652">
        <v>0.1</v>
      </c>
    </row>
    <row r="2653" spans="1:3" x14ac:dyDescent="0.3">
      <c r="A2653" t="s">
        <v>4296</v>
      </c>
      <c r="B2653" t="s">
        <v>87</v>
      </c>
      <c r="C2653">
        <v>0</v>
      </c>
    </row>
    <row r="2654" spans="1:3" x14ac:dyDescent="0.3">
      <c r="A2654" t="s">
        <v>4660</v>
      </c>
      <c r="B2654" t="s">
        <v>29</v>
      </c>
      <c r="C2654">
        <v>0</v>
      </c>
    </row>
    <row r="2655" spans="1:3" x14ac:dyDescent="0.3">
      <c r="A2655" t="s">
        <v>4660</v>
      </c>
      <c r="B2655" t="s">
        <v>29</v>
      </c>
      <c r="C2655">
        <v>0.09</v>
      </c>
    </row>
    <row r="2656" spans="1:3" x14ac:dyDescent="0.3">
      <c r="A2656" t="s">
        <v>4660</v>
      </c>
      <c r="B2656" t="s">
        <v>29</v>
      </c>
      <c r="C2656">
        <v>0.1</v>
      </c>
    </row>
    <row r="2657" spans="1:3" x14ac:dyDescent="0.3">
      <c r="A2657" t="s">
        <v>6944</v>
      </c>
      <c r="B2657" t="s">
        <v>87</v>
      </c>
      <c r="C2657">
        <v>0.03</v>
      </c>
    </row>
    <row r="2658" spans="1:3" x14ac:dyDescent="0.3">
      <c r="A2658" t="s">
        <v>15514</v>
      </c>
      <c r="B2658" t="s">
        <v>53</v>
      </c>
      <c r="C2658">
        <v>0.03</v>
      </c>
    </row>
    <row r="2659" spans="1:3" x14ac:dyDescent="0.3">
      <c r="A2659" t="s">
        <v>7537</v>
      </c>
      <c r="B2659" t="s">
        <v>64</v>
      </c>
      <c r="C2659">
        <v>0.06</v>
      </c>
    </row>
    <row r="2660" spans="1:3" x14ac:dyDescent="0.3">
      <c r="A2660" t="s">
        <v>7537</v>
      </c>
      <c r="B2660" t="s">
        <v>53</v>
      </c>
      <c r="C2660">
        <v>0.03</v>
      </c>
    </row>
    <row r="2661" spans="1:3" x14ac:dyDescent="0.3">
      <c r="A2661" t="s">
        <v>7537</v>
      </c>
      <c r="B2661" t="s">
        <v>53</v>
      </c>
      <c r="C2661">
        <v>0.08</v>
      </c>
    </row>
    <row r="2662" spans="1:3" x14ac:dyDescent="0.3">
      <c r="A2662" t="s">
        <v>10181</v>
      </c>
      <c r="B2662" t="s">
        <v>53</v>
      </c>
      <c r="C2662">
        <v>0.1</v>
      </c>
    </row>
    <row r="2663" spans="1:3" x14ac:dyDescent="0.3">
      <c r="A2663" t="s">
        <v>14604</v>
      </c>
      <c r="B2663" t="s">
        <v>29</v>
      </c>
      <c r="C2663">
        <v>0.03</v>
      </c>
    </row>
    <row r="2664" spans="1:3" x14ac:dyDescent="0.3">
      <c r="A2664" t="s">
        <v>1549</v>
      </c>
      <c r="B2664" t="s">
        <v>64</v>
      </c>
      <c r="C2664">
        <v>7.0000000000000007E-2</v>
      </c>
    </row>
    <row r="2665" spans="1:3" x14ac:dyDescent="0.3">
      <c r="A2665" t="s">
        <v>11097</v>
      </c>
      <c r="B2665" t="s">
        <v>87</v>
      </c>
      <c r="C2665">
        <v>0.08</v>
      </c>
    </row>
    <row r="2666" spans="1:3" x14ac:dyDescent="0.3">
      <c r="A2666" t="s">
        <v>1555</v>
      </c>
      <c r="B2666" t="s">
        <v>40</v>
      </c>
      <c r="C2666">
        <v>0.08</v>
      </c>
    </row>
    <row r="2667" spans="1:3" x14ac:dyDescent="0.3">
      <c r="A2667" t="s">
        <v>7667</v>
      </c>
      <c r="B2667" t="s">
        <v>87</v>
      </c>
      <c r="C2667">
        <v>0.09</v>
      </c>
    </row>
    <row r="2668" spans="1:3" x14ac:dyDescent="0.3">
      <c r="A2668" t="s">
        <v>7667</v>
      </c>
      <c r="B2668" t="s">
        <v>87</v>
      </c>
      <c r="C2668">
        <v>0.1</v>
      </c>
    </row>
    <row r="2669" spans="1:3" x14ac:dyDescent="0.3">
      <c r="A2669" t="s">
        <v>1561</v>
      </c>
      <c r="B2669" t="s">
        <v>225</v>
      </c>
      <c r="C2669">
        <v>0</v>
      </c>
    </row>
    <row r="2670" spans="1:3" x14ac:dyDescent="0.3">
      <c r="A2670" t="s">
        <v>1561</v>
      </c>
      <c r="B2670" t="s">
        <v>87</v>
      </c>
      <c r="C2670">
        <v>0.09</v>
      </c>
    </row>
    <row r="2671" spans="1:3" x14ac:dyDescent="0.3">
      <c r="A2671" t="s">
        <v>14486</v>
      </c>
      <c r="B2671" t="s">
        <v>53</v>
      </c>
      <c r="C2671">
        <v>0.04</v>
      </c>
    </row>
    <row r="2672" spans="1:3" x14ac:dyDescent="0.3">
      <c r="A2672" t="s">
        <v>12154</v>
      </c>
      <c r="B2672" t="s">
        <v>29</v>
      </c>
      <c r="C2672">
        <v>0.01</v>
      </c>
    </row>
    <row r="2673" spans="1:3" x14ac:dyDescent="0.3">
      <c r="A2673" t="s">
        <v>7064</v>
      </c>
      <c r="B2673" t="s">
        <v>40</v>
      </c>
      <c r="C2673">
        <v>0.02</v>
      </c>
    </row>
    <row r="2674" spans="1:3" x14ac:dyDescent="0.3">
      <c r="A2674" t="s">
        <v>6660</v>
      </c>
      <c r="B2674" t="s">
        <v>29</v>
      </c>
      <c r="C2674">
        <v>0.08</v>
      </c>
    </row>
    <row r="2675" spans="1:3" x14ac:dyDescent="0.3">
      <c r="A2675" t="s">
        <v>3814</v>
      </c>
      <c r="B2675" t="s">
        <v>53</v>
      </c>
      <c r="C2675">
        <v>0.03</v>
      </c>
    </row>
    <row r="2676" spans="1:3" x14ac:dyDescent="0.3">
      <c r="A2676" t="s">
        <v>14689</v>
      </c>
      <c r="B2676" t="s">
        <v>40</v>
      </c>
      <c r="C2676">
        <v>7.0000000000000007E-2</v>
      </c>
    </row>
    <row r="2677" spans="1:3" x14ac:dyDescent="0.3">
      <c r="A2677" t="s">
        <v>11633</v>
      </c>
      <c r="B2677" t="s">
        <v>40</v>
      </c>
      <c r="C2677">
        <v>0</v>
      </c>
    </row>
    <row r="2678" spans="1:3" x14ac:dyDescent="0.3">
      <c r="A2678" t="s">
        <v>11633</v>
      </c>
      <c r="B2678" t="s">
        <v>40</v>
      </c>
      <c r="C2678">
        <v>0.02</v>
      </c>
    </row>
    <row r="2679" spans="1:3" x14ac:dyDescent="0.3">
      <c r="A2679" t="s">
        <v>11633</v>
      </c>
      <c r="B2679" t="s">
        <v>40</v>
      </c>
      <c r="C2679">
        <v>0.08</v>
      </c>
    </row>
    <row r="2680" spans="1:3" x14ac:dyDescent="0.3">
      <c r="A2680" t="s">
        <v>1748</v>
      </c>
      <c r="B2680" t="s">
        <v>29</v>
      </c>
      <c r="C2680">
        <v>0.08</v>
      </c>
    </row>
    <row r="2681" spans="1:3" x14ac:dyDescent="0.3">
      <c r="A2681" t="s">
        <v>1605</v>
      </c>
      <c r="B2681" t="s">
        <v>29</v>
      </c>
      <c r="C2681">
        <v>0.06</v>
      </c>
    </row>
    <row r="2682" spans="1:3" x14ac:dyDescent="0.3">
      <c r="A2682" t="s">
        <v>2588</v>
      </c>
      <c r="B2682" t="s">
        <v>29</v>
      </c>
      <c r="C2682">
        <v>0.02</v>
      </c>
    </row>
    <row r="2683" spans="1:3" x14ac:dyDescent="0.3">
      <c r="A2683" t="s">
        <v>11988</v>
      </c>
      <c r="B2683" t="s">
        <v>29</v>
      </c>
      <c r="C2683">
        <v>0.03</v>
      </c>
    </row>
    <row r="2684" spans="1:3" x14ac:dyDescent="0.3">
      <c r="A2684" t="s">
        <v>11465</v>
      </c>
      <c r="B2684" t="s">
        <v>40</v>
      </c>
      <c r="C2684">
        <v>0.05</v>
      </c>
    </row>
    <row r="2685" spans="1:3" x14ac:dyDescent="0.3">
      <c r="A2685" t="s">
        <v>4833</v>
      </c>
      <c r="B2685" t="s">
        <v>225</v>
      </c>
      <c r="C2685">
        <v>0.09</v>
      </c>
    </row>
    <row r="2686" spans="1:3" x14ac:dyDescent="0.3">
      <c r="A2686" t="s">
        <v>4833</v>
      </c>
      <c r="B2686" t="s">
        <v>87</v>
      </c>
      <c r="C2686">
        <v>0.02</v>
      </c>
    </row>
    <row r="2687" spans="1:3" x14ac:dyDescent="0.3">
      <c r="A2687" t="s">
        <v>13570</v>
      </c>
      <c r="B2687" t="s">
        <v>29</v>
      </c>
      <c r="C2687">
        <v>0.01</v>
      </c>
    </row>
    <row r="2688" spans="1:3" x14ac:dyDescent="0.3">
      <c r="A2688" t="s">
        <v>1634</v>
      </c>
      <c r="B2688" t="s">
        <v>87</v>
      </c>
      <c r="C2688">
        <v>0.03</v>
      </c>
    </row>
    <row r="2689" spans="1:3" x14ac:dyDescent="0.3">
      <c r="A2689" t="s">
        <v>10977</v>
      </c>
      <c r="B2689" t="s">
        <v>87</v>
      </c>
      <c r="C2689">
        <v>0.05</v>
      </c>
    </row>
    <row r="2690" spans="1:3" x14ac:dyDescent="0.3">
      <c r="A2690" t="s">
        <v>9762</v>
      </c>
      <c r="B2690" t="s">
        <v>87</v>
      </c>
      <c r="C2690">
        <v>0.05</v>
      </c>
    </row>
    <row r="2691" spans="1:3" x14ac:dyDescent="0.3">
      <c r="A2691" t="s">
        <v>9762</v>
      </c>
      <c r="B2691" t="s">
        <v>87</v>
      </c>
      <c r="C2691">
        <v>0.08</v>
      </c>
    </row>
    <row r="2692" spans="1:3" x14ac:dyDescent="0.3">
      <c r="A2692" t="s">
        <v>11258</v>
      </c>
      <c r="B2692" t="s">
        <v>87</v>
      </c>
      <c r="C2692">
        <v>0.03</v>
      </c>
    </row>
    <row r="2693" spans="1:3" x14ac:dyDescent="0.3">
      <c r="A2693" t="s">
        <v>4997</v>
      </c>
      <c r="B2693" t="s">
        <v>40</v>
      </c>
      <c r="C2693">
        <v>0.05</v>
      </c>
    </row>
    <row r="2694" spans="1:3" x14ac:dyDescent="0.3">
      <c r="A2694" t="s">
        <v>4997</v>
      </c>
      <c r="B2694" t="s">
        <v>40</v>
      </c>
      <c r="C2694">
        <v>7.0000000000000007E-2</v>
      </c>
    </row>
    <row r="2695" spans="1:3" x14ac:dyDescent="0.3">
      <c r="A2695" t="s">
        <v>6390</v>
      </c>
      <c r="B2695" t="s">
        <v>87</v>
      </c>
      <c r="C2695">
        <v>0.05</v>
      </c>
    </row>
    <row r="2696" spans="1:3" x14ac:dyDescent="0.3">
      <c r="A2696" t="s">
        <v>14606</v>
      </c>
      <c r="B2696" t="s">
        <v>29</v>
      </c>
      <c r="C2696">
        <v>0.1</v>
      </c>
    </row>
    <row r="2697" spans="1:3" x14ac:dyDescent="0.3">
      <c r="A2697" t="s">
        <v>1999</v>
      </c>
      <c r="B2697" t="s">
        <v>64</v>
      </c>
      <c r="C2697">
        <v>0.02</v>
      </c>
    </row>
    <row r="2698" spans="1:3" x14ac:dyDescent="0.3">
      <c r="A2698" t="s">
        <v>1999</v>
      </c>
      <c r="B2698" t="s">
        <v>64</v>
      </c>
      <c r="C2698">
        <v>0.03</v>
      </c>
    </row>
    <row r="2699" spans="1:3" x14ac:dyDescent="0.3">
      <c r="A2699" t="s">
        <v>1999</v>
      </c>
      <c r="B2699" t="s">
        <v>64</v>
      </c>
      <c r="C2699">
        <v>0.04</v>
      </c>
    </row>
    <row r="2700" spans="1:3" x14ac:dyDescent="0.3">
      <c r="A2700" t="s">
        <v>3520</v>
      </c>
      <c r="B2700" t="s">
        <v>87</v>
      </c>
      <c r="C2700">
        <v>0.01</v>
      </c>
    </row>
    <row r="2701" spans="1:3" x14ac:dyDescent="0.3">
      <c r="A2701" t="s">
        <v>15144</v>
      </c>
      <c r="B2701" t="s">
        <v>29</v>
      </c>
      <c r="C2701">
        <v>0.1</v>
      </c>
    </row>
    <row r="2702" spans="1:3" x14ac:dyDescent="0.3">
      <c r="A2702" t="s">
        <v>15753</v>
      </c>
      <c r="B2702" t="s">
        <v>29</v>
      </c>
      <c r="C2702">
        <v>0.02</v>
      </c>
    </row>
    <row r="2703" spans="1:3" x14ac:dyDescent="0.3">
      <c r="A2703" t="s">
        <v>15753</v>
      </c>
      <c r="B2703" t="s">
        <v>29</v>
      </c>
      <c r="C2703">
        <v>0.05</v>
      </c>
    </row>
    <row r="2704" spans="1:3" x14ac:dyDescent="0.3">
      <c r="A2704" t="s">
        <v>8863</v>
      </c>
      <c r="B2704" t="s">
        <v>40</v>
      </c>
      <c r="C2704">
        <v>0.09</v>
      </c>
    </row>
    <row r="2705" spans="1:3" x14ac:dyDescent="0.3">
      <c r="A2705" t="s">
        <v>8863</v>
      </c>
      <c r="B2705" t="s">
        <v>29</v>
      </c>
      <c r="C2705">
        <v>7.0000000000000007E-2</v>
      </c>
    </row>
    <row r="2706" spans="1:3" x14ac:dyDescent="0.3">
      <c r="A2706" t="s">
        <v>8863</v>
      </c>
      <c r="B2706" t="s">
        <v>87</v>
      </c>
      <c r="C2706">
        <v>0.08</v>
      </c>
    </row>
    <row r="2707" spans="1:3" x14ac:dyDescent="0.3">
      <c r="A2707" t="s">
        <v>7723</v>
      </c>
      <c r="B2707" t="s">
        <v>40</v>
      </c>
      <c r="C2707">
        <v>0.1</v>
      </c>
    </row>
    <row r="2708" spans="1:3" x14ac:dyDescent="0.3">
      <c r="A2708" t="s">
        <v>14687</v>
      </c>
      <c r="B2708" t="s">
        <v>225</v>
      </c>
      <c r="C2708">
        <v>0.03</v>
      </c>
    </row>
    <row r="2709" spans="1:3" x14ac:dyDescent="0.3">
      <c r="A2709" t="s">
        <v>13281</v>
      </c>
      <c r="B2709" t="s">
        <v>225</v>
      </c>
      <c r="C2709">
        <v>0.05</v>
      </c>
    </row>
    <row r="2710" spans="1:3" x14ac:dyDescent="0.3">
      <c r="A2710" t="s">
        <v>6053</v>
      </c>
      <c r="B2710" t="s">
        <v>53</v>
      </c>
      <c r="C2710">
        <v>0.01</v>
      </c>
    </row>
    <row r="2711" spans="1:3" x14ac:dyDescent="0.3">
      <c r="A2711" t="s">
        <v>6053</v>
      </c>
      <c r="B2711" t="s">
        <v>53</v>
      </c>
      <c r="C2711">
        <v>0.06</v>
      </c>
    </row>
    <row r="2712" spans="1:3" x14ac:dyDescent="0.3">
      <c r="A2712" t="s">
        <v>1677</v>
      </c>
      <c r="B2712" t="s">
        <v>87</v>
      </c>
      <c r="C2712">
        <v>0.05</v>
      </c>
    </row>
    <row r="2713" spans="1:3" x14ac:dyDescent="0.3">
      <c r="A2713" t="s">
        <v>1683</v>
      </c>
      <c r="B2713" t="s">
        <v>64</v>
      </c>
      <c r="C2713">
        <v>0.01</v>
      </c>
    </row>
    <row r="2714" spans="1:3" x14ac:dyDescent="0.3">
      <c r="A2714" t="s">
        <v>11709</v>
      </c>
      <c r="B2714" t="s">
        <v>87</v>
      </c>
      <c r="C2714">
        <v>0.04</v>
      </c>
    </row>
    <row r="2715" spans="1:3" x14ac:dyDescent="0.3">
      <c r="A2715" t="s">
        <v>1713</v>
      </c>
      <c r="B2715" t="s">
        <v>29</v>
      </c>
      <c r="C2715">
        <v>0.01</v>
      </c>
    </row>
    <row r="2716" spans="1:3" x14ac:dyDescent="0.3">
      <c r="A2716" t="s">
        <v>4431</v>
      </c>
      <c r="B2716" t="s">
        <v>29</v>
      </c>
      <c r="C2716">
        <v>0.04</v>
      </c>
    </row>
    <row r="2717" spans="1:3" x14ac:dyDescent="0.3">
      <c r="A2717" t="s">
        <v>4431</v>
      </c>
      <c r="B2717" t="s">
        <v>29</v>
      </c>
      <c r="C2717">
        <v>0.06</v>
      </c>
    </row>
    <row r="2718" spans="1:3" x14ac:dyDescent="0.3">
      <c r="A2718" t="s">
        <v>8279</v>
      </c>
      <c r="B2718" t="s">
        <v>29</v>
      </c>
      <c r="C2718">
        <v>0.02</v>
      </c>
    </row>
    <row r="2719" spans="1:3" x14ac:dyDescent="0.3">
      <c r="A2719" t="s">
        <v>5049</v>
      </c>
      <c r="B2719" t="s">
        <v>29</v>
      </c>
      <c r="C2719">
        <v>0.09</v>
      </c>
    </row>
    <row r="2720" spans="1:3" x14ac:dyDescent="0.3">
      <c r="A2720" t="s">
        <v>5049</v>
      </c>
      <c r="B2720" t="s">
        <v>53</v>
      </c>
      <c r="C2720">
        <v>0.1</v>
      </c>
    </row>
    <row r="2721" spans="1:3" x14ac:dyDescent="0.3">
      <c r="A2721" t="s">
        <v>7024</v>
      </c>
      <c r="B2721" t="s">
        <v>29</v>
      </c>
      <c r="C2721">
        <v>7.0000000000000007E-2</v>
      </c>
    </row>
    <row r="2722" spans="1:3" x14ac:dyDescent="0.3">
      <c r="A2722" t="s">
        <v>9625</v>
      </c>
      <c r="B2722" t="s">
        <v>87</v>
      </c>
      <c r="C2722">
        <v>0.02</v>
      </c>
    </row>
    <row r="2723" spans="1:3" x14ac:dyDescent="0.3">
      <c r="A2723" t="s">
        <v>9625</v>
      </c>
      <c r="B2723" t="s">
        <v>87</v>
      </c>
      <c r="C2723">
        <v>0.06</v>
      </c>
    </row>
    <row r="2724" spans="1:3" x14ac:dyDescent="0.3">
      <c r="A2724" t="s">
        <v>14013</v>
      </c>
      <c r="B2724" t="s">
        <v>29</v>
      </c>
      <c r="C2724">
        <v>0.05</v>
      </c>
    </row>
    <row r="2725" spans="1:3" x14ac:dyDescent="0.3">
      <c r="A2725" t="s">
        <v>10736</v>
      </c>
      <c r="B2725" t="s">
        <v>64</v>
      </c>
      <c r="C2725">
        <v>7.0000000000000007E-2</v>
      </c>
    </row>
    <row r="2726" spans="1:3" x14ac:dyDescent="0.3">
      <c r="A2726" t="s">
        <v>10736</v>
      </c>
      <c r="B2726" t="s">
        <v>64</v>
      </c>
      <c r="C2726">
        <v>0.09</v>
      </c>
    </row>
    <row r="2727" spans="1:3" x14ac:dyDescent="0.3">
      <c r="A2727" t="s">
        <v>1756</v>
      </c>
      <c r="B2727" t="s">
        <v>29</v>
      </c>
      <c r="C2727">
        <v>0.04</v>
      </c>
    </row>
    <row r="2728" spans="1:3" x14ac:dyDescent="0.3">
      <c r="A2728" t="s">
        <v>8273</v>
      </c>
      <c r="B2728" t="s">
        <v>29</v>
      </c>
      <c r="C2728">
        <v>0.05</v>
      </c>
    </row>
    <row r="2729" spans="1:3" x14ac:dyDescent="0.3">
      <c r="A2729" t="s">
        <v>6276</v>
      </c>
      <c r="B2729" t="s">
        <v>29</v>
      </c>
      <c r="C2729">
        <v>0</v>
      </c>
    </row>
    <row r="2730" spans="1:3" x14ac:dyDescent="0.3">
      <c r="A2730" t="s">
        <v>6276</v>
      </c>
      <c r="B2730" t="s">
        <v>29</v>
      </c>
      <c r="C2730">
        <v>0.03</v>
      </c>
    </row>
    <row r="2731" spans="1:3" x14ac:dyDescent="0.3">
      <c r="A2731" t="s">
        <v>9049</v>
      </c>
      <c r="B2731" t="s">
        <v>64</v>
      </c>
      <c r="C2731">
        <v>0.05</v>
      </c>
    </row>
    <row r="2732" spans="1:3" x14ac:dyDescent="0.3">
      <c r="A2732" t="s">
        <v>9049</v>
      </c>
      <c r="B2732" t="s">
        <v>64</v>
      </c>
      <c r="C2732">
        <v>7.0000000000000007E-2</v>
      </c>
    </row>
    <row r="2733" spans="1:3" x14ac:dyDescent="0.3">
      <c r="A2733" t="s">
        <v>1758</v>
      </c>
      <c r="B2733" t="s">
        <v>87</v>
      </c>
      <c r="C2733">
        <v>0.01</v>
      </c>
    </row>
    <row r="2734" spans="1:3" x14ac:dyDescent="0.3">
      <c r="A2734" t="s">
        <v>6411</v>
      </c>
      <c r="B2734" t="s">
        <v>64</v>
      </c>
      <c r="C2734">
        <v>0.01</v>
      </c>
    </row>
    <row r="2735" spans="1:3" x14ac:dyDescent="0.3">
      <c r="A2735" t="s">
        <v>6411</v>
      </c>
      <c r="B2735" t="s">
        <v>64</v>
      </c>
      <c r="C2735">
        <v>0.03</v>
      </c>
    </row>
    <row r="2736" spans="1:3" x14ac:dyDescent="0.3">
      <c r="A2736" t="s">
        <v>1770</v>
      </c>
      <c r="B2736" t="s">
        <v>29</v>
      </c>
      <c r="C2736">
        <v>0.08</v>
      </c>
    </row>
    <row r="2737" spans="1:3" x14ac:dyDescent="0.3">
      <c r="A2737" t="s">
        <v>10602</v>
      </c>
      <c r="B2737" t="s">
        <v>87</v>
      </c>
      <c r="C2737">
        <v>0.01</v>
      </c>
    </row>
    <row r="2738" spans="1:3" x14ac:dyDescent="0.3">
      <c r="A2738" t="s">
        <v>11299</v>
      </c>
      <c r="B2738" t="s">
        <v>87</v>
      </c>
      <c r="C2738">
        <v>0.01</v>
      </c>
    </row>
    <row r="2739" spans="1:3" x14ac:dyDescent="0.3">
      <c r="A2739" t="s">
        <v>1785</v>
      </c>
      <c r="B2739" t="s">
        <v>225</v>
      </c>
      <c r="C2739">
        <v>0</v>
      </c>
    </row>
    <row r="2740" spans="1:3" x14ac:dyDescent="0.3">
      <c r="A2740" t="s">
        <v>1785</v>
      </c>
      <c r="B2740" t="s">
        <v>225</v>
      </c>
      <c r="C2740">
        <v>0.04</v>
      </c>
    </row>
    <row r="2741" spans="1:3" x14ac:dyDescent="0.3">
      <c r="A2741" t="s">
        <v>14392</v>
      </c>
      <c r="B2741" t="s">
        <v>53</v>
      </c>
      <c r="C2741">
        <v>0.01</v>
      </c>
    </row>
    <row r="2742" spans="1:3" x14ac:dyDescent="0.3">
      <c r="A2742" t="s">
        <v>9414</v>
      </c>
      <c r="B2742" t="s">
        <v>87</v>
      </c>
      <c r="C2742">
        <v>0.09</v>
      </c>
    </row>
    <row r="2743" spans="1:3" x14ac:dyDescent="0.3">
      <c r="A2743" t="s">
        <v>1791</v>
      </c>
      <c r="B2743" t="s">
        <v>225</v>
      </c>
      <c r="C2743">
        <v>0.01</v>
      </c>
    </row>
    <row r="2744" spans="1:3" x14ac:dyDescent="0.3">
      <c r="A2744" t="s">
        <v>1791</v>
      </c>
      <c r="B2744" t="s">
        <v>225</v>
      </c>
      <c r="C2744">
        <v>0.1</v>
      </c>
    </row>
    <row r="2745" spans="1:3" x14ac:dyDescent="0.3">
      <c r="A2745" t="s">
        <v>1791</v>
      </c>
      <c r="B2745" t="s">
        <v>87</v>
      </c>
      <c r="C2745">
        <v>0.01</v>
      </c>
    </row>
    <row r="2746" spans="1:3" x14ac:dyDescent="0.3">
      <c r="A2746" t="s">
        <v>13248</v>
      </c>
      <c r="B2746" t="s">
        <v>53</v>
      </c>
      <c r="C2746">
        <v>0.05</v>
      </c>
    </row>
    <row r="2747" spans="1:3" x14ac:dyDescent="0.3">
      <c r="A2747" t="s">
        <v>6966</v>
      </c>
      <c r="B2747" t="s">
        <v>29</v>
      </c>
      <c r="C2747">
        <v>0.1</v>
      </c>
    </row>
    <row r="2748" spans="1:3" x14ac:dyDescent="0.3">
      <c r="A2748" t="s">
        <v>1808</v>
      </c>
      <c r="B2748" t="s">
        <v>87</v>
      </c>
      <c r="C2748">
        <v>0.1</v>
      </c>
    </row>
    <row r="2749" spans="1:3" x14ac:dyDescent="0.3">
      <c r="A2749" t="s">
        <v>15379</v>
      </c>
      <c r="B2749" t="s">
        <v>29</v>
      </c>
      <c r="C2749">
        <v>0.1</v>
      </c>
    </row>
    <row r="2750" spans="1:3" x14ac:dyDescent="0.3">
      <c r="A2750" t="s">
        <v>11814</v>
      </c>
      <c r="B2750" t="s">
        <v>87</v>
      </c>
      <c r="C2750">
        <v>0.02</v>
      </c>
    </row>
    <row r="2751" spans="1:3" x14ac:dyDescent="0.3">
      <c r="A2751" t="s">
        <v>8028</v>
      </c>
      <c r="B2751" t="s">
        <v>64</v>
      </c>
      <c r="C2751">
        <v>0</v>
      </c>
    </row>
    <row r="2752" spans="1:3" x14ac:dyDescent="0.3">
      <c r="A2752" t="s">
        <v>14650</v>
      </c>
      <c r="B2752" t="s">
        <v>29</v>
      </c>
      <c r="C2752">
        <v>0.1</v>
      </c>
    </row>
    <row r="2753" spans="1:3" x14ac:dyDescent="0.3">
      <c r="A2753" t="s">
        <v>2463</v>
      </c>
      <c r="B2753" t="s">
        <v>40</v>
      </c>
      <c r="C2753">
        <v>0.06</v>
      </c>
    </row>
    <row r="2754" spans="1:3" x14ac:dyDescent="0.3">
      <c r="A2754" t="s">
        <v>13256</v>
      </c>
      <c r="B2754" t="s">
        <v>40</v>
      </c>
      <c r="C2754">
        <v>0.03</v>
      </c>
    </row>
    <row r="2755" spans="1:3" x14ac:dyDescent="0.3">
      <c r="A2755" t="s">
        <v>13256</v>
      </c>
      <c r="B2755" t="s">
        <v>40</v>
      </c>
      <c r="C2755">
        <v>0.04</v>
      </c>
    </row>
    <row r="2756" spans="1:3" x14ac:dyDescent="0.3">
      <c r="A2756" t="s">
        <v>13256</v>
      </c>
      <c r="B2756" t="s">
        <v>40</v>
      </c>
      <c r="C2756">
        <v>0.05</v>
      </c>
    </row>
    <row r="2757" spans="1:3" x14ac:dyDescent="0.3">
      <c r="A2757" t="s">
        <v>8180</v>
      </c>
      <c r="B2757" t="s">
        <v>64</v>
      </c>
      <c r="C2757">
        <v>0.02</v>
      </c>
    </row>
    <row r="2758" spans="1:3" x14ac:dyDescent="0.3">
      <c r="A2758" t="s">
        <v>10577</v>
      </c>
      <c r="B2758" t="s">
        <v>64</v>
      </c>
      <c r="C2758">
        <v>0.05</v>
      </c>
    </row>
    <row r="2759" spans="1:3" x14ac:dyDescent="0.3">
      <c r="A2759" t="s">
        <v>7217</v>
      </c>
      <c r="B2759" t="s">
        <v>53</v>
      </c>
      <c r="C2759">
        <v>0.03</v>
      </c>
    </row>
    <row r="2760" spans="1:3" x14ac:dyDescent="0.3">
      <c r="A2760" t="s">
        <v>7217</v>
      </c>
      <c r="B2760" t="s">
        <v>53</v>
      </c>
      <c r="C2760">
        <v>0.1</v>
      </c>
    </row>
    <row r="2761" spans="1:3" x14ac:dyDescent="0.3">
      <c r="A2761" t="s">
        <v>6428</v>
      </c>
      <c r="B2761" t="s">
        <v>53</v>
      </c>
      <c r="C2761">
        <v>0.02</v>
      </c>
    </row>
    <row r="2762" spans="1:3" x14ac:dyDescent="0.3">
      <c r="A2762" t="s">
        <v>11109</v>
      </c>
      <c r="B2762" t="s">
        <v>87</v>
      </c>
      <c r="C2762">
        <v>0.02</v>
      </c>
    </row>
    <row r="2763" spans="1:3" x14ac:dyDescent="0.3">
      <c r="A2763" t="s">
        <v>1824</v>
      </c>
      <c r="B2763" t="s">
        <v>40</v>
      </c>
      <c r="C2763">
        <v>0.09</v>
      </c>
    </row>
    <row r="2764" spans="1:3" x14ac:dyDescent="0.3">
      <c r="A2764" t="s">
        <v>1829</v>
      </c>
      <c r="B2764" t="s">
        <v>225</v>
      </c>
      <c r="C2764">
        <v>0.09</v>
      </c>
    </row>
    <row r="2765" spans="1:3" x14ac:dyDescent="0.3">
      <c r="A2765" t="s">
        <v>7698</v>
      </c>
      <c r="B2765" t="s">
        <v>29</v>
      </c>
      <c r="C2765">
        <v>0.06</v>
      </c>
    </row>
    <row r="2766" spans="1:3" x14ac:dyDescent="0.3">
      <c r="A2766" t="s">
        <v>7698</v>
      </c>
      <c r="B2766" t="s">
        <v>29</v>
      </c>
      <c r="C2766">
        <v>7.0000000000000007E-2</v>
      </c>
    </row>
    <row r="2767" spans="1:3" x14ac:dyDescent="0.3">
      <c r="A2767" t="s">
        <v>12829</v>
      </c>
      <c r="B2767" t="s">
        <v>225</v>
      </c>
      <c r="C2767">
        <v>0.04</v>
      </c>
    </row>
    <row r="2768" spans="1:3" x14ac:dyDescent="0.3">
      <c r="A2768" t="s">
        <v>12829</v>
      </c>
      <c r="B2768" t="s">
        <v>87</v>
      </c>
      <c r="C2768">
        <v>0.01</v>
      </c>
    </row>
    <row r="2769" spans="1:3" x14ac:dyDescent="0.3">
      <c r="A2769" t="s">
        <v>9906</v>
      </c>
      <c r="B2769" t="s">
        <v>40</v>
      </c>
      <c r="C2769">
        <v>0.1</v>
      </c>
    </row>
    <row r="2770" spans="1:3" x14ac:dyDescent="0.3">
      <c r="A2770" t="s">
        <v>4914</v>
      </c>
      <c r="B2770" t="s">
        <v>53</v>
      </c>
      <c r="C2770">
        <v>0.03</v>
      </c>
    </row>
    <row r="2771" spans="1:3" x14ac:dyDescent="0.3">
      <c r="A2771" t="s">
        <v>1835</v>
      </c>
      <c r="B2771" t="s">
        <v>40</v>
      </c>
      <c r="C2771">
        <v>0.08</v>
      </c>
    </row>
    <row r="2772" spans="1:3" x14ac:dyDescent="0.3">
      <c r="A2772" t="s">
        <v>3953</v>
      </c>
      <c r="B2772" t="s">
        <v>40</v>
      </c>
      <c r="C2772">
        <v>0.02</v>
      </c>
    </row>
    <row r="2773" spans="1:3" x14ac:dyDescent="0.3">
      <c r="A2773" t="s">
        <v>8860</v>
      </c>
      <c r="B2773" t="s">
        <v>53</v>
      </c>
      <c r="C2773">
        <v>0.03</v>
      </c>
    </row>
    <row r="2774" spans="1:3" x14ac:dyDescent="0.3">
      <c r="A2774" t="s">
        <v>8860</v>
      </c>
      <c r="B2774" t="s">
        <v>53</v>
      </c>
      <c r="C2774">
        <v>0.04</v>
      </c>
    </row>
    <row r="2775" spans="1:3" x14ac:dyDescent="0.3">
      <c r="A2775" t="s">
        <v>5859</v>
      </c>
      <c r="B2775" t="s">
        <v>40</v>
      </c>
      <c r="C2775">
        <v>7.0000000000000007E-2</v>
      </c>
    </row>
    <row r="2776" spans="1:3" x14ac:dyDescent="0.3">
      <c r="A2776" t="s">
        <v>10826</v>
      </c>
      <c r="B2776" t="s">
        <v>40</v>
      </c>
      <c r="C2776">
        <v>0.03</v>
      </c>
    </row>
    <row r="2777" spans="1:3" x14ac:dyDescent="0.3">
      <c r="A2777" t="s">
        <v>1848</v>
      </c>
      <c r="B2777" t="s">
        <v>40</v>
      </c>
      <c r="C2777">
        <v>0.01</v>
      </c>
    </row>
    <row r="2778" spans="1:3" x14ac:dyDescent="0.3">
      <c r="A2778" t="s">
        <v>14062</v>
      </c>
      <c r="B2778" t="s">
        <v>225</v>
      </c>
      <c r="C2778">
        <v>0.06</v>
      </c>
    </row>
    <row r="2779" spans="1:3" x14ac:dyDescent="0.3">
      <c r="A2779" t="s">
        <v>14505</v>
      </c>
      <c r="B2779" t="s">
        <v>29</v>
      </c>
      <c r="C2779">
        <v>0.08</v>
      </c>
    </row>
    <row r="2780" spans="1:3" x14ac:dyDescent="0.3">
      <c r="A2780" t="s">
        <v>4507</v>
      </c>
      <c r="B2780" t="s">
        <v>87</v>
      </c>
      <c r="C2780">
        <v>0</v>
      </c>
    </row>
    <row r="2781" spans="1:3" x14ac:dyDescent="0.3">
      <c r="A2781" t="s">
        <v>4507</v>
      </c>
      <c r="B2781" t="s">
        <v>87</v>
      </c>
      <c r="C2781">
        <v>0.05</v>
      </c>
    </row>
    <row r="2782" spans="1:3" x14ac:dyDescent="0.3">
      <c r="A2782" t="s">
        <v>1862</v>
      </c>
      <c r="B2782" t="s">
        <v>64</v>
      </c>
      <c r="C2782">
        <v>0.01</v>
      </c>
    </row>
    <row r="2783" spans="1:3" x14ac:dyDescent="0.3">
      <c r="A2783" t="s">
        <v>1862</v>
      </c>
      <c r="B2783" t="s">
        <v>64</v>
      </c>
      <c r="C2783">
        <v>0.06</v>
      </c>
    </row>
    <row r="2784" spans="1:3" x14ac:dyDescent="0.3">
      <c r="A2784" t="s">
        <v>6780</v>
      </c>
      <c r="B2784" t="s">
        <v>40</v>
      </c>
      <c r="C2784">
        <v>0.01</v>
      </c>
    </row>
    <row r="2785" spans="1:3" x14ac:dyDescent="0.3">
      <c r="A2785" t="s">
        <v>6780</v>
      </c>
      <c r="B2785" t="s">
        <v>40</v>
      </c>
      <c r="C2785">
        <v>0.06</v>
      </c>
    </row>
    <row r="2786" spans="1:3" x14ac:dyDescent="0.3">
      <c r="A2786" t="s">
        <v>8467</v>
      </c>
      <c r="B2786" t="s">
        <v>53</v>
      </c>
      <c r="C2786">
        <v>0.08</v>
      </c>
    </row>
    <row r="2787" spans="1:3" x14ac:dyDescent="0.3">
      <c r="A2787" t="s">
        <v>7317</v>
      </c>
      <c r="B2787" t="s">
        <v>53</v>
      </c>
      <c r="C2787">
        <v>0.03</v>
      </c>
    </row>
    <row r="2788" spans="1:3" x14ac:dyDescent="0.3">
      <c r="A2788" t="s">
        <v>11054</v>
      </c>
      <c r="B2788" t="s">
        <v>87</v>
      </c>
      <c r="C2788">
        <v>0</v>
      </c>
    </row>
    <row r="2789" spans="1:3" x14ac:dyDescent="0.3">
      <c r="A2789" t="s">
        <v>14907</v>
      </c>
      <c r="B2789" t="s">
        <v>87</v>
      </c>
      <c r="C2789">
        <v>0.03</v>
      </c>
    </row>
    <row r="2790" spans="1:3" x14ac:dyDescent="0.3">
      <c r="A2790" t="s">
        <v>14921</v>
      </c>
      <c r="B2790" t="s">
        <v>225</v>
      </c>
      <c r="C2790">
        <v>0.04</v>
      </c>
    </row>
    <row r="2791" spans="1:3" x14ac:dyDescent="0.3">
      <c r="A2791" t="s">
        <v>14921</v>
      </c>
      <c r="B2791" t="s">
        <v>87</v>
      </c>
      <c r="C2791">
        <v>0.08</v>
      </c>
    </row>
    <row r="2792" spans="1:3" x14ac:dyDescent="0.3">
      <c r="A2792" t="s">
        <v>12825</v>
      </c>
      <c r="B2792" t="s">
        <v>225</v>
      </c>
      <c r="C2792">
        <v>0</v>
      </c>
    </row>
    <row r="2793" spans="1:3" x14ac:dyDescent="0.3">
      <c r="A2793" t="s">
        <v>12825</v>
      </c>
      <c r="B2793" t="s">
        <v>225</v>
      </c>
      <c r="C2793">
        <v>0.04</v>
      </c>
    </row>
    <row r="2794" spans="1:3" x14ac:dyDescent="0.3">
      <c r="A2794" t="s">
        <v>12706</v>
      </c>
      <c r="B2794" t="s">
        <v>225</v>
      </c>
      <c r="C2794">
        <v>0.03</v>
      </c>
    </row>
    <row r="2795" spans="1:3" x14ac:dyDescent="0.3">
      <c r="A2795" t="s">
        <v>12706</v>
      </c>
      <c r="B2795" t="s">
        <v>53</v>
      </c>
      <c r="C2795">
        <v>0.04</v>
      </c>
    </row>
    <row r="2796" spans="1:3" x14ac:dyDescent="0.3">
      <c r="A2796" t="s">
        <v>12606</v>
      </c>
      <c r="B2796" t="s">
        <v>40</v>
      </c>
      <c r="C2796">
        <v>0.08</v>
      </c>
    </row>
    <row r="2797" spans="1:3" x14ac:dyDescent="0.3">
      <c r="A2797" t="s">
        <v>12606</v>
      </c>
      <c r="B2797" t="s">
        <v>53</v>
      </c>
      <c r="C2797">
        <v>0.04</v>
      </c>
    </row>
    <row r="2798" spans="1:3" x14ac:dyDescent="0.3">
      <c r="A2798" t="s">
        <v>8278</v>
      </c>
      <c r="B2798" t="s">
        <v>40</v>
      </c>
      <c r="C2798">
        <v>0.04</v>
      </c>
    </row>
    <row r="2799" spans="1:3" x14ac:dyDescent="0.3">
      <c r="A2799" t="s">
        <v>7489</v>
      </c>
      <c r="B2799" t="s">
        <v>40</v>
      </c>
      <c r="C2799">
        <v>0.04</v>
      </c>
    </row>
    <row r="2800" spans="1:3" x14ac:dyDescent="0.3">
      <c r="A2800" t="s">
        <v>7489</v>
      </c>
      <c r="B2800" t="s">
        <v>29</v>
      </c>
      <c r="C2800">
        <v>0.06</v>
      </c>
    </row>
    <row r="2801" spans="1:3" x14ac:dyDescent="0.3">
      <c r="A2801" t="s">
        <v>1898</v>
      </c>
      <c r="B2801" t="s">
        <v>40</v>
      </c>
      <c r="C2801">
        <v>0.08</v>
      </c>
    </row>
    <row r="2802" spans="1:3" x14ac:dyDescent="0.3">
      <c r="A2802" t="s">
        <v>15812</v>
      </c>
      <c r="B2802" t="s">
        <v>53</v>
      </c>
      <c r="C2802">
        <v>0.01</v>
      </c>
    </row>
    <row r="2803" spans="1:3" x14ac:dyDescent="0.3">
      <c r="A2803" t="s">
        <v>3806</v>
      </c>
      <c r="B2803" t="s">
        <v>87</v>
      </c>
      <c r="C2803">
        <v>0.01</v>
      </c>
    </row>
    <row r="2804" spans="1:3" x14ac:dyDescent="0.3">
      <c r="A2804" t="s">
        <v>3806</v>
      </c>
      <c r="B2804" t="s">
        <v>87</v>
      </c>
      <c r="C2804">
        <v>0.03</v>
      </c>
    </row>
    <row r="2805" spans="1:3" x14ac:dyDescent="0.3">
      <c r="A2805" t="s">
        <v>12848</v>
      </c>
      <c r="B2805" t="s">
        <v>87</v>
      </c>
      <c r="C2805">
        <v>0.03</v>
      </c>
    </row>
    <row r="2806" spans="1:3" x14ac:dyDescent="0.3">
      <c r="A2806" t="s">
        <v>14044</v>
      </c>
      <c r="B2806" t="s">
        <v>87</v>
      </c>
      <c r="C2806">
        <v>0.01</v>
      </c>
    </row>
    <row r="2807" spans="1:3" x14ac:dyDescent="0.3">
      <c r="A2807" t="s">
        <v>14675</v>
      </c>
      <c r="B2807" t="s">
        <v>53</v>
      </c>
      <c r="C2807">
        <v>0.06</v>
      </c>
    </row>
    <row r="2808" spans="1:3" x14ac:dyDescent="0.3">
      <c r="A2808" t="s">
        <v>1913</v>
      </c>
      <c r="B2808" t="s">
        <v>53</v>
      </c>
      <c r="C2808">
        <v>0.01</v>
      </c>
    </row>
    <row r="2809" spans="1:3" x14ac:dyDescent="0.3">
      <c r="A2809" t="s">
        <v>1913</v>
      </c>
      <c r="B2809" t="s">
        <v>53</v>
      </c>
      <c r="C2809">
        <v>0.04</v>
      </c>
    </row>
    <row r="2810" spans="1:3" x14ac:dyDescent="0.3">
      <c r="A2810" t="s">
        <v>2032</v>
      </c>
      <c r="B2810" t="s">
        <v>53</v>
      </c>
      <c r="C2810">
        <v>0</v>
      </c>
    </row>
    <row r="2811" spans="1:3" x14ac:dyDescent="0.3">
      <c r="A2811" t="s">
        <v>8881</v>
      </c>
      <c r="B2811" t="s">
        <v>40</v>
      </c>
      <c r="C2811">
        <v>0</v>
      </c>
    </row>
    <row r="2812" spans="1:3" x14ac:dyDescent="0.3">
      <c r="A2812" t="s">
        <v>8881</v>
      </c>
      <c r="B2812" t="s">
        <v>40</v>
      </c>
      <c r="C2812">
        <v>0.01</v>
      </c>
    </row>
    <row r="2813" spans="1:3" x14ac:dyDescent="0.3">
      <c r="A2813" t="s">
        <v>8881</v>
      </c>
      <c r="B2813" t="s">
        <v>40</v>
      </c>
      <c r="C2813">
        <v>0.08</v>
      </c>
    </row>
    <row r="2814" spans="1:3" x14ac:dyDescent="0.3">
      <c r="A2814" t="s">
        <v>13633</v>
      </c>
      <c r="B2814" t="s">
        <v>29</v>
      </c>
      <c r="C2814">
        <v>0.01</v>
      </c>
    </row>
    <row r="2815" spans="1:3" x14ac:dyDescent="0.3">
      <c r="A2815" t="s">
        <v>1919</v>
      </c>
      <c r="B2815" t="s">
        <v>29</v>
      </c>
      <c r="C2815">
        <v>0.03</v>
      </c>
    </row>
    <row r="2816" spans="1:3" x14ac:dyDescent="0.3">
      <c r="A2816" t="s">
        <v>1919</v>
      </c>
      <c r="B2816" t="s">
        <v>29</v>
      </c>
      <c r="C2816">
        <v>0.1</v>
      </c>
    </row>
    <row r="2817" spans="1:3" x14ac:dyDescent="0.3">
      <c r="A2817" t="s">
        <v>11519</v>
      </c>
      <c r="B2817" t="s">
        <v>40</v>
      </c>
      <c r="C2817">
        <v>0.03</v>
      </c>
    </row>
    <row r="2818" spans="1:3" x14ac:dyDescent="0.3">
      <c r="A2818" t="s">
        <v>2722</v>
      </c>
      <c r="B2818" t="s">
        <v>53</v>
      </c>
      <c r="C2818">
        <v>7.0000000000000007E-2</v>
      </c>
    </row>
    <row r="2819" spans="1:3" x14ac:dyDescent="0.3">
      <c r="A2819" t="s">
        <v>3526</v>
      </c>
      <c r="B2819" t="s">
        <v>53</v>
      </c>
      <c r="C2819">
        <v>0.01</v>
      </c>
    </row>
    <row r="2820" spans="1:3" x14ac:dyDescent="0.3">
      <c r="A2820" t="s">
        <v>12539</v>
      </c>
      <c r="B2820" t="s">
        <v>225</v>
      </c>
      <c r="C2820">
        <v>0.01</v>
      </c>
    </row>
    <row r="2821" spans="1:3" x14ac:dyDescent="0.3">
      <c r="A2821" t="s">
        <v>12539</v>
      </c>
      <c r="B2821" t="s">
        <v>64</v>
      </c>
      <c r="C2821">
        <v>0.09</v>
      </c>
    </row>
    <row r="2822" spans="1:3" x14ac:dyDescent="0.3">
      <c r="A2822" t="s">
        <v>1940</v>
      </c>
      <c r="B2822" t="s">
        <v>40</v>
      </c>
      <c r="C2822">
        <v>0.02</v>
      </c>
    </row>
    <row r="2823" spans="1:3" x14ac:dyDescent="0.3">
      <c r="A2823" t="s">
        <v>1940</v>
      </c>
      <c r="B2823" t="s">
        <v>40</v>
      </c>
      <c r="C2823">
        <v>0.04</v>
      </c>
    </row>
    <row r="2824" spans="1:3" x14ac:dyDescent="0.3">
      <c r="A2824" t="s">
        <v>4338</v>
      </c>
      <c r="B2824" t="s">
        <v>64</v>
      </c>
      <c r="C2824">
        <v>0.04</v>
      </c>
    </row>
    <row r="2825" spans="1:3" x14ac:dyDescent="0.3">
      <c r="A2825" t="s">
        <v>4338</v>
      </c>
      <c r="B2825" t="s">
        <v>64</v>
      </c>
      <c r="C2825">
        <v>0.09</v>
      </c>
    </row>
    <row r="2826" spans="1:3" x14ac:dyDescent="0.3">
      <c r="A2826" t="s">
        <v>9346</v>
      </c>
      <c r="B2826" t="s">
        <v>64</v>
      </c>
      <c r="C2826">
        <v>0.03</v>
      </c>
    </row>
    <row r="2827" spans="1:3" x14ac:dyDescent="0.3">
      <c r="A2827" t="s">
        <v>9346</v>
      </c>
      <c r="B2827" t="s">
        <v>64</v>
      </c>
      <c r="C2827">
        <v>0.06</v>
      </c>
    </row>
    <row r="2828" spans="1:3" x14ac:dyDescent="0.3">
      <c r="A2828" t="s">
        <v>2710</v>
      </c>
      <c r="B2828" t="s">
        <v>64</v>
      </c>
      <c r="C2828">
        <v>0.08</v>
      </c>
    </row>
    <row r="2829" spans="1:3" x14ac:dyDescent="0.3">
      <c r="A2829" t="s">
        <v>14107</v>
      </c>
      <c r="B2829" t="s">
        <v>225</v>
      </c>
      <c r="C2829">
        <v>0.03</v>
      </c>
    </row>
    <row r="2830" spans="1:3" x14ac:dyDescent="0.3">
      <c r="A2830" t="s">
        <v>3945</v>
      </c>
      <c r="B2830" t="s">
        <v>64</v>
      </c>
      <c r="C2830">
        <v>0.04</v>
      </c>
    </row>
    <row r="2831" spans="1:3" x14ac:dyDescent="0.3">
      <c r="A2831" t="s">
        <v>3945</v>
      </c>
      <c r="B2831" t="s">
        <v>64</v>
      </c>
      <c r="C2831">
        <v>0.05</v>
      </c>
    </row>
    <row r="2832" spans="1:3" x14ac:dyDescent="0.3">
      <c r="A2832" t="s">
        <v>2181</v>
      </c>
      <c r="B2832" t="s">
        <v>64</v>
      </c>
      <c r="C2832">
        <v>0.09</v>
      </c>
    </row>
    <row r="2833" spans="1:3" x14ac:dyDescent="0.3">
      <c r="A2833" t="s">
        <v>1952</v>
      </c>
      <c r="B2833" t="s">
        <v>87</v>
      </c>
      <c r="C2833">
        <v>0.08</v>
      </c>
    </row>
    <row r="2834" spans="1:3" x14ac:dyDescent="0.3">
      <c r="A2834" t="s">
        <v>1958</v>
      </c>
      <c r="B2834" t="s">
        <v>29</v>
      </c>
      <c r="C2834">
        <v>0.01</v>
      </c>
    </row>
    <row r="2835" spans="1:3" x14ac:dyDescent="0.3">
      <c r="A2835" t="s">
        <v>1958</v>
      </c>
      <c r="B2835" t="s">
        <v>29</v>
      </c>
      <c r="C2835">
        <v>0.05</v>
      </c>
    </row>
    <row r="2836" spans="1:3" x14ac:dyDescent="0.3">
      <c r="A2836" t="s">
        <v>6442</v>
      </c>
      <c r="B2836" t="s">
        <v>40</v>
      </c>
      <c r="C2836">
        <v>0</v>
      </c>
    </row>
    <row r="2837" spans="1:3" x14ac:dyDescent="0.3">
      <c r="A2837" t="s">
        <v>6442</v>
      </c>
      <c r="B2837" t="s">
        <v>40</v>
      </c>
      <c r="C2837">
        <v>0.01</v>
      </c>
    </row>
    <row r="2838" spans="1:3" x14ac:dyDescent="0.3">
      <c r="A2838" t="s">
        <v>6442</v>
      </c>
      <c r="B2838" t="s">
        <v>40</v>
      </c>
      <c r="C2838">
        <v>7.0000000000000007E-2</v>
      </c>
    </row>
    <row r="2839" spans="1:3" x14ac:dyDescent="0.3">
      <c r="A2839" t="s">
        <v>10825</v>
      </c>
      <c r="B2839" t="s">
        <v>29</v>
      </c>
      <c r="C2839">
        <v>0</v>
      </c>
    </row>
    <row r="2840" spans="1:3" x14ac:dyDescent="0.3">
      <c r="A2840" t="s">
        <v>6093</v>
      </c>
      <c r="B2840" t="s">
        <v>40</v>
      </c>
      <c r="C2840">
        <v>0.04</v>
      </c>
    </row>
    <row r="2841" spans="1:3" x14ac:dyDescent="0.3">
      <c r="A2841" t="s">
        <v>6093</v>
      </c>
      <c r="B2841" t="s">
        <v>40</v>
      </c>
      <c r="C2841">
        <v>0.05</v>
      </c>
    </row>
    <row r="2842" spans="1:3" x14ac:dyDescent="0.3">
      <c r="A2842" t="s">
        <v>6093</v>
      </c>
      <c r="B2842" t="s">
        <v>40</v>
      </c>
      <c r="C2842">
        <v>0.06</v>
      </c>
    </row>
    <row r="2843" spans="1:3" x14ac:dyDescent="0.3">
      <c r="A2843" t="s">
        <v>8923</v>
      </c>
      <c r="B2843" t="s">
        <v>29</v>
      </c>
      <c r="C2843">
        <v>0</v>
      </c>
    </row>
    <row r="2844" spans="1:3" x14ac:dyDescent="0.3">
      <c r="A2844" t="s">
        <v>8923</v>
      </c>
      <c r="B2844" t="s">
        <v>29</v>
      </c>
      <c r="C2844">
        <v>0.06</v>
      </c>
    </row>
    <row r="2845" spans="1:3" x14ac:dyDescent="0.3">
      <c r="A2845" t="s">
        <v>8290</v>
      </c>
      <c r="B2845" t="s">
        <v>29</v>
      </c>
      <c r="C2845">
        <v>0.09</v>
      </c>
    </row>
    <row r="2846" spans="1:3" x14ac:dyDescent="0.3">
      <c r="A2846" t="s">
        <v>8290</v>
      </c>
      <c r="B2846" t="s">
        <v>53</v>
      </c>
      <c r="C2846">
        <v>0.03</v>
      </c>
    </row>
    <row r="2847" spans="1:3" x14ac:dyDescent="0.3">
      <c r="A2847" t="s">
        <v>13608</v>
      </c>
      <c r="B2847" t="s">
        <v>40</v>
      </c>
      <c r="C2847">
        <v>0.08</v>
      </c>
    </row>
    <row r="2848" spans="1:3" x14ac:dyDescent="0.3">
      <c r="A2848" t="s">
        <v>1986</v>
      </c>
      <c r="B2848" t="s">
        <v>40</v>
      </c>
      <c r="C2848">
        <v>0.02</v>
      </c>
    </row>
    <row r="2849" spans="1:3" x14ac:dyDescent="0.3">
      <c r="A2849" t="s">
        <v>10238</v>
      </c>
      <c r="B2849" t="s">
        <v>29</v>
      </c>
      <c r="C2849">
        <v>0.02</v>
      </c>
    </row>
    <row r="2850" spans="1:3" x14ac:dyDescent="0.3">
      <c r="A2850" t="s">
        <v>2470</v>
      </c>
      <c r="B2850" t="s">
        <v>87</v>
      </c>
      <c r="C2850">
        <v>0.05</v>
      </c>
    </row>
    <row r="2851" spans="1:3" x14ac:dyDescent="0.3">
      <c r="A2851" t="s">
        <v>2470</v>
      </c>
      <c r="B2851" t="s">
        <v>87</v>
      </c>
      <c r="C2851">
        <v>0.1</v>
      </c>
    </row>
    <row r="2852" spans="1:3" x14ac:dyDescent="0.3">
      <c r="A2852" t="s">
        <v>9932</v>
      </c>
      <c r="B2852" t="s">
        <v>64</v>
      </c>
      <c r="C2852">
        <v>0.03</v>
      </c>
    </row>
    <row r="2853" spans="1:3" x14ac:dyDescent="0.3">
      <c r="A2853" t="s">
        <v>9932</v>
      </c>
      <c r="B2853" t="s">
        <v>87</v>
      </c>
      <c r="C2853">
        <v>0.03</v>
      </c>
    </row>
    <row r="2854" spans="1:3" x14ac:dyDescent="0.3">
      <c r="A2854" t="s">
        <v>14482</v>
      </c>
      <c r="B2854" t="s">
        <v>29</v>
      </c>
      <c r="C2854">
        <v>0.03</v>
      </c>
    </row>
    <row r="2855" spans="1:3" x14ac:dyDescent="0.3">
      <c r="A2855" t="s">
        <v>7794</v>
      </c>
      <c r="B2855" t="s">
        <v>87</v>
      </c>
      <c r="C2855">
        <v>0</v>
      </c>
    </row>
    <row r="2856" spans="1:3" x14ac:dyDescent="0.3">
      <c r="A2856" t="s">
        <v>11836</v>
      </c>
      <c r="B2856" t="s">
        <v>64</v>
      </c>
      <c r="C2856">
        <v>0.01</v>
      </c>
    </row>
    <row r="2857" spans="1:3" x14ac:dyDescent="0.3">
      <c r="A2857" t="s">
        <v>12374</v>
      </c>
      <c r="B2857" t="s">
        <v>87</v>
      </c>
      <c r="C2857">
        <v>0.08</v>
      </c>
    </row>
    <row r="2858" spans="1:3" x14ac:dyDescent="0.3">
      <c r="A2858" t="s">
        <v>15660</v>
      </c>
      <c r="B2858" t="s">
        <v>87</v>
      </c>
      <c r="C2858">
        <v>0.05</v>
      </c>
    </row>
    <row r="2859" spans="1:3" x14ac:dyDescent="0.3">
      <c r="A2859" t="s">
        <v>11032</v>
      </c>
      <c r="B2859" t="s">
        <v>53</v>
      </c>
      <c r="C2859">
        <v>7.0000000000000007E-2</v>
      </c>
    </row>
    <row r="2860" spans="1:3" x14ac:dyDescent="0.3">
      <c r="A2860" t="s">
        <v>11032</v>
      </c>
      <c r="B2860" t="s">
        <v>53</v>
      </c>
      <c r="C2860">
        <v>0.08</v>
      </c>
    </row>
    <row r="2861" spans="1:3" x14ac:dyDescent="0.3">
      <c r="A2861" t="s">
        <v>11032</v>
      </c>
      <c r="B2861" t="s">
        <v>53</v>
      </c>
      <c r="C2861">
        <v>0.1</v>
      </c>
    </row>
    <row r="2862" spans="1:3" x14ac:dyDescent="0.3">
      <c r="A2862" t="s">
        <v>8721</v>
      </c>
      <c r="B2862" t="s">
        <v>225</v>
      </c>
      <c r="C2862">
        <v>0.1</v>
      </c>
    </row>
    <row r="2863" spans="1:3" x14ac:dyDescent="0.3">
      <c r="A2863" t="s">
        <v>5589</v>
      </c>
      <c r="B2863" t="s">
        <v>225</v>
      </c>
      <c r="C2863">
        <v>0.04</v>
      </c>
    </row>
    <row r="2864" spans="1:3" x14ac:dyDescent="0.3">
      <c r="A2864" t="s">
        <v>8660</v>
      </c>
      <c r="B2864" t="s">
        <v>225</v>
      </c>
      <c r="C2864">
        <v>0.09</v>
      </c>
    </row>
    <row r="2865" spans="1:3" x14ac:dyDescent="0.3">
      <c r="A2865" t="s">
        <v>8660</v>
      </c>
      <c r="B2865" t="s">
        <v>225</v>
      </c>
      <c r="C2865">
        <v>0.1</v>
      </c>
    </row>
    <row r="2866" spans="1:3" x14ac:dyDescent="0.3">
      <c r="A2866" t="s">
        <v>14132</v>
      </c>
      <c r="B2866" t="s">
        <v>53</v>
      </c>
      <c r="C2866">
        <v>0.08</v>
      </c>
    </row>
    <row r="2867" spans="1:3" x14ac:dyDescent="0.3">
      <c r="A2867" t="s">
        <v>6546</v>
      </c>
      <c r="B2867" t="s">
        <v>53</v>
      </c>
      <c r="C2867">
        <v>0.05</v>
      </c>
    </row>
    <row r="2868" spans="1:3" x14ac:dyDescent="0.3">
      <c r="A2868" t="s">
        <v>2074</v>
      </c>
      <c r="B2868" t="s">
        <v>53</v>
      </c>
      <c r="C2868">
        <v>0.02</v>
      </c>
    </row>
    <row r="2869" spans="1:3" x14ac:dyDescent="0.3">
      <c r="A2869" t="s">
        <v>2074</v>
      </c>
      <c r="B2869" t="s">
        <v>87</v>
      </c>
      <c r="C2869">
        <v>0.06</v>
      </c>
    </row>
    <row r="2870" spans="1:3" x14ac:dyDescent="0.3">
      <c r="A2870" t="s">
        <v>8342</v>
      </c>
      <c r="B2870" t="s">
        <v>87</v>
      </c>
      <c r="C2870">
        <v>0.03</v>
      </c>
    </row>
    <row r="2871" spans="1:3" x14ac:dyDescent="0.3">
      <c r="A2871" t="s">
        <v>11743</v>
      </c>
      <c r="B2871" t="s">
        <v>87</v>
      </c>
      <c r="C2871">
        <v>0.04</v>
      </c>
    </row>
    <row r="2872" spans="1:3" x14ac:dyDescent="0.3">
      <c r="A2872" t="s">
        <v>11743</v>
      </c>
      <c r="B2872" t="s">
        <v>87</v>
      </c>
      <c r="C2872">
        <v>0.09</v>
      </c>
    </row>
    <row r="2873" spans="1:3" x14ac:dyDescent="0.3">
      <c r="A2873" t="s">
        <v>12011</v>
      </c>
      <c r="B2873" t="s">
        <v>87</v>
      </c>
      <c r="C2873">
        <v>7.0000000000000007E-2</v>
      </c>
    </row>
    <row r="2874" spans="1:3" x14ac:dyDescent="0.3">
      <c r="A2874" t="s">
        <v>12011</v>
      </c>
      <c r="B2874" t="s">
        <v>87</v>
      </c>
      <c r="C2874">
        <v>0.09</v>
      </c>
    </row>
    <row r="2875" spans="1:3" x14ac:dyDescent="0.3">
      <c r="A2875" t="s">
        <v>8233</v>
      </c>
      <c r="B2875" t="s">
        <v>29</v>
      </c>
      <c r="C2875">
        <v>0.05</v>
      </c>
    </row>
    <row r="2876" spans="1:3" x14ac:dyDescent="0.3">
      <c r="A2876" t="s">
        <v>8233</v>
      </c>
      <c r="B2876" t="s">
        <v>87</v>
      </c>
      <c r="C2876">
        <v>0.09</v>
      </c>
    </row>
    <row r="2877" spans="1:3" x14ac:dyDescent="0.3">
      <c r="A2877" t="s">
        <v>2646</v>
      </c>
      <c r="B2877" t="s">
        <v>225</v>
      </c>
      <c r="C2877">
        <v>0</v>
      </c>
    </row>
    <row r="2878" spans="1:3" x14ac:dyDescent="0.3">
      <c r="A2878" t="s">
        <v>2646</v>
      </c>
      <c r="B2878" t="s">
        <v>64</v>
      </c>
      <c r="C2878">
        <v>0.03</v>
      </c>
    </row>
    <row r="2879" spans="1:3" x14ac:dyDescent="0.3">
      <c r="A2879" t="s">
        <v>8577</v>
      </c>
      <c r="B2879" t="s">
        <v>53</v>
      </c>
      <c r="C2879">
        <v>0.1</v>
      </c>
    </row>
    <row r="2880" spans="1:3" x14ac:dyDescent="0.3">
      <c r="A2880" t="s">
        <v>5274</v>
      </c>
      <c r="B2880" t="s">
        <v>29</v>
      </c>
      <c r="C2880">
        <v>0.08</v>
      </c>
    </row>
    <row r="2881" spans="1:3" x14ac:dyDescent="0.3">
      <c r="A2881" t="s">
        <v>5274</v>
      </c>
      <c r="B2881" t="s">
        <v>87</v>
      </c>
      <c r="C2881">
        <v>0.04</v>
      </c>
    </row>
    <row r="2882" spans="1:3" x14ac:dyDescent="0.3">
      <c r="A2882" t="s">
        <v>13772</v>
      </c>
      <c r="B2882" t="s">
        <v>40</v>
      </c>
      <c r="C2882">
        <v>0.02</v>
      </c>
    </row>
    <row r="2883" spans="1:3" x14ac:dyDescent="0.3">
      <c r="A2883" t="s">
        <v>11503</v>
      </c>
      <c r="B2883" t="s">
        <v>40</v>
      </c>
      <c r="C2883">
        <v>0</v>
      </c>
    </row>
    <row r="2884" spans="1:3" x14ac:dyDescent="0.3">
      <c r="A2884" t="s">
        <v>12602</v>
      </c>
      <c r="B2884" t="s">
        <v>40</v>
      </c>
      <c r="C2884">
        <v>0.05</v>
      </c>
    </row>
    <row r="2885" spans="1:3" x14ac:dyDescent="0.3">
      <c r="A2885" t="s">
        <v>5428</v>
      </c>
      <c r="B2885" t="s">
        <v>87</v>
      </c>
      <c r="C2885">
        <v>0</v>
      </c>
    </row>
    <row r="2886" spans="1:3" x14ac:dyDescent="0.3">
      <c r="A2886" t="s">
        <v>2114</v>
      </c>
      <c r="B2886" t="s">
        <v>64</v>
      </c>
      <c r="C2886">
        <v>0.09</v>
      </c>
    </row>
    <row r="2887" spans="1:3" x14ac:dyDescent="0.3">
      <c r="A2887" t="s">
        <v>6954</v>
      </c>
      <c r="B2887" t="s">
        <v>29</v>
      </c>
      <c r="C2887">
        <v>0.01</v>
      </c>
    </row>
    <row r="2888" spans="1:3" x14ac:dyDescent="0.3">
      <c r="A2888" t="s">
        <v>4071</v>
      </c>
      <c r="B2888" t="s">
        <v>29</v>
      </c>
      <c r="C2888">
        <v>0.01</v>
      </c>
    </row>
    <row r="2889" spans="1:3" x14ac:dyDescent="0.3">
      <c r="A2889" t="s">
        <v>4071</v>
      </c>
      <c r="B2889" t="s">
        <v>29</v>
      </c>
      <c r="C2889">
        <v>0.1</v>
      </c>
    </row>
    <row r="2890" spans="1:3" x14ac:dyDescent="0.3">
      <c r="A2890" t="s">
        <v>7449</v>
      </c>
      <c r="B2890" t="s">
        <v>29</v>
      </c>
      <c r="C2890">
        <v>7.0000000000000007E-2</v>
      </c>
    </row>
    <row r="2891" spans="1:3" x14ac:dyDescent="0.3">
      <c r="A2891" t="s">
        <v>7449</v>
      </c>
      <c r="B2891" t="s">
        <v>29</v>
      </c>
      <c r="C2891">
        <v>0.08</v>
      </c>
    </row>
    <row r="2892" spans="1:3" x14ac:dyDescent="0.3">
      <c r="A2892" t="s">
        <v>7449</v>
      </c>
      <c r="B2892" t="s">
        <v>29</v>
      </c>
      <c r="C2892">
        <v>0.09</v>
      </c>
    </row>
    <row r="2893" spans="1:3" x14ac:dyDescent="0.3">
      <c r="A2893" t="s">
        <v>2139</v>
      </c>
      <c r="B2893" t="s">
        <v>64</v>
      </c>
      <c r="C2893">
        <v>0</v>
      </c>
    </row>
    <row r="2894" spans="1:3" x14ac:dyDescent="0.3">
      <c r="A2894" t="s">
        <v>7511</v>
      </c>
      <c r="B2894" t="s">
        <v>64</v>
      </c>
      <c r="C2894">
        <v>0.01</v>
      </c>
    </row>
    <row r="2895" spans="1:3" x14ac:dyDescent="0.3">
      <c r="A2895" t="s">
        <v>2150</v>
      </c>
      <c r="B2895" t="s">
        <v>87</v>
      </c>
      <c r="C2895">
        <v>0.01</v>
      </c>
    </row>
    <row r="2896" spans="1:3" x14ac:dyDescent="0.3">
      <c r="A2896" t="s">
        <v>5485</v>
      </c>
      <c r="B2896" t="s">
        <v>87</v>
      </c>
      <c r="C2896">
        <v>0.04</v>
      </c>
    </row>
    <row r="2897" spans="1:3" x14ac:dyDescent="0.3">
      <c r="A2897" t="s">
        <v>5485</v>
      </c>
      <c r="B2897" t="s">
        <v>87</v>
      </c>
      <c r="C2897">
        <v>7.0000000000000007E-2</v>
      </c>
    </row>
    <row r="2898" spans="1:3" x14ac:dyDescent="0.3">
      <c r="A2898" t="s">
        <v>8381</v>
      </c>
      <c r="B2898" t="s">
        <v>87</v>
      </c>
      <c r="C2898">
        <v>0.02</v>
      </c>
    </row>
    <row r="2899" spans="1:3" x14ac:dyDescent="0.3">
      <c r="A2899" t="s">
        <v>8381</v>
      </c>
      <c r="B2899" t="s">
        <v>87</v>
      </c>
      <c r="C2899">
        <v>0.08</v>
      </c>
    </row>
    <row r="2900" spans="1:3" x14ac:dyDescent="0.3">
      <c r="A2900" t="s">
        <v>8014</v>
      </c>
      <c r="B2900" t="s">
        <v>64</v>
      </c>
      <c r="C2900">
        <v>0.04</v>
      </c>
    </row>
    <row r="2901" spans="1:3" x14ac:dyDescent="0.3">
      <c r="A2901" t="s">
        <v>8014</v>
      </c>
      <c r="B2901" t="s">
        <v>64</v>
      </c>
      <c r="C2901">
        <v>0.05</v>
      </c>
    </row>
    <row r="2902" spans="1:3" x14ac:dyDescent="0.3">
      <c r="A2902" t="s">
        <v>9250</v>
      </c>
      <c r="B2902" t="s">
        <v>53</v>
      </c>
      <c r="C2902">
        <v>0.02</v>
      </c>
    </row>
    <row r="2903" spans="1:3" x14ac:dyDescent="0.3">
      <c r="A2903" t="s">
        <v>9250</v>
      </c>
      <c r="B2903" t="s">
        <v>87</v>
      </c>
      <c r="C2903">
        <v>0.09</v>
      </c>
    </row>
    <row r="2904" spans="1:3" x14ac:dyDescent="0.3">
      <c r="A2904" t="s">
        <v>13894</v>
      </c>
      <c r="B2904" t="s">
        <v>29</v>
      </c>
      <c r="C2904">
        <v>0.03</v>
      </c>
    </row>
    <row r="2905" spans="1:3" x14ac:dyDescent="0.3">
      <c r="A2905" t="s">
        <v>15817</v>
      </c>
      <c r="B2905" t="s">
        <v>87</v>
      </c>
      <c r="C2905">
        <v>0.09</v>
      </c>
    </row>
    <row r="2906" spans="1:3" x14ac:dyDescent="0.3">
      <c r="A2906" t="s">
        <v>5367</v>
      </c>
      <c r="B2906" t="s">
        <v>29</v>
      </c>
      <c r="C2906">
        <v>0.08</v>
      </c>
    </row>
    <row r="2907" spans="1:3" x14ac:dyDescent="0.3">
      <c r="A2907" t="s">
        <v>5416</v>
      </c>
      <c r="B2907" t="s">
        <v>29</v>
      </c>
      <c r="C2907">
        <v>0.03</v>
      </c>
    </row>
    <row r="2908" spans="1:3" x14ac:dyDescent="0.3">
      <c r="A2908" t="s">
        <v>5416</v>
      </c>
      <c r="B2908" t="s">
        <v>29</v>
      </c>
      <c r="C2908">
        <v>0.09</v>
      </c>
    </row>
    <row r="2909" spans="1:3" x14ac:dyDescent="0.3">
      <c r="A2909" t="s">
        <v>2174</v>
      </c>
      <c r="B2909" t="s">
        <v>29</v>
      </c>
      <c r="C2909">
        <v>0.01</v>
      </c>
    </row>
    <row r="2910" spans="1:3" x14ac:dyDescent="0.3">
      <c r="A2910" t="s">
        <v>2174</v>
      </c>
      <c r="B2910" t="s">
        <v>29</v>
      </c>
      <c r="C2910">
        <v>0.06</v>
      </c>
    </row>
    <row r="2911" spans="1:3" x14ac:dyDescent="0.3">
      <c r="A2911" t="s">
        <v>3850</v>
      </c>
      <c r="B2911" t="s">
        <v>40</v>
      </c>
      <c r="C2911">
        <v>0.05</v>
      </c>
    </row>
    <row r="2912" spans="1:3" x14ac:dyDescent="0.3">
      <c r="A2912" t="s">
        <v>7410</v>
      </c>
      <c r="B2912" t="s">
        <v>29</v>
      </c>
      <c r="C2912">
        <v>0.03</v>
      </c>
    </row>
    <row r="2913" spans="1:3" x14ac:dyDescent="0.3">
      <c r="A2913" t="s">
        <v>8824</v>
      </c>
      <c r="B2913" t="s">
        <v>87</v>
      </c>
      <c r="C2913">
        <v>0.05</v>
      </c>
    </row>
    <row r="2914" spans="1:3" x14ac:dyDescent="0.3">
      <c r="A2914" t="s">
        <v>7129</v>
      </c>
      <c r="B2914" t="s">
        <v>87</v>
      </c>
      <c r="C2914">
        <v>0</v>
      </c>
    </row>
    <row r="2915" spans="1:3" x14ac:dyDescent="0.3">
      <c r="A2915" t="s">
        <v>13829</v>
      </c>
      <c r="B2915" t="s">
        <v>40</v>
      </c>
      <c r="C2915">
        <v>0</v>
      </c>
    </row>
    <row r="2916" spans="1:3" x14ac:dyDescent="0.3">
      <c r="A2916" t="s">
        <v>13829</v>
      </c>
      <c r="B2916" t="s">
        <v>40</v>
      </c>
      <c r="C2916">
        <v>0.05</v>
      </c>
    </row>
    <row r="2917" spans="1:3" x14ac:dyDescent="0.3">
      <c r="A2917" t="s">
        <v>13829</v>
      </c>
      <c r="B2917" t="s">
        <v>53</v>
      </c>
      <c r="C2917">
        <v>0.02</v>
      </c>
    </row>
    <row r="2918" spans="1:3" x14ac:dyDescent="0.3">
      <c r="A2918" t="s">
        <v>13829</v>
      </c>
      <c r="B2918" t="s">
        <v>53</v>
      </c>
      <c r="C2918">
        <v>0.06</v>
      </c>
    </row>
    <row r="2919" spans="1:3" x14ac:dyDescent="0.3">
      <c r="A2919" t="s">
        <v>4984</v>
      </c>
      <c r="B2919" t="s">
        <v>53</v>
      </c>
      <c r="C2919">
        <v>0.05</v>
      </c>
    </row>
    <row r="2920" spans="1:3" x14ac:dyDescent="0.3">
      <c r="A2920" t="s">
        <v>2214</v>
      </c>
      <c r="B2920" t="s">
        <v>40</v>
      </c>
      <c r="C2920">
        <v>0.04</v>
      </c>
    </row>
    <row r="2921" spans="1:3" x14ac:dyDescent="0.3">
      <c r="A2921" t="s">
        <v>6049</v>
      </c>
      <c r="B2921" t="s">
        <v>53</v>
      </c>
      <c r="C2921">
        <v>0.08</v>
      </c>
    </row>
    <row r="2922" spans="1:3" x14ac:dyDescent="0.3">
      <c r="A2922" t="s">
        <v>13381</v>
      </c>
      <c r="B2922" t="s">
        <v>87</v>
      </c>
      <c r="C2922">
        <v>0.01</v>
      </c>
    </row>
    <row r="2923" spans="1:3" x14ac:dyDescent="0.3">
      <c r="A2923" t="s">
        <v>13381</v>
      </c>
      <c r="B2923" t="s">
        <v>87</v>
      </c>
      <c r="C2923">
        <v>0.04</v>
      </c>
    </row>
    <row r="2924" spans="1:3" x14ac:dyDescent="0.3">
      <c r="A2924" t="s">
        <v>13381</v>
      </c>
      <c r="B2924" t="s">
        <v>87</v>
      </c>
      <c r="C2924">
        <v>0.1</v>
      </c>
    </row>
    <row r="2925" spans="1:3" x14ac:dyDescent="0.3">
      <c r="A2925" t="s">
        <v>11419</v>
      </c>
      <c r="B2925" t="s">
        <v>29</v>
      </c>
      <c r="C2925">
        <v>0</v>
      </c>
    </row>
    <row r="2926" spans="1:3" x14ac:dyDescent="0.3">
      <c r="A2926" t="s">
        <v>8424</v>
      </c>
      <c r="B2926" t="s">
        <v>87</v>
      </c>
      <c r="C2926">
        <v>0.05</v>
      </c>
    </row>
    <row r="2927" spans="1:3" x14ac:dyDescent="0.3">
      <c r="A2927" t="s">
        <v>14823</v>
      </c>
      <c r="B2927" t="s">
        <v>225</v>
      </c>
      <c r="C2927">
        <v>0.06</v>
      </c>
    </row>
    <row r="2928" spans="1:3" x14ac:dyDescent="0.3">
      <c r="A2928" t="s">
        <v>14873</v>
      </c>
      <c r="B2928" t="s">
        <v>40</v>
      </c>
      <c r="C2928">
        <v>0.02</v>
      </c>
    </row>
    <row r="2929" spans="1:3" x14ac:dyDescent="0.3">
      <c r="A2929" t="s">
        <v>5638</v>
      </c>
      <c r="B2929" t="s">
        <v>40</v>
      </c>
      <c r="C2929">
        <v>0</v>
      </c>
    </row>
    <row r="2930" spans="1:3" x14ac:dyDescent="0.3">
      <c r="A2930" t="s">
        <v>5638</v>
      </c>
      <c r="B2930" t="s">
        <v>40</v>
      </c>
      <c r="C2930">
        <v>0.04</v>
      </c>
    </row>
    <row r="2931" spans="1:3" x14ac:dyDescent="0.3">
      <c r="A2931" t="s">
        <v>5638</v>
      </c>
      <c r="B2931" t="s">
        <v>40</v>
      </c>
      <c r="C2931">
        <v>0.08</v>
      </c>
    </row>
    <row r="2932" spans="1:3" x14ac:dyDescent="0.3">
      <c r="A2932" t="s">
        <v>6059</v>
      </c>
      <c r="B2932" t="s">
        <v>40</v>
      </c>
      <c r="C2932">
        <v>0.03</v>
      </c>
    </row>
    <row r="2933" spans="1:3" x14ac:dyDescent="0.3">
      <c r="A2933" t="s">
        <v>6060</v>
      </c>
      <c r="B2933" t="s">
        <v>40</v>
      </c>
      <c r="C2933">
        <v>0.04</v>
      </c>
    </row>
    <row r="2934" spans="1:3" x14ac:dyDescent="0.3">
      <c r="A2934" t="s">
        <v>6060</v>
      </c>
      <c r="B2934" t="s">
        <v>40</v>
      </c>
      <c r="C2934">
        <v>7.0000000000000007E-2</v>
      </c>
    </row>
    <row r="2935" spans="1:3" x14ac:dyDescent="0.3">
      <c r="A2935" t="s">
        <v>11242</v>
      </c>
      <c r="B2935" t="s">
        <v>225</v>
      </c>
      <c r="C2935">
        <v>0.06</v>
      </c>
    </row>
    <row r="2936" spans="1:3" x14ac:dyDescent="0.3">
      <c r="A2936" t="s">
        <v>4860</v>
      </c>
      <c r="B2936" t="s">
        <v>64</v>
      </c>
      <c r="C2936">
        <v>0.03</v>
      </c>
    </row>
    <row r="2937" spans="1:3" x14ac:dyDescent="0.3">
      <c r="A2937" t="s">
        <v>4860</v>
      </c>
      <c r="B2937" t="s">
        <v>53</v>
      </c>
      <c r="C2937">
        <v>0.06</v>
      </c>
    </row>
    <row r="2938" spans="1:3" x14ac:dyDescent="0.3">
      <c r="A2938" t="s">
        <v>6052</v>
      </c>
      <c r="B2938" t="s">
        <v>64</v>
      </c>
      <c r="C2938">
        <v>0.03</v>
      </c>
    </row>
    <row r="2939" spans="1:3" x14ac:dyDescent="0.3">
      <c r="A2939" t="s">
        <v>6052</v>
      </c>
      <c r="B2939" t="s">
        <v>64</v>
      </c>
      <c r="C2939">
        <v>0.08</v>
      </c>
    </row>
    <row r="2940" spans="1:3" x14ac:dyDescent="0.3">
      <c r="A2940" t="s">
        <v>13126</v>
      </c>
      <c r="B2940" t="s">
        <v>53</v>
      </c>
      <c r="C2940">
        <v>7.0000000000000007E-2</v>
      </c>
    </row>
    <row r="2941" spans="1:3" x14ac:dyDescent="0.3">
      <c r="A2941" t="s">
        <v>15334</v>
      </c>
      <c r="B2941" t="s">
        <v>64</v>
      </c>
      <c r="C2941">
        <v>0</v>
      </c>
    </row>
    <row r="2942" spans="1:3" x14ac:dyDescent="0.3">
      <c r="A2942" t="s">
        <v>4781</v>
      </c>
      <c r="B2942" t="s">
        <v>225</v>
      </c>
      <c r="C2942">
        <v>0.08</v>
      </c>
    </row>
    <row r="2943" spans="1:3" x14ac:dyDescent="0.3">
      <c r="A2943" t="s">
        <v>6774</v>
      </c>
      <c r="B2943" t="s">
        <v>29</v>
      </c>
      <c r="C2943">
        <v>0.03</v>
      </c>
    </row>
    <row r="2944" spans="1:3" x14ac:dyDescent="0.3">
      <c r="A2944" t="s">
        <v>13638</v>
      </c>
      <c r="B2944" t="s">
        <v>29</v>
      </c>
      <c r="C2944">
        <v>0.08</v>
      </c>
    </row>
    <row r="2945" spans="1:3" x14ac:dyDescent="0.3">
      <c r="A2945" t="s">
        <v>9851</v>
      </c>
      <c r="B2945" t="s">
        <v>40</v>
      </c>
      <c r="C2945">
        <v>7.0000000000000007E-2</v>
      </c>
    </row>
    <row r="2946" spans="1:3" x14ac:dyDescent="0.3">
      <c r="A2946" t="s">
        <v>2276</v>
      </c>
      <c r="B2946" t="s">
        <v>29</v>
      </c>
      <c r="C2946">
        <v>0.05</v>
      </c>
    </row>
    <row r="2947" spans="1:3" x14ac:dyDescent="0.3">
      <c r="A2947" t="s">
        <v>15588</v>
      </c>
      <c r="B2947" t="s">
        <v>87</v>
      </c>
      <c r="C2947">
        <v>0.06</v>
      </c>
    </row>
    <row r="2948" spans="1:3" x14ac:dyDescent="0.3">
      <c r="A2948" t="s">
        <v>14427</v>
      </c>
      <c r="B2948" t="s">
        <v>87</v>
      </c>
      <c r="C2948">
        <v>0.04</v>
      </c>
    </row>
    <row r="2949" spans="1:3" x14ac:dyDescent="0.3">
      <c r="A2949" t="s">
        <v>11182</v>
      </c>
      <c r="B2949" t="s">
        <v>87</v>
      </c>
      <c r="C2949">
        <v>0.09</v>
      </c>
    </row>
    <row r="2950" spans="1:3" x14ac:dyDescent="0.3">
      <c r="A2950" t="s">
        <v>4172</v>
      </c>
      <c r="B2950" t="s">
        <v>225</v>
      </c>
      <c r="C2950">
        <v>0.05</v>
      </c>
    </row>
    <row r="2951" spans="1:3" x14ac:dyDescent="0.3">
      <c r="A2951" t="s">
        <v>15421</v>
      </c>
      <c r="B2951" t="s">
        <v>53</v>
      </c>
      <c r="C2951">
        <v>0.08</v>
      </c>
    </row>
    <row r="2952" spans="1:3" x14ac:dyDescent="0.3">
      <c r="A2952" t="s">
        <v>15625</v>
      </c>
      <c r="B2952" t="s">
        <v>40</v>
      </c>
      <c r="C2952">
        <v>0.02</v>
      </c>
    </row>
    <row r="2953" spans="1:3" x14ac:dyDescent="0.3">
      <c r="A2953" t="s">
        <v>15625</v>
      </c>
      <c r="B2953" t="s">
        <v>40</v>
      </c>
      <c r="C2953">
        <v>0.03</v>
      </c>
    </row>
    <row r="2954" spans="1:3" x14ac:dyDescent="0.3">
      <c r="A2954" t="s">
        <v>10830</v>
      </c>
      <c r="B2954" t="s">
        <v>53</v>
      </c>
      <c r="C2954">
        <v>0</v>
      </c>
    </row>
    <row r="2955" spans="1:3" x14ac:dyDescent="0.3">
      <c r="A2955" t="s">
        <v>10830</v>
      </c>
      <c r="B2955" t="s">
        <v>53</v>
      </c>
      <c r="C2955">
        <v>0.01</v>
      </c>
    </row>
    <row r="2956" spans="1:3" x14ac:dyDescent="0.3">
      <c r="A2956" t="s">
        <v>10830</v>
      </c>
      <c r="B2956" t="s">
        <v>53</v>
      </c>
      <c r="C2956">
        <v>0.04</v>
      </c>
    </row>
    <row r="2957" spans="1:3" x14ac:dyDescent="0.3">
      <c r="A2957" t="s">
        <v>10830</v>
      </c>
      <c r="B2957" t="s">
        <v>53</v>
      </c>
      <c r="C2957">
        <v>0.06</v>
      </c>
    </row>
    <row r="2958" spans="1:3" x14ac:dyDescent="0.3">
      <c r="A2958" t="s">
        <v>9874</v>
      </c>
      <c r="B2958" t="s">
        <v>40</v>
      </c>
      <c r="C2958">
        <v>0</v>
      </c>
    </row>
    <row r="2959" spans="1:3" x14ac:dyDescent="0.3">
      <c r="A2959" t="s">
        <v>9874</v>
      </c>
      <c r="B2959" t="s">
        <v>53</v>
      </c>
      <c r="C2959">
        <v>0.09</v>
      </c>
    </row>
    <row r="2960" spans="1:3" x14ac:dyDescent="0.3">
      <c r="A2960" t="s">
        <v>2930</v>
      </c>
      <c r="B2960" t="s">
        <v>53</v>
      </c>
      <c r="C2960">
        <v>0.01</v>
      </c>
    </row>
    <row r="2961" spans="1:3" x14ac:dyDescent="0.3">
      <c r="A2961" t="s">
        <v>2930</v>
      </c>
      <c r="B2961" t="s">
        <v>53</v>
      </c>
      <c r="C2961">
        <v>0.09</v>
      </c>
    </row>
    <row r="2962" spans="1:3" x14ac:dyDescent="0.3">
      <c r="A2962" t="s">
        <v>12682</v>
      </c>
      <c r="B2962" t="s">
        <v>40</v>
      </c>
      <c r="C2962">
        <v>0.01</v>
      </c>
    </row>
    <row r="2963" spans="1:3" x14ac:dyDescent="0.3">
      <c r="A2963" t="s">
        <v>12682</v>
      </c>
      <c r="B2963" t="s">
        <v>40</v>
      </c>
      <c r="C2963">
        <v>0.02</v>
      </c>
    </row>
    <row r="2964" spans="1:3" x14ac:dyDescent="0.3">
      <c r="A2964" t="s">
        <v>12682</v>
      </c>
      <c r="B2964" t="s">
        <v>29</v>
      </c>
      <c r="C2964">
        <v>0.02</v>
      </c>
    </row>
    <row r="2965" spans="1:3" x14ac:dyDescent="0.3">
      <c r="A2965" t="s">
        <v>13760</v>
      </c>
      <c r="B2965" t="s">
        <v>64</v>
      </c>
      <c r="C2965">
        <v>0.1</v>
      </c>
    </row>
    <row r="2966" spans="1:3" x14ac:dyDescent="0.3">
      <c r="A2966" t="s">
        <v>13760</v>
      </c>
      <c r="B2966" t="s">
        <v>87</v>
      </c>
      <c r="C2966">
        <v>7.0000000000000007E-2</v>
      </c>
    </row>
    <row r="2967" spans="1:3" x14ac:dyDescent="0.3">
      <c r="A2967" t="s">
        <v>5371</v>
      </c>
      <c r="B2967" t="s">
        <v>40</v>
      </c>
      <c r="C2967">
        <v>0.09</v>
      </c>
    </row>
    <row r="2968" spans="1:3" x14ac:dyDescent="0.3">
      <c r="A2968" t="s">
        <v>5371</v>
      </c>
      <c r="B2968" t="s">
        <v>53</v>
      </c>
      <c r="C2968">
        <v>0.04</v>
      </c>
    </row>
    <row r="2969" spans="1:3" x14ac:dyDescent="0.3">
      <c r="A2969" t="s">
        <v>10278</v>
      </c>
      <c r="B2969" t="s">
        <v>29</v>
      </c>
      <c r="C2969">
        <v>0.1</v>
      </c>
    </row>
    <row r="2970" spans="1:3" x14ac:dyDescent="0.3">
      <c r="A2970" t="s">
        <v>10278</v>
      </c>
      <c r="B2970" t="s">
        <v>87</v>
      </c>
      <c r="C2970">
        <v>0.1</v>
      </c>
    </row>
    <row r="2971" spans="1:3" x14ac:dyDescent="0.3">
      <c r="A2971" t="s">
        <v>2340</v>
      </c>
      <c r="B2971" t="s">
        <v>64</v>
      </c>
      <c r="C2971">
        <v>7.0000000000000007E-2</v>
      </c>
    </row>
    <row r="2972" spans="1:3" x14ac:dyDescent="0.3">
      <c r="A2972" t="s">
        <v>6277</v>
      </c>
      <c r="B2972" t="s">
        <v>225</v>
      </c>
      <c r="C2972">
        <v>0.05</v>
      </c>
    </row>
    <row r="2973" spans="1:3" x14ac:dyDescent="0.3">
      <c r="A2973" t="s">
        <v>13303</v>
      </c>
      <c r="B2973" t="s">
        <v>40</v>
      </c>
      <c r="C2973">
        <v>0.05</v>
      </c>
    </row>
    <row r="2974" spans="1:3" x14ac:dyDescent="0.3">
      <c r="A2974" t="s">
        <v>9023</v>
      </c>
      <c r="B2974" t="s">
        <v>225</v>
      </c>
      <c r="C2974">
        <v>0.02</v>
      </c>
    </row>
    <row r="2975" spans="1:3" x14ac:dyDescent="0.3">
      <c r="A2975" t="s">
        <v>6268</v>
      </c>
      <c r="B2975" t="s">
        <v>40</v>
      </c>
      <c r="C2975">
        <v>0.09</v>
      </c>
    </row>
    <row r="2976" spans="1:3" x14ac:dyDescent="0.3">
      <c r="A2976" t="s">
        <v>6268</v>
      </c>
      <c r="B2976" t="s">
        <v>40</v>
      </c>
      <c r="C2976">
        <v>0.1</v>
      </c>
    </row>
    <row r="2977" spans="1:3" x14ac:dyDescent="0.3">
      <c r="A2977" t="s">
        <v>8261</v>
      </c>
      <c r="B2977" t="s">
        <v>40</v>
      </c>
      <c r="C2977">
        <v>0</v>
      </c>
    </row>
    <row r="2978" spans="1:3" x14ac:dyDescent="0.3">
      <c r="A2978" t="s">
        <v>8261</v>
      </c>
      <c r="B2978" t="s">
        <v>40</v>
      </c>
      <c r="C2978">
        <v>0.03</v>
      </c>
    </row>
    <row r="2979" spans="1:3" x14ac:dyDescent="0.3">
      <c r="A2979" t="s">
        <v>8261</v>
      </c>
      <c r="B2979" t="s">
        <v>87</v>
      </c>
      <c r="C2979">
        <v>0</v>
      </c>
    </row>
    <row r="2980" spans="1:3" x14ac:dyDescent="0.3">
      <c r="A2980" t="s">
        <v>9600</v>
      </c>
      <c r="B2980" t="s">
        <v>87</v>
      </c>
      <c r="C2980">
        <v>0.03</v>
      </c>
    </row>
    <row r="2981" spans="1:3" x14ac:dyDescent="0.3">
      <c r="A2981" t="s">
        <v>15288</v>
      </c>
      <c r="B2981" t="s">
        <v>87</v>
      </c>
      <c r="C2981">
        <v>0.03</v>
      </c>
    </row>
    <row r="2982" spans="1:3" x14ac:dyDescent="0.3">
      <c r="A2982" t="s">
        <v>15497</v>
      </c>
      <c r="B2982" t="s">
        <v>87</v>
      </c>
      <c r="C2982">
        <v>0.02</v>
      </c>
    </row>
    <row r="2983" spans="1:3" x14ac:dyDescent="0.3">
      <c r="A2983" t="s">
        <v>2363</v>
      </c>
      <c r="B2983" t="s">
        <v>87</v>
      </c>
      <c r="C2983">
        <v>0.08</v>
      </c>
    </row>
    <row r="2984" spans="1:3" x14ac:dyDescent="0.3">
      <c r="A2984" t="s">
        <v>2363</v>
      </c>
      <c r="B2984" t="s">
        <v>87</v>
      </c>
      <c r="C2984">
        <v>0.1</v>
      </c>
    </row>
    <row r="2985" spans="1:3" x14ac:dyDescent="0.3">
      <c r="A2985" t="s">
        <v>9480</v>
      </c>
      <c r="B2985" t="s">
        <v>53</v>
      </c>
      <c r="C2985">
        <v>0.02</v>
      </c>
    </row>
    <row r="2986" spans="1:3" x14ac:dyDescent="0.3">
      <c r="A2986" t="s">
        <v>12836</v>
      </c>
      <c r="B2986" t="s">
        <v>53</v>
      </c>
      <c r="C2986">
        <v>0.02</v>
      </c>
    </row>
    <row r="2987" spans="1:3" x14ac:dyDescent="0.3">
      <c r="A2987" t="s">
        <v>12836</v>
      </c>
      <c r="B2987" t="s">
        <v>53</v>
      </c>
      <c r="C2987">
        <v>0.05</v>
      </c>
    </row>
    <row r="2988" spans="1:3" x14ac:dyDescent="0.3">
      <c r="A2988" t="s">
        <v>2370</v>
      </c>
      <c r="B2988" t="s">
        <v>40</v>
      </c>
      <c r="C2988">
        <v>0.08</v>
      </c>
    </row>
    <row r="2989" spans="1:3" x14ac:dyDescent="0.3">
      <c r="A2989" t="s">
        <v>14579</v>
      </c>
      <c r="B2989" t="s">
        <v>53</v>
      </c>
      <c r="C2989">
        <v>0.02</v>
      </c>
    </row>
    <row r="2990" spans="1:3" x14ac:dyDescent="0.3">
      <c r="A2990" t="s">
        <v>3222</v>
      </c>
      <c r="B2990" t="s">
        <v>40</v>
      </c>
      <c r="C2990">
        <v>0.03</v>
      </c>
    </row>
    <row r="2991" spans="1:3" x14ac:dyDescent="0.3">
      <c r="A2991" t="s">
        <v>3222</v>
      </c>
      <c r="B2991" t="s">
        <v>40</v>
      </c>
      <c r="C2991">
        <v>0.05</v>
      </c>
    </row>
    <row r="2992" spans="1:3" x14ac:dyDescent="0.3">
      <c r="A2992" t="s">
        <v>3222</v>
      </c>
      <c r="B2992" t="s">
        <v>40</v>
      </c>
      <c r="C2992">
        <v>0.06</v>
      </c>
    </row>
    <row r="2993" spans="1:3" x14ac:dyDescent="0.3">
      <c r="A2993" t="s">
        <v>13519</v>
      </c>
      <c r="B2993" t="s">
        <v>29</v>
      </c>
      <c r="C2993">
        <v>0.03</v>
      </c>
    </row>
    <row r="2994" spans="1:3" x14ac:dyDescent="0.3">
      <c r="A2994" t="s">
        <v>10738</v>
      </c>
      <c r="B2994" t="s">
        <v>225</v>
      </c>
      <c r="C2994">
        <v>0.02</v>
      </c>
    </row>
    <row r="2995" spans="1:3" x14ac:dyDescent="0.3">
      <c r="A2995" t="s">
        <v>10738</v>
      </c>
      <c r="B2995" t="s">
        <v>225</v>
      </c>
      <c r="C2995">
        <v>7.0000000000000007E-2</v>
      </c>
    </row>
    <row r="2996" spans="1:3" x14ac:dyDescent="0.3">
      <c r="A2996" t="s">
        <v>3641</v>
      </c>
      <c r="B2996" t="s">
        <v>53</v>
      </c>
      <c r="C2996">
        <v>0.01</v>
      </c>
    </row>
    <row r="2997" spans="1:3" x14ac:dyDescent="0.3">
      <c r="A2997" t="s">
        <v>10675</v>
      </c>
      <c r="B2997" t="s">
        <v>64</v>
      </c>
      <c r="C2997">
        <v>0.08</v>
      </c>
    </row>
    <row r="2998" spans="1:3" x14ac:dyDescent="0.3">
      <c r="A2998" t="s">
        <v>5690</v>
      </c>
      <c r="B2998" t="s">
        <v>53</v>
      </c>
      <c r="C2998">
        <v>0.03</v>
      </c>
    </row>
    <row r="2999" spans="1:3" x14ac:dyDescent="0.3">
      <c r="A2999" t="s">
        <v>2387</v>
      </c>
      <c r="B2999" t="s">
        <v>40</v>
      </c>
      <c r="C2999">
        <v>0.04</v>
      </c>
    </row>
    <row r="3000" spans="1:3" x14ac:dyDescent="0.3">
      <c r="A3000" t="s">
        <v>15523</v>
      </c>
      <c r="B3000" t="s">
        <v>64</v>
      </c>
      <c r="C3000">
        <v>0.01</v>
      </c>
    </row>
    <row r="3001" spans="1:3" x14ac:dyDescent="0.3">
      <c r="A3001" t="s">
        <v>15523</v>
      </c>
      <c r="B3001" t="s">
        <v>64</v>
      </c>
      <c r="C3001">
        <v>0.05</v>
      </c>
    </row>
    <row r="3002" spans="1:3" x14ac:dyDescent="0.3">
      <c r="A3002" t="s">
        <v>3659</v>
      </c>
      <c r="B3002" t="s">
        <v>40</v>
      </c>
      <c r="C3002">
        <v>0.03</v>
      </c>
    </row>
    <row r="3003" spans="1:3" x14ac:dyDescent="0.3">
      <c r="A3003" t="s">
        <v>3659</v>
      </c>
      <c r="B3003" t="s">
        <v>53</v>
      </c>
      <c r="C3003">
        <v>0.01</v>
      </c>
    </row>
    <row r="3004" spans="1:3" x14ac:dyDescent="0.3">
      <c r="A3004" t="s">
        <v>3659</v>
      </c>
      <c r="B3004" t="s">
        <v>53</v>
      </c>
      <c r="C3004">
        <v>0.08</v>
      </c>
    </row>
    <row r="3005" spans="1:3" x14ac:dyDescent="0.3">
      <c r="A3005" t="s">
        <v>12496</v>
      </c>
      <c r="B3005" t="s">
        <v>87</v>
      </c>
      <c r="C3005">
        <v>0.05</v>
      </c>
    </row>
    <row r="3006" spans="1:3" x14ac:dyDescent="0.3">
      <c r="A3006" t="s">
        <v>8880</v>
      </c>
      <c r="B3006" t="s">
        <v>40</v>
      </c>
      <c r="C3006">
        <v>0.1</v>
      </c>
    </row>
    <row r="3007" spans="1:3" x14ac:dyDescent="0.3">
      <c r="A3007" t="s">
        <v>6799</v>
      </c>
      <c r="B3007" t="s">
        <v>87</v>
      </c>
      <c r="C3007">
        <v>0.01</v>
      </c>
    </row>
    <row r="3008" spans="1:3" x14ac:dyDescent="0.3">
      <c r="A3008" t="s">
        <v>10291</v>
      </c>
      <c r="B3008" t="s">
        <v>53</v>
      </c>
      <c r="C3008">
        <v>0.04</v>
      </c>
    </row>
    <row r="3009" spans="1:3" x14ac:dyDescent="0.3">
      <c r="A3009" t="s">
        <v>10291</v>
      </c>
      <c r="B3009" t="s">
        <v>53</v>
      </c>
      <c r="C3009">
        <v>0.09</v>
      </c>
    </row>
    <row r="3010" spans="1:3" x14ac:dyDescent="0.3">
      <c r="A3010" t="s">
        <v>5952</v>
      </c>
      <c r="B3010" t="s">
        <v>40</v>
      </c>
      <c r="C3010">
        <v>0.08</v>
      </c>
    </row>
    <row r="3011" spans="1:3" x14ac:dyDescent="0.3">
      <c r="A3011" t="s">
        <v>5380</v>
      </c>
      <c r="B3011" t="s">
        <v>40</v>
      </c>
      <c r="C3011">
        <v>0.08</v>
      </c>
    </row>
    <row r="3012" spans="1:3" x14ac:dyDescent="0.3">
      <c r="A3012" t="s">
        <v>8797</v>
      </c>
      <c r="B3012" t="s">
        <v>40</v>
      </c>
      <c r="C3012">
        <v>0.04</v>
      </c>
    </row>
    <row r="3013" spans="1:3" x14ac:dyDescent="0.3">
      <c r="A3013" t="s">
        <v>8797</v>
      </c>
      <c r="B3013" t="s">
        <v>40</v>
      </c>
      <c r="C3013">
        <v>0.09</v>
      </c>
    </row>
    <row r="3014" spans="1:3" x14ac:dyDescent="0.3">
      <c r="A3014" t="s">
        <v>9223</v>
      </c>
      <c r="B3014" t="s">
        <v>40</v>
      </c>
      <c r="C3014">
        <v>0.02</v>
      </c>
    </row>
    <row r="3015" spans="1:3" x14ac:dyDescent="0.3">
      <c r="A3015" t="s">
        <v>14818</v>
      </c>
      <c r="B3015" t="s">
        <v>87</v>
      </c>
      <c r="C3015">
        <v>0.09</v>
      </c>
    </row>
    <row r="3016" spans="1:3" x14ac:dyDescent="0.3">
      <c r="A3016" t="s">
        <v>3868</v>
      </c>
      <c r="B3016" t="s">
        <v>225</v>
      </c>
      <c r="C3016">
        <v>0.06</v>
      </c>
    </row>
    <row r="3017" spans="1:3" x14ac:dyDescent="0.3">
      <c r="A3017" t="s">
        <v>5647</v>
      </c>
      <c r="B3017" t="s">
        <v>64</v>
      </c>
      <c r="C3017">
        <v>0.02</v>
      </c>
    </row>
    <row r="3018" spans="1:3" x14ac:dyDescent="0.3">
      <c r="A3018" t="s">
        <v>8435</v>
      </c>
      <c r="B3018" t="s">
        <v>87</v>
      </c>
      <c r="C3018">
        <v>0.09</v>
      </c>
    </row>
    <row r="3019" spans="1:3" x14ac:dyDescent="0.3">
      <c r="A3019" t="s">
        <v>7528</v>
      </c>
      <c r="B3019" t="s">
        <v>225</v>
      </c>
      <c r="C3019">
        <v>0.05</v>
      </c>
    </row>
    <row r="3020" spans="1:3" x14ac:dyDescent="0.3">
      <c r="A3020" t="s">
        <v>2440</v>
      </c>
      <c r="B3020" t="s">
        <v>53</v>
      </c>
      <c r="C3020">
        <v>0.05</v>
      </c>
    </row>
    <row r="3021" spans="1:3" x14ac:dyDescent="0.3">
      <c r="A3021" t="s">
        <v>2440</v>
      </c>
      <c r="B3021" t="s">
        <v>53</v>
      </c>
      <c r="C3021">
        <v>0.06</v>
      </c>
    </row>
    <row r="3022" spans="1:3" x14ac:dyDescent="0.3">
      <c r="A3022" t="s">
        <v>3213</v>
      </c>
      <c r="B3022" t="s">
        <v>53</v>
      </c>
      <c r="C3022">
        <v>0.08</v>
      </c>
    </row>
    <row r="3023" spans="1:3" x14ac:dyDescent="0.3">
      <c r="A3023" t="s">
        <v>4687</v>
      </c>
      <c r="B3023" t="s">
        <v>53</v>
      </c>
      <c r="C3023">
        <v>0.01</v>
      </c>
    </row>
    <row r="3024" spans="1:3" x14ac:dyDescent="0.3">
      <c r="A3024" t="s">
        <v>4687</v>
      </c>
      <c r="B3024" t="s">
        <v>53</v>
      </c>
      <c r="C3024">
        <v>0.04</v>
      </c>
    </row>
    <row r="3025" spans="1:3" x14ac:dyDescent="0.3">
      <c r="A3025" t="s">
        <v>13405</v>
      </c>
      <c r="B3025" t="s">
        <v>53</v>
      </c>
      <c r="C3025">
        <v>0.08</v>
      </c>
    </row>
    <row r="3026" spans="1:3" x14ac:dyDescent="0.3">
      <c r="A3026" t="s">
        <v>2456</v>
      </c>
      <c r="B3026" t="s">
        <v>53</v>
      </c>
      <c r="C3026">
        <v>0.01</v>
      </c>
    </row>
    <row r="3027" spans="1:3" x14ac:dyDescent="0.3">
      <c r="A3027" t="s">
        <v>2456</v>
      </c>
      <c r="B3027" t="s">
        <v>53</v>
      </c>
      <c r="C3027">
        <v>0.08</v>
      </c>
    </row>
    <row r="3028" spans="1:3" x14ac:dyDescent="0.3">
      <c r="A3028" t="s">
        <v>2855</v>
      </c>
      <c r="B3028" t="s">
        <v>29</v>
      </c>
      <c r="C3028">
        <v>0.03</v>
      </c>
    </row>
    <row r="3029" spans="1:3" x14ac:dyDescent="0.3">
      <c r="A3029" t="s">
        <v>9768</v>
      </c>
      <c r="B3029" t="s">
        <v>225</v>
      </c>
      <c r="C3029">
        <v>7.0000000000000007E-2</v>
      </c>
    </row>
    <row r="3030" spans="1:3" x14ac:dyDescent="0.3">
      <c r="A3030" t="s">
        <v>13585</v>
      </c>
      <c r="B3030" t="s">
        <v>53</v>
      </c>
      <c r="C3030">
        <v>0</v>
      </c>
    </row>
    <row r="3031" spans="1:3" x14ac:dyDescent="0.3">
      <c r="A3031" t="s">
        <v>13585</v>
      </c>
      <c r="B3031" t="s">
        <v>53</v>
      </c>
      <c r="C3031">
        <v>0.03</v>
      </c>
    </row>
    <row r="3032" spans="1:3" x14ac:dyDescent="0.3">
      <c r="A3032" t="s">
        <v>13585</v>
      </c>
      <c r="B3032" t="s">
        <v>53</v>
      </c>
      <c r="C3032">
        <v>0.08</v>
      </c>
    </row>
    <row r="3033" spans="1:3" x14ac:dyDescent="0.3">
      <c r="A3033" t="s">
        <v>2920</v>
      </c>
      <c r="B3033" t="s">
        <v>225</v>
      </c>
      <c r="C3033">
        <v>0.04</v>
      </c>
    </row>
    <row r="3034" spans="1:3" x14ac:dyDescent="0.3">
      <c r="A3034" t="s">
        <v>9257</v>
      </c>
      <c r="B3034" t="s">
        <v>29</v>
      </c>
      <c r="C3034">
        <v>0.08</v>
      </c>
    </row>
    <row r="3035" spans="1:3" x14ac:dyDescent="0.3">
      <c r="A3035" t="s">
        <v>3082</v>
      </c>
      <c r="B3035" t="s">
        <v>64</v>
      </c>
      <c r="C3035">
        <v>0.03</v>
      </c>
    </row>
    <row r="3036" spans="1:3" x14ac:dyDescent="0.3">
      <c r="A3036" t="s">
        <v>3082</v>
      </c>
      <c r="B3036" t="s">
        <v>29</v>
      </c>
      <c r="C3036">
        <v>0.05</v>
      </c>
    </row>
    <row r="3037" spans="1:3" x14ac:dyDescent="0.3">
      <c r="A3037" t="s">
        <v>3082</v>
      </c>
      <c r="B3037" t="s">
        <v>53</v>
      </c>
      <c r="C3037">
        <v>0.06</v>
      </c>
    </row>
    <row r="3038" spans="1:3" x14ac:dyDescent="0.3">
      <c r="A3038" t="s">
        <v>2524</v>
      </c>
      <c r="B3038" t="s">
        <v>64</v>
      </c>
      <c r="C3038">
        <v>7.0000000000000007E-2</v>
      </c>
    </row>
    <row r="3039" spans="1:3" x14ac:dyDescent="0.3">
      <c r="A3039" t="s">
        <v>13039</v>
      </c>
      <c r="B3039" t="s">
        <v>53</v>
      </c>
      <c r="C3039">
        <v>0.02</v>
      </c>
    </row>
    <row r="3040" spans="1:3" x14ac:dyDescent="0.3">
      <c r="A3040" t="s">
        <v>12596</v>
      </c>
      <c r="B3040" t="s">
        <v>87</v>
      </c>
      <c r="C3040">
        <v>0.09</v>
      </c>
    </row>
    <row r="3041" spans="1:3" x14ac:dyDescent="0.3">
      <c r="A3041" t="s">
        <v>2530</v>
      </c>
      <c r="B3041" t="s">
        <v>87</v>
      </c>
      <c r="C3041">
        <v>0.04</v>
      </c>
    </row>
    <row r="3042" spans="1:3" x14ac:dyDescent="0.3">
      <c r="A3042" t="s">
        <v>4711</v>
      </c>
      <c r="B3042" t="s">
        <v>53</v>
      </c>
      <c r="C3042">
        <v>0.02</v>
      </c>
    </row>
    <row r="3043" spans="1:3" x14ac:dyDescent="0.3">
      <c r="A3043" t="s">
        <v>8835</v>
      </c>
      <c r="B3043" t="s">
        <v>225</v>
      </c>
      <c r="C3043">
        <v>0.04</v>
      </c>
    </row>
    <row r="3044" spans="1:3" x14ac:dyDescent="0.3">
      <c r="A3044" t="s">
        <v>2555</v>
      </c>
      <c r="B3044" t="s">
        <v>225</v>
      </c>
      <c r="C3044">
        <v>0.02</v>
      </c>
    </row>
    <row r="3045" spans="1:3" x14ac:dyDescent="0.3">
      <c r="A3045" t="s">
        <v>2555</v>
      </c>
      <c r="B3045" t="s">
        <v>225</v>
      </c>
      <c r="C3045">
        <v>0.04</v>
      </c>
    </row>
    <row r="3046" spans="1:3" x14ac:dyDescent="0.3">
      <c r="A3046" t="s">
        <v>2555</v>
      </c>
      <c r="B3046" t="s">
        <v>225</v>
      </c>
      <c r="C3046">
        <v>0.05</v>
      </c>
    </row>
    <row r="3047" spans="1:3" x14ac:dyDescent="0.3">
      <c r="A3047" t="s">
        <v>2555</v>
      </c>
      <c r="B3047" t="s">
        <v>225</v>
      </c>
      <c r="C3047">
        <v>7.0000000000000007E-2</v>
      </c>
    </row>
    <row r="3048" spans="1:3" x14ac:dyDescent="0.3">
      <c r="A3048" t="s">
        <v>9661</v>
      </c>
      <c r="B3048" t="s">
        <v>53</v>
      </c>
      <c r="C3048">
        <v>0.09</v>
      </c>
    </row>
    <row r="3049" spans="1:3" x14ac:dyDescent="0.3">
      <c r="A3049" t="s">
        <v>14278</v>
      </c>
      <c r="B3049" t="s">
        <v>53</v>
      </c>
      <c r="C3049">
        <v>0.09</v>
      </c>
    </row>
    <row r="3050" spans="1:3" x14ac:dyDescent="0.3">
      <c r="A3050" t="s">
        <v>4070</v>
      </c>
      <c r="B3050" t="s">
        <v>87</v>
      </c>
      <c r="C3050">
        <v>0.04</v>
      </c>
    </row>
    <row r="3051" spans="1:3" x14ac:dyDescent="0.3">
      <c r="A3051" t="s">
        <v>4070</v>
      </c>
      <c r="B3051" t="s">
        <v>87</v>
      </c>
      <c r="C3051">
        <v>0.08</v>
      </c>
    </row>
    <row r="3052" spans="1:3" x14ac:dyDescent="0.3">
      <c r="A3052" t="s">
        <v>5435</v>
      </c>
      <c r="B3052" t="s">
        <v>53</v>
      </c>
      <c r="C3052">
        <v>0.08</v>
      </c>
    </row>
    <row r="3053" spans="1:3" x14ac:dyDescent="0.3">
      <c r="A3053" t="s">
        <v>5435</v>
      </c>
      <c r="B3053" t="s">
        <v>53</v>
      </c>
      <c r="C3053">
        <v>0.09</v>
      </c>
    </row>
    <row r="3054" spans="1:3" x14ac:dyDescent="0.3">
      <c r="A3054" t="s">
        <v>2594</v>
      </c>
      <c r="B3054" t="s">
        <v>40</v>
      </c>
      <c r="C3054">
        <v>0.03</v>
      </c>
    </row>
    <row r="3055" spans="1:3" x14ac:dyDescent="0.3">
      <c r="A3055" t="s">
        <v>2604</v>
      </c>
      <c r="B3055" t="s">
        <v>40</v>
      </c>
      <c r="C3055">
        <v>0</v>
      </c>
    </row>
    <row r="3056" spans="1:3" x14ac:dyDescent="0.3">
      <c r="A3056" t="s">
        <v>13098</v>
      </c>
      <c r="B3056" t="s">
        <v>29</v>
      </c>
      <c r="C3056">
        <v>7.0000000000000007E-2</v>
      </c>
    </row>
    <row r="3057" spans="1:3" x14ac:dyDescent="0.3">
      <c r="A3057" t="s">
        <v>13293</v>
      </c>
      <c r="B3057" t="s">
        <v>53</v>
      </c>
      <c r="C3057">
        <v>0.01</v>
      </c>
    </row>
    <row r="3058" spans="1:3" x14ac:dyDescent="0.3">
      <c r="A3058" t="s">
        <v>13293</v>
      </c>
      <c r="B3058" t="s">
        <v>53</v>
      </c>
      <c r="C3058">
        <v>0.02</v>
      </c>
    </row>
    <row r="3059" spans="1:3" x14ac:dyDescent="0.3">
      <c r="A3059" t="s">
        <v>2610</v>
      </c>
      <c r="B3059" t="s">
        <v>53</v>
      </c>
      <c r="C3059">
        <v>0.03</v>
      </c>
    </row>
    <row r="3060" spans="1:3" x14ac:dyDescent="0.3">
      <c r="A3060" t="s">
        <v>2610</v>
      </c>
      <c r="B3060" t="s">
        <v>53</v>
      </c>
      <c r="C3060">
        <v>0.08</v>
      </c>
    </row>
    <row r="3061" spans="1:3" x14ac:dyDescent="0.3">
      <c r="A3061" t="s">
        <v>13014</v>
      </c>
      <c r="B3061" t="s">
        <v>40</v>
      </c>
      <c r="C3061">
        <v>0.01</v>
      </c>
    </row>
    <row r="3062" spans="1:3" x14ac:dyDescent="0.3">
      <c r="A3062" t="s">
        <v>14742</v>
      </c>
      <c r="B3062" t="s">
        <v>29</v>
      </c>
      <c r="C3062">
        <v>0.02</v>
      </c>
    </row>
    <row r="3063" spans="1:3" x14ac:dyDescent="0.3">
      <c r="A3063" t="s">
        <v>5884</v>
      </c>
      <c r="B3063" t="s">
        <v>53</v>
      </c>
      <c r="C3063">
        <v>0.01</v>
      </c>
    </row>
    <row r="3064" spans="1:3" x14ac:dyDescent="0.3">
      <c r="A3064" t="s">
        <v>5884</v>
      </c>
      <c r="B3064" t="s">
        <v>53</v>
      </c>
      <c r="C3064">
        <v>7.0000000000000007E-2</v>
      </c>
    </row>
    <row r="3065" spans="1:3" x14ac:dyDescent="0.3">
      <c r="A3065" t="s">
        <v>3012</v>
      </c>
      <c r="B3065" t="s">
        <v>53</v>
      </c>
      <c r="C3065">
        <v>7.0000000000000007E-2</v>
      </c>
    </row>
    <row r="3066" spans="1:3" x14ac:dyDescent="0.3">
      <c r="A3066" t="s">
        <v>9763</v>
      </c>
      <c r="B3066" t="s">
        <v>53</v>
      </c>
      <c r="C3066">
        <v>0.08</v>
      </c>
    </row>
    <row r="3067" spans="1:3" x14ac:dyDescent="0.3">
      <c r="A3067" t="s">
        <v>7585</v>
      </c>
      <c r="B3067" t="s">
        <v>87</v>
      </c>
      <c r="C3067">
        <v>0.04</v>
      </c>
    </row>
    <row r="3068" spans="1:3" x14ac:dyDescent="0.3">
      <c r="A3068" t="s">
        <v>2639</v>
      </c>
      <c r="B3068" t="s">
        <v>87</v>
      </c>
      <c r="C3068">
        <v>0.01</v>
      </c>
    </row>
    <row r="3069" spans="1:3" x14ac:dyDescent="0.3">
      <c r="A3069" t="s">
        <v>2639</v>
      </c>
      <c r="B3069" t="s">
        <v>87</v>
      </c>
      <c r="C3069">
        <v>0.05</v>
      </c>
    </row>
    <row r="3070" spans="1:3" x14ac:dyDescent="0.3">
      <c r="A3070" t="s">
        <v>15676</v>
      </c>
      <c r="B3070" t="s">
        <v>40</v>
      </c>
      <c r="C3070">
        <v>0.03</v>
      </c>
    </row>
    <row r="3071" spans="1:3" x14ac:dyDescent="0.3">
      <c r="A3071" t="s">
        <v>15712</v>
      </c>
      <c r="B3071" t="s">
        <v>40</v>
      </c>
      <c r="C3071">
        <v>0.08</v>
      </c>
    </row>
    <row r="3072" spans="1:3" x14ac:dyDescent="0.3">
      <c r="A3072" t="s">
        <v>8266</v>
      </c>
      <c r="B3072" t="s">
        <v>64</v>
      </c>
      <c r="C3072">
        <v>0.02</v>
      </c>
    </row>
    <row r="3073" spans="1:3" x14ac:dyDescent="0.3">
      <c r="A3073" t="s">
        <v>8266</v>
      </c>
      <c r="B3073" t="s">
        <v>64</v>
      </c>
      <c r="C3073">
        <v>0.03</v>
      </c>
    </row>
    <row r="3074" spans="1:3" x14ac:dyDescent="0.3">
      <c r="A3074" t="s">
        <v>8266</v>
      </c>
      <c r="B3074" t="s">
        <v>29</v>
      </c>
      <c r="C3074">
        <v>0.1</v>
      </c>
    </row>
    <row r="3075" spans="1:3" x14ac:dyDescent="0.3">
      <c r="A3075" t="s">
        <v>2655</v>
      </c>
      <c r="B3075" t="s">
        <v>40</v>
      </c>
      <c r="C3075">
        <v>0</v>
      </c>
    </row>
    <row r="3076" spans="1:3" x14ac:dyDescent="0.3">
      <c r="A3076" t="s">
        <v>2655</v>
      </c>
      <c r="B3076" t="s">
        <v>40</v>
      </c>
      <c r="C3076">
        <v>7.0000000000000007E-2</v>
      </c>
    </row>
    <row r="3077" spans="1:3" x14ac:dyDescent="0.3">
      <c r="A3077" t="s">
        <v>8121</v>
      </c>
      <c r="B3077" t="s">
        <v>40</v>
      </c>
      <c r="C3077">
        <v>0</v>
      </c>
    </row>
    <row r="3078" spans="1:3" x14ac:dyDescent="0.3">
      <c r="A3078" t="s">
        <v>8121</v>
      </c>
      <c r="B3078" t="s">
        <v>40</v>
      </c>
      <c r="C3078">
        <v>0.03</v>
      </c>
    </row>
    <row r="3079" spans="1:3" x14ac:dyDescent="0.3">
      <c r="A3079" t="s">
        <v>2662</v>
      </c>
      <c r="B3079" t="s">
        <v>64</v>
      </c>
      <c r="C3079">
        <v>0</v>
      </c>
    </row>
    <row r="3080" spans="1:3" x14ac:dyDescent="0.3">
      <c r="A3080" t="s">
        <v>11374</v>
      </c>
      <c r="B3080" t="s">
        <v>53</v>
      </c>
      <c r="C3080">
        <v>0.02</v>
      </c>
    </row>
    <row r="3081" spans="1:3" x14ac:dyDescent="0.3">
      <c r="A3081" t="s">
        <v>11374</v>
      </c>
      <c r="B3081" t="s">
        <v>53</v>
      </c>
      <c r="C3081">
        <v>0.09</v>
      </c>
    </row>
    <row r="3082" spans="1:3" x14ac:dyDescent="0.3">
      <c r="A3082" t="s">
        <v>11374</v>
      </c>
      <c r="B3082" t="s">
        <v>87</v>
      </c>
      <c r="C3082">
        <v>0.02</v>
      </c>
    </row>
    <row r="3083" spans="1:3" x14ac:dyDescent="0.3">
      <c r="A3083" t="s">
        <v>11369</v>
      </c>
      <c r="B3083" t="s">
        <v>53</v>
      </c>
      <c r="C3083">
        <v>0.03</v>
      </c>
    </row>
    <row r="3084" spans="1:3" x14ac:dyDescent="0.3">
      <c r="A3084" t="s">
        <v>11329</v>
      </c>
      <c r="B3084" t="s">
        <v>29</v>
      </c>
      <c r="C3084">
        <v>0</v>
      </c>
    </row>
    <row r="3085" spans="1:3" x14ac:dyDescent="0.3">
      <c r="A3085" t="s">
        <v>11329</v>
      </c>
      <c r="B3085" t="s">
        <v>29</v>
      </c>
      <c r="C3085">
        <v>0.01</v>
      </c>
    </row>
    <row r="3086" spans="1:3" x14ac:dyDescent="0.3">
      <c r="A3086" t="s">
        <v>11329</v>
      </c>
      <c r="B3086" t="s">
        <v>29</v>
      </c>
      <c r="C3086">
        <v>0.03</v>
      </c>
    </row>
    <row r="3087" spans="1:3" x14ac:dyDescent="0.3">
      <c r="A3087" t="s">
        <v>12132</v>
      </c>
      <c r="B3087" t="s">
        <v>29</v>
      </c>
      <c r="C3087">
        <v>0.09</v>
      </c>
    </row>
    <row r="3088" spans="1:3" x14ac:dyDescent="0.3">
      <c r="A3088" t="s">
        <v>8524</v>
      </c>
      <c r="B3088" t="s">
        <v>87</v>
      </c>
      <c r="C3088">
        <v>0.03</v>
      </c>
    </row>
    <row r="3089" spans="1:3" x14ac:dyDescent="0.3">
      <c r="A3089" t="s">
        <v>7059</v>
      </c>
      <c r="B3089" t="s">
        <v>87</v>
      </c>
      <c r="C3089">
        <v>0.03</v>
      </c>
    </row>
    <row r="3090" spans="1:3" x14ac:dyDescent="0.3">
      <c r="A3090" t="s">
        <v>9301</v>
      </c>
      <c r="B3090" t="s">
        <v>40</v>
      </c>
      <c r="C3090">
        <v>0.01</v>
      </c>
    </row>
    <row r="3091" spans="1:3" x14ac:dyDescent="0.3">
      <c r="A3091" t="s">
        <v>9464</v>
      </c>
      <c r="B3091" t="s">
        <v>87</v>
      </c>
      <c r="C3091">
        <v>0.04</v>
      </c>
    </row>
    <row r="3092" spans="1:3" x14ac:dyDescent="0.3">
      <c r="A3092" t="s">
        <v>11622</v>
      </c>
      <c r="B3092" t="s">
        <v>87</v>
      </c>
      <c r="C3092">
        <v>0</v>
      </c>
    </row>
    <row r="3093" spans="1:3" x14ac:dyDescent="0.3">
      <c r="A3093" t="s">
        <v>2761</v>
      </c>
      <c r="B3093" t="s">
        <v>53</v>
      </c>
      <c r="C3093">
        <v>0.09</v>
      </c>
    </row>
    <row r="3094" spans="1:3" x14ac:dyDescent="0.3">
      <c r="A3094" t="s">
        <v>7288</v>
      </c>
      <c r="B3094" t="s">
        <v>53</v>
      </c>
      <c r="C3094">
        <v>7.0000000000000007E-2</v>
      </c>
    </row>
    <row r="3095" spans="1:3" x14ac:dyDescent="0.3">
      <c r="A3095" t="s">
        <v>11632</v>
      </c>
      <c r="B3095" t="s">
        <v>64</v>
      </c>
      <c r="C3095">
        <v>0.01</v>
      </c>
    </row>
    <row r="3096" spans="1:3" x14ac:dyDescent="0.3">
      <c r="A3096" t="s">
        <v>10185</v>
      </c>
      <c r="B3096" t="s">
        <v>53</v>
      </c>
      <c r="C3096">
        <v>0.09</v>
      </c>
    </row>
    <row r="3097" spans="1:3" x14ac:dyDescent="0.3">
      <c r="A3097" t="s">
        <v>11055</v>
      </c>
      <c r="B3097" t="s">
        <v>53</v>
      </c>
      <c r="C3097">
        <v>0.01</v>
      </c>
    </row>
    <row r="3098" spans="1:3" x14ac:dyDescent="0.3">
      <c r="A3098" t="s">
        <v>11055</v>
      </c>
      <c r="B3098" t="s">
        <v>53</v>
      </c>
      <c r="C3098">
        <v>0.06</v>
      </c>
    </row>
    <row r="3099" spans="1:3" x14ac:dyDescent="0.3">
      <c r="A3099" t="s">
        <v>5134</v>
      </c>
      <c r="B3099" t="s">
        <v>53</v>
      </c>
      <c r="C3099">
        <v>0.05</v>
      </c>
    </row>
    <row r="3100" spans="1:3" x14ac:dyDescent="0.3">
      <c r="A3100" t="s">
        <v>5134</v>
      </c>
      <c r="B3100" t="s">
        <v>53</v>
      </c>
      <c r="C3100">
        <v>7.0000000000000007E-2</v>
      </c>
    </row>
    <row r="3101" spans="1:3" x14ac:dyDescent="0.3">
      <c r="A3101" t="s">
        <v>9697</v>
      </c>
      <c r="B3101" t="s">
        <v>53</v>
      </c>
      <c r="C3101">
        <v>0.06</v>
      </c>
    </row>
    <row r="3102" spans="1:3" x14ac:dyDescent="0.3">
      <c r="A3102" t="s">
        <v>9697</v>
      </c>
      <c r="B3102" t="s">
        <v>87</v>
      </c>
      <c r="C3102">
        <v>0.06</v>
      </c>
    </row>
    <row r="3103" spans="1:3" x14ac:dyDescent="0.3">
      <c r="A3103" t="s">
        <v>10930</v>
      </c>
      <c r="B3103" t="s">
        <v>87</v>
      </c>
      <c r="C3103">
        <v>0.05</v>
      </c>
    </row>
    <row r="3104" spans="1:3" x14ac:dyDescent="0.3">
      <c r="A3104" t="s">
        <v>4813</v>
      </c>
      <c r="B3104" t="s">
        <v>64</v>
      </c>
      <c r="C3104">
        <v>0</v>
      </c>
    </row>
    <row r="3105" spans="1:3" x14ac:dyDescent="0.3">
      <c r="A3105" t="s">
        <v>2796</v>
      </c>
      <c r="B3105" t="s">
        <v>87</v>
      </c>
      <c r="C3105">
        <v>7.0000000000000007E-2</v>
      </c>
    </row>
    <row r="3106" spans="1:3" x14ac:dyDescent="0.3">
      <c r="A3106" t="s">
        <v>2802</v>
      </c>
      <c r="B3106" t="s">
        <v>225</v>
      </c>
      <c r="C3106">
        <v>0.05</v>
      </c>
    </row>
    <row r="3107" spans="1:3" x14ac:dyDescent="0.3">
      <c r="A3107" t="s">
        <v>14534</v>
      </c>
      <c r="B3107" t="s">
        <v>40</v>
      </c>
      <c r="C3107">
        <v>0.06</v>
      </c>
    </row>
    <row r="3108" spans="1:3" x14ac:dyDescent="0.3">
      <c r="A3108" t="s">
        <v>13739</v>
      </c>
      <c r="B3108" t="s">
        <v>40</v>
      </c>
      <c r="C3108">
        <v>0.01</v>
      </c>
    </row>
    <row r="3109" spans="1:3" x14ac:dyDescent="0.3">
      <c r="A3109" t="s">
        <v>10337</v>
      </c>
      <c r="B3109" t="s">
        <v>87</v>
      </c>
      <c r="C3109">
        <v>0.09</v>
      </c>
    </row>
    <row r="3110" spans="1:3" x14ac:dyDescent="0.3">
      <c r="A3110" t="s">
        <v>4051</v>
      </c>
      <c r="B3110" t="s">
        <v>40</v>
      </c>
      <c r="C3110">
        <v>0.05</v>
      </c>
    </row>
    <row r="3111" spans="1:3" x14ac:dyDescent="0.3">
      <c r="A3111" t="s">
        <v>4051</v>
      </c>
      <c r="B3111" t="s">
        <v>64</v>
      </c>
      <c r="C3111">
        <v>0.1</v>
      </c>
    </row>
    <row r="3112" spans="1:3" x14ac:dyDescent="0.3">
      <c r="A3112" t="s">
        <v>4051</v>
      </c>
      <c r="B3112" t="s">
        <v>53</v>
      </c>
      <c r="C3112">
        <v>0.04</v>
      </c>
    </row>
    <row r="3113" spans="1:3" x14ac:dyDescent="0.3">
      <c r="A3113" t="s">
        <v>5459</v>
      </c>
      <c r="B3113" t="s">
        <v>64</v>
      </c>
      <c r="C3113">
        <v>0.1</v>
      </c>
    </row>
    <row r="3114" spans="1:3" x14ac:dyDescent="0.3">
      <c r="A3114" t="s">
        <v>10182</v>
      </c>
      <c r="B3114" t="s">
        <v>225</v>
      </c>
      <c r="C3114">
        <v>0.05</v>
      </c>
    </row>
    <row r="3115" spans="1:3" x14ac:dyDescent="0.3">
      <c r="A3115" t="s">
        <v>2838</v>
      </c>
      <c r="B3115" t="s">
        <v>29</v>
      </c>
      <c r="C3115">
        <v>0.09</v>
      </c>
    </row>
    <row r="3116" spans="1:3" x14ac:dyDescent="0.3">
      <c r="A3116" t="s">
        <v>2848</v>
      </c>
      <c r="B3116" t="s">
        <v>87</v>
      </c>
      <c r="C3116">
        <v>0.08</v>
      </c>
    </row>
    <row r="3117" spans="1:3" x14ac:dyDescent="0.3">
      <c r="A3117" t="s">
        <v>2848</v>
      </c>
      <c r="B3117" t="s">
        <v>87</v>
      </c>
      <c r="C3117">
        <v>0.09</v>
      </c>
    </row>
    <row r="3118" spans="1:3" x14ac:dyDescent="0.3">
      <c r="A3118" t="s">
        <v>7365</v>
      </c>
      <c r="B3118" t="s">
        <v>87</v>
      </c>
      <c r="C3118">
        <v>0</v>
      </c>
    </row>
    <row r="3119" spans="1:3" x14ac:dyDescent="0.3">
      <c r="A3119" t="s">
        <v>7365</v>
      </c>
      <c r="B3119" t="s">
        <v>87</v>
      </c>
      <c r="C3119">
        <v>0.04</v>
      </c>
    </row>
    <row r="3120" spans="1:3" x14ac:dyDescent="0.3">
      <c r="A3120" t="s">
        <v>7428</v>
      </c>
      <c r="B3120" t="s">
        <v>40</v>
      </c>
      <c r="C3120">
        <v>0.03</v>
      </c>
    </row>
    <row r="3121" spans="1:3" x14ac:dyDescent="0.3">
      <c r="A3121" t="s">
        <v>7428</v>
      </c>
      <c r="B3121" t="s">
        <v>40</v>
      </c>
      <c r="C3121">
        <v>0.05</v>
      </c>
    </row>
    <row r="3122" spans="1:3" x14ac:dyDescent="0.3">
      <c r="A3122" t="s">
        <v>3648</v>
      </c>
      <c r="B3122" t="s">
        <v>64</v>
      </c>
      <c r="C3122">
        <v>0</v>
      </c>
    </row>
    <row r="3123" spans="1:3" x14ac:dyDescent="0.3">
      <c r="A3123" t="s">
        <v>3648</v>
      </c>
      <c r="B3123" t="s">
        <v>64</v>
      </c>
      <c r="C3123">
        <v>0.1</v>
      </c>
    </row>
    <row r="3124" spans="1:3" x14ac:dyDescent="0.3">
      <c r="A3124" t="s">
        <v>7921</v>
      </c>
      <c r="B3124" t="s">
        <v>87</v>
      </c>
      <c r="C3124">
        <v>0.02</v>
      </c>
    </row>
    <row r="3125" spans="1:3" x14ac:dyDescent="0.3">
      <c r="A3125" t="s">
        <v>7921</v>
      </c>
      <c r="B3125" t="s">
        <v>87</v>
      </c>
      <c r="C3125">
        <v>0.1</v>
      </c>
    </row>
    <row r="3126" spans="1:3" x14ac:dyDescent="0.3">
      <c r="A3126" t="s">
        <v>2955</v>
      </c>
      <c r="B3126" t="s">
        <v>225</v>
      </c>
      <c r="C3126">
        <v>0.08</v>
      </c>
    </row>
    <row r="3127" spans="1:3" x14ac:dyDescent="0.3">
      <c r="A3127" t="s">
        <v>7386</v>
      </c>
      <c r="B3127" t="s">
        <v>29</v>
      </c>
      <c r="C3127">
        <v>0.03</v>
      </c>
    </row>
    <row r="3128" spans="1:3" x14ac:dyDescent="0.3">
      <c r="A3128" t="s">
        <v>7386</v>
      </c>
      <c r="B3128" t="s">
        <v>29</v>
      </c>
      <c r="C3128">
        <v>7.0000000000000007E-2</v>
      </c>
    </row>
    <row r="3129" spans="1:3" x14ac:dyDescent="0.3">
      <c r="A3129" t="s">
        <v>11402</v>
      </c>
      <c r="B3129" t="s">
        <v>29</v>
      </c>
      <c r="C3129">
        <v>0.06</v>
      </c>
    </row>
    <row r="3130" spans="1:3" x14ac:dyDescent="0.3">
      <c r="A3130" t="s">
        <v>8421</v>
      </c>
      <c r="B3130" t="s">
        <v>87</v>
      </c>
      <c r="C3130">
        <v>0.1</v>
      </c>
    </row>
    <row r="3131" spans="1:3" x14ac:dyDescent="0.3">
      <c r="A3131" t="s">
        <v>5599</v>
      </c>
      <c r="B3131" t="s">
        <v>87</v>
      </c>
      <c r="C3131">
        <v>0.08</v>
      </c>
    </row>
    <row r="3132" spans="1:3" x14ac:dyDescent="0.3">
      <c r="A3132" t="s">
        <v>8351</v>
      </c>
      <c r="B3132" t="s">
        <v>40</v>
      </c>
      <c r="C3132">
        <v>0.02</v>
      </c>
    </row>
    <row r="3133" spans="1:3" x14ac:dyDescent="0.3">
      <c r="A3133" t="s">
        <v>8351</v>
      </c>
      <c r="B3133" t="s">
        <v>40</v>
      </c>
      <c r="C3133">
        <v>0.06</v>
      </c>
    </row>
    <row r="3134" spans="1:3" x14ac:dyDescent="0.3">
      <c r="A3134" t="s">
        <v>13205</v>
      </c>
      <c r="B3134" t="s">
        <v>53</v>
      </c>
      <c r="C3134">
        <v>0.03</v>
      </c>
    </row>
    <row r="3135" spans="1:3" x14ac:dyDescent="0.3">
      <c r="A3135" t="s">
        <v>4568</v>
      </c>
      <c r="B3135" t="s">
        <v>87</v>
      </c>
      <c r="C3135">
        <v>0</v>
      </c>
    </row>
    <row r="3136" spans="1:3" x14ac:dyDescent="0.3">
      <c r="A3136" t="s">
        <v>6322</v>
      </c>
      <c r="B3136" t="s">
        <v>40</v>
      </c>
      <c r="C3136">
        <v>0.03</v>
      </c>
    </row>
    <row r="3137" spans="1:3" x14ac:dyDescent="0.3">
      <c r="A3137" t="s">
        <v>9989</v>
      </c>
      <c r="B3137" t="s">
        <v>225</v>
      </c>
      <c r="C3137">
        <v>0.1</v>
      </c>
    </row>
    <row r="3138" spans="1:3" x14ac:dyDescent="0.3">
      <c r="A3138" t="s">
        <v>9989</v>
      </c>
      <c r="B3138" t="s">
        <v>64</v>
      </c>
      <c r="C3138">
        <v>0</v>
      </c>
    </row>
    <row r="3139" spans="1:3" x14ac:dyDescent="0.3">
      <c r="A3139" t="s">
        <v>9989</v>
      </c>
      <c r="B3139" t="s">
        <v>29</v>
      </c>
      <c r="C3139">
        <v>0.02</v>
      </c>
    </row>
    <row r="3140" spans="1:3" x14ac:dyDescent="0.3">
      <c r="A3140" t="s">
        <v>9989</v>
      </c>
      <c r="B3140" t="s">
        <v>87</v>
      </c>
      <c r="C3140">
        <v>0.1</v>
      </c>
    </row>
    <row r="3141" spans="1:3" x14ac:dyDescent="0.3">
      <c r="A3141" t="s">
        <v>5796</v>
      </c>
      <c r="B3141" t="s">
        <v>64</v>
      </c>
      <c r="C3141">
        <v>0</v>
      </c>
    </row>
    <row r="3142" spans="1:3" x14ac:dyDescent="0.3">
      <c r="A3142" t="s">
        <v>5796</v>
      </c>
      <c r="B3142" t="s">
        <v>64</v>
      </c>
      <c r="C3142">
        <v>7.0000000000000007E-2</v>
      </c>
    </row>
    <row r="3143" spans="1:3" x14ac:dyDescent="0.3">
      <c r="A3143" t="s">
        <v>3018</v>
      </c>
      <c r="B3143" t="s">
        <v>87</v>
      </c>
      <c r="C3143">
        <v>0.1</v>
      </c>
    </row>
    <row r="3144" spans="1:3" x14ac:dyDescent="0.3">
      <c r="A3144" t="s">
        <v>12516</v>
      </c>
      <c r="B3144" t="s">
        <v>225</v>
      </c>
      <c r="C3144">
        <v>0.03</v>
      </c>
    </row>
    <row r="3145" spans="1:3" x14ac:dyDescent="0.3">
      <c r="A3145" t="s">
        <v>9770</v>
      </c>
      <c r="B3145" t="s">
        <v>87</v>
      </c>
      <c r="C3145">
        <v>0.02</v>
      </c>
    </row>
    <row r="3146" spans="1:3" x14ac:dyDescent="0.3">
      <c r="A3146" t="s">
        <v>9770</v>
      </c>
      <c r="B3146" t="s">
        <v>87</v>
      </c>
      <c r="C3146">
        <v>0.03</v>
      </c>
    </row>
    <row r="3147" spans="1:3" x14ac:dyDescent="0.3">
      <c r="A3147" t="s">
        <v>9770</v>
      </c>
      <c r="B3147" t="s">
        <v>87</v>
      </c>
      <c r="C3147">
        <v>0.04</v>
      </c>
    </row>
    <row r="3148" spans="1:3" x14ac:dyDescent="0.3">
      <c r="A3148" t="s">
        <v>6913</v>
      </c>
      <c r="B3148" t="s">
        <v>87</v>
      </c>
      <c r="C3148">
        <v>0.01</v>
      </c>
    </row>
    <row r="3149" spans="1:3" x14ac:dyDescent="0.3">
      <c r="A3149" t="s">
        <v>6330</v>
      </c>
      <c r="B3149" t="s">
        <v>29</v>
      </c>
      <c r="C3149">
        <v>0</v>
      </c>
    </row>
    <row r="3150" spans="1:3" x14ac:dyDescent="0.3">
      <c r="A3150" t="s">
        <v>6330</v>
      </c>
      <c r="B3150" t="s">
        <v>29</v>
      </c>
      <c r="C3150">
        <v>7.0000000000000007E-2</v>
      </c>
    </row>
    <row r="3151" spans="1:3" x14ac:dyDescent="0.3">
      <c r="A3151" t="s">
        <v>8460</v>
      </c>
      <c r="B3151" t="s">
        <v>29</v>
      </c>
      <c r="C3151">
        <v>0.1</v>
      </c>
    </row>
    <row r="3152" spans="1:3" x14ac:dyDescent="0.3">
      <c r="A3152" t="s">
        <v>3050</v>
      </c>
      <c r="B3152" t="s">
        <v>29</v>
      </c>
      <c r="C3152">
        <v>0.1</v>
      </c>
    </row>
    <row r="3153" spans="1:3" x14ac:dyDescent="0.3">
      <c r="A3153" t="s">
        <v>8473</v>
      </c>
      <c r="B3153" t="s">
        <v>29</v>
      </c>
      <c r="C3153">
        <v>0.01</v>
      </c>
    </row>
    <row r="3154" spans="1:3" x14ac:dyDescent="0.3">
      <c r="A3154" t="s">
        <v>11017</v>
      </c>
      <c r="B3154" t="s">
        <v>225</v>
      </c>
      <c r="C3154">
        <v>0.05</v>
      </c>
    </row>
    <row r="3155" spans="1:3" x14ac:dyDescent="0.3">
      <c r="A3155" t="s">
        <v>3055</v>
      </c>
      <c r="B3155" t="s">
        <v>225</v>
      </c>
      <c r="C3155">
        <v>0</v>
      </c>
    </row>
    <row r="3156" spans="1:3" x14ac:dyDescent="0.3">
      <c r="A3156" t="s">
        <v>8164</v>
      </c>
      <c r="B3156" t="s">
        <v>225</v>
      </c>
      <c r="C3156">
        <v>0.1</v>
      </c>
    </row>
    <row r="3157" spans="1:3" x14ac:dyDescent="0.3">
      <c r="A3157" t="s">
        <v>13083</v>
      </c>
      <c r="B3157" t="s">
        <v>225</v>
      </c>
      <c r="C3157">
        <v>0.03</v>
      </c>
    </row>
    <row r="3158" spans="1:3" x14ac:dyDescent="0.3">
      <c r="A3158" t="s">
        <v>9385</v>
      </c>
      <c r="B3158" t="s">
        <v>225</v>
      </c>
      <c r="C3158">
        <v>7.0000000000000007E-2</v>
      </c>
    </row>
    <row r="3159" spans="1:3" x14ac:dyDescent="0.3">
      <c r="A3159" t="s">
        <v>10974</v>
      </c>
      <c r="B3159" t="s">
        <v>87</v>
      </c>
      <c r="C3159">
        <v>0.05</v>
      </c>
    </row>
    <row r="3160" spans="1:3" x14ac:dyDescent="0.3">
      <c r="A3160" t="s">
        <v>10974</v>
      </c>
      <c r="B3160" t="s">
        <v>87</v>
      </c>
      <c r="C3160">
        <v>0.08</v>
      </c>
    </row>
    <row r="3161" spans="1:3" x14ac:dyDescent="0.3">
      <c r="A3161" t="s">
        <v>15450</v>
      </c>
      <c r="B3161" t="s">
        <v>40</v>
      </c>
      <c r="C3161">
        <v>0.04</v>
      </c>
    </row>
    <row r="3162" spans="1:3" x14ac:dyDescent="0.3">
      <c r="A3162" t="s">
        <v>5661</v>
      </c>
      <c r="B3162" t="s">
        <v>87</v>
      </c>
      <c r="C3162">
        <v>0.06</v>
      </c>
    </row>
    <row r="3163" spans="1:3" x14ac:dyDescent="0.3">
      <c r="A3163" t="s">
        <v>3065</v>
      </c>
      <c r="B3163" t="s">
        <v>53</v>
      </c>
      <c r="C3163">
        <v>0.06</v>
      </c>
    </row>
    <row r="3164" spans="1:3" x14ac:dyDescent="0.3">
      <c r="A3164" t="s">
        <v>11108</v>
      </c>
      <c r="B3164" t="s">
        <v>225</v>
      </c>
      <c r="C3164">
        <v>0.05</v>
      </c>
    </row>
    <row r="3165" spans="1:3" x14ac:dyDescent="0.3">
      <c r="A3165" t="s">
        <v>11108</v>
      </c>
      <c r="B3165" t="s">
        <v>225</v>
      </c>
      <c r="C3165">
        <v>7.0000000000000007E-2</v>
      </c>
    </row>
    <row r="3166" spans="1:3" x14ac:dyDescent="0.3">
      <c r="A3166" t="s">
        <v>6245</v>
      </c>
      <c r="B3166" t="s">
        <v>225</v>
      </c>
      <c r="C3166">
        <v>0.06</v>
      </c>
    </row>
    <row r="3167" spans="1:3" x14ac:dyDescent="0.3">
      <c r="A3167" t="s">
        <v>12046</v>
      </c>
      <c r="B3167" t="s">
        <v>225</v>
      </c>
      <c r="C3167">
        <v>0</v>
      </c>
    </row>
    <row r="3168" spans="1:3" x14ac:dyDescent="0.3">
      <c r="A3168" t="s">
        <v>10357</v>
      </c>
      <c r="B3168" t="s">
        <v>225</v>
      </c>
      <c r="C3168">
        <v>0.1</v>
      </c>
    </row>
    <row r="3169" spans="1:3" x14ac:dyDescent="0.3">
      <c r="A3169" t="s">
        <v>6235</v>
      </c>
      <c r="B3169" t="s">
        <v>225</v>
      </c>
      <c r="C3169">
        <v>0.03</v>
      </c>
    </row>
    <row r="3170" spans="1:3" x14ac:dyDescent="0.3">
      <c r="A3170" t="s">
        <v>6235</v>
      </c>
      <c r="B3170" t="s">
        <v>225</v>
      </c>
      <c r="C3170">
        <v>7.0000000000000007E-2</v>
      </c>
    </row>
    <row r="3171" spans="1:3" x14ac:dyDescent="0.3">
      <c r="A3171" t="s">
        <v>7084</v>
      </c>
      <c r="B3171" t="s">
        <v>225</v>
      </c>
      <c r="C3171">
        <v>0</v>
      </c>
    </row>
    <row r="3172" spans="1:3" x14ac:dyDescent="0.3">
      <c r="A3172" t="s">
        <v>7084</v>
      </c>
      <c r="B3172" t="s">
        <v>225</v>
      </c>
      <c r="C3172">
        <v>0.06</v>
      </c>
    </row>
    <row r="3173" spans="1:3" x14ac:dyDescent="0.3">
      <c r="A3173" t="s">
        <v>4049</v>
      </c>
      <c r="B3173" t="s">
        <v>225</v>
      </c>
      <c r="C3173">
        <v>0.06</v>
      </c>
    </row>
    <row r="3174" spans="1:3" x14ac:dyDescent="0.3">
      <c r="A3174" t="s">
        <v>4839</v>
      </c>
      <c r="B3174" t="s">
        <v>87</v>
      </c>
      <c r="C3174">
        <v>0</v>
      </c>
    </row>
    <row r="3175" spans="1:3" x14ac:dyDescent="0.3">
      <c r="A3175" t="s">
        <v>4839</v>
      </c>
      <c r="B3175" t="s">
        <v>87</v>
      </c>
      <c r="C3175">
        <v>0.02</v>
      </c>
    </row>
    <row r="3176" spans="1:3" x14ac:dyDescent="0.3">
      <c r="A3176" t="s">
        <v>14886</v>
      </c>
      <c r="B3176" t="s">
        <v>40</v>
      </c>
      <c r="C3176">
        <v>0.08</v>
      </c>
    </row>
    <row r="3177" spans="1:3" x14ac:dyDescent="0.3">
      <c r="A3177" t="s">
        <v>12036</v>
      </c>
      <c r="B3177" t="s">
        <v>64</v>
      </c>
      <c r="C3177">
        <v>0.02</v>
      </c>
    </row>
    <row r="3178" spans="1:3" x14ac:dyDescent="0.3">
      <c r="A3178" t="s">
        <v>9386</v>
      </c>
      <c r="B3178" t="s">
        <v>40</v>
      </c>
      <c r="C3178">
        <v>0.01</v>
      </c>
    </row>
    <row r="3179" spans="1:3" x14ac:dyDescent="0.3">
      <c r="A3179" t="s">
        <v>9386</v>
      </c>
      <c r="B3179" t="s">
        <v>40</v>
      </c>
      <c r="C3179">
        <v>0.02</v>
      </c>
    </row>
    <row r="3180" spans="1:3" x14ac:dyDescent="0.3">
      <c r="A3180" t="s">
        <v>15531</v>
      </c>
      <c r="B3180" t="s">
        <v>29</v>
      </c>
      <c r="C3180">
        <v>0</v>
      </c>
    </row>
    <row r="3181" spans="1:3" x14ac:dyDescent="0.3">
      <c r="A3181" t="s">
        <v>15531</v>
      </c>
      <c r="B3181" t="s">
        <v>29</v>
      </c>
      <c r="C3181">
        <v>0.03</v>
      </c>
    </row>
    <row r="3182" spans="1:3" x14ac:dyDescent="0.3">
      <c r="A3182" t="s">
        <v>9235</v>
      </c>
      <c r="B3182" t="s">
        <v>40</v>
      </c>
      <c r="C3182">
        <v>0.06</v>
      </c>
    </row>
    <row r="3183" spans="1:3" x14ac:dyDescent="0.3">
      <c r="A3183" t="s">
        <v>12481</v>
      </c>
      <c r="B3183" t="s">
        <v>40</v>
      </c>
      <c r="C3183">
        <v>0.03</v>
      </c>
    </row>
    <row r="3184" spans="1:3" x14ac:dyDescent="0.3">
      <c r="A3184" t="s">
        <v>3126</v>
      </c>
      <c r="B3184" t="s">
        <v>29</v>
      </c>
      <c r="C3184">
        <v>7.0000000000000007E-2</v>
      </c>
    </row>
    <row r="3185" spans="1:3" x14ac:dyDescent="0.3">
      <c r="A3185" t="s">
        <v>3126</v>
      </c>
      <c r="B3185" t="s">
        <v>29</v>
      </c>
      <c r="C3185">
        <v>0.1</v>
      </c>
    </row>
    <row r="3186" spans="1:3" x14ac:dyDescent="0.3">
      <c r="A3186" t="s">
        <v>3126</v>
      </c>
      <c r="B3186" t="s">
        <v>87</v>
      </c>
      <c r="C3186">
        <v>0.08</v>
      </c>
    </row>
    <row r="3187" spans="1:3" x14ac:dyDescent="0.3">
      <c r="A3187" t="s">
        <v>15600</v>
      </c>
      <c r="B3187" t="s">
        <v>64</v>
      </c>
      <c r="C3187">
        <v>0.04</v>
      </c>
    </row>
    <row r="3188" spans="1:3" x14ac:dyDescent="0.3">
      <c r="A3188" t="s">
        <v>8380</v>
      </c>
      <c r="B3188" t="s">
        <v>87</v>
      </c>
      <c r="C3188">
        <v>0.01</v>
      </c>
    </row>
    <row r="3189" spans="1:3" x14ac:dyDescent="0.3">
      <c r="A3189" t="s">
        <v>12979</v>
      </c>
      <c r="B3189" t="s">
        <v>87</v>
      </c>
      <c r="C3189">
        <v>0.08</v>
      </c>
    </row>
    <row r="3190" spans="1:3" x14ac:dyDescent="0.3">
      <c r="A3190" t="s">
        <v>3142</v>
      </c>
      <c r="B3190" t="s">
        <v>29</v>
      </c>
      <c r="C3190">
        <v>0.03</v>
      </c>
    </row>
    <row r="3191" spans="1:3" x14ac:dyDescent="0.3">
      <c r="A3191" t="s">
        <v>3142</v>
      </c>
      <c r="B3191" t="s">
        <v>87</v>
      </c>
      <c r="C3191">
        <v>0.08</v>
      </c>
    </row>
    <row r="3192" spans="1:3" x14ac:dyDescent="0.3">
      <c r="A3192" t="s">
        <v>11331</v>
      </c>
      <c r="B3192" t="s">
        <v>40</v>
      </c>
      <c r="C3192">
        <v>0.05</v>
      </c>
    </row>
    <row r="3193" spans="1:3" x14ac:dyDescent="0.3">
      <c r="A3193" t="s">
        <v>11331</v>
      </c>
      <c r="B3193" t="s">
        <v>40</v>
      </c>
      <c r="C3193">
        <v>0.09</v>
      </c>
    </row>
    <row r="3194" spans="1:3" x14ac:dyDescent="0.3">
      <c r="A3194" t="s">
        <v>5177</v>
      </c>
      <c r="B3194" t="s">
        <v>87</v>
      </c>
      <c r="C3194">
        <v>0.05</v>
      </c>
    </row>
    <row r="3195" spans="1:3" x14ac:dyDescent="0.3">
      <c r="A3195" t="s">
        <v>5177</v>
      </c>
      <c r="B3195" t="s">
        <v>87</v>
      </c>
      <c r="C3195">
        <v>0.08</v>
      </c>
    </row>
    <row r="3196" spans="1:3" x14ac:dyDescent="0.3">
      <c r="A3196" t="s">
        <v>5177</v>
      </c>
      <c r="B3196" t="s">
        <v>87</v>
      </c>
      <c r="C3196">
        <v>0.09</v>
      </c>
    </row>
    <row r="3197" spans="1:3" x14ac:dyDescent="0.3">
      <c r="A3197" t="s">
        <v>14124</v>
      </c>
      <c r="B3197" t="s">
        <v>40</v>
      </c>
      <c r="C3197">
        <v>0.03</v>
      </c>
    </row>
    <row r="3198" spans="1:3" x14ac:dyDescent="0.3">
      <c r="A3198" t="s">
        <v>9329</v>
      </c>
      <c r="B3198" t="s">
        <v>40</v>
      </c>
      <c r="C3198">
        <v>0</v>
      </c>
    </row>
    <row r="3199" spans="1:3" x14ac:dyDescent="0.3">
      <c r="A3199" t="s">
        <v>3196</v>
      </c>
      <c r="B3199" t="s">
        <v>53</v>
      </c>
      <c r="C3199">
        <v>0.04</v>
      </c>
    </row>
    <row r="3200" spans="1:3" x14ac:dyDescent="0.3">
      <c r="A3200" t="s">
        <v>3196</v>
      </c>
      <c r="B3200" t="s">
        <v>53</v>
      </c>
      <c r="C3200">
        <v>0.06</v>
      </c>
    </row>
    <row r="3201" spans="1:3" x14ac:dyDescent="0.3">
      <c r="A3201" t="s">
        <v>14138</v>
      </c>
      <c r="B3201" t="s">
        <v>64</v>
      </c>
      <c r="C3201">
        <v>0</v>
      </c>
    </row>
    <row r="3202" spans="1:3" x14ac:dyDescent="0.3">
      <c r="A3202" t="s">
        <v>14138</v>
      </c>
      <c r="B3202" t="s">
        <v>64</v>
      </c>
      <c r="C3202">
        <v>0.01</v>
      </c>
    </row>
    <row r="3203" spans="1:3" x14ac:dyDescent="0.3">
      <c r="A3203" t="s">
        <v>8197</v>
      </c>
      <c r="B3203" t="s">
        <v>40</v>
      </c>
      <c r="C3203">
        <v>0.04</v>
      </c>
    </row>
    <row r="3204" spans="1:3" x14ac:dyDescent="0.3">
      <c r="A3204" t="s">
        <v>8197</v>
      </c>
      <c r="B3204" t="s">
        <v>53</v>
      </c>
      <c r="C3204">
        <v>0.1</v>
      </c>
    </row>
    <row r="3205" spans="1:3" x14ac:dyDescent="0.3">
      <c r="A3205" t="s">
        <v>3203</v>
      </c>
      <c r="B3205" t="s">
        <v>53</v>
      </c>
      <c r="C3205">
        <v>0.05</v>
      </c>
    </row>
    <row r="3206" spans="1:3" x14ac:dyDescent="0.3">
      <c r="A3206" t="s">
        <v>8033</v>
      </c>
      <c r="B3206" t="s">
        <v>53</v>
      </c>
      <c r="C3206">
        <v>0.03</v>
      </c>
    </row>
    <row r="3207" spans="1:3" x14ac:dyDescent="0.3">
      <c r="A3207" t="s">
        <v>11224</v>
      </c>
      <c r="B3207" t="s">
        <v>40</v>
      </c>
      <c r="C3207">
        <v>0.04</v>
      </c>
    </row>
    <row r="3208" spans="1:3" x14ac:dyDescent="0.3">
      <c r="A3208" t="s">
        <v>11224</v>
      </c>
      <c r="B3208" t="s">
        <v>40</v>
      </c>
      <c r="C3208">
        <v>0.08</v>
      </c>
    </row>
    <row r="3209" spans="1:3" x14ac:dyDescent="0.3">
      <c r="A3209" t="s">
        <v>14605</v>
      </c>
      <c r="B3209" t="s">
        <v>87</v>
      </c>
      <c r="C3209">
        <v>0.09</v>
      </c>
    </row>
    <row r="3210" spans="1:3" x14ac:dyDescent="0.3">
      <c r="A3210" t="s">
        <v>10824</v>
      </c>
      <c r="B3210" t="s">
        <v>40</v>
      </c>
      <c r="C3210">
        <v>0.03</v>
      </c>
    </row>
    <row r="3211" spans="1:3" x14ac:dyDescent="0.3">
      <c r="A3211" t="s">
        <v>10976</v>
      </c>
      <c r="B3211" t="s">
        <v>40</v>
      </c>
      <c r="C3211">
        <v>0.04</v>
      </c>
    </row>
    <row r="3212" spans="1:3" x14ac:dyDescent="0.3">
      <c r="A3212" t="s">
        <v>3224</v>
      </c>
      <c r="B3212" t="s">
        <v>40</v>
      </c>
      <c r="C3212">
        <v>0.02</v>
      </c>
    </row>
    <row r="3213" spans="1:3" x14ac:dyDescent="0.3">
      <c r="A3213" t="s">
        <v>3224</v>
      </c>
      <c r="B3213" t="s">
        <v>40</v>
      </c>
      <c r="C3213">
        <v>0.04</v>
      </c>
    </row>
    <row r="3214" spans="1:3" x14ac:dyDescent="0.3">
      <c r="A3214" t="s">
        <v>3224</v>
      </c>
      <c r="B3214" t="s">
        <v>87</v>
      </c>
      <c r="C3214">
        <v>0.04</v>
      </c>
    </row>
    <row r="3215" spans="1:3" x14ac:dyDescent="0.3">
      <c r="A3215" t="s">
        <v>3512</v>
      </c>
      <c r="B3215" t="s">
        <v>29</v>
      </c>
      <c r="C3215">
        <v>0</v>
      </c>
    </row>
    <row r="3216" spans="1:3" x14ac:dyDescent="0.3">
      <c r="A3216" t="s">
        <v>3512</v>
      </c>
      <c r="B3216" t="s">
        <v>29</v>
      </c>
      <c r="C3216">
        <v>0.03</v>
      </c>
    </row>
    <row r="3217" spans="1:3" x14ac:dyDescent="0.3">
      <c r="A3217" t="s">
        <v>3512</v>
      </c>
      <c r="B3217" t="s">
        <v>29</v>
      </c>
      <c r="C3217">
        <v>0.05</v>
      </c>
    </row>
    <row r="3218" spans="1:3" x14ac:dyDescent="0.3">
      <c r="A3218" t="s">
        <v>3512</v>
      </c>
      <c r="B3218" t="s">
        <v>29</v>
      </c>
      <c r="C3218">
        <v>0.09</v>
      </c>
    </row>
    <row r="3219" spans="1:3" x14ac:dyDescent="0.3">
      <c r="A3219" t="s">
        <v>3236</v>
      </c>
      <c r="B3219" t="s">
        <v>225</v>
      </c>
      <c r="C3219">
        <v>0.09</v>
      </c>
    </row>
    <row r="3220" spans="1:3" x14ac:dyDescent="0.3">
      <c r="A3220" t="s">
        <v>3534</v>
      </c>
      <c r="B3220" t="s">
        <v>40</v>
      </c>
      <c r="C3220">
        <v>0.04</v>
      </c>
    </row>
    <row r="3221" spans="1:3" x14ac:dyDescent="0.3">
      <c r="A3221" t="s">
        <v>8181</v>
      </c>
      <c r="B3221" t="s">
        <v>53</v>
      </c>
      <c r="C3221">
        <v>0.03</v>
      </c>
    </row>
    <row r="3222" spans="1:3" x14ac:dyDescent="0.3">
      <c r="A3222" t="s">
        <v>8181</v>
      </c>
      <c r="B3222" t="s">
        <v>53</v>
      </c>
      <c r="C3222">
        <v>0.1</v>
      </c>
    </row>
    <row r="3223" spans="1:3" x14ac:dyDescent="0.3">
      <c r="A3223" t="s">
        <v>10297</v>
      </c>
      <c r="B3223" t="s">
        <v>53</v>
      </c>
      <c r="C3223">
        <v>0.03</v>
      </c>
    </row>
    <row r="3224" spans="1:3" x14ac:dyDescent="0.3">
      <c r="A3224" t="s">
        <v>11144</v>
      </c>
      <c r="B3224" t="s">
        <v>29</v>
      </c>
      <c r="C3224">
        <v>0.09</v>
      </c>
    </row>
    <row r="3225" spans="1:3" x14ac:dyDescent="0.3">
      <c r="A3225" t="s">
        <v>11144</v>
      </c>
      <c r="B3225" t="s">
        <v>29</v>
      </c>
      <c r="C3225">
        <v>0.1</v>
      </c>
    </row>
    <row r="3226" spans="1:3" x14ac:dyDescent="0.3">
      <c r="A3226" t="s">
        <v>6737</v>
      </c>
      <c r="B3226" t="s">
        <v>53</v>
      </c>
      <c r="C3226">
        <v>0.02</v>
      </c>
    </row>
    <row r="3227" spans="1:3" x14ac:dyDescent="0.3">
      <c r="A3227" t="s">
        <v>15763</v>
      </c>
      <c r="B3227" t="s">
        <v>225</v>
      </c>
      <c r="C3227">
        <v>0.04</v>
      </c>
    </row>
    <row r="3228" spans="1:3" x14ac:dyDescent="0.3">
      <c r="A3228" t="s">
        <v>15763</v>
      </c>
      <c r="B3228" t="s">
        <v>225</v>
      </c>
      <c r="C3228">
        <v>0.1</v>
      </c>
    </row>
    <row r="3229" spans="1:3" x14ac:dyDescent="0.3">
      <c r="A3229" t="s">
        <v>13008</v>
      </c>
      <c r="B3229" t="s">
        <v>64</v>
      </c>
      <c r="C3229">
        <v>7.0000000000000007E-2</v>
      </c>
    </row>
    <row r="3230" spans="1:3" x14ac:dyDescent="0.3">
      <c r="A3230" t="s">
        <v>5915</v>
      </c>
      <c r="B3230" t="s">
        <v>87</v>
      </c>
      <c r="C3230">
        <v>0.02</v>
      </c>
    </row>
    <row r="3231" spans="1:3" x14ac:dyDescent="0.3">
      <c r="A3231" t="s">
        <v>5915</v>
      </c>
      <c r="B3231" t="s">
        <v>87</v>
      </c>
      <c r="C3231">
        <v>0.04</v>
      </c>
    </row>
    <row r="3232" spans="1:3" x14ac:dyDescent="0.3">
      <c r="A3232" t="s">
        <v>5915</v>
      </c>
      <c r="B3232" t="s">
        <v>87</v>
      </c>
      <c r="C3232">
        <v>0.06</v>
      </c>
    </row>
    <row r="3233" spans="1:3" x14ac:dyDescent="0.3">
      <c r="A3233" t="s">
        <v>5915</v>
      </c>
      <c r="B3233" t="s">
        <v>87</v>
      </c>
      <c r="C3233">
        <v>0.09</v>
      </c>
    </row>
    <row r="3234" spans="1:3" x14ac:dyDescent="0.3">
      <c r="A3234" t="s">
        <v>11044</v>
      </c>
      <c r="B3234" t="s">
        <v>87</v>
      </c>
      <c r="C3234">
        <v>0.08</v>
      </c>
    </row>
    <row r="3235" spans="1:3" x14ac:dyDescent="0.3">
      <c r="A3235" t="s">
        <v>7770</v>
      </c>
      <c r="B3235" t="s">
        <v>87</v>
      </c>
      <c r="C3235">
        <v>0.02</v>
      </c>
    </row>
    <row r="3236" spans="1:3" x14ac:dyDescent="0.3">
      <c r="A3236" t="s">
        <v>7770</v>
      </c>
      <c r="B3236" t="s">
        <v>87</v>
      </c>
      <c r="C3236">
        <v>0.05</v>
      </c>
    </row>
    <row r="3237" spans="1:3" x14ac:dyDescent="0.3">
      <c r="A3237" t="s">
        <v>12043</v>
      </c>
      <c r="B3237" t="s">
        <v>29</v>
      </c>
      <c r="C3237">
        <v>0</v>
      </c>
    </row>
    <row r="3238" spans="1:3" x14ac:dyDescent="0.3">
      <c r="A3238" t="s">
        <v>12043</v>
      </c>
      <c r="B3238" t="s">
        <v>29</v>
      </c>
      <c r="C3238">
        <v>0.04</v>
      </c>
    </row>
    <row r="3239" spans="1:3" x14ac:dyDescent="0.3">
      <c r="A3239" t="s">
        <v>6766</v>
      </c>
      <c r="B3239" t="s">
        <v>29</v>
      </c>
      <c r="C3239">
        <v>0.08</v>
      </c>
    </row>
    <row r="3240" spans="1:3" x14ac:dyDescent="0.3">
      <c r="A3240" t="s">
        <v>10838</v>
      </c>
      <c r="B3240" t="s">
        <v>87</v>
      </c>
      <c r="C3240">
        <v>0.05</v>
      </c>
    </row>
    <row r="3241" spans="1:3" x14ac:dyDescent="0.3">
      <c r="A3241" t="s">
        <v>3323</v>
      </c>
      <c r="B3241" t="s">
        <v>53</v>
      </c>
      <c r="C3241">
        <v>0.02</v>
      </c>
    </row>
    <row r="3242" spans="1:3" x14ac:dyDescent="0.3">
      <c r="A3242" t="s">
        <v>8100</v>
      </c>
      <c r="B3242" t="s">
        <v>29</v>
      </c>
      <c r="C3242">
        <v>0.05</v>
      </c>
    </row>
    <row r="3243" spans="1:3" x14ac:dyDescent="0.3">
      <c r="A3243" t="s">
        <v>8100</v>
      </c>
      <c r="B3243" t="s">
        <v>29</v>
      </c>
      <c r="C3243">
        <v>0.1</v>
      </c>
    </row>
    <row r="3244" spans="1:3" x14ac:dyDescent="0.3">
      <c r="A3244" t="s">
        <v>12128</v>
      </c>
      <c r="B3244" t="s">
        <v>29</v>
      </c>
      <c r="C3244">
        <v>0</v>
      </c>
    </row>
    <row r="3245" spans="1:3" x14ac:dyDescent="0.3">
      <c r="A3245" t="s">
        <v>12128</v>
      </c>
      <c r="B3245" t="s">
        <v>29</v>
      </c>
      <c r="C3245">
        <v>0.08</v>
      </c>
    </row>
    <row r="3246" spans="1:3" x14ac:dyDescent="0.3">
      <c r="A3246" t="s">
        <v>6182</v>
      </c>
      <c r="B3246" t="s">
        <v>29</v>
      </c>
      <c r="C3246">
        <v>0.05</v>
      </c>
    </row>
    <row r="3247" spans="1:3" x14ac:dyDescent="0.3">
      <c r="A3247" t="s">
        <v>3338</v>
      </c>
      <c r="B3247" t="s">
        <v>40</v>
      </c>
      <c r="C3247">
        <v>7.0000000000000007E-2</v>
      </c>
    </row>
    <row r="3248" spans="1:3" x14ac:dyDescent="0.3">
      <c r="A3248" t="s">
        <v>5751</v>
      </c>
      <c r="B3248" t="s">
        <v>53</v>
      </c>
      <c r="C3248">
        <v>0.04</v>
      </c>
    </row>
    <row r="3249" spans="1:3" x14ac:dyDescent="0.3">
      <c r="A3249" t="s">
        <v>5751</v>
      </c>
      <c r="B3249" t="s">
        <v>53</v>
      </c>
      <c r="C3249">
        <v>0.06</v>
      </c>
    </row>
    <row r="3250" spans="1:3" x14ac:dyDescent="0.3">
      <c r="A3250" t="s">
        <v>10651</v>
      </c>
      <c r="B3250" t="s">
        <v>64</v>
      </c>
      <c r="C3250">
        <v>0.1</v>
      </c>
    </row>
    <row r="3251" spans="1:3" x14ac:dyDescent="0.3">
      <c r="A3251" t="s">
        <v>3351</v>
      </c>
      <c r="B3251" t="s">
        <v>40</v>
      </c>
      <c r="C3251">
        <v>0.05</v>
      </c>
    </row>
    <row r="3252" spans="1:3" x14ac:dyDescent="0.3">
      <c r="A3252" t="s">
        <v>13418</v>
      </c>
      <c r="B3252" t="s">
        <v>40</v>
      </c>
      <c r="C3252">
        <v>0.06</v>
      </c>
    </row>
    <row r="3253" spans="1:3" x14ac:dyDescent="0.3">
      <c r="A3253" t="s">
        <v>15330</v>
      </c>
      <c r="B3253" t="s">
        <v>40</v>
      </c>
      <c r="C3253">
        <v>0.03</v>
      </c>
    </row>
    <row r="3254" spans="1:3" x14ac:dyDescent="0.3">
      <c r="A3254" t="s">
        <v>11565</v>
      </c>
      <c r="B3254" t="s">
        <v>225</v>
      </c>
      <c r="C3254">
        <v>7.0000000000000007E-2</v>
      </c>
    </row>
    <row r="3255" spans="1:3" x14ac:dyDescent="0.3">
      <c r="A3255" t="s">
        <v>11342</v>
      </c>
      <c r="B3255" t="s">
        <v>87</v>
      </c>
      <c r="C3255">
        <v>0.08</v>
      </c>
    </row>
    <row r="3256" spans="1:3" x14ac:dyDescent="0.3">
      <c r="A3256" t="s">
        <v>8623</v>
      </c>
      <c r="B3256" t="s">
        <v>64</v>
      </c>
      <c r="C3256">
        <v>0.06</v>
      </c>
    </row>
    <row r="3257" spans="1:3" x14ac:dyDescent="0.3">
      <c r="A3257" t="s">
        <v>8623</v>
      </c>
      <c r="B3257" t="s">
        <v>64</v>
      </c>
      <c r="C3257">
        <v>0.08</v>
      </c>
    </row>
    <row r="3258" spans="1:3" x14ac:dyDescent="0.3">
      <c r="A3258" t="s">
        <v>8623</v>
      </c>
      <c r="B3258" t="s">
        <v>64</v>
      </c>
      <c r="C3258">
        <v>0.09</v>
      </c>
    </row>
    <row r="3259" spans="1:3" x14ac:dyDescent="0.3">
      <c r="A3259" t="s">
        <v>8812</v>
      </c>
      <c r="B3259" t="s">
        <v>225</v>
      </c>
      <c r="C3259">
        <v>0.05</v>
      </c>
    </row>
    <row r="3260" spans="1:3" x14ac:dyDescent="0.3">
      <c r="A3260" t="s">
        <v>4200</v>
      </c>
      <c r="B3260" t="s">
        <v>29</v>
      </c>
      <c r="C3260">
        <v>0.02</v>
      </c>
    </row>
    <row r="3261" spans="1:3" x14ac:dyDescent="0.3">
      <c r="A3261" t="s">
        <v>7849</v>
      </c>
      <c r="B3261" t="s">
        <v>53</v>
      </c>
      <c r="C3261">
        <v>0</v>
      </c>
    </row>
    <row r="3262" spans="1:3" x14ac:dyDescent="0.3">
      <c r="A3262" t="s">
        <v>3419</v>
      </c>
      <c r="B3262" t="s">
        <v>29</v>
      </c>
      <c r="C3262">
        <v>0.06</v>
      </c>
    </row>
    <row r="3263" spans="1:3" x14ac:dyDescent="0.3">
      <c r="A3263" t="s">
        <v>7379</v>
      </c>
      <c r="B3263" t="s">
        <v>29</v>
      </c>
      <c r="C3263">
        <v>0.04</v>
      </c>
    </row>
    <row r="3264" spans="1:3" x14ac:dyDescent="0.3">
      <c r="A3264" t="s">
        <v>12658</v>
      </c>
      <c r="B3264" t="s">
        <v>87</v>
      </c>
      <c r="C3264">
        <v>0.08</v>
      </c>
    </row>
    <row r="3265" spans="1:3" x14ac:dyDescent="0.3">
      <c r="A3265" t="s">
        <v>13255</v>
      </c>
      <c r="B3265" t="s">
        <v>64</v>
      </c>
      <c r="C3265">
        <v>0.06</v>
      </c>
    </row>
    <row r="3266" spans="1:3" x14ac:dyDescent="0.3">
      <c r="A3266" t="s">
        <v>3443</v>
      </c>
      <c r="B3266" t="s">
        <v>87</v>
      </c>
      <c r="C3266">
        <v>0.06</v>
      </c>
    </row>
    <row r="3267" spans="1:3" x14ac:dyDescent="0.3">
      <c r="A3267" t="s">
        <v>3443</v>
      </c>
      <c r="B3267" t="s">
        <v>87</v>
      </c>
      <c r="C3267">
        <v>0.08</v>
      </c>
    </row>
    <row r="3268" spans="1:3" x14ac:dyDescent="0.3">
      <c r="A3268" t="s">
        <v>7218</v>
      </c>
      <c r="B3268" t="s">
        <v>87</v>
      </c>
      <c r="C3268">
        <v>0.01</v>
      </c>
    </row>
    <row r="3269" spans="1:3" x14ac:dyDescent="0.3">
      <c r="A3269" t="s">
        <v>14816</v>
      </c>
      <c r="B3269" t="s">
        <v>64</v>
      </c>
      <c r="C3269">
        <v>7.0000000000000007E-2</v>
      </c>
    </row>
    <row r="3270" spans="1:3" x14ac:dyDescent="0.3">
      <c r="A3270" t="s">
        <v>13948</v>
      </c>
      <c r="B3270" t="s">
        <v>64</v>
      </c>
      <c r="C3270">
        <v>0.02</v>
      </c>
    </row>
    <row r="3271" spans="1:3" x14ac:dyDescent="0.3">
      <c r="A3271" t="s">
        <v>13948</v>
      </c>
      <c r="B3271" t="s">
        <v>64</v>
      </c>
      <c r="C3271">
        <v>0.04</v>
      </c>
    </row>
    <row r="3272" spans="1:3" x14ac:dyDescent="0.3">
      <c r="A3272" t="s">
        <v>3450</v>
      </c>
      <c r="B3272" t="s">
        <v>29</v>
      </c>
      <c r="C3272">
        <v>0.04</v>
      </c>
    </row>
    <row r="3273" spans="1:3" x14ac:dyDescent="0.3">
      <c r="A3273" t="s">
        <v>3901</v>
      </c>
      <c r="B3273" t="s">
        <v>29</v>
      </c>
      <c r="C3273">
        <v>0.05</v>
      </c>
    </row>
    <row r="3274" spans="1:3" x14ac:dyDescent="0.3">
      <c r="A3274" t="s">
        <v>13302</v>
      </c>
      <c r="B3274" t="s">
        <v>225</v>
      </c>
      <c r="C3274">
        <v>0.01</v>
      </c>
    </row>
    <row r="3275" spans="1:3" x14ac:dyDescent="0.3">
      <c r="A3275" t="s">
        <v>14550</v>
      </c>
      <c r="B3275" t="s">
        <v>225</v>
      </c>
      <c r="C3275">
        <v>0.05</v>
      </c>
    </row>
    <row r="3276" spans="1:3" x14ac:dyDescent="0.3">
      <c r="A3276" t="s">
        <v>4416</v>
      </c>
      <c r="B3276" t="s">
        <v>87</v>
      </c>
      <c r="C3276">
        <v>7.0000000000000007E-2</v>
      </c>
    </row>
    <row r="3277" spans="1:3" x14ac:dyDescent="0.3">
      <c r="A3277" t="s">
        <v>15185</v>
      </c>
      <c r="B3277" t="s">
        <v>40</v>
      </c>
      <c r="C3277">
        <v>0.06</v>
      </c>
    </row>
    <row r="3278" spans="1:3" x14ac:dyDescent="0.3">
      <c r="A3278" t="s">
        <v>15185</v>
      </c>
      <c r="B3278" t="s">
        <v>87</v>
      </c>
      <c r="C3278">
        <v>7.0000000000000007E-2</v>
      </c>
    </row>
    <row r="3279" spans="1:3" x14ac:dyDescent="0.3">
      <c r="A3279" t="s">
        <v>11944</v>
      </c>
      <c r="B3279" t="s">
        <v>40</v>
      </c>
      <c r="C3279">
        <v>0.1</v>
      </c>
    </row>
    <row r="3280" spans="1:3" x14ac:dyDescent="0.3">
      <c r="A3280" t="s">
        <v>11981</v>
      </c>
      <c r="B3280" t="s">
        <v>53</v>
      </c>
      <c r="C3280">
        <v>0.02</v>
      </c>
    </row>
    <row r="3281" spans="1:3" x14ac:dyDescent="0.3">
      <c r="A3281" t="s">
        <v>11981</v>
      </c>
      <c r="B3281" t="s">
        <v>87</v>
      </c>
      <c r="C3281">
        <v>0.01</v>
      </c>
    </row>
    <row r="3282" spans="1:3" x14ac:dyDescent="0.3">
      <c r="A3282" t="s">
        <v>11981</v>
      </c>
      <c r="B3282" t="s">
        <v>87</v>
      </c>
      <c r="C3282">
        <v>0.09</v>
      </c>
    </row>
    <row r="3283" spans="1:3" x14ac:dyDescent="0.3">
      <c r="A3283" t="s">
        <v>8383</v>
      </c>
      <c r="B3283" t="s">
        <v>29</v>
      </c>
      <c r="C3283">
        <v>0.08</v>
      </c>
    </row>
    <row r="3284" spans="1:3" x14ac:dyDescent="0.3">
      <c r="A3284" t="s">
        <v>8250</v>
      </c>
      <c r="B3284" t="s">
        <v>29</v>
      </c>
      <c r="C3284">
        <v>0.06</v>
      </c>
    </row>
    <row r="3285" spans="1:3" x14ac:dyDescent="0.3">
      <c r="A3285" t="s">
        <v>10983</v>
      </c>
      <c r="B3285" t="s">
        <v>64</v>
      </c>
      <c r="C3285">
        <v>0.09</v>
      </c>
    </row>
    <row r="3286" spans="1:3" x14ac:dyDescent="0.3">
      <c r="A3286" t="s">
        <v>11521</v>
      </c>
      <c r="B3286" t="s">
        <v>64</v>
      </c>
      <c r="C3286">
        <v>0.01</v>
      </c>
    </row>
    <row r="3287" spans="1:3" x14ac:dyDescent="0.3">
      <c r="A3287" t="s">
        <v>11767</v>
      </c>
      <c r="B3287" t="s">
        <v>64</v>
      </c>
      <c r="C3287">
        <v>0.01</v>
      </c>
    </row>
    <row r="3288" spans="1:3" x14ac:dyDescent="0.3">
      <c r="A3288" t="s">
        <v>11767</v>
      </c>
      <c r="B3288" t="s">
        <v>64</v>
      </c>
      <c r="C3288">
        <v>0.06</v>
      </c>
    </row>
    <row r="3289" spans="1:3" x14ac:dyDescent="0.3">
      <c r="A3289" t="s">
        <v>6092</v>
      </c>
      <c r="B3289" t="s">
        <v>225</v>
      </c>
      <c r="C3289">
        <v>0</v>
      </c>
    </row>
    <row r="3290" spans="1:3" x14ac:dyDescent="0.3">
      <c r="A3290" t="s">
        <v>8081</v>
      </c>
      <c r="B3290" t="s">
        <v>225</v>
      </c>
      <c r="C3290">
        <v>0.01</v>
      </c>
    </row>
    <row r="3291" spans="1:3" x14ac:dyDescent="0.3">
      <c r="A3291" t="s">
        <v>3574</v>
      </c>
      <c r="B3291" t="s">
        <v>87</v>
      </c>
      <c r="C3291">
        <v>0.02</v>
      </c>
    </row>
    <row r="3292" spans="1:3" x14ac:dyDescent="0.3">
      <c r="A3292" t="s">
        <v>3574</v>
      </c>
      <c r="B3292" t="s">
        <v>87</v>
      </c>
      <c r="C3292">
        <v>0.06</v>
      </c>
    </row>
    <row r="3293" spans="1:3" x14ac:dyDescent="0.3">
      <c r="A3293" t="s">
        <v>9352</v>
      </c>
      <c r="B3293" t="s">
        <v>64</v>
      </c>
      <c r="C3293">
        <v>0.05</v>
      </c>
    </row>
    <row r="3294" spans="1:3" x14ac:dyDescent="0.3">
      <c r="A3294" t="s">
        <v>14987</v>
      </c>
      <c r="B3294" t="s">
        <v>64</v>
      </c>
      <c r="C3294">
        <v>0.03</v>
      </c>
    </row>
    <row r="3295" spans="1:3" x14ac:dyDescent="0.3">
      <c r="A3295" t="s">
        <v>13338</v>
      </c>
      <c r="B3295" t="s">
        <v>29</v>
      </c>
      <c r="C3295">
        <v>0.02</v>
      </c>
    </row>
    <row r="3296" spans="1:3" x14ac:dyDescent="0.3">
      <c r="A3296" t="s">
        <v>13338</v>
      </c>
      <c r="B3296" t="s">
        <v>87</v>
      </c>
      <c r="C3296">
        <v>0.02</v>
      </c>
    </row>
    <row r="3297" spans="1:3" x14ac:dyDescent="0.3">
      <c r="A3297" t="s">
        <v>13338</v>
      </c>
      <c r="B3297" t="s">
        <v>87</v>
      </c>
      <c r="C3297">
        <v>0.03</v>
      </c>
    </row>
    <row r="3298" spans="1:3" x14ac:dyDescent="0.3">
      <c r="A3298" t="s">
        <v>14918</v>
      </c>
      <c r="B3298" t="s">
        <v>29</v>
      </c>
      <c r="C3298">
        <v>0.1</v>
      </c>
    </row>
    <row r="3299" spans="1:3" x14ac:dyDescent="0.3">
      <c r="A3299" t="s">
        <v>8521</v>
      </c>
      <c r="B3299" t="s">
        <v>29</v>
      </c>
      <c r="C3299">
        <v>0.02</v>
      </c>
    </row>
    <row r="3300" spans="1:3" x14ac:dyDescent="0.3">
      <c r="A3300" t="s">
        <v>8521</v>
      </c>
      <c r="B3300" t="s">
        <v>29</v>
      </c>
      <c r="C3300">
        <v>0.03</v>
      </c>
    </row>
    <row r="3301" spans="1:3" x14ac:dyDescent="0.3">
      <c r="A3301" t="s">
        <v>7261</v>
      </c>
      <c r="B3301" t="s">
        <v>40</v>
      </c>
      <c r="C3301">
        <v>0.03</v>
      </c>
    </row>
    <row r="3302" spans="1:3" x14ac:dyDescent="0.3">
      <c r="A3302" t="s">
        <v>3605</v>
      </c>
      <c r="B3302" t="s">
        <v>40</v>
      </c>
      <c r="C3302">
        <v>0.05</v>
      </c>
    </row>
    <row r="3303" spans="1:3" x14ac:dyDescent="0.3">
      <c r="A3303" t="s">
        <v>3605</v>
      </c>
      <c r="B3303" t="s">
        <v>40</v>
      </c>
      <c r="C3303">
        <v>0.06</v>
      </c>
    </row>
    <row r="3304" spans="1:3" x14ac:dyDescent="0.3">
      <c r="A3304" t="s">
        <v>10355</v>
      </c>
      <c r="B3304" t="s">
        <v>87</v>
      </c>
      <c r="C3304">
        <v>0.08</v>
      </c>
    </row>
    <row r="3305" spans="1:3" x14ac:dyDescent="0.3">
      <c r="A3305" t="s">
        <v>14093</v>
      </c>
      <c r="B3305" t="s">
        <v>53</v>
      </c>
      <c r="C3305">
        <v>0.05</v>
      </c>
    </row>
    <row r="3306" spans="1:3" x14ac:dyDescent="0.3">
      <c r="A3306" t="s">
        <v>11897</v>
      </c>
      <c r="B3306" t="s">
        <v>53</v>
      </c>
      <c r="C3306">
        <v>0.02</v>
      </c>
    </row>
    <row r="3307" spans="1:3" x14ac:dyDescent="0.3">
      <c r="A3307" t="s">
        <v>11897</v>
      </c>
      <c r="B3307" t="s">
        <v>53</v>
      </c>
      <c r="C3307">
        <v>0.06</v>
      </c>
    </row>
    <row r="3308" spans="1:3" x14ac:dyDescent="0.3">
      <c r="A3308" t="s">
        <v>4394</v>
      </c>
      <c r="B3308" t="s">
        <v>225</v>
      </c>
      <c r="C3308">
        <v>0.08</v>
      </c>
    </row>
    <row r="3309" spans="1:3" x14ac:dyDescent="0.3">
      <c r="A3309" t="s">
        <v>4394</v>
      </c>
      <c r="B3309" t="s">
        <v>53</v>
      </c>
      <c r="C3309">
        <v>0.04</v>
      </c>
    </row>
    <row r="3310" spans="1:3" x14ac:dyDescent="0.3">
      <c r="A3310" t="s">
        <v>7501</v>
      </c>
      <c r="B3310" t="s">
        <v>225</v>
      </c>
      <c r="C3310">
        <v>0.09</v>
      </c>
    </row>
    <row r="3311" spans="1:3" x14ac:dyDescent="0.3">
      <c r="A3311" t="s">
        <v>14939</v>
      </c>
      <c r="B3311" t="s">
        <v>87</v>
      </c>
      <c r="C3311">
        <v>0.05</v>
      </c>
    </row>
    <row r="3312" spans="1:3" x14ac:dyDescent="0.3">
      <c r="A3312" t="s">
        <v>15291</v>
      </c>
      <c r="B3312" t="s">
        <v>87</v>
      </c>
      <c r="C3312">
        <v>0</v>
      </c>
    </row>
    <row r="3313" spans="1:3" x14ac:dyDescent="0.3">
      <c r="A3313" t="s">
        <v>13037</v>
      </c>
      <c r="B3313" t="s">
        <v>64</v>
      </c>
      <c r="C3313">
        <v>0.1</v>
      </c>
    </row>
    <row r="3314" spans="1:3" x14ac:dyDescent="0.3">
      <c r="A3314" t="s">
        <v>10752</v>
      </c>
      <c r="B3314" t="s">
        <v>40</v>
      </c>
      <c r="C3314">
        <v>0.05</v>
      </c>
    </row>
    <row r="3315" spans="1:3" x14ac:dyDescent="0.3">
      <c r="A3315" t="s">
        <v>9590</v>
      </c>
      <c r="B3315" t="s">
        <v>29</v>
      </c>
      <c r="C3315">
        <v>0.05</v>
      </c>
    </row>
    <row r="3316" spans="1:3" x14ac:dyDescent="0.3">
      <c r="A3316" t="s">
        <v>9634</v>
      </c>
      <c r="B3316" t="s">
        <v>40</v>
      </c>
      <c r="C3316">
        <v>0.05</v>
      </c>
    </row>
    <row r="3317" spans="1:3" x14ac:dyDescent="0.3">
      <c r="A3317" t="s">
        <v>9634</v>
      </c>
      <c r="B3317" t="s">
        <v>40</v>
      </c>
      <c r="C3317">
        <v>0.09</v>
      </c>
    </row>
    <row r="3318" spans="1:3" x14ac:dyDescent="0.3">
      <c r="A3318" t="s">
        <v>9634</v>
      </c>
      <c r="B3318" t="s">
        <v>40</v>
      </c>
      <c r="C3318">
        <v>0.1</v>
      </c>
    </row>
    <row r="3319" spans="1:3" x14ac:dyDescent="0.3">
      <c r="A3319" t="s">
        <v>3698</v>
      </c>
      <c r="B3319" t="s">
        <v>29</v>
      </c>
      <c r="C3319">
        <v>0.1</v>
      </c>
    </row>
    <row r="3320" spans="1:3" x14ac:dyDescent="0.3">
      <c r="A3320" t="s">
        <v>3703</v>
      </c>
      <c r="B3320" t="s">
        <v>53</v>
      </c>
      <c r="C3320">
        <v>0.05</v>
      </c>
    </row>
    <row r="3321" spans="1:3" x14ac:dyDescent="0.3">
      <c r="A3321" t="s">
        <v>3703</v>
      </c>
      <c r="B3321" t="s">
        <v>53</v>
      </c>
      <c r="C3321">
        <v>0.08</v>
      </c>
    </row>
    <row r="3322" spans="1:3" x14ac:dyDescent="0.3">
      <c r="A3322" t="s">
        <v>12243</v>
      </c>
      <c r="B3322" t="s">
        <v>40</v>
      </c>
      <c r="C3322">
        <v>0.04</v>
      </c>
    </row>
    <row r="3323" spans="1:3" x14ac:dyDescent="0.3">
      <c r="A3323" t="s">
        <v>11578</v>
      </c>
      <c r="B3323" t="s">
        <v>40</v>
      </c>
      <c r="C3323">
        <v>0.03</v>
      </c>
    </row>
    <row r="3324" spans="1:3" x14ac:dyDescent="0.3">
      <c r="A3324" t="s">
        <v>13249</v>
      </c>
      <c r="B3324" t="s">
        <v>40</v>
      </c>
      <c r="C3324">
        <v>0</v>
      </c>
    </row>
    <row r="3325" spans="1:3" x14ac:dyDescent="0.3">
      <c r="A3325" t="s">
        <v>13249</v>
      </c>
      <c r="B3325" t="s">
        <v>40</v>
      </c>
      <c r="C3325">
        <v>0.08</v>
      </c>
    </row>
    <row r="3326" spans="1:3" x14ac:dyDescent="0.3">
      <c r="A3326" t="s">
        <v>13249</v>
      </c>
      <c r="B3326" t="s">
        <v>40</v>
      </c>
      <c r="C3326">
        <v>0.1</v>
      </c>
    </row>
    <row r="3327" spans="1:3" x14ac:dyDescent="0.3">
      <c r="A3327" t="s">
        <v>3747</v>
      </c>
      <c r="B3327" t="s">
        <v>87</v>
      </c>
      <c r="C3327">
        <v>0.08</v>
      </c>
    </row>
    <row r="3328" spans="1:3" x14ac:dyDescent="0.3">
      <c r="A3328" t="s">
        <v>14608</v>
      </c>
      <c r="B3328" t="s">
        <v>87</v>
      </c>
      <c r="C3328">
        <v>0</v>
      </c>
    </row>
    <row r="3329" spans="1:3" x14ac:dyDescent="0.3">
      <c r="A3329" t="s">
        <v>6348</v>
      </c>
      <c r="B3329" t="s">
        <v>64</v>
      </c>
      <c r="C3329">
        <v>7.0000000000000007E-2</v>
      </c>
    </row>
    <row r="3330" spans="1:3" x14ac:dyDescent="0.3">
      <c r="A3330" t="s">
        <v>8853</v>
      </c>
      <c r="B3330" t="s">
        <v>40</v>
      </c>
      <c r="C3330">
        <v>0</v>
      </c>
    </row>
    <row r="3331" spans="1:3" x14ac:dyDescent="0.3">
      <c r="A3331" t="s">
        <v>3759</v>
      </c>
      <c r="B3331" t="s">
        <v>40</v>
      </c>
      <c r="C3331">
        <v>0.04</v>
      </c>
    </row>
    <row r="3332" spans="1:3" x14ac:dyDescent="0.3">
      <c r="A3332" t="s">
        <v>11211</v>
      </c>
      <c r="B3332" t="s">
        <v>64</v>
      </c>
      <c r="C3332">
        <v>0.09</v>
      </c>
    </row>
    <row r="3333" spans="1:3" x14ac:dyDescent="0.3">
      <c r="A3333" t="s">
        <v>15336</v>
      </c>
      <c r="B3333" t="s">
        <v>53</v>
      </c>
      <c r="C3333">
        <v>0</v>
      </c>
    </row>
    <row r="3334" spans="1:3" x14ac:dyDescent="0.3">
      <c r="A3334" t="s">
        <v>3773</v>
      </c>
      <c r="B3334" t="s">
        <v>53</v>
      </c>
      <c r="C3334">
        <v>0.05</v>
      </c>
    </row>
    <row r="3335" spans="1:3" x14ac:dyDescent="0.3">
      <c r="A3335" t="s">
        <v>13224</v>
      </c>
      <c r="B3335" t="s">
        <v>53</v>
      </c>
      <c r="C3335">
        <v>0.08</v>
      </c>
    </row>
    <row r="3336" spans="1:3" x14ac:dyDescent="0.3">
      <c r="A3336" t="s">
        <v>8757</v>
      </c>
      <c r="B3336" t="s">
        <v>225</v>
      </c>
      <c r="C3336">
        <v>0.01</v>
      </c>
    </row>
    <row r="3337" spans="1:3" x14ac:dyDescent="0.3">
      <c r="A3337" t="s">
        <v>5756</v>
      </c>
      <c r="B3337" t="s">
        <v>225</v>
      </c>
      <c r="C3337">
        <v>0.09</v>
      </c>
    </row>
    <row r="3338" spans="1:3" x14ac:dyDescent="0.3">
      <c r="A3338" t="s">
        <v>11995</v>
      </c>
      <c r="B3338" t="s">
        <v>225</v>
      </c>
      <c r="C3338">
        <v>0.02</v>
      </c>
    </row>
    <row r="3339" spans="1:3" x14ac:dyDescent="0.3">
      <c r="A3339" t="s">
        <v>11995</v>
      </c>
      <c r="B3339" t="s">
        <v>225</v>
      </c>
      <c r="C3339">
        <v>0.06</v>
      </c>
    </row>
    <row r="3340" spans="1:3" x14ac:dyDescent="0.3">
      <c r="A3340" t="s">
        <v>11995</v>
      </c>
      <c r="B3340" t="s">
        <v>225</v>
      </c>
      <c r="C3340">
        <v>7.0000000000000007E-2</v>
      </c>
    </row>
    <row r="3341" spans="1:3" x14ac:dyDescent="0.3">
      <c r="A3341" t="s">
        <v>8739</v>
      </c>
      <c r="B3341" t="s">
        <v>29</v>
      </c>
      <c r="C3341">
        <v>0.05</v>
      </c>
    </row>
    <row r="3342" spans="1:3" x14ac:dyDescent="0.3">
      <c r="A3342" t="s">
        <v>12759</v>
      </c>
      <c r="B3342" t="s">
        <v>225</v>
      </c>
      <c r="C3342">
        <v>0.05</v>
      </c>
    </row>
    <row r="3343" spans="1:3" x14ac:dyDescent="0.3">
      <c r="A3343" t="s">
        <v>12266</v>
      </c>
      <c r="B3343" t="s">
        <v>64</v>
      </c>
      <c r="C3343">
        <v>0.09</v>
      </c>
    </row>
    <row r="3344" spans="1:3" x14ac:dyDescent="0.3">
      <c r="A3344" t="s">
        <v>12266</v>
      </c>
      <c r="B3344" t="s">
        <v>64</v>
      </c>
      <c r="C3344">
        <v>0.1</v>
      </c>
    </row>
    <row r="3345" spans="1:3" x14ac:dyDescent="0.3">
      <c r="A3345" t="s">
        <v>7216</v>
      </c>
      <c r="B3345" t="s">
        <v>29</v>
      </c>
      <c r="C3345">
        <v>0.1</v>
      </c>
    </row>
    <row r="3346" spans="1:3" x14ac:dyDescent="0.3">
      <c r="A3346" t="s">
        <v>3869</v>
      </c>
      <c r="B3346" t="s">
        <v>64</v>
      </c>
      <c r="C3346">
        <v>0.01</v>
      </c>
    </row>
    <row r="3347" spans="1:3" x14ac:dyDescent="0.3">
      <c r="A3347" t="s">
        <v>10688</v>
      </c>
      <c r="B3347" t="s">
        <v>40</v>
      </c>
      <c r="C3347">
        <v>0.04</v>
      </c>
    </row>
    <row r="3348" spans="1:3" x14ac:dyDescent="0.3">
      <c r="A3348" t="s">
        <v>3904</v>
      </c>
      <c r="B3348" t="s">
        <v>40</v>
      </c>
      <c r="C3348">
        <v>0.02</v>
      </c>
    </row>
    <row r="3349" spans="1:3" x14ac:dyDescent="0.3">
      <c r="A3349" t="s">
        <v>3904</v>
      </c>
      <c r="B3349" t="s">
        <v>40</v>
      </c>
      <c r="C3349">
        <v>0.04</v>
      </c>
    </row>
    <row r="3350" spans="1:3" x14ac:dyDescent="0.3">
      <c r="A3350" t="s">
        <v>13594</v>
      </c>
      <c r="B3350" t="s">
        <v>40</v>
      </c>
      <c r="C3350">
        <v>0.09</v>
      </c>
    </row>
    <row r="3351" spans="1:3" x14ac:dyDescent="0.3">
      <c r="A3351" t="s">
        <v>3931</v>
      </c>
      <c r="B3351" t="s">
        <v>53</v>
      </c>
      <c r="C3351">
        <v>0.01</v>
      </c>
    </row>
    <row r="3352" spans="1:3" x14ac:dyDescent="0.3">
      <c r="A3352" t="s">
        <v>4727</v>
      </c>
      <c r="B3352" t="s">
        <v>53</v>
      </c>
      <c r="C3352">
        <v>0</v>
      </c>
    </row>
    <row r="3353" spans="1:3" x14ac:dyDescent="0.3">
      <c r="A3353" t="s">
        <v>13021</v>
      </c>
      <c r="B3353" t="s">
        <v>64</v>
      </c>
      <c r="C3353">
        <v>0.06</v>
      </c>
    </row>
    <row r="3354" spans="1:3" x14ac:dyDescent="0.3">
      <c r="A3354" t="s">
        <v>11587</v>
      </c>
      <c r="B3354" t="s">
        <v>64</v>
      </c>
      <c r="C3354">
        <v>0.08</v>
      </c>
    </row>
    <row r="3355" spans="1:3" x14ac:dyDescent="0.3">
      <c r="A3355" t="s">
        <v>11587</v>
      </c>
      <c r="B3355" t="s">
        <v>29</v>
      </c>
      <c r="C3355">
        <v>0.01</v>
      </c>
    </row>
    <row r="3356" spans="1:3" x14ac:dyDescent="0.3">
      <c r="A3356" t="s">
        <v>14308</v>
      </c>
      <c r="B3356" t="s">
        <v>64</v>
      </c>
      <c r="C3356">
        <v>0.01</v>
      </c>
    </row>
    <row r="3357" spans="1:3" x14ac:dyDescent="0.3">
      <c r="A3357" t="s">
        <v>9946</v>
      </c>
      <c r="B3357" t="s">
        <v>87</v>
      </c>
      <c r="C3357">
        <v>0.05</v>
      </c>
    </row>
    <row r="3358" spans="1:3" x14ac:dyDescent="0.3">
      <c r="A3358" t="s">
        <v>12206</v>
      </c>
      <c r="B3358" t="s">
        <v>87</v>
      </c>
      <c r="C3358">
        <v>0.03</v>
      </c>
    </row>
    <row r="3359" spans="1:3" x14ac:dyDescent="0.3">
      <c r="A3359" t="s">
        <v>3960</v>
      </c>
      <c r="B3359" t="s">
        <v>87</v>
      </c>
      <c r="C3359">
        <v>0.06</v>
      </c>
    </row>
    <row r="3360" spans="1:3" x14ac:dyDescent="0.3">
      <c r="A3360" t="s">
        <v>9103</v>
      </c>
      <c r="B3360" t="s">
        <v>29</v>
      </c>
      <c r="C3360">
        <v>0.09</v>
      </c>
    </row>
    <row r="3361" spans="1:3" x14ac:dyDescent="0.3">
      <c r="A3361" t="s">
        <v>8448</v>
      </c>
      <c r="B3361" t="s">
        <v>29</v>
      </c>
      <c r="C3361">
        <v>0.03</v>
      </c>
    </row>
    <row r="3362" spans="1:3" x14ac:dyDescent="0.3">
      <c r="A3362" t="s">
        <v>8120</v>
      </c>
      <c r="B3362" t="s">
        <v>87</v>
      </c>
      <c r="C3362">
        <v>0</v>
      </c>
    </row>
    <row r="3363" spans="1:3" x14ac:dyDescent="0.3">
      <c r="A3363" t="s">
        <v>8120</v>
      </c>
      <c r="B3363" t="s">
        <v>87</v>
      </c>
      <c r="C3363">
        <v>0.06</v>
      </c>
    </row>
    <row r="3364" spans="1:3" x14ac:dyDescent="0.3">
      <c r="A3364" t="s">
        <v>8120</v>
      </c>
      <c r="B3364" t="s">
        <v>87</v>
      </c>
      <c r="C3364">
        <v>0.09</v>
      </c>
    </row>
    <row r="3365" spans="1:3" x14ac:dyDescent="0.3">
      <c r="A3365" t="s">
        <v>3980</v>
      </c>
      <c r="B3365" t="s">
        <v>87</v>
      </c>
      <c r="C3365">
        <v>0.06</v>
      </c>
    </row>
    <row r="3366" spans="1:3" x14ac:dyDescent="0.3">
      <c r="A3366" t="s">
        <v>10082</v>
      </c>
      <c r="B3366" t="s">
        <v>29</v>
      </c>
      <c r="C3366">
        <v>0</v>
      </c>
    </row>
    <row r="3367" spans="1:3" x14ac:dyDescent="0.3">
      <c r="A3367" t="s">
        <v>10082</v>
      </c>
      <c r="B3367" t="s">
        <v>29</v>
      </c>
      <c r="C3367">
        <v>7.0000000000000007E-2</v>
      </c>
    </row>
    <row r="3368" spans="1:3" x14ac:dyDescent="0.3">
      <c r="A3368" t="s">
        <v>7366</v>
      </c>
      <c r="B3368" t="s">
        <v>64</v>
      </c>
      <c r="C3368">
        <v>0</v>
      </c>
    </row>
    <row r="3369" spans="1:3" x14ac:dyDescent="0.3">
      <c r="A3369" t="s">
        <v>7366</v>
      </c>
      <c r="B3369" t="s">
        <v>64</v>
      </c>
      <c r="C3369">
        <v>0.1</v>
      </c>
    </row>
    <row r="3370" spans="1:3" x14ac:dyDescent="0.3">
      <c r="A3370" t="s">
        <v>7328</v>
      </c>
      <c r="B3370" t="s">
        <v>64</v>
      </c>
      <c r="C3370">
        <v>0</v>
      </c>
    </row>
    <row r="3371" spans="1:3" x14ac:dyDescent="0.3">
      <c r="A3371" t="s">
        <v>15150</v>
      </c>
      <c r="B3371" t="s">
        <v>225</v>
      </c>
      <c r="C3371">
        <v>0.1</v>
      </c>
    </row>
    <row r="3372" spans="1:3" x14ac:dyDescent="0.3">
      <c r="A3372" t="s">
        <v>15150</v>
      </c>
      <c r="B3372" t="s">
        <v>29</v>
      </c>
      <c r="C3372">
        <v>0.02</v>
      </c>
    </row>
    <row r="3373" spans="1:3" x14ac:dyDescent="0.3">
      <c r="A3373" t="s">
        <v>12381</v>
      </c>
      <c r="B3373" t="s">
        <v>87</v>
      </c>
      <c r="C3373">
        <v>0.06</v>
      </c>
    </row>
    <row r="3374" spans="1:3" x14ac:dyDescent="0.3">
      <c r="A3374" t="s">
        <v>13499</v>
      </c>
      <c r="B3374" t="s">
        <v>87</v>
      </c>
      <c r="C3374">
        <v>0.04</v>
      </c>
    </row>
    <row r="3375" spans="1:3" x14ac:dyDescent="0.3">
      <c r="A3375" t="s">
        <v>14481</v>
      </c>
      <c r="B3375" t="s">
        <v>87</v>
      </c>
      <c r="C3375">
        <v>0</v>
      </c>
    </row>
    <row r="3376" spans="1:3" x14ac:dyDescent="0.3">
      <c r="A3376" t="s">
        <v>11090</v>
      </c>
      <c r="B3376" t="s">
        <v>40</v>
      </c>
      <c r="C3376">
        <v>0.01</v>
      </c>
    </row>
    <row r="3377" spans="1:3" x14ac:dyDescent="0.3">
      <c r="A3377" t="s">
        <v>5289</v>
      </c>
      <c r="B3377" t="s">
        <v>53</v>
      </c>
      <c r="C3377">
        <v>0.03</v>
      </c>
    </row>
    <row r="3378" spans="1:3" x14ac:dyDescent="0.3">
      <c r="A3378" t="s">
        <v>5289</v>
      </c>
      <c r="B3378" t="s">
        <v>53</v>
      </c>
      <c r="C3378">
        <v>0.06</v>
      </c>
    </row>
    <row r="3379" spans="1:3" x14ac:dyDescent="0.3">
      <c r="A3379" t="s">
        <v>8405</v>
      </c>
      <c r="B3379" t="s">
        <v>225</v>
      </c>
      <c r="C3379">
        <v>0</v>
      </c>
    </row>
    <row r="3380" spans="1:3" x14ac:dyDescent="0.3">
      <c r="A3380" t="s">
        <v>5483</v>
      </c>
      <c r="B3380" t="s">
        <v>53</v>
      </c>
      <c r="C3380">
        <v>0.01</v>
      </c>
    </row>
    <row r="3381" spans="1:3" x14ac:dyDescent="0.3">
      <c r="A3381" t="s">
        <v>5483</v>
      </c>
      <c r="B3381" t="s">
        <v>53</v>
      </c>
      <c r="C3381">
        <v>0.03</v>
      </c>
    </row>
    <row r="3382" spans="1:3" x14ac:dyDescent="0.3">
      <c r="A3382" t="s">
        <v>5483</v>
      </c>
      <c r="B3382" t="s">
        <v>53</v>
      </c>
      <c r="C3382">
        <v>0.08</v>
      </c>
    </row>
    <row r="3383" spans="1:3" x14ac:dyDescent="0.3">
      <c r="A3383" t="s">
        <v>4021</v>
      </c>
      <c r="B3383" t="s">
        <v>64</v>
      </c>
      <c r="C3383">
        <v>0.08</v>
      </c>
    </row>
    <row r="3384" spans="1:3" x14ac:dyDescent="0.3">
      <c r="A3384" t="s">
        <v>4237</v>
      </c>
      <c r="B3384" t="s">
        <v>87</v>
      </c>
      <c r="C3384">
        <v>7.0000000000000007E-2</v>
      </c>
    </row>
    <row r="3385" spans="1:3" x14ac:dyDescent="0.3">
      <c r="A3385" t="s">
        <v>13931</v>
      </c>
      <c r="B3385" t="s">
        <v>40</v>
      </c>
      <c r="C3385">
        <v>0.05</v>
      </c>
    </row>
    <row r="3386" spans="1:3" x14ac:dyDescent="0.3">
      <c r="A3386" t="s">
        <v>13054</v>
      </c>
      <c r="B3386" t="s">
        <v>64</v>
      </c>
      <c r="C3386">
        <v>7.0000000000000007E-2</v>
      </c>
    </row>
    <row r="3387" spans="1:3" x14ac:dyDescent="0.3">
      <c r="A3387" t="s">
        <v>7523</v>
      </c>
      <c r="B3387" t="s">
        <v>64</v>
      </c>
      <c r="C3387">
        <v>0.01</v>
      </c>
    </row>
    <row r="3388" spans="1:3" x14ac:dyDescent="0.3">
      <c r="A3388" t="s">
        <v>6362</v>
      </c>
      <c r="B3388" t="s">
        <v>225</v>
      </c>
      <c r="C3388">
        <v>0</v>
      </c>
    </row>
    <row r="3389" spans="1:3" x14ac:dyDescent="0.3">
      <c r="A3389" t="s">
        <v>6362</v>
      </c>
      <c r="B3389" t="s">
        <v>225</v>
      </c>
      <c r="C3389">
        <v>0.01</v>
      </c>
    </row>
    <row r="3390" spans="1:3" x14ac:dyDescent="0.3">
      <c r="A3390" t="s">
        <v>4042</v>
      </c>
      <c r="B3390" t="s">
        <v>225</v>
      </c>
      <c r="C3390">
        <v>0.01</v>
      </c>
    </row>
    <row r="3391" spans="1:3" x14ac:dyDescent="0.3">
      <c r="A3391" t="s">
        <v>4042</v>
      </c>
      <c r="B3391" t="s">
        <v>225</v>
      </c>
      <c r="C3391">
        <v>0.08</v>
      </c>
    </row>
    <row r="3392" spans="1:3" x14ac:dyDescent="0.3">
      <c r="A3392" t="s">
        <v>6147</v>
      </c>
      <c r="B3392" t="s">
        <v>40</v>
      </c>
      <c r="C3392">
        <v>0.04</v>
      </c>
    </row>
    <row r="3393" spans="1:3" x14ac:dyDescent="0.3">
      <c r="A3393" t="s">
        <v>6147</v>
      </c>
      <c r="B3393" t="s">
        <v>40</v>
      </c>
      <c r="C3393">
        <v>0.06</v>
      </c>
    </row>
    <row r="3394" spans="1:3" x14ac:dyDescent="0.3">
      <c r="A3394" t="s">
        <v>4064</v>
      </c>
      <c r="B3394" t="s">
        <v>40</v>
      </c>
      <c r="C3394">
        <v>0.06</v>
      </c>
    </row>
    <row r="3395" spans="1:3" x14ac:dyDescent="0.3">
      <c r="A3395" t="s">
        <v>6232</v>
      </c>
      <c r="B3395" t="s">
        <v>40</v>
      </c>
      <c r="C3395">
        <v>0.03</v>
      </c>
    </row>
    <row r="3396" spans="1:3" x14ac:dyDescent="0.3">
      <c r="A3396" t="s">
        <v>13300</v>
      </c>
      <c r="B3396" t="s">
        <v>53</v>
      </c>
      <c r="C3396">
        <v>7.0000000000000007E-2</v>
      </c>
    </row>
    <row r="3397" spans="1:3" x14ac:dyDescent="0.3">
      <c r="A3397" t="s">
        <v>9479</v>
      </c>
      <c r="B3397" t="s">
        <v>53</v>
      </c>
      <c r="C3397">
        <v>0.01</v>
      </c>
    </row>
    <row r="3398" spans="1:3" x14ac:dyDescent="0.3">
      <c r="A3398" t="s">
        <v>12080</v>
      </c>
      <c r="B3398" t="s">
        <v>53</v>
      </c>
      <c r="C3398">
        <v>0.01</v>
      </c>
    </row>
    <row r="3399" spans="1:3" x14ac:dyDescent="0.3">
      <c r="A3399" t="s">
        <v>12080</v>
      </c>
      <c r="B3399" t="s">
        <v>53</v>
      </c>
      <c r="C3399">
        <v>0.1</v>
      </c>
    </row>
    <row r="3400" spans="1:3" x14ac:dyDescent="0.3">
      <c r="A3400" t="s">
        <v>6007</v>
      </c>
      <c r="B3400" t="s">
        <v>53</v>
      </c>
      <c r="C3400">
        <v>0.02</v>
      </c>
    </row>
    <row r="3401" spans="1:3" x14ac:dyDescent="0.3">
      <c r="A3401" t="s">
        <v>11776</v>
      </c>
      <c r="B3401" t="s">
        <v>29</v>
      </c>
      <c r="C3401">
        <v>0.09</v>
      </c>
    </row>
    <row r="3402" spans="1:3" x14ac:dyDescent="0.3">
      <c r="A3402" t="s">
        <v>11776</v>
      </c>
      <c r="B3402" t="s">
        <v>53</v>
      </c>
      <c r="C3402">
        <v>7.0000000000000007E-2</v>
      </c>
    </row>
    <row r="3403" spans="1:3" x14ac:dyDescent="0.3">
      <c r="A3403" t="s">
        <v>7121</v>
      </c>
      <c r="B3403" t="s">
        <v>53</v>
      </c>
      <c r="C3403">
        <v>0.03</v>
      </c>
    </row>
    <row r="3404" spans="1:3" x14ac:dyDescent="0.3">
      <c r="A3404" t="s">
        <v>7121</v>
      </c>
      <c r="B3404" t="s">
        <v>53</v>
      </c>
      <c r="C3404">
        <v>0.08</v>
      </c>
    </row>
    <row r="3405" spans="1:3" x14ac:dyDescent="0.3">
      <c r="A3405" t="s">
        <v>13567</v>
      </c>
      <c r="B3405" t="s">
        <v>40</v>
      </c>
      <c r="C3405">
        <v>0.06</v>
      </c>
    </row>
    <row r="3406" spans="1:3" x14ac:dyDescent="0.3">
      <c r="A3406" t="s">
        <v>4121</v>
      </c>
      <c r="B3406" t="s">
        <v>64</v>
      </c>
      <c r="C3406">
        <v>0.04</v>
      </c>
    </row>
    <row r="3407" spans="1:3" x14ac:dyDescent="0.3">
      <c r="A3407" t="s">
        <v>11572</v>
      </c>
      <c r="B3407" t="s">
        <v>87</v>
      </c>
      <c r="C3407">
        <v>0.03</v>
      </c>
    </row>
    <row r="3408" spans="1:3" x14ac:dyDescent="0.3">
      <c r="A3408" t="s">
        <v>14026</v>
      </c>
      <c r="B3408" t="s">
        <v>87</v>
      </c>
      <c r="C3408">
        <v>7.0000000000000007E-2</v>
      </c>
    </row>
    <row r="3409" spans="1:3" x14ac:dyDescent="0.3">
      <c r="A3409" t="s">
        <v>15058</v>
      </c>
      <c r="B3409" t="s">
        <v>29</v>
      </c>
      <c r="C3409">
        <v>0.05</v>
      </c>
    </row>
    <row r="3410" spans="1:3" x14ac:dyDescent="0.3">
      <c r="A3410" t="s">
        <v>13017</v>
      </c>
      <c r="B3410" t="s">
        <v>40</v>
      </c>
      <c r="C3410">
        <v>0.01</v>
      </c>
    </row>
    <row r="3411" spans="1:3" x14ac:dyDescent="0.3">
      <c r="A3411" t="s">
        <v>12785</v>
      </c>
      <c r="B3411" t="s">
        <v>87</v>
      </c>
      <c r="C3411">
        <v>0</v>
      </c>
    </row>
    <row r="3412" spans="1:3" x14ac:dyDescent="0.3">
      <c r="A3412" t="s">
        <v>15377</v>
      </c>
      <c r="B3412" t="s">
        <v>87</v>
      </c>
      <c r="C3412">
        <v>0</v>
      </c>
    </row>
    <row r="3413" spans="1:3" x14ac:dyDescent="0.3">
      <c r="A3413" t="s">
        <v>15377</v>
      </c>
      <c r="B3413" t="s">
        <v>87</v>
      </c>
      <c r="C3413">
        <v>0.04</v>
      </c>
    </row>
    <row r="3414" spans="1:3" x14ac:dyDescent="0.3">
      <c r="A3414" t="s">
        <v>5420</v>
      </c>
      <c r="B3414" t="s">
        <v>64</v>
      </c>
      <c r="C3414">
        <v>0.09</v>
      </c>
    </row>
    <row r="3415" spans="1:3" x14ac:dyDescent="0.3">
      <c r="A3415" t="s">
        <v>8079</v>
      </c>
      <c r="B3415" t="s">
        <v>40</v>
      </c>
      <c r="C3415">
        <v>0.02</v>
      </c>
    </row>
    <row r="3416" spans="1:3" x14ac:dyDescent="0.3">
      <c r="A3416" t="s">
        <v>10198</v>
      </c>
      <c r="B3416" t="s">
        <v>40</v>
      </c>
      <c r="C3416">
        <v>0.06</v>
      </c>
    </row>
    <row r="3417" spans="1:3" x14ac:dyDescent="0.3">
      <c r="A3417" t="s">
        <v>5284</v>
      </c>
      <c r="B3417" t="s">
        <v>225</v>
      </c>
      <c r="C3417">
        <v>0.01</v>
      </c>
    </row>
    <row r="3418" spans="1:3" x14ac:dyDescent="0.3">
      <c r="A3418" t="s">
        <v>5284</v>
      </c>
      <c r="B3418" t="s">
        <v>225</v>
      </c>
      <c r="C3418">
        <v>0.06</v>
      </c>
    </row>
    <row r="3419" spans="1:3" x14ac:dyDescent="0.3">
      <c r="A3419" t="s">
        <v>10497</v>
      </c>
      <c r="B3419" t="s">
        <v>29</v>
      </c>
      <c r="C3419">
        <v>0.09</v>
      </c>
    </row>
    <row r="3420" spans="1:3" x14ac:dyDescent="0.3">
      <c r="A3420" t="s">
        <v>7272</v>
      </c>
      <c r="B3420" t="s">
        <v>29</v>
      </c>
      <c r="C3420">
        <v>0.03</v>
      </c>
    </row>
    <row r="3421" spans="1:3" x14ac:dyDescent="0.3">
      <c r="A3421" t="s">
        <v>13368</v>
      </c>
      <c r="B3421" t="s">
        <v>29</v>
      </c>
      <c r="C3421">
        <v>0.08</v>
      </c>
    </row>
    <row r="3422" spans="1:3" x14ac:dyDescent="0.3">
      <c r="A3422" t="s">
        <v>13539</v>
      </c>
      <c r="B3422" t="s">
        <v>29</v>
      </c>
      <c r="C3422">
        <v>0.01</v>
      </c>
    </row>
    <row r="3423" spans="1:3" x14ac:dyDescent="0.3">
      <c r="A3423" t="s">
        <v>13539</v>
      </c>
      <c r="B3423" t="s">
        <v>29</v>
      </c>
      <c r="C3423">
        <v>0.06</v>
      </c>
    </row>
    <row r="3424" spans="1:3" x14ac:dyDescent="0.3">
      <c r="A3424" t="s">
        <v>13539</v>
      </c>
      <c r="B3424" t="s">
        <v>29</v>
      </c>
      <c r="C3424">
        <v>7.0000000000000007E-2</v>
      </c>
    </row>
    <row r="3425" spans="1:3" x14ac:dyDescent="0.3">
      <c r="A3425" t="s">
        <v>4958</v>
      </c>
      <c r="B3425" t="s">
        <v>87</v>
      </c>
      <c r="C3425">
        <v>0.04</v>
      </c>
    </row>
    <row r="3426" spans="1:3" x14ac:dyDescent="0.3">
      <c r="A3426" t="s">
        <v>4958</v>
      </c>
      <c r="B3426" t="s">
        <v>87</v>
      </c>
      <c r="C3426">
        <v>0.1</v>
      </c>
    </row>
    <row r="3427" spans="1:3" x14ac:dyDescent="0.3">
      <c r="A3427" t="s">
        <v>14719</v>
      </c>
      <c r="B3427" t="s">
        <v>29</v>
      </c>
      <c r="C3427">
        <v>0.06</v>
      </c>
    </row>
    <row r="3428" spans="1:3" x14ac:dyDescent="0.3">
      <c r="A3428" t="s">
        <v>14719</v>
      </c>
      <c r="B3428" t="s">
        <v>29</v>
      </c>
      <c r="C3428">
        <v>7.0000000000000007E-2</v>
      </c>
    </row>
    <row r="3429" spans="1:3" x14ac:dyDescent="0.3">
      <c r="A3429" t="s">
        <v>8676</v>
      </c>
      <c r="B3429" t="s">
        <v>29</v>
      </c>
      <c r="C3429">
        <v>0.01</v>
      </c>
    </row>
    <row r="3430" spans="1:3" x14ac:dyDescent="0.3">
      <c r="A3430" t="s">
        <v>12168</v>
      </c>
      <c r="B3430" t="s">
        <v>29</v>
      </c>
      <c r="C3430">
        <v>0.08</v>
      </c>
    </row>
    <row r="3431" spans="1:3" x14ac:dyDescent="0.3">
      <c r="A3431" t="s">
        <v>12222</v>
      </c>
      <c r="B3431" t="s">
        <v>64</v>
      </c>
      <c r="C3431">
        <v>0.02</v>
      </c>
    </row>
    <row r="3432" spans="1:3" x14ac:dyDescent="0.3">
      <c r="A3432" t="s">
        <v>15694</v>
      </c>
      <c r="B3432" t="s">
        <v>225</v>
      </c>
      <c r="C3432">
        <v>0.01</v>
      </c>
    </row>
    <row r="3433" spans="1:3" x14ac:dyDescent="0.3">
      <c r="A3433" t="s">
        <v>4238</v>
      </c>
      <c r="B3433" t="s">
        <v>87</v>
      </c>
      <c r="C3433">
        <v>0.02</v>
      </c>
    </row>
    <row r="3434" spans="1:3" x14ac:dyDescent="0.3">
      <c r="A3434" t="s">
        <v>4258</v>
      </c>
      <c r="B3434" t="s">
        <v>40</v>
      </c>
      <c r="C3434">
        <v>7.0000000000000007E-2</v>
      </c>
    </row>
    <row r="3435" spans="1:3" x14ac:dyDescent="0.3">
      <c r="A3435" t="s">
        <v>15841</v>
      </c>
      <c r="B3435" t="s">
        <v>40</v>
      </c>
      <c r="C3435">
        <v>0.05</v>
      </c>
    </row>
    <row r="3436" spans="1:3" x14ac:dyDescent="0.3">
      <c r="A3436" t="s">
        <v>12026</v>
      </c>
      <c r="B3436" t="s">
        <v>29</v>
      </c>
      <c r="C3436">
        <v>0.1</v>
      </c>
    </row>
    <row r="3437" spans="1:3" x14ac:dyDescent="0.3">
      <c r="A3437" t="s">
        <v>4433</v>
      </c>
      <c r="B3437" t="s">
        <v>29</v>
      </c>
      <c r="C3437">
        <v>0.01</v>
      </c>
    </row>
    <row r="3438" spans="1:3" x14ac:dyDescent="0.3">
      <c r="A3438" t="s">
        <v>4433</v>
      </c>
      <c r="B3438" t="s">
        <v>29</v>
      </c>
      <c r="C3438">
        <v>7.0000000000000007E-2</v>
      </c>
    </row>
    <row r="3439" spans="1:3" x14ac:dyDescent="0.3">
      <c r="A3439" t="s">
        <v>8901</v>
      </c>
      <c r="B3439" t="s">
        <v>29</v>
      </c>
      <c r="C3439">
        <v>0.06</v>
      </c>
    </row>
    <row r="3440" spans="1:3" x14ac:dyDescent="0.3">
      <c r="A3440" t="s">
        <v>13266</v>
      </c>
      <c r="B3440" t="s">
        <v>225</v>
      </c>
      <c r="C3440">
        <v>0.01</v>
      </c>
    </row>
    <row r="3441" spans="1:3" x14ac:dyDescent="0.3">
      <c r="A3441" t="s">
        <v>13266</v>
      </c>
      <c r="B3441" t="s">
        <v>225</v>
      </c>
      <c r="C3441">
        <v>0.04</v>
      </c>
    </row>
    <row r="3442" spans="1:3" x14ac:dyDescent="0.3">
      <c r="A3442" t="s">
        <v>6299</v>
      </c>
      <c r="B3442" t="s">
        <v>64</v>
      </c>
      <c r="C3442">
        <v>7.0000000000000007E-2</v>
      </c>
    </row>
    <row r="3443" spans="1:3" x14ac:dyDescent="0.3">
      <c r="A3443" t="s">
        <v>10538</v>
      </c>
      <c r="B3443" t="s">
        <v>64</v>
      </c>
      <c r="C3443">
        <v>0.03</v>
      </c>
    </row>
    <row r="3444" spans="1:3" x14ac:dyDescent="0.3">
      <c r="A3444" t="s">
        <v>12438</v>
      </c>
      <c r="B3444" t="s">
        <v>87</v>
      </c>
      <c r="C3444">
        <v>0.03</v>
      </c>
    </row>
    <row r="3445" spans="1:3" x14ac:dyDescent="0.3">
      <c r="A3445" t="s">
        <v>7341</v>
      </c>
      <c r="B3445" t="s">
        <v>40</v>
      </c>
      <c r="C3445">
        <v>0.02</v>
      </c>
    </row>
    <row r="3446" spans="1:3" x14ac:dyDescent="0.3">
      <c r="A3446" t="s">
        <v>7341</v>
      </c>
      <c r="B3446" t="s">
        <v>40</v>
      </c>
      <c r="C3446">
        <v>0.05</v>
      </c>
    </row>
    <row r="3447" spans="1:3" x14ac:dyDescent="0.3">
      <c r="A3447" t="s">
        <v>7341</v>
      </c>
      <c r="B3447" t="s">
        <v>64</v>
      </c>
      <c r="C3447">
        <v>0</v>
      </c>
    </row>
    <row r="3448" spans="1:3" x14ac:dyDescent="0.3">
      <c r="A3448" t="s">
        <v>7341</v>
      </c>
      <c r="B3448" t="s">
        <v>53</v>
      </c>
      <c r="C3448">
        <v>0.06</v>
      </c>
    </row>
    <row r="3449" spans="1:3" x14ac:dyDescent="0.3">
      <c r="A3449" t="s">
        <v>11264</v>
      </c>
      <c r="B3449" t="s">
        <v>40</v>
      </c>
      <c r="C3449">
        <v>0.05</v>
      </c>
    </row>
    <row r="3450" spans="1:3" x14ac:dyDescent="0.3">
      <c r="A3450" t="s">
        <v>8657</v>
      </c>
      <c r="B3450" t="s">
        <v>29</v>
      </c>
      <c r="C3450">
        <v>0.03</v>
      </c>
    </row>
    <row r="3451" spans="1:3" x14ac:dyDescent="0.3">
      <c r="A3451" t="s">
        <v>11013</v>
      </c>
      <c r="B3451" t="s">
        <v>64</v>
      </c>
      <c r="C3451">
        <v>0.09</v>
      </c>
    </row>
    <row r="3452" spans="1:3" x14ac:dyDescent="0.3">
      <c r="A3452" t="s">
        <v>11219</v>
      </c>
      <c r="B3452" t="s">
        <v>64</v>
      </c>
      <c r="C3452">
        <v>0.08</v>
      </c>
    </row>
    <row r="3453" spans="1:3" x14ac:dyDescent="0.3">
      <c r="A3453" t="s">
        <v>13810</v>
      </c>
      <c r="B3453" t="s">
        <v>40</v>
      </c>
      <c r="C3453">
        <v>0</v>
      </c>
    </row>
    <row r="3454" spans="1:3" x14ac:dyDescent="0.3">
      <c r="A3454" t="s">
        <v>13810</v>
      </c>
      <c r="B3454" t="s">
        <v>40</v>
      </c>
      <c r="C3454">
        <v>0.08</v>
      </c>
    </row>
    <row r="3455" spans="1:3" x14ac:dyDescent="0.3">
      <c r="A3455" t="s">
        <v>13810</v>
      </c>
      <c r="B3455" t="s">
        <v>40</v>
      </c>
      <c r="C3455">
        <v>0.09</v>
      </c>
    </row>
    <row r="3456" spans="1:3" x14ac:dyDescent="0.3">
      <c r="A3456" t="s">
        <v>13810</v>
      </c>
      <c r="B3456" t="s">
        <v>64</v>
      </c>
      <c r="C3456">
        <v>0.05</v>
      </c>
    </row>
    <row r="3457" spans="1:3" x14ac:dyDescent="0.3">
      <c r="A3457" t="s">
        <v>10248</v>
      </c>
      <c r="B3457" t="s">
        <v>87</v>
      </c>
      <c r="C3457">
        <v>0.09</v>
      </c>
    </row>
    <row r="3458" spans="1:3" x14ac:dyDescent="0.3">
      <c r="A3458" t="s">
        <v>14079</v>
      </c>
      <c r="B3458" t="s">
        <v>87</v>
      </c>
      <c r="C3458">
        <v>0.05</v>
      </c>
    </row>
    <row r="3459" spans="1:3" x14ac:dyDescent="0.3">
      <c r="A3459" t="s">
        <v>11980</v>
      </c>
      <c r="B3459" t="s">
        <v>87</v>
      </c>
      <c r="C3459">
        <v>0.02</v>
      </c>
    </row>
    <row r="3460" spans="1:3" x14ac:dyDescent="0.3">
      <c r="A3460" t="s">
        <v>15697</v>
      </c>
      <c r="B3460" t="s">
        <v>40</v>
      </c>
      <c r="C3460">
        <v>0.09</v>
      </c>
    </row>
    <row r="3461" spans="1:3" x14ac:dyDescent="0.3">
      <c r="A3461" t="s">
        <v>9441</v>
      </c>
      <c r="B3461" t="s">
        <v>87</v>
      </c>
      <c r="C3461">
        <v>0.08</v>
      </c>
    </row>
    <row r="3462" spans="1:3" x14ac:dyDescent="0.3">
      <c r="A3462" t="s">
        <v>15285</v>
      </c>
      <c r="B3462" t="s">
        <v>40</v>
      </c>
      <c r="C3462">
        <v>0.1</v>
      </c>
    </row>
    <row r="3463" spans="1:3" x14ac:dyDescent="0.3">
      <c r="A3463" t="s">
        <v>8078</v>
      </c>
      <c r="B3463" t="s">
        <v>87</v>
      </c>
      <c r="C3463">
        <v>0.02</v>
      </c>
    </row>
    <row r="3464" spans="1:3" x14ac:dyDescent="0.3">
      <c r="A3464" t="s">
        <v>4779</v>
      </c>
      <c r="B3464" t="s">
        <v>40</v>
      </c>
      <c r="C3464">
        <v>0.06</v>
      </c>
    </row>
    <row r="3465" spans="1:3" x14ac:dyDescent="0.3">
      <c r="A3465" t="s">
        <v>4404</v>
      </c>
      <c r="B3465" t="s">
        <v>53</v>
      </c>
      <c r="C3465">
        <v>0.08</v>
      </c>
    </row>
    <row r="3466" spans="1:3" x14ac:dyDescent="0.3">
      <c r="A3466" t="s">
        <v>4404</v>
      </c>
      <c r="B3466" t="s">
        <v>87</v>
      </c>
      <c r="C3466">
        <v>0.08</v>
      </c>
    </row>
    <row r="3467" spans="1:3" x14ac:dyDescent="0.3">
      <c r="A3467" t="s">
        <v>15552</v>
      </c>
      <c r="B3467" t="s">
        <v>40</v>
      </c>
      <c r="C3467">
        <v>7.0000000000000007E-2</v>
      </c>
    </row>
    <row r="3468" spans="1:3" x14ac:dyDescent="0.3">
      <c r="A3468" t="s">
        <v>15552</v>
      </c>
      <c r="B3468" t="s">
        <v>29</v>
      </c>
      <c r="C3468">
        <v>0</v>
      </c>
    </row>
    <row r="3469" spans="1:3" x14ac:dyDescent="0.3">
      <c r="A3469" t="s">
        <v>15552</v>
      </c>
      <c r="B3469" t="s">
        <v>29</v>
      </c>
      <c r="C3469">
        <v>0.02</v>
      </c>
    </row>
    <row r="3470" spans="1:3" x14ac:dyDescent="0.3">
      <c r="A3470" t="s">
        <v>8887</v>
      </c>
      <c r="B3470" t="s">
        <v>40</v>
      </c>
      <c r="C3470">
        <v>0.02</v>
      </c>
    </row>
    <row r="3471" spans="1:3" x14ac:dyDescent="0.3">
      <c r="A3471" t="s">
        <v>8887</v>
      </c>
      <c r="B3471" t="s">
        <v>29</v>
      </c>
      <c r="C3471">
        <v>7.0000000000000007E-2</v>
      </c>
    </row>
    <row r="3472" spans="1:3" x14ac:dyDescent="0.3">
      <c r="A3472" t="s">
        <v>6769</v>
      </c>
      <c r="B3472" t="s">
        <v>225</v>
      </c>
      <c r="C3472">
        <v>0.09</v>
      </c>
    </row>
    <row r="3473" spans="1:3" x14ac:dyDescent="0.3">
      <c r="A3473" t="s">
        <v>15624</v>
      </c>
      <c r="B3473" t="s">
        <v>87</v>
      </c>
      <c r="C3473">
        <v>0.04</v>
      </c>
    </row>
    <row r="3474" spans="1:3" x14ac:dyDescent="0.3">
      <c r="A3474" t="s">
        <v>10081</v>
      </c>
      <c r="B3474" t="s">
        <v>53</v>
      </c>
      <c r="C3474">
        <v>0.1</v>
      </c>
    </row>
    <row r="3475" spans="1:3" x14ac:dyDescent="0.3">
      <c r="A3475" t="s">
        <v>4971</v>
      </c>
      <c r="B3475" t="s">
        <v>225</v>
      </c>
      <c r="C3475">
        <v>0.08</v>
      </c>
    </row>
    <row r="3476" spans="1:3" x14ac:dyDescent="0.3">
      <c r="A3476" t="s">
        <v>12672</v>
      </c>
      <c r="B3476" t="s">
        <v>53</v>
      </c>
      <c r="C3476">
        <v>0</v>
      </c>
    </row>
    <row r="3477" spans="1:3" x14ac:dyDescent="0.3">
      <c r="A3477" t="s">
        <v>12672</v>
      </c>
      <c r="B3477" t="s">
        <v>53</v>
      </c>
      <c r="C3477">
        <v>0.09</v>
      </c>
    </row>
    <row r="3478" spans="1:3" x14ac:dyDescent="0.3">
      <c r="A3478" t="s">
        <v>5629</v>
      </c>
      <c r="B3478" t="s">
        <v>225</v>
      </c>
      <c r="C3478">
        <v>0.02</v>
      </c>
    </row>
    <row r="3479" spans="1:3" x14ac:dyDescent="0.3">
      <c r="A3479" t="s">
        <v>5629</v>
      </c>
      <c r="B3479" t="s">
        <v>225</v>
      </c>
      <c r="C3479">
        <v>0.09</v>
      </c>
    </row>
    <row r="3480" spans="1:3" x14ac:dyDescent="0.3">
      <c r="A3480" t="s">
        <v>4483</v>
      </c>
      <c r="B3480" t="s">
        <v>40</v>
      </c>
      <c r="C3480">
        <v>0.04</v>
      </c>
    </row>
    <row r="3481" spans="1:3" x14ac:dyDescent="0.3">
      <c r="A3481" t="s">
        <v>10703</v>
      </c>
      <c r="B3481" t="s">
        <v>40</v>
      </c>
      <c r="C3481">
        <v>0.08</v>
      </c>
    </row>
    <row r="3482" spans="1:3" x14ac:dyDescent="0.3">
      <c r="A3482" t="s">
        <v>4502</v>
      </c>
      <c r="B3482" t="s">
        <v>53</v>
      </c>
      <c r="C3482">
        <v>0.1</v>
      </c>
    </row>
    <row r="3483" spans="1:3" x14ac:dyDescent="0.3">
      <c r="A3483" t="s">
        <v>8151</v>
      </c>
      <c r="B3483" t="s">
        <v>87</v>
      </c>
      <c r="C3483">
        <v>0.06</v>
      </c>
    </row>
    <row r="3484" spans="1:3" x14ac:dyDescent="0.3">
      <c r="A3484" t="s">
        <v>9224</v>
      </c>
      <c r="B3484" t="s">
        <v>87</v>
      </c>
      <c r="C3484">
        <v>0</v>
      </c>
    </row>
    <row r="3485" spans="1:3" x14ac:dyDescent="0.3">
      <c r="A3485" t="s">
        <v>15452</v>
      </c>
      <c r="B3485" t="s">
        <v>40</v>
      </c>
      <c r="C3485">
        <v>0</v>
      </c>
    </row>
    <row r="3486" spans="1:3" x14ac:dyDescent="0.3">
      <c r="A3486" t="s">
        <v>7796</v>
      </c>
      <c r="B3486" t="s">
        <v>53</v>
      </c>
      <c r="C3486">
        <v>0.06</v>
      </c>
    </row>
    <row r="3487" spans="1:3" x14ac:dyDescent="0.3">
      <c r="A3487" t="s">
        <v>4537</v>
      </c>
      <c r="B3487" t="s">
        <v>87</v>
      </c>
      <c r="C3487">
        <v>0.05</v>
      </c>
    </row>
    <row r="3488" spans="1:3" x14ac:dyDescent="0.3">
      <c r="A3488" t="s">
        <v>4574</v>
      </c>
      <c r="B3488" t="s">
        <v>40</v>
      </c>
      <c r="C3488">
        <v>0.01</v>
      </c>
    </row>
    <row r="3489" spans="1:3" x14ac:dyDescent="0.3">
      <c r="A3489" t="s">
        <v>5793</v>
      </c>
      <c r="B3489" t="s">
        <v>40</v>
      </c>
      <c r="C3489">
        <v>0.02</v>
      </c>
    </row>
    <row r="3490" spans="1:3" x14ac:dyDescent="0.3">
      <c r="A3490" t="s">
        <v>13211</v>
      </c>
      <c r="B3490" t="s">
        <v>53</v>
      </c>
      <c r="C3490">
        <v>0.09</v>
      </c>
    </row>
    <row r="3491" spans="1:3" x14ac:dyDescent="0.3">
      <c r="A3491" t="s">
        <v>5089</v>
      </c>
      <c r="B3491" t="s">
        <v>29</v>
      </c>
      <c r="C3491">
        <v>0.03</v>
      </c>
    </row>
    <row r="3492" spans="1:3" x14ac:dyDescent="0.3">
      <c r="A3492" t="s">
        <v>4562</v>
      </c>
      <c r="B3492" t="s">
        <v>29</v>
      </c>
      <c r="C3492">
        <v>0.01</v>
      </c>
    </row>
    <row r="3493" spans="1:3" x14ac:dyDescent="0.3">
      <c r="A3493" t="s">
        <v>4562</v>
      </c>
      <c r="B3493" t="s">
        <v>29</v>
      </c>
      <c r="C3493">
        <v>0.02</v>
      </c>
    </row>
    <row r="3494" spans="1:3" x14ac:dyDescent="0.3">
      <c r="A3494" t="s">
        <v>4562</v>
      </c>
      <c r="B3494" t="s">
        <v>29</v>
      </c>
      <c r="C3494">
        <v>7.0000000000000007E-2</v>
      </c>
    </row>
    <row r="3495" spans="1:3" x14ac:dyDescent="0.3">
      <c r="A3495" t="s">
        <v>5658</v>
      </c>
      <c r="B3495" t="s">
        <v>29</v>
      </c>
      <c r="C3495">
        <v>0.03</v>
      </c>
    </row>
    <row r="3496" spans="1:3" x14ac:dyDescent="0.3">
      <c r="A3496" t="s">
        <v>6811</v>
      </c>
      <c r="B3496" t="s">
        <v>53</v>
      </c>
      <c r="C3496">
        <v>0</v>
      </c>
    </row>
    <row r="3497" spans="1:3" x14ac:dyDescent="0.3">
      <c r="A3497" t="s">
        <v>6811</v>
      </c>
      <c r="B3497" t="s">
        <v>53</v>
      </c>
      <c r="C3497">
        <v>0.1</v>
      </c>
    </row>
    <row r="3498" spans="1:3" x14ac:dyDescent="0.3">
      <c r="A3498" t="s">
        <v>10376</v>
      </c>
      <c r="B3498" t="s">
        <v>29</v>
      </c>
      <c r="C3498">
        <v>0.06</v>
      </c>
    </row>
    <row r="3499" spans="1:3" x14ac:dyDescent="0.3">
      <c r="A3499" t="s">
        <v>10376</v>
      </c>
      <c r="B3499" t="s">
        <v>29</v>
      </c>
      <c r="C3499">
        <v>0.09</v>
      </c>
    </row>
    <row r="3500" spans="1:3" x14ac:dyDescent="0.3">
      <c r="A3500" t="s">
        <v>14497</v>
      </c>
      <c r="B3500" t="s">
        <v>87</v>
      </c>
      <c r="C3500">
        <v>0.03</v>
      </c>
    </row>
    <row r="3501" spans="1:3" x14ac:dyDescent="0.3">
      <c r="A3501" t="s">
        <v>14497</v>
      </c>
      <c r="B3501" t="s">
        <v>87</v>
      </c>
      <c r="C3501">
        <v>0.1</v>
      </c>
    </row>
    <row r="3502" spans="1:3" x14ac:dyDescent="0.3">
      <c r="A3502" t="s">
        <v>15768</v>
      </c>
      <c r="B3502" t="s">
        <v>64</v>
      </c>
      <c r="C3502">
        <v>0</v>
      </c>
    </row>
    <row r="3503" spans="1:3" x14ac:dyDescent="0.3">
      <c r="A3503" t="s">
        <v>15768</v>
      </c>
      <c r="B3503" t="s">
        <v>64</v>
      </c>
      <c r="C3503">
        <v>0.08</v>
      </c>
    </row>
    <row r="3504" spans="1:3" x14ac:dyDescent="0.3">
      <c r="A3504" t="s">
        <v>6470</v>
      </c>
      <c r="B3504" t="s">
        <v>40</v>
      </c>
      <c r="C3504">
        <v>0.06</v>
      </c>
    </row>
    <row r="3505" spans="1:3" x14ac:dyDescent="0.3">
      <c r="A3505" t="s">
        <v>6470</v>
      </c>
      <c r="B3505" t="s">
        <v>40</v>
      </c>
      <c r="C3505">
        <v>0.08</v>
      </c>
    </row>
    <row r="3506" spans="1:3" x14ac:dyDescent="0.3">
      <c r="A3506" t="s">
        <v>8917</v>
      </c>
      <c r="B3506" t="s">
        <v>64</v>
      </c>
      <c r="C3506">
        <v>0</v>
      </c>
    </row>
    <row r="3507" spans="1:3" x14ac:dyDescent="0.3">
      <c r="A3507" t="s">
        <v>8917</v>
      </c>
      <c r="B3507" t="s">
        <v>64</v>
      </c>
      <c r="C3507">
        <v>7.0000000000000007E-2</v>
      </c>
    </row>
    <row r="3508" spans="1:3" x14ac:dyDescent="0.3">
      <c r="A3508" t="s">
        <v>11199</v>
      </c>
      <c r="B3508" t="s">
        <v>64</v>
      </c>
      <c r="C3508">
        <v>0.05</v>
      </c>
    </row>
    <row r="3509" spans="1:3" x14ac:dyDescent="0.3">
      <c r="A3509" t="s">
        <v>10467</v>
      </c>
      <c r="B3509" t="s">
        <v>29</v>
      </c>
      <c r="C3509">
        <v>0.01</v>
      </c>
    </row>
    <row r="3510" spans="1:3" x14ac:dyDescent="0.3">
      <c r="A3510" t="s">
        <v>4665</v>
      </c>
      <c r="B3510" t="s">
        <v>40</v>
      </c>
      <c r="C3510">
        <v>0.06</v>
      </c>
    </row>
    <row r="3511" spans="1:3" x14ac:dyDescent="0.3">
      <c r="A3511" t="s">
        <v>7457</v>
      </c>
      <c r="B3511" t="s">
        <v>40</v>
      </c>
      <c r="C3511">
        <v>0.01</v>
      </c>
    </row>
    <row r="3512" spans="1:3" x14ac:dyDescent="0.3">
      <c r="A3512" t="s">
        <v>7457</v>
      </c>
      <c r="B3512" t="s">
        <v>40</v>
      </c>
      <c r="C3512">
        <v>0.02</v>
      </c>
    </row>
    <row r="3513" spans="1:3" x14ac:dyDescent="0.3">
      <c r="A3513" t="s">
        <v>7457</v>
      </c>
      <c r="B3513" t="s">
        <v>87</v>
      </c>
      <c r="C3513">
        <v>7.0000000000000007E-2</v>
      </c>
    </row>
    <row r="3514" spans="1:3" x14ac:dyDescent="0.3">
      <c r="A3514" t="s">
        <v>13332</v>
      </c>
      <c r="B3514" t="s">
        <v>40</v>
      </c>
      <c r="C3514">
        <v>0.08</v>
      </c>
    </row>
    <row r="3515" spans="1:3" x14ac:dyDescent="0.3">
      <c r="A3515" t="s">
        <v>5939</v>
      </c>
      <c r="B3515" t="s">
        <v>40</v>
      </c>
      <c r="C3515">
        <v>0</v>
      </c>
    </row>
    <row r="3516" spans="1:3" x14ac:dyDescent="0.3">
      <c r="A3516" t="s">
        <v>5939</v>
      </c>
      <c r="B3516" t="s">
        <v>40</v>
      </c>
      <c r="C3516">
        <v>7.0000000000000007E-2</v>
      </c>
    </row>
    <row r="3517" spans="1:3" x14ac:dyDescent="0.3">
      <c r="A3517" t="s">
        <v>5939</v>
      </c>
      <c r="B3517" t="s">
        <v>40</v>
      </c>
      <c r="C3517">
        <v>0.09</v>
      </c>
    </row>
    <row r="3518" spans="1:3" x14ac:dyDescent="0.3">
      <c r="A3518" t="s">
        <v>6345</v>
      </c>
      <c r="B3518" t="s">
        <v>40</v>
      </c>
      <c r="C3518">
        <v>0.03</v>
      </c>
    </row>
    <row r="3519" spans="1:3" x14ac:dyDescent="0.3">
      <c r="A3519" t="s">
        <v>6822</v>
      </c>
      <c r="B3519" t="s">
        <v>64</v>
      </c>
      <c r="C3519">
        <v>0.08</v>
      </c>
    </row>
    <row r="3520" spans="1:3" x14ac:dyDescent="0.3">
      <c r="A3520" t="s">
        <v>6822</v>
      </c>
      <c r="B3520" t="s">
        <v>29</v>
      </c>
      <c r="C3520">
        <v>7.0000000000000007E-2</v>
      </c>
    </row>
    <row r="3521" spans="1:3" x14ac:dyDescent="0.3">
      <c r="A3521" t="s">
        <v>11280</v>
      </c>
      <c r="B3521" t="s">
        <v>40</v>
      </c>
      <c r="C3521">
        <v>0.03</v>
      </c>
    </row>
    <row r="3522" spans="1:3" x14ac:dyDescent="0.3">
      <c r="A3522" t="s">
        <v>13202</v>
      </c>
      <c r="B3522" t="s">
        <v>40</v>
      </c>
      <c r="C3522">
        <v>0.01</v>
      </c>
    </row>
    <row r="3523" spans="1:3" x14ac:dyDescent="0.3">
      <c r="A3523" t="s">
        <v>7594</v>
      </c>
      <c r="B3523" t="s">
        <v>87</v>
      </c>
      <c r="C3523">
        <v>0.05</v>
      </c>
    </row>
    <row r="3524" spans="1:3" x14ac:dyDescent="0.3">
      <c r="A3524" t="s">
        <v>13665</v>
      </c>
      <c r="B3524" t="s">
        <v>225</v>
      </c>
      <c r="C3524">
        <v>0.08</v>
      </c>
    </row>
    <row r="3525" spans="1:3" x14ac:dyDescent="0.3">
      <c r="A3525" t="s">
        <v>13665</v>
      </c>
      <c r="B3525" t="s">
        <v>87</v>
      </c>
      <c r="C3525">
        <v>0.05</v>
      </c>
    </row>
    <row r="3526" spans="1:3" x14ac:dyDescent="0.3">
      <c r="A3526" t="s">
        <v>13665</v>
      </c>
      <c r="B3526" t="s">
        <v>87</v>
      </c>
      <c r="C3526">
        <v>0.08</v>
      </c>
    </row>
    <row r="3527" spans="1:3" x14ac:dyDescent="0.3">
      <c r="A3527" t="s">
        <v>8813</v>
      </c>
      <c r="B3527" t="s">
        <v>87</v>
      </c>
      <c r="C3527">
        <v>0.08</v>
      </c>
    </row>
    <row r="3528" spans="1:3" x14ac:dyDescent="0.3">
      <c r="A3528" t="s">
        <v>11028</v>
      </c>
      <c r="B3528" t="s">
        <v>225</v>
      </c>
      <c r="C3528">
        <v>0.1</v>
      </c>
    </row>
    <row r="3529" spans="1:3" x14ac:dyDescent="0.3">
      <c r="A3529" t="s">
        <v>11028</v>
      </c>
      <c r="B3529" t="s">
        <v>53</v>
      </c>
      <c r="C3529">
        <v>0.1</v>
      </c>
    </row>
    <row r="3530" spans="1:3" x14ac:dyDescent="0.3">
      <c r="A3530" t="s">
        <v>4717</v>
      </c>
      <c r="B3530" t="s">
        <v>64</v>
      </c>
      <c r="C3530">
        <v>0.05</v>
      </c>
    </row>
    <row r="3531" spans="1:3" x14ac:dyDescent="0.3">
      <c r="A3531" t="s">
        <v>4717</v>
      </c>
      <c r="B3531" t="s">
        <v>64</v>
      </c>
      <c r="C3531">
        <v>0.06</v>
      </c>
    </row>
    <row r="3532" spans="1:3" x14ac:dyDescent="0.3">
      <c r="A3532" t="s">
        <v>4717</v>
      </c>
      <c r="B3532" t="s">
        <v>64</v>
      </c>
      <c r="C3532">
        <v>0.1</v>
      </c>
    </row>
    <row r="3533" spans="1:3" x14ac:dyDescent="0.3">
      <c r="A3533" t="s">
        <v>4717</v>
      </c>
      <c r="B3533" t="s">
        <v>29</v>
      </c>
      <c r="C3533">
        <v>0.03</v>
      </c>
    </row>
    <row r="3534" spans="1:3" x14ac:dyDescent="0.3">
      <c r="A3534" t="s">
        <v>4748</v>
      </c>
      <c r="B3534" t="s">
        <v>225</v>
      </c>
      <c r="C3534">
        <v>0.05</v>
      </c>
    </row>
    <row r="3535" spans="1:3" x14ac:dyDescent="0.3">
      <c r="A3535" t="s">
        <v>11757</v>
      </c>
      <c r="B3535" t="s">
        <v>40</v>
      </c>
      <c r="C3535">
        <v>0.01</v>
      </c>
    </row>
    <row r="3536" spans="1:3" x14ac:dyDescent="0.3">
      <c r="A3536" t="s">
        <v>9435</v>
      </c>
      <c r="B3536" t="s">
        <v>64</v>
      </c>
      <c r="C3536">
        <v>0.01</v>
      </c>
    </row>
    <row r="3537" spans="1:3" x14ac:dyDescent="0.3">
      <c r="A3537" t="s">
        <v>9435</v>
      </c>
      <c r="B3537" t="s">
        <v>64</v>
      </c>
      <c r="C3537">
        <v>0.1</v>
      </c>
    </row>
    <row r="3538" spans="1:3" x14ac:dyDescent="0.3">
      <c r="A3538" t="s">
        <v>12774</v>
      </c>
      <c r="B3538" t="s">
        <v>87</v>
      </c>
      <c r="C3538">
        <v>0.05</v>
      </c>
    </row>
    <row r="3539" spans="1:3" x14ac:dyDescent="0.3">
      <c r="A3539" t="s">
        <v>4808</v>
      </c>
      <c r="B3539" t="s">
        <v>64</v>
      </c>
      <c r="C3539">
        <v>0.02</v>
      </c>
    </row>
    <row r="3540" spans="1:3" x14ac:dyDescent="0.3">
      <c r="A3540" t="s">
        <v>11485</v>
      </c>
      <c r="B3540" t="s">
        <v>87</v>
      </c>
      <c r="C3540">
        <v>0.1</v>
      </c>
    </row>
    <row r="3541" spans="1:3" x14ac:dyDescent="0.3">
      <c r="A3541" t="s">
        <v>8550</v>
      </c>
      <c r="B3541" t="s">
        <v>225</v>
      </c>
      <c r="C3541">
        <v>0.08</v>
      </c>
    </row>
    <row r="3542" spans="1:3" x14ac:dyDescent="0.3">
      <c r="A3542" t="s">
        <v>4818</v>
      </c>
      <c r="B3542" t="s">
        <v>225</v>
      </c>
      <c r="C3542">
        <v>0.01</v>
      </c>
    </row>
    <row r="3543" spans="1:3" x14ac:dyDescent="0.3">
      <c r="A3543" t="s">
        <v>4818</v>
      </c>
      <c r="B3543" t="s">
        <v>225</v>
      </c>
      <c r="C3543">
        <v>7.0000000000000007E-2</v>
      </c>
    </row>
    <row r="3544" spans="1:3" x14ac:dyDescent="0.3">
      <c r="A3544" t="s">
        <v>7531</v>
      </c>
      <c r="B3544" t="s">
        <v>40</v>
      </c>
      <c r="C3544">
        <v>0.08</v>
      </c>
    </row>
    <row r="3545" spans="1:3" x14ac:dyDescent="0.3">
      <c r="A3545" t="s">
        <v>8300</v>
      </c>
      <c r="B3545" t="s">
        <v>40</v>
      </c>
      <c r="C3545">
        <v>0.05</v>
      </c>
    </row>
    <row r="3546" spans="1:3" x14ac:dyDescent="0.3">
      <c r="A3546" t="s">
        <v>6431</v>
      </c>
      <c r="B3546" t="s">
        <v>64</v>
      </c>
      <c r="C3546">
        <v>0.1</v>
      </c>
    </row>
    <row r="3547" spans="1:3" x14ac:dyDescent="0.3">
      <c r="A3547" t="s">
        <v>4846</v>
      </c>
      <c r="B3547" t="s">
        <v>29</v>
      </c>
      <c r="C3547">
        <v>0.08</v>
      </c>
    </row>
    <row r="3548" spans="1:3" x14ac:dyDescent="0.3">
      <c r="A3548" t="s">
        <v>6370</v>
      </c>
      <c r="B3548" t="s">
        <v>29</v>
      </c>
      <c r="C3548">
        <v>0.04</v>
      </c>
    </row>
    <row r="3549" spans="1:3" x14ac:dyDescent="0.3">
      <c r="A3549" t="s">
        <v>6370</v>
      </c>
      <c r="B3549" t="s">
        <v>29</v>
      </c>
      <c r="C3549">
        <v>0.06</v>
      </c>
    </row>
    <row r="3550" spans="1:3" x14ac:dyDescent="0.3">
      <c r="A3550" t="s">
        <v>6370</v>
      </c>
      <c r="B3550" t="s">
        <v>29</v>
      </c>
      <c r="C3550">
        <v>0.08</v>
      </c>
    </row>
    <row r="3551" spans="1:3" x14ac:dyDescent="0.3">
      <c r="A3551" t="s">
        <v>6370</v>
      </c>
      <c r="B3551" t="s">
        <v>29</v>
      </c>
      <c r="C3551">
        <v>0.09</v>
      </c>
    </row>
    <row r="3552" spans="1:3" x14ac:dyDescent="0.3">
      <c r="A3552" t="s">
        <v>7762</v>
      </c>
      <c r="B3552" t="s">
        <v>87</v>
      </c>
      <c r="C3552">
        <v>0.03</v>
      </c>
    </row>
    <row r="3553" spans="1:3" x14ac:dyDescent="0.3">
      <c r="A3553" t="s">
        <v>8341</v>
      </c>
      <c r="B3553" t="s">
        <v>64</v>
      </c>
      <c r="C3553">
        <v>0.04</v>
      </c>
    </row>
    <row r="3554" spans="1:3" x14ac:dyDescent="0.3">
      <c r="A3554" t="s">
        <v>5396</v>
      </c>
      <c r="B3554" t="s">
        <v>64</v>
      </c>
      <c r="C3554">
        <v>7.0000000000000007E-2</v>
      </c>
    </row>
    <row r="3555" spans="1:3" x14ac:dyDescent="0.3">
      <c r="A3555" t="s">
        <v>5396</v>
      </c>
      <c r="B3555" t="s">
        <v>64</v>
      </c>
      <c r="C3555">
        <v>0.1</v>
      </c>
    </row>
    <row r="3556" spans="1:3" x14ac:dyDescent="0.3">
      <c r="A3556" t="s">
        <v>6459</v>
      </c>
      <c r="B3556" t="s">
        <v>225</v>
      </c>
      <c r="C3556">
        <v>0.04</v>
      </c>
    </row>
    <row r="3557" spans="1:3" x14ac:dyDescent="0.3">
      <c r="A3557" t="s">
        <v>4926</v>
      </c>
      <c r="B3557" t="s">
        <v>225</v>
      </c>
      <c r="C3557">
        <v>0.05</v>
      </c>
    </row>
    <row r="3558" spans="1:3" x14ac:dyDescent="0.3">
      <c r="A3558" t="s">
        <v>4926</v>
      </c>
      <c r="B3558" t="s">
        <v>225</v>
      </c>
      <c r="C3558">
        <v>0.06</v>
      </c>
    </row>
    <row r="3559" spans="1:3" x14ac:dyDescent="0.3">
      <c r="A3559" t="s">
        <v>10794</v>
      </c>
      <c r="B3559" t="s">
        <v>225</v>
      </c>
      <c r="C3559">
        <v>0.08</v>
      </c>
    </row>
    <row r="3560" spans="1:3" x14ac:dyDescent="0.3">
      <c r="A3560" t="s">
        <v>8297</v>
      </c>
      <c r="B3560" t="s">
        <v>225</v>
      </c>
      <c r="C3560">
        <v>0.05</v>
      </c>
    </row>
    <row r="3561" spans="1:3" x14ac:dyDescent="0.3">
      <c r="A3561" t="s">
        <v>7107</v>
      </c>
      <c r="B3561" t="s">
        <v>87</v>
      </c>
      <c r="C3561">
        <v>0.1</v>
      </c>
    </row>
    <row r="3562" spans="1:3" x14ac:dyDescent="0.3">
      <c r="A3562" t="s">
        <v>5417</v>
      </c>
      <c r="B3562" t="s">
        <v>40</v>
      </c>
      <c r="C3562">
        <v>0.08</v>
      </c>
    </row>
    <row r="3563" spans="1:3" x14ac:dyDescent="0.3">
      <c r="A3563" t="s">
        <v>5417</v>
      </c>
      <c r="B3563" t="s">
        <v>40</v>
      </c>
      <c r="C3563">
        <v>0.1</v>
      </c>
    </row>
    <row r="3564" spans="1:3" x14ac:dyDescent="0.3">
      <c r="A3564" t="s">
        <v>4949</v>
      </c>
      <c r="B3564" t="s">
        <v>40</v>
      </c>
      <c r="C3564">
        <v>0.04</v>
      </c>
    </row>
    <row r="3565" spans="1:3" x14ac:dyDescent="0.3">
      <c r="A3565" t="s">
        <v>9117</v>
      </c>
      <c r="B3565" t="s">
        <v>40</v>
      </c>
      <c r="C3565">
        <v>0.01</v>
      </c>
    </row>
    <row r="3566" spans="1:3" x14ac:dyDescent="0.3">
      <c r="A3566" t="s">
        <v>9117</v>
      </c>
      <c r="B3566" t="s">
        <v>40</v>
      </c>
      <c r="C3566">
        <v>0.08</v>
      </c>
    </row>
    <row r="3567" spans="1:3" x14ac:dyDescent="0.3">
      <c r="A3567" t="s">
        <v>12861</v>
      </c>
      <c r="B3567" t="s">
        <v>29</v>
      </c>
      <c r="C3567">
        <v>0.09</v>
      </c>
    </row>
    <row r="3568" spans="1:3" x14ac:dyDescent="0.3">
      <c r="A3568" t="s">
        <v>5287</v>
      </c>
      <c r="B3568" t="s">
        <v>225</v>
      </c>
      <c r="C3568">
        <v>0.09</v>
      </c>
    </row>
    <row r="3569" spans="1:3" x14ac:dyDescent="0.3">
      <c r="A3569" t="s">
        <v>10834</v>
      </c>
      <c r="B3569" t="s">
        <v>40</v>
      </c>
      <c r="C3569">
        <v>0</v>
      </c>
    </row>
    <row r="3570" spans="1:3" x14ac:dyDescent="0.3">
      <c r="A3570" t="s">
        <v>10834</v>
      </c>
      <c r="B3570" t="s">
        <v>40</v>
      </c>
      <c r="C3570">
        <v>0.02</v>
      </c>
    </row>
    <row r="3571" spans="1:3" x14ac:dyDescent="0.3">
      <c r="A3571" t="s">
        <v>10834</v>
      </c>
      <c r="B3571" t="s">
        <v>29</v>
      </c>
      <c r="C3571">
        <v>0.04</v>
      </c>
    </row>
    <row r="3572" spans="1:3" x14ac:dyDescent="0.3">
      <c r="A3572" t="s">
        <v>10834</v>
      </c>
      <c r="B3572" t="s">
        <v>29</v>
      </c>
      <c r="C3572">
        <v>0.09</v>
      </c>
    </row>
    <row r="3573" spans="1:3" x14ac:dyDescent="0.3">
      <c r="A3573" t="s">
        <v>4954</v>
      </c>
      <c r="B3573" t="s">
        <v>225</v>
      </c>
      <c r="C3573">
        <v>0.01</v>
      </c>
    </row>
    <row r="3574" spans="1:3" x14ac:dyDescent="0.3">
      <c r="A3574" t="s">
        <v>5659</v>
      </c>
      <c r="B3574" t="s">
        <v>40</v>
      </c>
      <c r="C3574">
        <v>0</v>
      </c>
    </row>
    <row r="3575" spans="1:3" x14ac:dyDescent="0.3">
      <c r="A3575" t="s">
        <v>4992</v>
      </c>
      <c r="B3575" t="s">
        <v>29</v>
      </c>
      <c r="C3575">
        <v>0</v>
      </c>
    </row>
    <row r="3576" spans="1:3" x14ac:dyDescent="0.3">
      <c r="A3576" t="s">
        <v>10126</v>
      </c>
      <c r="B3576" t="s">
        <v>40</v>
      </c>
      <c r="C3576">
        <v>0.04</v>
      </c>
    </row>
    <row r="3577" spans="1:3" x14ac:dyDescent="0.3">
      <c r="A3577" t="s">
        <v>10126</v>
      </c>
      <c r="B3577" t="s">
        <v>40</v>
      </c>
      <c r="C3577">
        <v>0.06</v>
      </c>
    </row>
    <row r="3578" spans="1:3" x14ac:dyDescent="0.3">
      <c r="A3578" t="s">
        <v>13825</v>
      </c>
      <c r="B3578" t="s">
        <v>40</v>
      </c>
      <c r="C3578">
        <v>0</v>
      </c>
    </row>
    <row r="3579" spans="1:3" x14ac:dyDescent="0.3">
      <c r="A3579" t="s">
        <v>13825</v>
      </c>
      <c r="B3579" t="s">
        <v>40</v>
      </c>
      <c r="C3579">
        <v>0.04</v>
      </c>
    </row>
    <row r="3580" spans="1:3" x14ac:dyDescent="0.3">
      <c r="A3580" t="s">
        <v>9976</v>
      </c>
      <c r="B3580" t="s">
        <v>225</v>
      </c>
      <c r="C3580">
        <v>0.08</v>
      </c>
    </row>
    <row r="3581" spans="1:3" x14ac:dyDescent="0.3">
      <c r="A3581" t="s">
        <v>9976</v>
      </c>
      <c r="B3581" t="s">
        <v>53</v>
      </c>
      <c r="C3581">
        <v>7.0000000000000007E-2</v>
      </c>
    </row>
    <row r="3582" spans="1:3" x14ac:dyDescent="0.3">
      <c r="A3582" t="s">
        <v>13770</v>
      </c>
      <c r="B3582" t="s">
        <v>64</v>
      </c>
      <c r="C3582">
        <v>0.01</v>
      </c>
    </row>
    <row r="3583" spans="1:3" x14ac:dyDescent="0.3">
      <c r="A3583" t="s">
        <v>10021</v>
      </c>
      <c r="B3583" t="s">
        <v>40</v>
      </c>
      <c r="C3583">
        <v>0.06</v>
      </c>
    </row>
    <row r="3584" spans="1:3" x14ac:dyDescent="0.3">
      <c r="A3584" t="s">
        <v>15723</v>
      </c>
      <c r="B3584" t="s">
        <v>225</v>
      </c>
      <c r="C3584">
        <v>0.01</v>
      </c>
    </row>
    <row r="3585" spans="1:3" x14ac:dyDescent="0.3">
      <c r="A3585" t="s">
        <v>14241</v>
      </c>
      <c r="B3585" t="s">
        <v>64</v>
      </c>
      <c r="C3585">
        <v>0.1</v>
      </c>
    </row>
    <row r="3586" spans="1:3" x14ac:dyDescent="0.3">
      <c r="A3586" t="s">
        <v>9539</v>
      </c>
      <c r="B3586" t="s">
        <v>225</v>
      </c>
      <c r="C3586">
        <v>0.02</v>
      </c>
    </row>
    <row r="3587" spans="1:3" x14ac:dyDescent="0.3">
      <c r="A3587" t="s">
        <v>9539</v>
      </c>
      <c r="B3587" t="s">
        <v>225</v>
      </c>
      <c r="C3587">
        <v>0.04</v>
      </c>
    </row>
    <row r="3588" spans="1:3" x14ac:dyDescent="0.3">
      <c r="A3588" t="s">
        <v>12966</v>
      </c>
      <c r="B3588" t="s">
        <v>225</v>
      </c>
      <c r="C3588">
        <v>0.02</v>
      </c>
    </row>
    <row r="3589" spans="1:3" x14ac:dyDescent="0.3">
      <c r="A3589" t="s">
        <v>15590</v>
      </c>
      <c r="B3589" t="s">
        <v>29</v>
      </c>
      <c r="C3589">
        <v>0</v>
      </c>
    </row>
    <row r="3590" spans="1:3" x14ac:dyDescent="0.3">
      <c r="A3590" t="s">
        <v>15590</v>
      </c>
      <c r="B3590" t="s">
        <v>53</v>
      </c>
      <c r="C3590">
        <v>0.06</v>
      </c>
    </row>
    <row r="3591" spans="1:3" x14ac:dyDescent="0.3">
      <c r="A3591" t="s">
        <v>14084</v>
      </c>
      <c r="B3591" t="s">
        <v>53</v>
      </c>
      <c r="C3591">
        <v>0.04</v>
      </c>
    </row>
    <row r="3592" spans="1:3" x14ac:dyDescent="0.3">
      <c r="A3592" t="s">
        <v>5044</v>
      </c>
      <c r="B3592" t="s">
        <v>53</v>
      </c>
      <c r="C3592">
        <v>0.09</v>
      </c>
    </row>
    <row r="3593" spans="1:3" x14ac:dyDescent="0.3">
      <c r="A3593" t="s">
        <v>14363</v>
      </c>
      <c r="B3593" t="s">
        <v>29</v>
      </c>
      <c r="C3593">
        <v>0.01</v>
      </c>
    </row>
    <row r="3594" spans="1:3" x14ac:dyDescent="0.3">
      <c r="A3594" t="s">
        <v>6752</v>
      </c>
      <c r="B3594" t="s">
        <v>53</v>
      </c>
      <c r="C3594">
        <v>0.05</v>
      </c>
    </row>
    <row r="3595" spans="1:3" x14ac:dyDescent="0.3">
      <c r="A3595" t="s">
        <v>6752</v>
      </c>
      <c r="B3595" t="s">
        <v>53</v>
      </c>
      <c r="C3595">
        <v>7.0000000000000007E-2</v>
      </c>
    </row>
    <row r="3596" spans="1:3" x14ac:dyDescent="0.3">
      <c r="A3596" t="s">
        <v>15155</v>
      </c>
      <c r="B3596" t="s">
        <v>29</v>
      </c>
      <c r="C3596">
        <v>7.0000000000000007E-2</v>
      </c>
    </row>
    <row r="3597" spans="1:3" x14ac:dyDescent="0.3">
      <c r="A3597" t="s">
        <v>5434</v>
      </c>
      <c r="B3597" t="s">
        <v>87</v>
      </c>
      <c r="C3597">
        <v>0.05</v>
      </c>
    </row>
    <row r="3598" spans="1:3" x14ac:dyDescent="0.3">
      <c r="A3598" t="s">
        <v>5434</v>
      </c>
      <c r="B3598" t="s">
        <v>87</v>
      </c>
      <c r="C3598">
        <v>0.08</v>
      </c>
    </row>
    <row r="3599" spans="1:3" x14ac:dyDescent="0.3">
      <c r="A3599" t="s">
        <v>12840</v>
      </c>
      <c r="B3599" t="s">
        <v>87</v>
      </c>
      <c r="C3599">
        <v>0</v>
      </c>
    </row>
    <row r="3600" spans="1:3" x14ac:dyDescent="0.3">
      <c r="A3600" t="s">
        <v>5055</v>
      </c>
      <c r="B3600" t="s">
        <v>87</v>
      </c>
      <c r="C3600">
        <v>0</v>
      </c>
    </row>
    <row r="3601" spans="1:3" x14ac:dyDescent="0.3">
      <c r="A3601" t="s">
        <v>13606</v>
      </c>
      <c r="B3601" t="s">
        <v>87</v>
      </c>
      <c r="C3601">
        <v>0.1</v>
      </c>
    </row>
    <row r="3602" spans="1:3" x14ac:dyDescent="0.3">
      <c r="A3602" t="s">
        <v>8654</v>
      </c>
      <c r="B3602" t="s">
        <v>53</v>
      </c>
      <c r="C3602">
        <v>0</v>
      </c>
    </row>
    <row r="3603" spans="1:3" x14ac:dyDescent="0.3">
      <c r="A3603" t="s">
        <v>8654</v>
      </c>
      <c r="B3603" t="s">
        <v>53</v>
      </c>
      <c r="C3603">
        <v>0.01</v>
      </c>
    </row>
    <row r="3604" spans="1:3" x14ac:dyDescent="0.3">
      <c r="A3604" t="s">
        <v>8654</v>
      </c>
      <c r="B3604" t="s">
        <v>53</v>
      </c>
      <c r="C3604">
        <v>0.04</v>
      </c>
    </row>
    <row r="3605" spans="1:3" x14ac:dyDescent="0.3">
      <c r="A3605" t="s">
        <v>9454</v>
      </c>
      <c r="B3605" t="s">
        <v>64</v>
      </c>
      <c r="C3605">
        <v>0.04</v>
      </c>
    </row>
    <row r="3606" spans="1:3" x14ac:dyDescent="0.3">
      <c r="A3606" t="s">
        <v>9454</v>
      </c>
      <c r="B3606" t="s">
        <v>87</v>
      </c>
      <c r="C3606">
        <v>7.0000000000000007E-2</v>
      </c>
    </row>
    <row r="3607" spans="1:3" x14ac:dyDescent="0.3">
      <c r="A3607" t="s">
        <v>9454</v>
      </c>
      <c r="B3607" t="s">
        <v>87</v>
      </c>
      <c r="C3607">
        <v>0.1</v>
      </c>
    </row>
    <row r="3608" spans="1:3" x14ac:dyDescent="0.3">
      <c r="A3608" t="s">
        <v>5093</v>
      </c>
      <c r="B3608" t="s">
        <v>40</v>
      </c>
      <c r="C3608">
        <v>7.0000000000000007E-2</v>
      </c>
    </row>
    <row r="3609" spans="1:3" x14ac:dyDescent="0.3">
      <c r="A3609" t="s">
        <v>5115</v>
      </c>
      <c r="B3609" t="s">
        <v>53</v>
      </c>
      <c r="C3609">
        <v>0.04</v>
      </c>
    </row>
    <row r="3610" spans="1:3" x14ac:dyDescent="0.3">
      <c r="A3610" t="s">
        <v>5115</v>
      </c>
      <c r="B3610" t="s">
        <v>53</v>
      </c>
      <c r="C3610">
        <v>0.09</v>
      </c>
    </row>
    <row r="3611" spans="1:3" x14ac:dyDescent="0.3">
      <c r="A3611" t="s">
        <v>10159</v>
      </c>
      <c r="B3611" t="s">
        <v>53</v>
      </c>
      <c r="C3611">
        <v>0.08</v>
      </c>
    </row>
    <row r="3612" spans="1:3" x14ac:dyDescent="0.3">
      <c r="A3612" t="s">
        <v>10159</v>
      </c>
      <c r="B3612" t="s">
        <v>53</v>
      </c>
      <c r="C3612">
        <v>0.1</v>
      </c>
    </row>
    <row r="3613" spans="1:3" x14ac:dyDescent="0.3">
      <c r="A3613" t="s">
        <v>13063</v>
      </c>
      <c r="B3613" t="s">
        <v>64</v>
      </c>
      <c r="C3613">
        <v>0</v>
      </c>
    </row>
    <row r="3614" spans="1:3" x14ac:dyDescent="0.3">
      <c r="A3614" t="s">
        <v>14099</v>
      </c>
      <c r="B3614" t="s">
        <v>225</v>
      </c>
      <c r="C3614">
        <v>0.02</v>
      </c>
    </row>
    <row r="3615" spans="1:3" x14ac:dyDescent="0.3">
      <c r="A3615" t="s">
        <v>12560</v>
      </c>
      <c r="B3615" t="s">
        <v>40</v>
      </c>
      <c r="C3615">
        <v>0.02</v>
      </c>
    </row>
    <row r="3616" spans="1:3" x14ac:dyDescent="0.3">
      <c r="A3616" t="s">
        <v>14007</v>
      </c>
      <c r="B3616" t="s">
        <v>40</v>
      </c>
      <c r="C3616">
        <v>0.05</v>
      </c>
    </row>
    <row r="3617" spans="1:3" x14ac:dyDescent="0.3">
      <c r="A3617" t="s">
        <v>15344</v>
      </c>
      <c r="B3617" t="s">
        <v>87</v>
      </c>
      <c r="C3617">
        <v>0.01</v>
      </c>
    </row>
    <row r="3618" spans="1:3" x14ac:dyDescent="0.3">
      <c r="A3618" t="s">
        <v>15344</v>
      </c>
      <c r="B3618" t="s">
        <v>87</v>
      </c>
      <c r="C3618">
        <v>0.09</v>
      </c>
    </row>
    <row r="3619" spans="1:3" x14ac:dyDescent="0.3">
      <c r="A3619" t="s">
        <v>10041</v>
      </c>
      <c r="B3619" t="s">
        <v>40</v>
      </c>
      <c r="C3619">
        <v>7.0000000000000007E-2</v>
      </c>
    </row>
    <row r="3620" spans="1:3" x14ac:dyDescent="0.3">
      <c r="A3620" t="s">
        <v>10041</v>
      </c>
      <c r="B3620" t="s">
        <v>40</v>
      </c>
      <c r="C3620">
        <v>0.09</v>
      </c>
    </row>
    <row r="3621" spans="1:3" x14ac:dyDescent="0.3">
      <c r="A3621" t="s">
        <v>9747</v>
      </c>
      <c r="B3621" t="s">
        <v>40</v>
      </c>
      <c r="C3621">
        <v>0</v>
      </c>
    </row>
    <row r="3622" spans="1:3" x14ac:dyDescent="0.3">
      <c r="A3622" t="s">
        <v>9747</v>
      </c>
      <c r="B3622" t="s">
        <v>40</v>
      </c>
      <c r="C3622">
        <v>0.04</v>
      </c>
    </row>
    <row r="3623" spans="1:3" x14ac:dyDescent="0.3">
      <c r="A3623" t="s">
        <v>15645</v>
      </c>
      <c r="B3623" t="s">
        <v>87</v>
      </c>
      <c r="C3623">
        <v>7.0000000000000007E-2</v>
      </c>
    </row>
    <row r="3624" spans="1:3" x14ac:dyDescent="0.3">
      <c r="A3624" t="s">
        <v>13494</v>
      </c>
      <c r="B3624" t="s">
        <v>87</v>
      </c>
      <c r="C3624">
        <v>0.09</v>
      </c>
    </row>
    <row r="3625" spans="1:3" x14ac:dyDescent="0.3">
      <c r="A3625" t="s">
        <v>9967</v>
      </c>
      <c r="B3625" t="s">
        <v>87</v>
      </c>
      <c r="C3625">
        <v>0.09</v>
      </c>
    </row>
    <row r="3626" spans="1:3" x14ac:dyDescent="0.3">
      <c r="A3626" t="s">
        <v>6881</v>
      </c>
      <c r="B3626" t="s">
        <v>87</v>
      </c>
      <c r="C3626">
        <v>0.02</v>
      </c>
    </row>
    <row r="3627" spans="1:3" x14ac:dyDescent="0.3">
      <c r="A3627" t="s">
        <v>15612</v>
      </c>
      <c r="B3627" t="s">
        <v>29</v>
      </c>
      <c r="C3627">
        <v>0.02</v>
      </c>
    </row>
    <row r="3628" spans="1:3" x14ac:dyDescent="0.3">
      <c r="A3628" t="s">
        <v>10092</v>
      </c>
      <c r="B3628" t="s">
        <v>64</v>
      </c>
      <c r="C3628">
        <v>0</v>
      </c>
    </row>
    <row r="3629" spans="1:3" x14ac:dyDescent="0.3">
      <c r="A3629" t="s">
        <v>11624</v>
      </c>
      <c r="B3629" t="s">
        <v>87</v>
      </c>
      <c r="C3629">
        <v>0.03</v>
      </c>
    </row>
    <row r="3630" spans="1:3" x14ac:dyDescent="0.3">
      <c r="A3630" t="s">
        <v>11624</v>
      </c>
      <c r="B3630" t="s">
        <v>87</v>
      </c>
      <c r="C3630">
        <v>0.05</v>
      </c>
    </row>
    <row r="3631" spans="1:3" x14ac:dyDescent="0.3">
      <c r="A3631" t="s">
        <v>11624</v>
      </c>
      <c r="B3631" t="s">
        <v>87</v>
      </c>
      <c r="C3631">
        <v>0.06</v>
      </c>
    </row>
    <row r="3632" spans="1:3" x14ac:dyDescent="0.3">
      <c r="A3632" t="s">
        <v>9328</v>
      </c>
      <c r="B3632" t="s">
        <v>40</v>
      </c>
      <c r="C3632">
        <v>0.05</v>
      </c>
    </row>
    <row r="3633" spans="1:3" x14ac:dyDescent="0.3">
      <c r="A3633" t="s">
        <v>9328</v>
      </c>
      <c r="B3633" t="s">
        <v>40</v>
      </c>
      <c r="C3633">
        <v>0.06</v>
      </c>
    </row>
    <row r="3634" spans="1:3" x14ac:dyDescent="0.3">
      <c r="A3634" t="s">
        <v>6710</v>
      </c>
      <c r="B3634" t="s">
        <v>87</v>
      </c>
      <c r="C3634">
        <v>0.03</v>
      </c>
    </row>
    <row r="3635" spans="1:3" x14ac:dyDescent="0.3">
      <c r="A3635" t="s">
        <v>6710</v>
      </c>
      <c r="B3635" t="s">
        <v>87</v>
      </c>
      <c r="C3635">
        <v>0.06</v>
      </c>
    </row>
    <row r="3636" spans="1:3" x14ac:dyDescent="0.3">
      <c r="A3636" t="s">
        <v>15154</v>
      </c>
      <c r="B3636" t="s">
        <v>87</v>
      </c>
      <c r="C3636">
        <v>0.08</v>
      </c>
    </row>
    <row r="3637" spans="1:3" x14ac:dyDescent="0.3">
      <c r="A3637" t="s">
        <v>5574</v>
      </c>
      <c r="B3637" t="s">
        <v>40</v>
      </c>
      <c r="C3637">
        <v>0.03</v>
      </c>
    </row>
    <row r="3638" spans="1:3" x14ac:dyDescent="0.3">
      <c r="A3638" t="s">
        <v>5574</v>
      </c>
      <c r="B3638" t="s">
        <v>40</v>
      </c>
      <c r="C3638">
        <v>0.04</v>
      </c>
    </row>
    <row r="3639" spans="1:3" x14ac:dyDescent="0.3">
      <c r="A3639" t="s">
        <v>5574</v>
      </c>
      <c r="B3639" t="s">
        <v>87</v>
      </c>
      <c r="C3639">
        <v>0.08</v>
      </c>
    </row>
    <row r="3640" spans="1:3" x14ac:dyDescent="0.3">
      <c r="A3640" t="s">
        <v>6528</v>
      </c>
      <c r="B3640" t="s">
        <v>40</v>
      </c>
      <c r="C3640">
        <v>0.05</v>
      </c>
    </row>
    <row r="3641" spans="1:3" x14ac:dyDescent="0.3">
      <c r="A3641" t="s">
        <v>6528</v>
      </c>
      <c r="B3641" t="s">
        <v>87</v>
      </c>
      <c r="C3641">
        <v>0.01</v>
      </c>
    </row>
    <row r="3642" spans="1:3" x14ac:dyDescent="0.3">
      <c r="A3642" t="s">
        <v>6528</v>
      </c>
      <c r="B3642" t="s">
        <v>87</v>
      </c>
      <c r="C3642">
        <v>0.06</v>
      </c>
    </row>
    <row r="3643" spans="1:3" x14ac:dyDescent="0.3">
      <c r="A3643" t="s">
        <v>6528</v>
      </c>
      <c r="B3643" t="s">
        <v>87</v>
      </c>
      <c r="C3643">
        <v>7.0000000000000007E-2</v>
      </c>
    </row>
    <row r="3644" spans="1:3" x14ac:dyDescent="0.3">
      <c r="A3644" t="s">
        <v>15780</v>
      </c>
      <c r="B3644" t="s">
        <v>40</v>
      </c>
      <c r="C3644">
        <v>0.04</v>
      </c>
    </row>
    <row r="3645" spans="1:3" x14ac:dyDescent="0.3">
      <c r="A3645" t="s">
        <v>15780</v>
      </c>
      <c r="B3645" t="s">
        <v>40</v>
      </c>
      <c r="C3645">
        <v>0.08</v>
      </c>
    </row>
    <row r="3646" spans="1:3" x14ac:dyDescent="0.3">
      <c r="A3646" t="s">
        <v>7929</v>
      </c>
      <c r="B3646" t="s">
        <v>64</v>
      </c>
      <c r="C3646">
        <v>0.04</v>
      </c>
    </row>
    <row r="3647" spans="1:3" x14ac:dyDescent="0.3">
      <c r="A3647" t="s">
        <v>7929</v>
      </c>
      <c r="B3647" t="s">
        <v>29</v>
      </c>
      <c r="C3647">
        <v>0.01</v>
      </c>
    </row>
    <row r="3648" spans="1:3" x14ac:dyDescent="0.3">
      <c r="A3648" t="s">
        <v>7929</v>
      </c>
      <c r="B3648" t="s">
        <v>87</v>
      </c>
      <c r="C3648">
        <v>0.03</v>
      </c>
    </row>
    <row r="3649" spans="1:3" x14ac:dyDescent="0.3">
      <c r="A3649" t="s">
        <v>12546</v>
      </c>
      <c r="B3649" t="s">
        <v>64</v>
      </c>
      <c r="C3649">
        <v>0.03</v>
      </c>
    </row>
    <row r="3650" spans="1:3" x14ac:dyDescent="0.3">
      <c r="A3650" t="s">
        <v>12546</v>
      </c>
      <c r="B3650" t="s">
        <v>29</v>
      </c>
      <c r="C3650">
        <v>0.05</v>
      </c>
    </row>
    <row r="3651" spans="1:3" x14ac:dyDescent="0.3">
      <c r="A3651" t="s">
        <v>10448</v>
      </c>
      <c r="B3651" t="s">
        <v>53</v>
      </c>
      <c r="C3651">
        <v>0.02</v>
      </c>
    </row>
    <row r="3652" spans="1:3" x14ac:dyDescent="0.3">
      <c r="A3652" t="s">
        <v>10448</v>
      </c>
      <c r="B3652" t="s">
        <v>53</v>
      </c>
      <c r="C3652">
        <v>7.0000000000000007E-2</v>
      </c>
    </row>
    <row r="3653" spans="1:3" x14ac:dyDescent="0.3">
      <c r="A3653" t="s">
        <v>10448</v>
      </c>
      <c r="B3653" t="s">
        <v>53</v>
      </c>
      <c r="C3653">
        <v>0.1</v>
      </c>
    </row>
    <row r="3654" spans="1:3" x14ac:dyDescent="0.3">
      <c r="A3654" t="s">
        <v>5668</v>
      </c>
      <c r="B3654" t="s">
        <v>53</v>
      </c>
      <c r="C3654">
        <v>0.09</v>
      </c>
    </row>
    <row r="3655" spans="1:3" x14ac:dyDescent="0.3">
      <c r="A3655" t="s">
        <v>5418</v>
      </c>
      <c r="B3655" t="s">
        <v>40</v>
      </c>
      <c r="C3655">
        <v>0.03</v>
      </c>
    </row>
    <row r="3656" spans="1:3" x14ac:dyDescent="0.3">
      <c r="A3656" t="s">
        <v>10017</v>
      </c>
      <c r="B3656" t="s">
        <v>29</v>
      </c>
      <c r="C3656">
        <v>0.03</v>
      </c>
    </row>
    <row r="3657" spans="1:3" x14ac:dyDescent="0.3">
      <c r="A3657" t="s">
        <v>10017</v>
      </c>
      <c r="B3657" t="s">
        <v>29</v>
      </c>
      <c r="C3657">
        <v>0.09</v>
      </c>
    </row>
    <row r="3658" spans="1:3" x14ac:dyDescent="0.3">
      <c r="A3658" t="s">
        <v>14714</v>
      </c>
      <c r="B3658" t="s">
        <v>40</v>
      </c>
      <c r="C3658">
        <v>7.0000000000000007E-2</v>
      </c>
    </row>
    <row r="3659" spans="1:3" x14ac:dyDescent="0.3">
      <c r="A3659" t="s">
        <v>8823</v>
      </c>
      <c r="B3659" t="s">
        <v>53</v>
      </c>
      <c r="C3659">
        <v>0.03</v>
      </c>
    </row>
    <row r="3660" spans="1:3" x14ac:dyDescent="0.3">
      <c r="A3660" t="s">
        <v>9676</v>
      </c>
      <c r="B3660" t="s">
        <v>53</v>
      </c>
      <c r="C3660">
        <v>0.02</v>
      </c>
    </row>
    <row r="3661" spans="1:3" x14ac:dyDescent="0.3">
      <c r="A3661" t="s">
        <v>7873</v>
      </c>
      <c r="B3661" t="s">
        <v>29</v>
      </c>
      <c r="C3661">
        <v>0.06</v>
      </c>
    </row>
    <row r="3662" spans="1:3" x14ac:dyDescent="0.3">
      <c r="A3662" t="s">
        <v>7873</v>
      </c>
      <c r="B3662" t="s">
        <v>53</v>
      </c>
      <c r="C3662">
        <v>0.01</v>
      </c>
    </row>
    <row r="3663" spans="1:3" x14ac:dyDescent="0.3">
      <c r="A3663" t="s">
        <v>7873</v>
      </c>
      <c r="B3663" t="s">
        <v>53</v>
      </c>
      <c r="C3663">
        <v>0.04</v>
      </c>
    </row>
    <row r="3664" spans="1:3" x14ac:dyDescent="0.3">
      <c r="A3664" t="s">
        <v>5407</v>
      </c>
      <c r="B3664" t="s">
        <v>87</v>
      </c>
      <c r="C3664">
        <v>0.01</v>
      </c>
    </row>
    <row r="3665" spans="1:3" x14ac:dyDescent="0.3">
      <c r="A3665" t="s">
        <v>5407</v>
      </c>
      <c r="B3665" t="s">
        <v>87</v>
      </c>
      <c r="C3665">
        <v>0.03</v>
      </c>
    </row>
    <row r="3666" spans="1:3" x14ac:dyDescent="0.3">
      <c r="A3666" t="s">
        <v>14181</v>
      </c>
      <c r="B3666" t="s">
        <v>53</v>
      </c>
      <c r="C3666">
        <v>0.09</v>
      </c>
    </row>
    <row r="3667" spans="1:3" x14ac:dyDescent="0.3">
      <c r="A3667" t="s">
        <v>7032</v>
      </c>
      <c r="B3667" t="s">
        <v>29</v>
      </c>
      <c r="C3667">
        <v>0.02</v>
      </c>
    </row>
    <row r="3668" spans="1:3" x14ac:dyDescent="0.3">
      <c r="A3668" t="s">
        <v>8546</v>
      </c>
      <c r="B3668" t="s">
        <v>225</v>
      </c>
      <c r="C3668">
        <v>0.1</v>
      </c>
    </row>
    <row r="3669" spans="1:3" x14ac:dyDescent="0.3">
      <c r="A3669" t="s">
        <v>13941</v>
      </c>
      <c r="B3669" t="s">
        <v>53</v>
      </c>
      <c r="C3669">
        <v>0.09</v>
      </c>
    </row>
    <row r="3670" spans="1:3" x14ac:dyDescent="0.3">
      <c r="A3670" t="s">
        <v>15278</v>
      </c>
      <c r="B3670" t="s">
        <v>225</v>
      </c>
      <c r="C3670">
        <v>0.02</v>
      </c>
    </row>
    <row r="3671" spans="1:3" x14ac:dyDescent="0.3">
      <c r="A3671" t="s">
        <v>9540</v>
      </c>
      <c r="B3671" t="s">
        <v>87</v>
      </c>
      <c r="C3671">
        <v>0.04</v>
      </c>
    </row>
    <row r="3672" spans="1:3" x14ac:dyDescent="0.3">
      <c r="A3672" t="s">
        <v>9540</v>
      </c>
      <c r="B3672" t="s">
        <v>87</v>
      </c>
      <c r="C3672">
        <v>7.0000000000000007E-2</v>
      </c>
    </row>
    <row r="3673" spans="1:3" x14ac:dyDescent="0.3">
      <c r="A3673" t="s">
        <v>12087</v>
      </c>
      <c r="B3673" t="s">
        <v>29</v>
      </c>
      <c r="C3673">
        <v>0.09</v>
      </c>
    </row>
    <row r="3674" spans="1:3" x14ac:dyDescent="0.3">
      <c r="A3674" t="s">
        <v>11188</v>
      </c>
      <c r="B3674" t="s">
        <v>40</v>
      </c>
      <c r="C3674">
        <v>0.1</v>
      </c>
    </row>
    <row r="3675" spans="1:3" x14ac:dyDescent="0.3">
      <c r="A3675" t="s">
        <v>5551</v>
      </c>
      <c r="B3675" t="s">
        <v>87</v>
      </c>
      <c r="C3675">
        <v>0.06</v>
      </c>
    </row>
    <row r="3676" spans="1:3" x14ac:dyDescent="0.3">
      <c r="A3676" t="s">
        <v>10959</v>
      </c>
      <c r="B3676" t="s">
        <v>29</v>
      </c>
      <c r="C3676">
        <v>0.01</v>
      </c>
    </row>
    <row r="3677" spans="1:3" x14ac:dyDescent="0.3">
      <c r="A3677" t="s">
        <v>5559</v>
      </c>
      <c r="B3677" t="s">
        <v>64</v>
      </c>
      <c r="C3677">
        <v>0.01</v>
      </c>
    </row>
    <row r="3678" spans="1:3" x14ac:dyDescent="0.3">
      <c r="A3678" t="s">
        <v>5559</v>
      </c>
      <c r="B3678" t="s">
        <v>64</v>
      </c>
      <c r="C3678">
        <v>0.06</v>
      </c>
    </row>
    <row r="3679" spans="1:3" x14ac:dyDescent="0.3">
      <c r="A3679" t="s">
        <v>5567</v>
      </c>
      <c r="B3679" t="s">
        <v>87</v>
      </c>
      <c r="C3679">
        <v>0.03</v>
      </c>
    </row>
    <row r="3680" spans="1:3" x14ac:dyDescent="0.3">
      <c r="A3680" t="s">
        <v>5567</v>
      </c>
      <c r="B3680" t="s">
        <v>87</v>
      </c>
      <c r="C3680">
        <v>0.09</v>
      </c>
    </row>
    <row r="3681" spans="1:3" x14ac:dyDescent="0.3">
      <c r="A3681" t="s">
        <v>15472</v>
      </c>
      <c r="B3681" t="s">
        <v>87</v>
      </c>
      <c r="C3681">
        <v>0.1</v>
      </c>
    </row>
    <row r="3682" spans="1:3" x14ac:dyDescent="0.3">
      <c r="A3682" t="s">
        <v>5584</v>
      </c>
      <c r="B3682" t="s">
        <v>29</v>
      </c>
      <c r="C3682">
        <v>0.02</v>
      </c>
    </row>
    <row r="3683" spans="1:3" x14ac:dyDescent="0.3">
      <c r="A3683" t="s">
        <v>5584</v>
      </c>
      <c r="B3683" t="s">
        <v>29</v>
      </c>
      <c r="C3683">
        <v>0.09</v>
      </c>
    </row>
    <row r="3684" spans="1:3" x14ac:dyDescent="0.3">
      <c r="A3684" t="s">
        <v>5584</v>
      </c>
      <c r="B3684" t="s">
        <v>29</v>
      </c>
      <c r="C3684">
        <v>0.1</v>
      </c>
    </row>
    <row r="3685" spans="1:3" x14ac:dyDescent="0.3">
      <c r="A3685" t="s">
        <v>9695</v>
      </c>
      <c r="B3685" t="s">
        <v>40</v>
      </c>
      <c r="C3685">
        <v>0.03</v>
      </c>
    </row>
    <row r="3686" spans="1:3" x14ac:dyDescent="0.3">
      <c r="A3686" t="s">
        <v>9695</v>
      </c>
      <c r="B3686" t="s">
        <v>40</v>
      </c>
      <c r="C3686">
        <v>0.1</v>
      </c>
    </row>
    <row r="3687" spans="1:3" x14ac:dyDescent="0.3">
      <c r="A3687" t="s">
        <v>10746</v>
      </c>
      <c r="B3687" t="s">
        <v>29</v>
      </c>
      <c r="C3687">
        <v>0.06</v>
      </c>
    </row>
    <row r="3688" spans="1:3" x14ac:dyDescent="0.3">
      <c r="A3688" t="s">
        <v>8750</v>
      </c>
      <c r="B3688" t="s">
        <v>64</v>
      </c>
      <c r="C3688">
        <v>0.03</v>
      </c>
    </row>
    <row r="3689" spans="1:3" x14ac:dyDescent="0.3">
      <c r="A3689" t="s">
        <v>7494</v>
      </c>
      <c r="B3689" t="s">
        <v>64</v>
      </c>
      <c r="C3689">
        <v>0.06</v>
      </c>
    </row>
    <row r="3690" spans="1:3" x14ac:dyDescent="0.3">
      <c r="A3690" t="s">
        <v>7494</v>
      </c>
      <c r="B3690" t="s">
        <v>64</v>
      </c>
      <c r="C3690">
        <v>0.1</v>
      </c>
    </row>
    <row r="3691" spans="1:3" x14ac:dyDescent="0.3">
      <c r="A3691" t="s">
        <v>7884</v>
      </c>
      <c r="B3691" t="s">
        <v>64</v>
      </c>
      <c r="C3691">
        <v>0.1</v>
      </c>
    </row>
    <row r="3692" spans="1:3" x14ac:dyDescent="0.3">
      <c r="A3692" t="s">
        <v>7801</v>
      </c>
      <c r="B3692" t="s">
        <v>40</v>
      </c>
      <c r="C3692">
        <v>0.06</v>
      </c>
    </row>
    <row r="3693" spans="1:3" x14ac:dyDescent="0.3">
      <c r="A3693" t="s">
        <v>7801</v>
      </c>
      <c r="B3693" t="s">
        <v>40</v>
      </c>
      <c r="C3693">
        <v>0.09</v>
      </c>
    </row>
    <row r="3694" spans="1:3" x14ac:dyDescent="0.3">
      <c r="A3694" t="s">
        <v>7801</v>
      </c>
      <c r="B3694" t="s">
        <v>29</v>
      </c>
      <c r="C3694">
        <v>0.03</v>
      </c>
    </row>
    <row r="3695" spans="1:3" x14ac:dyDescent="0.3">
      <c r="A3695" t="s">
        <v>14390</v>
      </c>
      <c r="B3695" t="s">
        <v>53</v>
      </c>
      <c r="C3695">
        <v>0.04</v>
      </c>
    </row>
    <row r="3696" spans="1:3" x14ac:dyDescent="0.3">
      <c r="A3696" t="s">
        <v>6856</v>
      </c>
      <c r="B3696" t="s">
        <v>29</v>
      </c>
      <c r="C3696">
        <v>0.04</v>
      </c>
    </row>
    <row r="3697" spans="1:3" x14ac:dyDescent="0.3">
      <c r="A3697" t="s">
        <v>6856</v>
      </c>
      <c r="B3697" t="s">
        <v>29</v>
      </c>
      <c r="C3697">
        <v>0.05</v>
      </c>
    </row>
    <row r="3698" spans="1:3" x14ac:dyDescent="0.3">
      <c r="A3698" t="s">
        <v>7102</v>
      </c>
      <c r="B3698" t="s">
        <v>64</v>
      </c>
      <c r="C3698">
        <v>0</v>
      </c>
    </row>
    <row r="3699" spans="1:3" x14ac:dyDescent="0.3">
      <c r="A3699" t="s">
        <v>7102</v>
      </c>
      <c r="B3699" t="s">
        <v>29</v>
      </c>
      <c r="C3699">
        <v>0.08</v>
      </c>
    </row>
    <row r="3700" spans="1:3" x14ac:dyDescent="0.3">
      <c r="A3700" t="s">
        <v>9846</v>
      </c>
      <c r="B3700" t="s">
        <v>64</v>
      </c>
      <c r="C3700">
        <v>0.05</v>
      </c>
    </row>
    <row r="3701" spans="1:3" x14ac:dyDescent="0.3">
      <c r="A3701" t="s">
        <v>9846</v>
      </c>
      <c r="B3701" t="s">
        <v>64</v>
      </c>
      <c r="C3701">
        <v>7.0000000000000007E-2</v>
      </c>
    </row>
    <row r="3702" spans="1:3" x14ac:dyDescent="0.3">
      <c r="A3702" t="s">
        <v>14829</v>
      </c>
      <c r="B3702" t="s">
        <v>29</v>
      </c>
      <c r="C3702">
        <v>7.0000000000000007E-2</v>
      </c>
    </row>
    <row r="3703" spans="1:3" x14ac:dyDescent="0.3">
      <c r="A3703" t="s">
        <v>12971</v>
      </c>
      <c r="B3703" t="s">
        <v>225</v>
      </c>
      <c r="C3703">
        <v>0.01</v>
      </c>
    </row>
    <row r="3704" spans="1:3" x14ac:dyDescent="0.3">
      <c r="A3704" t="s">
        <v>12971</v>
      </c>
      <c r="B3704" t="s">
        <v>225</v>
      </c>
      <c r="C3704">
        <v>0.08</v>
      </c>
    </row>
    <row r="3705" spans="1:3" x14ac:dyDescent="0.3">
      <c r="A3705" t="s">
        <v>9041</v>
      </c>
      <c r="B3705" t="s">
        <v>64</v>
      </c>
      <c r="C3705">
        <v>0.01</v>
      </c>
    </row>
    <row r="3706" spans="1:3" x14ac:dyDescent="0.3">
      <c r="A3706" t="s">
        <v>9041</v>
      </c>
      <c r="B3706" t="s">
        <v>29</v>
      </c>
      <c r="C3706">
        <v>0.01</v>
      </c>
    </row>
    <row r="3707" spans="1:3" x14ac:dyDescent="0.3">
      <c r="A3707" t="s">
        <v>9041</v>
      </c>
      <c r="B3707" t="s">
        <v>29</v>
      </c>
      <c r="C3707">
        <v>0.08</v>
      </c>
    </row>
    <row r="3708" spans="1:3" x14ac:dyDescent="0.3">
      <c r="A3708" t="s">
        <v>5720</v>
      </c>
      <c r="B3708" t="s">
        <v>53</v>
      </c>
      <c r="C3708">
        <v>0.08</v>
      </c>
    </row>
    <row r="3709" spans="1:3" x14ac:dyDescent="0.3">
      <c r="A3709" t="s">
        <v>14785</v>
      </c>
      <c r="B3709" t="s">
        <v>29</v>
      </c>
      <c r="C3709">
        <v>0.06</v>
      </c>
    </row>
    <row r="3710" spans="1:3" x14ac:dyDescent="0.3">
      <c r="A3710" t="s">
        <v>12940</v>
      </c>
      <c r="B3710" t="s">
        <v>40</v>
      </c>
      <c r="C3710">
        <v>0.02</v>
      </c>
    </row>
    <row r="3711" spans="1:3" x14ac:dyDescent="0.3">
      <c r="A3711" t="s">
        <v>12940</v>
      </c>
      <c r="B3711" t="s">
        <v>40</v>
      </c>
      <c r="C3711">
        <v>0.04</v>
      </c>
    </row>
    <row r="3712" spans="1:3" x14ac:dyDescent="0.3">
      <c r="A3712" t="s">
        <v>12940</v>
      </c>
      <c r="B3712" t="s">
        <v>40</v>
      </c>
      <c r="C3712">
        <v>0.08</v>
      </c>
    </row>
    <row r="3713" spans="1:3" x14ac:dyDescent="0.3">
      <c r="A3713" t="s">
        <v>12940</v>
      </c>
      <c r="B3713" t="s">
        <v>64</v>
      </c>
      <c r="C3713">
        <v>0.04</v>
      </c>
    </row>
    <row r="3714" spans="1:3" x14ac:dyDescent="0.3">
      <c r="A3714" t="s">
        <v>12940</v>
      </c>
      <c r="B3714" t="s">
        <v>64</v>
      </c>
      <c r="C3714">
        <v>7.0000000000000007E-2</v>
      </c>
    </row>
    <row r="3715" spans="1:3" x14ac:dyDescent="0.3">
      <c r="A3715" t="s">
        <v>12307</v>
      </c>
      <c r="B3715" t="s">
        <v>64</v>
      </c>
      <c r="C3715">
        <v>7.0000000000000007E-2</v>
      </c>
    </row>
    <row r="3716" spans="1:3" x14ac:dyDescent="0.3">
      <c r="A3716" t="s">
        <v>9606</v>
      </c>
      <c r="B3716" t="s">
        <v>64</v>
      </c>
      <c r="C3716">
        <v>0.02</v>
      </c>
    </row>
    <row r="3717" spans="1:3" x14ac:dyDescent="0.3">
      <c r="A3717" t="s">
        <v>5725</v>
      </c>
      <c r="B3717" t="s">
        <v>40</v>
      </c>
      <c r="C3717">
        <v>0</v>
      </c>
    </row>
    <row r="3718" spans="1:3" x14ac:dyDescent="0.3">
      <c r="A3718" t="s">
        <v>5725</v>
      </c>
      <c r="B3718" t="s">
        <v>64</v>
      </c>
      <c r="C3718">
        <v>0.04</v>
      </c>
    </row>
    <row r="3719" spans="1:3" x14ac:dyDescent="0.3">
      <c r="A3719" t="s">
        <v>5773</v>
      </c>
      <c r="B3719" t="s">
        <v>64</v>
      </c>
      <c r="C3719">
        <v>0.08</v>
      </c>
    </row>
    <row r="3720" spans="1:3" x14ac:dyDescent="0.3">
      <c r="A3720" t="s">
        <v>11770</v>
      </c>
      <c r="B3720" t="s">
        <v>64</v>
      </c>
      <c r="C3720">
        <v>0.09</v>
      </c>
    </row>
    <row r="3721" spans="1:3" x14ac:dyDescent="0.3">
      <c r="A3721" t="s">
        <v>5783</v>
      </c>
      <c r="B3721" t="s">
        <v>40</v>
      </c>
      <c r="C3721">
        <v>0.02</v>
      </c>
    </row>
    <row r="3722" spans="1:3" x14ac:dyDescent="0.3">
      <c r="A3722" t="s">
        <v>5801</v>
      </c>
      <c r="B3722" t="s">
        <v>40</v>
      </c>
      <c r="C3722">
        <v>0.02</v>
      </c>
    </row>
    <row r="3723" spans="1:3" x14ac:dyDescent="0.3">
      <c r="A3723" t="s">
        <v>5885</v>
      </c>
      <c r="B3723" t="s">
        <v>40</v>
      </c>
      <c r="C3723">
        <v>0.04</v>
      </c>
    </row>
    <row r="3724" spans="1:3" x14ac:dyDescent="0.3">
      <c r="A3724" t="s">
        <v>10960</v>
      </c>
      <c r="B3724" t="s">
        <v>40</v>
      </c>
      <c r="C3724">
        <v>0.03</v>
      </c>
    </row>
    <row r="3725" spans="1:3" x14ac:dyDescent="0.3">
      <c r="A3725" t="s">
        <v>10960</v>
      </c>
      <c r="B3725" t="s">
        <v>40</v>
      </c>
      <c r="C3725">
        <v>0.06</v>
      </c>
    </row>
    <row r="3726" spans="1:3" x14ac:dyDescent="0.3">
      <c r="A3726" t="s">
        <v>10960</v>
      </c>
      <c r="B3726" t="s">
        <v>40</v>
      </c>
      <c r="C3726">
        <v>0.09</v>
      </c>
    </row>
    <row r="3727" spans="1:3" x14ac:dyDescent="0.3">
      <c r="A3727" t="s">
        <v>15263</v>
      </c>
      <c r="B3727" t="s">
        <v>87</v>
      </c>
      <c r="C3727">
        <v>0.01</v>
      </c>
    </row>
    <row r="3728" spans="1:3" x14ac:dyDescent="0.3">
      <c r="A3728" t="s">
        <v>5890</v>
      </c>
      <c r="B3728" t="s">
        <v>40</v>
      </c>
      <c r="C3728">
        <v>7.0000000000000007E-2</v>
      </c>
    </row>
    <row r="3729" spans="1:3" x14ac:dyDescent="0.3">
      <c r="A3729" t="s">
        <v>5896</v>
      </c>
      <c r="B3729" t="s">
        <v>29</v>
      </c>
      <c r="C3729">
        <v>0.01</v>
      </c>
    </row>
    <row r="3730" spans="1:3" x14ac:dyDescent="0.3">
      <c r="A3730" t="s">
        <v>15760</v>
      </c>
      <c r="B3730" t="s">
        <v>87</v>
      </c>
      <c r="C3730">
        <v>0</v>
      </c>
    </row>
    <row r="3731" spans="1:3" x14ac:dyDescent="0.3">
      <c r="A3731" t="s">
        <v>11401</v>
      </c>
      <c r="B3731" t="s">
        <v>87</v>
      </c>
      <c r="C3731">
        <v>0.03</v>
      </c>
    </row>
    <row r="3732" spans="1:3" x14ac:dyDescent="0.3">
      <c r="A3732" t="s">
        <v>11401</v>
      </c>
      <c r="B3732" t="s">
        <v>87</v>
      </c>
      <c r="C3732">
        <v>0.06</v>
      </c>
    </row>
    <row r="3733" spans="1:3" x14ac:dyDescent="0.3">
      <c r="A3733" t="s">
        <v>6361</v>
      </c>
      <c r="B3733" t="s">
        <v>53</v>
      </c>
      <c r="C3733">
        <v>0.01</v>
      </c>
    </row>
    <row r="3734" spans="1:3" x14ac:dyDescent="0.3">
      <c r="A3734" t="s">
        <v>14929</v>
      </c>
      <c r="B3734" t="s">
        <v>64</v>
      </c>
      <c r="C3734">
        <v>0</v>
      </c>
    </row>
    <row r="3735" spans="1:3" x14ac:dyDescent="0.3">
      <c r="A3735" t="s">
        <v>5964</v>
      </c>
      <c r="B3735" t="s">
        <v>53</v>
      </c>
      <c r="C3735">
        <v>0.05</v>
      </c>
    </row>
    <row r="3736" spans="1:3" x14ac:dyDescent="0.3">
      <c r="A3736" t="s">
        <v>5964</v>
      </c>
      <c r="B3736" t="s">
        <v>53</v>
      </c>
      <c r="C3736">
        <v>0.06</v>
      </c>
    </row>
    <row r="3737" spans="1:3" x14ac:dyDescent="0.3">
      <c r="A3737" t="s">
        <v>5964</v>
      </c>
      <c r="B3737" t="s">
        <v>53</v>
      </c>
      <c r="C3737">
        <v>0.08</v>
      </c>
    </row>
    <row r="3738" spans="1:3" x14ac:dyDescent="0.3">
      <c r="A3738" t="s">
        <v>15374</v>
      </c>
      <c r="B3738" t="s">
        <v>64</v>
      </c>
      <c r="C3738">
        <v>0.09</v>
      </c>
    </row>
    <row r="3739" spans="1:3" x14ac:dyDescent="0.3">
      <c r="A3739" t="s">
        <v>12077</v>
      </c>
      <c r="B3739" t="s">
        <v>87</v>
      </c>
      <c r="C3739">
        <v>0</v>
      </c>
    </row>
    <row r="3740" spans="1:3" x14ac:dyDescent="0.3">
      <c r="A3740" t="s">
        <v>5990</v>
      </c>
      <c r="B3740" t="s">
        <v>87</v>
      </c>
      <c r="C3740">
        <v>0</v>
      </c>
    </row>
    <row r="3741" spans="1:3" x14ac:dyDescent="0.3">
      <c r="A3741" t="s">
        <v>11464</v>
      </c>
      <c r="B3741" t="s">
        <v>87</v>
      </c>
      <c r="C3741">
        <v>0.05</v>
      </c>
    </row>
    <row r="3742" spans="1:3" x14ac:dyDescent="0.3">
      <c r="A3742" t="s">
        <v>14027</v>
      </c>
      <c r="B3742" t="s">
        <v>87</v>
      </c>
      <c r="C3742">
        <v>0.08</v>
      </c>
    </row>
    <row r="3743" spans="1:3" x14ac:dyDescent="0.3">
      <c r="A3743" t="s">
        <v>14027</v>
      </c>
      <c r="B3743" t="s">
        <v>87</v>
      </c>
      <c r="C3743">
        <v>0.09</v>
      </c>
    </row>
    <row r="3744" spans="1:3" x14ac:dyDescent="0.3">
      <c r="A3744" t="s">
        <v>10704</v>
      </c>
      <c r="B3744" t="s">
        <v>87</v>
      </c>
      <c r="C3744">
        <v>0.02</v>
      </c>
    </row>
    <row r="3745" spans="1:3" x14ac:dyDescent="0.3">
      <c r="A3745" t="s">
        <v>11459</v>
      </c>
      <c r="B3745" t="s">
        <v>225</v>
      </c>
      <c r="C3745">
        <v>7.0000000000000007E-2</v>
      </c>
    </row>
    <row r="3746" spans="1:3" x14ac:dyDescent="0.3">
      <c r="A3746" t="s">
        <v>11459</v>
      </c>
      <c r="B3746" t="s">
        <v>225</v>
      </c>
      <c r="C3746">
        <v>0.09</v>
      </c>
    </row>
    <row r="3747" spans="1:3" x14ac:dyDescent="0.3">
      <c r="A3747" t="s">
        <v>11459</v>
      </c>
      <c r="B3747" t="s">
        <v>87</v>
      </c>
      <c r="C3747">
        <v>0.1</v>
      </c>
    </row>
    <row r="3748" spans="1:3" x14ac:dyDescent="0.3">
      <c r="A3748" t="s">
        <v>13597</v>
      </c>
      <c r="B3748" t="s">
        <v>225</v>
      </c>
      <c r="C3748">
        <v>0.05</v>
      </c>
    </row>
    <row r="3749" spans="1:3" x14ac:dyDescent="0.3">
      <c r="A3749" t="s">
        <v>11139</v>
      </c>
      <c r="B3749" t="s">
        <v>225</v>
      </c>
      <c r="C3749">
        <v>0.02</v>
      </c>
    </row>
    <row r="3750" spans="1:3" x14ac:dyDescent="0.3">
      <c r="A3750" t="s">
        <v>11139</v>
      </c>
      <c r="B3750" t="s">
        <v>225</v>
      </c>
      <c r="C3750">
        <v>0.06</v>
      </c>
    </row>
    <row r="3751" spans="1:3" x14ac:dyDescent="0.3">
      <c r="A3751" t="s">
        <v>11139</v>
      </c>
      <c r="B3751" t="s">
        <v>225</v>
      </c>
      <c r="C3751">
        <v>0.08</v>
      </c>
    </row>
    <row r="3752" spans="1:3" x14ac:dyDescent="0.3">
      <c r="A3752" t="s">
        <v>6028</v>
      </c>
      <c r="B3752" t="s">
        <v>87</v>
      </c>
      <c r="C3752">
        <v>0.06</v>
      </c>
    </row>
    <row r="3753" spans="1:3" x14ac:dyDescent="0.3">
      <c r="A3753" t="s">
        <v>6100</v>
      </c>
      <c r="B3753" t="s">
        <v>29</v>
      </c>
      <c r="C3753">
        <v>0.03</v>
      </c>
    </row>
    <row r="3754" spans="1:3" x14ac:dyDescent="0.3">
      <c r="A3754" t="s">
        <v>6100</v>
      </c>
      <c r="B3754" t="s">
        <v>29</v>
      </c>
      <c r="C3754">
        <v>0.08</v>
      </c>
    </row>
    <row r="3755" spans="1:3" x14ac:dyDescent="0.3">
      <c r="A3755" t="s">
        <v>6100</v>
      </c>
      <c r="B3755" t="s">
        <v>29</v>
      </c>
      <c r="C3755">
        <v>0.09</v>
      </c>
    </row>
    <row r="3756" spans="1:3" x14ac:dyDescent="0.3">
      <c r="A3756" t="s">
        <v>9968</v>
      </c>
      <c r="B3756" t="s">
        <v>87</v>
      </c>
      <c r="C3756">
        <v>0.03</v>
      </c>
    </row>
    <row r="3757" spans="1:3" x14ac:dyDescent="0.3">
      <c r="A3757" t="s">
        <v>9824</v>
      </c>
      <c r="B3757" t="s">
        <v>40</v>
      </c>
      <c r="C3757">
        <v>0.1</v>
      </c>
    </row>
    <row r="3758" spans="1:3" x14ac:dyDescent="0.3">
      <c r="A3758" t="s">
        <v>9824</v>
      </c>
      <c r="B3758" t="s">
        <v>29</v>
      </c>
      <c r="C3758">
        <v>0.04</v>
      </c>
    </row>
    <row r="3759" spans="1:3" x14ac:dyDescent="0.3">
      <c r="A3759" t="s">
        <v>11721</v>
      </c>
      <c r="B3759" t="s">
        <v>53</v>
      </c>
      <c r="C3759">
        <v>0</v>
      </c>
    </row>
    <row r="3760" spans="1:3" x14ac:dyDescent="0.3">
      <c r="A3760" t="s">
        <v>6134</v>
      </c>
      <c r="B3760" t="s">
        <v>87</v>
      </c>
      <c r="C3760">
        <v>0.1</v>
      </c>
    </row>
    <row r="3761" spans="1:3" x14ac:dyDescent="0.3">
      <c r="A3761" t="s">
        <v>7110</v>
      </c>
      <c r="B3761" t="s">
        <v>53</v>
      </c>
      <c r="C3761">
        <v>0.05</v>
      </c>
    </row>
    <row r="3762" spans="1:3" x14ac:dyDescent="0.3">
      <c r="A3762" t="s">
        <v>7110</v>
      </c>
      <c r="B3762" t="s">
        <v>53</v>
      </c>
      <c r="C3762">
        <v>0.08</v>
      </c>
    </row>
    <row r="3763" spans="1:3" x14ac:dyDescent="0.3">
      <c r="A3763" t="s">
        <v>13200</v>
      </c>
      <c r="B3763" t="s">
        <v>53</v>
      </c>
      <c r="C3763">
        <v>0.09</v>
      </c>
    </row>
    <row r="3764" spans="1:3" x14ac:dyDescent="0.3">
      <c r="A3764" t="s">
        <v>6153</v>
      </c>
      <c r="B3764" t="s">
        <v>87</v>
      </c>
      <c r="C3764">
        <v>0.1</v>
      </c>
    </row>
    <row r="3765" spans="1:3" x14ac:dyDescent="0.3">
      <c r="A3765" t="s">
        <v>7709</v>
      </c>
      <c r="B3765" t="s">
        <v>29</v>
      </c>
      <c r="C3765">
        <v>0.09</v>
      </c>
    </row>
    <row r="3766" spans="1:3" x14ac:dyDescent="0.3">
      <c r="A3766" t="s">
        <v>6540</v>
      </c>
      <c r="B3766" t="s">
        <v>87</v>
      </c>
      <c r="C3766">
        <v>0.05</v>
      </c>
    </row>
    <row r="3767" spans="1:3" x14ac:dyDescent="0.3">
      <c r="A3767" t="s">
        <v>6166</v>
      </c>
      <c r="B3767" t="s">
        <v>29</v>
      </c>
      <c r="C3767">
        <v>7.0000000000000007E-2</v>
      </c>
    </row>
    <row r="3768" spans="1:3" x14ac:dyDescent="0.3">
      <c r="A3768" t="s">
        <v>6166</v>
      </c>
      <c r="B3768" t="s">
        <v>87</v>
      </c>
      <c r="C3768">
        <v>0.1</v>
      </c>
    </row>
    <row r="3769" spans="1:3" x14ac:dyDescent="0.3">
      <c r="A3769" t="s">
        <v>13358</v>
      </c>
      <c r="B3769" t="s">
        <v>64</v>
      </c>
      <c r="C3769">
        <v>0.01</v>
      </c>
    </row>
    <row r="3770" spans="1:3" x14ac:dyDescent="0.3">
      <c r="A3770" t="s">
        <v>13358</v>
      </c>
      <c r="B3770" t="s">
        <v>87</v>
      </c>
      <c r="C3770">
        <v>7.0000000000000007E-2</v>
      </c>
    </row>
    <row r="3771" spans="1:3" x14ac:dyDescent="0.3">
      <c r="A3771" t="s">
        <v>7656</v>
      </c>
      <c r="B3771" t="s">
        <v>53</v>
      </c>
      <c r="C3771">
        <v>0.04</v>
      </c>
    </row>
    <row r="3772" spans="1:3" x14ac:dyDescent="0.3">
      <c r="A3772" t="s">
        <v>6183</v>
      </c>
      <c r="B3772" t="s">
        <v>40</v>
      </c>
      <c r="C3772">
        <v>0.06</v>
      </c>
    </row>
    <row r="3773" spans="1:3" x14ac:dyDescent="0.3">
      <c r="A3773" t="s">
        <v>6183</v>
      </c>
      <c r="B3773" t="s">
        <v>40</v>
      </c>
      <c r="C3773">
        <v>7.0000000000000007E-2</v>
      </c>
    </row>
    <row r="3774" spans="1:3" x14ac:dyDescent="0.3">
      <c r="A3774" t="s">
        <v>6183</v>
      </c>
      <c r="B3774" t="s">
        <v>40</v>
      </c>
      <c r="C3774">
        <v>0.1</v>
      </c>
    </row>
    <row r="3775" spans="1:3" x14ac:dyDescent="0.3">
      <c r="A3775" t="s">
        <v>14355</v>
      </c>
      <c r="B3775" t="s">
        <v>53</v>
      </c>
      <c r="C3775">
        <v>0.02</v>
      </c>
    </row>
    <row r="3776" spans="1:3" x14ac:dyDescent="0.3">
      <c r="A3776" t="s">
        <v>8462</v>
      </c>
      <c r="B3776" t="s">
        <v>87</v>
      </c>
      <c r="C3776">
        <v>0.04</v>
      </c>
    </row>
    <row r="3777" spans="1:3" x14ac:dyDescent="0.3">
      <c r="A3777" t="s">
        <v>8462</v>
      </c>
      <c r="B3777" t="s">
        <v>87</v>
      </c>
      <c r="C3777">
        <v>0.06</v>
      </c>
    </row>
    <row r="3778" spans="1:3" x14ac:dyDescent="0.3">
      <c r="A3778" t="s">
        <v>14178</v>
      </c>
      <c r="B3778" t="s">
        <v>53</v>
      </c>
      <c r="C3778">
        <v>0</v>
      </c>
    </row>
    <row r="3779" spans="1:3" x14ac:dyDescent="0.3">
      <c r="A3779" t="s">
        <v>6203</v>
      </c>
      <c r="B3779" t="s">
        <v>40</v>
      </c>
      <c r="C3779">
        <v>0.06</v>
      </c>
    </row>
    <row r="3780" spans="1:3" x14ac:dyDescent="0.3">
      <c r="A3780" t="s">
        <v>6219</v>
      </c>
      <c r="B3780" t="s">
        <v>87</v>
      </c>
      <c r="C3780">
        <v>0.05</v>
      </c>
    </row>
    <row r="3781" spans="1:3" x14ac:dyDescent="0.3">
      <c r="A3781" t="s">
        <v>6219</v>
      </c>
      <c r="B3781" t="s">
        <v>87</v>
      </c>
      <c r="C3781">
        <v>0.1</v>
      </c>
    </row>
    <row r="3782" spans="1:3" x14ac:dyDescent="0.3">
      <c r="A3782" t="s">
        <v>11161</v>
      </c>
      <c r="B3782" t="s">
        <v>87</v>
      </c>
      <c r="C3782">
        <v>0</v>
      </c>
    </row>
    <row r="3783" spans="1:3" x14ac:dyDescent="0.3">
      <c r="A3783" t="s">
        <v>11161</v>
      </c>
      <c r="B3783" t="s">
        <v>87</v>
      </c>
      <c r="C3783">
        <v>0.08</v>
      </c>
    </row>
    <row r="3784" spans="1:3" x14ac:dyDescent="0.3">
      <c r="A3784" t="s">
        <v>8674</v>
      </c>
      <c r="B3784" t="s">
        <v>40</v>
      </c>
      <c r="C3784">
        <v>0</v>
      </c>
    </row>
    <row r="3785" spans="1:3" x14ac:dyDescent="0.3">
      <c r="A3785" t="s">
        <v>8674</v>
      </c>
      <c r="B3785" t="s">
        <v>40</v>
      </c>
      <c r="C3785">
        <v>0.05</v>
      </c>
    </row>
    <row r="3786" spans="1:3" x14ac:dyDescent="0.3">
      <c r="A3786" t="s">
        <v>13221</v>
      </c>
      <c r="B3786" t="s">
        <v>40</v>
      </c>
      <c r="C3786">
        <v>0.03</v>
      </c>
    </row>
    <row r="3787" spans="1:3" x14ac:dyDescent="0.3">
      <c r="A3787" t="s">
        <v>13221</v>
      </c>
      <c r="B3787" t="s">
        <v>40</v>
      </c>
      <c r="C3787">
        <v>0.09</v>
      </c>
    </row>
    <row r="3788" spans="1:3" x14ac:dyDescent="0.3">
      <c r="A3788" t="s">
        <v>14692</v>
      </c>
      <c r="B3788" t="s">
        <v>40</v>
      </c>
      <c r="C3788">
        <v>0.01</v>
      </c>
    </row>
    <row r="3789" spans="1:3" x14ac:dyDescent="0.3">
      <c r="A3789" t="s">
        <v>8350</v>
      </c>
      <c r="B3789" t="s">
        <v>40</v>
      </c>
      <c r="C3789">
        <v>0.03</v>
      </c>
    </row>
    <row r="3790" spans="1:3" x14ac:dyDescent="0.3">
      <c r="A3790" t="s">
        <v>6304</v>
      </c>
      <c r="B3790" t="s">
        <v>87</v>
      </c>
      <c r="C3790">
        <v>0.01</v>
      </c>
    </row>
    <row r="3791" spans="1:3" x14ac:dyDescent="0.3">
      <c r="A3791" t="s">
        <v>6304</v>
      </c>
      <c r="B3791" t="s">
        <v>87</v>
      </c>
      <c r="C3791">
        <v>0.06</v>
      </c>
    </row>
    <row r="3792" spans="1:3" x14ac:dyDescent="0.3">
      <c r="A3792" t="s">
        <v>6304</v>
      </c>
      <c r="B3792" t="s">
        <v>87</v>
      </c>
      <c r="C3792">
        <v>0.1</v>
      </c>
    </row>
    <row r="3793" spans="1:3" x14ac:dyDescent="0.3">
      <c r="A3793" t="s">
        <v>6697</v>
      </c>
      <c r="B3793" t="s">
        <v>40</v>
      </c>
      <c r="C3793">
        <v>0.09</v>
      </c>
    </row>
    <row r="3794" spans="1:3" x14ac:dyDescent="0.3">
      <c r="A3794" t="s">
        <v>6697</v>
      </c>
      <c r="B3794" t="s">
        <v>87</v>
      </c>
      <c r="C3794">
        <v>0.01</v>
      </c>
    </row>
    <row r="3795" spans="1:3" x14ac:dyDescent="0.3">
      <c r="A3795" t="s">
        <v>13713</v>
      </c>
      <c r="B3795" t="s">
        <v>29</v>
      </c>
      <c r="C3795">
        <v>7.0000000000000007E-2</v>
      </c>
    </row>
    <row r="3796" spans="1:3" x14ac:dyDescent="0.3">
      <c r="A3796" t="s">
        <v>13713</v>
      </c>
      <c r="B3796" t="s">
        <v>29</v>
      </c>
      <c r="C3796">
        <v>0.09</v>
      </c>
    </row>
    <row r="3797" spans="1:3" x14ac:dyDescent="0.3">
      <c r="A3797" t="s">
        <v>7586</v>
      </c>
      <c r="B3797" t="s">
        <v>40</v>
      </c>
      <c r="C3797">
        <v>0.03</v>
      </c>
    </row>
    <row r="3798" spans="1:3" x14ac:dyDescent="0.3">
      <c r="A3798" t="s">
        <v>7586</v>
      </c>
      <c r="B3798" t="s">
        <v>40</v>
      </c>
      <c r="C3798">
        <v>0.1</v>
      </c>
    </row>
    <row r="3799" spans="1:3" x14ac:dyDescent="0.3">
      <c r="A3799" t="s">
        <v>7586</v>
      </c>
      <c r="B3799" t="s">
        <v>29</v>
      </c>
      <c r="C3799">
        <v>0.03</v>
      </c>
    </row>
    <row r="3800" spans="1:3" x14ac:dyDescent="0.3">
      <c r="A3800" t="s">
        <v>9351</v>
      </c>
      <c r="B3800" t="s">
        <v>225</v>
      </c>
      <c r="C3800">
        <v>0.08</v>
      </c>
    </row>
    <row r="3801" spans="1:3" x14ac:dyDescent="0.3">
      <c r="A3801" t="s">
        <v>12430</v>
      </c>
      <c r="B3801" t="s">
        <v>87</v>
      </c>
      <c r="C3801">
        <v>0.01</v>
      </c>
    </row>
    <row r="3802" spans="1:3" x14ac:dyDescent="0.3">
      <c r="A3802" t="s">
        <v>7634</v>
      </c>
      <c r="B3802" t="s">
        <v>40</v>
      </c>
      <c r="C3802">
        <v>0.01</v>
      </c>
    </row>
    <row r="3803" spans="1:3" x14ac:dyDescent="0.3">
      <c r="A3803" t="s">
        <v>6384</v>
      </c>
      <c r="B3803" t="s">
        <v>40</v>
      </c>
      <c r="C3803">
        <v>0.09</v>
      </c>
    </row>
    <row r="3804" spans="1:3" x14ac:dyDescent="0.3">
      <c r="A3804" t="s">
        <v>6849</v>
      </c>
      <c r="B3804" t="s">
        <v>40</v>
      </c>
      <c r="C3804">
        <v>0.06</v>
      </c>
    </row>
    <row r="3805" spans="1:3" x14ac:dyDescent="0.3">
      <c r="A3805" t="s">
        <v>6391</v>
      </c>
      <c r="B3805" t="s">
        <v>40</v>
      </c>
      <c r="C3805">
        <v>0.1</v>
      </c>
    </row>
    <row r="3806" spans="1:3" x14ac:dyDescent="0.3">
      <c r="A3806" t="s">
        <v>6391</v>
      </c>
      <c r="B3806" t="s">
        <v>87</v>
      </c>
      <c r="C3806">
        <v>0</v>
      </c>
    </row>
    <row r="3807" spans="1:3" x14ac:dyDescent="0.3">
      <c r="A3807" t="s">
        <v>6437</v>
      </c>
      <c r="B3807" t="s">
        <v>64</v>
      </c>
      <c r="C3807">
        <v>0.1</v>
      </c>
    </row>
    <row r="3808" spans="1:3" x14ac:dyDescent="0.3">
      <c r="A3808" t="s">
        <v>9513</v>
      </c>
      <c r="B3808" t="s">
        <v>87</v>
      </c>
      <c r="C3808">
        <v>0.01</v>
      </c>
    </row>
    <row r="3809" spans="1:3" x14ac:dyDescent="0.3">
      <c r="A3809" t="s">
        <v>9513</v>
      </c>
      <c r="B3809" t="s">
        <v>87</v>
      </c>
      <c r="C3809">
        <v>0.08</v>
      </c>
    </row>
    <row r="3810" spans="1:3" x14ac:dyDescent="0.3">
      <c r="A3810" t="s">
        <v>12876</v>
      </c>
      <c r="B3810" t="s">
        <v>64</v>
      </c>
      <c r="C3810">
        <v>0.01</v>
      </c>
    </row>
    <row r="3811" spans="1:3" x14ac:dyDescent="0.3">
      <c r="A3811" t="s">
        <v>12876</v>
      </c>
      <c r="B3811" t="s">
        <v>64</v>
      </c>
      <c r="C3811">
        <v>0.04</v>
      </c>
    </row>
    <row r="3812" spans="1:3" x14ac:dyDescent="0.3">
      <c r="A3812" t="s">
        <v>12876</v>
      </c>
      <c r="B3812" t="s">
        <v>64</v>
      </c>
      <c r="C3812">
        <v>0.08</v>
      </c>
    </row>
    <row r="3813" spans="1:3" x14ac:dyDescent="0.3">
      <c r="A3813" t="s">
        <v>6516</v>
      </c>
      <c r="B3813" t="s">
        <v>64</v>
      </c>
      <c r="C3813">
        <v>0</v>
      </c>
    </row>
    <row r="3814" spans="1:3" x14ac:dyDescent="0.3">
      <c r="A3814" t="s">
        <v>13890</v>
      </c>
      <c r="B3814" t="s">
        <v>64</v>
      </c>
      <c r="C3814">
        <v>7.0000000000000007E-2</v>
      </c>
    </row>
    <row r="3815" spans="1:3" x14ac:dyDescent="0.3">
      <c r="A3815" t="s">
        <v>10155</v>
      </c>
      <c r="B3815" t="s">
        <v>64</v>
      </c>
      <c r="C3815">
        <v>0.09</v>
      </c>
    </row>
    <row r="3816" spans="1:3" x14ac:dyDescent="0.3">
      <c r="A3816" t="s">
        <v>10910</v>
      </c>
      <c r="B3816" t="s">
        <v>53</v>
      </c>
      <c r="C3816">
        <v>0.03</v>
      </c>
    </row>
    <row r="3817" spans="1:3" x14ac:dyDescent="0.3">
      <c r="A3817" t="s">
        <v>10910</v>
      </c>
      <c r="B3817" t="s">
        <v>87</v>
      </c>
      <c r="C3817">
        <v>0.01</v>
      </c>
    </row>
    <row r="3818" spans="1:3" x14ac:dyDescent="0.3">
      <c r="A3818" t="s">
        <v>11908</v>
      </c>
      <c r="B3818" t="s">
        <v>53</v>
      </c>
      <c r="C3818">
        <v>0.01</v>
      </c>
    </row>
    <row r="3819" spans="1:3" x14ac:dyDescent="0.3">
      <c r="A3819" t="s">
        <v>10333</v>
      </c>
      <c r="B3819" t="s">
        <v>64</v>
      </c>
      <c r="C3819">
        <v>0.02</v>
      </c>
    </row>
    <row r="3820" spans="1:3" x14ac:dyDescent="0.3">
      <c r="A3820" t="s">
        <v>6598</v>
      </c>
      <c r="B3820" t="s">
        <v>40</v>
      </c>
      <c r="C3820">
        <v>0.06</v>
      </c>
    </row>
    <row r="3821" spans="1:3" x14ac:dyDescent="0.3">
      <c r="A3821" t="s">
        <v>6598</v>
      </c>
      <c r="B3821" t="s">
        <v>64</v>
      </c>
      <c r="C3821">
        <v>0.04</v>
      </c>
    </row>
    <row r="3822" spans="1:3" x14ac:dyDescent="0.3">
      <c r="A3822" t="s">
        <v>13743</v>
      </c>
      <c r="B3822" t="s">
        <v>40</v>
      </c>
      <c r="C3822">
        <v>7.0000000000000007E-2</v>
      </c>
    </row>
    <row r="3823" spans="1:3" x14ac:dyDescent="0.3">
      <c r="A3823" t="s">
        <v>13743</v>
      </c>
      <c r="B3823" t="s">
        <v>40</v>
      </c>
      <c r="C3823">
        <v>0.09</v>
      </c>
    </row>
    <row r="3824" spans="1:3" x14ac:dyDescent="0.3">
      <c r="A3824" t="s">
        <v>13743</v>
      </c>
      <c r="B3824" t="s">
        <v>53</v>
      </c>
      <c r="C3824">
        <v>0.01</v>
      </c>
    </row>
    <row r="3825" spans="1:3" x14ac:dyDescent="0.3">
      <c r="A3825" t="s">
        <v>15634</v>
      </c>
      <c r="B3825" t="s">
        <v>40</v>
      </c>
      <c r="C3825">
        <v>0.01</v>
      </c>
    </row>
    <row r="3826" spans="1:3" x14ac:dyDescent="0.3">
      <c r="A3826" t="s">
        <v>12639</v>
      </c>
      <c r="B3826" t="s">
        <v>40</v>
      </c>
      <c r="C3826">
        <v>0.01</v>
      </c>
    </row>
    <row r="3827" spans="1:3" x14ac:dyDescent="0.3">
      <c r="A3827" t="s">
        <v>15111</v>
      </c>
      <c r="B3827" t="s">
        <v>29</v>
      </c>
      <c r="C3827">
        <v>0.01</v>
      </c>
    </row>
    <row r="3828" spans="1:3" x14ac:dyDescent="0.3">
      <c r="A3828" t="s">
        <v>15111</v>
      </c>
      <c r="B3828" t="s">
        <v>29</v>
      </c>
      <c r="C3828">
        <v>0.03</v>
      </c>
    </row>
    <row r="3829" spans="1:3" x14ac:dyDescent="0.3">
      <c r="A3829" t="s">
        <v>7015</v>
      </c>
      <c r="B3829" t="s">
        <v>53</v>
      </c>
      <c r="C3829">
        <v>0.06</v>
      </c>
    </row>
    <row r="3830" spans="1:3" x14ac:dyDescent="0.3">
      <c r="A3830" t="s">
        <v>10447</v>
      </c>
      <c r="B3830" t="s">
        <v>29</v>
      </c>
      <c r="C3830">
        <v>0</v>
      </c>
    </row>
    <row r="3831" spans="1:3" x14ac:dyDescent="0.3">
      <c r="A3831" t="s">
        <v>10447</v>
      </c>
      <c r="B3831" t="s">
        <v>29</v>
      </c>
      <c r="C3831">
        <v>0.08</v>
      </c>
    </row>
    <row r="3832" spans="1:3" x14ac:dyDescent="0.3">
      <c r="A3832" t="s">
        <v>12433</v>
      </c>
      <c r="B3832" t="s">
        <v>40</v>
      </c>
      <c r="C3832">
        <v>0.08</v>
      </c>
    </row>
    <row r="3833" spans="1:3" x14ac:dyDescent="0.3">
      <c r="A3833" t="s">
        <v>13626</v>
      </c>
      <c r="B3833" t="s">
        <v>64</v>
      </c>
      <c r="C3833">
        <v>0.04</v>
      </c>
    </row>
    <row r="3834" spans="1:3" x14ac:dyDescent="0.3">
      <c r="A3834" t="s">
        <v>11236</v>
      </c>
      <c r="B3834" t="s">
        <v>29</v>
      </c>
      <c r="C3834">
        <v>0.03</v>
      </c>
    </row>
    <row r="3835" spans="1:3" x14ac:dyDescent="0.3">
      <c r="A3835" t="s">
        <v>11236</v>
      </c>
      <c r="B3835" t="s">
        <v>29</v>
      </c>
      <c r="C3835">
        <v>0.08</v>
      </c>
    </row>
    <row r="3836" spans="1:3" x14ac:dyDescent="0.3">
      <c r="A3836" t="s">
        <v>8840</v>
      </c>
      <c r="B3836" t="s">
        <v>87</v>
      </c>
      <c r="C3836">
        <v>0.09</v>
      </c>
    </row>
    <row r="3837" spans="1:3" x14ac:dyDescent="0.3">
      <c r="A3837" t="s">
        <v>9134</v>
      </c>
      <c r="B3837" t="s">
        <v>64</v>
      </c>
      <c r="C3837">
        <v>0</v>
      </c>
    </row>
    <row r="3838" spans="1:3" x14ac:dyDescent="0.3">
      <c r="A3838" t="s">
        <v>9134</v>
      </c>
      <c r="B3838" t="s">
        <v>87</v>
      </c>
      <c r="C3838">
        <v>0</v>
      </c>
    </row>
    <row r="3839" spans="1:3" x14ac:dyDescent="0.3">
      <c r="A3839" t="s">
        <v>15577</v>
      </c>
      <c r="B3839" t="s">
        <v>87</v>
      </c>
      <c r="C3839">
        <v>0</v>
      </c>
    </row>
    <row r="3840" spans="1:3" x14ac:dyDescent="0.3">
      <c r="A3840" t="s">
        <v>14212</v>
      </c>
      <c r="B3840" t="s">
        <v>225</v>
      </c>
      <c r="C3840">
        <v>0.01</v>
      </c>
    </row>
    <row r="3841" spans="1:3" x14ac:dyDescent="0.3">
      <c r="A3841" t="s">
        <v>14212</v>
      </c>
      <c r="B3841" t="s">
        <v>225</v>
      </c>
      <c r="C3841">
        <v>0.05</v>
      </c>
    </row>
    <row r="3842" spans="1:3" x14ac:dyDescent="0.3">
      <c r="A3842" t="s">
        <v>14116</v>
      </c>
      <c r="B3842" t="s">
        <v>225</v>
      </c>
      <c r="C3842">
        <v>0.05</v>
      </c>
    </row>
    <row r="3843" spans="1:3" x14ac:dyDescent="0.3">
      <c r="A3843" t="s">
        <v>15191</v>
      </c>
      <c r="B3843" t="s">
        <v>29</v>
      </c>
      <c r="C3843">
        <v>0.04</v>
      </c>
    </row>
    <row r="3844" spans="1:3" x14ac:dyDescent="0.3">
      <c r="A3844" t="s">
        <v>15191</v>
      </c>
      <c r="B3844" t="s">
        <v>29</v>
      </c>
      <c r="C3844">
        <v>0.06</v>
      </c>
    </row>
    <row r="3845" spans="1:3" x14ac:dyDescent="0.3">
      <c r="A3845" t="s">
        <v>12681</v>
      </c>
      <c r="B3845" t="s">
        <v>29</v>
      </c>
      <c r="C3845">
        <v>0.03</v>
      </c>
    </row>
    <row r="3846" spans="1:3" x14ac:dyDescent="0.3">
      <c r="A3846" t="s">
        <v>12681</v>
      </c>
      <c r="B3846" t="s">
        <v>29</v>
      </c>
      <c r="C3846">
        <v>0.04</v>
      </c>
    </row>
    <row r="3847" spans="1:3" x14ac:dyDescent="0.3">
      <c r="A3847" t="s">
        <v>14131</v>
      </c>
      <c r="B3847" t="s">
        <v>29</v>
      </c>
      <c r="C3847">
        <v>0</v>
      </c>
    </row>
    <row r="3848" spans="1:3" x14ac:dyDescent="0.3">
      <c r="A3848" t="s">
        <v>8122</v>
      </c>
      <c r="B3848" t="s">
        <v>53</v>
      </c>
      <c r="C3848">
        <v>0.08</v>
      </c>
    </row>
    <row r="3849" spans="1:3" x14ac:dyDescent="0.3">
      <c r="A3849" t="s">
        <v>8122</v>
      </c>
      <c r="B3849" t="s">
        <v>53</v>
      </c>
      <c r="C3849">
        <v>0.1</v>
      </c>
    </row>
    <row r="3850" spans="1:3" x14ac:dyDescent="0.3">
      <c r="A3850" t="s">
        <v>7021</v>
      </c>
      <c r="B3850" t="s">
        <v>40</v>
      </c>
      <c r="C3850">
        <v>0</v>
      </c>
    </row>
    <row r="3851" spans="1:3" x14ac:dyDescent="0.3">
      <c r="A3851" t="s">
        <v>7021</v>
      </c>
      <c r="B3851" t="s">
        <v>40</v>
      </c>
      <c r="C3851">
        <v>0.02</v>
      </c>
    </row>
    <row r="3852" spans="1:3" x14ac:dyDescent="0.3">
      <c r="A3852" t="s">
        <v>7021</v>
      </c>
      <c r="B3852" t="s">
        <v>40</v>
      </c>
      <c r="C3852">
        <v>0.06</v>
      </c>
    </row>
    <row r="3853" spans="1:3" x14ac:dyDescent="0.3">
      <c r="A3853" t="s">
        <v>15247</v>
      </c>
      <c r="B3853" t="s">
        <v>40</v>
      </c>
      <c r="C3853">
        <v>0.04</v>
      </c>
    </row>
    <row r="3854" spans="1:3" x14ac:dyDescent="0.3">
      <c r="A3854" t="s">
        <v>15478</v>
      </c>
      <c r="B3854" t="s">
        <v>29</v>
      </c>
      <c r="C3854">
        <v>0.01</v>
      </c>
    </row>
    <row r="3855" spans="1:3" x14ac:dyDescent="0.3">
      <c r="A3855" t="s">
        <v>9640</v>
      </c>
      <c r="B3855" t="s">
        <v>87</v>
      </c>
      <c r="C3855">
        <v>0.09</v>
      </c>
    </row>
    <row r="3856" spans="1:3" x14ac:dyDescent="0.3">
      <c r="A3856" t="s">
        <v>14260</v>
      </c>
      <c r="B3856" t="s">
        <v>87</v>
      </c>
      <c r="C3856">
        <v>0.08</v>
      </c>
    </row>
    <row r="3857" spans="1:3" x14ac:dyDescent="0.3">
      <c r="A3857" t="s">
        <v>11946</v>
      </c>
      <c r="B3857" t="s">
        <v>64</v>
      </c>
      <c r="C3857">
        <v>0.03</v>
      </c>
    </row>
    <row r="3858" spans="1:3" x14ac:dyDescent="0.3">
      <c r="A3858" t="s">
        <v>8592</v>
      </c>
      <c r="B3858" t="s">
        <v>53</v>
      </c>
      <c r="C3858">
        <v>0.1</v>
      </c>
    </row>
    <row r="3859" spans="1:3" x14ac:dyDescent="0.3">
      <c r="A3859" t="s">
        <v>13780</v>
      </c>
      <c r="B3859" t="s">
        <v>40</v>
      </c>
      <c r="C3859">
        <v>0.1</v>
      </c>
    </row>
    <row r="3860" spans="1:3" x14ac:dyDescent="0.3">
      <c r="A3860" t="s">
        <v>7162</v>
      </c>
      <c r="B3860" t="s">
        <v>40</v>
      </c>
      <c r="C3860">
        <v>0.05</v>
      </c>
    </row>
    <row r="3861" spans="1:3" x14ac:dyDescent="0.3">
      <c r="A3861" t="s">
        <v>11835</v>
      </c>
      <c r="B3861" t="s">
        <v>53</v>
      </c>
      <c r="C3861">
        <v>0.1</v>
      </c>
    </row>
    <row r="3862" spans="1:3" x14ac:dyDescent="0.3">
      <c r="A3862" t="s">
        <v>9726</v>
      </c>
      <c r="B3862" t="s">
        <v>53</v>
      </c>
      <c r="C3862">
        <v>0.01</v>
      </c>
    </row>
    <row r="3863" spans="1:3" x14ac:dyDescent="0.3">
      <c r="A3863" t="s">
        <v>9726</v>
      </c>
      <c r="B3863" t="s">
        <v>53</v>
      </c>
      <c r="C3863">
        <v>0.02</v>
      </c>
    </row>
    <row r="3864" spans="1:3" x14ac:dyDescent="0.3">
      <c r="A3864" t="s">
        <v>9726</v>
      </c>
      <c r="B3864" t="s">
        <v>53</v>
      </c>
      <c r="C3864">
        <v>0.09</v>
      </c>
    </row>
    <row r="3865" spans="1:3" x14ac:dyDescent="0.3">
      <c r="A3865" t="s">
        <v>11341</v>
      </c>
      <c r="B3865" t="s">
        <v>225</v>
      </c>
      <c r="C3865">
        <v>0.09</v>
      </c>
    </row>
    <row r="3866" spans="1:3" x14ac:dyDescent="0.3">
      <c r="A3866" t="s">
        <v>8793</v>
      </c>
      <c r="B3866" t="s">
        <v>53</v>
      </c>
      <c r="C3866">
        <v>0.05</v>
      </c>
    </row>
    <row r="3867" spans="1:3" x14ac:dyDescent="0.3">
      <c r="A3867" t="s">
        <v>10674</v>
      </c>
      <c r="B3867" t="s">
        <v>225</v>
      </c>
      <c r="C3867">
        <v>0</v>
      </c>
    </row>
    <row r="3868" spans="1:3" x14ac:dyDescent="0.3">
      <c r="A3868" t="s">
        <v>13227</v>
      </c>
      <c r="B3868" t="s">
        <v>87</v>
      </c>
      <c r="C3868">
        <v>0.04</v>
      </c>
    </row>
    <row r="3869" spans="1:3" x14ac:dyDescent="0.3">
      <c r="A3869" t="s">
        <v>13622</v>
      </c>
      <c r="B3869" t="s">
        <v>64</v>
      </c>
      <c r="C3869">
        <v>0.1</v>
      </c>
    </row>
    <row r="3870" spans="1:3" x14ac:dyDescent="0.3">
      <c r="A3870" t="s">
        <v>13622</v>
      </c>
      <c r="B3870" t="s">
        <v>29</v>
      </c>
      <c r="C3870">
        <v>0.08</v>
      </c>
    </row>
    <row r="3871" spans="1:3" x14ac:dyDescent="0.3">
      <c r="A3871" t="s">
        <v>13576</v>
      </c>
      <c r="B3871" t="s">
        <v>29</v>
      </c>
      <c r="C3871">
        <v>0.1</v>
      </c>
    </row>
    <row r="3872" spans="1:3" x14ac:dyDescent="0.3">
      <c r="A3872" t="s">
        <v>15398</v>
      </c>
      <c r="B3872" t="s">
        <v>53</v>
      </c>
      <c r="C3872">
        <v>0.04</v>
      </c>
    </row>
    <row r="3873" spans="1:3" x14ac:dyDescent="0.3">
      <c r="A3873" t="s">
        <v>7846</v>
      </c>
      <c r="B3873" t="s">
        <v>53</v>
      </c>
      <c r="C3873">
        <v>0.03</v>
      </c>
    </row>
    <row r="3874" spans="1:3" x14ac:dyDescent="0.3">
      <c r="A3874" t="s">
        <v>12486</v>
      </c>
      <c r="B3874" t="s">
        <v>225</v>
      </c>
      <c r="C3874">
        <v>0.01</v>
      </c>
    </row>
    <row r="3875" spans="1:3" x14ac:dyDescent="0.3">
      <c r="A3875" t="s">
        <v>14849</v>
      </c>
      <c r="B3875" t="s">
        <v>225</v>
      </c>
      <c r="C3875">
        <v>0.04</v>
      </c>
    </row>
    <row r="3876" spans="1:3" x14ac:dyDescent="0.3">
      <c r="A3876" t="s">
        <v>7420</v>
      </c>
      <c r="B3876" t="s">
        <v>40</v>
      </c>
      <c r="C3876">
        <v>0.02</v>
      </c>
    </row>
    <row r="3877" spans="1:3" x14ac:dyDescent="0.3">
      <c r="A3877" t="s">
        <v>7420</v>
      </c>
      <c r="B3877" t="s">
        <v>40</v>
      </c>
      <c r="C3877">
        <v>0.08</v>
      </c>
    </row>
    <row r="3878" spans="1:3" x14ac:dyDescent="0.3">
      <c r="A3878" t="s">
        <v>11016</v>
      </c>
      <c r="B3878" t="s">
        <v>29</v>
      </c>
      <c r="C3878">
        <v>0.01</v>
      </c>
    </row>
    <row r="3879" spans="1:3" x14ac:dyDescent="0.3">
      <c r="A3879" t="s">
        <v>15798</v>
      </c>
      <c r="B3879" t="s">
        <v>40</v>
      </c>
      <c r="C3879">
        <v>0.04</v>
      </c>
    </row>
    <row r="3880" spans="1:3" x14ac:dyDescent="0.3">
      <c r="A3880" t="s">
        <v>12327</v>
      </c>
      <c r="B3880" t="s">
        <v>40</v>
      </c>
      <c r="C3880">
        <v>0.06</v>
      </c>
    </row>
    <row r="3881" spans="1:3" x14ac:dyDescent="0.3">
      <c r="A3881" t="s">
        <v>7442</v>
      </c>
      <c r="B3881" t="s">
        <v>29</v>
      </c>
      <c r="C3881">
        <v>7.0000000000000007E-2</v>
      </c>
    </row>
    <row r="3882" spans="1:3" x14ac:dyDescent="0.3">
      <c r="A3882" t="s">
        <v>12229</v>
      </c>
      <c r="B3882" t="s">
        <v>53</v>
      </c>
      <c r="C3882">
        <v>0</v>
      </c>
    </row>
    <row r="3883" spans="1:3" x14ac:dyDescent="0.3">
      <c r="A3883" t="s">
        <v>9440</v>
      </c>
      <c r="B3883" t="s">
        <v>53</v>
      </c>
      <c r="C3883">
        <v>0.1</v>
      </c>
    </row>
    <row r="3884" spans="1:3" x14ac:dyDescent="0.3">
      <c r="A3884" t="s">
        <v>11072</v>
      </c>
      <c r="B3884" t="s">
        <v>225</v>
      </c>
      <c r="C3884">
        <v>0.01</v>
      </c>
    </row>
    <row r="3885" spans="1:3" x14ac:dyDescent="0.3">
      <c r="A3885" t="s">
        <v>11072</v>
      </c>
      <c r="B3885" t="s">
        <v>225</v>
      </c>
      <c r="C3885">
        <v>0.06</v>
      </c>
    </row>
    <row r="3886" spans="1:3" x14ac:dyDescent="0.3">
      <c r="A3886" t="s">
        <v>8673</v>
      </c>
      <c r="B3886" t="s">
        <v>53</v>
      </c>
      <c r="C3886">
        <v>0.05</v>
      </c>
    </row>
    <row r="3887" spans="1:3" x14ac:dyDescent="0.3">
      <c r="A3887" t="s">
        <v>8673</v>
      </c>
      <c r="B3887" t="s">
        <v>53</v>
      </c>
      <c r="C3887">
        <v>0.08</v>
      </c>
    </row>
    <row r="3888" spans="1:3" x14ac:dyDescent="0.3">
      <c r="A3888" t="s">
        <v>14882</v>
      </c>
      <c r="B3888" t="s">
        <v>53</v>
      </c>
      <c r="C3888">
        <v>0.02</v>
      </c>
    </row>
    <row r="3889" spans="1:3" x14ac:dyDescent="0.3">
      <c r="A3889" t="s">
        <v>14882</v>
      </c>
      <c r="B3889" t="s">
        <v>53</v>
      </c>
      <c r="C3889">
        <v>7.0000000000000007E-2</v>
      </c>
    </row>
    <row r="3890" spans="1:3" x14ac:dyDescent="0.3">
      <c r="A3890" t="s">
        <v>12252</v>
      </c>
      <c r="B3890" t="s">
        <v>53</v>
      </c>
      <c r="C3890">
        <v>0.06</v>
      </c>
    </row>
    <row r="3891" spans="1:3" x14ac:dyDescent="0.3">
      <c r="A3891" t="s">
        <v>15001</v>
      </c>
      <c r="B3891" t="s">
        <v>64</v>
      </c>
      <c r="C3891">
        <v>0.05</v>
      </c>
    </row>
    <row r="3892" spans="1:3" x14ac:dyDescent="0.3">
      <c r="A3892" t="s">
        <v>8459</v>
      </c>
      <c r="B3892" t="s">
        <v>29</v>
      </c>
      <c r="C3892">
        <v>0.04</v>
      </c>
    </row>
    <row r="3893" spans="1:3" x14ac:dyDescent="0.3">
      <c r="A3893" t="s">
        <v>8459</v>
      </c>
      <c r="B3893" t="s">
        <v>29</v>
      </c>
      <c r="C3893">
        <v>0.06</v>
      </c>
    </row>
    <row r="3894" spans="1:3" x14ac:dyDescent="0.3">
      <c r="A3894" t="s">
        <v>8459</v>
      </c>
      <c r="B3894" t="s">
        <v>29</v>
      </c>
      <c r="C3894">
        <v>7.0000000000000007E-2</v>
      </c>
    </row>
    <row r="3895" spans="1:3" x14ac:dyDescent="0.3">
      <c r="A3895" t="s">
        <v>14220</v>
      </c>
      <c r="B3895" t="s">
        <v>40</v>
      </c>
      <c r="C3895">
        <v>0</v>
      </c>
    </row>
    <row r="3896" spans="1:3" x14ac:dyDescent="0.3">
      <c r="A3896" t="s">
        <v>14220</v>
      </c>
      <c r="B3896" t="s">
        <v>40</v>
      </c>
      <c r="C3896">
        <v>0.06</v>
      </c>
    </row>
    <row r="3897" spans="1:3" x14ac:dyDescent="0.3">
      <c r="A3897" t="s">
        <v>13815</v>
      </c>
      <c r="B3897" t="s">
        <v>225</v>
      </c>
      <c r="C3897">
        <v>0</v>
      </c>
    </row>
    <row r="3898" spans="1:3" x14ac:dyDescent="0.3">
      <c r="A3898" t="s">
        <v>14307</v>
      </c>
      <c r="B3898" t="s">
        <v>53</v>
      </c>
      <c r="C3898">
        <v>0.08</v>
      </c>
    </row>
    <row r="3899" spans="1:3" x14ac:dyDescent="0.3">
      <c r="A3899" t="s">
        <v>14799</v>
      </c>
      <c r="B3899" t="s">
        <v>40</v>
      </c>
      <c r="C3899">
        <v>0</v>
      </c>
    </row>
    <row r="3900" spans="1:3" x14ac:dyDescent="0.3">
      <c r="A3900" t="s">
        <v>10455</v>
      </c>
      <c r="B3900" t="s">
        <v>40</v>
      </c>
      <c r="C3900">
        <v>0.02</v>
      </c>
    </row>
    <row r="3901" spans="1:3" x14ac:dyDescent="0.3">
      <c r="A3901" t="s">
        <v>10455</v>
      </c>
      <c r="B3901" t="s">
        <v>40</v>
      </c>
      <c r="C3901">
        <v>0.1</v>
      </c>
    </row>
    <row r="3902" spans="1:3" x14ac:dyDescent="0.3">
      <c r="A3902" t="s">
        <v>7657</v>
      </c>
      <c r="B3902" t="s">
        <v>225</v>
      </c>
      <c r="C3902">
        <v>7.0000000000000007E-2</v>
      </c>
    </row>
    <row r="3903" spans="1:3" x14ac:dyDescent="0.3">
      <c r="A3903" t="s">
        <v>7781</v>
      </c>
      <c r="B3903" t="s">
        <v>64</v>
      </c>
      <c r="C3903">
        <v>0.05</v>
      </c>
    </row>
    <row r="3904" spans="1:3" x14ac:dyDescent="0.3">
      <c r="A3904" t="s">
        <v>10217</v>
      </c>
      <c r="B3904" t="s">
        <v>64</v>
      </c>
      <c r="C3904">
        <v>0.06</v>
      </c>
    </row>
    <row r="3905" spans="1:3" x14ac:dyDescent="0.3">
      <c r="A3905" t="s">
        <v>9313</v>
      </c>
      <c r="B3905" t="s">
        <v>40</v>
      </c>
      <c r="C3905">
        <v>0.01</v>
      </c>
    </row>
    <row r="3906" spans="1:3" x14ac:dyDescent="0.3">
      <c r="A3906" t="s">
        <v>9313</v>
      </c>
      <c r="B3906" t="s">
        <v>64</v>
      </c>
      <c r="C3906">
        <v>0</v>
      </c>
    </row>
    <row r="3907" spans="1:3" x14ac:dyDescent="0.3">
      <c r="A3907" t="s">
        <v>9313</v>
      </c>
      <c r="B3907" t="s">
        <v>64</v>
      </c>
      <c r="C3907">
        <v>0.04</v>
      </c>
    </row>
    <row r="3908" spans="1:3" x14ac:dyDescent="0.3">
      <c r="A3908" t="s">
        <v>9313</v>
      </c>
      <c r="B3908" t="s">
        <v>64</v>
      </c>
      <c r="C3908">
        <v>0.09</v>
      </c>
    </row>
    <row r="3909" spans="1:3" x14ac:dyDescent="0.3">
      <c r="A3909" t="s">
        <v>11730</v>
      </c>
      <c r="B3909" t="s">
        <v>64</v>
      </c>
      <c r="C3909">
        <v>0.06</v>
      </c>
    </row>
    <row r="3910" spans="1:3" x14ac:dyDescent="0.3">
      <c r="A3910" t="s">
        <v>11730</v>
      </c>
      <c r="B3910" t="s">
        <v>64</v>
      </c>
      <c r="C3910">
        <v>0.08</v>
      </c>
    </row>
    <row r="3911" spans="1:3" x14ac:dyDescent="0.3">
      <c r="A3911" t="s">
        <v>15745</v>
      </c>
      <c r="B3911" t="s">
        <v>64</v>
      </c>
      <c r="C3911">
        <v>7.0000000000000007E-2</v>
      </c>
    </row>
    <row r="3912" spans="1:3" x14ac:dyDescent="0.3">
      <c r="A3912" t="s">
        <v>14291</v>
      </c>
      <c r="B3912" t="s">
        <v>40</v>
      </c>
      <c r="C3912">
        <v>0</v>
      </c>
    </row>
    <row r="3913" spans="1:3" x14ac:dyDescent="0.3">
      <c r="A3913" t="s">
        <v>11719</v>
      </c>
      <c r="B3913" t="s">
        <v>87</v>
      </c>
      <c r="C3913">
        <v>0.05</v>
      </c>
    </row>
    <row r="3914" spans="1:3" x14ac:dyDescent="0.3">
      <c r="A3914" t="s">
        <v>11719</v>
      </c>
      <c r="B3914" t="s">
        <v>87</v>
      </c>
      <c r="C3914">
        <v>0.1</v>
      </c>
    </row>
    <row r="3915" spans="1:3" x14ac:dyDescent="0.3">
      <c r="A3915" t="s">
        <v>7738</v>
      </c>
      <c r="B3915" t="s">
        <v>53</v>
      </c>
      <c r="C3915">
        <v>0.08</v>
      </c>
    </row>
    <row r="3916" spans="1:3" x14ac:dyDescent="0.3">
      <c r="A3916" t="s">
        <v>9734</v>
      </c>
      <c r="B3916" t="s">
        <v>40</v>
      </c>
      <c r="C3916">
        <v>0</v>
      </c>
    </row>
    <row r="3917" spans="1:3" x14ac:dyDescent="0.3">
      <c r="A3917" t="s">
        <v>9734</v>
      </c>
      <c r="B3917" t="s">
        <v>53</v>
      </c>
      <c r="C3917">
        <v>0.1</v>
      </c>
    </row>
    <row r="3918" spans="1:3" x14ac:dyDescent="0.3">
      <c r="A3918" t="s">
        <v>12984</v>
      </c>
      <c r="B3918" t="s">
        <v>225</v>
      </c>
      <c r="C3918">
        <v>0</v>
      </c>
    </row>
    <row r="3919" spans="1:3" x14ac:dyDescent="0.3">
      <c r="A3919" t="s">
        <v>12159</v>
      </c>
      <c r="B3919" t="s">
        <v>87</v>
      </c>
      <c r="C3919">
        <v>0.01</v>
      </c>
    </row>
    <row r="3920" spans="1:3" x14ac:dyDescent="0.3">
      <c r="A3920" t="s">
        <v>7881</v>
      </c>
      <c r="B3920" t="s">
        <v>40</v>
      </c>
      <c r="C3920">
        <v>0.05</v>
      </c>
    </row>
    <row r="3921" spans="1:3" x14ac:dyDescent="0.3">
      <c r="A3921" t="s">
        <v>8569</v>
      </c>
      <c r="B3921" t="s">
        <v>29</v>
      </c>
      <c r="C3921">
        <v>0.09</v>
      </c>
    </row>
    <row r="3922" spans="1:3" x14ac:dyDescent="0.3">
      <c r="A3922" t="s">
        <v>9635</v>
      </c>
      <c r="B3922" t="s">
        <v>64</v>
      </c>
      <c r="C3922">
        <v>0.1</v>
      </c>
    </row>
    <row r="3923" spans="1:3" x14ac:dyDescent="0.3">
      <c r="A3923" t="s">
        <v>9635</v>
      </c>
      <c r="B3923" t="s">
        <v>87</v>
      </c>
      <c r="C3923">
        <v>0</v>
      </c>
    </row>
    <row r="3924" spans="1:3" x14ac:dyDescent="0.3">
      <c r="A3924" t="s">
        <v>14866</v>
      </c>
      <c r="B3924" t="s">
        <v>87</v>
      </c>
      <c r="C3924">
        <v>7.0000000000000007E-2</v>
      </c>
    </row>
    <row r="3925" spans="1:3" x14ac:dyDescent="0.3">
      <c r="A3925" t="s">
        <v>14871</v>
      </c>
      <c r="B3925" t="s">
        <v>40</v>
      </c>
      <c r="C3925">
        <v>0.09</v>
      </c>
    </row>
    <row r="3926" spans="1:3" x14ac:dyDescent="0.3">
      <c r="A3926" t="s">
        <v>11051</v>
      </c>
      <c r="B3926" t="s">
        <v>53</v>
      </c>
      <c r="C3926">
        <v>0.08</v>
      </c>
    </row>
    <row r="3927" spans="1:3" x14ac:dyDescent="0.3">
      <c r="A3927" t="s">
        <v>14613</v>
      </c>
      <c r="B3927" t="s">
        <v>53</v>
      </c>
      <c r="C3927">
        <v>0.04</v>
      </c>
    </row>
    <row r="3928" spans="1:3" x14ac:dyDescent="0.3">
      <c r="A3928" t="s">
        <v>14613</v>
      </c>
      <c r="B3928" t="s">
        <v>53</v>
      </c>
      <c r="C3928">
        <v>0.1</v>
      </c>
    </row>
    <row r="3929" spans="1:3" x14ac:dyDescent="0.3">
      <c r="A3929" t="s">
        <v>8216</v>
      </c>
      <c r="B3929" t="s">
        <v>64</v>
      </c>
      <c r="C3929">
        <v>0.01</v>
      </c>
    </row>
    <row r="3930" spans="1:3" x14ac:dyDescent="0.3">
      <c r="A3930" t="s">
        <v>9231</v>
      </c>
      <c r="B3930" t="s">
        <v>29</v>
      </c>
      <c r="C3930">
        <v>0.06</v>
      </c>
    </row>
    <row r="3931" spans="1:3" x14ac:dyDescent="0.3">
      <c r="A3931" t="s">
        <v>9231</v>
      </c>
      <c r="B3931" t="s">
        <v>29</v>
      </c>
      <c r="C3931">
        <v>0.09</v>
      </c>
    </row>
    <row r="3932" spans="1:3" x14ac:dyDescent="0.3">
      <c r="A3932" t="s">
        <v>8338</v>
      </c>
      <c r="B3932" t="s">
        <v>225</v>
      </c>
      <c r="C3932">
        <v>0.01</v>
      </c>
    </row>
    <row r="3933" spans="1:3" x14ac:dyDescent="0.3">
      <c r="A3933" t="s">
        <v>14279</v>
      </c>
      <c r="B3933" t="s">
        <v>225</v>
      </c>
      <c r="C3933">
        <v>0.03</v>
      </c>
    </row>
    <row r="3934" spans="1:3" x14ac:dyDescent="0.3">
      <c r="A3934" t="s">
        <v>11278</v>
      </c>
      <c r="B3934" t="s">
        <v>225</v>
      </c>
      <c r="C3934">
        <v>0.08</v>
      </c>
    </row>
    <row r="3935" spans="1:3" x14ac:dyDescent="0.3">
      <c r="A3935" t="s">
        <v>11278</v>
      </c>
      <c r="B3935" t="s">
        <v>225</v>
      </c>
      <c r="C3935">
        <v>0.09</v>
      </c>
    </row>
    <row r="3936" spans="1:3" x14ac:dyDescent="0.3">
      <c r="A3936" t="s">
        <v>8449</v>
      </c>
      <c r="B3936" t="s">
        <v>53</v>
      </c>
      <c r="C3936">
        <v>0.05</v>
      </c>
    </row>
    <row r="3937" spans="1:3" x14ac:dyDescent="0.3">
      <c r="A3937" t="s">
        <v>15197</v>
      </c>
      <c r="B3937" t="s">
        <v>64</v>
      </c>
      <c r="C3937">
        <v>0.05</v>
      </c>
    </row>
    <row r="3938" spans="1:3" x14ac:dyDescent="0.3">
      <c r="A3938" t="s">
        <v>15197</v>
      </c>
      <c r="B3938" t="s">
        <v>29</v>
      </c>
      <c r="C3938">
        <v>0.01</v>
      </c>
    </row>
    <row r="3939" spans="1:3" x14ac:dyDescent="0.3">
      <c r="A3939" t="s">
        <v>15197</v>
      </c>
      <c r="B3939" t="s">
        <v>29</v>
      </c>
      <c r="C3939">
        <v>0.08</v>
      </c>
    </row>
    <row r="3940" spans="1:3" x14ac:dyDescent="0.3">
      <c r="A3940" t="s">
        <v>15005</v>
      </c>
      <c r="B3940" t="s">
        <v>64</v>
      </c>
      <c r="C3940">
        <v>0.04</v>
      </c>
    </row>
    <row r="3941" spans="1:3" x14ac:dyDescent="0.3">
      <c r="A3941" t="s">
        <v>13464</v>
      </c>
      <c r="B3941" t="s">
        <v>64</v>
      </c>
      <c r="C3941">
        <v>0.01</v>
      </c>
    </row>
    <row r="3942" spans="1:3" x14ac:dyDescent="0.3">
      <c r="A3942" t="s">
        <v>11175</v>
      </c>
      <c r="B3942" t="s">
        <v>40</v>
      </c>
      <c r="C3942">
        <v>0.03</v>
      </c>
    </row>
    <row r="3943" spans="1:3" x14ac:dyDescent="0.3">
      <c r="A3943" t="s">
        <v>10615</v>
      </c>
      <c r="B3943" t="s">
        <v>40</v>
      </c>
      <c r="C3943">
        <v>0.1</v>
      </c>
    </row>
    <row r="3944" spans="1:3" x14ac:dyDescent="0.3">
      <c r="A3944" t="s">
        <v>14413</v>
      </c>
      <c r="B3944" t="s">
        <v>53</v>
      </c>
      <c r="C3944">
        <v>0.01</v>
      </c>
    </row>
    <row r="3945" spans="1:3" x14ac:dyDescent="0.3">
      <c r="A3945" t="s">
        <v>14413</v>
      </c>
      <c r="B3945" t="s">
        <v>53</v>
      </c>
      <c r="C3945">
        <v>0.04</v>
      </c>
    </row>
    <row r="3946" spans="1:3" x14ac:dyDescent="0.3">
      <c r="A3946" t="s">
        <v>14413</v>
      </c>
      <c r="B3946" t="s">
        <v>53</v>
      </c>
      <c r="C3946">
        <v>0.05</v>
      </c>
    </row>
    <row r="3947" spans="1:3" x14ac:dyDescent="0.3">
      <c r="A3947" t="s">
        <v>14413</v>
      </c>
      <c r="B3947" t="s">
        <v>53</v>
      </c>
      <c r="C3947">
        <v>0.09</v>
      </c>
    </row>
    <row r="3948" spans="1:3" x14ac:dyDescent="0.3">
      <c r="A3948" t="s">
        <v>13533</v>
      </c>
      <c r="B3948" t="s">
        <v>53</v>
      </c>
      <c r="C3948">
        <v>0.01</v>
      </c>
    </row>
    <row r="3949" spans="1:3" x14ac:dyDescent="0.3">
      <c r="A3949" t="s">
        <v>14495</v>
      </c>
      <c r="B3949" t="s">
        <v>29</v>
      </c>
      <c r="C3949">
        <v>7.0000000000000007E-2</v>
      </c>
    </row>
    <row r="3950" spans="1:3" x14ac:dyDescent="0.3">
      <c r="A3950" t="s">
        <v>8995</v>
      </c>
      <c r="B3950" t="s">
        <v>87</v>
      </c>
      <c r="C3950">
        <v>0.03</v>
      </c>
    </row>
    <row r="3951" spans="1:3" x14ac:dyDescent="0.3">
      <c r="A3951" t="s">
        <v>11690</v>
      </c>
      <c r="B3951" t="s">
        <v>29</v>
      </c>
      <c r="C3951">
        <v>7.0000000000000007E-2</v>
      </c>
    </row>
    <row r="3952" spans="1:3" x14ac:dyDescent="0.3">
      <c r="A3952" t="s">
        <v>10061</v>
      </c>
      <c r="B3952" t="s">
        <v>29</v>
      </c>
      <c r="C3952">
        <v>0.08</v>
      </c>
    </row>
    <row r="3953" spans="1:3" x14ac:dyDescent="0.3">
      <c r="A3953" t="s">
        <v>13125</v>
      </c>
      <c r="B3953" t="s">
        <v>29</v>
      </c>
      <c r="C3953">
        <v>0</v>
      </c>
    </row>
    <row r="3954" spans="1:3" x14ac:dyDescent="0.3">
      <c r="A3954" t="s">
        <v>13125</v>
      </c>
      <c r="B3954" t="s">
        <v>29</v>
      </c>
      <c r="C3954">
        <v>0.06</v>
      </c>
    </row>
    <row r="3955" spans="1:3" x14ac:dyDescent="0.3">
      <c r="A3955" t="s">
        <v>9057</v>
      </c>
      <c r="B3955" t="s">
        <v>40</v>
      </c>
      <c r="C3955">
        <v>0.04</v>
      </c>
    </row>
    <row r="3956" spans="1:3" x14ac:dyDescent="0.3">
      <c r="A3956" t="s">
        <v>10201</v>
      </c>
      <c r="B3956" t="s">
        <v>29</v>
      </c>
      <c r="C3956">
        <v>0.01</v>
      </c>
    </row>
    <row r="3957" spans="1:3" x14ac:dyDescent="0.3">
      <c r="A3957" t="s">
        <v>9091</v>
      </c>
      <c r="B3957" t="s">
        <v>29</v>
      </c>
      <c r="C3957">
        <v>0.03</v>
      </c>
    </row>
    <row r="3958" spans="1:3" x14ac:dyDescent="0.3">
      <c r="A3958" t="s">
        <v>10253</v>
      </c>
      <c r="B3958" t="s">
        <v>87</v>
      </c>
      <c r="C3958">
        <v>0.05</v>
      </c>
    </row>
    <row r="3959" spans="1:3" x14ac:dyDescent="0.3">
      <c r="A3959" t="s">
        <v>9236</v>
      </c>
      <c r="B3959" t="s">
        <v>87</v>
      </c>
      <c r="C3959">
        <v>0.01</v>
      </c>
    </row>
    <row r="3960" spans="1:3" x14ac:dyDescent="0.3">
      <c r="A3960" t="s">
        <v>15307</v>
      </c>
      <c r="B3960" t="s">
        <v>40</v>
      </c>
      <c r="C3960">
        <v>0.05</v>
      </c>
    </row>
    <row r="3961" spans="1:3" x14ac:dyDescent="0.3">
      <c r="A3961" t="s">
        <v>13305</v>
      </c>
      <c r="B3961" t="s">
        <v>29</v>
      </c>
      <c r="C3961">
        <v>0.01</v>
      </c>
    </row>
    <row r="3962" spans="1:3" x14ac:dyDescent="0.3">
      <c r="A3962" t="s">
        <v>11081</v>
      </c>
      <c r="B3962" t="s">
        <v>29</v>
      </c>
      <c r="C3962">
        <v>0</v>
      </c>
    </row>
    <row r="3963" spans="1:3" x14ac:dyDescent="0.3">
      <c r="A3963" t="s">
        <v>9309</v>
      </c>
      <c r="B3963" t="s">
        <v>29</v>
      </c>
      <c r="C3963">
        <v>0.05</v>
      </c>
    </row>
    <row r="3964" spans="1:3" x14ac:dyDescent="0.3">
      <c r="A3964" t="s">
        <v>12916</v>
      </c>
      <c r="B3964" t="s">
        <v>40</v>
      </c>
      <c r="C3964">
        <v>0.08</v>
      </c>
    </row>
    <row r="3965" spans="1:3" x14ac:dyDescent="0.3">
      <c r="A3965" t="s">
        <v>14898</v>
      </c>
      <c r="B3965" t="s">
        <v>40</v>
      </c>
      <c r="C3965">
        <v>7.0000000000000007E-2</v>
      </c>
    </row>
    <row r="3966" spans="1:3" x14ac:dyDescent="0.3">
      <c r="A3966" t="s">
        <v>9450</v>
      </c>
      <c r="B3966" t="s">
        <v>29</v>
      </c>
      <c r="C3966">
        <v>0.01</v>
      </c>
    </row>
    <row r="3967" spans="1:3" x14ac:dyDescent="0.3">
      <c r="A3967" t="s">
        <v>10638</v>
      </c>
      <c r="B3967" t="s">
        <v>40</v>
      </c>
      <c r="C3967">
        <v>0.06</v>
      </c>
    </row>
    <row r="3968" spans="1:3" x14ac:dyDescent="0.3">
      <c r="A3968" t="s">
        <v>10638</v>
      </c>
      <c r="B3968" t="s">
        <v>40</v>
      </c>
      <c r="C3968">
        <v>0.08</v>
      </c>
    </row>
    <row r="3969" spans="1:3" x14ac:dyDescent="0.3">
      <c r="A3969" t="s">
        <v>12999</v>
      </c>
      <c r="B3969" t="s">
        <v>40</v>
      </c>
      <c r="C3969">
        <v>0.02</v>
      </c>
    </row>
    <row r="3970" spans="1:3" x14ac:dyDescent="0.3">
      <c r="A3970" t="s">
        <v>9508</v>
      </c>
      <c r="B3970" t="s">
        <v>40</v>
      </c>
      <c r="C3970">
        <v>0.03</v>
      </c>
    </row>
    <row r="3971" spans="1:3" x14ac:dyDescent="0.3">
      <c r="A3971" t="s">
        <v>10941</v>
      </c>
      <c r="B3971" t="s">
        <v>64</v>
      </c>
      <c r="C3971">
        <v>0.03</v>
      </c>
    </row>
    <row r="3972" spans="1:3" x14ac:dyDescent="0.3">
      <c r="A3972" t="s">
        <v>10366</v>
      </c>
      <c r="B3972" t="s">
        <v>225</v>
      </c>
      <c r="C3972">
        <v>0.06</v>
      </c>
    </row>
    <row r="3973" spans="1:3" x14ac:dyDescent="0.3">
      <c r="A3973" t="s">
        <v>9878</v>
      </c>
      <c r="B3973" t="s">
        <v>29</v>
      </c>
      <c r="C3973">
        <v>0.04</v>
      </c>
    </row>
    <row r="3974" spans="1:3" x14ac:dyDescent="0.3">
      <c r="A3974" t="s">
        <v>9878</v>
      </c>
      <c r="B3974" t="s">
        <v>29</v>
      </c>
      <c r="C3974">
        <v>0.1</v>
      </c>
    </row>
    <row r="3975" spans="1:3" x14ac:dyDescent="0.3">
      <c r="A3975" t="s">
        <v>13176</v>
      </c>
      <c r="B3975" t="s">
        <v>53</v>
      </c>
      <c r="C3975">
        <v>0.08</v>
      </c>
    </row>
    <row r="3976" spans="1:3" x14ac:dyDescent="0.3">
      <c r="A3976" t="s">
        <v>13222</v>
      </c>
      <c r="B3976" t="s">
        <v>225</v>
      </c>
      <c r="C3976">
        <v>7.0000000000000007E-2</v>
      </c>
    </row>
    <row r="3977" spans="1:3" x14ac:dyDescent="0.3">
      <c r="A3977" t="s">
        <v>13222</v>
      </c>
      <c r="B3977" t="s">
        <v>225</v>
      </c>
      <c r="C3977">
        <v>0.08</v>
      </c>
    </row>
    <row r="3978" spans="1:3" x14ac:dyDescent="0.3">
      <c r="A3978" t="s">
        <v>11710</v>
      </c>
      <c r="B3978" t="s">
        <v>87</v>
      </c>
      <c r="C3978">
        <v>0.01</v>
      </c>
    </row>
    <row r="3979" spans="1:3" x14ac:dyDescent="0.3">
      <c r="A3979" t="s">
        <v>10268</v>
      </c>
      <c r="B3979" t="s">
        <v>87</v>
      </c>
      <c r="C3979">
        <v>0.02</v>
      </c>
    </row>
    <row r="3980" spans="1:3" x14ac:dyDescent="0.3">
      <c r="A3980" t="s">
        <v>10268</v>
      </c>
      <c r="B3980" t="s">
        <v>87</v>
      </c>
      <c r="C3980">
        <v>0.04</v>
      </c>
    </row>
    <row r="3981" spans="1:3" x14ac:dyDescent="0.3">
      <c r="A3981" t="s">
        <v>13406</v>
      </c>
      <c r="B3981" t="s">
        <v>225</v>
      </c>
      <c r="C3981">
        <v>0.02</v>
      </c>
    </row>
    <row r="3982" spans="1:3" x14ac:dyDescent="0.3">
      <c r="A3982" t="s">
        <v>13406</v>
      </c>
      <c r="B3982" t="s">
        <v>225</v>
      </c>
      <c r="C3982">
        <v>0.08</v>
      </c>
    </row>
    <row r="3983" spans="1:3" x14ac:dyDescent="0.3">
      <c r="A3983" t="s">
        <v>13859</v>
      </c>
      <c r="B3983" t="s">
        <v>87</v>
      </c>
      <c r="C3983">
        <v>0.04</v>
      </c>
    </row>
    <row r="3984" spans="1:3" x14ac:dyDescent="0.3">
      <c r="A3984" t="s">
        <v>12289</v>
      </c>
      <c r="B3984" t="s">
        <v>64</v>
      </c>
      <c r="C3984">
        <v>0.06</v>
      </c>
    </row>
    <row r="3985" spans="1:3" x14ac:dyDescent="0.3">
      <c r="A3985" t="s">
        <v>12289</v>
      </c>
      <c r="B3985" t="s">
        <v>87</v>
      </c>
      <c r="C3985">
        <v>0.1</v>
      </c>
    </row>
    <row r="3986" spans="1:3" x14ac:dyDescent="0.3">
      <c r="A3986" t="s">
        <v>13099</v>
      </c>
      <c r="B3986" t="s">
        <v>40</v>
      </c>
      <c r="C3986">
        <v>0.05</v>
      </c>
    </row>
    <row r="3987" spans="1:3" x14ac:dyDescent="0.3">
      <c r="A3987" t="s">
        <v>11902</v>
      </c>
      <c r="B3987" t="s">
        <v>64</v>
      </c>
      <c r="C3987">
        <v>7.0000000000000007E-2</v>
      </c>
    </row>
    <row r="3988" spans="1:3" x14ac:dyDescent="0.3">
      <c r="A3988" t="s">
        <v>13087</v>
      </c>
      <c r="B3988" t="s">
        <v>64</v>
      </c>
      <c r="C3988">
        <v>0.1</v>
      </c>
    </row>
    <row r="3989" spans="1:3" x14ac:dyDescent="0.3">
      <c r="A3989" t="s">
        <v>12809</v>
      </c>
      <c r="B3989" t="s">
        <v>64</v>
      </c>
      <c r="C3989">
        <v>0.06</v>
      </c>
    </row>
    <row r="3990" spans="1:3" x14ac:dyDescent="0.3">
      <c r="A3990" t="s">
        <v>13636</v>
      </c>
      <c r="B3990" t="s">
        <v>40</v>
      </c>
      <c r="C3990">
        <v>0.04</v>
      </c>
    </row>
    <row r="3991" spans="1:3" x14ac:dyDescent="0.3">
      <c r="A3991" t="s">
        <v>15597</v>
      </c>
      <c r="B3991" t="s">
        <v>40</v>
      </c>
      <c r="C3991">
        <v>0</v>
      </c>
    </row>
    <row r="3992" spans="1:3" x14ac:dyDescent="0.3">
      <c r="A3992" t="s">
        <v>15597</v>
      </c>
      <c r="B3992" t="s">
        <v>40</v>
      </c>
      <c r="C3992">
        <v>0.09</v>
      </c>
    </row>
    <row r="3993" spans="1:3" x14ac:dyDescent="0.3">
      <c r="A3993" t="s">
        <v>12953</v>
      </c>
      <c r="B3993" t="s">
        <v>29</v>
      </c>
      <c r="C3993">
        <v>0</v>
      </c>
    </row>
    <row r="3994" spans="1:3" x14ac:dyDescent="0.3">
      <c r="A3994" t="s">
        <v>11953</v>
      </c>
      <c r="B3994" t="s">
        <v>87</v>
      </c>
      <c r="C3994">
        <v>0.02</v>
      </c>
    </row>
    <row r="3995" spans="1:3" x14ac:dyDescent="0.3">
      <c r="A3995" t="s">
        <v>15482</v>
      </c>
      <c r="B3995" t="s">
        <v>40</v>
      </c>
      <c r="C3995">
        <v>0.08</v>
      </c>
    </row>
    <row r="3996" spans="1:3" x14ac:dyDescent="0.3">
      <c r="A3996" t="s">
        <v>10729</v>
      </c>
      <c r="B3996" t="s">
        <v>225</v>
      </c>
      <c r="C3996">
        <v>0.04</v>
      </c>
    </row>
    <row r="3997" spans="1:3" x14ac:dyDescent="0.3">
      <c r="A3997" t="s">
        <v>13270</v>
      </c>
      <c r="B3997" t="s">
        <v>29</v>
      </c>
      <c r="C3997">
        <v>0</v>
      </c>
    </row>
    <row r="3998" spans="1:3" x14ac:dyDescent="0.3">
      <c r="A3998" t="s">
        <v>11001</v>
      </c>
      <c r="B3998" t="s">
        <v>29</v>
      </c>
      <c r="C3998">
        <v>0.01</v>
      </c>
    </row>
    <row r="3999" spans="1:3" x14ac:dyDescent="0.3">
      <c r="A3999" t="s">
        <v>13121</v>
      </c>
      <c r="B3999" t="s">
        <v>87</v>
      </c>
      <c r="C3999">
        <v>0.03</v>
      </c>
    </row>
    <row r="4000" spans="1:3" x14ac:dyDescent="0.3">
      <c r="A4000" t="s">
        <v>13121</v>
      </c>
      <c r="B4000" t="s">
        <v>87</v>
      </c>
      <c r="C4000">
        <v>7.0000000000000007E-2</v>
      </c>
    </row>
    <row r="4001" spans="1:3" x14ac:dyDescent="0.3">
      <c r="A4001" t="s">
        <v>11110</v>
      </c>
      <c r="B4001" t="s">
        <v>40</v>
      </c>
      <c r="C4001">
        <v>0.03</v>
      </c>
    </row>
    <row r="4002" spans="1:3" x14ac:dyDescent="0.3">
      <c r="A4002" t="s">
        <v>15616</v>
      </c>
      <c r="B4002" t="s">
        <v>40</v>
      </c>
      <c r="C4002">
        <v>0.03</v>
      </c>
    </row>
    <row r="4003" spans="1:3" x14ac:dyDescent="0.3">
      <c r="A4003" t="s">
        <v>15616</v>
      </c>
      <c r="B4003" t="s">
        <v>87</v>
      </c>
      <c r="C4003">
        <v>0.05</v>
      </c>
    </row>
    <row r="4004" spans="1:3" x14ac:dyDescent="0.3">
      <c r="A4004" t="s">
        <v>11247</v>
      </c>
      <c r="B4004" t="s">
        <v>225</v>
      </c>
      <c r="C4004">
        <v>0.02</v>
      </c>
    </row>
    <row r="4005" spans="1:3" x14ac:dyDescent="0.3">
      <c r="A4005" t="s">
        <v>11247</v>
      </c>
      <c r="B4005" t="s">
        <v>87</v>
      </c>
      <c r="C4005">
        <v>0.05</v>
      </c>
    </row>
    <row r="4006" spans="1:3" x14ac:dyDescent="0.3">
      <c r="A4006" t="s">
        <v>11247</v>
      </c>
      <c r="B4006" t="s">
        <v>87</v>
      </c>
      <c r="C4006">
        <v>0.09</v>
      </c>
    </row>
    <row r="4007" spans="1:3" x14ac:dyDescent="0.3">
      <c r="A4007" t="s">
        <v>11525</v>
      </c>
      <c r="B4007" t="s">
        <v>53</v>
      </c>
      <c r="C4007">
        <v>0.01</v>
      </c>
    </row>
    <row r="4008" spans="1:3" x14ac:dyDescent="0.3">
      <c r="A4008" t="s">
        <v>14846</v>
      </c>
      <c r="B4008" t="s">
        <v>29</v>
      </c>
      <c r="C4008">
        <v>0.01</v>
      </c>
    </row>
    <row r="4009" spans="1:3" x14ac:dyDescent="0.3">
      <c r="A4009" t="s">
        <v>11454</v>
      </c>
      <c r="B4009" t="s">
        <v>40</v>
      </c>
      <c r="C4009">
        <v>0.01</v>
      </c>
    </row>
    <row r="4010" spans="1:3" x14ac:dyDescent="0.3">
      <c r="A4010" t="s">
        <v>11454</v>
      </c>
      <c r="B4010" t="s">
        <v>40</v>
      </c>
      <c r="C4010">
        <v>0.08</v>
      </c>
    </row>
    <row r="4011" spans="1:3" x14ac:dyDescent="0.3">
      <c r="A4011" t="s">
        <v>11736</v>
      </c>
      <c r="B4011" t="s">
        <v>64</v>
      </c>
      <c r="C4011">
        <v>0.1</v>
      </c>
    </row>
    <row r="4012" spans="1:3" x14ac:dyDescent="0.3">
      <c r="A4012" t="s">
        <v>14646</v>
      </c>
      <c r="B4012" t="s">
        <v>40</v>
      </c>
      <c r="C4012">
        <v>0.05</v>
      </c>
    </row>
    <row r="4013" spans="1:3" x14ac:dyDescent="0.3">
      <c r="A4013" t="s">
        <v>14943</v>
      </c>
      <c r="B4013" t="s">
        <v>29</v>
      </c>
      <c r="C4013">
        <v>0.03</v>
      </c>
    </row>
    <row r="4014" spans="1:3" x14ac:dyDescent="0.3">
      <c r="A4014" t="s">
        <v>14943</v>
      </c>
      <c r="B4014" t="s">
        <v>29</v>
      </c>
      <c r="C4014">
        <v>0.09</v>
      </c>
    </row>
    <row r="4015" spans="1:3" x14ac:dyDescent="0.3">
      <c r="A4015" t="s">
        <v>16320</v>
      </c>
      <c r="B4015" t="s">
        <v>64</v>
      </c>
      <c r="C4015">
        <v>0.02</v>
      </c>
    </row>
    <row r="4016" spans="1:3" x14ac:dyDescent="0.3">
      <c r="A4016" t="s">
        <v>16320</v>
      </c>
      <c r="B4016" t="s">
        <v>64</v>
      </c>
      <c r="C4016">
        <v>0.09</v>
      </c>
    </row>
    <row r="4017" spans="1:3" x14ac:dyDescent="0.3">
      <c r="A4017" t="s">
        <v>16426</v>
      </c>
      <c r="B4017" t="s">
        <v>40</v>
      </c>
      <c r="C4017">
        <v>0.09</v>
      </c>
    </row>
    <row r="4018" spans="1:3" x14ac:dyDescent="0.3">
      <c r="A4018" t="s">
        <v>16488</v>
      </c>
      <c r="B4018" t="s">
        <v>87</v>
      </c>
      <c r="C4018">
        <v>0.03</v>
      </c>
    </row>
    <row r="4019" spans="1:3" x14ac:dyDescent="0.3">
      <c r="A4019" t="s">
        <v>16488</v>
      </c>
      <c r="B4019" t="s">
        <v>87</v>
      </c>
      <c r="C4019">
        <v>0.09</v>
      </c>
    </row>
    <row r="4020" spans="1:3" x14ac:dyDescent="0.3">
      <c r="A4020" t="s">
        <v>205</v>
      </c>
      <c r="B4020" t="s">
        <v>87</v>
      </c>
      <c r="C4020">
        <v>0.02</v>
      </c>
    </row>
    <row r="4021" spans="1:3" x14ac:dyDescent="0.3">
      <c r="A4021" t="s">
        <v>15935</v>
      </c>
      <c r="B4021" t="s">
        <v>64</v>
      </c>
      <c r="C4021">
        <v>0.05</v>
      </c>
    </row>
    <row r="4022" spans="1:3" x14ac:dyDescent="0.3">
      <c r="A4022" t="s">
        <v>15937</v>
      </c>
      <c r="B4022" t="s">
        <v>64</v>
      </c>
      <c r="C4022">
        <v>0.01</v>
      </c>
    </row>
    <row r="4023" spans="1:3" x14ac:dyDescent="0.3">
      <c r="A4023" t="s">
        <v>15956</v>
      </c>
      <c r="B4023" t="s">
        <v>40</v>
      </c>
      <c r="C4023">
        <v>0.09</v>
      </c>
    </row>
    <row r="4024" spans="1:3" x14ac:dyDescent="0.3">
      <c r="A4024" t="s">
        <v>16023</v>
      </c>
      <c r="B4024" t="s">
        <v>40</v>
      </c>
      <c r="C4024">
        <v>0.05</v>
      </c>
    </row>
    <row r="4025" spans="1:3" x14ac:dyDescent="0.3">
      <c r="A4025" t="s">
        <v>16063</v>
      </c>
      <c r="B4025" t="s">
        <v>53</v>
      </c>
      <c r="C4025">
        <v>0.05</v>
      </c>
    </row>
    <row r="4026" spans="1:3" x14ac:dyDescent="0.3">
      <c r="A4026" t="s">
        <v>16066</v>
      </c>
      <c r="B4026" t="s">
        <v>40</v>
      </c>
      <c r="C4026">
        <v>0.01</v>
      </c>
    </row>
    <row r="4027" spans="1:3" x14ac:dyDescent="0.3">
      <c r="A4027" t="s">
        <v>16066</v>
      </c>
      <c r="B4027" t="s">
        <v>40</v>
      </c>
      <c r="C4027">
        <v>7.0000000000000007E-2</v>
      </c>
    </row>
    <row r="4028" spans="1:3" x14ac:dyDescent="0.3">
      <c r="A4028" t="s">
        <v>16066</v>
      </c>
      <c r="B4028" t="s">
        <v>40</v>
      </c>
      <c r="C4028">
        <v>0.09</v>
      </c>
    </row>
    <row r="4029" spans="1:3" x14ac:dyDescent="0.3">
      <c r="A4029" t="s">
        <v>16069</v>
      </c>
      <c r="B4029" t="s">
        <v>53</v>
      </c>
      <c r="C4029">
        <v>0.01</v>
      </c>
    </row>
    <row r="4030" spans="1:3" x14ac:dyDescent="0.3">
      <c r="A4030" t="s">
        <v>16120</v>
      </c>
      <c r="B4030" t="s">
        <v>64</v>
      </c>
      <c r="C4030">
        <v>0.03</v>
      </c>
    </row>
    <row r="4031" spans="1:3" x14ac:dyDescent="0.3">
      <c r="A4031" t="s">
        <v>16121</v>
      </c>
      <c r="B4031" t="s">
        <v>225</v>
      </c>
      <c r="C4031">
        <v>0.06</v>
      </c>
    </row>
    <row r="4032" spans="1:3" x14ac:dyDescent="0.3">
      <c r="A4032" t="s">
        <v>16121</v>
      </c>
      <c r="B4032" t="s">
        <v>225</v>
      </c>
      <c r="C4032">
        <v>7.0000000000000007E-2</v>
      </c>
    </row>
    <row r="4033" spans="1:3" x14ac:dyDescent="0.3">
      <c r="A4033" t="s">
        <v>16142</v>
      </c>
      <c r="B4033" t="s">
        <v>29</v>
      </c>
      <c r="C4033">
        <v>0.08</v>
      </c>
    </row>
    <row r="4034" spans="1:3" x14ac:dyDescent="0.3">
      <c r="A4034" t="s">
        <v>16342</v>
      </c>
      <c r="B4034" t="s">
        <v>64</v>
      </c>
      <c r="C4034">
        <v>0.01</v>
      </c>
    </row>
    <row r="4035" spans="1:3" x14ac:dyDescent="0.3">
      <c r="A4035" t="s">
        <v>16373</v>
      </c>
      <c r="B4035" t="s">
        <v>40</v>
      </c>
      <c r="C4035">
        <v>0.04</v>
      </c>
    </row>
    <row r="4036" spans="1:3" x14ac:dyDescent="0.3">
      <c r="A4036" t="s">
        <v>16377</v>
      </c>
      <c r="B4036" t="s">
        <v>40</v>
      </c>
      <c r="C4036">
        <v>0.03</v>
      </c>
    </row>
    <row r="4037" spans="1:3" x14ac:dyDescent="0.3">
      <c r="A4037" t="s">
        <v>16377</v>
      </c>
      <c r="B4037" t="s">
        <v>40</v>
      </c>
      <c r="C4037">
        <v>0.09</v>
      </c>
    </row>
    <row r="4038" spans="1:3" x14ac:dyDescent="0.3">
      <c r="A4038" t="s">
        <v>16406</v>
      </c>
      <c r="B4038" t="s">
        <v>64</v>
      </c>
      <c r="C4038">
        <v>0.08</v>
      </c>
    </row>
    <row r="4039" spans="1:3" x14ac:dyDescent="0.3">
      <c r="A4039" t="s">
        <v>16482</v>
      </c>
      <c r="B4039" t="s">
        <v>225</v>
      </c>
      <c r="C4039">
        <v>0.01</v>
      </c>
    </row>
    <row r="4040" spans="1:3" x14ac:dyDescent="0.3">
      <c r="A4040" t="s">
        <v>16492</v>
      </c>
      <c r="B4040" t="s">
        <v>64</v>
      </c>
      <c r="C4040">
        <v>0.06</v>
      </c>
    </row>
    <row r="4041" spans="1:3" x14ac:dyDescent="0.3">
      <c r="A4041" t="s">
        <v>155</v>
      </c>
      <c r="B4041" t="s">
        <v>53</v>
      </c>
      <c r="C4041">
        <v>7.0000000000000007E-2</v>
      </c>
    </row>
    <row r="4042" spans="1:3" x14ac:dyDescent="0.3">
      <c r="A4042" t="s">
        <v>155</v>
      </c>
      <c r="B4042" t="s">
        <v>53</v>
      </c>
      <c r="C4042">
        <v>0.1</v>
      </c>
    </row>
    <row r="4043" spans="1:3" x14ac:dyDescent="0.3">
      <c r="A4043" t="s">
        <v>172</v>
      </c>
      <c r="B4043" t="s">
        <v>64</v>
      </c>
      <c r="C4043">
        <v>0.06</v>
      </c>
    </row>
    <row r="4044" spans="1:3" x14ac:dyDescent="0.3">
      <c r="A4044" t="s">
        <v>181</v>
      </c>
      <c r="B4044" t="s">
        <v>64</v>
      </c>
      <c r="C4044">
        <v>0.02</v>
      </c>
    </row>
    <row r="4045" spans="1:3" x14ac:dyDescent="0.3">
      <c r="A4045" t="s">
        <v>181</v>
      </c>
      <c r="B4045" t="s">
        <v>64</v>
      </c>
      <c r="C4045">
        <v>0.09</v>
      </c>
    </row>
    <row r="4046" spans="1:3" x14ac:dyDescent="0.3">
      <c r="A4046" t="s">
        <v>280</v>
      </c>
      <c r="B4046" t="s">
        <v>40</v>
      </c>
      <c r="C4046">
        <v>0</v>
      </c>
    </row>
    <row r="4047" spans="1:3" x14ac:dyDescent="0.3">
      <c r="A4047" t="s">
        <v>302</v>
      </c>
      <c r="B4047" t="s">
        <v>40</v>
      </c>
      <c r="C4047">
        <v>0.04</v>
      </c>
    </row>
    <row r="4048" spans="1:3" x14ac:dyDescent="0.3">
      <c r="A4048" t="s">
        <v>302</v>
      </c>
      <c r="B4048" t="s">
        <v>40</v>
      </c>
      <c r="C4048">
        <v>0.1</v>
      </c>
    </row>
    <row r="4049" spans="1:3" x14ac:dyDescent="0.3">
      <c r="A4049" t="s">
        <v>317</v>
      </c>
      <c r="B4049" t="s">
        <v>29</v>
      </c>
      <c r="C4049">
        <v>7.0000000000000007E-2</v>
      </c>
    </row>
    <row r="4050" spans="1:3" x14ac:dyDescent="0.3">
      <c r="A4050" t="s">
        <v>346</v>
      </c>
      <c r="B4050" t="s">
        <v>225</v>
      </c>
      <c r="C4050">
        <v>0.02</v>
      </c>
    </row>
    <row r="4051" spans="1:3" x14ac:dyDescent="0.3">
      <c r="A4051" t="s">
        <v>352</v>
      </c>
      <c r="B4051" t="s">
        <v>53</v>
      </c>
      <c r="C4051">
        <v>0.04</v>
      </c>
    </row>
    <row r="4052" spans="1:3" x14ac:dyDescent="0.3">
      <c r="A4052" t="s">
        <v>364</v>
      </c>
      <c r="B4052" t="s">
        <v>64</v>
      </c>
      <c r="C4052">
        <v>0.05</v>
      </c>
    </row>
    <row r="4053" spans="1:3" x14ac:dyDescent="0.3">
      <c r="A4053" t="s">
        <v>380</v>
      </c>
      <c r="B4053" t="s">
        <v>40</v>
      </c>
      <c r="C4053">
        <v>0.09</v>
      </c>
    </row>
    <row r="4054" spans="1:3" x14ac:dyDescent="0.3">
      <c r="A4054" t="s">
        <v>386</v>
      </c>
      <c r="B4054" t="s">
        <v>64</v>
      </c>
      <c r="C4054">
        <v>0.03</v>
      </c>
    </row>
    <row r="4055" spans="1:3" x14ac:dyDescent="0.3">
      <c r="A4055" t="s">
        <v>386</v>
      </c>
      <c r="B4055" t="s">
        <v>64</v>
      </c>
      <c r="C4055">
        <v>0.05</v>
      </c>
    </row>
    <row r="4056" spans="1:3" x14ac:dyDescent="0.3">
      <c r="A4056" t="s">
        <v>754</v>
      </c>
      <c r="B4056" t="s">
        <v>64</v>
      </c>
      <c r="C4056">
        <v>0.06</v>
      </c>
    </row>
    <row r="4057" spans="1:3" x14ac:dyDescent="0.3">
      <c r="A4057" t="s">
        <v>3976</v>
      </c>
      <c r="B4057" t="s">
        <v>225</v>
      </c>
      <c r="C4057">
        <v>0.04</v>
      </c>
    </row>
    <row r="4058" spans="1:3" x14ac:dyDescent="0.3">
      <c r="A4058" t="s">
        <v>3976</v>
      </c>
      <c r="B4058" t="s">
        <v>225</v>
      </c>
      <c r="C4058">
        <v>0.05</v>
      </c>
    </row>
    <row r="4059" spans="1:3" x14ac:dyDescent="0.3">
      <c r="A4059" t="s">
        <v>4119</v>
      </c>
      <c r="B4059" t="s">
        <v>29</v>
      </c>
      <c r="C4059">
        <v>0.05</v>
      </c>
    </row>
    <row r="4060" spans="1:3" x14ac:dyDescent="0.3">
      <c r="A4060" t="s">
        <v>4244</v>
      </c>
      <c r="B4060" t="s">
        <v>225</v>
      </c>
      <c r="C4060">
        <v>7.0000000000000007E-2</v>
      </c>
    </row>
    <row r="4061" spans="1:3" x14ac:dyDescent="0.3">
      <c r="A4061" t="s">
        <v>7168</v>
      </c>
      <c r="B4061" t="s">
        <v>64</v>
      </c>
      <c r="C4061">
        <v>0.02</v>
      </c>
    </row>
    <row r="4062" spans="1:3" x14ac:dyDescent="0.3">
      <c r="A4062" t="s">
        <v>7168</v>
      </c>
      <c r="B4062" t="s">
        <v>64</v>
      </c>
      <c r="C4062">
        <v>0.05</v>
      </c>
    </row>
    <row r="4063" spans="1:3" x14ac:dyDescent="0.3">
      <c r="A4063" t="s">
        <v>7741</v>
      </c>
      <c r="B4063" t="s">
        <v>40</v>
      </c>
      <c r="C4063">
        <v>0.06</v>
      </c>
    </row>
    <row r="4064" spans="1:3" x14ac:dyDescent="0.3">
      <c r="A4064" t="s">
        <v>8024</v>
      </c>
      <c r="B4064" t="s">
        <v>64</v>
      </c>
      <c r="C4064">
        <v>0.08</v>
      </c>
    </row>
    <row r="4065" spans="1:3" x14ac:dyDescent="0.3">
      <c r="A4065" t="s">
        <v>8024</v>
      </c>
      <c r="B4065" t="s">
        <v>64</v>
      </c>
      <c r="C4065">
        <v>0.09</v>
      </c>
    </row>
    <row r="4066" spans="1:3" x14ac:dyDescent="0.3">
      <c r="A4066" t="s">
        <v>8632</v>
      </c>
      <c r="B4066" t="s">
        <v>64</v>
      </c>
      <c r="C4066">
        <v>7.0000000000000007E-2</v>
      </c>
    </row>
    <row r="4067" spans="1:3" x14ac:dyDescent="0.3">
      <c r="A4067" t="s">
        <v>8701</v>
      </c>
      <c r="B4067" t="s">
        <v>64</v>
      </c>
      <c r="C4067">
        <v>0.05</v>
      </c>
    </row>
    <row r="4068" spans="1:3" x14ac:dyDescent="0.3">
      <c r="A4068" t="s">
        <v>9332</v>
      </c>
      <c r="B4068" t="s">
        <v>87</v>
      </c>
      <c r="C4068">
        <v>0.01</v>
      </c>
    </row>
    <row r="4069" spans="1:3" x14ac:dyDescent="0.3">
      <c r="A4069" t="s">
        <v>9727</v>
      </c>
      <c r="B4069" t="s">
        <v>40</v>
      </c>
      <c r="C4069">
        <v>0.01</v>
      </c>
    </row>
    <row r="4070" spans="1:3" x14ac:dyDescent="0.3">
      <c r="A4070" t="s">
        <v>9727</v>
      </c>
      <c r="B4070" t="s">
        <v>40</v>
      </c>
      <c r="C4070">
        <v>0.04</v>
      </c>
    </row>
    <row r="4071" spans="1:3" x14ac:dyDescent="0.3">
      <c r="A4071" t="s">
        <v>9727</v>
      </c>
      <c r="B4071" t="s">
        <v>40</v>
      </c>
      <c r="C4071">
        <v>0.09</v>
      </c>
    </row>
    <row r="4072" spans="1:3" x14ac:dyDescent="0.3">
      <c r="A4072" t="s">
        <v>10719</v>
      </c>
      <c r="B4072" t="s">
        <v>29</v>
      </c>
      <c r="C4072">
        <v>0</v>
      </c>
    </row>
    <row r="4073" spans="1:3" x14ac:dyDescent="0.3">
      <c r="A4073" t="s">
        <v>10866</v>
      </c>
      <c r="B4073" t="s">
        <v>87</v>
      </c>
      <c r="C4073">
        <v>0.01</v>
      </c>
    </row>
    <row r="4074" spans="1:3" x14ac:dyDescent="0.3">
      <c r="A4074" t="s">
        <v>10866</v>
      </c>
      <c r="B4074" t="s">
        <v>87</v>
      </c>
      <c r="C4074">
        <v>0.02</v>
      </c>
    </row>
    <row r="4075" spans="1:3" x14ac:dyDescent="0.3">
      <c r="A4075" t="s">
        <v>11499</v>
      </c>
      <c r="B4075" t="s">
        <v>64</v>
      </c>
      <c r="C4075">
        <v>0.09</v>
      </c>
    </row>
    <row r="4076" spans="1:3" x14ac:dyDescent="0.3">
      <c r="A4076" t="s">
        <v>13508</v>
      </c>
      <c r="B4076" t="s">
        <v>40</v>
      </c>
      <c r="C4076">
        <v>0.05</v>
      </c>
    </row>
    <row r="4077" spans="1:3" x14ac:dyDescent="0.3">
      <c r="A4077" t="s">
        <v>13706</v>
      </c>
      <c r="B4077" t="s">
        <v>40</v>
      </c>
      <c r="C4077">
        <v>0.01</v>
      </c>
    </row>
    <row r="4078" spans="1:3" x14ac:dyDescent="0.3">
      <c r="A4078" t="s">
        <v>13706</v>
      </c>
      <c r="B4078" t="s">
        <v>40</v>
      </c>
      <c r="C4078">
        <v>7.0000000000000007E-2</v>
      </c>
    </row>
    <row r="4079" spans="1:3" x14ac:dyDescent="0.3">
      <c r="A4079" t="s">
        <v>14933</v>
      </c>
      <c r="B4079" t="s">
        <v>64</v>
      </c>
      <c r="C4079">
        <v>0.1</v>
      </c>
    </row>
    <row r="4080" spans="1:3" x14ac:dyDescent="0.3">
      <c r="A4080" t="s">
        <v>15360</v>
      </c>
      <c r="B4080" t="s">
        <v>64</v>
      </c>
      <c r="C4080">
        <v>0</v>
      </c>
    </row>
    <row r="4081" spans="1:3" x14ac:dyDescent="0.3">
      <c r="A4081" t="s">
        <v>15673</v>
      </c>
      <c r="B4081" t="s">
        <v>64</v>
      </c>
      <c r="C4081">
        <v>0.04</v>
      </c>
    </row>
    <row r="4082" spans="1:3" x14ac:dyDescent="0.3">
      <c r="A4082" t="s">
        <v>15673</v>
      </c>
      <c r="B4082" t="s">
        <v>64</v>
      </c>
      <c r="C4082">
        <v>0.08</v>
      </c>
    </row>
    <row r="4083" spans="1:3" x14ac:dyDescent="0.3">
      <c r="A4083" t="s">
        <v>15860</v>
      </c>
      <c r="B4083" t="s">
        <v>29</v>
      </c>
      <c r="C4083">
        <v>0.03</v>
      </c>
    </row>
    <row r="4084" spans="1:3" x14ac:dyDescent="0.3">
      <c r="A4084" t="s">
        <v>15874</v>
      </c>
      <c r="B4084" t="s">
        <v>64</v>
      </c>
      <c r="C4084">
        <v>0.09</v>
      </c>
    </row>
    <row r="4085" spans="1:3" x14ac:dyDescent="0.3">
      <c r="A4085" t="s">
        <v>15880</v>
      </c>
      <c r="B4085" t="s">
        <v>40</v>
      </c>
      <c r="C4085">
        <v>0.1</v>
      </c>
    </row>
    <row r="4086" spans="1:3" x14ac:dyDescent="0.3">
      <c r="A4086" t="s">
        <v>15881</v>
      </c>
      <c r="B4086" t="s">
        <v>64</v>
      </c>
      <c r="C4086">
        <v>0.04</v>
      </c>
    </row>
    <row r="4087" spans="1:3" x14ac:dyDescent="0.3">
      <c r="A4087" t="s">
        <v>15891</v>
      </c>
      <c r="B4087" t="s">
        <v>64</v>
      </c>
      <c r="C4087">
        <v>0.09</v>
      </c>
    </row>
    <row r="4088" spans="1:3" x14ac:dyDescent="0.3">
      <c r="A4088" t="s">
        <v>15896</v>
      </c>
      <c r="B4088" t="s">
        <v>225</v>
      </c>
      <c r="C4088">
        <v>0</v>
      </c>
    </row>
    <row r="4089" spans="1:3" x14ac:dyDescent="0.3">
      <c r="A4089" t="s">
        <v>15897</v>
      </c>
      <c r="B4089" t="s">
        <v>64</v>
      </c>
      <c r="C4089">
        <v>0.08</v>
      </c>
    </row>
    <row r="4090" spans="1:3" x14ac:dyDescent="0.3">
      <c r="A4090" t="s">
        <v>15899</v>
      </c>
      <c r="B4090" t="s">
        <v>40</v>
      </c>
      <c r="C4090">
        <v>0.01</v>
      </c>
    </row>
    <row r="4091" spans="1:3" x14ac:dyDescent="0.3">
      <c r="A4091" t="s">
        <v>15908</v>
      </c>
      <c r="B4091" t="s">
        <v>40</v>
      </c>
      <c r="C4091">
        <v>7.0000000000000007E-2</v>
      </c>
    </row>
    <row r="4092" spans="1:3" x14ac:dyDescent="0.3">
      <c r="A4092" t="s">
        <v>15914</v>
      </c>
      <c r="B4092" t="s">
        <v>40</v>
      </c>
      <c r="C4092">
        <v>0.06</v>
      </c>
    </row>
    <row r="4093" spans="1:3" x14ac:dyDescent="0.3">
      <c r="A4093" t="s">
        <v>15918</v>
      </c>
      <c r="B4093" t="s">
        <v>64</v>
      </c>
      <c r="C4093">
        <v>0.01</v>
      </c>
    </row>
    <row r="4094" spans="1:3" x14ac:dyDescent="0.3">
      <c r="A4094" t="s">
        <v>15918</v>
      </c>
      <c r="B4094" t="s">
        <v>64</v>
      </c>
      <c r="C4094">
        <v>0.02</v>
      </c>
    </row>
    <row r="4095" spans="1:3" x14ac:dyDescent="0.3">
      <c r="A4095" t="s">
        <v>15918</v>
      </c>
      <c r="B4095" t="s">
        <v>64</v>
      </c>
      <c r="C4095">
        <v>0.09</v>
      </c>
    </row>
    <row r="4096" spans="1:3" x14ac:dyDescent="0.3">
      <c r="A4096" t="s">
        <v>15927</v>
      </c>
      <c r="B4096" t="s">
        <v>64</v>
      </c>
      <c r="C4096">
        <v>0.04</v>
      </c>
    </row>
    <row r="4097" spans="1:3" x14ac:dyDescent="0.3">
      <c r="A4097" t="s">
        <v>15929</v>
      </c>
      <c r="B4097" t="s">
        <v>53</v>
      </c>
      <c r="C4097">
        <v>0</v>
      </c>
    </row>
    <row r="4098" spans="1:3" x14ac:dyDescent="0.3">
      <c r="A4098" t="s">
        <v>15932</v>
      </c>
      <c r="B4098" t="s">
        <v>64</v>
      </c>
      <c r="C4098">
        <v>0.02</v>
      </c>
    </row>
    <row r="4099" spans="1:3" x14ac:dyDescent="0.3">
      <c r="A4099" t="s">
        <v>15932</v>
      </c>
      <c r="B4099" t="s">
        <v>64</v>
      </c>
      <c r="C4099">
        <v>0.03</v>
      </c>
    </row>
    <row r="4100" spans="1:3" x14ac:dyDescent="0.3">
      <c r="A4100" t="s">
        <v>15933</v>
      </c>
      <c r="B4100" t="s">
        <v>64</v>
      </c>
      <c r="C4100">
        <v>0.05</v>
      </c>
    </row>
    <row r="4101" spans="1:3" x14ac:dyDescent="0.3">
      <c r="A4101" t="s">
        <v>15941</v>
      </c>
      <c r="B4101" t="s">
        <v>53</v>
      </c>
      <c r="C4101">
        <v>0</v>
      </c>
    </row>
    <row r="4102" spans="1:3" x14ac:dyDescent="0.3">
      <c r="A4102" t="s">
        <v>15941</v>
      </c>
      <c r="B4102" t="s">
        <v>53</v>
      </c>
      <c r="C4102">
        <v>0.03</v>
      </c>
    </row>
    <row r="4103" spans="1:3" x14ac:dyDescent="0.3">
      <c r="A4103" t="s">
        <v>15942</v>
      </c>
      <c r="B4103" t="s">
        <v>87</v>
      </c>
      <c r="C4103">
        <v>0.03</v>
      </c>
    </row>
    <row r="4104" spans="1:3" x14ac:dyDescent="0.3">
      <c r="A4104" t="s">
        <v>15953</v>
      </c>
      <c r="B4104" t="s">
        <v>87</v>
      </c>
      <c r="C4104">
        <v>0.05</v>
      </c>
    </row>
    <row r="4105" spans="1:3" x14ac:dyDescent="0.3">
      <c r="A4105" t="s">
        <v>15963</v>
      </c>
      <c r="B4105" t="s">
        <v>40</v>
      </c>
      <c r="C4105">
        <v>0.02</v>
      </c>
    </row>
    <row r="4106" spans="1:3" x14ac:dyDescent="0.3">
      <c r="A4106" t="s">
        <v>15964</v>
      </c>
      <c r="B4106" t="s">
        <v>225</v>
      </c>
      <c r="C4106">
        <v>0.02</v>
      </c>
    </row>
    <row r="4107" spans="1:3" x14ac:dyDescent="0.3">
      <c r="A4107" t="s">
        <v>15967</v>
      </c>
      <c r="B4107" t="s">
        <v>87</v>
      </c>
      <c r="C4107">
        <v>0.08</v>
      </c>
    </row>
    <row r="4108" spans="1:3" x14ac:dyDescent="0.3">
      <c r="A4108" t="s">
        <v>15967</v>
      </c>
      <c r="B4108" t="s">
        <v>87</v>
      </c>
      <c r="C4108">
        <v>0.1</v>
      </c>
    </row>
    <row r="4109" spans="1:3" x14ac:dyDescent="0.3">
      <c r="A4109" t="s">
        <v>15973</v>
      </c>
      <c r="B4109" t="s">
        <v>40</v>
      </c>
      <c r="C4109">
        <v>0.08</v>
      </c>
    </row>
    <row r="4110" spans="1:3" x14ac:dyDescent="0.3">
      <c r="A4110" t="s">
        <v>15973</v>
      </c>
      <c r="B4110" t="s">
        <v>40</v>
      </c>
      <c r="C4110">
        <v>0.09</v>
      </c>
    </row>
    <row r="4111" spans="1:3" x14ac:dyDescent="0.3">
      <c r="A4111" t="s">
        <v>15975</v>
      </c>
      <c r="B4111" t="s">
        <v>64</v>
      </c>
      <c r="C4111">
        <v>0.09</v>
      </c>
    </row>
    <row r="4112" spans="1:3" x14ac:dyDescent="0.3">
      <c r="A4112" t="s">
        <v>15977</v>
      </c>
      <c r="B4112" t="s">
        <v>64</v>
      </c>
      <c r="C4112">
        <v>0</v>
      </c>
    </row>
    <row r="4113" spans="1:3" x14ac:dyDescent="0.3">
      <c r="A4113" t="s">
        <v>15977</v>
      </c>
      <c r="B4113" t="s">
        <v>64</v>
      </c>
      <c r="C4113">
        <v>0.04</v>
      </c>
    </row>
    <row r="4114" spans="1:3" x14ac:dyDescent="0.3">
      <c r="A4114" t="s">
        <v>15977</v>
      </c>
      <c r="B4114" t="s">
        <v>64</v>
      </c>
      <c r="C4114">
        <v>0.1</v>
      </c>
    </row>
    <row r="4115" spans="1:3" x14ac:dyDescent="0.3">
      <c r="A4115" t="s">
        <v>15989</v>
      </c>
      <c r="B4115" t="s">
        <v>64</v>
      </c>
      <c r="C4115">
        <v>7.0000000000000007E-2</v>
      </c>
    </row>
    <row r="4116" spans="1:3" x14ac:dyDescent="0.3">
      <c r="A4116" t="s">
        <v>15993</v>
      </c>
      <c r="B4116" t="s">
        <v>40</v>
      </c>
      <c r="C4116">
        <v>7.0000000000000007E-2</v>
      </c>
    </row>
    <row r="4117" spans="1:3" x14ac:dyDescent="0.3">
      <c r="A4117" t="s">
        <v>15993</v>
      </c>
      <c r="B4117" t="s">
        <v>40</v>
      </c>
      <c r="C4117">
        <v>0.08</v>
      </c>
    </row>
    <row r="4118" spans="1:3" x14ac:dyDescent="0.3">
      <c r="A4118" t="s">
        <v>15999</v>
      </c>
      <c r="B4118" t="s">
        <v>40</v>
      </c>
      <c r="C4118">
        <v>0.09</v>
      </c>
    </row>
    <row r="4119" spans="1:3" x14ac:dyDescent="0.3">
      <c r="A4119" t="s">
        <v>16003</v>
      </c>
      <c r="B4119" t="s">
        <v>64</v>
      </c>
      <c r="C4119">
        <v>0.06</v>
      </c>
    </row>
    <row r="4120" spans="1:3" x14ac:dyDescent="0.3">
      <c r="A4120" t="s">
        <v>16003</v>
      </c>
      <c r="B4120" t="s">
        <v>64</v>
      </c>
      <c r="C4120">
        <v>0.09</v>
      </c>
    </row>
    <row r="4121" spans="1:3" x14ac:dyDescent="0.3">
      <c r="A4121" t="s">
        <v>16005</v>
      </c>
      <c r="B4121" t="s">
        <v>64</v>
      </c>
      <c r="C4121">
        <v>0.01</v>
      </c>
    </row>
    <row r="4122" spans="1:3" x14ac:dyDescent="0.3">
      <c r="A4122" t="s">
        <v>16018</v>
      </c>
      <c r="B4122" t="s">
        <v>64</v>
      </c>
      <c r="C4122">
        <v>0.04</v>
      </c>
    </row>
    <row r="4123" spans="1:3" x14ac:dyDescent="0.3">
      <c r="A4123" t="s">
        <v>16018</v>
      </c>
      <c r="B4123" t="s">
        <v>64</v>
      </c>
      <c r="C4123">
        <v>0.06</v>
      </c>
    </row>
    <row r="4124" spans="1:3" x14ac:dyDescent="0.3">
      <c r="A4124" t="s">
        <v>16021</v>
      </c>
      <c r="B4124" t="s">
        <v>40</v>
      </c>
      <c r="C4124">
        <v>0.02</v>
      </c>
    </row>
    <row r="4125" spans="1:3" x14ac:dyDescent="0.3">
      <c r="A4125" t="s">
        <v>16026</v>
      </c>
      <c r="B4125" t="s">
        <v>53</v>
      </c>
      <c r="C4125">
        <v>0</v>
      </c>
    </row>
    <row r="4126" spans="1:3" x14ac:dyDescent="0.3">
      <c r="A4126" t="s">
        <v>16026</v>
      </c>
      <c r="B4126" t="s">
        <v>53</v>
      </c>
      <c r="C4126">
        <v>0.06</v>
      </c>
    </row>
    <row r="4127" spans="1:3" x14ac:dyDescent="0.3">
      <c r="A4127" t="s">
        <v>16027</v>
      </c>
      <c r="B4127" t="s">
        <v>40</v>
      </c>
      <c r="C4127">
        <v>0.05</v>
      </c>
    </row>
    <row r="4128" spans="1:3" x14ac:dyDescent="0.3">
      <c r="A4128" t="s">
        <v>16027</v>
      </c>
      <c r="B4128" t="s">
        <v>40</v>
      </c>
      <c r="C4128">
        <v>0.1</v>
      </c>
    </row>
    <row r="4129" spans="1:3" x14ac:dyDescent="0.3">
      <c r="A4129" t="s">
        <v>16031</v>
      </c>
      <c r="B4129" t="s">
        <v>53</v>
      </c>
      <c r="C4129">
        <v>0.03</v>
      </c>
    </row>
    <row r="4130" spans="1:3" x14ac:dyDescent="0.3">
      <c r="A4130" t="s">
        <v>16044</v>
      </c>
      <c r="B4130" t="s">
        <v>53</v>
      </c>
      <c r="C4130">
        <v>0</v>
      </c>
    </row>
    <row r="4131" spans="1:3" x14ac:dyDescent="0.3">
      <c r="A4131" t="s">
        <v>16044</v>
      </c>
      <c r="B4131" t="s">
        <v>53</v>
      </c>
      <c r="C4131">
        <v>0.1</v>
      </c>
    </row>
    <row r="4132" spans="1:3" x14ac:dyDescent="0.3">
      <c r="A4132" t="s">
        <v>16046</v>
      </c>
      <c r="B4132" t="s">
        <v>40</v>
      </c>
      <c r="C4132">
        <v>0.06</v>
      </c>
    </row>
    <row r="4133" spans="1:3" x14ac:dyDescent="0.3">
      <c r="A4133" t="s">
        <v>16051</v>
      </c>
      <c r="B4133" t="s">
        <v>64</v>
      </c>
      <c r="C4133">
        <v>0.03</v>
      </c>
    </row>
    <row r="4134" spans="1:3" x14ac:dyDescent="0.3">
      <c r="A4134" t="s">
        <v>16051</v>
      </c>
      <c r="B4134" t="s">
        <v>64</v>
      </c>
      <c r="C4134">
        <v>0.06</v>
      </c>
    </row>
    <row r="4135" spans="1:3" x14ac:dyDescent="0.3">
      <c r="A4135" t="s">
        <v>16057</v>
      </c>
      <c r="B4135" t="s">
        <v>40</v>
      </c>
      <c r="C4135">
        <v>0.03</v>
      </c>
    </row>
    <row r="4136" spans="1:3" x14ac:dyDescent="0.3">
      <c r="A4136" t="s">
        <v>16065</v>
      </c>
      <c r="B4136" t="s">
        <v>64</v>
      </c>
      <c r="C4136">
        <v>0.09</v>
      </c>
    </row>
    <row r="4137" spans="1:3" x14ac:dyDescent="0.3">
      <c r="A4137" t="s">
        <v>16075</v>
      </c>
      <c r="B4137" t="s">
        <v>53</v>
      </c>
      <c r="C4137">
        <v>7.0000000000000007E-2</v>
      </c>
    </row>
    <row r="4138" spans="1:3" x14ac:dyDescent="0.3">
      <c r="A4138" t="s">
        <v>16077</v>
      </c>
      <c r="B4138" t="s">
        <v>225</v>
      </c>
      <c r="C4138">
        <v>0.09</v>
      </c>
    </row>
    <row r="4139" spans="1:3" x14ac:dyDescent="0.3">
      <c r="A4139" t="s">
        <v>16089</v>
      </c>
      <c r="B4139" t="s">
        <v>53</v>
      </c>
      <c r="C4139">
        <v>0.1</v>
      </c>
    </row>
    <row r="4140" spans="1:3" x14ac:dyDescent="0.3">
      <c r="A4140" t="s">
        <v>16090</v>
      </c>
      <c r="B4140" t="s">
        <v>53</v>
      </c>
      <c r="C4140">
        <v>0.05</v>
      </c>
    </row>
    <row r="4141" spans="1:3" x14ac:dyDescent="0.3">
      <c r="A4141" t="s">
        <v>16095</v>
      </c>
      <c r="B4141" t="s">
        <v>87</v>
      </c>
      <c r="C4141">
        <v>0.06</v>
      </c>
    </row>
    <row r="4142" spans="1:3" x14ac:dyDescent="0.3">
      <c r="A4142" t="s">
        <v>16095</v>
      </c>
      <c r="B4142" t="s">
        <v>87</v>
      </c>
      <c r="C4142">
        <v>7.0000000000000007E-2</v>
      </c>
    </row>
    <row r="4143" spans="1:3" x14ac:dyDescent="0.3">
      <c r="A4143" t="s">
        <v>16101</v>
      </c>
      <c r="B4143" t="s">
        <v>40</v>
      </c>
      <c r="C4143">
        <v>0.02</v>
      </c>
    </row>
    <row r="4144" spans="1:3" x14ac:dyDescent="0.3">
      <c r="A4144" t="s">
        <v>16101</v>
      </c>
      <c r="B4144" t="s">
        <v>40</v>
      </c>
      <c r="C4144">
        <v>0.1</v>
      </c>
    </row>
    <row r="4145" spans="1:3" x14ac:dyDescent="0.3">
      <c r="A4145" t="s">
        <v>16108</v>
      </c>
      <c r="B4145" t="s">
        <v>87</v>
      </c>
      <c r="C4145">
        <v>0</v>
      </c>
    </row>
    <row r="4146" spans="1:3" x14ac:dyDescent="0.3">
      <c r="A4146" t="s">
        <v>16110</v>
      </c>
      <c r="B4146" t="s">
        <v>40</v>
      </c>
      <c r="C4146">
        <v>0</v>
      </c>
    </row>
    <row r="4147" spans="1:3" x14ac:dyDescent="0.3">
      <c r="A4147" t="s">
        <v>16116</v>
      </c>
      <c r="B4147" t="s">
        <v>53</v>
      </c>
      <c r="C4147">
        <v>0.1</v>
      </c>
    </row>
    <row r="4148" spans="1:3" x14ac:dyDescent="0.3">
      <c r="A4148" t="s">
        <v>16127</v>
      </c>
      <c r="B4148" t="s">
        <v>53</v>
      </c>
      <c r="C4148">
        <v>0.04</v>
      </c>
    </row>
    <row r="4149" spans="1:3" x14ac:dyDescent="0.3">
      <c r="A4149" t="s">
        <v>16136</v>
      </c>
      <c r="B4149" t="s">
        <v>40</v>
      </c>
      <c r="C4149">
        <v>0.01</v>
      </c>
    </row>
    <row r="4150" spans="1:3" x14ac:dyDescent="0.3">
      <c r="A4150" t="s">
        <v>16143</v>
      </c>
      <c r="B4150" t="s">
        <v>40</v>
      </c>
      <c r="C4150">
        <v>0.02</v>
      </c>
    </row>
    <row r="4151" spans="1:3" x14ac:dyDescent="0.3">
      <c r="A4151" t="s">
        <v>16143</v>
      </c>
      <c r="B4151" t="s">
        <v>40</v>
      </c>
      <c r="C4151">
        <v>0.1</v>
      </c>
    </row>
    <row r="4152" spans="1:3" x14ac:dyDescent="0.3">
      <c r="A4152" t="s">
        <v>16144</v>
      </c>
      <c r="B4152" t="s">
        <v>64</v>
      </c>
      <c r="C4152">
        <v>7.0000000000000007E-2</v>
      </c>
    </row>
    <row r="4153" spans="1:3" x14ac:dyDescent="0.3">
      <c r="A4153" t="s">
        <v>16155</v>
      </c>
      <c r="B4153" t="s">
        <v>64</v>
      </c>
      <c r="C4153">
        <v>7.0000000000000007E-2</v>
      </c>
    </row>
    <row r="4154" spans="1:3" x14ac:dyDescent="0.3">
      <c r="A4154" t="s">
        <v>16155</v>
      </c>
      <c r="B4154" t="s">
        <v>64</v>
      </c>
      <c r="C4154">
        <v>0.09</v>
      </c>
    </row>
    <row r="4155" spans="1:3" x14ac:dyDescent="0.3">
      <c r="A4155" t="s">
        <v>16156</v>
      </c>
      <c r="B4155" t="s">
        <v>64</v>
      </c>
      <c r="C4155">
        <v>0.01</v>
      </c>
    </row>
    <row r="4156" spans="1:3" x14ac:dyDescent="0.3">
      <c r="A4156" t="s">
        <v>16156</v>
      </c>
      <c r="B4156" t="s">
        <v>64</v>
      </c>
      <c r="C4156">
        <v>0.08</v>
      </c>
    </row>
    <row r="4157" spans="1:3" x14ac:dyDescent="0.3">
      <c r="A4157" t="s">
        <v>16161</v>
      </c>
      <c r="B4157" t="s">
        <v>29</v>
      </c>
      <c r="C4157">
        <v>0.06</v>
      </c>
    </row>
    <row r="4158" spans="1:3" x14ac:dyDescent="0.3">
      <c r="A4158" t="s">
        <v>16161</v>
      </c>
      <c r="B4158" t="s">
        <v>29</v>
      </c>
      <c r="C4158">
        <v>7.0000000000000007E-2</v>
      </c>
    </row>
    <row r="4159" spans="1:3" x14ac:dyDescent="0.3">
      <c r="A4159" t="s">
        <v>16161</v>
      </c>
      <c r="B4159" t="s">
        <v>29</v>
      </c>
      <c r="C4159">
        <v>0.1</v>
      </c>
    </row>
    <row r="4160" spans="1:3" x14ac:dyDescent="0.3">
      <c r="A4160" t="s">
        <v>16169</v>
      </c>
      <c r="B4160" t="s">
        <v>53</v>
      </c>
      <c r="C4160">
        <v>0.1</v>
      </c>
    </row>
    <row r="4161" spans="1:3" x14ac:dyDescent="0.3">
      <c r="A4161" t="s">
        <v>16177</v>
      </c>
      <c r="B4161" t="s">
        <v>64</v>
      </c>
      <c r="C4161">
        <v>0.02</v>
      </c>
    </row>
    <row r="4162" spans="1:3" x14ac:dyDescent="0.3">
      <c r="A4162" t="s">
        <v>16177</v>
      </c>
      <c r="B4162" t="s">
        <v>64</v>
      </c>
      <c r="C4162">
        <v>0.03</v>
      </c>
    </row>
    <row r="4163" spans="1:3" x14ac:dyDescent="0.3">
      <c r="A4163" t="s">
        <v>16177</v>
      </c>
      <c r="B4163" t="s">
        <v>64</v>
      </c>
      <c r="C4163">
        <v>0.1</v>
      </c>
    </row>
    <row r="4164" spans="1:3" x14ac:dyDescent="0.3">
      <c r="A4164" t="s">
        <v>16179</v>
      </c>
      <c r="B4164" t="s">
        <v>64</v>
      </c>
      <c r="C4164">
        <v>0</v>
      </c>
    </row>
    <row r="4165" spans="1:3" x14ac:dyDescent="0.3">
      <c r="A4165" t="s">
        <v>16179</v>
      </c>
      <c r="B4165" t="s">
        <v>64</v>
      </c>
      <c r="C4165">
        <v>7.0000000000000007E-2</v>
      </c>
    </row>
    <row r="4166" spans="1:3" x14ac:dyDescent="0.3">
      <c r="A4166" t="s">
        <v>16179</v>
      </c>
      <c r="B4166" t="s">
        <v>64</v>
      </c>
      <c r="C4166">
        <v>0.08</v>
      </c>
    </row>
    <row r="4167" spans="1:3" x14ac:dyDescent="0.3">
      <c r="A4167" t="s">
        <v>16180</v>
      </c>
      <c r="B4167" t="s">
        <v>64</v>
      </c>
      <c r="C4167">
        <v>0.09</v>
      </c>
    </row>
    <row r="4168" spans="1:3" x14ac:dyDescent="0.3">
      <c r="A4168" t="s">
        <v>16193</v>
      </c>
      <c r="B4168" t="s">
        <v>64</v>
      </c>
      <c r="C4168">
        <v>0.08</v>
      </c>
    </row>
    <row r="4169" spans="1:3" x14ac:dyDescent="0.3">
      <c r="A4169" t="s">
        <v>16199</v>
      </c>
      <c r="B4169" t="s">
        <v>40</v>
      </c>
      <c r="C4169">
        <v>0.02</v>
      </c>
    </row>
    <row r="4170" spans="1:3" x14ac:dyDescent="0.3">
      <c r="A4170" t="s">
        <v>16200</v>
      </c>
      <c r="B4170" t="s">
        <v>40</v>
      </c>
      <c r="C4170">
        <v>0</v>
      </c>
    </row>
    <row r="4171" spans="1:3" x14ac:dyDescent="0.3">
      <c r="A4171" t="s">
        <v>16210</v>
      </c>
      <c r="B4171" t="s">
        <v>64</v>
      </c>
      <c r="C4171">
        <v>0.01</v>
      </c>
    </row>
    <row r="4172" spans="1:3" x14ac:dyDescent="0.3">
      <c r="A4172" t="s">
        <v>16216</v>
      </c>
      <c r="B4172" t="s">
        <v>64</v>
      </c>
      <c r="C4172">
        <v>0</v>
      </c>
    </row>
    <row r="4173" spans="1:3" x14ac:dyDescent="0.3">
      <c r="A4173" t="s">
        <v>16221</v>
      </c>
      <c r="B4173" t="s">
        <v>225</v>
      </c>
      <c r="C4173">
        <v>7.0000000000000007E-2</v>
      </c>
    </row>
    <row r="4174" spans="1:3" x14ac:dyDescent="0.3">
      <c r="A4174" t="s">
        <v>16226</v>
      </c>
      <c r="B4174" t="s">
        <v>64</v>
      </c>
      <c r="C4174">
        <v>0.1</v>
      </c>
    </row>
    <row r="4175" spans="1:3" x14ac:dyDescent="0.3">
      <c r="A4175" t="s">
        <v>16227</v>
      </c>
      <c r="B4175" t="s">
        <v>64</v>
      </c>
      <c r="C4175">
        <v>0.05</v>
      </c>
    </row>
    <row r="4176" spans="1:3" x14ac:dyDescent="0.3">
      <c r="A4176" t="s">
        <v>16230</v>
      </c>
      <c r="B4176" t="s">
        <v>64</v>
      </c>
      <c r="C4176">
        <v>0</v>
      </c>
    </row>
    <row r="4177" spans="1:3" x14ac:dyDescent="0.3">
      <c r="A4177" t="s">
        <v>16230</v>
      </c>
      <c r="B4177" t="s">
        <v>64</v>
      </c>
      <c r="C4177">
        <v>0.08</v>
      </c>
    </row>
    <row r="4178" spans="1:3" x14ac:dyDescent="0.3">
      <c r="A4178" t="s">
        <v>16231</v>
      </c>
      <c r="B4178" t="s">
        <v>64</v>
      </c>
      <c r="C4178">
        <v>0.03</v>
      </c>
    </row>
    <row r="4179" spans="1:3" x14ac:dyDescent="0.3">
      <c r="A4179" t="s">
        <v>16232</v>
      </c>
      <c r="B4179" t="s">
        <v>64</v>
      </c>
      <c r="C4179">
        <v>0.01</v>
      </c>
    </row>
    <row r="4180" spans="1:3" x14ac:dyDescent="0.3">
      <c r="A4180" t="s">
        <v>16232</v>
      </c>
      <c r="B4180" t="s">
        <v>64</v>
      </c>
      <c r="C4180">
        <v>7.0000000000000007E-2</v>
      </c>
    </row>
    <row r="4181" spans="1:3" x14ac:dyDescent="0.3">
      <c r="A4181" t="s">
        <v>16233</v>
      </c>
      <c r="B4181" t="s">
        <v>40</v>
      </c>
      <c r="C4181">
        <v>0</v>
      </c>
    </row>
    <row r="4182" spans="1:3" x14ac:dyDescent="0.3">
      <c r="A4182" t="s">
        <v>16233</v>
      </c>
      <c r="B4182" t="s">
        <v>40</v>
      </c>
      <c r="C4182">
        <v>0.03</v>
      </c>
    </row>
    <row r="4183" spans="1:3" x14ac:dyDescent="0.3">
      <c r="A4183" t="s">
        <v>16236</v>
      </c>
      <c r="B4183" t="s">
        <v>40</v>
      </c>
      <c r="C4183">
        <v>0.1</v>
      </c>
    </row>
    <row r="4184" spans="1:3" x14ac:dyDescent="0.3">
      <c r="A4184" t="s">
        <v>16239</v>
      </c>
      <c r="B4184" t="s">
        <v>64</v>
      </c>
      <c r="C4184">
        <v>0.09</v>
      </c>
    </row>
    <row r="4185" spans="1:3" x14ac:dyDescent="0.3">
      <c r="A4185" t="s">
        <v>16244</v>
      </c>
      <c r="B4185" t="s">
        <v>53</v>
      </c>
      <c r="C4185">
        <v>0.04</v>
      </c>
    </row>
    <row r="4186" spans="1:3" x14ac:dyDescent="0.3">
      <c r="A4186" t="s">
        <v>16252</v>
      </c>
      <c r="B4186" t="s">
        <v>40</v>
      </c>
      <c r="C4186">
        <v>0.04</v>
      </c>
    </row>
    <row r="4187" spans="1:3" x14ac:dyDescent="0.3">
      <c r="A4187" t="s">
        <v>16253</v>
      </c>
      <c r="B4187" t="s">
        <v>64</v>
      </c>
      <c r="C4187">
        <v>0.05</v>
      </c>
    </row>
    <row r="4188" spans="1:3" x14ac:dyDescent="0.3">
      <c r="A4188" t="s">
        <v>16255</v>
      </c>
      <c r="B4188" t="s">
        <v>40</v>
      </c>
      <c r="C4188">
        <v>0.08</v>
      </c>
    </row>
    <row r="4189" spans="1:3" x14ac:dyDescent="0.3">
      <c r="A4189" t="s">
        <v>16269</v>
      </c>
      <c r="B4189" t="s">
        <v>40</v>
      </c>
      <c r="C4189">
        <v>0.02</v>
      </c>
    </row>
    <row r="4190" spans="1:3" x14ac:dyDescent="0.3">
      <c r="A4190" t="s">
        <v>16270</v>
      </c>
      <c r="B4190" t="s">
        <v>40</v>
      </c>
      <c r="C4190">
        <v>0.05</v>
      </c>
    </row>
    <row r="4191" spans="1:3" x14ac:dyDescent="0.3">
      <c r="A4191" t="s">
        <v>16273</v>
      </c>
      <c r="B4191" t="s">
        <v>53</v>
      </c>
      <c r="C4191">
        <v>7.0000000000000007E-2</v>
      </c>
    </row>
    <row r="4192" spans="1:3" x14ac:dyDescent="0.3">
      <c r="A4192" t="s">
        <v>16280</v>
      </c>
      <c r="B4192" t="s">
        <v>64</v>
      </c>
      <c r="C4192">
        <v>0.03</v>
      </c>
    </row>
    <row r="4193" spans="1:3" x14ac:dyDescent="0.3">
      <c r="A4193" t="s">
        <v>16280</v>
      </c>
      <c r="B4193" t="s">
        <v>64</v>
      </c>
      <c r="C4193">
        <v>0.09</v>
      </c>
    </row>
    <row r="4194" spans="1:3" x14ac:dyDescent="0.3">
      <c r="A4194" t="s">
        <v>16289</v>
      </c>
      <c r="B4194" t="s">
        <v>64</v>
      </c>
      <c r="C4194">
        <v>7.0000000000000007E-2</v>
      </c>
    </row>
    <row r="4195" spans="1:3" x14ac:dyDescent="0.3">
      <c r="A4195" t="s">
        <v>16290</v>
      </c>
      <c r="B4195" t="s">
        <v>40</v>
      </c>
      <c r="C4195">
        <v>7.0000000000000007E-2</v>
      </c>
    </row>
    <row r="4196" spans="1:3" x14ac:dyDescent="0.3">
      <c r="A4196" t="s">
        <v>16306</v>
      </c>
      <c r="B4196" t="s">
        <v>53</v>
      </c>
      <c r="C4196">
        <v>0.05</v>
      </c>
    </row>
    <row r="4197" spans="1:3" x14ac:dyDescent="0.3">
      <c r="A4197" t="s">
        <v>16307</v>
      </c>
      <c r="B4197" t="s">
        <v>87</v>
      </c>
      <c r="C4197">
        <v>0</v>
      </c>
    </row>
    <row r="4198" spans="1:3" x14ac:dyDescent="0.3">
      <c r="A4198" t="s">
        <v>16310</v>
      </c>
      <c r="B4198" t="s">
        <v>40</v>
      </c>
      <c r="C4198">
        <v>0</v>
      </c>
    </row>
    <row r="4199" spans="1:3" x14ac:dyDescent="0.3">
      <c r="A4199" t="s">
        <v>16310</v>
      </c>
      <c r="B4199" t="s">
        <v>40</v>
      </c>
      <c r="C4199">
        <v>0.1</v>
      </c>
    </row>
    <row r="4200" spans="1:3" x14ac:dyDescent="0.3">
      <c r="A4200" t="s">
        <v>16312</v>
      </c>
      <c r="B4200" t="s">
        <v>53</v>
      </c>
      <c r="C4200">
        <v>0.01</v>
      </c>
    </row>
    <row r="4201" spans="1:3" x14ac:dyDescent="0.3">
      <c r="A4201" t="s">
        <v>16312</v>
      </c>
      <c r="B4201" t="s">
        <v>53</v>
      </c>
      <c r="C4201">
        <v>0.03</v>
      </c>
    </row>
    <row r="4202" spans="1:3" x14ac:dyDescent="0.3">
      <c r="A4202" t="s">
        <v>16316</v>
      </c>
      <c r="B4202" t="s">
        <v>225</v>
      </c>
      <c r="C4202">
        <v>0.01</v>
      </c>
    </row>
    <row r="4203" spans="1:3" x14ac:dyDescent="0.3">
      <c r="A4203" t="s">
        <v>16316</v>
      </c>
      <c r="B4203" t="s">
        <v>225</v>
      </c>
      <c r="C4203">
        <v>0.05</v>
      </c>
    </row>
    <row r="4204" spans="1:3" x14ac:dyDescent="0.3">
      <c r="A4204" t="s">
        <v>16316</v>
      </c>
      <c r="B4204" t="s">
        <v>225</v>
      </c>
      <c r="C4204">
        <v>0.1</v>
      </c>
    </row>
    <row r="4205" spans="1:3" x14ac:dyDescent="0.3">
      <c r="A4205" t="s">
        <v>16322</v>
      </c>
      <c r="B4205" t="s">
        <v>40</v>
      </c>
      <c r="C4205">
        <v>0.06</v>
      </c>
    </row>
    <row r="4206" spans="1:3" x14ac:dyDescent="0.3">
      <c r="A4206" t="s">
        <v>16323</v>
      </c>
      <c r="B4206" t="s">
        <v>64</v>
      </c>
      <c r="C4206">
        <v>0.02</v>
      </c>
    </row>
    <row r="4207" spans="1:3" x14ac:dyDescent="0.3">
      <c r="A4207" t="s">
        <v>16331</v>
      </c>
      <c r="B4207" t="s">
        <v>40</v>
      </c>
      <c r="C4207">
        <v>0.03</v>
      </c>
    </row>
    <row r="4208" spans="1:3" x14ac:dyDescent="0.3">
      <c r="A4208" t="s">
        <v>16332</v>
      </c>
      <c r="B4208" t="s">
        <v>40</v>
      </c>
      <c r="C4208">
        <v>0.05</v>
      </c>
    </row>
    <row r="4209" spans="1:3" x14ac:dyDescent="0.3">
      <c r="A4209" t="s">
        <v>16335</v>
      </c>
      <c r="B4209" t="s">
        <v>64</v>
      </c>
      <c r="C4209">
        <v>0.08</v>
      </c>
    </row>
    <row r="4210" spans="1:3" x14ac:dyDescent="0.3">
      <c r="A4210" t="s">
        <v>16341</v>
      </c>
      <c r="B4210" t="s">
        <v>53</v>
      </c>
      <c r="C4210">
        <v>0.01</v>
      </c>
    </row>
    <row r="4211" spans="1:3" x14ac:dyDescent="0.3">
      <c r="A4211" t="s">
        <v>16350</v>
      </c>
      <c r="B4211" t="s">
        <v>64</v>
      </c>
      <c r="C4211">
        <v>0.08</v>
      </c>
    </row>
    <row r="4212" spans="1:3" x14ac:dyDescent="0.3">
      <c r="A4212" t="s">
        <v>16352</v>
      </c>
      <c r="B4212" t="s">
        <v>64</v>
      </c>
      <c r="C4212">
        <v>0.05</v>
      </c>
    </row>
    <row r="4213" spans="1:3" x14ac:dyDescent="0.3">
      <c r="A4213" t="s">
        <v>16354</v>
      </c>
      <c r="B4213" t="s">
        <v>29</v>
      </c>
      <c r="C4213">
        <v>0.09</v>
      </c>
    </row>
    <row r="4214" spans="1:3" x14ac:dyDescent="0.3">
      <c r="A4214" t="s">
        <v>16355</v>
      </c>
      <c r="B4214" t="s">
        <v>64</v>
      </c>
      <c r="C4214">
        <v>0.01</v>
      </c>
    </row>
    <row r="4215" spans="1:3" x14ac:dyDescent="0.3">
      <c r="A4215" t="s">
        <v>16364</v>
      </c>
      <c r="B4215" t="s">
        <v>40</v>
      </c>
      <c r="C4215">
        <v>0</v>
      </c>
    </row>
    <row r="4216" spans="1:3" x14ac:dyDescent="0.3">
      <c r="A4216" t="s">
        <v>16364</v>
      </c>
      <c r="B4216" t="s">
        <v>40</v>
      </c>
      <c r="C4216">
        <v>0.06</v>
      </c>
    </row>
    <row r="4217" spans="1:3" x14ac:dyDescent="0.3">
      <c r="A4217" t="s">
        <v>16368</v>
      </c>
      <c r="B4217" t="s">
        <v>64</v>
      </c>
      <c r="C4217">
        <v>0</v>
      </c>
    </row>
    <row r="4218" spans="1:3" x14ac:dyDescent="0.3">
      <c r="A4218" t="s">
        <v>16368</v>
      </c>
      <c r="B4218" t="s">
        <v>64</v>
      </c>
      <c r="C4218">
        <v>7.0000000000000007E-2</v>
      </c>
    </row>
    <row r="4219" spans="1:3" x14ac:dyDescent="0.3">
      <c r="A4219" t="s">
        <v>16370</v>
      </c>
      <c r="B4219" t="s">
        <v>64</v>
      </c>
      <c r="C4219">
        <v>0.01</v>
      </c>
    </row>
    <row r="4220" spans="1:3" x14ac:dyDescent="0.3">
      <c r="A4220" t="s">
        <v>16374</v>
      </c>
      <c r="B4220" t="s">
        <v>40</v>
      </c>
      <c r="C4220">
        <v>0.06</v>
      </c>
    </row>
    <row r="4221" spans="1:3" x14ac:dyDescent="0.3">
      <c r="A4221" t="s">
        <v>16381</v>
      </c>
      <c r="B4221" t="s">
        <v>64</v>
      </c>
      <c r="C4221">
        <v>0.08</v>
      </c>
    </row>
    <row r="4222" spans="1:3" x14ac:dyDescent="0.3">
      <c r="A4222" t="s">
        <v>16396</v>
      </c>
      <c r="B4222" t="s">
        <v>40</v>
      </c>
      <c r="C4222">
        <v>0.08</v>
      </c>
    </row>
    <row r="4223" spans="1:3" x14ac:dyDescent="0.3">
      <c r="A4223" t="s">
        <v>16411</v>
      </c>
      <c r="B4223" t="s">
        <v>64</v>
      </c>
      <c r="C4223">
        <v>0.03</v>
      </c>
    </row>
    <row r="4224" spans="1:3" x14ac:dyDescent="0.3">
      <c r="A4224" t="s">
        <v>16411</v>
      </c>
      <c r="B4224" t="s">
        <v>64</v>
      </c>
      <c r="C4224">
        <v>0.05</v>
      </c>
    </row>
    <row r="4225" spans="1:3" x14ac:dyDescent="0.3">
      <c r="A4225" t="s">
        <v>16416</v>
      </c>
      <c r="B4225" t="s">
        <v>87</v>
      </c>
      <c r="C4225">
        <v>0.06</v>
      </c>
    </row>
    <row r="4226" spans="1:3" x14ac:dyDescent="0.3">
      <c r="A4226" t="s">
        <v>16432</v>
      </c>
      <c r="B4226" t="s">
        <v>29</v>
      </c>
      <c r="C4226">
        <v>7.0000000000000007E-2</v>
      </c>
    </row>
    <row r="4227" spans="1:3" x14ac:dyDescent="0.3">
      <c r="A4227" t="s">
        <v>16440</v>
      </c>
      <c r="B4227" t="s">
        <v>64</v>
      </c>
      <c r="C4227">
        <v>0</v>
      </c>
    </row>
    <row r="4228" spans="1:3" x14ac:dyDescent="0.3">
      <c r="A4228" t="s">
        <v>16440</v>
      </c>
      <c r="B4228" t="s">
        <v>64</v>
      </c>
      <c r="C4228">
        <v>0.09</v>
      </c>
    </row>
    <row r="4229" spans="1:3" x14ac:dyDescent="0.3">
      <c r="A4229" t="s">
        <v>16447</v>
      </c>
      <c r="B4229" t="s">
        <v>40</v>
      </c>
      <c r="C4229">
        <v>0.01</v>
      </c>
    </row>
    <row r="4230" spans="1:3" x14ac:dyDescent="0.3">
      <c r="A4230" t="s">
        <v>16452</v>
      </c>
      <c r="B4230" t="s">
        <v>40</v>
      </c>
      <c r="C4230">
        <v>7.0000000000000007E-2</v>
      </c>
    </row>
    <row r="4231" spans="1:3" x14ac:dyDescent="0.3">
      <c r="A4231" t="s">
        <v>16455</v>
      </c>
      <c r="B4231" t="s">
        <v>64</v>
      </c>
      <c r="C4231">
        <v>0.04</v>
      </c>
    </row>
    <row r="4232" spans="1:3" x14ac:dyDescent="0.3">
      <c r="A4232" t="s">
        <v>16457</v>
      </c>
      <c r="B4232" t="s">
        <v>87</v>
      </c>
      <c r="C4232">
        <v>0.02</v>
      </c>
    </row>
    <row r="4233" spans="1:3" x14ac:dyDescent="0.3">
      <c r="A4233" t="s">
        <v>16458</v>
      </c>
      <c r="B4233" t="s">
        <v>40</v>
      </c>
      <c r="C4233">
        <v>0</v>
      </c>
    </row>
    <row r="4234" spans="1:3" x14ac:dyDescent="0.3">
      <c r="A4234" t="s">
        <v>16458</v>
      </c>
      <c r="B4234" t="s">
        <v>40</v>
      </c>
      <c r="C4234">
        <v>0.01</v>
      </c>
    </row>
    <row r="4235" spans="1:3" x14ac:dyDescent="0.3">
      <c r="A4235" t="s">
        <v>16458</v>
      </c>
      <c r="B4235" t="s">
        <v>40</v>
      </c>
      <c r="C4235">
        <v>0.09</v>
      </c>
    </row>
    <row r="4236" spans="1:3" x14ac:dyDescent="0.3">
      <c r="A4236" t="s">
        <v>16459</v>
      </c>
      <c r="B4236" t="s">
        <v>225</v>
      </c>
      <c r="C4236">
        <v>0.06</v>
      </c>
    </row>
    <row r="4237" spans="1:3" x14ac:dyDescent="0.3">
      <c r="A4237" t="s">
        <v>16468</v>
      </c>
      <c r="B4237" t="s">
        <v>40</v>
      </c>
      <c r="C4237">
        <v>0.01</v>
      </c>
    </row>
    <row r="4238" spans="1:3" x14ac:dyDescent="0.3">
      <c r="A4238" t="s">
        <v>16468</v>
      </c>
      <c r="B4238" t="s">
        <v>40</v>
      </c>
      <c r="C4238">
        <v>0.09</v>
      </c>
    </row>
    <row r="4239" spans="1:3" x14ac:dyDescent="0.3">
      <c r="A4239" t="s">
        <v>16470</v>
      </c>
      <c r="B4239" t="s">
        <v>53</v>
      </c>
      <c r="C4239">
        <v>0.02</v>
      </c>
    </row>
    <row r="4240" spans="1:3" x14ac:dyDescent="0.3">
      <c r="A4240" t="s">
        <v>16471</v>
      </c>
      <c r="B4240" t="s">
        <v>64</v>
      </c>
      <c r="C4240">
        <v>0.02</v>
      </c>
    </row>
    <row r="4241" spans="1:3" x14ac:dyDescent="0.3">
      <c r="A4241" t="s">
        <v>16471</v>
      </c>
      <c r="B4241" t="s">
        <v>64</v>
      </c>
      <c r="C4241">
        <v>0.09</v>
      </c>
    </row>
    <row r="4242" spans="1:3" x14ac:dyDescent="0.3">
      <c r="A4242" t="s">
        <v>16478</v>
      </c>
      <c r="B4242" t="s">
        <v>64</v>
      </c>
      <c r="C4242">
        <v>0.01</v>
      </c>
    </row>
    <row r="4243" spans="1:3" x14ac:dyDescent="0.3">
      <c r="A4243" t="s">
        <v>16479</v>
      </c>
      <c r="B4243" t="s">
        <v>40</v>
      </c>
      <c r="C4243">
        <v>0</v>
      </c>
    </row>
    <row r="4244" spans="1:3" x14ac:dyDescent="0.3">
      <c r="A4244" t="s">
        <v>16479</v>
      </c>
      <c r="B4244" t="s">
        <v>40</v>
      </c>
      <c r="C4244">
        <v>0.06</v>
      </c>
    </row>
    <row r="4245" spans="1:3" x14ac:dyDescent="0.3">
      <c r="A4245" t="s">
        <v>14628</v>
      </c>
      <c r="B4245" t="s">
        <v>225</v>
      </c>
      <c r="C4245">
        <v>0.02</v>
      </c>
    </row>
    <row r="4246" spans="1:3" x14ac:dyDescent="0.3">
      <c r="A4246" t="s">
        <v>14628</v>
      </c>
      <c r="B4246" t="s">
        <v>225</v>
      </c>
      <c r="C4246">
        <v>0.03</v>
      </c>
    </row>
    <row r="4247" spans="1:3" x14ac:dyDescent="0.3">
      <c r="A4247" t="s">
        <v>14628</v>
      </c>
      <c r="B4247" t="s">
        <v>225</v>
      </c>
      <c r="C4247">
        <v>0.04</v>
      </c>
    </row>
    <row r="4248" spans="1:3" x14ac:dyDescent="0.3">
      <c r="A4248" t="s">
        <v>14628</v>
      </c>
      <c r="B4248" t="s">
        <v>225</v>
      </c>
      <c r="C4248">
        <v>0.05</v>
      </c>
    </row>
    <row r="4249" spans="1:3" x14ac:dyDescent="0.3">
      <c r="A4249" t="s">
        <v>5981</v>
      </c>
      <c r="B4249" t="s">
        <v>225</v>
      </c>
      <c r="C4249">
        <v>0.02</v>
      </c>
    </row>
    <row r="4250" spans="1:3" x14ac:dyDescent="0.3">
      <c r="A4250" t="s">
        <v>5981</v>
      </c>
      <c r="B4250" t="s">
        <v>225</v>
      </c>
      <c r="C4250">
        <v>0.04</v>
      </c>
    </row>
    <row r="4251" spans="1:3" x14ac:dyDescent="0.3">
      <c r="A4251" t="s">
        <v>5981</v>
      </c>
      <c r="B4251" t="s">
        <v>225</v>
      </c>
      <c r="C4251">
        <v>0.05</v>
      </c>
    </row>
    <row r="4252" spans="1:3" x14ac:dyDescent="0.3">
      <c r="A4252" t="s">
        <v>14232</v>
      </c>
      <c r="B4252" t="s">
        <v>53</v>
      </c>
      <c r="C4252">
        <v>0</v>
      </c>
    </row>
    <row r="4253" spans="1:3" x14ac:dyDescent="0.3">
      <c r="A4253" t="s">
        <v>14232</v>
      </c>
      <c r="B4253" t="s">
        <v>53</v>
      </c>
      <c r="C4253">
        <v>7.0000000000000007E-2</v>
      </c>
    </row>
    <row r="4254" spans="1:3" x14ac:dyDescent="0.3">
      <c r="A4254" t="s">
        <v>402</v>
      </c>
      <c r="B4254" t="s">
        <v>64</v>
      </c>
      <c r="C4254">
        <v>0.04</v>
      </c>
    </row>
    <row r="4255" spans="1:3" x14ac:dyDescent="0.3">
      <c r="A4255" t="s">
        <v>402</v>
      </c>
      <c r="B4255" t="s">
        <v>29</v>
      </c>
      <c r="C4255">
        <v>0.04</v>
      </c>
    </row>
    <row r="4256" spans="1:3" x14ac:dyDescent="0.3">
      <c r="A4256" t="s">
        <v>402</v>
      </c>
      <c r="B4256" t="s">
        <v>29</v>
      </c>
      <c r="C4256">
        <v>7.0000000000000007E-2</v>
      </c>
    </row>
    <row r="4257" spans="1:3" x14ac:dyDescent="0.3">
      <c r="A4257" t="s">
        <v>402</v>
      </c>
      <c r="B4257" t="s">
        <v>29</v>
      </c>
      <c r="C4257">
        <v>0.09</v>
      </c>
    </row>
    <row r="4258" spans="1:3" x14ac:dyDescent="0.3">
      <c r="A4258" t="s">
        <v>4778</v>
      </c>
      <c r="B4258" t="s">
        <v>29</v>
      </c>
      <c r="C4258">
        <v>0.09</v>
      </c>
    </row>
    <row r="4259" spans="1:3" x14ac:dyDescent="0.3">
      <c r="A4259" t="s">
        <v>9657</v>
      </c>
      <c r="B4259" t="s">
        <v>40</v>
      </c>
      <c r="C4259">
        <v>0.05</v>
      </c>
    </row>
    <row r="4260" spans="1:3" x14ac:dyDescent="0.3">
      <c r="A4260" t="s">
        <v>8593</v>
      </c>
      <c r="B4260" t="s">
        <v>40</v>
      </c>
      <c r="C4260">
        <v>0.05</v>
      </c>
    </row>
    <row r="4261" spans="1:3" x14ac:dyDescent="0.3">
      <c r="A4261" t="s">
        <v>414</v>
      </c>
      <c r="B4261" t="s">
        <v>64</v>
      </c>
      <c r="C4261">
        <v>0.01</v>
      </c>
    </row>
    <row r="4262" spans="1:3" x14ac:dyDescent="0.3">
      <c r="A4262" t="s">
        <v>414</v>
      </c>
      <c r="B4262" t="s">
        <v>64</v>
      </c>
      <c r="C4262">
        <v>0.03</v>
      </c>
    </row>
    <row r="4263" spans="1:3" x14ac:dyDescent="0.3">
      <c r="A4263" t="s">
        <v>420</v>
      </c>
      <c r="B4263" t="s">
        <v>64</v>
      </c>
      <c r="C4263">
        <v>0.1</v>
      </c>
    </row>
    <row r="4264" spans="1:3" x14ac:dyDescent="0.3">
      <c r="A4264" t="s">
        <v>431</v>
      </c>
      <c r="B4264" t="s">
        <v>64</v>
      </c>
      <c r="C4264">
        <v>0.02</v>
      </c>
    </row>
    <row r="4265" spans="1:3" x14ac:dyDescent="0.3">
      <c r="A4265" t="s">
        <v>3109</v>
      </c>
      <c r="B4265" t="s">
        <v>64</v>
      </c>
      <c r="C4265">
        <v>0.05</v>
      </c>
    </row>
    <row r="4266" spans="1:3" x14ac:dyDescent="0.3">
      <c r="A4266" t="s">
        <v>12562</v>
      </c>
      <c r="B4266" t="s">
        <v>87</v>
      </c>
      <c r="C4266">
        <v>0.08</v>
      </c>
    </row>
    <row r="4267" spans="1:3" x14ac:dyDescent="0.3">
      <c r="A4267" t="s">
        <v>15503</v>
      </c>
      <c r="B4267" t="s">
        <v>53</v>
      </c>
      <c r="C4267">
        <v>0.04</v>
      </c>
    </row>
    <row r="4268" spans="1:3" x14ac:dyDescent="0.3">
      <c r="A4268" t="s">
        <v>15503</v>
      </c>
      <c r="B4268" t="s">
        <v>53</v>
      </c>
      <c r="C4268">
        <v>0.1</v>
      </c>
    </row>
    <row r="4269" spans="1:3" x14ac:dyDescent="0.3">
      <c r="A4269" t="s">
        <v>14315</v>
      </c>
      <c r="B4269" t="s">
        <v>29</v>
      </c>
      <c r="C4269">
        <v>0.04</v>
      </c>
    </row>
    <row r="4270" spans="1:3" x14ac:dyDescent="0.3">
      <c r="A4270" t="s">
        <v>15686</v>
      </c>
      <c r="B4270" t="s">
        <v>53</v>
      </c>
      <c r="C4270">
        <v>0.05</v>
      </c>
    </row>
    <row r="4271" spans="1:3" x14ac:dyDescent="0.3">
      <c r="A4271" t="s">
        <v>15686</v>
      </c>
      <c r="B4271" t="s">
        <v>53</v>
      </c>
      <c r="C4271">
        <v>0.09</v>
      </c>
    </row>
    <row r="4272" spans="1:3" x14ac:dyDescent="0.3">
      <c r="A4272" t="s">
        <v>4802</v>
      </c>
      <c r="B4272" t="s">
        <v>64</v>
      </c>
      <c r="C4272">
        <v>0.08</v>
      </c>
    </row>
    <row r="4273" spans="1:3" x14ac:dyDescent="0.3">
      <c r="A4273" t="s">
        <v>4802</v>
      </c>
      <c r="B4273" t="s">
        <v>64</v>
      </c>
      <c r="C4273">
        <v>0.09</v>
      </c>
    </row>
    <row r="4274" spans="1:3" x14ac:dyDescent="0.3">
      <c r="A4274" t="s">
        <v>14623</v>
      </c>
      <c r="B4274" t="s">
        <v>53</v>
      </c>
      <c r="C4274">
        <v>0</v>
      </c>
    </row>
    <row r="4275" spans="1:3" x14ac:dyDescent="0.3">
      <c r="A4275" t="s">
        <v>15431</v>
      </c>
      <c r="B4275" t="s">
        <v>53</v>
      </c>
      <c r="C4275">
        <v>0</v>
      </c>
    </row>
    <row r="4276" spans="1:3" x14ac:dyDescent="0.3">
      <c r="A4276" t="s">
        <v>15431</v>
      </c>
      <c r="B4276" t="s">
        <v>53</v>
      </c>
      <c r="C4276">
        <v>0.1</v>
      </c>
    </row>
    <row r="4277" spans="1:3" x14ac:dyDescent="0.3">
      <c r="A4277" t="s">
        <v>6070</v>
      </c>
      <c r="B4277" t="s">
        <v>64</v>
      </c>
      <c r="C4277">
        <v>0.09</v>
      </c>
    </row>
    <row r="4278" spans="1:3" x14ac:dyDescent="0.3">
      <c r="A4278" t="s">
        <v>5356</v>
      </c>
      <c r="B4278" t="s">
        <v>53</v>
      </c>
      <c r="C4278">
        <v>0.01</v>
      </c>
    </row>
    <row r="4279" spans="1:3" x14ac:dyDescent="0.3">
      <c r="A4279" t="s">
        <v>5356</v>
      </c>
      <c r="B4279" t="s">
        <v>53</v>
      </c>
      <c r="C4279">
        <v>0.06</v>
      </c>
    </row>
    <row r="4280" spans="1:3" x14ac:dyDescent="0.3">
      <c r="A4280" t="s">
        <v>5356</v>
      </c>
      <c r="B4280" t="s">
        <v>53</v>
      </c>
      <c r="C4280">
        <v>0.09</v>
      </c>
    </row>
    <row r="4281" spans="1:3" x14ac:dyDescent="0.3">
      <c r="A4281" t="s">
        <v>8515</v>
      </c>
      <c r="B4281" t="s">
        <v>40</v>
      </c>
      <c r="C4281">
        <v>0.02</v>
      </c>
    </row>
    <row r="4282" spans="1:3" x14ac:dyDescent="0.3">
      <c r="A4282" t="s">
        <v>10702</v>
      </c>
      <c r="B4282" t="s">
        <v>40</v>
      </c>
      <c r="C4282">
        <v>0.01</v>
      </c>
    </row>
    <row r="4283" spans="1:3" x14ac:dyDescent="0.3">
      <c r="A4283" t="s">
        <v>10883</v>
      </c>
      <c r="B4283" t="s">
        <v>64</v>
      </c>
      <c r="C4283">
        <v>0.1</v>
      </c>
    </row>
    <row r="4284" spans="1:3" x14ac:dyDescent="0.3">
      <c r="A4284" t="s">
        <v>9742</v>
      </c>
      <c r="B4284" t="s">
        <v>40</v>
      </c>
      <c r="C4284">
        <v>0.1</v>
      </c>
    </row>
    <row r="4285" spans="1:3" x14ac:dyDescent="0.3">
      <c r="A4285" t="s">
        <v>8705</v>
      </c>
      <c r="B4285" t="s">
        <v>87</v>
      </c>
      <c r="C4285">
        <v>0.06</v>
      </c>
    </row>
    <row r="4286" spans="1:3" x14ac:dyDescent="0.3">
      <c r="A4286" t="s">
        <v>9660</v>
      </c>
      <c r="B4286" t="s">
        <v>87</v>
      </c>
      <c r="C4286">
        <v>0</v>
      </c>
    </row>
    <row r="4287" spans="1:3" x14ac:dyDescent="0.3">
      <c r="A4287" t="s">
        <v>10414</v>
      </c>
      <c r="B4287" t="s">
        <v>87</v>
      </c>
      <c r="C4287">
        <v>7.0000000000000007E-2</v>
      </c>
    </row>
    <row r="4288" spans="1:3" x14ac:dyDescent="0.3">
      <c r="A4288" t="s">
        <v>10110</v>
      </c>
      <c r="B4288" t="s">
        <v>29</v>
      </c>
      <c r="C4288">
        <v>0.04</v>
      </c>
    </row>
    <row r="4289" spans="1:3" x14ac:dyDescent="0.3">
      <c r="A4289" t="s">
        <v>15289</v>
      </c>
      <c r="B4289" t="s">
        <v>29</v>
      </c>
      <c r="C4289">
        <v>0.09</v>
      </c>
    </row>
    <row r="4290" spans="1:3" x14ac:dyDescent="0.3">
      <c r="A4290" t="s">
        <v>12642</v>
      </c>
      <c r="B4290" t="s">
        <v>29</v>
      </c>
      <c r="C4290">
        <v>0.1</v>
      </c>
    </row>
    <row r="4291" spans="1:3" x14ac:dyDescent="0.3">
      <c r="A4291" t="s">
        <v>13759</v>
      </c>
      <c r="B4291" t="s">
        <v>53</v>
      </c>
      <c r="C4291">
        <v>0.01</v>
      </c>
    </row>
    <row r="4292" spans="1:3" x14ac:dyDescent="0.3">
      <c r="A4292" t="s">
        <v>13581</v>
      </c>
      <c r="B4292" t="s">
        <v>53</v>
      </c>
      <c r="C4292">
        <v>0.03</v>
      </c>
    </row>
    <row r="4293" spans="1:3" x14ac:dyDescent="0.3">
      <c r="A4293" t="s">
        <v>11084</v>
      </c>
      <c r="B4293" t="s">
        <v>53</v>
      </c>
      <c r="C4293">
        <v>0.06</v>
      </c>
    </row>
    <row r="4294" spans="1:3" x14ac:dyDescent="0.3">
      <c r="A4294" t="s">
        <v>13456</v>
      </c>
      <c r="B4294" t="s">
        <v>225</v>
      </c>
      <c r="C4294">
        <v>0.01</v>
      </c>
    </row>
    <row r="4295" spans="1:3" x14ac:dyDescent="0.3">
      <c r="A4295" t="s">
        <v>500</v>
      </c>
      <c r="B4295" t="s">
        <v>64</v>
      </c>
      <c r="C4295">
        <v>0.09</v>
      </c>
    </row>
    <row r="4296" spans="1:3" x14ac:dyDescent="0.3">
      <c r="A4296" t="s">
        <v>506</v>
      </c>
      <c r="B4296" t="s">
        <v>225</v>
      </c>
      <c r="C4296">
        <v>0.02</v>
      </c>
    </row>
    <row r="4297" spans="1:3" x14ac:dyDescent="0.3">
      <c r="A4297" t="s">
        <v>4716</v>
      </c>
      <c r="B4297" t="s">
        <v>87</v>
      </c>
      <c r="C4297">
        <v>0.04</v>
      </c>
    </row>
    <row r="4298" spans="1:3" x14ac:dyDescent="0.3">
      <c r="A4298" t="s">
        <v>4716</v>
      </c>
      <c r="B4298" t="s">
        <v>87</v>
      </c>
      <c r="C4298">
        <v>0.06</v>
      </c>
    </row>
    <row r="4299" spans="1:3" x14ac:dyDescent="0.3">
      <c r="A4299" t="s">
        <v>14373</v>
      </c>
      <c r="B4299" t="s">
        <v>40</v>
      </c>
      <c r="C4299">
        <v>0.06</v>
      </c>
    </row>
    <row r="4300" spans="1:3" x14ac:dyDescent="0.3">
      <c r="A4300" t="s">
        <v>11938</v>
      </c>
      <c r="B4300" t="s">
        <v>87</v>
      </c>
      <c r="C4300">
        <v>0</v>
      </c>
    </row>
    <row r="4301" spans="1:3" x14ac:dyDescent="0.3">
      <c r="A4301" t="s">
        <v>11192</v>
      </c>
      <c r="B4301" t="s">
        <v>87</v>
      </c>
      <c r="C4301">
        <v>0.02</v>
      </c>
    </row>
    <row r="4302" spans="1:3" x14ac:dyDescent="0.3">
      <c r="A4302" t="s">
        <v>11192</v>
      </c>
      <c r="B4302" t="s">
        <v>87</v>
      </c>
      <c r="C4302">
        <v>0.1</v>
      </c>
    </row>
    <row r="4303" spans="1:3" x14ac:dyDescent="0.3">
      <c r="A4303" t="s">
        <v>9960</v>
      </c>
      <c r="B4303" t="s">
        <v>40</v>
      </c>
      <c r="C4303">
        <v>0.08</v>
      </c>
    </row>
    <row r="4304" spans="1:3" x14ac:dyDescent="0.3">
      <c r="A4304" t="s">
        <v>15845</v>
      </c>
      <c r="B4304" t="s">
        <v>53</v>
      </c>
      <c r="C4304">
        <v>0.01</v>
      </c>
    </row>
    <row r="4305" spans="1:3" x14ac:dyDescent="0.3">
      <c r="A4305" t="s">
        <v>15845</v>
      </c>
      <c r="B4305" t="s">
        <v>53</v>
      </c>
      <c r="C4305">
        <v>0.08</v>
      </c>
    </row>
    <row r="4306" spans="1:3" x14ac:dyDescent="0.3">
      <c r="A4306" t="s">
        <v>15845</v>
      </c>
      <c r="B4306" t="s">
        <v>53</v>
      </c>
      <c r="C4306">
        <v>0.1</v>
      </c>
    </row>
    <row r="4307" spans="1:3" x14ac:dyDescent="0.3">
      <c r="A4307" t="s">
        <v>729</v>
      </c>
      <c r="B4307" t="s">
        <v>64</v>
      </c>
      <c r="C4307">
        <v>0.09</v>
      </c>
    </row>
    <row r="4308" spans="1:3" x14ac:dyDescent="0.3">
      <c r="A4308" t="s">
        <v>10243</v>
      </c>
      <c r="B4308" t="s">
        <v>40</v>
      </c>
      <c r="C4308">
        <v>0</v>
      </c>
    </row>
    <row r="4309" spans="1:3" x14ac:dyDescent="0.3">
      <c r="A4309" t="s">
        <v>10243</v>
      </c>
      <c r="B4309" t="s">
        <v>40</v>
      </c>
      <c r="C4309">
        <v>0.06</v>
      </c>
    </row>
    <row r="4310" spans="1:3" x14ac:dyDescent="0.3">
      <c r="A4310" t="s">
        <v>9668</v>
      </c>
      <c r="B4310" t="s">
        <v>29</v>
      </c>
      <c r="C4310">
        <v>0.04</v>
      </c>
    </row>
    <row r="4311" spans="1:3" x14ac:dyDescent="0.3">
      <c r="A4311" t="s">
        <v>531</v>
      </c>
      <c r="B4311" t="s">
        <v>87</v>
      </c>
      <c r="C4311">
        <v>0.01</v>
      </c>
    </row>
    <row r="4312" spans="1:3" x14ac:dyDescent="0.3">
      <c r="A4312" t="s">
        <v>11705</v>
      </c>
      <c r="B4312" t="s">
        <v>87</v>
      </c>
      <c r="C4312">
        <v>0.04</v>
      </c>
    </row>
    <row r="4313" spans="1:3" x14ac:dyDescent="0.3">
      <c r="A4313" t="s">
        <v>544</v>
      </c>
      <c r="B4313" t="s">
        <v>225</v>
      </c>
      <c r="C4313">
        <v>0.05</v>
      </c>
    </row>
    <row r="4314" spans="1:3" x14ac:dyDescent="0.3">
      <c r="A4314" t="s">
        <v>544</v>
      </c>
      <c r="B4314" t="s">
        <v>225</v>
      </c>
      <c r="C4314">
        <v>0.06</v>
      </c>
    </row>
    <row r="4315" spans="1:3" x14ac:dyDescent="0.3">
      <c r="A4315" t="s">
        <v>14752</v>
      </c>
      <c r="B4315" t="s">
        <v>29</v>
      </c>
      <c r="C4315">
        <v>0.04</v>
      </c>
    </row>
    <row r="4316" spans="1:3" x14ac:dyDescent="0.3">
      <c r="A4316" t="s">
        <v>11034</v>
      </c>
      <c r="B4316" t="s">
        <v>225</v>
      </c>
      <c r="C4316">
        <v>0.16</v>
      </c>
    </row>
    <row r="4317" spans="1:3" x14ac:dyDescent="0.3">
      <c r="A4317" t="s">
        <v>9769</v>
      </c>
      <c r="B4317" t="s">
        <v>29</v>
      </c>
      <c r="C4317">
        <v>7.0000000000000007E-2</v>
      </c>
    </row>
    <row r="4318" spans="1:3" x14ac:dyDescent="0.3">
      <c r="A4318" t="s">
        <v>13599</v>
      </c>
      <c r="B4318" t="s">
        <v>29</v>
      </c>
      <c r="C4318">
        <v>0.03</v>
      </c>
    </row>
    <row r="4319" spans="1:3" x14ac:dyDescent="0.3">
      <c r="A4319" t="s">
        <v>13387</v>
      </c>
      <c r="B4319" t="s">
        <v>29</v>
      </c>
      <c r="C4319">
        <v>0</v>
      </c>
    </row>
    <row r="4320" spans="1:3" x14ac:dyDescent="0.3">
      <c r="A4320" t="s">
        <v>13387</v>
      </c>
      <c r="B4320" t="s">
        <v>29</v>
      </c>
      <c r="C4320">
        <v>0.03</v>
      </c>
    </row>
    <row r="4321" spans="1:3" x14ac:dyDescent="0.3">
      <c r="A4321" t="s">
        <v>13190</v>
      </c>
      <c r="B4321" t="s">
        <v>40</v>
      </c>
      <c r="C4321">
        <v>0</v>
      </c>
    </row>
    <row r="4322" spans="1:3" x14ac:dyDescent="0.3">
      <c r="A4322" t="s">
        <v>13190</v>
      </c>
      <c r="B4322" t="s">
        <v>29</v>
      </c>
      <c r="C4322">
        <v>0.05</v>
      </c>
    </row>
    <row r="4323" spans="1:3" x14ac:dyDescent="0.3">
      <c r="A4323" t="s">
        <v>8214</v>
      </c>
      <c r="B4323" t="s">
        <v>225</v>
      </c>
      <c r="C4323">
        <v>0</v>
      </c>
    </row>
    <row r="4324" spans="1:3" x14ac:dyDescent="0.3">
      <c r="A4324" t="s">
        <v>8214</v>
      </c>
      <c r="B4324" t="s">
        <v>225</v>
      </c>
      <c r="C4324">
        <v>0.08</v>
      </c>
    </row>
    <row r="4325" spans="1:3" x14ac:dyDescent="0.3">
      <c r="A4325" t="s">
        <v>11627</v>
      </c>
      <c r="B4325" t="s">
        <v>40</v>
      </c>
      <c r="C4325">
        <v>0.03</v>
      </c>
    </row>
    <row r="4326" spans="1:3" x14ac:dyDescent="0.3">
      <c r="A4326" t="s">
        <v>10212</v>
      </c>
      <c r="B4326" t="s">
        <v>29</v>
      </c>
      <c r="C4326">
        <v>0.02</v>
      </c>
    </row>
    <row r="4327" spans="1:3" x14ac:dyDescent="0.3">
      <c r="A4327" t="s">
        <v>10212</v>
      </c>
      <c r="B4327" t="s">
        <v>29</v>
      </c>
      <c r="C4327">
        <v>0.08</v>
      </c>
    </row>
    <row r="4328" spans="1:3" x14ac:dyDescent="0.3">
      <c r="A4328" t="s">
        <v>8333</v>
      </c>
      <c r="B4328" t="s">
        <v>29</v>
      </c>
      <c r="C4328">
        <v>0</v>
      </c>
    </row>
    <row r="4329" spans="1:3" x14ac:dyDescent="0.3">
      <c r="A4329" t="s">
        <v>8333</v>
      </c>
      <c r="B4329" t="s">
        <v>29</v>
      </c>
      <c r="C4329">
        <v>0.01</v>
      </c>
    </row>
    <row r="4330" spans="1:3" x14ac:dyDescent="0.3">
      <c r="A4330" t="s">
        <v>8333</v>
      </c>
      <c r="B4330" t="s">
        <v>29</v>
      </c>
      <c r="C4330">
        <v>0.05</v>
      </c>
    </row>
    <row r="4331" spans="1:3" x14ac:dyDescent="0.3">
      <c r="A4331" t="s">
        <v>8333</v>
      </c>
      <c r="B4331" t="s">
        <v>29</v>
      </c>
      <c r="C4331">
        <v>0.08</v>
      </c>
    </row>
    <row r="4332" spans="1:3" x14ac:dyDescent="0.3">
      <c r="A4332" t="s">
        <v>6916</v>
      </c>
      <c r="B4332" t="s">
        <v>53</v>
      </c>
      <c r="C4332">
        <v>0.05</v>
      </c>
    </row>
    <row r="4333" spans="1:3" x14ac:dyDescent="0.3">
      <c r="A4333" t="s">
        <v>15193</v>
      </c>
      <c r="B4333" t="s">
        <v>64</v>
      </c>
      <c r="C4333">
        <v>7.0000000000000007E-2</v>
      </c>
    </row>
    <row r="4334" spans="1:3" x14ac:dyDescent="0.3">
      <c r="A4334" t="s">
        <v>15193</v>
      </c>
      <c r="B4334" t="s">
        <v>64</v>
      </c>
      <c r="C4334">
        <v>0.08</v>
      </c>
    </row>
    <row r="4335" spans="1:3" x14ac:dyDescent="0.3">
      <c r="A4335" t="s">
        <v>14369</v>
      </c>
      <c r="B4335" t="s">
        <v>87</v>
      </c>
      <c r="C4335">
        <v>0.01</v>
      </c>
    </row>
    <row r="4336" spans="1:3" x14ac:dyDescent="0.3">
      <c r="A4336" t="s">
        <v>2946</v>
      </c>
      <c r="B4336" t="s">
        <v>87</v>
      </c>
      <c r="C4336">
        <v>0.06</v>
      </c>
    </row>
    <row r="4337" spans="1:3" x14ac:dyDescent="0.3">
      <c r="A4337" t="s">
        <v>2946</v>
      </c>
      <c r="B4337" t="s">
        <v>87</v>
      </c>
      <c r="C4337">
        <v>7.0000000000000007E-2</v>
      </c>
    </row>
    <row r="4338" spans="1:3" x14ac:dyDescent="0.3">
      <c r="A4338" t="s">
        <v>4823</v>
      </c>
      <c r="B4338" t="s">
        <v>40</v>
      </c>
      <c r="C4338">
        <v>0.02</v>
      </c>
    </row>
    <row r="4339" spans="1:3" x14ac:dyDescent="0.3">
      <c r="A4339" t="s">
        <v>4823</v>
      </c>
      <c r="B4339" t="s">
        <v>40</v>
      </c>
      <c r="C4339">
        <v>0.08</v>
      </c>
    </row>
    <row r="4340" spans="1:3" x14ac:dyDescent="0.3">
      <c r="A4340" t="s">
        <v>4823</v>
      </c>
      <c r="B4340" t="s">
        <v>40</v>
      </c>
      <c r="C4340">
        <v>0.1</v>
      </c>
    </row>
    <row r="4341" spans="1:3" x14ac:dyDescent="0.3">
      <c r="A4341" t="s">
        <v>8646</v>
      </c>
      <c r="B4341" t="s">
        <v>225</v>
      </c>
      <c r="C4341">
        <v>0.1</v>
      </c>
    </row>
    <row r="4342" spans="1:3" x14ac:dyDescent="0.3">
      <c r="A4342" t="s">
        <v>8646</v>
      </c>
      <c r="B4342" t="s">
        <v>29</v>
      </c>
      <c r="C4342">
        <v>0</v>
      </c>
    </row>
    <row r="4343" spans="1:3" x14ac:dyDescent="0.3">
      <c r="A4343" t="s">
        <v>5697</v>
      </c>
      <c r="B4343" t="s">
        <v>40</v>
      </c>
      <c r="C4343">
        <v>0</v>
      </c>
    </row>
    <row r="4344" spans="1:3" x14ac:dyDescent="0.3">
      <c r="A4344" t="s">
        <v>14553</v>
      </c>
      <c r="B4344" t="s">
        <v>87</v>
      </c>
      <c r="C4344">
        <v>0.1</v>
      </c>
    </row>
    <row r="4345" spans="1:3" x14ac:dyDescent="0.3">
      <c r="A4345" t="s">
        <v>5039</v>
      </c>
      <c r="B4345" t="s">
        <v>87</v>
      </c>
      <c r="C4345">
        <v>0.01</v>
      </c>
    </row>
    <row r="4346" spans="1:3" x14ac:dyDescent="0.3">
      <c r="A4346" t="s">
        <v>11012</v>
      </c>
      <c r="B4346" t="s">
        <v>87</v>
      </c>
      <c r="C4346">
        <v>0.1</v>
      </c>
    </row>
    <row r="4347" spans="1:3" x14ac:dyDescent="0.3">
      <c r="A4347" t="s">
        <v>9331</v>
      </c>
      <c r="B4347" t="s">
        <v>64</v>
      </c>
      <c r="C4347">
        <v>0</v>
      </c>
    </row>
    <row r="4348" spans="1:3" x14ac:dyDescent="0.3">
      <c r="A4348" t="s">
        <v>9331</v>
      </c>
      <c r="B4348" t="s">
        <v>64</v>
      </c>
      <c r="C4348">
        <v>0.01</v>
      </c>
    </row>
    <row r="4349" spans="1:3" x14ac:dyDescent="0.3">
      <c r="A4349" t="s">
        <v>7868</v>
      </c>
      <c r="B4349" t="s">
        <v>64</v>
      </c>
      <c r="C4349">
        <v>0.1</v>
      </c>
    </row>
    <row r="4350" spans="1:3" x14ac:dyDescent="0.3">
      <c r="A4350" t="s">
        <v>15029</v>
      </c>
      <c r="B4350" t="s">
        <v>53</v>
      </c>
      <c r="C4350">
        <v>0.08</v>
      </c>
    </row>
    <row r="4351" spans="1:3" x14ac:dyDescent="0.3">
      <c r="A4351" t="s">
        <v>13321</v>
      </c>
      <c r="B4351" t="s">
        <v>64</v>
      </c>
      <c r="C4351">
        <v>0.02</v>
      </c>
    </row>
    <row r="4352" spans="1:3" x14ac:dyDescent="0.3">
      <c r="A4352" t="s">
        <v>13321</v>
      </c>
      <c r="B4352" t="s">
        <v>64</v>
      </c>
      <c r="C4352">
        <v>0.03</v>
      </c>
    </row>
    <row r="4353" spans="1:3" x14ac:dyDescent="0.3">
      <c r="A4353" t="s">
        <v>12251</v>
      </c>
      <c r="B4353" t="s">
        <v>87</v>
      </c>
      <c r="C4353">
        <v>0.05</v>
      </c>
    </row>
    <row r="4354" spans="1:3" x14ac:dyDescent="0.3">
      <c r="A4354" t="s">
        <v>12251</v>
      </c>
      <c r="B4354" t="s">
        <v>87</v>
      </c>
      <c r="C4354">
        <v>0.06</v>
      </c>
    </row>
    <row r="4355" spans="1:3" x14ac:dyDescent="0.3">
      <c r="A4355" t="s">
        <v>14781</v>
      </c>
      <c r="B4355" t="s">
        <v>40</v>
      </c>
      <c r="C4355">
        <v>0.05</v>
      </c>
    </row>
    <row r="4356" spans="1:3" x14ac:dyDescent="0.3">
      <c r="A4356" t="s">
        <v>9433</v>
      </c>
      <c r="B4356" t="s">
        <v>53</v>
      </c>
      <c r="C4356">
        <v>0.09</v>
      </c>
    </row>
    <row r="4357" spans="1:3" x14ac:dyDescent="0.3">
      <c r="A4357" t="s">
        <v>655</v>
      </c>
      <c r="B4357" t="s">
        <v>64</v>
      </c>
      <c r="C4357">
        <v>0.03</v>
      </c>
    </row>
    <row r="4358" spans="1:3" x14ac:dyDescent="0.3">
      <c r="A4358" t="s">
        <v>655</v>
      </c>
      <c r="B4358" t="s">
        <v>29</v>
      </c>
      <c r="C4358">
        <v>0.05</v>
      </c>
    </row>
    <row r="4359" spans="1:3" x14ac:dyDescent="0.3">
      <c r="A4359" t="s">
        <v>6560</v>
      </c>
      <c r="B4359" t="s">
        <v>53</v>
      </c>
      <c r="C4359">
        <v>0.02</v>
      </c>
    </row>
    <row r="4360" spans="1:3" x14ac:dyDescent="0.3">
      <c r="A4360" t="s">
        <v>5348</v>
      </c>
      <c r="B4360" t="s">
        <v>64</v>
      </c>
      <c r="C4360">
        <v>0.04</v>
      </c>
    </row>
    <row r="4361" spans="1:3" x14ac:dyDescent="0.3">
      <c r="A4361" t="s">
        <v>8317</v>
      </c>
      <c r="B4361" t="s">
        <v>87</v>
      </c>
      <c r="C4361">
        <v>0.06</v>
      </c>
    </row>
    <row r="4362" spans="1:3" x14ac:dyDescent="0.3">
      <c r="A4362" t="s">
        <v>6422</v>
      </c>
      <c r="B4362" t="s">
        <v>53</v>
      </c>
      <c r="C4362">
        <v>0.05</v>
      </c>
    </row>
    <row r="4363" spans="1:3" x14ac:dyDescent="0.3">
      <c r="A4363" t="s">
        <v>3839</v>
      </c>
      <c r="B4363" t="s">
        <v>87</v>
      </c>
      <c r="C4363">
        <v>0.06</v>
      </c>
    </row>
    <row r="4364" spans="1:3" x14ac:dyDescent="0.3">
      <c r="A4364" t="s">
        <v>11198</v>
      </c>
      <c r="B4364" t="s">
        <v>53</v>
      </c>
      <c r="C4364">
        <v>7.0000000000000007E-2</v>
      </c>
    </row>
    <row r="4365" spans="1:3" x14ac:dyDescent="0.3">
      <c r="A4365" t="s">
        <v>12763</v>
      </c>
      <c r="B4365" t="s">
        <v>64</v>
      </c>
      <c r="C4365">
        <v>0.05</v>
      </c>
    </row>
    <row r="4366" spans="1:3" x14ac:dyDescent="0.3">
      <c r="A4366" t="s">
        <v>697</v>
      </c>
      <c r="B4366" t="s">
        <v>87</v>
      </c>
      <c r="C4366">
        <v>0.02</v>
      </c>
    </row>
    <row r="4367" spans="1:3" x14ac:dyDescent="0.3">
      <c r="A4367" t="s">
        <v>697</v>
      </c>
      <c r="B4367" t="s">
        <v>87</v>
      </c>
      <c r="C4367">
        <v>0.09</v>
      </c>
    </row>
    <row r="4368" spans="1:3" x14ac:dyDescent="0.3">
      <c r="A4368" t="s">
        <v>8602</v>
      </c>
      <c r="B4368" t="s">
        <v>29</v>
      </c>
      <c r="C4368">
        <v>0.05</v>
      </c>
    </row>
    <row r="4369" spans="1:3" x14ac:dyDescent="0.3">
      <c r="A4369" t="s">
        <v>12347</v>
      </c>
      <c r="B4369" t="s">
        <v>29</v>
      </c>
      <c r="C4369">
        <v>0.03</v>
      </c>
    </row>
    <row r="4370" spans="1:3" x14ac:dyDescent="0.3">
      <c r="A4370" t="s">
        <v>5520</v>
      </c>
      <c r="B4370" t="s">
        <v>53</v>
      </c>
      <c r="C4370">
        <v>0.05</v>
      </c>
    </row>
    <row r="4371" spans="1:3" x14ac:dyDescent="0.3">
      <c r="A4371" t="s">
        <v>7195</v>
      </c>
      <c r="B4371" t="s">
        <v>40</v>
      </c>
      <c r="C4371">
        <v>0.1</v>
      </c>
    </row>
    <row r="4372" spans="1:3" x14ac:dyDescent="0.3">
      <c r="A4372" t="s">
        <v>4074</v>
      </c>
      <c r="B4372" t="s">
        <v>40</v>
      </c>
      <c r="C4372">
        <v>0</v>
      </c>
    </row>
    <row r="4373" spans="1:3" x14ac:dyDescent="0.3">
      <c r="A4373" t="s">
        <v>1144</v>
      </c>
      <c r="B4373" t="s">
        <v>225</v>
      </c>
      <c r="C4373">
        <v>0.01</v>
      </c>
    </row>
    <row r="4374" spans="1:3" x14ac:dyDescent="0.3">
      <c r="A4374" t="s">
        <v>6785</v>
      </c>
      <c r="B4374" t="s">
        <v>64</v>
      </c>
      <c r="C4374">
        <v>0.02</v>
      </c>
    </row>
    <row r="4375" spans="1:3" x14ac:dyDescent="0.3">
      <c r="A4375" t="s">
        <v>6785</v>
      </c>
      <c r="B4375" t="s">
        <v>87</v>
      </c>
      <c r="C4375">
        <v>0.09</v>
      </c>
    </row>
    <row r="4376" spans="1:3" x14ac:dyDescent="0.3">
      <c r="A4376" t="s">
        <v>10795</v>
      </c>
      <c r="B4376" t="s">
        <v>64</v>
      </c>
      <c r="C4376">
        <v>0.01</v>
      </c>
    </row>
    <row r="4377" spans="1:3" x14ac:dyDescent="0.3">
      <c r="A4377" t="s">
        <v>10795</v>
      </c>
      <c r="B4377" t="s">
        <v>29</v>
      </c>
      <c r="C4377">
        <v>0</v>
      </c>
    </row>
    <row r="4378" spans="1:3" x14ac:dyDescent="0.3">
      <c r="A4378" t="s">
        <v>10795</v>
      </c>
      <c r="B4378" t="s">
        <v>29</v>
      </c>
      <c r="C4378">
        <v>0.06</v>
      </c>
    </row>
    <row r="4379" spans="1:3" x14ac:dyDescent="0.3">
      <c r="A4379" t="s">
        <v>15248</v>
      </c>
      <c r="B4379" t="s">
        <v>40</v>
      </c>
      <c r="C4379">
        <v>0.02</v>
      </c>
    </row>
    <row r="4380" spans="1:3" x14ac:dyDescent="0.3">
      <c r="A4380" t="s">
        <v>722</v>
      </c>
      <c r="B4380" t="s">
        <v>40</v>
      </c>
      <c r="C4380">
        <v>0.03</v>
      </c>
    </row>
    <row r="4381" spans="1:3" x14ac:dyDescent="0.3">
      <c r="A4381" t="s">
        <v>722</v>
      </c>
      <c r="B4381" t="s">
        <v>40</v>
      </c>
      <c r="C4381">
        <v>0.09</v>
      </c>
    </row>
    <row r="4382" spans="1:3" x14ac:dyDescent="0.3">
      <c r="A4382" t="s">
        <v>731</v>
      </c>
      <c r="B4382" t="s">
        <v>87</v>
      </c>
      <c r="C4382">
        <v>0.02</v>
      </c>
    </row>
    <row r="4383" spans="1:3" x14ac:dyDescent="0.3">
      <c r="A4383" t="s">
        <v>736</v>
      </c>
      <c r="B4383" t="s">
        <v>53</v>
      </c>
      <c r="C4383">
        <v>0.05</v>
      </c>
    </row>
    <row r="4384" spans="1:3" x14ac:dyDescent="0.3">
      <c r="A4384" t="s">
        <v>743</v>
      </c>
      <c r="B4384" t="s">
        <v>29</v>
      </c>
      <c r="C4384">
        <v>0.09</v>
      </c>
    </row>
    <row r="4385" spans="1:3" x14ac:dyDescent="0.3">
      <c r="A4385" t="s">
        <v>14444</v>
      </c>
      <c r="B4385" t="s">
        <v>29</v>
      </c>
      <c r="C4385">
        <v>0.04</v>
      </c>
    </row>
    <row r="4386" spans="1:3" x14ac:dyDescent="0.3">
      <c r="A4386" t="s">
        <v>756</v>
      </c>
      <c r="B4386" t="s">
        <v>29</v>
      </c>
      <c r="C4386">
        <v>0.08</v>
      </c>
    </row>
    <row r="4387" spans="1:3" x14ac:dyDescent="0.3">
      <c r="A4387" t="s">
        <v>7450</v>
      </c>
      <c r="B4387" t="s">
        <v>87</v>
      </c>
      <c r="C4387">
        <v>0.05</v>
      </c>
    </row>
    <row r="4388" spans="1:3" x14ac:dyDescent="0.3">
      <c r="A4388" t="s">
        <v>7450</v>
      </c>
      <c r="B4388" t="s">
        <v>87</v>
      </c>
      <c r="C4388">
        <v>0.08</v>
      </c>
    </row>
    <row r="4389" spans="1:3" x14ac:dyDescent="0.3">
      <c r="A4389" t="s">
        <v>768</v>
      </c>
      <c r="B4389" t="s">
        <v>87</v>
      </c>
      <c r="C4389">
        <v>0.01</v>
      </c>
    </row>
    <row r="4390" spans="1:3" x14ac:dyDescent="0.3">
      <c r="A4390" t="s">
        <v>768</v>
      </c>
      <c r="B4390" t="s">
        <v>87</v>
      </c>
      <c r="C4390">
        <v>0.06</v>
      </c>
    </row>
    <row r="4391" spans="1:3" x14ac:dyDescent="0.3">
      <c r="A4391" t="s">
        <v>774</v>
      </c>
      <c r="B4391" t="s">
        <v>40</v>
      </c>
      <c r="C4391">
        <v>0</v>
      </c>
    </row>
    <row r="4392" spans="1:3" x14ac:dyDescent="0.3">
      <c r="A4392" t="s">
        <v>11053</v>
      </c>
      <c r="B4392" t="s">
        <v>87</v>
      </c>
      <c r="C4392">
        <v>0.08</v>
      </c>
    </row>
    <row r="4393" spans="1:3" x14ac:dyDescent="0.3">
      <c r="A4393" t="s">
        <v>8280</v>
      </c>
      <c r="B4393" t="s">
        <v>87</v>
      </c>
      <c r="C4393">
        <v>0.03</v>
      </c>
    </row>
    <row r="4394" spans="1:3" x14ac:dyDescent="0.3">
      <c r="A4394" t="s">
        <v>14961</v>
      </c>
      <c r="B4394" t="s">
        <v>29</v>
      </c>
      <c r="C4394">
        <v>7.0000000000000007E-2</v>
      </c>
    </row>
    <row r="4395" spans="1:3" x14ac:dyDescent="0.3">
      <c r="A4395" t="s">
        <v>3492</v>
      </c>
      <c r="B4395" t="s">
        <v>64</v>
      </c>
      <c r="C4395">
        <v>0.01</v>
      </c>
    </row>
    <row r="4396" spans="1:3" x14ac:dyDescent="0.3">
      <c r="A4396" t="s">
        <v>5971</v>
      </c>
      <c r="B4396" t="s">
        <v>40</v>
      </c>
      <c r="C4396">
        <v>0.1</v>
      </c>
    </row>
    <row r="4397" spans="1:3" x14ac:dyDescent="0.3">
      <c r="A4397" t="s">
        <v>2673</v>
      </c>
      <c r="B4397" t="s">
        <v>225</v>
      </c>
      <c r="C4397">
        <v>0.06</v>
      </c>
    </row>
    <row r="4398" spans="1:3" x14ac:dyDescent="0.3">
      <c r="A4398" t="s">
        <v>804</v>
      </c>
      <c r="B4398" t="s">
        <v>225</v>
      </c>
      <c r="C4398">
        <v>0.02</v>
      </c>
    </row>
    <row r="4399" spans="1:3" x14ac:dyDescent="0.3">
      <c r="A4399" t="s">
        <v>12175</v>
      </c>
      <c r="B4399" t="s">
        <v>87</v>
      </c>
      <c r="C4399">
        <v>0</v>
      </c>
    </row>
    <row r="4400" spans="1:3" x14ac:dyDescent="0.3">
      <c r="A4400" t="s">
        <v>818</v>
      </c>
      <c r="B4400" t="s">
        <v>29</v>
      </c>
      <c r="C4400">
        <v>0.03</v>
      </c>
    </row>
    <row r="4401" spans="1:3" x14ac:dyDescent="0.3">
      <c r="A4401" t="s">
        <v>818</v>
      </c>
      <c r="B4401" t="s">
        <v>29</v>
      </c>
      <c r="C4401">
        <v>0.09</v>
      </c>
    </row>
    <row r="4402" spans="1:3" x14ac:dyDescent="0.3">
      <c r="A4402" t="s">
        <v>8107</v>
      </c>
      <c r="B4402" t="s">
        <v>87</v>
      </c>
      <c r="C4402">
        <v>0.04</v>
      </c>
    </row>
    <row r="4403" spans="1:3" x14ac:dyDescent="0.3">
      <c r="A4403" t="s">
        <v>11869</v>
      </c>
      <c r="B4403" t="s">
        <v>87</v>
      </c>
      <c r="C4403">
        <v>0.03</v>
      </c>
    </row>
    <row r="4404" spans="1:3" x14ac:dyDescent="0.3">
      <c r="A4404" t="s">
        <v>11869</v>
      </c>
      <c r="B4404" t="s">
        <v>87</v>
      </c>
      <c r="C4404">
        <v>0.05</v>
      </c>
    </row>
    <row r="4405" spans="1:3" x14ac:dyDescent="0.3">
      <c r="A4405" t="s">
        <v>4014</v>
      </c>
      <c r="B4405" t="s">
        <v>40</v>
      </c>
      <c r="C4405">
        <v>0.01</v>
      </c>
    </row>
    <row r="4406" spans="1:3" x14ac:dyDescent="0.3">
      <c r="A4406" t="s">
        <v>4014</v>
      </c>
      <c r="B4406" t="s">
        <v>40</v>
      </c>
      <c r="C4406">
        <v>0.05</v>
      </c>
    </row>
    <row r="4407" spans="1:3" x14ac:dyDescent="0.3">
      <c r="A4407" t="s">
        <v>4014</v>
      </c>
      <c r="B4407" t="s">
        <v>40</v>
      </c>
      <c r="C4407">
        <v>0.09</v>
      </c>
    </row>
    <row r="4408" spans="1:3" x14ac:dyDescent="0.3">
      <c r="A4408" t="s">
        <v>4014</v>
      </c>
      <c r="B4408" t="s">
        <v>40</v>
      </c>
      <c r="C4408">
        <v>0.1</v>
      </c>
    </row>
    <row r="4409" spans="1:3" x14ac:dyDescent="0.3">
      <c r="A4409" t="s">
        <v>14815</v>
      </c>
      <c r="B4409" t="s">
        <v>87</v>
      </c>
      <c r="C4409">
        <v>7.0000000000000007E-2</v>
      </c>
    </row>
    <row r="4410" spans="1:3" x14ac:dyDescent="0.3">
      <c r="A4410" t="s">
        <v>13184</v>
      </c>
      <c r="B4410" t="s">
        <v>53</v>
      </c>
      <c r="C4410">
        <v>0.04</v>
      </c>
    </row>
    <row r="4411" spans="1:3" x14ac:dyDescent="0.3">
      <c r="A4411" t="s">
        <v>13184</v>
      </c>
      <c r="B4411" t="s">
        <v>53</v>
      </c>
      <c r="C4411">
        <v>0.1</v>
      </c>
    </row>
    <row r="4412" spans="1:3" x14ac:dyDescent="0.3">
      <c r="A4412" t="s">
        <v>13184</v>
      </c>
      <c r="B4412" t="s">
        <v>87</v>
      </c>
      <c r="C4412">
        <v>0.04</v>
      </c>
    </row>
    <row r="4413" spans="1:3" x14ac:dyDescent="0.3">
      <c r="A4413" t="s">
        <v>13523</v>
      </c>
      <c r="B4413" t="s">
        <v>53</v>
      </c>
      <c r="C4413">
        <v>0.01</v>
      </c>
    </row>
    <row r="4414" spans="1:3" x14ac:dyDescent="0.3">
      <c r="A4414" t="s">
        <v>839</v>
      </c>
      <c r="B4414" t="s">
        <v>29</v>
      </c>
      <c r="C4414">
        <v>7.0000000000000007E-2</v>
      </c>
    </row>
    <row r="4415" spans="1:3" x14ac:dyDescent="0.3">
      <c r="A4415" t="s">
        <v>14055</v>
      </c>
      <c r="B4415" t="s">
        <v>40</v>
      </c>
      <c r="C4415">
        <v>0.02</v>
      </c>
    </row>
    <row r="4416" spans="1:3" x14ac:dyDescent="0.3">
      <c r="A4416" t="s">
        <v>8967</v>
      </c>
      <c r="B4416" t="s">
        <v>87</v>
      </c>
      <c r="C4416">
        <v>0.04</v>
      </c>
    </row>
    <row r="4417" spans="1:3" x14ac:dyDescent="0.3">
      <c r="A4417" t="s">
        <v>9259</v>
      </c>
      <c r="B4417" t="s">
        <v>29</v>
      </c>
      <c r="C4417">
        <v>0.08</v>
      </c>
    </row>
    <row r="4418" spans="1:3" x14ac:dyDescent="0.3">
      <c r="A4418" t="s">
        <v>5519</v>
      </c>
      <c r="B4418" t="s">
        <v>29</v>
      </c>
      <c r="C4418">
        <v>0</v>
      </c>
    </row>
    <row r="4419" spans="1:3" x14ac:dyDescent="0.3">
      <c r="A4419" t="s">
        <v>12285</v>
      </c>
      <c r="B4419" t="s">
        <v>53</v>
      </c>
      <c r="C4419">
        <v>0.06</v>
      </c>
    </row>
    <row r="4420" spans="1:3" x14ac:dyDescent="0.3">
      <c r="A4420" t="s">
        <v>12285</v>
      </c>
      <c r="B4420" t="s">
        <v>53</v>
      </c>
      <c r="C4420">
        <v>0.1</v>
      </c>
    </row>
    <row r="4421" spans="1:3" x14ac:dyDescent="0.3">
      <c r="A4421" t="s">
        <v>8722</v>
      </c>
      <c r="B4421" t="s">
        <v>40</v>
      </c>
      <c r="C4421">
        <v>0.03</v>
      </c>
    </row>
    <row r="4422" spans="1:3" x14ac:dyDescent="0.3">
      <c r="A4422" t="s">
        <v>14889</v>
      </c>
      <c r="B4422" t="s">
        <v>40</v>
      </c>
      <c r="C4422">
        <v>0.06</v>
      </c>
    </row>
    <row r="4423" spans="1:3" x14ac:dyDescent="0.3">
      <c r="A4423" t="s">
        <v>14889</v>
      </c>
      <c r="B4423" t="s">
        <v>87</v>
      </c>
      <c r="C4423">
        <v>0.06</v>
      </c>
    </row>
    <row r="4424" spans="1:3" x14ac:dyDescent="0.3">
      <c r="A4424" t="s">
        <v>972</v>
      </c>
      <c r="B4424" t="s">
        <v>40</v>
      </c>
      <c r="C4424">
        <v>0.02</v>
      </c>
    </row>
    <row r="4425" spans="1:3" x14ac:dyDescent="0.3">
      <c r="A4425" t="s">
        <v>10690</v>
      </c>
      <c r="B4425" t="s">
        <v>40</v>
      </c>
      <c r="C4425">
        <v>0</v>
      </c>
    </row>
    <row r="4426" spans="1:3" x14ac:dyDescent="0.3">
      <c r="A4426" t="s">
        <v>6367</v>
      </c>
      <c r="B4426" t="s">
        <v>225</v>
      </c>
      <c r="C4426">
        <v>0.03</v>
      </c>
    </row>
    <row r="4427" spans="1:3" x14ac:dyDescent="0.3">
      <c r="A4427" t="s">
        <v>6367</v>
      </c>
      <c r="B4427" t="s">
        <v>225</v>
      </c>
      <c r="C4427">
        <v>0.06</v>
      </c>
    </row>
    <row r="4428" spans="1:3" x14ac:dyDescent="0.3">
      <c r="A4428" t="s">
        <v>6889</v>
      </c>
      <c r="B4428" t="s">
        <v>225</v>
      </c>
      <c r="C4428">
        <v>0.06</v>
      </c>
    </row>
    <row r="4429" spans="1:3" x14ac:dyDescent="0.3">
      <c r="A4429" t="s">
        <v>14455</v>
      </c>
      <c r="B4429" t="s">
        <v>40</v>
      </c>
      <c r="C4429">
        <v>0.06</v>
      </c>
    </row>
    <row r="4430" spans="1:3" x14ac:dyDescent="0.3">
      <c r="A4430" t="s">
        <v>14455</v>
      </c>
      <c r="B4430" t="s">
        <v>225</v>
      </c>
      <c r="C4430">
        <v>0.02</v>
      </c>
    </row>
    <row r="4431" spans="1:3" x14ac:dyDescent="0.3">
      <c r="A4431" t="s">
        <v>868</v>
      </c>
      <c r="B4431" t="s">
        <v>29</v>
      </c>
      <c r="C4431">
        <v>0.05</v>
      </c>
    </row>
    <row r="4432" spans="1:3" x14ac:dyDescent="0.3">
      <c r="A4432" t="s">
        <v>11036</v>
      </c>
      <c r="B4432" t="s">
        <v>40</v>
      </c>
      <c r="C4432">
        <v>0.01</v>
      </c>
    </row>
    <row r="4433" spans="1:3" x14ac:dyDescent="0.3">
      <c r="A4433" t="s">
        <v>1875</v>
      </c>
      <c r="B4433" t="s">
        <v>225</v>
      </c>
      <c r="C4433">
        <v>0.09</v>
      </c>
    </row>
    <row r="4434" spans="1:3" x14ac:dyDescent="0.3">
      <c r="A4434" t="s">
        <v>6521</v>
      </c>
      <c r="B4434" t="s">
        <v>225</v>
      </c>
      <c r="C4434">
        <v>0.03</v>
      </c>
    </row>
    <row r="4435" spans="1:3" x14ac:dyDescent="0.3">
      <c r="A4435" t="s">
        <v>11520</v>
      </c>
      <c r="B4435" t="s">
        <v>29</v>
      </c>
      <c r="C4435">
        <v>0.02</v>
      </c>
    </row>
    <row r="4436" spans="1:3" x14ac:dyDescent="0.3">
      <c r="A4436" t="s">
        <v>11520</v>
      </c>
      <c r="B4436" t="s">
        <v>29</v>
      </c>
      <c r="C4436">
        <v>0.04</v>
      </c>
    </row>
    <row r="4437" spans="1:3" x14ac:dyDescent="0.3">
      <c r="A4437" t="s">
        <v>887</v>
      </c>
      <c r="B4437" t="s">
        <v>64</v>
      </c>
      <c r="C4437">
        <v>0.09</v>
      </c>
    </row>
    <row r="4438" spans="1:3" x14ac:dyDescent="0.3">
      <c r="A4438" t="s">
        <v>6607</v>
      </c>
      <c r="B4438" t="s">
        <v>64</v>
      </c>
      <c r="C4438">
        <v>0</v>
      </c>
    </row>
    <row r="4439" spans="1:3" x14ac:dyDescent="0.3">
      <c r="A4439" t="s">
        <v>4543</v>
      </c>
      <c r="B4439" t="s">
        <v>53</v>
      </c>
      <c r="C4439">
        <v>0.1</v>
      </c>
    </row>
    <row r="4440" spans="1:3" x14ac:dyDescent="0.3">
      <c r="A4440" t="s">
        <v>4482</v>
      </c>
      <c r="B4440" t="s">
        <v>53</v>
      </c>
      <c r="C4440">
        <v>0.05</v>
      </c>
    </row>
    <row r="4441" spans="1:3" x14ac:dyDescent="0.3">
      <c r="A4441" t="s">
        <v>899</v>
      </c>
      <c r="B4441" t="s">
        <v>87</v>
      </c>
      <c r="C4441">
        <v>0.08</v>
      </c>
    </row>
    <row r="4442" spans="1:3" x14ac:dyDescent="0.3">
      <c r="A4442" t="s">
        <v>10000</v>
      </c>
      <c r="B4442" t="s">
        <v>87</v>
      </c>
      <c r="C4442">
        <v>0.06</v>
      </c>
    </row>
    <row r="4443" spans="1:3" x14ac:dyDescent="0.3">
      <c r="A4443" t="s">
        <v>3076</v>
      </c>
      <c r="B4443" t="s">
        <v>225</v>
      </c>
      <c r="C4443">
        <v>0.04</v>
      </c>
    </row>
    <row r="4444" spans="1:3" x14ac:dyDescent="0.3">
      <c r="A4444" t="s">
        <v>15654</v>
      </c>
      <c r="B4444" t="s">
        <v>87</v>
      </c>
      <c r="C4444">
        <v>0.01</v>
      </c>
    </row>
    <row r="4445" spans="1:3" x14ac:dyDescent="0.3">
      <c r="A4445" t="s">
        <v>15654</v>
      </c>
      <c r="B4445" t="s">
        <v>87</v>
      </c>
      <c r="C4445">
        <v>0.09</v>
      </c>
    </row>
    <row r="4446" spans="1:3" x14ac:dyDescent="0.3">
      <c r="A4446" t="s">
        <v>6457</v>
      </c>
      <c r="B4446" t="s">
        <v>64</v>
      </c>
      <c r="C4446">
        <v>0.01</v>
      </c>
    </row>
    <row r="4447" spans="1:3" x14ac:dyDescent="0.3">
      <c r="A4447" t="s">
        <v>6457</v>
      </c>
      <c r="B4447" t="s">
        <v>64</v>
      </c>
      <c r="C4447">
        <v>0.09</v>
      </c>
    </row>
    <row r="4448" spans="1:3" x14ac:dyDescent="0.3">
      <c r="A4448" t="s">
        <v>8894</v>
      </c>
      <c r="B4448" t="s">
        <v>29</v>
      </c>
      <c r="C4448">
        <v>0.05</v>
      </c>
    </row>
    <row r="4449" spans="1:3" x14ac:dyDescent="0.3">
      <c r="A4449" t="s">
        <v>7401</v>
      </c>
      <c r="B4449" t="s">
        <v>64</v>
      </c>
      <c r="C4449">
        <v>0.05</v>
      </c>
    </row>
    <row r="4450" spans="1:3" x14ac:dyDescent="0.3">
      <c r="A4450" t="s">
        <v>7401</v>
      </c>
      <c r="B4450" t="s">
        <v>64</v>
      </c>
      <c r="C4450">
        <v>0.09</v>
      </c>
    </row>
    <row r="4451" spans="1:3" x14ac:dyDescent="0.3">
      <c r="A4451" t="s">
        <v>14735</v>
      </c>
      <c r="B4451" t="s">
        <v>29</v>
      </c>
      <c r="C4451">
        <v>0.03</v>
      </c>
    </row>
    <row r="4452" spans="1:3" x14ac:dyDescent="0.3">
      <c r="A4452" t="s">
        <v>916</v>
      </c>
      <c r="B4452" t="s">
        <v>64</v>
      </c>
      <c r="C4452">
        <v>0.03</v>
      </c>
    </row>
    <row r="4453" spans="1:3" x14ac:dyDescent="0.3">
      <c r="A4453" t="s">
        <v>920</v>
      </c>
      <c r="B4453" t="s">
        <v>40</v>
      </c>
      <c r="C4453">
        <v>0.1</v>
      </c>
    </row>
    <row r="4454" spans="1:3" x14ac:dyDescent="0.3">
      <c r="A4454" t="s">
        <v>920</v>
      </c>
      <c r="B4454" t="s">
        <v>64</v>
      </c>
      <c r="C4454">
        <v>0.1</v>
      </c>
    </row>
    <row r="4455" spans="1:3" x14ac:dyDescent="0.3">
      <c r="A4455" t="s">
        <v>5704</v>
      </c>
      <c r="B4455" t="s">
        <v>64</v>
      </c>
      <c r="C4455">
        <v>0.08</v>
      </c>
    </row>
    <row r="4456" spans="1:3" x14ac:dyDescent="0.3">
      <c r="A4456" t="s">
        <v>5704</v>
      </c>
      <c r="B4456" t="s">
        <v>29</v>
      </c>
      <c r="C4456">
        <v>0.1</v>
      </c>
    </row>
    <row r="4457" spans="1:3" x14ac:dyDescent="0.3">
      <c r="A4457" t="s">
        <v>9205</v>
      </c>
      <c r="B4457" t="s">
        <v>40</v>
      </c>
      <c r="C4457">
        <v>0.01</v>
      </c>
    </row>
    <row r="4458" spans="1:3" x14ac:dyDescent="0.3">
      <c r="A4458" t="s">
        <v>9205</v>
      </c>
      <c r="B4458" t="s">
        <v>40</v>
      </c>
      <c r="C4458">
        <v>0.1</v>
      </c>
    </row>
    <row r="4459" spans="1:3" x14ac:dyDescent="0.3">
      <c r="A4459" t="s">
        <v>936</v>
      </c>
      <c r="B4459" t="s">
        <v>64</v>
      </c>
      <c r="C4459">
        <v>0.08</v>
      </c>
    </row>
    <row r="4460" spans="1:3" x14ac:dyDescent="0.3">
      <c r="A4460" t="s">
        <v>936</v>
      </c>
      <c r="B4460" t="s">
        <v>64</v>
      </c>
      <c r="C4460">
        <v>0.09</v>
      </c>
    </row>
    <row r="4461" spans="1:3" x14ac:dyDescent="0.3">
      <c r="A4461" t="s">
        <v>12594</v>
      </c>
      <c r="B4461" t="s">
        <v>40</v>
      </c>
      <c r="C4461">
        <v>0.03</v>
      </c>
    </row>
    <row r="4462" spans="1:3" x14ac:dyDescent="0.3">
      <c r="A4462" t="s">
        <v>943</v>
      </c>
      <c r="B4462" t="s">
        <v>87</v>
      </c>
      <c r="C4462">
        <v>0.02</v>
      </c>
    </row>
    <row r="4463" spans="1:3" x14ac:dyDescent="0.3">
      <c r="A4463" t="s">
        <v>1088</v>
      </c>
      <c r="B4463" t="s">
        <v>40</v>
      </c>
      <c r="C4463">
        <v>0.03</v>
      </c>
    </row>
    <row r="4464" spans="1:3" x14ac:dyDescent="0.3">
      <c r="A4464" t="s">
        <v>12228</v>
      </c>
      <c r="B4464" t="s">
        <v>64</v>
      </c>
      <c r="C4464">
        <v>0.06</v>
      </c>
    </row>
    <row r="4465" spans="1:3" x14ac:dyDescent="0.3">
      <c r="A4465" t="s">
        <v>14763</v>
      </c>
      <c r="B4465" t="s">
        <v>64</v>
      </c>
      <c r="C4465">
        <v>0.05</v>
      </c>
    </row>
    <row r="4466" spans="1:3" x14ac:dyDescent="0.3">
      <c r="A4466" t="s">
        <v>14763</v>
      </c>
      <c r="B4466" t="s">
        <v>64</v>
      </c>
      <c r="C4466">
        <v>0.06</v>
      </c>
    </row>
    <row r="4467" spans="1:3" x14ac:dyDescent="0.3">
      <c r="A4467" t="s">
        <v>6809</v>
      </c>
      <c r="B4467" t="s">
        <v>40</v>
      </c>
      <c r="C4467">
        <v>0.04</v>
      </c>
    </row>
    <row r="4468" spans="1:3" x14ac:dyDescent="0.3">
      <c r="A4468" t="s">
        <v>6809</v>
      </c>
      <c r="B4468" t="s">
        <v>40</v>
      </c>
      <c r="C4468">
        <v>0.08</v>
      </c>
    </row>
    <row r="4469" spans="1:3" x14ac:dyDescent="0.3">
      <c r="A4469" t="s">
        <v>13966</v>
      </c>
      <c r="B4469" t="s">
        <v>40</v>
      </c>
      <c r="C4469">
        <v>7.0000000000000007E-2</v>
      </c>
    </row>
    <row r="4470" spans="1:3" x14ac:dyDescent="0.3">
      <c r="A4470" t="s">
        <v>13966</v>
      </c>
      <c r="B4470" t="s">
        <v>64</v>
      </c>
      <c r="C4470">
        <v>0.01</v>
      </c>
    </row>
    <row r="4471" spans="1:3" x14ac:dyDescent="0.3">
      <c r="A4471" t="s">
        <v>5338</v>
      </c>
      <c r="B4471" t="s">
        <v>40</v>
      </c>
      <c r="C4471">
        <v>0.1</v>
      </c>
    </row>
    <row r="4472" spans="1:3" x14ac:dyDescent="0.3">
      <c r="A4472" t="s">
        <v>5338</v>
      </c>
      <c r="B4472" t="s">
        <v>87</v>
      </c>
      <c r="C4472">
        <v>0.05</v>
      </c>
    </row>
    <row r="4473" spans="1:3" x14ac:dyDescent="0.3">
      <c r="A4473" t="s">
        <v>5338</v>
      </c>
      <c r="B4473" t="s">
        <v>87</v>
      </c>
      <c r="C4473">
        <v>7.0000000000000007E-2</v>
      </c>
    </row>
    <row r="4474" spans="1:3" x14ac:dyDescent="0.3">
      <c r="A4474" t="s">
        <v>5338</v>
      </c>
      <c r="B4474" t="s">
        <v>87</v>
      </c>
      <c r="C4474">
        <v>0.09</v>
      </c>
    </row>
    <row r="4475" spans="1:3" x14ac:dyDescent="0.3">
      <c r="A4475" t="s">
        <v>3519</v>
      </c>
      <c r="B4475" t="s">
        <v>29</v>
      </c>
      <c r="C4475">
        <v>0.05</v>
      </c>
    </row>
    <row r="4476" spans="1:3" x14ac:dyDescent="0.3">
      <c r="A4476" t="s">
        <v>11817</v>
      </c>
      <c r="B4476" t="s">
        <v>40</v>
      </c>
      <c r="C4476">
        <v>0</v>
      </c>
    </row>
    <row r="4477" spans="1:3" x14ac:dyDescent="0.3">
      <c r="A4477" t="s">
        <v>7333</v>
      </c>
      <c r="B4477" t="s">
        <v>225</v>
      </c>
      <c r="C4477">
        <v>0.01</v>
      </c>
    </row>
    <row r="4478" spans="1:3" x14ac:dyDescent="0.3">
      <c r="A4478" t="s">
        <v>990</v>
      </c>
      <c r="B4478" t="s">
        <v>87</v>
      </c>
      <c r="C4478">
        <v>0.06</v>
      </c>
    </row>
    <row r="4479" spans="1:3" x14ac:dyDescent="0.3">
      <c r="A4479" t="s">
        <v>14061</v>
      </c>
      <c r="B4479" t="s">
        <v>29</v>
      </c>
      <c r="C4479">
        <v>7.0000000000000007E-2</v>
      </c>
    </row>
    <row r="4480" spans="1:3" x14ac:dyDescent="0.3">
      <c r="A4480" t="s">
        <v>14061</v>
      </c>
      <c r="B4480" t="s">
        <v>29</v>
      </c>
      <c r="C4480">
        <v>0.08</v>
      </c>
    </row>
    <row r="4481" spans="1:3" x14ac:dyDescent="0.3">
      <c r="A4481" t="s">
        <v>9095</v>
      </c>
      <c r="B4481" t="s">
        <v>87</v>
      </c>
      <c r="C4481">
        <v>0.09</v>
      </c>
    </row>
    <row r="4482" spans="1:3" x14ac:dyDescent="0.3">
      <c r="A4482" t="s">
        <v>9601</v>
      </c>
      <c r="B4482" t="s">
        <v>87</v>
      </c>
      <c r="C4482">
        <v>0.09</v>
      </c>
    </row>
    <row r="4483" spans="1:3" x14ac:dyDescent="0.3">
      <c r="A4483" t="s">
        <v>15589</v>
      </c>
      <c r="B4483" t="s">
        <v>40</v>
      </c>
      <c r="C4483">
        <v>0.01</v>
      </c>
    </row>
    <row r="4484" spans="1:3" x14ac:dyDescent="0.3">
      <c r="A4484" t="s">
        <v>15589</v>
      </c>
      <c r="B4484" t="s">
        <v>40</v>
      </c>
      <c r="C4484">
        <v>0.1</v>
      </c>
    </row>
    <row r="4485" spans="1:3" x14ac:dyDescent="0.3">
      <c r="A4485" t="s">
        <v>9843</v>
      </c>
      <c r="B4485" t="s">
        <v>40</v>
      </c>
      <c r="C4485">
        <v>0.05</v>
      </c>
    </row>
    <row r="4486" spans="1:3" x14ac:dyDescent="0.3">
      <c r="A4486" t="s">
        <v>14899</v>
      </c>
      <c r="B4486" t="s">
        <v>87</v>
      </c>
      <c r="C4486">
        <v>0.09</v>
      </c>
    </row>
    <row r="4487" spans="1:3" x14ac:dyDescent="0.3">
      <c r="A4487" t="s">
        <v>14899</v>
      </c>
      <c r="B4487" t="s">
        <v>87</v>
      </c>
      <c r="C4487">
        <v>0.1</v>
      </c>
    </row>
    <row r="4488" spans="1:3" x14ac:dyDescent="0.3">
      <c r="A4488" t="s">
        <v>8146</v>
      </c>
      <c r="B4488" t="s">
        <v>40</v>
      </c>
      <c r="C4488">
        <v>0.06</v>
      </c>
    </row>
    <row r="4489" spans="1:3" x14ac:dyDescent="0.3">
      <c r="A4489" t="s">
        <v>14354</v>
      </c>
      <c r="B4489" t="s">
        <v>87</v>
      </c>
      <c r="C4489">
        <v>0</v>
      </c>
    </row>
    <row r="4490" spans="1:3" x14ac:dyDescent="0.3">
      <c r="A4490" t="s">
        <v>14354</v>
      </c>
      <c r="B4490" t="s">
        <v>87</v>
      </c>
      <c r="C4490">
        <v>0.02</v>
      </c>
    </row>
    <row r="4491" spans="1:3" x14ac:dyDescent="0.3">
      <c r="A4491" t="s">
        <v>4018</v>
      </c>
      <c r="B4491" t="s">
        <v>40</v>
      </c>
      <c r="C4491">
        <v>0.03</v>
      </c>
    </row>
    <row r="4492" spans="1:3" x14ac:dyDescent="0.3">
      <c r="A4492" t="s">
        <v>4018</v>
      </c>
      <c r="B4492" t="s">
        <v>40</v>
      </c>
      <c r="C4492">
        <v>0.06</v>
      </c>
    </row>
    <row r="4493" spans="1:3" x14ac:dyDescent="0.3">
      <c r="A4493" t="s">
        <v>4018</v>
      </c>
      <c r="B4493" t="s">
        <v>40</v>
      </c>
      <c r="C4493">
        <v>7.0000000000000007E-2</v>
      </c>
    </row>
    <row r="4494" spans="1:3" x14ac:dyDescent="0.3">
      <c r="A4494" t="s">
        <v>13436</v>
      </c>
      <c r="B4494" t="s">
        <v>64</v>
      </c>
      <c r="C4494">
        <v>7.0000000000000007E-2</v>
      </c>
    </row>
    <row r="4495" spans="1:3" x14ac:dyDescent="0.3">
      <c r="A4495" t="s">
        <v>1019</v>
      </c>
      <c r="B4495" t="s">
        <v>64</v>
      </c>
      <c r="C4495">
        <v>0.02</v>
      </c>
    </row>
    <row r="4496" spans="1:3" x14ac:dyDescent="0.3">
      <c r="A4496" t="s">
        <v>1019</v>
      </c>
      <c r="B4496" t="s">
        <v>64</v>
      </c>
      <c r="C4496">
        <v>0.06</v>
      </c>
    </row>
    <row r="4497" spans="1:3" x14ac:dyDescent="0.3">
      <c r="A4497" t="s">
        <v>15242</v>
      </c>
      <c r="B4497" t="s">
        <v>40</v>
      </c>
      <c r="C4497">
        <v>0</v>
      </c>
    </row>
    <row r="4498" spans="1:3" x14ac:dyDescent="0.3">
      <c r="A4498" t="s">
        <v>15242</v>
      </c>
      <c r="B4498" t="s">
        <v>40</v>
      </c>
      <c r="C4498">
        <v>0.06</v>
      </c>
    </row>
    <row r="4499" spans="1:3" x14ac:dyDescent="0.3">
      <c r="A4499" t="s">
        <v>9514</v>
      </c>
      <c r="B4499" t="s">
        <v>53</v>
      </c>
      <c r="C4499">
        <v>0.02</v>
      </c>
    </row>
    <row r="4500" spans="1:3" x14ac:dyDescent="0.3">
      <c r="A4500" t="s">
        <v>14060</v>
      </c>
      <c r="B4500" t="s">
        <v>29</v>
      </c>
      <c r="C4500">
        <v>0.04</v>
      </c>
    </row>
    <row r="4501" spans="1:3" x14ac:dyDescent="0.3">
      <c r="A4501" t="s">
        <v>14060</v>
      </c>
      <c r="B4501" t="s">
        <v>29</v>
      </c>
      <c r="C4501">
        <v>0.06</v>
      </c>
    </row>
    <row r="4502" spans="1:3" x14ac:dyDescent="0.3">
      <c r="A4502" t="s">
        <v>14555</v>
      </c>
      <c r="B4502" t="s">
        <v>40</v>
      </c>
      <c r="C4502">
        <v>0.08</v>
      </c>
    </row>
    <row r="4503" spans="1:3" x14ac:dyDescent="0.3">
      <c r="A4503" t="s">
        <v>14555</v>
      </c>
      <c r="B4503" t="s">
        <v>40</v>
      </c>
      <c r="C4503">
        <v>0.09</v>
      </c>
    </row>
    <row r="4504" spans="1:3" x14ac:dyDescent="0.3">
      <c r="A4504" t="s">
        <v>12281</v>
      </c>
      <c r="B4504" t="s">
        <v>53</v>
      </c>
      <c r="C4504">
        <v>0.06</v>
      </c>
    </row>
    <row r="4505" spans="1:3" x14ac:dyDescent="0.3">
      <c r="A4505" t="s">
        <v>10707</v>
      </c>
      <c r="B4505" t="s">
        <v>29</v>
      </c>
      <c r="C4505">
        <v>0</v>
      </c>
    </row>
    <row r="4506" spans="1:3" x14ac:dyDescent="0.3">
      <c r="A4506" t="s">
        <v>15382</v>
      </c>
      <c r="B4506" t="s">
        <v>29</v>
      </c>
      <c r="C4506">
        <v>7.0000000000000007E-2</v>
      </c>
    </row>
    <row r="4507" spans="1:3" x14ac:dyDescent="0.3">
      <c r="A4507" t="s">
        <v>5098</v>
      </c>
      <c r="B4507" t="s">
        <v>87</v>
      </c>
      <c r="C4507">
        <v>0</v>
      </c>
    </row>
    <row r="4508" spans="1:3" x14ac:dyDescent="0.3">
      <c r="A4508" t="s">
        <v>1057</v>
      </c>
      <c r="B4508" t="s">
        <v>29</v>
      </c>
      <c r="C4508">
        <v>0.02</v>
      </c>
    </row>
    <row r="4509" spans="1:3" x14ac:dyDescent="0.3">
      <c r="A4509" t="s">
        <v>8902</v>
      </c>
      <c r="B4509" t="s">
        <v>40</v>
      </c>
      <c r="C4509">
        <v>0.01</v>
      </c>
    </row>
    <row r="4510" spans="1:3" x14ac:dyDescent="0.3">
      <c r="A4510" t="s">
        <v>8902</v>
      </c>
      <c r="B4510" t="s">
        <v>64</v>
      </c>
      <c r="C4510">
        <v>0.03</v>
      </c>
    </row>
    <row r="4511" spans="1:3" x14ac:dyDescent="0.3">
      <c r="A4511" t="s">
        <v>2637</v>
      </c>
      <c r="B4511" t="s">
        <v>53</v>
      </c>
      <c r="C4511">
        <v>0.06</v>
      </c>
    </row>
    <row r="4512" spans="1:3" x14ac:dyDescent="0.3">
      <c r="A4512" t="s">
        <v>7186</v>
      </c>
      <c r="B4512" t="s">
        <v>40</v>
      </c>
      <c r="C4512">
        <v>0.03</v>
      </c>
    </row>
    <row r="4513" spans="1:3" x14ac:dyDescent="0.3">
      <c r="A4513" t="s">
        <v>7186</v>
      </c>
      <c r="B4513" t="s">
        <v>40</v>
      </c>
      <c r="C4513">
        <v>7.0000000000000007E-2</v>
      </c>
    </row>
    <row r="4514" spans="1:3" x14ac:dyDescent="0.3">
      <c r="A4514" t="s">
        <v>1068</v>
      </c>
      <c r="B4514" t="s">
        <v>53</v>
      </c>
      <c r="C4514">
        <v>7.0000000000000007E-2</v>
      </c>
    </row>
    <row r="4515" spans="1:3" x14ac:dyDescent="0.3">
      <c r="A4515" t="s">
        <v>4226</v>
      </c>
      <c r="B4515" t="s">
        <v>40</v>
      </c>
      <c r="C4515">
        <v>0.05</v>
      </c>
    </row>
    <row r="4516" spans="1:3" x14ac:dyDescent="0.3">
      <c r="A4516" t="s">
        <v>9847</v>
      </c>
      <c r="B4516" t="s">
        <v>40</v>
      </c>
      <c r="C4516">
        <v>0.09</v>
      </c>
    </row>
    <row r="4517" spans="1:3" x14ac:dyDescent="0.3">
      <c r="A4517" t="s">
        <v>9847</v>
      </c>
      <c r="B4517" t="s">
        <v>225</v>
      </c>
      <c r="C4517">
        <v>0.04</v>
      </c>
    </row>
    <row r="4518" spans="1:3" x14ac:dyDescent="0.3">
      <c r="A4518" t="s">
        <v>9847</v>
      </c>
      <c r="B4518" t="s">
        <v>225</v>
      </c>
      <c r="C4518">
        <v>7.0000000000000007E-2</v>
      </c>
    </row>
    <row r="4519" spans="1:3" x14ac:dyDescent="0.3">
      <c r="A4519" t="s">
        <v>3677</v>
      </c>
      <c r="B4519" t="s">
        <v>225</v>
      </c>
      <c r="C4519">
        <v>0.01</v>
      </c>
    </row>
    <row r="4520" spans="1:3" x14ac:dyDescent="0.3">
      <c r="A4520" t="s">
        <v>1725</v>
      </c>
      <c r="B4520" t="s">
        <v>40</v>
      </c>
      <c r="C4520">
        <v>0.06</v>
      </c>
    </row>
    <row r="4521" spans="1:3" x14ac:dyDescent="0.3">
      <c r="A4521" t="s">
        <v>1725</v>
      </c>
      <c r="B4521" t="s">
        <v>225</v>
      </c>
      <c r="C4521">
        <v>0.01</v>
      </c>
    </row>
    <row r="4522" spans="1:3" x14ac:dyDescent="0.3">
      <c r="A4522" t="s">
        <v>14110</v>
      </c>
      <c r="B4522" t="s">
        <v>64</v>
      </c>
      <c r="C4522">
        <v>0.09</v>
      </c>
    </row>
    <row r="4523" spans="1:3" x14ac:dyDescent="0.3">
      <c r="A4523" t="s">
        <v>13313</v>
      </c>
      <c r="B4523" t="s">
        <v>64</v>
      </c>
      <c r="C4523">
        <v>0.05</v>
      </c>
    </row>
    <row r="4524" spans="1:3" x14ac:dyDescent="0.3">
      <c r="A4524" t="s">
        <v>5449</v>
      </c>
      <c r="B4524" t="s">
        <v>53</v>
      </c>
      <c r="C4524">
        <v>0.08</v>
      </c>
    </row>
    <row r="4525" spans="1:3" x14ac:dyDescent="0.3">
      <c r="A4525" t="s">
        <v>3599</v>
      </c>
      <c r="B4525" t="s">
        <v>87</v>
      </c>
      <c r="C4525">
        <v>0.05</v>
      </c>
    </row>
    <row r="4526" spans="1:3" x14ac:dyDescent="0.3">
      <c r="A4526" t="s">
        <v>3599</v>
      </c>
      <c r="B4526" t="s">
        <v>87</v>
      </c>
      <c r="C4526">
        <v>0.1</v>
      </c>
    </row>
    <row r="4527" spans="1:3" x14ac:dyDescent="0.3">
      <c r="A4527" t="s">
        <v>13056</v>
      </c>
      <c r="B4527" t="s">
        <v>87</v>
      </c>
      <c r="C4527">
        <v>0.1</v>
      </c>
    </row>
    <row r="4528" spans="1:3" x14ac:dyDescent="0.3">
      <c r="A4528" t="s">
        <v>4680</v>
      </c>
      <c r="B4528" t="s">
        <v>225</v>
      </c>
      <c r="C4528">
        <v>0.02</v>
      </c>
    </row>
    <row r="4529" spans="1:3" x14ac:dyDescent="0.3">
      <c r="A4529" t="s">
        <v>4680</v>
      </c>
      <c r="B4529" t="s">
        <v>225</v>
      </c>
      <c r="C4529">
        <v>0.03</v>
      </c>
    </row>
    <row r="4530" spans="1:3" x14ac:dyDescent="0.3">
      <c r="A4530" t="s">
        <v>15146</v>
      </c>
      <c r="B4530" t="s">
        <v>87</v>
      </c>
      <c r="C4530">
        <v>0.03</v>
      </c>
    </row>
    <row r="4531" spans="1:3" x14ac:dyDescent="0.3">
      <c r="A4531" t="s">
        <v>15146</v>
      </c>
      <c r="B4531" t="s">
        <v>87</v>
      </c>
      <c r="C4531">
        <v>0.1</v>
      </c>
    </row>
    <row r="4532" spans="1:3" x14ac:dyDescent="0.3">
      <c r="A4532" t="s">
        <v>7899</v>
      </c>
      <c r="B4532" t="s">
        <v>87</v>
      </c>
      <c r="C4532">
        <v>7.0000000000000007E-2</v>
      </c>
    </row>
    <row r="4533" spans="1:3" x14ac:dyDescent="0.3">
      <c r="A4533" t="s">
        <v>5458</v>
      </c>
      <c r="B4533" t="s">
        <v>40</v>
      </c>
      <c r="C4533">
        <v>0.04</v>
      </c>
    </row>
    <row r="4534" spans="1:3" x14ac:dyDescent="0.3">
      <c r="A4534" t="s">
        <v>15083</v>
      </c>
      <c r="B4534" t="s">
        <v>29</v>
      </c>
      <c r="C4534">
        <v>0</v>
      </c>
    </row>
    <row r="4535" spans="1:3" x14ac:dyDescent="0.3">
      <c r="A4535" t="s">
        <v>15083</v>
      </c>
      <c r="B4535" t="s">
        <v>29</v>
      </c>
      <c r="C4535">
        <v>0.03</v>
      </c>
    </row>
    <row r="4536" spans="1:3" x14ac:dyDescent="0.3">
      <c r="A4536" t="s">
        <v>1139</v>
      </c>
      <c r="B4536" t="s">
        <v>225</v>
      </c>
      <c r="C4536">
        <v>7.0000000000000007E-2</v>
      </c>
    </row>
    <row r="4537" spans="1:3" x14ac:dyDescent="0.3">
      <c r="A4537" t="s">
        <v>14040</v>
      </c>
      <c r="B4537" t="s">
        <v>29</v>
      </c>
      <c r="C4537">
        <v>0.03</v>
      </c>
    </row>
    <row r="4538" spans="1:3" x14ac:dyDescent="0.3">
      <c r="A4538" t="s">
        <v>12894</v>
      </c>
      <c r="B4538" t="s">
        <v>225</v>
      </c>
      <c r="C4538">
        <v>0.05</v>
      </c>
    </row>
    <row r="4539" spans="1:3" x14ac:dyDescent="0.3">
      <c r="A4539" t="s">
        <v>13540</v>
      </c>
      <c r="B4539" t="s">
        <v>29</v>
      </c>
      <c r="C4539">
        <v>7.0000000000000007E-2</v>
      </c>
    </row>
    <row r="4540" spans="1:3" x14ac:dyDescent="0.3">
      <c r="A4540" t="s">
        <v>11620</v>
      </c>
      <c r="B4540" t="s">
        <v>225</v>
      </c>
      <c r="C4540">
        <v>0.01</v>
      </c>
    </row>
    <row r="4541" spans="1:3" x14ac:dyDescent="0.3">
      <c r="A4541" t="s">
        <v>15540</v>
      </c>
      <c r="B4541" t="s">
        <v>53</v>
      </c>
      <c r="C4541">
        <v>0.03</v>
      </c>
    </row>
    <row r="4542" spans="1:3" x14ac:dyDescent="0.3">
      <c r="A4542" t="s">
        <v>4253</v>
      </c>
      <c r="B4542" t="s">
        <v>40</v>
      </c>
      <c r="C4542">
        <v>0.04</v>
      </c>
    </row>
    <row r="4543" spans="1:3" x14ac:dyDescent="0.3">
      <c r="A4543" t="s">
        <v>5557</v>
      </c>
      <c r="B4543" t="s">
        <v>40</v>
      </c>
      <c r="C4543">
        <v>0.06</v>
      </c>
    </row>
    <row r="4544" spans="1:3" x14ac:dyDescent="0.3">
      <c r="A4544" t="s">
        <v>9312</v>
      </c>
      <c r="B4544" t="s">
        <v>87</v>
      </c>
      <c r="C4544">
        <v>0.02</v>
      </c>
    </row>
    <row r="4545" spans="1:3" x14ac:dyDescent="0.3">
      <c r="A4545" t="s">
        <v>9312</v>
      </c>
      <c r="B4545" t="s">
        <v>87</v>
      </c>
      <c r="C4545">
        <v>0.04</v>
      </c>
    </row>
    <row r="4546" spans="1:3" x14ac:dyDescent="0.3">
      <c r="A4546" t="s">
        <v>9312</v>
      </c>
      <c r="B4546" t="s">
        <v>87</v>
      </c>
      <c r="C4546">
        <v>7.0000000000000007E-2</v>
      </c>
    </row>
    <row r="4547" spans="1:3" x14ac:dyDescent="0.3">
      <c r="A4547" t="s">
        <v>13668</v>
      </c>
      <c r="B4547" t="s">
        <v>225</v>
      </c>
      <c r="C4547">
        <v>0.02</v>
      </c>
    </row>
    <row r="4548" spans="1:3" x14ac:dyDescent="0.3">
      <c r="A4548" t="s">
        <v>11874</v>
      </c>
      <c r="B4548" t="s">
        <v>225</v>
      </c>
      <c r="C4548">
        <v>0.02</v>
      </c>
    </row>
    <row r="4549" spans="1:3" x14ac:dyDescent="0.3">
      <c r="A4549" t="s">
        <v>15487</v>
      </c>
      <c r="B4549" t="s">
        <v>29</v>
      </c>
      <c r="C4549">
        <v>0.04</v>
      </c>
    </row>
    <row r="4550" spans="1:3" x14ac:dyDescent="0.3">
      <c r="A4550" t="s">
        <v>14168</v>
      </c>
      <c r="B4550" t="s">
        <v>64</v>
      </c>
      <c r="C4550">
        <v>0.04</v>
      </c>
    </row>
    <row r="4551" spans="1:3" x14ac:dyDescent="0.3">
      <c r="A4551" t="s">
        <v>14168</v>
      </c>
      <c r="B4551" t="s">
        <v>64</v>
      </c>
      <c r="C4551">
        <v>0.05</v>
      </c>
    </row>
    <row r="4552" spans="1:3" x14ac:dyDescent="0.3">
      <c r="A4552" t="s">
        <v>2552</v>
      </c>
      <c r="B4552" t="s">
        <v>225</v>
      </c>
      <c r="C4552">
        <v>0.04</v>
      </c>
    </row>
    <row r="4553" spans="1:3" x14ac:dyDescent="0.3">
      <c r="A4553" t="s">
        <v>4931</v>
      </c>
      <c r="B4553" t="s">
        <v>29</v>
      </c>
      <c r="C4553">
        <v>0.09</v>
      </c>
    </row>
    <row r="4554" spans="1:3" x14ac:dyDescent="0.3">
      <c r="A4554" t="s">
        <v>10026</v>
      </c>
      <c r="B4554" t="s">
        <v>87</v>
      </c>
      <c r="C4554">
        <v>0.02</v>
      </c>
    </row>
    <row r="4555" spans="1:3" x14ac:dyDescent="0.3">
      <c r="A4555" t="s">
        <v>3997</v>
      </c>
      <c r="B4555" t="s">
        <v>64</v>
      </c>
      <c r="C4555">
        <v>0.04</v>
      </c>
    </row>
    <row r="4556" spans="1:3" x14ac:dyDescent="0.3">
      <c r="A4556" t="s">
        <v>3997</v>
      </c>
      <c r="B4556" t="s">
        <v>64</v>
      </c>
      <c r="C4556">
        <v>0.09</v>
      </c>
    </row>
    <row r="4557" spans="1:3" x14ac:dyDescent="0.3">
      <c r="A4557" t="s">
        <v>8406</v>
      </c>
      <c r="B4557" t="s">
        <v>64</v>
      </c>
      <c r="C4557">
        <v>0.1</v>
      </c>
    </row>
    <row r="4558" spans="1:3" x14ac:dyDescent="0.3">
      <c r="A4558" t="s">
        <v>8406</v>
      </c>
      <c r="B4558" t="s">
        <v>87</v>
      </c>
      <c r="C4558">
        <v>7.0000000000000007E-2</v>
      </c>
    </row>
    <row r="4559" spans="1:3" x14ac:dyDescent="0.3">
      <c r="A4559" t="s">
        <v>1180</v>
      </c>
      <c r="B4559" t="s">
        <v>53</v>
      </c>
      <c r="C4559">
        <v>0.08</v>
      </c>
    </row>
    <row r="4560" spans="1:3" x14ac:dyDescent="0.3">
      <c r="A4560" t="s">
        <v>6247</v>
      </c>
      <c r="B4560" t="s">
        <v>40</v>
      </c>
      <c r="C4560">
        <v>0.01</v>
      </c>
    </row>
    <row r="4561" spans="1:3" x14ac:dyDescent="0.3">
      <c r="A4561" t="s">
        <v>6247</v>
      </c>
      <c r="B4561" t="s">
        <v>40</v>
      </c>
      <c r="C4561">
        <v>0.05</v>
      </c>
    </row>
    <row r="4562" spans="1:3" x14ac:dyDescent="0.3">
      <c r="A4562" t="s">
        <v>6247</v>
      </c>
      <c r="B4562" t="s">
        <v>64</v>
      </c>
      <c r="C4562">
        <v>0.02</v>
      </c>
    </row>
    <row r="4563" spans="1:3" x14ac:dyDescent="0.3">
      <c r="A4563" t="s">
        <v>4679</v>
      </c>
      <c r="B4563" t="s">
        <v>64</v>
      </c>
      <c r="C4563">
        <v>7.0000000000000007E-2</v>
      </c>
    </row>
    <row r="4564" spans="1:3" x14ac:dyDescent="0.3">
      <c r="A4564" t="s">
        <v>3853</v>
      </c>
      <c r="B4564" t="s">
        <v>40</v>
      </c>
      <c r="C4564">
        <v>0.03</v>
      </c>
    </row>
    <row r="4565" spans="1:3" x14ac:dyDescent="0.3">
      <c r="A4565" t="s">
        <v>14388</v>
      </c>
      <c r="B4565" t="s">
        <v>29</v>
      </c>
      <c r="C4565">
        <v>0.04</v>
      </c>
    </row>
    <row r="4566" spans="1:3" x14ac:dyDescent="0.3">
      <c r="A4566" t="s">
        <v>14388</v>
      </c>
      <c r="B4566" t="s">
        <v>29</v>
      </c>
      <c r="C4566">
        <v>0.08</v>
      </c>
    </row>
    <row r="4567" spans="1:3" x14ac:dyDescent="0.3">
      <c r="A4567" t="s">
        <v>13979</v>
      </c>
      <c r="B4567" t="s">
        <v>40</v>
      </c>
      <c r="C4567">
        <v>0.05</v>
      </c>
    </row>
    <row r="4568" spans="1:3" x14ac:dyDescent="0.3">
      <c r="A4568" t="s">
        <v>8088</v>
      </c>
      <c r="B4568" t="s">
        <v>64</v>
      </c>
      <c r="C4568">
        <v>0.08</v>
      </c>
    </row>
    <row r="4569" spans="1:3" x14ac:dyDescent="0.3">
      <c r="A4569" t="s">
        <v>12393</v>
      </c>
      <c r="B4569" t="s">
        <v>64</v>
      </c>
      <c r="C4569">
        <v>0.09</v>
      </c>
    </row>
    <row r="4570" spans="1:3" x14ac:dyDescent="0.3">
      <c r="A4570" t="s">
        <v>13768</v>
      </c>
      <c r="B4570" t="s">
        <v>64</v>
      </c>
      <c r="C4570">
        <v>0.08</v>
      </c>
    </row>
    <row r="4571" spans="1:3" x14ac:dyDescent="0.3">
      <c r="A4571" t="s">
        <v>8332</v>
      </c>
      <c r="B4571" t="s">
        <v>64</v>
      </c>
      <c r="C4571">
        <v>0.01</v>
      </c>
    </row>
    <row r="4572" spans="1:3" x14ac:dyDescent="0.3">
      <c r="A4572" t="s">
        <v>8332</v>
      </c>
      <c r="B4572" t="s">
        <v>64</v>
      </c>
      <c r="C4572">
        <v>0.02</v>
      </c>
    </row>
    <row r="4573" spans="1:3" x14ac:dyDescent="0.3">
      <c r="A4573" t="s">
        <v>8332</v>
      </c>
      <c r="B4573" t="s">
        <v>64</v>
      </c>
      <c r="C4573">
        <v>0.09</v>
      </c>
    </row>
    <row r="4574" spans="1:3" x14ac:dyDescent="0.3">
      <c r="A4574" t="s">
        <v>14080</v>
      </c>
      <c r="B4574" t="s">
        <v>87</v>
      </c>
      <c r="C4574">
        <v>0.03</v>
      </c>
    </row>
    <row r="4575" spans="1:3" x14ac:dyDescent="0.3">
      <c r="A4575" t="s">
        <v>14080</v>
      </c>
      <c r="B4575" t="s">
        <v>87</v>
      </c>
      <c r="C4575">
        <v>0.05</v>
      </c>
    </row>
    <row r="4576" spans="1:3" x14ac:dyDescent="0.3">
      <c r="A4576" t="s">
        <v>13402</v>
      </c>
      <c r="B4576" t="s">
        <v>87</v>
      </c>
      <c r="C4576">
        <v>0.02</v>
      </c>
    </row>
    <row r="4577" spans="1:3" x14ac:dyDescent="0.3">
      <c r="A4577" t="s">
        <v>13402</v>
      </c>
      <c r="B4577" t="s">
        <v>87</v>
      </c>
      <c r="C4577">
        <v>7.0000000000000007E-2</v>
      </c>
    </row>
    <row r="4578" spans="1:3" x14ac:dyDescent="0.3">
      <c r="A4578" t="s">
        <v>4458</v>
      </c>
      <c r="B4578" t="s">
        <v>53</v>
      </c>
      <c r="C4578">
        <v>0.02</v>
      </c>
    </row>
    <row r="4579" spans="1:3" x14ac:dyDescent="0.3">
      <c r="A4579" t="s">
        <v>5219</v>
      </c>
      <c r="B4579" t="s">
        <v>53</v>
      </c>
      <c r="C4579">
        <v>0.04</v>
      </c>
    </row>
    <row r="4580" spans="1:3" x14ac:dyDescent="0.3">
      <c r="A4580" t="s">
        <v>13866</v>
      </c>
      <c r="B4580" t="s">
        <v>87</v>
      </c>
      <c r="C4580">
        <v>0.09</v>
      </c>
    </row>
    <row r="4581" spans="1:3" x14ac:dyDescent="0.3">
      <c r="A4581" t="s">
        <v>7224</v>
      </c>
      <c r="B4581" t="s">
        <v>87</v>
      </c>
      <c r="C4581">
        <v>0.04</v>
      </c>
    </row>
    <row r="4582" spans="1:3" x14ac:dyDescent="0.3">
      <c r="A4582" t="s">
        <v>7224</v>
      </c>
      <c r="B4582" t="s">
        <v>87</v>
      </c>
      <c r="C4582">
        <v>0.09</v>
      </c>
    </row>
    <row r="4583" spans="1:3" x14ac:dyDescent="0.3">
      <c r="A4583" t="s">
        <v>7224</v>
      </c>
      <c r="B4583" t="s">
        <v>87</v>
      </c>
      <c r="C4583">
        <v>0.1</v>
      </c>
    </row>
    <row r="4584" spans="1:3" x14ac:dyDescent="0.3">
      <c r="A4584" t="s">
        <v>11843</v>
      </c>
      <c r="B4584" t="s">
        <v>40</v>
      </c>
      <c r="C4584">
        <v>0.05</v>
      </c>
    </row>
    <row r="4585" spans="1:3" x14ac:dyDescent="0.3">
      <c r="A4585" t="s">
        <v>11843</v>
      </c>
      <c r="B4585" t="s">
        <v>40</v>
      </c>
      <c r="C4585">
        <v>0.08</v>
      </c>
    </row>
    <row r="4586" spans="1:3" x14ac:dyDescent="0.3">
      <c r="A4586" t="s">
        <v>9856</v>
      </c>
      <c r="B4586" t="s">
        <v>225</v>
      </c>
      <c r="C4586">
        <v>0.09</v>
      </c>
    </row>
    <row r="4587" spans="1:3" x14ac:dyDescent="0.3">
      <c r="A4587" t="s">
        <v>13596</v>
      </c>
      <c r="B4587" t="s">
        <v>225</v>
      </c>
      <c r="C4587">
        <v>0.04</v>
      </c>
    </row>
    <row r="4588" spans="1:3" x14ac:dyDescent="0.3">
      <c r="A4588" t="s">
        <v>4375</v>
      </c>
      <c r="B4588" t="s">
        <v>87</v>
      </c>
      <c r="C4588">
        <v>0.09</v>
      </c>
    </row>
    <row r="4589" spans="1:3" x14ac:dyDescent="0.3">
      <c r="A4589" t="s">
        <v>8152</v>
      </c>
      <c r="B4589" t="s">
        <v>225</v>
      </c>
      <c r="C4589">
        <v>0.03</v>
      </c>
    </row>
    <row r="4590" spans="1:3" x14ac:dyDescent="0.3">
      <c r="A4590" t="s">
        <v>8152</v>
      </c>
      <c r="B4590" t="s">
        <v>225</v>
      </c>
      <c r="C4590">
        <v>0.04</v>
      </c>
    </row>
    <row r="4591" spans="1:3" x14ac:dyDescent="0.3">
      <c r="A4591" t="s">
        <v>12616</v>
      </c>
      <c r="B4591" t="s">
        <v>29</v>
      </c>
      <c r="C4591">
        <v>0.01</v>
      </c>
    </row>
    <row r="4592" spans="1:3" x14ac:dyDescent="0.3">
      <c r="A4592" t="s">
        <v>12616</v>
      </c>
      <c r="B4592" t="s">
        <v>29</v>
      </c>
      <c r="C4592">
        <v>0.1</v>
      </c>
    </row>
    <row r="4593" spans="1:3" x14ac:dyDescent="0.3">
      <c r="A4593" t="s">
        <v>3571</v>
      </c>
      <c r="B4593" t="s">
        <v>40</v>
      </c>
      <c r="C4593">
        <v>0.08</v>
      </c>
    </row>
    <row r="4594" spans="1:3" x14ac:dyDescent="0.3">
      <c r="A4594" t="s">
        <v>9333</v>
      </c>
      <c r="B4594" t="s">
        <v>225</v>
      </c>
      <c r="C4594">
        <v>0.06</v>
      </c>
    </row>
    <row r="4595" spans="1:3" x14ac:dyDescent="0.3">
      <c r="A4595" t="s">
        <v>9333</v>
      </c>
      <c r="B4595" t="s">
        <v>225</v>
      </c>
      <c r="C4595">
        <v>0.08</v>
      </c>
    </row>
    <row r="4596" spans="1:3" x14ac:dyDescent="0.3">
      <c r="A4596" t="s">
        <v>9333</v>
      </c>
      <c r="B4596" t="s">
        <v>29</v>
      </c>
      <c r="C4596">
        <v>0.05</v>
      </c>
    </row>
    <row r="4597" spans="1:3" x14ac:dyDescent="0.3">
      <c r="A4597" t="s">
        <v>9333</v>
      </c>
      <c r="B4597" t="s">
        <v>29</v>
      </c>
      <c r="C4597">
        <v>0.08</v>
      </c>
    </row>
    <row r="4598" spans="1:3" x14ac:dyDescent="0.3">
      <c r="A4598" t="s">
        <v>11423</v>
      </c>
      <c r="B4598" t="s">
        <v>29</v>
      </c>
      <c r="C4598">
        <v>0.04</v>
      </c>
    </row>
    <row r="4599" spans="1:3" x14ac:dyDescent="0.3">
      <c r="A4599" t="s">
        <v>11423</v>
      </c>
      <c r="B4599" t="s">
        <v>29</v>
      </c>
      <c r="C4599">
        <v>0.08</v>
      </c>
    </row>
    <row r="4600" spans="1:3" x14ac:dyDescent="0.3">
      <c r="A4600" t="s">
        <v>3540</v>
      </c>
      <c r="B4600" t="s">
        <v>225</v>
      </c>
      <c r="C4600">
        <v>0.01</v>
      </c>
    </row>
    <row r="4601" spans="1:3" x14ac:dyDescent="0.3">
      <c r="A4601" t="s">
        <v>3540</v>
      </c>
      <c r="B4601" t="s">
        <v>225</v>
      </c>
      <c r="C4601">
        <v>7.0000000000000007E-2</v>
      </c>
    </row>
    <row r="4602" spans="1:3" x14ac:dyDescent="0.3">
      <c r="A4602" t="s">
        <v>5486</v>
      </c>
      <c r="B4602" t="s">
        <v>87</v>
      </c>
      <c r="C4602">
        <v>0.01</v>
      </c>
    </row>
    <row r="4603" spans="1:3" x14ac:dyDescent="0.3">
      <c r="A4603" t="s">
        <v>7475</v>
      </c>
      <c r="B4603" t="s">
        <v>87</v>
      </c>
      <c r="C4603">
        <v>0.05</v>
      </c>
    </row>
    <row r="4604" spans="1:3" x14ac:dyDescent="0.3">
      <c r="A4604" t="s">
        <v>7475</v>
      </c>
      <c r="B4604" t="s">
        <v>87</v>
      </c>
      <c r="C4604">
        <v>0.1</v>
      </c>
    </row>
    <row r="4605" spans="1:3" x14ac:dyDescent="0.3">
      <c r="A4605" t="s">
        <v>1255</v>
      </c>
      <c r="B4605" t="s">
        <v>87</v>
      </c>
      <c r="C4605">
        <v>0.06</v>
      </c>
    </row>
    <row r="4606" spans="1:3" x14ac:dyDescent="0.3">
      <c r="A4606" t="s">
        <v>1255</v>
      </c>
      <c r="B4606" t="s">
        <v>87</v>
      </c>
      <c r="C4606">
        <v>0.08</v>
      </c>
    </row>
    <row r="4607" spans="1:3" x14ac:dyDescent="0.3">
      <c r="A4607" t="s">
        <v>15468</v>
      </c>
      <c r="B4607" t="s">
        <v>87</v>
      </c>
      <c r="C4607">
        <v>0.02</v>
      </c>
    </row>
    <row r="4608" spans="1:3" x14ac:dyDescent="0.3">
      <c r="A4608" t="s">
        <v>14446</v>
      </c>
      <c r="B4608" t="s">
        <v>87</v>
      </c>
      <c r="C4608">
        <v>0.06</v>
      </c>
    </row>
    <row r="4609" spans="1:3" x14ac:dyDescent="0.3">
      <c r="A4609" t="s">
        <v>9415</v>
      </c>
      <c r="B4609" t="s">
        <v>87</v>
      </c>
      <c r="C4609">
        <v>0</v>
      </c>
    </row>
    <row r="4610" spans="1:3" x14ac:dyDescent="0.3">
      <c r="A4610" t="s">
        <v>9415</v>
      </c>
      <c r="B4610" t="s">
        <v>87</v>
      </c>
      <c r="C4610">
        <v>0.03</v>
      </c>
    </row>
    <row r="4611" spans="1:3" x14ac:dyDescent="0.3">
      <c r="A4611" t="s">
        <v>5899</v>
      </c>
      <c r="B4611" t="s">
        <v>29</v>
      </c>
      <c r="C4611">
        <v>0.09</v>
      </c>
    </row>
    <row r="4612" spans="1:3" x14ac:dyDescent="0.3">
      <c r="A4612" t="s">
        <v>12747</v>
      </c>
      <c r="B4612" t="s">
        <v>40</v>
      </c>
      <c r="C4612">
        <v>0.04</v>
      </c>
    </row>
    <row r="4613" spans="1:3" x14ac:dyDescent="0.3">
      <c r="A4613" t="s">
        <v>13814</v>
      </c>
      <c r="B4613" t="s">
        <v>40</v>
      </c>
      <c r="C4613">
        <v>7.0000000000000007E-2</v>
      </c>
    </row>
    <row r="4614" spans="1:3" x14ac:dyDescent="0.3">
      <c r="A4614" t="s">
        <v>10307</v>
      </c>
      <c r="B4614" t="s">
        <v>87</v>
      </c>
      <c r="C4614">
        <v>0.08</v>
      </c>
    </row>
    <row r="4615" spans="1:3" x14ac:dyDescent="0.3">
      <c r="A4615" t="s">
        <v>15517</v>
      </c>
      <c r="B4615" t="s">
        <v>87</v>
      </c>
      <c r="C4615">
        <v>0.1</v>
      </c>
    </row>
    <row r="4616" spans="1:3" x14ac:dyDescent="0.3">
      <c r="A4616" t="s">
        <v>1309</v>
      </c>
      <c r="B4616" t="s">
        <v>64</v>
      </c>
      <c r="C4616">
        <v>7.0000000000000007E-2</v>
      </c>
    </row>
    <row r="4617" spans="1:3" x14ac:dyDescent="0.3">
      <c r="A4617" t="s">
        <v>1315</v>
      </c>
      <c r="B4617" t="s">
        <v>87</v>
      </c>
      <c r="C4617">
        <v>0.01</v>
      </c>
    </row>
    <row r="4618" spans="1:3" x14ac:dyDescent="0.3">
      <c r="A4618" t="s">
        <v>12040</v>
      </c>
      <c r="B4618" t="s">
        <v>53</v>
      </c>
      <c r="C4618">
        <v>0</v>
      </c>
    </row>
    <row r="4619" spans="1:3" x14ac:dyDescent="0.3">
      <c r="A4619" t="s">
        <v>7199</v>
      </c>
      <c r="B4619" t="s">
        <v>87</v>
      </c>
      <c r="C4619">
        <v>0.1</v>
      </c>
    </row>
    <row r="4620" spans="1:3" x14ac:dyDescent="0.3">
      <c r="A4620" t="s">
        <v>1347</v>
      </c>
      <c r="B4620" t="s">
        <v>40</v>
      </c>
      <c r="C4620">
        <v>0</v>
      </c>
    </row>
    <row r="4621" spans="1:3" x14ac:dyDescent="0.3">
      <c r="A4621" t="s">
        <v>1347</v>
      </c>
      <c r="B4621" t="s">
        <v>40</v>
      </c>
      <c r="C4621">
        <v>0.08</v>
      </c>
    </row>
    <row r="4622" spans="1:3" x14ac:dyDescent="0.3">
      <c r="A4622" t="s">
        <v>2857</v>
      </c>
      <c r="B4622" t="s">
        <v>29</v>
      </c>
      <c r="C4622">
        <v>0</v>
      </c>
    </row>
    <row r="4623" spans="1:3" x14ac:dyDescent="0.3">
      <c r="A4623" t="s">
        <v>2857</v>
      </c>
      <c r="B4623" t="s">
        <v>29</v>
      </c>
      <c r="C4623">
        <v>0.08</v>
      </c>
    </row>
    <row r="4624" spans="1:3" x14ac:dyDescent="0.3">
      <c r="A4624" t="s">
        <v>10395</v>
      </c>
      <c r="B4624" t="s">
        <v>40</v>
      </c>
      <c r="C4624">
        <v>0.05</v>
      </c>
    </row>
    <row r="4625" spans="1:3" x14ac:dyDescent="0.3">
      <c r="A4625" t="s">
        <v>10395</v>
      </c>
      <c r="B4625" t="s">
        <v>87</v>
      </c>
      <c r="C4625">
        <v>0.08</v>
      </c>
    </row>
    <row r="4626" spans="1:3" x14ac:dyDescent="0.3">
      <c r="A4626" t="s">
        <v>9981</v>
      </c>
      <c r="B4626" t="s">
        <v>225</v>
      </c>
      <c r="C4626">
        <v>0</v>
      </c>
    </row>
    <row r="4627" spans="1:3" x14ac:dyDescent="0.3">
      <c r="A4627" t="s">
        <v>9981</v>
      </c>
      <c r="B4627" t="s">
        <v>225</v>
      </c>
      <c r="C4627">
        <v>0.1</v>
      </c>
    </row>
    <row r="4628" spans="1:3" x14ac:dyDescent="0.3">
      <c r="A4628" t="s">
        <v>10739</v>
      </c>
      <c r="B4628" t="s">
        <v>40</v>
      </c>
      <c r="C4628">
        <v>0.1</v>
      </c>
    </row>
    <row r="4629" spans="1:3" x14ac:dyDescent="0.3">
      <c r="A4629" t="s">
        <v>10522</v>
      </c>
      <c r="B4629" t="s">
        <v>40</v>
      </c>
      <c r="C4629">
        <v>0.1</v>
      </c>
    </row>
    <row r="4630" spans="1:3" x14ac:dyDescent="0.3">
      <c r="A4630" t="s">
        <v>13817</v>
      </c>
      <c r="B4630" t="s">
        <v>40</v>
      </c>
      <c r="C4630">
        <v>0.01</v>
      </c>
    </row>
    <row r="4631" spans="1:3" x14ac:dyDescent="0.3">
      <c r="A4631" t="s">
        <v>12960</v>
      </c>
      <c r="B4631" t="s">
        <v>29</v>
      </c>
      <c r="C4631">
        <v>0.03</v>
      </c>
    </row>
    <row r="4632" spans="1:3" x14ac:dyDescent="0.3">
      <c r="A4632" t="s">
        <v>12960</v>
      </c>
      <c r="B4632" t="s">
        <v>29</v>
      </c>
      <c r="C4632">
        <v>0.09</v>
      </c>
    </row>
    <row r="4633" spans="1:3" x14ac:dyDescent="0.3">
      <c r="A4633" t="s">
        <v>7297</v>
      </c>
      <c r="B4633" t="s">
        <v>29</v>
      </c>
      <c r="C4633">
        <v>0.04</v>
      </c>
    </row>
    <row r="4634" spans="1:3" x14ac:dyDescent="0.3">
      <c r="A4634" t="s">
        <v>7297</v>
      </c>
      <c r="B4634" t="s">
        <v>29</v>
      </c>
      <c r="C4634">
        <v>0.08</v>
      </c>
    </row>
    <row r="4635" spans="1:3" x14ac:dyDescent="0.3">
      <c r="A4635" t="s">
        <v>5742</v>
      </c>
      <c r="B4635" t="s">
        <v>225</v>
      </c>
      <c r="C4635">
        <v>0.06</v>
      </c>
    </row>
    <row r="4636" spans="1:3" x14ac:dyDescent="0.3">
      <c r="A4636" t="s">
        <v>1377</v>
      </c>
      <c r="B4636" t="s">
        <v>87</v>
      </c>
      <c r="C4636">
        <v>0</v>
      </c>
    </row>
    <row r="4637" spans="1:3" x14ac:dyDescent="0.3">
      <c r="A4637" t="s">
        <v>1382</v>
      </c>
      <c r="B4637" t="s">
        <v>53</v>
      </c>
      <c r="C4637">
        <v>0.05</v>
      </c>
    </row>
    <row r="4638" spans="1:3" x14ac:dyDescent="0.3">
      <c r="A4638" t="s">
        <v>1382</v>
      </c>
      <c r="B4638" t="s">
        <v>53</v>
      </c>
      <c r="C4638">
        <v>0.1</v>
      </c>
    </row>
    <row r="4639" spans="1:3" x14ac:dyDescent="0.3">
      <c r="A4639" t="s">
        <v>8821</v>
      </c>
      <c r="B4639" t="s">
        <v>40</v>
      </c>
      <c r="C4639">
        <v>0.04</v>
      </c>
    </row>
    <row r="4640" spans="1:3" x14ac:dyDescent="0.3">
      <c r="A4640" t="s">
        <v>1782</v>
      </c>
      <c r="B4640" t="s">
        <v>87</v>
      </c>
      <c r="C4640">
        <v>0.01</v>
      </c>
    </row>
    <row r="4641" spans="1:3" x14ac:dyDescent="0.3">
      <c r="A4641" t="s">
        <v>1782</v>
      </c>
      <c r="B4641" t="s">
        <v>87</v>
      </c>
      <c r="C4641">
        <v>0.06</v>
      </c>
    </row>
    <row r="4642" spans="1:3" x14ac:dyDescent="0.3">
      <c r="A4642" t="s">
        <v>9895</v>
      </c>
      <c r="B4642" t="s">
        <v>64</v>
      </c>
      <c r="C4642">
        <v>0.01</v>
      </c>
    </row>
    <row r="4643" spans="1:3" x14ac:dyDescent="0.3">
      <c r="A4643" t="s">
        <v>9542</v>
      </c>
      <c r="B4643" t="s">
        <v>64</v>
      </c>
      <c r="C4643">
        <v>0.03</v>
      </c>
    </row>
    <row r="4644" spans="1:3" x14ac:dyDescent="0.3">
      <c r="A4644" t="s">
        <v>14773</v>
      </c>
      <c r="B4644" t="s">
        <v>64</v>
      </c>
      <c r="C4644">
        <v>0.08</v>
      </c>
    </row>
    <row r="4645" spans="1:3" x14ac:dyDescent="0.3">
      <c r="A4645" t="s">
        <v>6696</v>
      </c>
      <c r="B4645" t="s">
        <v>87</v>
      </c>
      <c r="C4645">
        <v>0.06</v>
      </c>
    </row>
    <row r="4646" spans="1:3" x14ac:dyDescent="0.3">
      <c r="A4646" t="s">
        <v>12822</v>
      </c>
      <c r="B4646" t="s">
        <v>64</v>
      </c>
      <c r="C4646">
        <v>0.05</v>
      </c>
    </row>
    <row r="4647" spans="1:3" x14ac:dyDescent="0.3">
      <c r="A4647" t="s">
        <v>8693</v>
      </c>
      <c r="B4647" t="s">
        <v>87</v>
      </c>
      <c r="C4647">
        <v>0.06</v>
      </c>
    </row>
    <row r="4648" spans="1:3" x14ac:dyDescent="0.3">
      <c r="A4648" t="s">
        <v>8693</v>
      </c>
      <c r="B4648" t="s">
        <v>87</v>
      </c>
      <c r="C4648">
        <v>7.0000000000000007E-2</v>
      </c>
    </row>
    <row r="4649" spans="1:3" x14ac:dyDescent="0.3">
      <c r="A4649" t="s">
        <v>8693</v>
      </c>
      <c r="B4649" t="s">
        <v>87</v>
      </c>
      <c r="C4649">
        <v>0.1</v>
      </c>
    </row>
    <row r="4650" spans="1:3" x14ac:dyDescent="0.3">
      <c r="A4650" t="s">
        <v>11642</v>
      </c>
      <c r="B4650" t="s">
        <v>64</v>
      </c>
      <c r="C4650">
        <v>0.05</v>
      </c>
    </row>
    <row r="4651" spans="1:3" x14ac:dyDescent="0.3">
      <c r="A4651" t="s">
        <v>3929</v>
      </c>
      <c r="B4651" t="s">
        <v>53</v>
      </c>
      <c r="C4651">
        <v>7.0000000000000007E-2</v>
      </c>
    </row>
    <row r="4652" spans="1:3" x14ac:dyDescent="0.3">
      <c r="A4652" t="s">
        <v>14031</v>
      </c>
      <c r="B4652" t="s">
        <v>29</v>
      </c>
      <c r="C4652">
        <v>0</v>
      </c>
    </row>
    <row r="4653" spans="1:3" x14ac:dyDescent="0.3">
      <c r="A4653" t="s">
        <v>14031</v>
      </c>
      <c r="B4653" t="s">
        <v>29</v>
      </c>
      <c r="C4653">
        <v>7.0000000000000007E-2</v>
      </c>
    </row>
    <row r="4654" spans="1:3" x14ac:dyDescent="0.3">
      <c r="A4654" t="s">
        <v>1411</v>
      </c>
      <c r="B4654" t="s">
        <v>40</v>
      </c>
      <c r="C4654">
        <v>0.05</v>
      </c>
    </row>
    <row r="4655" spans="1:3" x14ac:dyDescent="0.3">
      <c r="A4655" t="s">
        <v>1411</v>
      </c>
      <c r="B4655" t="s">
        <v>40</v>
      </c>
      <c r="C4655">
        <v>0.08</v>
      </c>
    </row>
    <row r="4656" spans="1:3" x14ac:dyDescent="0.3">
      <c r="A4656" t="s">
        <v>9912</v>
      </c>
      <c r="B4656" t="s">
        <v>40</v>
      </c>
      <c r="C4656">
        <v>0.08</v>
      </c>
    </row>
    <row r="4657" spans="1:3" x14ac:dyDescent="0.3">
      <c r="A4657" t="s">
        <v>9912</v>
      </c>
      <c r="B4657" t="s">
        <v>87</v>
      </c>
      <c r="C4657">
        <v>0.09</v>
      </c>
    </row>
    <row r="4658" spans="1:3" x14ac:dyDescent="0.3">
      <c r="A4658" t="s">
        <v>10637</v>
      </c>
      <c r="B4658" t="s">
        <v>64</v>
      </c>
      <c r="C4658">
        <v>0.05</v>
      </c>
    </row>
    <row r="4659" spans="1:3" x14ac:dyDescent="0.3">
      <c r="A4659" t="s">
        <v>10637</v>
      </c>
      <c r="B4659" t="s">
        <v>64</v>
      </c>
      <c r="C4659">
        <v>0.09</v>
      </c>
    </row>
    <row r="4660" spans="1:3" x14ac:dyDescent="0.3">
      <c r="A4660" t="s">
        <v>15322</v>
      </c>
      <c r="B4660" t="s">
        <v>87</v>
      </c>
      <c r="C4660">
        <v>0.01</v>
      </c>
    </row>
    <row r="4661" spans="1:3" x14ac:dyDescent="0.3">
      <c r="A4661" t="s">
        <v>15322</v>
      </c>
      <c r="B4661" t="s">
        <v>87</v>
      </c>
      <c r="C4661">
        <v>0.03</v>
      </c>
    </row>
    <row r="4662" spans="1:3" x14ac:dyDescent="0.3">
      <c r="A4662" t="s">
        <v>13590</v>
      </c>
      <c r="B4662" t="s">
        <v>87</v>
      </c>
      <c r="C4662">
        <v>0.03</v>
      </c>
    </row>
    <row r="4663" spans="1:3" x14ac:dyDescent="0.3">
      <c r="A4663" t="s">
        <v>8085</v>
      </c>
      <c r="B4663" t="s">
        <v>64</v>
      </c>
      <c r="C4663">
        <v>0.08</v>
      </c>
    </row>
    <row r="4664" spans="1:3" x14ac:dyDescent="0.3">
      <c r="A4664" t="s">
        <v>7135</v>
      </c>
      <c r="B4664" t="s">
        <v>87</v>
      </c>
      <c r="C4664">
        <v>0</v>
      </c>
    </row>
    <row r="4665" spans="1:3" x14ac:dyDescent="0.3">
      <c r="A4665" t="s">
        <v>4148</v>
      </c>
      <c r="B4665" t="s">
        <v>87</v>
      </c>
      <c r="C4665">
        <v>0.03</v>
      </c>
    </row>
    <row r="4666" spans="1:3" x14ac:dyDescent="0.3">
      <c r="A4666" t="s">
        <v>1428</v>
      </c>
      <c r="B4666" t="s">
        <v>29</v>
      </c>
      <c r="C4666">
        <v>7.0000000000000007E-2</v>
      </c>
    </row>
    <row r="4667" spans="1:3" x14ac:dyDescent="0.3">
      <c r="A4667" t="s">
        <v>1428</v>
      </c>
      <c r="B4667" t="s">
        <v>29</v>
      </c>
      <c r="C4667">
        <v>0.08</v>
      </c>
    </row>
    <row r="4668" spans="1:3" x14ac:dyDescent="0.3">
      <c r="A4668" t="s">
        <v>1428</v>
      </c>
      <c r="B4668" t="s">
        <v>29</v>
      </c>
      <c r="C4668">
        <v>0.1</v>
      </c>
    </row>
    <row r="4669" spans="1:3" x14ac:dyDescent="0.3">
      <c r="A4669" t="s">
        <v>3455</v>
      </c>
      <c r="B4669" t="s">
        <v>29</v>
      </c>
      <c r="C4669">
        <v>0.05</v>
      </c>
    </row>
    <row r="4670" spans="1:3" x14ac:dyDescent="0.3">
      <c r="A4670" t="s">
        <v>3455</v>
      </c>
      <c r="B4670" t="s">
        <v>29</v>
      </c>
      <c r="C4670">
        <v>0.08</v>
      </c>
    </row>
    <row r="4671" spans="1:3" x14ac:dyDescent="0.3">
      <c r="A4671" t="s">
        <v>14217</v>
      </c>
      <c r="B4671" t="s">
        <v>87</v>
      </c>
      <c r="C4671">
        <v>0.01</v>
      </c>
    </row>
    <row r="4672" spans="1:3" x14ac:dyDescent="0.3">
      <c r="A4672" t="s">
        <v>14217</v>
      </c>
      <c r="B4672" t="s">
        <v>87</v>
      </c>
      <c r="C4672">
        <v>0.1</v>
      </c>
    </row>
    <row r="4673" spans="1:3" x14ac:dyDescent="0.3">
      <c r="A4673" t="s">
        <v>1440</v>
      </c>
      <c r="B4673" t="s">
        <v>40</v>
      </c>
      <c r="C4673">
        <v>0.09</v>
      </c>
    </row>
    <row r="4674" spans="1:3" x14ac:dyDescent="0.3">
      <c r="A4674" t="s">
        <v>4729</v>
      </c>
      <c r="B4674" t="s">
        <v>40</v>
      </c>
      <c r="C4674">
        <v>0</v>
      </c>
    </row>
    <row r="4675" spans="1:3" x14ac:dyDescent="0.3">
      <c r="A4675" t="s">
        <v>3568</v>
      </c>
      <c r="B4675" t="s">
        <v>64</v>
      </c>
      <c r="C4675">
        <v>0</v>
      </c>
    </row>
    <row r="4676" spans="1:3" x14ac:dyDescent="0.3">
      <c r="A4676" t="s">
        <v>9439</v>
      </c>
      <c r="B4676" t="s">
        <v>29</v>
      </c>
      <c r="C4676">
        <v>0.06</v>
      </c>
    </row>
    <row r="4677" spans="1:3" x14ac:dyDescent="0.3">
      <c r="A4677" t="s">
        <v>6689</v>
      </c>
      <c r="B4677" t="s">
        <v>40</v>
      </c>
      <c r="C4677">
        <v>0.03</v>
      </c>
    </row>
    <row r="4678" spans="1:3" x14ac:dyDescent="0.3">
      <c r="A4678" t="s">
        <v>6689</v>
      </c>
      <c r="B4678" t="s">
        <v>40</v>
      </c>
      <c r="C4678">
        <v>0.05</v>
      </c>
    </row>
    <row r="4679" spans="1:3" x14ac:dyDescent="0.3">
      <c r="A4679" t="s">
        <v>1452</v>
      </c>
      <c r="B4679" t="s">
        <v>40</v>
      </c>
      <c r="C4679">
        <v>0.09</v>
      </c>
    </row>
    <row r="4680" spans="1:3" x14ac:dyDescent="0.3">
      <c r="A4680" t="s">
        <v>7153</v>
      </c>
      <c r="B4680" t="s">
        <v>64</v>
      </c>
      <c r="C4680">
        <v>0.04</v>
      </c>
    </row>
    <row r="4681" spans="1:3" x14ac:dyDescent="0.3">
      <c r="A4681" t="s">
        <v>7153</v>
      </c>
      <c r="B4681" t="s">
        <v>29</v>
      </c>
      <c r="C4681">
        <v>0.02</v>
      </c>
    </row>
    <row r="4682" spans="1:3" x14ac:dyDescent="0.3">
      <c r="A4682" t="s">
        <v>7153</v>
      </c>
      <c r="B4682" t="s">
        <v>29</v>
      </c>
      <c r="C4682">
        <v>0.08</v>
      </c>
    </row>
    <row r="4683" spans="1:3" x14ac:dyDescent="0.3">
      <c r="A4683" t="s">
        <v>7153</v>
      </c>
      <c r="B4683" t="s">
        <v>29</v>
      </c>
      <c r="C4683">
        <v>0.1</v>
      </c>
    </row>
    <row r="4684" spans="1:3" x14ac:dyDescent="0.3">
      <c r="A4684" t="s">
        <v>9144</v>
      </c>
      <c r="B4684" t="s">
        <v>29</v>
      </c>
      <c r="C4684">
        <v>0.02</v>
      </c>
    </row>
    <row r="4685" spans="1:3" x14ac:dyDescent="0.3">
      <c r="A4685" t="s">
        <v>9360</v>
      </c>
      <c r="B4685" t="s">
        <v>29</v>
      </c>
      <c r="C4685">
        <v>0.03</v>
      </c>
    </row>
    <row r="4686" spans="1:3" x14ac:dyDescent="0.3">
      <c r="A4686" t="s">
        <v>1471</v>
      </c>
      <c r="B4686" t="s">
        <v>87</v>
      </c>
      <c r="C4686">
        <v>0.06</v>
      </c>
    </row>
    <row r="4687" spans="1:3" x14ac:dyDescent="0.3">
      <c r="A4687" t="s">
        <v>3120</v>
      </c>
      <c r="B4687" t="s">
        <v>225</v>
      </c>
      <c r="C4687">
        <v>0.1</v>
      </c>
    </row>
    <row r="4688" spans="1:3" x14ac:dyDescent="0.3">
      <c r="A4688" t="s">
        <v>2897</v>
      </c>
      <c r="B4688" t="s">
        <v>225</v>
      </c>
      <c r="C4688">
        <v>0.01</v>
      </c>
    </row>
    <row r="4689" spans="1:3" x14ac:dyDescent="0.3">
      <c r="A4689" t="s">
        <v>2897</v>
      </c>
      <c r="B4689" t="s">
        <v>225</v>
      </c>
      <c r="C4689">
        <v>0.03</v>
      </c>
    </row>
    <row r="4690" spans="1:3" x14ac:dyDescent="0.3">
      <c r="A4690" t="s">
        <v>2897</v>
      </c>
      <c r="B4690" t="s">
        <v>225</v>
      </c>
      <c r="C4690">
        <v>7.0000000000000007E-2</v>
      </c>
    </row>
    <row r="4691" spans="1:3" x14ac:dyDescent="0.3">
      <c r="A4691" t="s">
        <v>2897</v>
      </c>
      <c r="B4691" t="s">
        <v>87</v>
      </c>
      <c r="C4691">
        <v>0.04</v>
      </c>
    </row>
    <row r="4692" spans="1:3" x14ac:dyDescent="0.3">
      <c r="A4692" t="s">
        <v>10392</v>
      </c>
      <c r="B4692" t="s">
        <v>29</v>
      </c>
      <c r="C4692">
        <v>0.01</v>
      </c>
    </row>
    <row r="4693" spans="1:3" x14ac:dyDescent="0.3">
      <c r="A4693" t="s">
        <v>10392</v>
      </c>
      <c r="B4693" t="s">
        <v>29</v>
      </c>
      <c r="C4693">
        <v>0.04</v>
      </c>
    </row>
    <row r="4694" spans="1:3" x14ac:dyDescent="0.3">
      <c r="A4694" t="s">
        <v>1489</v>
      </c>
      <c r="B4694" t="s">
        <v>87</v>
      </c>
      <c r="C4694">
        <v>0.05</v>
      </c>
    </row>
    <row r="4695" spans="1:3" x14ac:dyDescent="0.3">
      <c r="A4695" t="s">
        <v>8075</v>
      </c>
      <c r="B4695" t="s">
        <v>225</v>
      </c>
      <c r="C4695">
        <v>0</v>
      </c>
    </row>
    <row r="4696" spans="1:3" x14ac:dyDescent="0.3">
      <c r="A4696" t="s">
        <v>9019</v>
      </c>
      <c r="B4696" t="s">
        <v>225</v>
      </c>
      <c r="C4696">
        <v>0.02</v>
      </c>
    </row>
    <row r="4697" spans="1:3" x14ac:dyDescent="0.3">
      <c r="A4697" t="s">
        <v>5415</v>
      </c>
      <c r="B4697" t="s">
        <v>53</v>
      </c>
      <c r="C4697">
        <v>0.02</v>
      </c>
    </row>
    <row r="4698" spans="1:3" x14ac:dyDescent="0.3">
      <c r="A4698" t="s">
        <v>2257</v>
      </c>
      <c r="B4698" t="s">
        <v>53</v>
      </c>
      <c r="C4698">
        <v>0.06</v>
      </c>
    </row>
    <row r="4699" spans="1:3" x14ac:dyDescent="0.3">
      <c r="A4699" t="s">
        <v>2257</v>
      </c>
      <c r="B4699" t="s">
        <v>53</v>
      </c>
      <c r="C4699">
        <v>7.0000000000000007E-2</v>
      </c>
    </row>
    <row r="4700" spans="1:3" x14ac:dyDescent="0.3">
      <c r="A4700" t="s">
        <v>11230</v>
      </c>
      <c r="B4700" t="s">
        <v>87</v>
      </c>
      <c r="C4700">
        <v>0.05</v>
      </c>
    </row>
    <row r="4701" spans="1:3" x14ac:dyDescent="0.3">
      <c r="A4701" t="s">
        <v>13952</v>
      </c>
      <c r="B4701" t="s">
        <v>40</v>
      </c>
      <c r="C4701">
        <v>0.09</v>
      </c>
    </row>
    <row r="4702" spans="1:3" x14ac:dyDescent="0.3">
      <c r="A4702" t="s">
        <v>13952</v>
      </c>
      <c r="B4702" t="s">
        <v>29</v>
      </c>
      <c r="C4702">
        <v>0</v>
      </c>
    </row>
    <row r="4703" spans="1:3" x14ac:dyDescent="0.3">
      <c r="A4703" t="s">
        <v>8733</v>
      </c>
      <c r="B4703" t="s">
        <v>40</v>
      </c>
      <c r="C4703">
        <v>0.04</v>
      </c>
    </row>
    <row r="4704" spans="1:3" x14ac:dyDescent="0.3">
      <c r="A4704" t="s">
        <v>5091</v>
      </c>
      <c r="B4704" t="s">
        <v>87</v>
      </c>
      <c r="C4704">
        <v>0.06</v>
      </c>
    </row>
    <row r="4705" spans="1:3" x14ac:dyDescent="0.3">
      <c r="A4705" t="s">
        <v>8755</v>
      </c>
      <c r="B4705" t="s">
        <v>29</v>
      </c>
      <c r="C4705">
        <v>0.06</v>
      </c>
    </row>
    <row r="4706" spans="1:3" x14ac:dyDescent="0.3">
      <c r="A4706" t="s">
        <v>9816</v>
      </c>
      <c r="B4706" t="s">
        <v>29</v>
      </c>
      <c r="C4706">
        <v>0.06</v>
      </c>
    </row>
    <row r="4707" spans="1:3" x14ac:dyDescent="0.3">
      <c r="A4707" t="s">
        <v>9816</v>
      </c>
      <c r="B4707" t="s">
        <v>29</v>
      </c>
      <c r="C4707">
        <v>0.08</v>
      </c>
    </row>
    <row r="4708" spans="1:3" x14ac:dyDescent="0.3">
      <c r="A4708" t="s">
        <v>6233</v>
      </c>
      <c r="B4708" t="s">
        <v>29</v>
      </c>
      <c r="C4708">
        <v>0.02</v>
      </c>
    </row>
    <row r="4709" spans="1:3" x14ac:dyDescent="0.3">
      <c r="A4709" t="s">
        <v>13613</v>
      </c>
      <c r="B4709" t="s">
        <v>225</v>
      </c>
      <c r="C4709">
        <v>0.02</v>
      </c>
    </row>
    <row r="4710" spans="1:3" x14ac:dyDescent="0.3">
      <c r="A4710" t="s">
        <v>13613</v>
      </c>
      <c r="B4710" t="s">
        <v>225</v>
      </c>
      <c r="C4710">
        <v>0.05</v>
      </c>
    </row>
    <row r="4711" spans="1:3" x14ac:dyDescent="0.3">
      <c r="A4711" t="s">
        <v>13613</v>
      </c>
      <c r="B4711" t="s">
        <v>225</v>
      </c>
      <c r="C4711">
        <v>0.08</v>
      </c>
    </row>
    <row r="4712" spans="1:3" x14ac:dyDescent="0.3">
      <c r="A4712" t="s">
        <v>13349</v>
      </c>
      <c r="B4712" t="s">
        <v>29</v>
      </c>
      <c r="C4712">
        <v>0</v>
      </c>
    </row>
    <row r="4713" spans="1:3" x14ac:dyDescent="0.3">
      <c r="A4713" t="s">
        <v>13349</v>
      </c>
      <c r="B4713" t="s">
        <v>29</v>
      </c>
      <c r="C4713">
        <v>0.1</v>
      </c>
    </row>
    <row r="4714" spans="1:3" x14ac:dyDescent="0.3">
      <c r="A4714" t="s">
        <v>13558</v>
      </c>
      <c r="B4714" t="s">
        <v>29</v>
      </c>
      <c r="C4714">
        <v>0.06</v>
      </c>
    </row>
    <row r="4715" spans="1:3" x14ac:dyDescent="0.3">
      <c r="A4715" t="s">
        <v>9349</v>
      </c>
      <c r="B4715" t="s">
        <v>40</v>
      </c>
      <c r="C4715">
        <v>0.09</v>
      </c>
    </row>
    <row r="4716" spans="1:3" x14ac:dyDescent="0.3">
      <c r="A4716" t="s">
        <v>9239</v>
      </c>
      <c r="B4716" t="s">
        <v>225</v>
      </c>
      <c r="C4716">
        <v>0.03</v>
      </c>
    </row>
    <row r="4717" spans="1:3" x14ac:dyDescent="0.3">
      <c r="A4717" t="s">
        <v>6884</v>
      </c>
      <c r="B4717" t="s">
        <v>225</v>
      </c>
      <c r="C4717">
        <v>0.08</v>
      </c>
    </row>
    <row r="4718" spans="1:3" x14ac:dyDescent="0.3">
      <c r="A4718" t="s">
        <v>8841</v>
      </c>
      <c r="B4718" t="s">
        <v>225</v>
      </c>
      <c r="C4718">
        <v>0.01</v>
      </c>
    </row>
    <row r="4719" spans="1:3" x14ac:dyDescent="0.3">
      <c r="A4719" t="s">
        <v>8841</v>
      </c>
      <c r="B4719" t="s">
        <v>225</v>
      </c>
      <c r="C4719">
        <v>0.09</v>
      </c>
    </row>
    <row r="4720" spans="1:3" x14ac:dyDescent="0.3">
      <c r="A4720" t="s">
        <v>10225</v>
      </c>
      <c r="B4720" t="s">
        <v>53</v>
      </c>
      <c r="C4720">
        <v>0.08</v>
      </c>
    </row>
    <row r="4721" spans="1:3" x14ac:dyDescent="0.3">
      <c r="A4721" t="s">
        <v>2160</v>
      </c>
      <c r="B4721" t="s">
        <v>40</v>
      </c>
      <c r="C4721">
        <v>0.03</v>
      </c>
    </row>
    <row r="4722" spans="1:3" x14ac:dyDescent="0.3">
      <c r="A4722" t="s">
        <v>3633</v>
      </c>
      <c r="B4722" t="s">
        <v>87</v>
      </c>
      <c r="C4722">
        <v>0.01</v>
      </c>
    </row>
    <row r="4723" spans="1:3" x14ac:dyDescent="0.3">
      <c r="A4723" t="s">
        <v>10007</v>
      </c>
      <c r="B4723" t="s">
        <v>87</v>
      </c>
      <c r="C4723">
        <v>0.08</v>
      </c>
    </row>
    <row r="4724" spans="1:3" x14ac:dyDescent="0.3">
      <c r="A4724" t="s">
        <v>9416</v>
      </c>
      <c r="B4724" t="s">
        <v>29</v>
      </c>
      <c r="C4724">
        <v>0.02</v>
      </c>
    </row>
    <row r="4725" spans="1:3" x14ac:dyDescent="0.3">
      <c r="A4725" t="s">
        <v>13828</v>
      </c>
      <c r="B4725" t="s">
        <v>29</v>
      </c>
      <c r="C4725">
        <v>0</v>
      </c>
    </row>
    <row r="4726" spans="1:3" x14ac:dyDescent="0.3">
      <c r="A4726" t="s">
        <v>10386</v>
      </c>
      <c r="B4726" t="s">
        <v>53</v>
      </c>
      <c r="C4726">
        <v>0.08</v>
      </c>
    </row>
    <row r="4727" spans="1:3" x14ac:dyDescent="0.3">
      <c r="A4727" t="s">
        <v>7758</v>
      </c>
      <c r="B4727" t="s">
        <v>40</v>
      </c>
      <c r="C4727">
        <v>0.01</v>
      </c>
    </row>
    <row r="4728" spans="1:3" x14ac:dyDescent="0.3">
      <c r="A4728" t="s">
        <v>7758</v>
      </c>
      <c r="B4728" t="s">
        <v>40</v>
      </c>
      <c r="C4728">
        <v>7.0000000000000007E-2</v>
      </c>
    </row>
    <row r="4729" spans="1:3" x14ac:dyDescent="0.3">
      <c r="A4729" t="s">
        <v>10695</v>
      </c>
      <c r="B4729" t="s">
        <v>225</v>
      </c>
      <c r="C4729">
        <v>0.08</v>
      </c>
    </row>
    <row r="4730" spans="1:3" x14ac:dyDescent="0.3">
      <c r="A4730" t="s">
        <v>10695</v>
      </c>
      <c r="B4730" t="s">
        <v>64</v>
      </c>
      <c r="C4730">
        <v>0.04</v>
      </c>
    </row>
    <row r="4731" spans="1:3" x14ac:dyDescent="0.3">
      <c r="A4731" t="s">
        <v>1622</v>
      </c>
      <c r="B4731" t="s">
        <v>53</v>
      </c>
      <c r="C4731">
        <v>0.04</v>
      </c>
    </row>
    <row r="4732" spans="1:3" x14ac:dyDescent="0.3">
      <c r="A4732" t="s">
        <v>15006</v>
      </c>
      <c r="B4732" t="s">
        <v>40</v>
      </c>
      <c r="C4732">
        <v>0.08</v>
      </c>
    </row>
    <row r="4733" spans="1:3" x14ac:dyDescent="0.3">
      <c r="A4733" t="s">
        <v>15006</v>
      </c>
      <c r="B4733" t="s">
        <v>225</v>
      </c>
      <c r="C4733">
        <v>0.04</v>
      </c>
    </row>
    <row r="4734" spans="1:3" x14ac:dyDescent="0.3">
      <c r="A4734" t="s">
        <v>15006</v>
      </c>
      <c r="B4734" t="s">
        <v>225</v>
      </c>
      <c r="C4734">
        <v>0.05</v>
      </c>
    </row>
    <row r="4735" spans="1:3" x14ac:dyDescent="0.3">
      <c r="A4735" t="s">
        <v>4882</v>
      </c>
      <c r="B4735" t="s">
        <v>64</v>
      </c>
      <c r="C4735">
        <v>0.04</v>
      </c>
    </row>
    <row r="4736" spans="1:3" x14ac:dyDescent="0.3">
      <c r="A4736" t="s">
        <v>4882</v>
      </c>
      <c r="B4736" t="s">
        <v>87</v>
      </c>
      <c r="C4736">
        <v>0.02</v>
      </c>
    </row>
    <row r="4737" spans="1:3" x14ac:dyDescent="0.3">
      <c r="A4737" t="s">
        <v>7834</v>
      </c>
      <c r="B4737" t="s">
        <v>225</v>
      </c>
      <c r="C4737">
        <v>0.06</v>
      </c>
    </row>
    <row r="4738" spans="1:3" x14ac:dyDescent="0.3">
      <c r="A4738" t="s">
        <v>7834</v>
      </c>
      <c r="B4738" t="s">
        <v>225</v>
      </c>
      <c r="C4738">
        <v>0.08</v>
      </c>
    </row>
    <row r="4739" spans="1:3" x14ac:dyDescent="0.3">
      <c r="A4739" t="s">
        <v>7834</v>
      </c>
      <c r="B4739" t="s">
        <v>225</v>
      </c>
      <c r="C4739">
        <v>0.1</v>
      </c>
    </row>
    <row r="4740" spans="1:3" x14ac:dyDescent="0.3">
      <c r="A4740" t="s">
        <v>4892</v>
      </c>
      <c r="B4740" t="s">
        <v>225</v>
      </c>
      <c r="C4740">
        <v>0.08</v>
      </c>
    </row>
    <row r="4741" spans="1:3" x14ac:dyDescent="0.3">
      <c r="A4741" t="s">
        <v>4892</v>
      </c>
      <c r="B4741" t="s">
        <v>225</v>
      </c>
      <c r="C4741">
        <v>0.09</v>
      </c>
    </row>
    <row r="4742" spans="1:3" x14ac:dyDescent="0.3">
      <c r="A4742" t="s">
        <v>4892</v>
      </c>
      <c r="B4742" t="s">
        <v>87</v>
      </c>
      <c r="C4742">
        <v>0.03</v>
      </c>
    </row>
    <row r="4743" spans="1:3" x14ac:dyDescent="0.3">
      <c r="A4743" t="s">
        <v>10171</v>
      </c>
      <c r="B4743" t="s">
        <v>225</v>
      </c>
      <c r="C4743">
        <v>0.05</v>
      </c>
    </row>
    <row r="4744" spans="1:3" x14ac:dyDescent="0.3">
      <c r="A4744" t="s">
        <v>6741</v>
      </c>
      <c r="B4744" t="s">
        <v>64</v>
      </c>
      <c r="C4744">
        <v>0.03</v>
      </c>
    </row>
    <row r="4745" spans="1:3" x14ac:dyDescent="0.3">
      <c r="A4745" t="s">
        <v>6741</v>
      </c>
      <c r="B4745" t="s">
        <v>64</v>
      </c>
      <c r="C4745">
        <v>0.08</v>
      </c>
    </row>
    <row r="4746" spans="1:3" x14ac:dyDescent="0.3">
      <c r="A4746" t="s">
        <v>8200</v>
      </c>
      <c r="B4746" t="s">
        <v>87</v>
      </c>
      <c r="C4746">
        <v>0.03</v>
      </c>
    </row>
    <row r="4747" spans="1:3" x14ac:dyDescent="0.3">
      <c r="A4747" t="s">
        <v>10972</v>
      </c>
      <c r="B4747" t="s">
        <v>87</v>
      </c>
      <c r="C4747">
        <v>0.05</v>
      </c>
    </row>
    <row r="4748" spans="1:3" x14ac:dyDescent="0.3">
      <c r="A4748" t="s">
        <v>1665</v>
      </c>
      <c r="B4748" t="s">
        <v>29</v>
      </c>
      <c r="C4748">
        <v>0.01</v>
      </c>
    </row>
    <row r="4749" spans="1:3" x14ac:dyDescent="0.3">
      <c r="A4749" t="s">
        <v>1665</v>
      </c>
      <c r="B4749" t="s">
        <v>29</v>
      </c>
      <c r="C4749">
        <v>0.08</v>
      </c>
    </row>
    <row r="4750" spans="1:3" x14ac:dyDescent="0.3">
      <c r="A4750" t="s">
        <v>10353</v>
      </c>
      <c r="B4750" t="s">
        <v>29</v>
      </c>
      <c r="C4750">
        <v>0.1</v>
      </c>
    </row>
    <row r="4751" spans="1:3" x14ac:dyDescent="0.3">
      <c r="A4751" t="s">
        <v>11498</v>
      </c>
      <c r="B4751" t="s">
        <v>29</v>
      </c>
      <c r="C4751">
        <v>7.0000000000000007E-2</v>
      </c>
    </row>
    <row r="4752" spans="1:3" x14ac:dyDescent="0.3">
      <c r="A4752" t="s">
        <v>11295</v>
      </c>
      <c r="B4752" t="s">
        <v>29</v>
      </c>
      <c r="C4752">
        <v>0</v>
      </c>
    </row>
    <row r="4753" spans="1:3" x14ac:dyDescent="0.3">
      <c r="A4753" t="s">
        <v>8400</v>
      </c>
      <c r="B4753" t="s">
        <v>29</v>
      </c>
      <c r="C4753">
        <v>7.0000000000000007E-2</v>
      </c>
    </row>
    <row r="4754" spans="1:3" x14ac:dyDescent="0.3">
      <c r="A4754" t="s">
        <v>13734</v>
      </c>
      <c r="B4754" t="s">
        <v>29</v>
      </c>
      <c r="C4754">
        <v>0.01</v>
      </c>
    </row>
    <row r="4755" spans="1:3" x14ac:dyDescent="0.3">
      <c r="A4755" t="s">
        <v>13734</v>
      </c>
      <c r="B4755" t="s">
        <v>29</v>
      </c>
      <c r="C4755">
        <v>0.09</v>
      </c>
    </row>
    <row r="4756" spans="1:3" x14ac:dyDescent="0.3">
      <c r="A4756" t="s">
        <v>5877</v>
      </c>
      <c r="B4756" t="s">
        <v>29</v>
      </c>
      <c r="C4756">
        <v>0</v>
      </c>
    </row>
    <row r="4757" spans="1:3" x14ac:dyDescent="0.3">
      <c r="A4757" t="s">
        <v>14586</v>
      </c>
      <c r="B4757" t="s">
        <v>40</v>
      </c>
      <c r="C4757">
        <v>0.09</v>
      </c>
    </row>
    <row r="4758" spans="1:3" x14ac:dyDescent="0.3">
      <c r="A4758" t="s">
        <v>4754</v>
      </c>
      <c r="B4758" t="s">
        <v>29</v>
      </c>
      <c r="C4758">
        <v>0.03</v>
      </c>
    </row>
    <row r="4759" spans="1:3" x14ac:dyDescent="0.3">
      <c r="A4759" t="s">
        <v>4754</v>
      </c>
      <c r="B4759" t="s">
        <v>53</v>
      </c>
      <c r="C4759">
        <v>0.1</v>
      </c>
    </row>
    <row r="4760" spans="1:3" x14ac:dyDescent="0.3">
      <c r="A4760" t="s">
        <v>11758</v>
      </c>
      <c r="B4760" t="s">
        <v>29</v>
      </c>
      <c r="C4760">
        <v>0.09</v>
      </c>
    </row>
    <row r="4761" spans="1:3" x14ac:dyDescent="0.3">
      <c r="A4761" t="s">
        <v>11120</v>
      </c>
      <c r="B4761" t="s">
        <v>87</v>
      </c>
      <c r="C4761">
        <v>0.1</v>
      </c>
    </row>
    <row r="4762" spans="1:3" x14ac:dyDescent="0.3">
      <c r="A4762" t="s">
        <v>1731</v>
      </c>
      <c r="B4762" t="s">
        <v>53</v>
      </c>
      <c r="C4762">
        <v>7.0000000000000007E-2</v>
      </c>
    </row>
    <row r="4763" spans="1:3" x14ac:dyDescent="0.3">
      <c r="A4763" t="s">
        <v>1731</v>
      </c>
      <c r="B4763" t="s">
        <v>53</v>
      </c>
      <c r="C4763">
        <v>0.09</v>
      </c>
    </row>
    <row r="4764" spans="1:3" x14ac:dyDescent="0.3">
      <c r="A4764" t="s">
        <v>13819</v>
      </c>
      <c r="B4764" t="s">
        <v>29</v>
      </c>
      <c r="C4764">
        <v>0.01</v>
      </c>
    </row>
    <row r="4765" spans="1:3" x14ac:dyDescent="0.3">
      <c r="A4765" t="s">
        <v>7124</v>
      </c>
      <c r="B4765" t="s">
        <v>29</v>
      </c>
      <c r="C4765">
        <v>0.1</v>
      </c>
    </row>
    <row r="4766" spans="1:3" x14ac:dyDescent="0.3">
      <c r="A4766" t="s">
        <v>7124</v>
      </c>
      <c r="B4766" t="s">
        <v>87</v>
      </c>
      <c r="C4766">
        <v>0.01</v>
      </c>
    </row>
    <row r="4767" spans="1:3" x14ac:dyDescent="0.3">
      <c r="A4767" t="s">
        <v>14349</v>
      </c>
      <c r="B4767" t="s">
        <v>40</v>
      </c>
      <c r="C4767">
        <v>0</v>
      </c>
    </row>
    <row r="4768" spans="1:3" x14ac:dyDescent="0.3">
      <c r="A4768" t="s">
        <v>14788</v>
      </c>
      <c r="B4768" t="s">
        <v>40</v>
      </c>
      <c r="C4768">
        <v>0.06</v>
      </c>
    </row>
    <row r="4769" spans="1:3" x14ac:dyDescent="0.3">
      <c r="A4769" t="s">
        <v>3336</v>
      </c>
      <c r="B4769" t="s">
        <v>53</v>
      </c>
      <c r="C4769">
        <v>0.08</v>
      </c>
    </row>
    <row r="4770" spans="1:3" x14ac:dyDescent="0.3">
      <c r="A4770" t="s">
        <v>8718</v>
      </c>
      <c r="B4770" t="s">
        <v>64</v>
      </c>
      <c r="C4770">
        <v>0</v>
      </c>
    </row>
    <row r="4771" spans="1:3" x14ac:dyDescent="0.3">
      <c r="A4771" t="s">
        <v>8718</v>
      </c>
      <c r="B4771" t="s">
        <v>64</v>
      </c>
      <c r="C4771">
        <v>0.03</v>
      </c>
    </row>
    <row r="4772" spans="1:3" x14ac:dyDescent="0.3">
      <c r="A4772" t="s">
        <v>2112</v>
      </c>
      <c r="B4772" t="s">
        <v>40</v>
      </c>
      <c r="C4772">
        <v>0.05</v>
      </c>
    </row>
    <row r="4773" spans="1:3" x14ac:dyDescent="0.3">
      <c r="A4773" t="s">
        <v>7185</v>
      </c>
      <c r="B4773" t="s">
        <v>29</v>
      </c>
      <c r="C4773">
        <v>0.03</v>
      </c>
    </row>
    <row r="4774" spans="1:3" x14ac:dyDescent="0.3">
      <c r="A4774" t="s">
        <v>7185</v>
      </c>
      <c r="B4774" t="s">
        <v>29</v>
      </c>
      <c r="C4774">
        <v>0.06</v>
      </c>
    </row>
    <row r="4775" spans="1:3" x14ac:dyDescent="0.3">
      <c r="A4775" t="s">
        <v>15075</v>
      </c>
      <c r="B4775" t="s">
        <v>29</v>
      </c>
      <c r="C4775">
        <v>0.02</v>
      </c>
    </row>
    <row r="4776" spans="1:3" x14ac:dyDescent="0.3">
      <c r="A4776" t="s">
        <v>14753</v>
      </c>
      <c r="B4776" t="s">
        <v>40</v>
      </c>
      <c r="C4776">
        <v>0.01</v>
      </c>
    </row>
    <row r="4777" spans="1:3" x14ac:dyDescent="0.3">
      <c r="A4777" t="s">
        <v>10257</v>
      </c>
      <c r="B4777" t="s">
        <v>64</v>
      </c>
      <c r="C4777">
        <v>0.03</v>
      </c>
    </row>
    <row r="4778" spans="1:3" x14ac:dyDescent="0.3">
      <c r="A4778" t="s">
        <v>15400</v>
      </c>
      <c r="B4778" t="s">
        <v>40</v>
      </c>
      <c r="C4778">
        <v>0.06</v>
      </c>
    </row>
    <row r="4779" spans="1:3" x14ac:dyDescent="0.3">
      <c r="A4779" t="s">
        <v>15400</v>
      </c>
      <c r="B4779" t="s">
        <v>40</v>
      </c>
      <c r="C4779">
        <v>0.09</v>
      </c>
    </row>
    <row r="4780" spans="1:3" x14ac:dyDescent="0.3">
      <c r="A4780" t="s">
        <v>3833</v>
      </c>
      <c r="B4780" t="s">
        <v>53</v>
      </c>
      <c r="C4780">
        <v>0.02</v>
      </c>
    </row>
    <row r="4781" spans="1:3" x14ac:dyDescent="0.3">
      <c r="A4781" t="s">
        <v>4767</v>
      </c>
      <c r="B4781" t="s">
        <v>53</v>
      </c>
      <c r="C4781">
        <v>0</v>
      </c>
    </row>
    <row r="4782" spans="1:3" x14ac:dyDescent="0.3">
      <c r="A4782" t="s">
        <v>4767</v>
      </c>
      <c r="B4782" t="s">
        <v>53</v>
      </c>
      <c r="C4782">
        <v>0.01</v>
      </c>
    </row>
    <row r="4783" spans="1:3" x14ac:dyDescent="0.3">
      <c r="A4783" t="s">
        <v>4767</v>
      </c>
      <c r="B4783" t="s">
        <v>53</v>
      </c>
      <c r="C4783">
        <v>0.09</v>
      </c>
    </row>
    <row r="4784" spans="1:3" x14ac:dyDescent="0.3">
      <c r="A4784" t="s">
        <v>5949</v>
      </c>
      <c r="B4784" t="s">
        <v>40</v>
      </c>
      <c r="C4784">
        <v>0.08</v>
      </c>
    </row>
    <row r="4785" spans="1:3" x14ac:dyDescent="0.3">
      <c r="A4785" t="s">
        <v>9941</v>
      </c>
      <c r="B4785" t="s">
        <v>40</v>
      </c>
      <c r="C4785">
        <v>0.05</v>
      </c>
    </row>
    <row r="4786" spans="1:3" x14ac:dyDescent="0.3">
      <c r="A4786" t="s">
        <v>9941</v>
      </c>
      <c r="B4786" t="s">
        <v>87</v>
      </c>
      <c r="C4786">
        <v>0</v>
      </c>
    </row>
    <row r="4787" spans="1:3" x14ac:dyDescent="0.3">
      <c r="A4787" t="s">
        <v>13996</v>
      </c>
      <c r="B4787" t="s">
        <v>40</v>
      </c>
      <c r="C4787">
        <v>0.01</v>
      </c>
    </row>
    <row r="4788" spans="1:3" x14ac:dyDescent="0.3">
      <c r="A4788" t="s">
        <v>2090</v>
      </c>
      <c r="B4788" t="s">
        <v>225</v>
      </c>
      <c r="C4788">
        <v>0.1</v>
      </c>
    </row>
    <row r="4789" spans="1:3" x14ac:dyDescent="0.3">
      <c r="A4789" t="s">
        <v>13598</v>
      </c>
      <c r="B4789" t="s">
        <v>53</v>
      </c>
      <c r="C4789">
        <v>0.06</v>
      </c>
    </row>
    <row r="4790" spans="1:3" x14ac:dyDescent="0.3">
      <c r="A4790" t="s">
        <v>13598</v>
      </c>
      <c r="B4790" t="s">
        <v>53</v>
      </c>
      <c r="C4790">
        <v>0.08</v>
      </c>
    </row>
    <row r="4791" spans="1:3" x14ac:dyDescent="0.3">
      <c r="A4791" t="s">
        <v>1869</v>
      </c>
      <c r="B4791" t="s">
        <v>225</v>
      </c>
      <c r="C4791">
        <v>0.04</v>
      </c>
    </row>
    <row r="4792" spans="1:3" x14ac:dyDescent="0.3">
      <c r="A4792" t="s">
        <v>1802</v>
      </c>
      <c r="B4792" t="s">
        <v>29</v>
      </c>
      <c r="C4792">
        <v>0.05</v>
      </c>
    </row>
    <row r="4793" spans="1:3" x14ac:dyDescent="0.3">
      <c r="A4793" t="s">
        <v>14869</v>
      </c>
      <c r="B4793" t="s">
        <v>87</v>
      </c>
      <c r="C4793">
        <v>0.06</v>
      </c>
    </row>
    <row r="4794" spans="1:3" x14ac:dyDescent="0.3">
      <c r="A4794" t="s">
        <v>4489</v>
      </c>
      <c r="B4794" t="s">
        <v>64</v>
      </c>
      <c r="C4794">
        <v>0.06</v>
      </c>
    </row>
    <row r="4795" spans="1:3" x14ac:dyDescent="0.3">
      <c r="A4795" t="s">
        <v>4489</v>
      </c>
      <c r="B4795" t="s">
        <v>29</v>
      </c>
      <c r="C4795">
        <v>0.06</v>
      </c>
    </row>
    <row r="4796" spans="1:3" x14ac:dyDescent="0.3">
      <c r="A4796" t="s">
        <v>1813</v>
      </c>
      <c r="B4796" t="s">
        <v>40</v>
      </c>
      <c r="C4796">
        <v>0.05</v>
      </c>
    </row>
    <row r="4797" spans="1:3" x14ac:dyDescent="0.3">
      <c r="A4797" t="s">
        <v>11576</v>
      </c>
      <c r="B4797" t="s">
        <v>64</v>
      </c>
      <c r="C4797">
        <v>0</v>
      </c>
    </row>
    <row r="4798" spans="1:3" x14ac:dyDescent="0.3">
      <c r="A4798" t="s">
        <v>11576</v>
      </c>
      <c r="B4798" t="s">
        <v>64</v>
      </c>
      <c r="C4798">
        <v>7.0000000000000007E-2</v>
      </c>
    </row>
    <row r="4799" spans="1:3" x14ac:dyDescent="0.3">
      <c r="A4799" t="s">
        <v>11576</v>
      </c>
      <c r="B4799" t="s">
        <v>64</v>
      </c>
      <c r="C4799">
        <v>0.08</v>
      </c>
    </row>
    <row r="4800" spans="1:3" x14ac:dyDescent="0.3">
      <c r="A4800" t="s">
        <v>13903</v>
      </c>
      <c r="B4800" t="s">
        <v>64</v>
      </c>
      <c r="C4800">
        <v>0.08</v>
      </c>
    </row>
    <row r="4801" spans="1:3" x14ac:dyDescent="0.3">
      <c r="A4801" t="s">
        <v>1818</v>
      </c>
      <c r="B4801" t="s">
        <v>53</v>
      </c>
      <c r="C4801">
        <v>0.01</v>
      </c>
    </row>
    <row r="4802" spans="1:3" x14ac:dyDescent="0.3">
      <c r="A4802" t="s">
        <v>4607</v>
      </c>
      <c r="B4802" t="s">
        <v>40</v>
      </c>
      <c r="C4802">
        <v>0.1</v>
      </c>
    </row>
    <row r="4803" spans="1:3" x14ac:dyDescent="0.3">
      <c r="A4803" t="s">
        <v>4607</v>
      </c>
      <c r="B4803" t="s">
        <v>87</v>
      </c>
      <c r="C4803">
        <v>0.01</v>
      </c>
    </row>
    <row r="4804" spans="1:3" x14ac:dyDescent="0.3">
      <c r="A4804" t="s">
        <v>15216</v>
      </c>
      <c r="B4804" t="s">
        <v>64</v>
      </c>
      <c r="C4804">
        <v>0.08</v>
      </c>
    </row>
    <row r="4805" spans="1:3" x14ac:dyDescent="0.3">
      <c r="A4805" t="s">
        <v>15216</v>
      </c>
      <c r="B4805" t="s">
        <v>29</v>
      </c>
      <c r="C4805">
        <v>0.1</v>
      </c>
    </row>
    <row r="4806" spans="1:3" x14ac:dyDescent="0.3">
      <c r="A4806" t="s">
        <v>14635</v>
      </c>
      <c r="B4806" t="s">
        <v>87</v>
      </c>
      <c r="C4806">
        <v>0.08</v>
      </c>
    </row>
    <row r="4807" spans="1:3" x14ac:dyDescent="0.3">
      <c r="A4807" t="s">
        <v>10860</v>
      </c>
      <c r="B4807" t="s">
        <v>40</v>
      </c>
      <c r="C4807">
        <v>0.1</v>
      </c>
    </row>
    <row r="4808" spans="1:3" x14ac:dyDescent="0.3">
      <c r="A4808" t="s">
        <v>10860</v>
      </c>
      <c r="B4808" t="s">
        <v>29</v>
      </c>
      <c r="C4808">
        <v>7.0000000000000007E-2</v>
      </c>
    </row>
    <row r="4809" spans="1:3" x14ac:dyDescent="0.3">
      <c r="A4809" t="s">
        <v>9187</v>
      </c>
      <c r="B4809" t="s">
        <v>29</v>
      </c>
      <c r="C4809">
        <v>0.03</v>
      </c>
    </row>
    <row r="4810" spans="1:3" x14ac:dyDescent="0.3">
      <c r="A4810" t="s">
        <v>9187</v>
      </c>
      <c r="B4810" t="s">
        <v>29</v>
      </c>
      <c r="C4810">
        <v>0.08</v>
      </c>
    </row>
    <row r="4811" spans="1:3" x14ac:dyDescent="0.3">
      <c r="A4811" t="s">
        <v>15661</v>
      </c>
      <c r="B4811" t="s">
        <v>29</v>
      </c>
      <c r="C4811">
        <v>0.02</v>
      </c>
    </row>
    <row r="4812" spans="1:3" x14ac:dyDescent="0.3">
      <c r="A4812" t="s">
        <v>9800</v>
      </c>
      <c r="B4812" t="s">
        <v>40</v>
      </c>
      <c r="C4812">
        <v>0.03</v>
      </c>
    </row>
    <row r="4813" spans="1:3" x14ac:dyDescent="0.3">
      <c r="A4813" t="s">
        <v>15317</v>
      </c>
      <c r="B4813" t="s">
        <v>40</v>
      </c>
      <c r="C4813">
        <v>0.01</v>
      </c>
    </row>
    <row r="4814" spans="1:3" x14ac:dyDescent="0.3">
      <c r="A4814" t="s">
        <v>15317</v>
      </c>
      <c r="B4814" t="s">
        <v>64</v>
      </c>
      <c r="C4814">
        <v>0.09</v>
      </c>
    </row>
    <row r="4815" spans="1:3" x14ac:dyDescent="0.3">
      <c r="A4815" t="s">
        <v>13236</v>
      </c>
      <c r="B4815" t="s">
        <v>40</v>
      </c>
      <c r="C4815">
        <v>0.08</v>
      </c>
    </row>
    <row r="4816" spans="1:3" x14ac:dyDescent="0.3">
      <c r="A4816" t="s">
        <v>6775</v>
      </c>
      <c r="B4816" t="s">
        <v>64</v>
      </c>
      <c r="C4816">
        <v>7.0000000000000007E-2</v>
      </c>
    </row>
    <row r="4817" spans="1:3" x14ac:dyDescent="0.3">
      <c r="A4817" t="s">
        <v>8446</v>
      </c>
      <c r="B4817" t="s">
        <v>64</v>
      </c>
      <c r="C4817">
        <v>0.02</v>
      </c>
    </row>
    <row r="4818" spans="1:3" x14ac:dyDescent="0.3">
      <c r="A4818" t="s">
        <v>8446</v>
      </c>
      <c r="B4818" t="s">
        <v>64</v>
      </c>
      <c r="C4818">
        <v>0.05</v>
      </c>
    </row>
    <row r="4819" spans="1:3" x14ac:dyDescent="0.3">
      <c r="A4819" t="s">
        <v>10290</v>
      </c>
      <c r="B4819" t="s">
        <v>29</v>
      </c>
      <c r="C4819">
        <v>0.08</v>
      </c>
    </row>
    <row r="4820" spans="1:3" x14ac:dyDescent="0.3">
      <c r="A4820" t="s">
        <v>12045</v>
      </c>
      <c r="B4820" t="s">
        <v>64</v>
      </c>
      <c r="C4820">
        <v>0.06</v>
      </c>
    </row>
    <row r="4821" spans="1:3" x14ac:dyDescent="0.3">
      <c r="A4821" t="s">
        <v>12045</v>
      </c>
      <c r="B4821" t="s">
        <v>64</v>
      </c>
      <c r="C4821">
        <v>0.1</v>
      </c>
    </row>
    <row r="4822" spans="1:3" x14ac:dyDescent="0.3">
      <c r="A4822" t="s">
        <v>1856</v>
      </c>
      <c r="B4822" t="s">
        <v>87</v>
      </c>
      <c r="C4822">
        <v>7.0000000000000007E-2</v>
      </c>
    </row>
    <row r="4823" spans="1:3" x14ac:dyDescent="0.3">
      <c r="A4823" t="s">
        <v>12006</v>
      </c>
      <c r="B4823" t="s">
        <v>64</v>
      </c>
      <c r="C4823">
        <v>0</v>
      </c>
    </row>
    <row r="4824" spans="1:3" x14ac:dyDescent="0.3">
      <c r="A4824" t="s">
        <v>12006</v>
      </c>
      <c r="B4824" t="s">
        <v>64</v>
      </c>
      <c r="C4824">
        <v>0.06</v>
      </c>
    </row>
    <row r="4825" spans="1:3" x14ac:dyDescent="0.3">
      <c r="A4825" t="s">
        <v>7296</v>
      </c>
      <c r="B4825" t="s">
        <v>64</v>
      </c>
      <c r="C4825">
        <v>0.06</v>
      </c>
    </row>
    <row r="4826" spans="1:3" x14ac:dyDescent="0.3">
      <c r="A4826" t="s">
        <v>4360</v>
      </c>
      <c r="B4826" t="s">
        <v>87</v>
      </c>
      <c r="C4826">
        <v>0.01</v>
      </c>
    </row>
    <row r="4827" spans="1:3" x14ac:dyDescent="0.3">
      <c r="A4827" t="s">
        <v>4360</v>
      </c>
      <c r="B4827" t="s">
        <v>87</v>
      </c>
      <c r="C4827">
        <v>0.08</v>
      </c>
    </row>
    <row r="4828" spans="1:3" x14ac:dyDescent="0.3">
      <c r="A4828" t="s">
        <v>6329</v>
      </c>
      <c r="B4828" t="s">
        <v>87</v>
      </c>
      <c r="C4828">
        <v>0.03</v>
      </c>
    </row>
    <row r="4829" spans="1:3" x14ac:dyDescent="0.3">
      <c r="A4829" t="s">
        <v>15229</v>
      </c>
      <c r="B4829" t="s">
        <v>87</v>
      </c>
      <c r="C4829">
        <v>0.02</v>
      </c>
    </row>
    <row r="4830" spans="1:3" x14ac:dyDescent="0.3">
      <c r="A4830" t="s">
        <v>15229</v>
      </c>
      <c r="B4830" t="s">
        <v>87</v>
      </c>
      <c r="C4830">
        <v>0.08</v>
      </c>
    </row>
    <row r="4831" spans="1:3" x14ac:dyDescent="0.3">
      <c r="A4831" t="s">
        <v>6314</v>
      </c>
      <c r="B4831" t="s">
        <v>225</v>
      </c>
      <c r="C4831">
        <v>0.06</v>
      </c>
    </row>
    <row r="4832" spans="1:3" x14ac:dyDescent="0.3">
      <c r="A4832" t="s">
        <v>8159</v>
      </c>
      <c r="B4832" t="s">
        <v>40</v>
      </c>
      <c r="C4832">
        <v>0.01</v>
      </c>
    </row>
    <row r="4833" spans="1:3" x14ac:dyDescent="0.3">
      <c r="A4833" t="s">
        <v>2609</v>
      </c>
      <c r="B4833" t="s">
        <v>29</v>
      </c>
      <c r="C4833">
        <v>0.1</v>
      </c>
    </row>
    <row r="4834" spans="1:3" x14ac:dyDescent="0.3">
      <c r="A4834" t="s">
        <v>3685</v>
      </c>
      <c r="B4834" t="s">
        <v>29</v>
      </c>
      <c r="C4834">
        <v>0.02</v>
      </c>
    </row>
    <row r="4835" spans="1:3" x14ac:dyDescent="0.3">
      <c r="A4835" t="s">
        <v>3685</v>
      </c>
      <c r="B4835" t="s">
        <v>29</v>
      </c>
      <c r="C4835">
        <v>7.0000000000000007E-2</v>
      </c>
    </row>
    <row r="4836" spans="1:3" x14ac:dyDescent="0.3">
      <c r="A4836" t="s">
        <v>14934</v>
      </c>
      <c r="B4836" t="s">
        <v>40</v>
      </c>
      <c r="C4836">
        <v>0.08</v>
      </c>
    </row>
    <row r="4837" spans="1:3" x14ac:dyDescent="0.3">
      <c r="A4837" t="s">
        <v>14934</v>
      </c>
      <c r="B4837" t="s">
        <v>87</v>
      </c>
      <c r="C4837">
        <v>7.0000000000000007E-2</v>
      </c>
    </row>
    <row r="4838" spans="1:3" x14ac:dyDescent="0.3">
      <c r="A4838" t="s">
        <v>4702</v>
      </c>
      <c r="B4838" t="s">
        <v>29</v>
      </c>
      <c r="C4838">
        <v>7.0000000000000007E-2</v>
      </c>
    </row>
    <row r="4839" spans="1:3" x14ac:dyDescent="0.3">
      <c r="A4839" t="s">
        <v>1892</v>
      </c>
      <c r="B4839" t="s">
        <v>29</v>
      </c>
      <c r="C4839">
        <v>0.01</v>
      </c>
    </row>
    <row r="4840" spans="1:3" x14ac:dyDescent="0.3">
      <c r="A4840" t="s">
        <v>1892</v>
      </c>
      <c r="B4840" t="s">
        <v>29</v>
      </c>
      <c r="C4840">
        <v>0.03</v>
      </c>
    </row>
    <row r="4841" spans="1:3" x14ac:dyDescent="0.3">
      <c r="A4841" t="s">
        <v>13902</v>
      </c>
      <c r="B4841" t="s">
        <v>225</v>
      </c>
      <c r="C4841">
        <v>0.05</v>
      </c>
    </row>
    <row r="4842" spans="1:3" x14ac:dyDescent="0.3">
      <c r="A4842" t="s">
        <v>9424</v>
      </c>
      <c r="B4842" t="s">
        <v>87</v>
      </c>
      <c r="C4842">
        <v>0.1</v>
      </c>
    </row>
    <row r="4843" spans="1:3" x14ac:dyDescent="0.3">
      <c r="A4843" t="s">
        <v>8478</v>
      </c>
      <c r="B4843" t="s">
        <v>87</v>
      </c>
      <c r="C4843">
        <v>0.03</v>
      </c>
    </row>
    <row r="4844" spans="1:3" x14ac:dyDescent="0.3">
      <c r="A4844" t="s">
        <v>8478</v>
      </c>
      <c r="B4844" t="s">
        <v>87</v>
      </c>
      <c r="C4844">
        <v>0.09</v>
      </c>
    </row>
    <row r="4845" spans="1:3" x14ac:dyDescent="0.3">
      <c r="A4845" t="s">
        <v>14696</v>
      </c>
      <c r="B4845" t="s">
        <v>53</v>
      </c>
      <c r="C4845">
        <v>0.08</v>
      </c>
    </row>
    <row r="4846" spans="1:3" x14ac:dyDescent="0.3">
      <c r="A4846" t="s">
        <v>9142</v>
      </c>
      <c r="B4846" t="s">
        <v>53</v>
      </c>
      <c r="C4846">
        <v>0.02</v>
      </c>
    </row>
    <row r="4847" spans="1:3" x14ac:dyDescent="0.3">
      <c r="A4847" t="s">
        <v>12443</v>
      </c>
      <c r="B4847" t="s">
        <v>225</v>
      </c>
      <c r="C4847">
        <v>0.01</v>
      </c>
    </row>
    <row r="4848" spans="1:3" x14ac:dyDescent="0.3">
      <c r="A4848" t="s">
        <v>12443</v>
      </c>
      <c r="B4848" t="s">
        <v>225</v>
      </c>
      <c r="C4848">
        <v>0.08</v>
      </c>
    </row>
    <row r="4849" spans="1:3" x14ac:dyDescent="0.3">
      <c r="A4849" t="s">
        <v>1925</v>
      </c>
      <c r="B4849" t="s">
        <v>29</v>
      </c>
      <c r="C4849">
        <v>0.04</v>
      </c>
    </row>
    <row r="4850" spans="1:3" x14ac:dyDescent="0.3">
      <c r="A4850" t="s">
        <v>1925</v>
      </c>
      <c r="B4850" t="s">
        <v>29</v>
      </c>
      <c r="C4850">
        <v>0.09</v>
      </c>
    </row>
    <row r="4851" spans="1:3" x14ac:dyDescent="0.3">
      <c r="A4851" t="s">
        <v>1925</v>
      </c>
      <c r="B4851" t="s">
        <v>53</v>
      </c>
      <c r="C4851">
        <v>0.01</v>
      </c>
    </row>
    <row r="4852" spans="1:3" x14ac:dyDescent="0.3">
      <c r="A4852" t="s">
        <v>1936</v>
      </c>
      <c r="B4852" t="s">
        <v>40</v>
      </c>
      <c r="C4852">
        <v>0.02</v>
      </c>
    </row>
    <row r="4853" spans="1:3" x14ac:dyDescent="0.3">
      <c r="A4853" t="s">
        <v>13591</v>
      </c>
      <c r="B4853" t="s">
        <v>40</v>
      </c>
      <c r="C4853">
        <v>0.02</v>
      </c>
    </row>
    <row r="4854" spans="1:3" x14ac:dyDescent="0.3">
      <c r="A4854" t="s">
        <v>12732</v>
      </c>
      <c r="B4854" t="s">
        <v>40</v>
      </c>
      <c r="C4854">
        <v>0.03</v>
      </c>
    </row>
    <row r="4855" spans="1:3" x14ac:dyDescent="0.3">
      <c r="A4855" t="s">
        <v>9911</v>
      </c>
      <c r="B4855" t="s">
        <v>64</v>
      </c>
      <c r="C4855">
        <v>0.04</v>
      </c>
    </row>
    <row r="4856" spans="1:3" x14ac:dyDescent="0.3">
      <c r="A4856" t="s">
        <v>13317</v>
      </c>
      <c r="B4856" t="s">
        <v>64</v>
      </c>
      <c r="C4856">
        <v>0.05</v>
      </c>
    </row>
    <row r="4857" spans="1:3" x14ac:dyDescent="0.3">
      <c r="A4857" t="s">
        <v>11694</v>
      </c>
      <c r="B4857" t="s">
        <v>64</v>
      </c>
      <c r="C4857">
        <v>0.09</v>
      </c>
    </row>
    <row r="4858" spans="1:3" x14ac:dyDescent="0.3">
      <c r="A4858" t="s">
        <v>14487</v>
      </c>
      <c r="B4858" t="s">
        <v>64</v>
      </c>
      <c r="C4858">
        <v>0.09</v>
      </c>
    </row>
    <row r="4859" spans="1:3" x14ac:dyDescent="0.3">
      <c r="A4859" t="s">
        <v>13000</v>
      </c>
      <c r="B4859" t="s">
        <v>53</v>
      </c>
      <c r="C4859">
        <v>7.0000000000000007E-2</v>
      </c>
    </row>
    <row r="4860" spans="1:3" x14ac:dyDescent="0.3">
      <c r="A4860" t="s">
        <v>12410</v>
      </c>
      <c r="B4860" t="s">
        <v>29</v>
      </c>
      <c r="C4860">
        <v>0.03</v>
      </c>
    </row>
    <row r="4861" spans="1:3" x14ac:dyDescent="0.3">
      <c r="A4861" t="s">
        <v>6512</v>
      </c>
      <c r="B4861" t="s">
        <v>40</v>
      </c>
      <c r="C4861">
        <v>7.0000000000000007E-2</v>
      </c>
    </row>
    <row r="4862" spans="1:3" x14ac:dyDescent="0.3">
      <c r="A4862" t="s">
        <v>14008</v>
      </c>
      <c r="B4862" t="s">
        <v>29</v>
      </c>
      <c r="C4862">
        <v>0.1</v>
      </c>
    </row>
    <row r="4863" spans="1:3" x14ac:dyDescent="0.3">
      <c r="A4863" t="s">
        <v>1965</v>
      </c>
      <c r="B4863" t="s">
        <v>87</v>
      </c>
      <c r="C4863">
        <v>0.02</v>
      </c>
    </row>
    <row r="4864" spans="1:3" x14ac:dyDescent="0.3">
      <c r="A4864" t="s">
        <v>1965</v>
      </c>
      <c r="B4864" t="s">
        <v>87</v>
      </c>
      <c r="C4864">
        <v>0.05</v>
      </c>
    </row>
    <row r="4865" spans="1:3" x14ac:dyDescent="0.3">
      <c r="A4865" t="s">
        <v>1971</v>
      </c>
      <c r="B4865" t="s">
        <v>53</v>
      </c>
      <c r="C4865">
        <v>0.04</v>
      </c>
    </row>
    <row r="4866" spans="1:3" x14ac:dyDescent="0.3">
      <c r="A4866" t="s">
        <v>1971</v>
      </c>
      <c r="B4866" t="s">
        <v>53</v>
      </c>
      <c r="C4866">
        <v>0.09</v>
      </c>
    </row>
    <row r="4867" spans="1:3" x14ac:dyDescent="0.3">
      <c r="A4867" t="s">
        <v>15145</v>
      </c>
      <c r="B4867" t="s">
        <v>64</v>
      </c>
      <c r="C4867">
        <v>0.06</v>
      </c>
    </row>
    <row r="4868" spans="1:3" x14ac:dyDescent="0.3">
      <c r="A4868" t="s">
        <v>15145</v>
      </c>
      <c r="B4868" t="s">
        <v>64</v>
      </c>
      <c r="C4868">
        <v>0.1</v>
      </c>
    </row>
    <row r="4869" spans="1:3" x14ac:dyDescent="0.3">
      <c r="A4869" t="s">
        <v>15524</v>
      </c>
      <c r="B4869" t="s">
        <v>40</v>
      </c>
      <c r="C4869">
        <v>0.02</v>
      </c>
    </row>
    <row r="4870" spans="1:3" x14ac:dyDescent="0.3">
      <c r="A4870" t="s">
        <v>15524</v>
      </c>
      <c r="B4870" t="s">
        <v>40</v>
      </c>
      <c r="C4870">
        <v>0.09</v>
      </c>
    </row>
    <row r="4871" spans="1:3" x14ac:dyDescent="0.3">
      <c r="A4871" t="s">
        <v>14592</v>
      </c>
      <c r="B4871" t="s">
        <v>40</v>
      </c>
      <c r="C4871">
        <v>0.01</v>
      </c>
    </row>
    <row r="4872" spans="1:3" x14ac:dyDescent="0.3">
      <c r="A4872" t="s">
        <v>14592</v>
      </c>
      <c r="B4872" t="s">
        <v>40</v>
      </c>
      <c r="C4872">
        <v>0.1</v>
      </c>
    </row>
    <row r="4873" spans="1:3" x14ac:dyDescent="0.3">
      <c r="A4873" t="s">
        <v>8385</v>
      </c>
      <c r="B4873" t="s">
        <v>225</v>
      </c>
      <c r="C4873">
        <v>0.09</v>
      </c>
    </row>
    <row r="4874" spans="1:3" x14ac:dyDescent="0.3">
      <c r="A4874" t="s">
        <v>8385</v>
      </c>
      <c r="B4874" t="s">
        <v>225</v>
      </c>
      <c r="C4874">
        <v>0.1</v>
      </c>
    </row>
    <row r="4875" spans="1:3" x14ac:dyDescent="0.3">
      <c r="A4875" t="s">
        <v>8385</v>
      </c>
      <c r="B4875" t="s">
        <v>53</v>
      </c>
      <c r="C4875">
        <v>7.0000000000000007E-2</v>
      </c>
    </row>
    <row r="4876" spans="1:3" x14ac:dyDescent="0.3">
      <c r="A4876" t="s">
        <v>13657</v>
      </c>
      <c r="B4876" t="s">
        <v>64</v>
      </c>
      <c r="C4876">
        <v>0.01</v>
      </c>
    </row>
    <row r="4877" spans="1:3" x14ac:dyDescent="0.3">
      <c r="A4877" t="s">
        <v>13657</v>
      </c>
      <c r="B4877" t="s">
        <v>29</v>
      </c>
      <c r="C4877">
        <v>0.06</v>
      </c>
    </row>
    <row r="4878" spans="1:3" x14ac:dyDescent="0.3">
      <c r="A4878" t="s">
        <v>12583</v>
      </c>
      <c r="B4878" t="s">
        <v>64</v>
      </c>
      <c r="C4878">
        <v>0</v>
      </c>
    </row>
    <row r="4879" spans="1:3" x14ac:dyDescent="0.3">
      <c r="A4879" t="s">
        <v>12583</v>
      </c>
      <c r="B4879" t="s">
        <v>64</v>
      </c>
      <c r="C4879">
        <v>0.06</v>
      </c>
    </row>
    <row r="4880" spans="1:3" x14ac:dyDescent="0.3">
      <c r="A4880" t="s">
        <v>11844</v>
      </c>
      <c r="B4880" t="s">
        <v>64</v>
      </c>
      <c r="C4880">
        <v>0.08</v>
      </c>
    </row>
    <row r="4881" spans="1:3" x14ac:dyDescent="0.3">
      <c r="A4881" t="s">
        <v>11844</v>
      </c>
      <c r="B4881" t="s">
        <v>53</v>
      </c>
      <c r="C4881">
        <v>0.02</v>
      </c>
    </row>
    <row r="4882" spans="1:3" x14ac:dyDescent="0.3">
      <c r="A4882" t="s">
        <v>11844</v>
      </c>
      <c r="B4882" t="s">
        <v>53</v>
      </c>
      <c r="C4882">
        <v>0.04</v>
      </c>
    </row>
    <row r="4883" spans="1:3" x14ac:dyDescent="0.3">
      <c r="A4883" t="s">
        <v>5460</v>
      </c>
      <c r="B4883" t="s">
        <v>225</v>
      </c>
      <c r="C4883">
        <v>0.1</v>
      </c>
    </row>
    <row r="4884" spans="1:3" x14ac:dyDescent="0.3">
      <c r="A4884" t="s">
        <v>14795</v>
      </c>
      <c r="B4884" t="s">
        <v>225</v>
      </c>
      <c r="C4884">
        <v>0.04</v>
      </c>
    </row>
    <row r="4885" spans="1:3" x14ac:dyDescent="0.3">
      <c r="A4885" t="s">
        <v>6389</v>
      </c>
      <c r="B4885" t="s">
        <v>64</v>
      </c>
      <c r="C4885">
        <v>0.02</v>
      </c>
    </row>
    <row r="4886" spans="1:3" x14ac:dyDescent="0.3">
      <c r="A4886" t="s">
        <v>12098</v>
      </c>
      <c r="B4886" t="s">
        <v>87</v>
      </c>
      <c r="C4886">
        <v>0.03</v>
      </c>
    </row>
    <row r="4887" spans="1:3" x14ac:dyDescent="0.3">
      <c r="A4887" t="s">
        <v>10612</v>
      </c>
      <c r="B4887" t="s">
        <v>87</v>
      </c>
      <c r="C4887">
        <v>0.02</v>
      </c>
    </row>
    <row r="4888" spans="1:3" x14ac:dyDescent="0.3">
      <c r="A4888" t="s">
        <v>2022</v>
      </c>
      <c r="B4888" t="s">
        <v>64</v>
      </c>
      <c r="C4888">
        <v>7.0000000000000007E-2</v>
      </c>
    </row>
    <row r="4889" spans="1:3" x14ac:dyDescent="0.3">
      <c r="A4889" t="s">
        <v>15499</v>
      </c>
      <c r="B4889" t="s">
        <v>87</v>
      </c>
      <c r="C4889">
        <v>0</v>
      </c>
    </row>
    <row r="4890" spans="1:3" x14ac:dyDescent="0.3">
      <c r="A4890" t="s">
        <v>8919</v>
      </c>
      <c r="B4890" t="s">
        <v>87</v>
      </c>
      <c r="C4890">
        <v>0.05</v>
      </c>
    </row>
    <row r="4891" spans="1:3" x14ac:dyDescent="0.3">
      <c r="A4891" t="s">
        <v>12841</v>
      </c>
      <c r="B4891" t="s">
        <v>87</v>
      </c>
      <c r="C4891">
        <v>0.02</v>
      </c>
    </row>
    <row r="4892" spans="1:3" x14ac:dyDescent="0.3">
      <c r="A4892" t="s">
        <v>12557</v>
      </c>
      <c r="B4892" t="s">
        <v>87</v>
      </c>
      <c r="C4892">
        <v>0.04</v>
      </c>
    </row>
    <row r="4893" spans="1:3" x14ac:dyDescent="0.3">
      <c r="A4893" t="s">
        <v>11914</v>
      </c>
      <c r="B4893" t="s">
        <v>87</v>
      </c>
      <c r="C4893">
        <v>0.02</v>
      </c>
    </row>
    <row r="4894" spans="1:3" x14ac:dyDescent="0.3">
      <c r="A4894" t="s">
        <v>10614</v>
      </c>
      <c r="B4894" t="s">
        <v>53</v>
      </c>
      <c r="C4894">
        <v>0.02</v>
      </c>
    </row>
    <row r="4895" spans="1:3" x14ac:dyDescent="0.3">
      <c r="A4895" t="s">
        <v>10614</v>
      </c>
      <c r="B4895" t="s">
        <v>53</v>
      </c>
      <c r="C4895">
        <v>0.1</v>
      </c>
    </row>
    <row r="4896" spans="1:3" x14ac:dyDescent="0.3">
      <c r="A4896" t="s">
        <v>8306</v>
      </c>
      <c r="B4896" t="s">
        <v>29</v>
      </c>
      <c r="C4896">
        <v>7.0000000000000007E-2</v>
      </c>
    </row>
    <row r="4897" spans="1:3" x14ac:dyDescent="0.3">
      <c r="A4897" t="s">
        <v>2027</v>
      </c>
      <c r="B4897" t="s">
        <v>40</v>
      </c>
      <c r="C4897">
        <v>0.05</v>
      </c>
    </row>
    <row r="4898" spans="1:3" x14ac:dyDescent="0.3">
      <c r="A4898" t="s">
        <v>3093</v>
      </c>
      <c r="B4898" t="s">
        <v>29</v>
      </c>
      <c r="C4898">
        <v>0.03</v>
      </c>
    </row>
    <row r="4899" spans="1:3" x14ac:dyDescent="0.3">
      <c r="A4899" t="s">
        <v>3093</v>
      </c>
      <c r="B4899" t="s">
        <v>29</v>
      </c>
      <c r="C4899">
        <v>0.09</v>
      </c>
    </row>
    <row r="4900" spans="1:3" x14ac:dyDescent="0.3">
      <c r="A4900" t="s">
        <v>15073</v>
      </c>
      <c r="B4900" t="s">
        <v>225</v>
      </c>
      <c r="C4900">
        <v>0.02</v>
      </c>
    </row>
    <row r="4901" spans="1:3" x14ac:dyDescent="0.3">
      <c r="A4901" t="s">
        <v>13218</v>
      </c>
      <c r="B4901" t="s">
        <v>87</v>
      </c>
      <c r="C4901">
        <v>0.01</v>
      </c>
    </row>
    <row r="4902" spans="1:3" x14ac:dyDescent="0.3">
      <c r="A4902" t="s">
        <v>13218</v>
      </c>
      <c r="B4902" t="s">
        <v>87</v>
      </c>
      <c r="C4902">
        <v>7.0000000000000007E-2</v>
      </c>
    </row>
    <row r="4903" spans="1:3" x14ac:dyDescent="0.3">
      <c r="A4903" t="s">
        <v>13218</v>
      </c>
      <c r="B4903" t="s">
        <v>87</v>
      </c>
      <c r="C4903">
        <v>0.08</v>
      </c>
    </row>
    <row r="4904" spans="1:3" x14ac:dyDescent="0.3">
      <c r="A4904" t="s">
        <v>6458</v>
      </c>
      <c r="B4904" t="s">
        <v>87</v>
      </c>
      <c r="C4904">
        <v>0.08</v>
      </c>
    </row>
    <row r="4905" spans="1:3" x14ac:dyDescent="0.3">
      <c r="A4905" t="s">
        <v>12870</v>
      </c>
      <c r="B4905" t="s">
        <v>87</v>
      </c>
      <c r="C4905">
        <v>0.03</v>
      </c>
    </row>
    <row r="4906" spans="1:3" x14ac:dyDescent="0.3">
      <c r="A4906" t="s">
        <v>10671</v>
      </c>
      <c r="B4906" t="s">
        <v>53</v>
      </c>
      <c r="C4906">
        <v>0.02</v>
      </c>
    </row>
    <row r="4907" spans="1:3" x14ac:dyDescent="0.3">
      <c r="A4907" t="s">
        <v>2066</v>
      </c>
      <c r="B4907" t="s">
        <v>53</v>
      </c>
      <c r="C4907">
        <v>0</v>
      </c>
    </row>
    <row r="4908" spans="1:3" x14ac:dyDescent="0.3">
      <c r="A4908" t="s">
        <v>2066</v>
      </c>
      <c r="B4908" t="s">
        <v>53</v>
      </c>
      <c r="C4908">
        <v>0.08</v>
      </c>
    </row>
    <row r="4909" spans="1:3" x14ac:dyDescent="0.3">
      <c r="A4909" t="s">
        <v>12218</v>
      </c>
      <c r="B4909" t="s">
        <v>53</v>
      </c>
      <c r="C4909">
        <v>0</v>
      </c>
    </row>
    <row r="4910" spans="1:3" x14ac:dyDescent="0.3">
      <c r="A4910" t="s">
        <v>2084</v>
      </c>
      <c r="B4910" t="s">
        <v>29</v>
      </c>
      <c r="C4910">
        <v>0.03</v>
      </c>
    </row>
    <row r="4911" spans="1:3" x14ac:dyDescent="0.3">
      <c r="A4911" t="s">
        <v>2084</v>
      </c>
      <c r="B4911" t="s">
        <v>29</v>
      </c>
      <c r="C4911">
        <v>7.0000000000000007E-2</v>
      </c>
    </row>
    <row r="4912" spans="1:3" x14ac:dyDescent="0.3">
      <c r="A4912" t="s">
        <v>6807</v>
      </c>
      <c r="B4912" t="s">
        <v>87</v>
      </c>
      <c r="C4912">
        <v>0.01</v>
      </c>
    </row>
    <row r="4913" spans="1:3" x14ac:dyDescent="0.3">
      <c r="A4913" t="s">
        <v>6807</v>
      </c>
      <c r="B4913" t="s">
        <v>87</v>
      </c>
      <c r="C4913">
        <v>0.05</v>
      </c>
    </row>
    <row r="4914" spans="1:3" x14ac:dyDescent="0.3">
      <c r="A4914" t="s">
        <v>11986</v>
      </c>
      <c r="B4914" t="s">
        <v>29</v>
      </c>
      <c r="C4914">
        <v>0.02</v>
      </c>
    </row>
    <row r="4915" spans="1:3" x14ac:dyDescent="0.3">
      <c r="A4915" t="s">
        <v>11986</v>
      </c>
      <c r="B4915" t="s">
        <v>29</v>
      </c>
      <c r="C4915">
        <v>0.03</v>
      </c>
    </row>
    <row r="4916" spans="1:3" x14ac:dyDescent="0.3">
      <c r="A4916" t="s">
        <v>11986</v>
      </c>
      <c r="B4916" t="s">
        <v>29</v>
      </c>
      <c r="C4916">
        <v>0.08</v>
      </c>
    </row>
    <row r="4917" spans="1:3" x14ac:dyDescent="0.3">
      <c r="A4917" t="s">
        <v>13514</v>
      </c>
      <c r="B4917" t="s">
        <v>64</v>
      </c>
      <c r="C4917">
        <v>0</v>
      </c>
    </row>
    <row r="4918" spans="1:3" x14ac:dyDescent="0.3">
      <c r="A4918" t="s">
        <v>13514</v>
      </c>
      <c r="B4918" t="s">
        <v>29</v>
      </c>
      <c r="C4918">
        <v>0.03</v>
      </c>
    </row>
    <row r="4919" spans="1:3" x14ac:dyDescent="0.3">
      <c r="A4919" t="s">
        <v>11900</v>
      </c>
      <c r="B4919" t="s">
        <v>87</v>
      </c>
      <c r="C4919">
        <v>0.06</v>
      </c>
    </row>
    <row r="4920" spans="1:3" x14ac:dyDescent="0.3">
      <c r="A4920" t="s">
        <v>2118</v>
      </c>
      <c r="B4920" t="s">
        <v>64</v>
      </c>
      <c r="C4920">
        <v>0.09</v>
      </c>
    </row>
    <row r="4921" spans="1:3" x14ac:dyDescent="0.3">
      <c r="A4921" t="s">
        <v>2118</v>
      </c>
      <c r="B4921" t="s">
        <v>29</v>
      </c>
      <c r="C4921">
        <v>7.0000000000000007E-2</v>
      </c>
    </row>
    <row r="4922" spans="1:3" x14ac:dyDescent="0.3">
      <c r="A4922" t="s">
        <v>2118</v>
      </c>
      <c r="B4922" t="s">
        <v>87</v>
      </c>
      <c r="C4922">
        <v>0.01</v>
      </c>
    </row>
    <row r="4923" spans="1:3" x14ac:dyDescent="0.3">
      <c r="A4923" t="s">
        <v>12466</v>
      </c>
      <c r="B4923" t="s">
        <v>225</v>
      </c>
      <c r="C4923">
        <v>0.04</v>
      </c>
    </row>
    <row r="4924" spans="1:3" x14ac:dyDescent="0.3">
      <c r="A4924" t="s">
        <v>13290</v>
      </c>
      <c r="B4924" t="s">
        <v>225</v>
      </c>
      <c r="C4924">
        <v>0.05</v>
      </c>
    </row>
    <row r="4925" spans="1:3" x14ac:dyDescent="0.3">
      <c r="A4925" t="s">
        <v>2134</v>
      </c>
      <c r="B4925" t="s">
        <v>29</v>
      </c>
      <c r="C4925">
        <v>0.01</v>
      </c>
    </row>
    <row r="4926" spans="1:3" x14ac:dyDescent="0.3">
      <c r="A4926" t="s">
        <v>12818</v>
      </c>
      <c r="B4926" t="s">
        <v>64</v>
      </c>
      <c r="C4926">
        <v>0</v>
      </c>
    </row>
    <row r="4927" spans="1:3" x14ac:dyDescent="0.3">
      <c r="A4927" t="s">
        <v>12818</v>
      </c>
      <c r="B4927" t="s">
        <v>29</v>
      </c>
      <c r="C4927">
        <v>0.05</v>
      </c>
    </row>
    <row r="4928" spans="1:3" x14ac:dyDescent="0.3">
      <c r="A4928" t="s">
        <v>5484</v>
      </c>
      <c r="B4928" t="s">
        <v>64</v>
      </c>
      <c r="C4928">
        <v>0</v>
      </c>
    </row>
    <row r="4929" spans="1:3" x14ac:dyDescent="0.3">
      <c r="A4929" t="s">
        <v>12795</v>
      </c>
      <c r="B4929" t="s">
        <v>64</v>
      </c>
      <c r="C4929">
        <v>0.02</v>
      </c>
    </row>
    <row r="4930" spans="1:3" x14ac:dyDescent="0.3">
      <c r="A4930" t="s">
        <v>9705</v>
      </c>
      <c r="B4930" t="s">
        <v>64</v>
      </c>
      <c r="C4930">
        <v>0.02</v>
      </c>
    </row>
    <row r="4931" spans="1:3" x14ac:dyDescent="0.3">
      <c r="A4931" t="s">
        <v>9705</v>
      </c>
      <c r="B4931" t="s">
        <v>64</v>
      </c>
      <c r="C4931">
        <v>0.03</v>
      </c>
    </row>
    <row r="4932" spans="1:3" x14ac:dyDescent="0.3">
      <c r="A4932" t="s">
        <v>9705</v>
      </c>
      <c r="B4932" t="s">
        <v>64</v>
      </c>
      <c r="C4932">
        <v>0.1</v>
      </c>
    </row>
    <row r="4933" spans="1:3" x14ac:dyDescent="0.3">
      <c r="A4933" t="s">
        <v>8528</v>
      </c>
      <c r="B4933" t="s">
        <v>64</v>
      </c>
      <c r="C4933">
        <v>0.04</v>
      </c>
    </row>
    <row r="4934" spans="1:3" x14ac:dyDescent="0.3">
      <c r="A4934" t="s">
        <v>11311</v>
      </c>
      <c r="B4934" t="s">
        <v>40</v>
      </c>
      <c r="C4934">
        <v>7.0000000000000007E-2</v>
      </c>
    </row>
    <row r="4935" spans="1:3" x14ac:dyDescent="0.3">
      <c r="A4935" t="s">
        <v>11311</v>
      </c>
      <c r="B4935" t="s">
        <v>87</v>
      </c>
      <c r="C4935">
        <v>0.09</v>
      </c>
    </row>
    <row r="4936" spans="1:3" x14ac:dyDescent="0.3">
      <c r="A4936" t="s">
        <v>4584</v>
      </c>
      <c r="B4936" t="s">
        <v>64</v>
      </c>
      <c r="C4936">
        <v>0.02</v>
      </c>
    </row>
    <row r="4937" spans="1:3" x14ac:dyDescent="0.3">
      <c r="A4937" t="s">
        <v>4584</v>
      </c>
      <c r="B4937" t="s">
        <v>64</v>
      </c>
      <c r="C4937">
        <v>0.09</v>
      </c>
    </row>
    <row r="4938" spans="1:3" x14ac:dyDescent="0.3">
      <c r="A4938" t="s">
        <v>11352</v>
      </c>
      <c r="B4938" t="s">
        <v>40</v>
      </c>
      <c r="C4938">
        <v>0.01</v>
      </c>
    </row>
    <row r="4939" spans="1:3" x14ac:dyDescent="0.3">
      <c r="A4939" t="s">
        <v>11352</v>
      </c>
      <c r="B4939" t="s">
        <v>40</v>
      </c>
      <c r="C4939">
        <v>0.08</v>
      </c>
    </row>
    <row r="4940" spans="1:3" x14ac:dyDescent="0.3">
      <c r="A4940" t="s">
        <v>7043</v>
      </c>
      <c r="B4940" t="s">
        <v>87</v>
      </c>
      <c r="C4940">
        <v>7.0000000000000007E-2</v>
      </c>
    </row>
    <row r="4941" spans="1:3" x14ac:dyDescent="0.3">
      <c r="A4941" t="s">
        <v>7193</v>
      </c>
      <c r="B4941" t="s">
        <v>87</v>
      </c>
      <c r="C4941">
        <v>0.01</v>
      </c>
    </row>
    <row r="4942" spans="1:3" x14ac:dyDescent="0.3">
      <c r="A4942" t="s">
        <v>7193</v>
      </c>
      <c r="B4942" t="s">
        <v>87</v>
      </c>
      <c r="C4942">
        <v>0.09</v>
      </c>
    </row>
    <row r="4943" spans="1:3" x14ac:dyDescent="0.3">
      <c r="A4943" t="s">
        <v>8282</v>
      </c>
      <c r="B4943" t="s">
        <v>29</v>
      </c>
      <c r="C4943">
        <v>7.0000000000000007E-2</v>
      </c>
    </row>
    <row r="4944" spans="1:3" x14ac:dyDescent="0.3">
      <c r="A4944" t="s">
        <v>8282</v>
      </c>
      <c r="B4944" t="s">
        <v>87</v>
      </c>
      <c r="C4944">
        <v>0.03</v>
      </c>
    </row>
    <row r="4945" spans="1:3" x14ac:dyDescent="0.3">
      <c r="A4945" t="s">
        <v>14372</v>
      </c>
      <c r="B4945" t="s">
        <v>29</v>
      </c>
      <c r="C4945">
        <v>0.01</v>
      </c>
    </row>
    <row r="4946" spans="1:3" x14ac:dyDescent="0.3">
      <c r="A4946" t="s">
        <v>13845</v>
      </c>
      <c r="B4946" t="s">
        <v>29</v>
      </c>
      <c r="C4946">
        <v>0.01</v>
      </c>
    </row>
    <row r="4947" spans="1:3" x14ac:dyDescent="0.3">
      <c r="A4947" t="s">
        <v>9348</v>
      </c>
      <c r="B4947" t="s">
        <v>29</v>
      </c>
      <c r="C4947">
        <v>0.01</v>
      </c>
    </row>
    <row r="4948" spans="1:3" x14ac:dyDescent="0.3">
      <c r="A4948" t="s">
        <v>14648</v>
      </c>
      <c r="B4948" t="s">
        <v>29</v>
      </c>
      <c r="C4948">
        <v>7.0000000000000007E-2</v>
      </c>
    </row>
    <row r="4949" spans="1:3" x14ac:dyDescent="0.3">
      <c r="A4949" t="s">
        <v>15332</v>
      </c>
      <c r="B4949" t="s">
        <v>64</v>
      </c>
      <c r="C4949">
        <v>0.01</v>
      </c>
    </row>
    <row r="4950" spans="1:3" x14ac:dyDescent="0.3">
      <c r="A4950" t="s">
        <v>12244</v>
      </c>
      <c r="B4950" t="s">
        <v>87</v>
      </c>
      <c r="C4950">
        <v>7.0000000000000007E-2</v>
      </c>
    </row>
    <row r="4951" spans="1:3" x14ac:dyDescent="0.3">
      <c r="A4951" t="s">
        <v>5943</v>
      </c>
      <c r="B4951" t="s">
        <v>87</v>
      </c>
      <c r="C4951">
        <v>0.04</v>
      </c>
    </row>
    <row r="4952" spans="1:3" x14ac:dyDescent="0.3">
      <c r="A4952" t="s">
        <v>5943</v>
      </c>
      <c r="B4952" t="s">
        <v>87</v>
      </c>
      <c r="C4952">
        <v>0.05</v>
      </c>
    </row>
    <row r="4953" spans="1:3" x14ac:dyDescent="0.3">
      <c r="A4953" t="s">
        <v>5951</v>
      </c>
      <c r="B4953" t="s">
        <v>87</v>
      </c>
      <c r="C4953">
        <v>7.0000000000000007E-2</v>
      </c>
    </row>
    <row r="4954" spans="1:3" x14ac:dyDescent="0.3">
      <c r="A4954" t="s">
        <v>2206</v>
      </c>
      <c r="B4954" t="s">
        <v>40</v>
      </c>
      <c r="C4954">
        <v>0.08</v>
      </c>
    </row>
    <row r="4955" spans="1:3" x14ac:dyDescent="0.3">
      <c r="A4955" t="s">
        <v>3572</v>
      </c>
      <c r="B4955" t="s">
        <v>40</v>
      </c>
      <c r="C4955">
        <v>0.01</v>
      </c>
    </row>
    <row r="4956" spans="1:3" x14ac:dyDescent="0.3">
      <c r="A4956" t="s">
        <v>3572</v>
      </c>
      <c r="B4956" t="s">
        <v>40</v>
      </c>
      <c r="C4956">
        <v>0.05</v>
      </c>
    </row>
    <row r="4957" spans="1:3" x14ac:dyDescent="0.3">
      <c r="A4957" t="s">
        <v>3572</v>
      </c>
      <c r="B4957" t="s">
        <v>53</v>
      </c>
      <c r="C4957">
        <v>0.03</v>
      </c>
    </row>
    <row r="4958" spans="1:3" x14ac:dyDescent="0.3">
      <c r="A4958" t="s">
        <v>4838</v>
      </c>
      <c r="B4958" t="s">
        <v>40</v>
      </c>
      <c r="C4958">
        <v>0.04</v>
      </c>
    </row>
    <row r="4959" spans="1:3" x14ac:dyDescent="0.3">
      <c r="A4959" t="s">
        <v>15418</v>
      </c>
      <c r="B4959" t="s">
        <v>64</v>
      </c>
      <c r="C4959">
        <v>0.01</v>
      </c>
    </row>
    <row r="4960" spans="1:3" x14ac:dyDescent="0.3">
      <c r="A4960" t="s">
        <v>5639</v>
      </c>
      <c r="B4960" t="s">
        <v>53</v>
      </c>
      <c r="C4960">
        <v>0.05</v>
      </c>
    </row>
    <row r="4961" spans="1:3" x14ac:dyDescent="0.3">
      <c r="A4961" t="s">
        <v>5639</v>
      </c>
      <c r="B4961" t="s">
        <v>53</v>
      </c>
      <c r="C4961">
        <v>7.0000000000000007E-2</v>
      </c>
    </row>
    <row r="4962" spans="1:3" x14ac:dyDescent="0.3">
      <c r="A4962" t="s">
        <v>5639</v>
      </c>
      <c r="B4962" t="s">
        <v>53</v>
      </c>
      <c r="C4962">
        <v>0.08</v>
      </c>
    </row>
    <row r="4963" spans="1:3" x14ac:dyDescent="0.3">
      <c r="A4963" t="s">
        <v>11430</v>
      </c>
      <c r="B4963" t="s">
        <v>29</v>
      </c>
      <c r="C4963">
        <v>7.0000000000000007E-2</v>
      </c>
    </row>
    <row r="4964" spans="1:3" x14ac:dyDescent="0.3">
      <c r="A4964" t="s">
        <v>11430</v>
      </c>
      <c r="B4964" t="s">
        <v>29</v>
      </c>
      <c r="C4964">
        <v>0.08</v>
      </c>
    </row>
    <row r="4965" spans="1:3" x14ac:dyDescent="0.3">
      <c r="A4965" t="s">
        <v>8783</v>
      </c>
      <c r="B4965" t="s">
        <v>29</v>
      </c>
      <c r="C4965">
        <v>0</v>
      </c>
    </row>
    <row r="4966" spans="1:3" x14ac:dyDescent="0.3">
      <c r="A4966" t="s">
        <v>8783</v>
      </c>
      <c r="B4966" t="s">
        <v>29</v>
      </c>
      <c r="C4966">
        <v>0.03</v>
      </c>
    </row>
    <row r="4967" spans="1:3" x14ac:dyDescent="0.3">
      <c r="A4967" t="s">
        <v>14480</v>
      </c>
      <c r="B4967" t="s">
        <v>87</v>
      </c>
      <c r="C4967">
        <v>0.01</v>
      </c>
    </row>
    <row r="4968" spans="1:3" x14ac:dyDescent="0.3">
      <c r="A4968" t="s">
        <v>14480</v>
      </c>
      <c r="B4968" t="s">
        <v>87</v>
      </c>
      <c r="C4968">
        <v>0.05</v>
      </c>
    </row>
    <row r="4969" spans="1:3" x14ac:dyDescent="0.3">
      <c r="A4969" t="s">
        <v>3081</v>
      </c>
      <c r="B4969" t="s">
        <v>87</v>
      </c>
      <c r="C4969">
        <v>0.05</v>
      </c>
    </row>
    <row r="4970" spans="1:3" x14ac:dyDescent="0.3">
      <c r="A4970" t="s">
        <v>4891</v>
      </c>
      <c r="B4970" t="s">
        <v>87</v>
      </c>
      <c r="C4970">
        <v>0.09</v>
      </c>
    </row>
    <row r="4971" spans="1:3" x14ac:dyDescent="0.3">
      <c r="A4971" t="s">
        <v>12119</v>
      </c>
      <c r="B4971" t="s">
        <v>225</v>
      </c>
      <c r="C4971">
        <v>0.02</v>
      </c>
    </row>
    <row r="4972" spans="1:3" x14ac:dyDescent="0.3">
      <c r="A4972" t="s">
        <v>12119</v>
      </c>
      <c r="B4972" t="s">
        <v>225</v>
      </c>
      <c r="C4972">
        <v>0.08</v>
      </c>
    </row>
    <row r="4973" spans="1:3" x14ac:dyDescent="0.3">
      <c r="A4973" t="s">
        <v>7027</v>
      </c>
      <c r="B4973" t="s">
        <v>40</v>
      </c>
      <c r="C4973">
        <v>0.04</v>
      </c>
    </row>
    <row r="4974" spans="1:3" x14ac:dyDescent="0.3">
      <c r="A4974" t="s">
        <v>15356</v>
      </c>
      <c r="B4974" t="s">
        <v>64</v>
      </c>
      <c r="C4974">
        <v>0.06</v>
      </c>
    </row>
    <row r="4975" spans="1:3" x14ac:dyDescent="0.3">
      <c r="A4975" t="s">
        <v>11184</v>
      </c>
      <c r="B4975" t="s">
        <v>53</v>
      </c>
      <c r="C4975">
        <v>7.0000000000000007E-2</v>
      </c>
    </row>
    <row r="4976" spans="1:3" x14ac:dyDescent="0.3">
      <c r="A4976" t="s">
        <v>11184</v>
      </c>
      <c r="B4976" t="s">
        <v>53</v>
      </c>
      <c r="C4976">
        <v>0.08</v>
      </c>
    </row>
    <row r="4977" spans="1:3" x14ac:dyDescent="0.3">
      <c r="A4977" t="s">
        <v>11184</v>
      </c>
      <c r="B4977" t="s">
        <v>53</v>
      </c>
      <c r="C4977">
        <v>0.1</v>
      </c>
    </row>
    <row r="4978" spans="1:3" x14ac:dyDescent="0.3">
      <c r="A4978" t="s">
        <v>7635</v>
      </c>
      <c r="B4978" t="s">
        <v>53</v>
      </c>
      <c r="C4978">
        <v>0.02</v>
      </c>
    </row>
    <row r="4979" spans="1:3" x14ac:dyDescent="0.3">
      <c r="A4979" t="s">
        <v>7635</v>
      </c>
      <c r="B4979" t="s">
        <v>53</v>
      </c>
      <c r="C4979">
        <v>0.1</v>
      </c>
    </row>
    <row r="4980" spans="1:3" x14ac:dyDescent="0.3">
      <c r="A4980" t="s">
        <v>2246</v>
      </c>
      <c r="B4980" t="s">
        <v>53</v>
      </c>
      <c r="C4980">
        <v>0.1</v>
      </c>
    </row>
    <row r="4981" spans="1:3" x14ac:dyDescent="0.3">
      <c r="A4981" t="s">
        <v>10606</v>
      </c>
      <c r="B4981" t="s">
        <v>53</v>
      </c>
      <c r="C4981">
        <v>0.06</v>
      </c>
    </row>
    <row r="4982" spans="1:3" x14ac:dyDescent="0.3">
      <c r="A4982" t="s">
        <v>10606</v>
      </c>
      <c r="B4982" t="s">
        <v>53</v>
      </c>
      <c r="C4982">
        <v>0.08</v>
      </c>
    </row>
    <row r="4983" spans="1:3" x14ac:dyDescent="0.3">
      <c r="A4983" t="s">
        <v>2252</v>
      </c>
      <c r="B4983" t="s">
        <v>53</v>
      </c>
      <c r="C4983">
        <v>0.03</v>
      </c>
    </row>
    <row r="4984" spans="1:3" x14ac:dyDescent="0.3">
      <c r="A4984" t="s">
        <v>9182</v>
      </c>
      <c r="B4984" t="s">
        <v>64</v>
      </c>
      <c r="C4984">
        <v>0.09</v>
      </c>
    </row>
    <row r="4985" spans="1:3" x14ac:dyDescent="0.3">
      <c r="A4985" t="s">
        <v>5719</v>
      </c>
      <c r="B4985" t="s">
        <v>64</v>
      </c>
      <c r="C4985">
        <v>0.03</v>
      </c>
    </row>
    <row r="4986" spans="1:3" x14ac:dyDescent="0.3">
      <c r="A4986" t="s">
        <v>5719</v>
      </c>
      <c r="B4986" t="s">
        <v>64</v>
      </c>
      <c r="C4986">
        <v>0.05</v>
      </c>
    </row>
    <row r="4987" spans="1:3" x14ac:dyDescent="0.3">
      <c r="A4987" t="s">
        <v>15685</v>
      </c>
      <c r="B4987" t="s">
        <v>53</v>
      </c>
      <c r="C4987">
        <v>0.02</v>
      </c>
    </row>
    <row r="4988" spans="1:3" x14ac:dyDescent="0.3">
      <c r="A4988" t="s">
        <v>15685</v>
      </c>
      <c r="B4988" t="s">
        <v>53</v>
      </c>
      <c r="C4988">
        <v>0.09</v>
      </c>
    </row>
    <row r="4989" spans="1:3" x14ac:dyDescent="0.3">
      <c r="A4989" t="s">
        <v>12189</v>
      </c>
      <c r="B4989" t="s">
        <v>64</v>
      </c>
      <c r="C4989">
        <v>7.0000000000000007E-2</v>
      </c>
    </row>
    <row r="4990" spans="1:3" x14ac:dyDescent="0.3">
      <c r="A4990" t="s">
        <v>9905</v>
      </c>
      <c r="B4990" t="s">
        <v>64</v>
      </c>
      <c r="C4990">
        <v>7.0000000000000007E-2</v>
      </c>
    </row>
    <row r="4991" spans="1:3" x14ac:dyDescent="0.3">
      <c r="A4991" t="s">
        <v>9905</v>
      </c>
      <c r="B4991" t="s">
        <v>64</v>
      </c>
      <c r="C4991">
        <v>0.1</v>
      </c>
    </row>
    <row r="4992" spans="1:3" x14ac:dyDescent="0.3">
      <c r="A4992" t="s">
        <v>11155</v>
      </c>
      <c r="B4992" t="s">
        <v>64</v>
      </c>
      <c r="C4992">
        <v>0.06</v>
      </c>
    </row>
    <row r="4993" spans="1:3" x14ac:dyDescent="0.3">
      <c r="A4993" t="s">
        <v>9952</v>
      </c>
      <c r="B4993" t="s">
        <v>64</v>
      </c>
      <c r="C4993">
        <v>0.01</v>
      </c>
    </row>
    <row r="4994" spans="1:3" x14ac:dyDescent="0.3">
      <c r="A4994" t="s">
        <v>5806</v>
      </c>
      <c r="B4994" t="s">
        <v>225</v>
      </c>
      <c r="C4994">
        <v>7.0000000000000007E-2</v>
      </c>
    </row>
    <row r="4995" spans="1:3" x14ac:dyDescent="0.3">
      <c r="A4995" t="s">
        <v>5806</v>
      </c>
      <c r="B4995" t="s">
        <v>53</v>
      </c>
      <c r="C4995">
        <v>0.02</v>
      </c>
    </row>
    <row r="4996" spans="1:3" x14ac:dyDescent="0.3">
      <c r="A4996" t="s">
        <v>8253</v>
      </c>
      <c r="B4996" t="s">
        <v>29</v>
      </c>
      <c r="C4996">
        <v>0.05</v>
      </c>
    </row>
    <row r="4997" spans="1:3" x14ac:dyDescent="0.3">
      <c r="A4997" t="s">
        <v>11608</v>
      </c>
      <c r="B4997" t="s">
        <v>29</v>
      </c>
      <c r="C4997">
        <v>0.03</v>
      </c>
    </row>
    <row r="4998" spans="1:3" x14ac:dyDescent="0.3">
      <c r="A4998" t="s">
        <v>11608</v>
      </c>
      <c r="B4998" t="s">
        <v>29</v>
      </c>
      <c r="C4998">
        <v>0.05</v>
      </c>
    </row>
    <row r="4999" spans="1:3" x14ac:dyDescent="0.3">
      <c r="A4999" t="s">
        <v>11608</v>
      </c>
      <c r="B4999" t="s">
        <v>87</v>
      </c>
      <c r="C4999">
        <v>0.03</v>
      </c>
    </row>
    <row r="5000" spans="1:3" x14ac:dyDescent="0.3">
      <c r="A5000" t="s">
        <v>2270</v>
      </c>
      <c r="B5000" t="s">
        <v>29</v>
      </c>
      <c r="C5000">
        <v>0.1</v>
      </c>
    </row>
    <row r="5001" spans="1:3" x14ac:dyDescent="0.3">
      <c r="A5001" t="s">
        <v>2407</v>
      </c>
      <c r="B5001" t="s">
        <v>29</v>
      </c>
      <c r="C5001">
        <v>0</v>
      </c>
    </row>
    <row r="5002" spans="1:3" x14ac:dyDescent="0.3">
      <c r="A5002" t="s">
        <v>10627</v>
      </c>
      <c r="B5002" t="s">
        <v>40</v>
      </c>
      <c r="C5002">
        <v>0</v>
      </c>
    </row>
    <row r="5003" spans="1:3" x14ac:dyDescent="0.3">
      <c r="A5003" t="s">
        <v>15044</v>
      </c>
      <c r="B5003" t="s">
        <v>87</v>
      </c>
      <c r="C5003">
        <v>0.03</v>
      </c>
    </row>
    <row r="5004" spans="1:3" x14ac:dyDescent="0.3">
      <c r="A5004" t="s">
        <v>15044</v>
      </c>
      <c r="B5004" t="s">
        <v>87</v>
      </c>
      <c r="C5004">
        <v>0.09</v>
      </c>
    </row>
    <row r="5005" spans="1:3" x14ac:dyDescent="0.3">
      <c r="A5005" t="s">
        <v>15704</v>
      </c>
      <c r="B5005" t="s">
        <v>87</v>
      </c>
      <c r="C5005">
        <v>0</v>
      </c>
    </row>
    <row r="5006" spans="1:3" x14ac:dyDescent="0.3">
      <c r="A5006" t="s">
        <v>15704</v>
      </c>
      <c r="B5006" t="s">
        <v>87</v>
      </c>
      <c r="C5006">
        <v>0.05</v>
      </c>
    </row>
    <row r="5007" spans="1:3" x14ac:dyDescent="0.3">
      <c r="A5007" t="s">
        <v>2767</v>
      </c>
      <c r="B5007" t="s">
        <v>64</v>
      </c>
      <c r="C5007">
        <v>7.0000000000000007E-2</v>
      </c>
    </row>
    <row r="5008" spans="1:3" x14ac:dyDescent="0.3">
      <c r="A5008" t="s">
        <v>2807</v>
      </c>
      <c r="B5008" t="s">
        <v>64</v>
      </c>
      <c r="C5008">
        <v>0.06</v>
      </c>
    </row>
    <row r="5009" spans="1:3" x14ac:dyDescent="0.3">
      <c r="A5009" t="s">
        <v>2299</v>
      </c>
      <c r="B5009" t="s">
        <v>29</v>
      </c>
      <c r="C5009">
        <v>0.03</v>
      </c>
    </row>
    <row r="5010" spans="1:3" x14ac:dyDescent="0.3">
      <c r="A5010" t="s">
        <v>2299</v>
      </c>
      <c r="B5010" t="s">
        <v>29</v>
      </c>
      <c r="C5010">
        <v>0.04</v>
      </c>
    </row>
    <row r="5011" spans="1:3" x14ac:dyDescent="0.3">
      <c r="A5011" t="s">
        <v>8899</v>
      </c>
      <c r="B5011" t="s">
        <v>225</v>
      </c>
      <c r="C5011">
        <v>0.05</v>
      </c>
    </row>
    <row r="5012" spans="1:3" x14ac:dyDescent="0.3">
      <c r="A5012" t="s">
        <v>8899</v>
      </c>
      <c r="B5012" t="s">
        <v>225</v>
      </c>
      <c r="C5012">
        <v>0.1</v>
      </c>
    </row>
    <row r="5013" spans="1:3" x14ac:dyDescent="0.3">
      <c r="A5013" t="s">
        <v>2305</v>
      </c>
      <c r="B5013" t="s">
        <v>53</v>
      </c>
      <c r="C5013">
        <v>0.09</v>
      </c>
    </row>
    <row r="5014" spans="1:3" x14ac:dyDescent="0.3">
      <c r="A5014" t="s">
        <v>8129</v>
      </c>
      <c r="B5014" t="s">
        <v>53</v>
      </c>
      <c r="C5014">
        <v>0.01</v>
      </c>
    </row>
    <row r="5015" spans="1:3" x14ac:dyDescent="0.3">
      <c r="A5015" t="s">
        <v>2310</v>
      </c>
      <c r="B5015" t="s">
        <v>29</v>
      </c>
      <c r="C5015">
        <v>0.03</v>
      </c>
    </row>
    <row r="5016" spans="1:3" x14ac:dyDescent="0.3">
      <c r="A5016" t="s">
        <v>2310</v>
      </c>
      <c r="B5016" t="s">
        <v>29</v>
      </c>
      <c r="C5016">
        <v>0.04</v>
      </c>
    </row>
    <row r="5017" spans="1:3" x14ac:dyDescent="0.3">
      <c r="A5017" t="s">
        <v>6484</v>
      </c>
      <c r="B5017" t="s">
        <v>64</v>
      </c>
      <c r="C5017">
        <v>0</v>
      </c>
    </row>
    <row r="5018" spans="1:3" x14ac:dyDescent="0.3">
      <c r="A5018" t="s">
        <v>6484</v>
      </c>
      <c r="B5018" t="s">
        <v>64</v>
      </c>
      <c r="C5018">
        <v>0.09</v>
      </c>
    </row>
    <row r="5019" spans="1:3" x14ac:dyDescent="0.3">
      <c r="A5019" t="s">
        <v>6794</v>
      </c>
      <c r="B5019" t="s">
        <v>64</v>
      </c>
      <c r="C5019">
        <v>0.09</v>
      </c>
    </row>
    <row r="5020" spans="1:3" x14ac:dyDescent="0.3">
      <c r="A5020" t="s">
        <v>14023</v>
      </c>
      <c r="B5020" t="s">
        <v>40</v>
      </c>
      <c r="C5020">
        <v>7.0000000000000007E-2</v>
      </c>
    </row>
    <row r="5021" spans="1:3" x14ac:dyDescent="0.3">
      <c r="A5021" t="s">
        <v>5524</v>
      </c>
      <c r="B5021" t="s">
        <v>225</v>
      </c>
      <c r="C5021">
        <v>0</v>
      </c>
    </row>
    <row r="5022" spans="1:3" x14ac:dyDescent="0.3">
      <c r="A5022" t="s">
        <v>5524</v>
      </c>
      <c r="B5022" t="s">
        <v>225</v>
      </c>
      <c r="C5022">
        <v>0.02</v>
      </c>
    </row>
    <row r="5023" spans="1:3" x14ac:dyDescent="0.3">
      <c r="A5023" t="s">
        <v>10755</v>
      </c>
      <c r="B5023" t="s">
        <v>40</v>
      </c>
      <c r="C5023">
        <v>0.08</v>
      </c>
    </row>
    <row r="5024" spans="1:3" x14ac:dyDescent="0.3">
      <c r="A5024" t="s">
        <v>4322</v>
      </c>
      <c r="B5024" t="s">
        <v>29</v>
      </c>
      <c r="C5024">
        <v>0.1</v>
      </c>
    </row>
    <row r="5025" spans="1:3" x14ac:dyDescent="0.3">
      <c r="A5025" t="s">
        <v>14188</v>
      </c>
      <c r="B5025" t="s">
        <v>53</v>
      </c>
      <c r="C5025">
        <v>0</v>
      </c>
    </row>
    <row r="5026" spans="1:3" x14ac:dyDescent="0.3">
      <c r="A5026" t="s">
        <v>14188</v>
      </c>
      <c r="B5026" t="s">
        <v>53</v>
      </c>
      <c r="C5026">
        <v>7.0000000000000007E-2</v>
      </c>
    </row>
    <row r="5027" spans="1:3" x14ac:dyDescent="0.3">
      <c r="A5027" t="s">
        <v>7073</v>
      </c>
      <c r="B5027" t="s">
        <v>225</v>
      </c>
      <c r="C5027">
        <v>0.01</v>
      </c>
    </row>
    <row r="5028" spans="1:3" x14ac:dyDescent="0.3">
      <c r="A5028" t="s">
        <v>7073</v>
      </c>
      <c r="B5028" t="s">
        <v>225</v>
      </c>
      <c r="C5028">
        <v>0.09</v>
      </c>
    </row>
    <row r="5029" spans="1:3" x14ac:dyDescent="0.3">
      <c r="A5029" t="s">
        <v>4108</v>
      </c>
      <c r="B5029" t="s">
        <v>64</v>
      </c>
      <c r="C5029">
        <v>7.0000000000000007E-2</v>
      </c>
    </row>
    <row r="5030" spans="1:3" x14ac:dyDescent="0.3">
      <c r="A5030" t="s">
        <v>15180</v>
      </c>
      <c r="B5030" t="s">
        <v>40</v>
      </c>
      <c r="C5030">
        <v>0.03</v>
      </c>
    </row>
    <row r="5031" spans="1:3" x14ac:dyDescent="0.3">
      <c r="A5031" t="s">
        <v>9116</v>
      </c>
      <c r="B5031" t="s">
        <v>64</v>
      </c>
      <c r="C5031">
        <v>0.03</v>
      </c>
    </row>
    <row r="5032" spans="1:3" x14ac:dyDescent="0.3">
      <c r="A5032" t="s">
        <v>9116</v>
      </c>
      <c r="B5032" t="s">
        <v>64</v>
      </c>
      <c r="C5032">
        <v>0.06</v>
      </c>
    </row>
    <row r="5033" spans="1:3" x14ac:dyDescent="0.3">
      <c r="A5033" t="s">
        <v>5946</v>
      </c>
      <c r="B5033" t="s">
        <v>40</v>
      </c>
      <c r="C5033">
        <v>0.05</v>
      </c>
    </row>
    <row r="5034" spans="1:3" x14ac:dyDescent="0.3">
      <c r="A5034" t="s">
        <v>2357</v>
      </c>
      <c r="B5034" t="s">
        <v>40</v>
      </c>
      <c r="C5034">
        <v>0.08</v>
      </c>
    </row>
    <row r="5035" spans="1:3" x14ac:dyDescent="0.3">
      <c r="A5035" t="s">
        <v>9663</v>
      </c>
      <c r="B5035" t="s">
        <v>87</v>
      </c>
      <c r="C5035">
        <v>0</v>
      </c>
    </row>
    <row r="5036" spans="1:3" x14ac:dyDescent="0.3">
      <c r="A5036" t="s">
        <v>15583</v>
      </c>
      <c r="B5036" t="s">
        <v>87</v>
      </c>
      <c r="C5036">
        <v>0.01</v>
      </c>
    </row>
    <row r="5037" spans="1:3" x14ac:dyDescent="0.3">
      <c r="A5037" t="s">
        <v>15583</v>
      </c>
      <c r="B5037" t="s">
        <v>87</v>
      </c>
      <c r="C5037">
        <v>7.0000000000000007E-2</v>
      </c>
    </row>
    <row r="5038" spans="1:3" x14ac:dyDescent="0.3">
      <c r="A5038" t="s">
        <v>2375</v>
      </c>
      <c r="B5038" t="s">
        <v>53</v>
      </c>
      <c r="C5038">
        <v>0.02</v>
      </c>
    </row>
    <row r="5039" spans="1:3" x14ac:dyDescent="0.3">
      <c r="A5039" t="s">
        <v>2375</v>
      </c>
      <c r="B5039" t="s">
        <v>53</v>
      </c>
      <c r="C5039">
        <v>0.06</v>
      </c>
    </row>
    <row r="5040" spans="1:3" x14ac:dyDescent="0.3">
      <c r="A5040" t="s">
        <v>13356</v>
      </c>
      <c r="B5040" t="s">
        <v>29</v>
      </c>
      <c r="C5040">
        <v>0.01</v>
      </c>
    </row>
    <row r="5041" spans="1:3" x14ac:dyDescent="0.3">
      <c r="A5041" t="s">
        <v>13356</v>
      </c>
      <c r="B5041" t="s">
        <v>29</v>
      </c>
      <c r="C5041">
        <v>0.08</v>
      </c>
    </row>
    <row r="5042" spans="1:3" x14ac:dyDescent="0.3">
      <c r="A5042" t="s">
        <v>13356</v>
      </c>
      <c r="B5042" t="s">
        <v>29</v>
      </c>
      <c r="C5042">
        <v>0.09</v>
      </c>
    </row>
    <row r="5043" spans="1:3" x14ac:dyDescent="0.3">
      <c r="A5043" t="s">
        <v>8433</v>
      </c>
      <c r="B5043" t="s">
        <v>53</v>
      </c>
      <c r="C5043">
        <v>0.04</v>
      </c>
    </row>
    <row r="5044" spans="1:3" x14ac:dyDescent="0.3">
      <c r="A5044" t="s">
        <v>8433</v>
      </c>
      <c r="B5044" t="s">
        <v>53</v>
      </c>
      <c r="C5044">
        <v>0.05</v>
      </c>
    </row>
    <row r="5045" spans="1:3" x14ac:dyDescent="0.3">
      <c r="A5045" t="s">
        <v>13538</v>
      </c>
      <c r="B5045" t="s">
        <v>29</v>
      </c>
      <c r="C5045">
        <v>0.05</v>
      </c>
    </row>
    <row r="5046" spans="1:3" x14ac:dyDescent="0.3">
      <c r="A5046" t="s">
        <v>10325</v>
      </c>
      <c r="B5046" t="s">
        <v>64</v>
      </c>
      <c r="C5046">
        <v>0.02</v>
      </c>
    </row>
    <row r="5047" spans="1:3" x14ac:dyDescent="0.3">
      <c r="A5047" t="s">
        <v>9469</v>
      </c>
      <c r="B5047" t="s">
        <v>64</v>
      </c>
      <c r="C5047">
        <v>0.02</v>
      </c>
    </row>
    <row r="5048" spans="1:3" x14ac:dyDescent="0.3">
      <c r="A5048" t="s">
        <v>9469</v>
      </c>
      <c r="B5048" t="s">
        <v>64</v>
      </c>
      <c r="C5048">
        <v>7.0000000000000007E-2</v>
      </c>
    </row>
    <row r="5049" spans="1:3" x14ac:dyDescent="0.3">
      <c r="A5049" t="s">
        <v>9469</v>
      </c>
      <c r="B5049" t="s">
        <v>53</v>
      </c>
      <c r="C5049">
        <v>0.02</v>
      </c>
    </row>
    <row r="5050" spans="1:3" x14ac:dyDescent="0.3">
      <c r="A5050" t="s">
        <v>2446</v>
      </c>
      <c r="B5050" t="s">
        <v>40</v>
      </c>
      <c r="C5050">
        <v>0.01</v>
      </c>
    </row>
    <row r="5051" spans="1:3" x14ac:dyDescent="0.3">
      <c r="A5051" t="s">
        <v>2446</v>
      </c>
      <c r="B5051" t="s">
        <v>40</v>
      </c>
      <c r="C5051">
        <v>0.03</v>
      </c>
    </row>
    <row r="5052" spans="1:3" x14ac:dyDescent="0.3">
      <c r="A5052" t="s">
        <v>2446</v>
      </c>
      <c r="B5052" t="s">
        <v>40</v>
      </c>
      <c r="C5052">
        <v>0.08</v>
      </c>
    </row>
    <row r="5053" spans="1:3" x14ac:dyDescent="0.3">
      <c r="A5053" t="s">
        <v>2446</v>
      </c>
      <c r="B5053" t="s">
        <v>40</v>
      </c>
      <c r="C5053">
        <v>0.1</v>
      </c>
    </row>
    <row r="5054" spans="1:3" x14ac:dyDescent="0.3">
      <c r="A5054" t="s">
        <v>11400</v>
      </c>
      <c r="B5054" t="s">
        <v>40</v>
      </c>
      <c r="C5054">
        <v>0.1</v>
      </c>
    </row>
    <row r="5055" spans="1:3" x14ac:dyDescent="0.3">
      <c r="A5055" t="s">
        <v>4261</v>
      </c>
      <c r="B5055" t="s">
        <v>87</v>
      </c>
      <c r="C5055">
        <v>7.0000000000000007E-2</v>
      </c>
    </row>
    <row r="5056" spans="1:3" x14ac:dyDescent="0.3">
      <c r="A5056" t="s">
        <v>4261</v>
      </c>
      <c r="B5056" t="s">
        <v>87</v>
      </c>
      <c r="C5056">
        <v>0.1</v>
      </c>
    </row>
    <row r="5057" spans="1:3" x14ac:dyDescent="0.3">
      <c r="A5057" t="s">
        <v>2408</v>
      </c>
      <c r="B5057" t="s">
        <v>40</v>
      </c>
      <c r="C5057">
        <v>0.08</v>
      </c>
    </row>
    <row r="5058" spans="1:3" x14ac:dyDescent="0.3">
      <c r="A5058" t="s">
        <v>14314</v>
      </c>
      <c r="B5058" t="s">
        <v>53</v>
      </c>
      <c r="C5058">
        <v>0</v>
      </c>
    </row>
    <row r="5059" spans="1:3" x14ac:dyDescent="0.3">
      <c r="A5059" t="s">
        <v>9226</v>
      </c>
      <c r="B5059" t="s">
        <v>87</v>
      </c>
      <c r="C5059">
        <v>0.05</v>
      </c>
    </row>
    <row r="5060" spans="1:3" x14ac:dyDescent="0.3">
      <c r="A5060" t="s">
        <v>14617</v>
      </c>
      <c r="B5060" t="s">
        <v>53</v>
      </c>
      <c r="C5060">
        <v>0.09</v>
      </c>
    </row>
    <row r="5061" spans="1:3" x14ac:dyDescent="0.3">
      <c r="A5061" t="s">
        <v>6050</v>
      </c>
      <c r="B5061" t="s">
        <v>53</v>
      </c>
      <c r="C5061">
        <v>0</v>
      </c>
    </row>
    <row r="5062" spans="1:3" x14ac:dyDescent="0.3">
      <c r="A5062" t="s">
        <v>5538</v>
      </c>
      <c r="B5062" t="s">
        <v>29</v>
      </c>
      <c r="C5062">
        <v>0</v>
      </c>
    </row>
    <row r="5063" spans="1:3" x14ac:dyDescent="0.3">
      <c r="A5063" t="s">
        <v>5538</v>
      </c>
      <c r="B5063" t="s">
        <v>29</v>
      </c>
      <c r="C5063">
        <v>0.03</v>
      </c>
    </row>
    <row r="5064" spans="1:3" x14ac:dyDescent="0.3">
      <c r="A5064" t="s">
        <v>5538</v>
      </c>
      <c r="B5064" t="s">
        <v>53</v>
      </c>
      <c r="C5064">
        <v>0.08</v>
      </c>
    </row>
    <row r="5065" spans="1:3" x14ac:dyDescent="0.3">
      <c r="A5065" t="s">
        <v>2415</v>
      </c>
      <c r="B5065" t="s">
        <v>29</v>
      </c>
      <c r="C5065">
        <v>0.08</v>
      </c>
    </row>
    <row r="5066" spans="1:3" x14ac:dyDescent="0.3">
      <c r="A5066" t="s">
        <v>11356</v>
      </c>
      <c r="B5066" t="s">
        <v>53</v>
      </c>
      <c r="C5066">
        <v>0.06</v>
      </c>
    </row>
    <row r="5067" spans="1:3" x14ac:dyDescent="0.3">
      <c r="A5067" t="s">
        <v>12777</v>
      </c>
      <c r="B5067" t="s">
        <v>29</v>
      </c>
      <c r="C5067">
        <v>0.02</v>
      </c>
    </row>
    <row r="5068" spans="1:3" x14ac:dyDescent="0.3">
      <c r="A5068" t="s">
        <v>12777</v>
      </c>
      <c r="B5068" t="s">
        <v>87</v>
      </c>
      <c r="C5068">
        <v>7.0000000000000007E-2</v>
      </c>
    </row>
    <row r="5069" spans="1:3" x14ac:dyDescent="0.3">
      <c r="A5069" t="s">
        <v>12777</v>
      </c>
      <c r="B5069" t="s">
        <v>87</v>
      </c>
      <c r="C5069">
        <v>0.1</v>
      </c>
    </row>
    <row r="5070" spans="1:3" x14ac:dyDescent="0.3">
      <c r="A5070" t="s">
        <v>9014</v>
      </c>
      <c r="B5070" t="s">
        <v>53</v>
      </c>
      <c r="C5070">
        <v>0.02</v>
      </c>
    </row>
    <row r="5071" spans="1:3" x14ac:dyDescent="0.3">
      <c r="A5071" t="s">
        <v>12609</v>
      </c>
      <c r="B5071" t="s">
        <v>87</v>
      </c>
      <c r="C5071">
        <v>0.08</v>
      </c>
    </row>
    <row r="5072" spans="1:3" x14ac:dyDescent="0.3">
      <c r="A5072" t="s">
        <v>13603</v>
      </c>
      <c r="B5072" t="s">
        <v>40</v>
      </c>
      <c r="C5072">
        <v>0.06</v>
      </c>
    </row>
    <row r="5073" spans="1:3" x14ac:dyDescent="0.3">
      <c r="A5073" t="s">
        <v>14577</v>
      </c>
      <c r="B5073" t="s">
        <v>64</v>
      </c>
      <c r="C5073">
        <v>0.05</v>
      </c>
    </row>
    <row r="5074" spans="1:3" x14ac:dyDescent="0.3">
      <c r="A5074" t="s">
        <v>8628</v>
      </c>
      <c r="B5074" t="s">
        <v>64</v>
      </c>
      <c r="C5074">
        <v>0</v>
      </c>
    </row>
    <row r="5075" spans="1:3" x14ac:dyDescent="0.3">
      <c r="A5075" t="s">
        <v>10745</v>
      </c>
      <c r="B5075" t="s">
        <v>64</v>
      </c>
      <c r="C5075">
        <v>0.03</v>
      </c>
    </row>
    <row r="5076" spans="1:3" x14ac:dyDescent="0.3">
      <c r="A5076" t="s">
        <v>2465</v>
      </c>
      <c r="B5076" t="s">
        <v>29</v>
      </c>
      <c r="C5076">
        <v>0.01</v>
      </c>
    </row>
    <row r="5077" spans="1:3" x14ac:dyDescent="0.3">
      <c r="A5077" t="s">
        <v>15813</v>
      </c>
      <c r="B5077" t="s">
        <v>64</v>
      </c>
      <c r="C5077">
        <v>0.02</v>
      </c>
    </row>
    <row r="5078" spans="1:3" x14ac:dyDescent="0.3">
      <c r="A5078" t="s">
        <v>15813</v>
      </c>
      <c r="B5078" t="s">
        <v>64</v>
      </c>
      <c r="C5078">
        <v>0.08</v>
      </c>
    </row>
    <row r="5079" spans="1:3" x14ac:dyDescent="0.3">
      <c r="A5079" t="s">
        <v>13174</v>
      </c>
      <c r="B5079" t="s">
        <v>225</v>
      </c>
      <c r="C5079">
        <v>0.02</v>
      </c>
    </row>
    <row r="5080" spans="1:3" x14ac:dyDescent="0.3">
      <c r="A5080" t="s">
        <v>6327</v>
      </c>
      <c r="B5080" t="s">
        <v>64</v>
      </c>
      <c r="C5080">
        <v>0.02</v>
      </c>
    </row>
    <row r="5081" spans="1:3" x14ac:dyDescent="0.3">
      <c r="A5081" t="s">
        <v>6327</v>
      </c>
      <c r="B5081" t="s">
        <v>64</v>
      </c>
      <c r="C5081">
        <v>0.08</v>
      </c>
    </row>
    <row r="5082" spans="1:3" x14ac:dyDescent="0.3">
      <c r="A5082" t="s">
        <v>14018</v>
      </c>
      <c r="B5082" t="s">
        <v>64</v>
      </c>
      <c r="C5082">
        <v>0.09</v>
      </c>
    </row>
    <row r="5083" spans="1:3" x14ac:dyDescent="0.3">
      <c r="A5083" t="s">
        <v>14018</v>
      </c>
      <c r="B5083" t="s">
        <v>29</v>
      </c>
      <c r="C5083">
        <v>0.02</v>
      </c>
    </row>
    <row r="5084" spans="1:3" x14ac:dyDescent="0.3">
      <c r="A5084" t="s">
        <v>14018</v>
      </c>
      <c r="B5084" t="s">
        <v>29</v>
      </c>
      <c r="C5084">
        <v>0.09</v>
      </c>
    </row>
    <row r="5085" spans="1:3" x14ac:dyDescent="0.3">
      <c r="A5085" t="s">
        <v>15620</v>
      </c>
      <c r="B5085" t="s">
        <v>64</v>
      </c>
      <c r="C5085">
        <v>0</v>
      </c>
    </row>
    <row r="5086" spans="1:3" x14ac:dyDescent="0.3">
      <c r="A5086" t="s">
        <v>15620</v>
      </c>
      <c r="B5086" t="s">
        <v>64</v>
      </c>
      <c r="C5086">
        <v>0.03</v>
      </c>
    </row>
    <row r="5087" spans="1:3" x14ac:dyDescent="0.3">
      <c r="A5087" t="s">
        <v>10004</v>
      </c>
      <c r="B5087" t="s">
        <v>225</v>
      </c>
      <c r="C5087">
        <v>0.05</v>
      </c>
    </row>
    <row r="5088" spans="1:3" x14ac:dyDescent="0.3">
      <c r="A5088" t="s">
        <v>8106</v>
      </c>
      <c r="B5088" t="s">
        <v>225</v>
      </c>
      <c r="C5088">
        <v>0.05</v>
      </c>
    </row>
    <row r="5089" spans="1:3" x14ac:dyDescent="0.3">
      <c r="A5089" t="s">
        <v>15732</v>
      </c>
      <c r="B5089" t="s">
        <v>40</v>
      </c>
      <c r="C5089">
        <v>0.02</v>
      </c>
    </row>
    <row r="5090" spans="1:3" x14ac:dyDescent="0.3">
      <c r="A5090" t="s">
        <v>11133</v>
      </c>
      <c r="B5090" t="s">
        <v>87</v>
      </c>
      <c r="C5090">
        <v>0.02</v>
      </c>
    </row>
    <row r="5091" spans="1:3" x14ac:dyDescent="0.3">
      <c r="A5091" t="s">
        <v>2887</v>
      </c>
      <c r="B5091" t="s">
        <v>53</v>
      </c>
      <c r="C5091">
        <v>0.08</v>
      </c>
    </row>
    <row r="5092" spans="1:3" x14ac:dyDescent="0.3">
      <c r="A5092" t="s">
        <v>2546</v>
      </c>
      <c r="B5092" t="s">
        <v>53</v>
      </c>
      <c r="C5092">
        <v>0.01</v>
      </c>
    </row>
    <row r="5093" spans="1:3" x14ac:dyDescent="0.3">
      <c r="A5093" t="s">
        <v>4712</v>
      </c>
      <c r="B5093" t="s">
        <v>225</v>
      </c>
      <c r="C5093">
        <v>0</v>
      </c>
    </row>
    <row r="5094" spans="1:3" x14ac:dyDescent="0.3">
      <c r="A5094" t="s">
        <v>4712</v>
      </c>
      <c r="B5094" t="s">
        <v>225</v>
      </c>
      <c r="C5094">
        <v>0.03</v>
      </c>
    </row>
    <row r="5095" spans="1:3" x14ac:dyDescent="0.3">
      <c r="A5095" t="s">
        <v>4712</v>
      </c>
      <c r="B5095" t="s">
        <v>225</v>
      </c>
      <c r="C5095">
        <v>0.1</v>
      </c>
    </row>
    <row r="5096" spans="1:3" x14ac:dyDescent="0.3">
      <c r="A5096" t="s">
        <v>2568</v>
      </c>
      <c r="B5096" t="s">
        <v>225</v>
      </c>
      <c r="C5096">
        <v>0.04</v>
      </c>
    </row>
    <row r="5097" spans="1:3" x14ac:dyDescent="0.3">
      <c r="A5097" t="s">
        <v>5705</v>
      </c>
      <c r="B5097" t="s">
        <v>225</v>
      </c>
      <c r="C5097">
        <v>0.09</v>
      </c>
    </row>
    <row r="5098" spans="1:3" x14ac:dyDescent="0.3">
      <c r="A5098" t="s">
        <v>5705</v>
      </c>
      <c r="B5098" t="s">
        <v>64</v>
      </c>
      <c r="C5098">
        <v>0.09</v>
      </c>
    </row>
    <row r="5099" spans="1:3" x14ac:dyDescent="0.3">
      <c r="A5099" t="s">
        <v>15814</v>
      </c>
      <c r="B5099" t="s">
        <v>87</v>
      </c>
      <c r="C5099">
        <v>0</v>
      </c>
    </row>
    <row r="5100" spans="1:3" x14ac:dyDescent="0.3">
      <c r="A5100" t="s">
        <v>15814</v>
      </c>
      <c r="B5100" t="s">
        <v>87</v>
      </c>
      <c r="C5100">
        <v>0.06</v>
      </c>
    </row>
    <row r="5101" spans="1:3" x14ac:dyDescent="0.3">
      <c r="A5101" t="s">
        <v>7082</v>
      </c>
      <c r="B5101" t="s">
        <v>29</v>
      </c>
      <c r="C5101">
        <v>0.09</v>
      </c>
    </row>
    <row r="5102" spans="1:3" x14ac:dyDescent="0.3">
      <c r="A5102" t="s">
        <v>3778</v>
      </c>
      <c r="B5102" t="s">
        <v>40</v>
      </c>
      <c r="C5102">
        <v>0</v>
      </c>
    </row>
    <row r="5103" spans="1:3" x14ac:dyDescent="0.3">
      <c r="A5103" t="s">
        <v>3778</v>
      </c>
      <c r="B5103" t="s">
        <v>29</v>
      </c>
      <c r="C5103">
        <v>0.04</v>
      </c>
    </row>
    <row r="5104" spans="1:3" x14ac:dyDescent="0.3">
      <c r="A5104" t="s">
        <v>3778</v>
      </c>
      <c r="B5104" t="s">
        <v>29</v>
      </c>
      <c r="C5104">
        <v>0.09</v>
      </c>
    </row>
    <row r="5105" spans="1:3" x14ac:dyDescent="0.3">
      <c r="A5105" t="s">
        <v>15573</v>
      </c>
      <c r="B5105" t="s">
        <v>29</v>
      </c>
      <c r="C5105">
        <v>7.0000000000000007E-2</v>
      </c>
    </row>
    <row r="5106" spans="1:3" x14ac:dyDescent="0.3">
      <c r="A5106" t="s">
        <v>9817</v>
      </c>
      <c r="B5106" t="s">
        <v>53</v>
      </c>
      <c r="C5106">
        <v>0.04</v>
      </c>
    </row>
    <row r="5107" spans="1:3" x14ac:dyDescent="0.3">
      <c r="A5107" t="s">
        <v>9817</v>
      </c>
      <c r="B5107" t="s">
        <v>53</v>
      </c>
      <c r="C5107">
        <v>0.1</v>
      </c>
    </row>
    <row r="5108" spans="1:3" x14ac:dyDescent="0.3">
      <c r="A5108" t="s">
        <v>8838</v>
      </c>
      <c r="B5108" t="s">
        <v>53</v>
      </c>
      <c r="C5108">
        <v>7.0000000000000007E-2</v>
      </c>
    </row>
    <row r="5109" spans="1:3" x14ac:dyDescent="0.3">
      <c r="A5109" t="s">
        <v>8838</v>
      </c>
      <c r="B5109" t="s">
        <v>53</v>
      </c>
      <c r="C5109">
        <v>0.09</v>
      </c>
    </row>
    <row r="5110" spans="1:3" x14ac:dyDescent="0.3">
      <c r="A5110" t="s">
        <v>8631</v>
      </c>
      <c r="B5110" t="s">
        <v>29</v>
      </c>
      <c r="C5110">
        <v>0.1</v>
      </c>
    </row>
    <row r="5111" spans="1:3" x14ac:dyDescent="0.3">
      <c r="A5111" t="s">
        <v>8631</v>
      </c>
      <c r="B5111" t="s">
        <v>53</v>
      </c>
      <c r="C5111">
        <v>0</v>
      </c>
    </row>
    <row r="5112" spans="1:3" x14ac:dyDescent="0.3">
      <c r="A5112" t="s">
        <v>7956</v>
      </c>
      <c r="B5112" t="s">
        <v>64</v>
      </c>
      <c r="C5112">
        <v>7.0000000000000007E-2</v>
      </c>
    </row>
    <row r="5113" spans="1:3" x14ac:dyDescent="0.3">
      <c r="A5113" t="s">
        <v>7956</v>
      </c>
      <c r="B5113" t="s">
        <v>64</v>
      </c>
      <c r="C5113">
        <v>0.08</v>
      </c>
    </row>
    <row r="5114" spans="1:3" x14ac:dyDescent="0.3">
      <c r="A5114" t="s">
        <v>7113</v>
      </c>
      <c r="B5114" t="s">
        <v>87</v>
      </c>
      <c r="C5114">
        <v>0.06</v>
      </c>
    </row>
    <row r="5115" spans="1:3" x14ac:dyDescent="0.3">
      <c r="A5115" t="s">
        <v>12954</v>
      </c>
      <c r="B5115" t="s">
        <v>40</v>
      </c>
      <c r="C5115">
        <v>0.04</v>
      </c>
    </row>
    <row r="5116" spans="1:3" x14ac:dyDescent="0.3">
      <c r="A5116" t="s">
        <v>7619</v>
      </c>
      <c r="B5116" t="s">
        <v>40</v>
      </c>
      <c r="C5116">
        <v>0.03</v>
      </c>
    </row>
    <row r="5117" spans="1:3" x14ac:dyDescent="0.3">
      <c r="A5117" t="s">
        <v>11420</v>
      </c>
      <c r="B5117" t="s">
        <v>40</v>
      </c>
      <c r="C5117">
        <v>0.04</v>
      </c>
    </row>
    <row r="5118" spans="1:3" x14ac:dyDescent="0.3">
      <c r="A5118" t="s">
        <v>13738</v>
      </c>
      <c r="B5118" t="s">
        <v>40</v>
      </c>
      <c r="C5118">
        <v>7.0000000000000007E-2</v>
      </c>
    </row>
    <row r="5119" spans="1:3" x14ac:dyDescent="0.3">
      <c r="A5119" t="s">
        <v>6213</v>
      </c>
      <c r="B5119" t="s">
        <v>64</v>
      </c>
      <c r="C5119">
        <v>0.02</v>
      </c>
    </row>
    <row r="5120" spans="1:3" x14ac:dyDescent="0.3">
      <c r="A5120" t="s">
        <v>2688</v>
      </c>
      <c r="B5120" t="s">
        <v>87</v>
      </c>
      <c r="C5120">
        <v>0.04</v>
      </c>
    </row>
    <row r="5121" spans="1:3" x14ac:dyDescent="0.3">
      <c r="A5121" t="s">
        <v>2694</v>
      </c>
      <c r="B5121" t="s">
        <v>87</v>
      </c>
      <c r="C5121">
        <v>0.01</v>
      </c>
    </row>
    <row r="5122" spans="1:3" x14ac:dyDescent="0.3">
      <c r="A5122" t="s">
        <v>2699</v>
      </c>
      <c r="B5122" t="s">
        <v>87</v>
      </c>
      <c r="C5122">
        <v>0.01</v>
      </c>
    </row>
    <row r="5123" spans="1:3" x14ac:dyDescent="0.3">
      <c r="A5123" t="s">
        <v>2699</v>
      </c>
      <c r="B5123" t="s">
        <v>87</v>
      </c>
      <c r="C5123">
        <v>0.02</v>
      </c>
    </row>
    <row r="5124" spans="1:3" x14ac:dyDescent="0.3">
      <c r="A5124" t="s">
        <v>9388</v>
      </c>
      <c r="B5124" t="s">
        <v>40</v>
      </c>
      <c r="C5124">
        <v>0.08</v>
      </c>
    </row>
    <row r="5125" spans="1:3" x14ac:dyDescent="0.3">
      <c r="A5125" t="s">
        <v>9388</v>
      </c>
      <c r="B5125" t="s">
        <v>40</v>
      </c>
      <c r="C5125">
        <v>0.1</v>
      </c>
    </row>
    <row r="5126" spans="1:3" x14ac:dyDescent="0.3">
      <c r="A5126" t="s">
        <v>11382</v>
      </c>
      <c r="B5126" t="s">
        <v>87</v>
      </c>
      <c r="C5126">
        <v>0.05</v>
      </c>
    </row>
    <row r="5127" spans="1:3" x14ac:dyDescent="0.3">
      <c r="A5127" t="s">
        <v>14498</v>
      </c>
      <c r="B5127" t="s">
        <v>40</v>
      </c>
      <c r="C5127">
        <v>0.09</v>
      </c>
    </row>
    <row r="5128" spans="1:3" x14ac:dyDescent="0.3">
      <c r="A5128" t="s">
        <v>9340</v>
      </c>
      <c r="B5128" t="s">
        <v>64</v>
      </c>
      <c r="C5128">
        <v>0.02</v>
      </c>
    </row>
    <row r="5129" spans="1:3" x14ac:dyDescent="0.3">
      <c r="A5129" t="s">
        <v>9194</v>
      </c>
      <c r="B5129" t="s">
        <v>87</v>
      </c>
      <c r="C5129">
        <v>0.03</v>
      </c>
    </row>
    <row r="5130" spans="1:3" x14ac:dyDescent="0.3">
      <c r="A5130" t="s">
        <v>9194</v>
      </c>
      <c r="B5130" t="s">
        <v>87</v>
      </c>
      <c r="C5130">
        <v>0.06</v>
      </c>
    </row>
    <row r="5131" spans="1:3" x14ac:dyDescent="0.3">
      <c r="A5131" t="s">
        <v>2734</v>
      </c>
      <c r="B5131" t="s">
        <v>87</v>
      </c>
      <c r="C5131">
        <v>0.01</v>
      </c>
    </row>
    <row r="5132" spans="1:3" x14ac:dyDescent="0.3">
      <c r="A5132" t="s">
        <v>13627</v>
      </c>
      <c r="B5132" t="s">
        <v>40</v>
      </c>
      <c r="C5132">
        <v>0.08</v>
      </c>
    </row>
    <row r="5133" spans="1:3" x14ac:dyDescent="0.3">
      <c r="A5133" t="s">
        <v>2750</v>
      </c>
      <c r="B5133" t="s">
        <v>40</v>
      </c>
      <c r="C5133">
        <v>0.04</v>
      </c>
    </row>
    <row r="5134" spans="1:3" x14ac:dyDescent="0.3">
      <c r="A5134" t="s">
        <v>9642</v>
      </c>
      <c r="B5134" t="s">
        <v>53</v>
      </c>
      <c r="C5134">
        <v>0.1</v>
      </c>
    </row>
    <row r="5135" spans="1:3" x14ac:dyDescent="0.3">
      <c r="A5135" t="s">
        <v>6712</v>
      </c>
      <c r="B5135" t="s">
        <v>53</v>
      </c>
      <c r="C5135">
        <v>0.04</v>
      </c>
    </row>
    <row r="5136" spans="1:3" x14ac:dyDescent="0.3">
      <c r="A5136" t="s">
        <v>8702</v>
      </c>
      <c r="B5136" t="s">
        <v>87</v>
      </c>
      <c r="C5136">
        <v>0</v>
      </c>
    </row>
    <row r="5137" spans="1:3" x14ac:dyDescent="0.3">
      <c r="A5137" t="s">
        <v>15506</v>
      </c>
      <c r="B5137" t="s">
        <v>225</v>
      </c>
      <c r="C5137">
        <v>0.04</v>
      </c>
    </row>
    <row r="5138" spans="1:3" x14ac:dyDescent="0.3">
      <c r="A5138" t="s">
        <v>12269</v>
      </c>
      <c r="B5138" t="s">
        <v>225</v>
      </c>
      <c r="C5138">
        <v>0.06</v>
      </c>
    </row>
    <row r="5139" spans="1:3" x14ac:dyDescent="0.3">
      <c r="A5139" t="s">
        <v>12269</v>
      </c>
      <c r="B5139" t="s">
        <v>225</v>
      </c>
      <c r="C5139">
        <v>0.09</v>
      </c>
    </row>
    <row r="5140" spans="1:3" x14ac:dyDescent="0.3">
      <c r="A5140" t="s">
        <v>2783</v>
      </c>
      <c r="B5140" t="s">
        <v>53</v>
      </c>
      <c r="C5140">
        <v>0.02</v>
      </c>
    </row>
    <row r="5141" spans="1:3" x14ac:dyDescent="0.3">
      <c r="A5141" t="s">
        <v>9889</v>
      </c>
      <c r="B5141" t="s">
        <v>53</v>
      </c>
      <c r="C5141">
        <v>0.01</v>
      </c>
    </row>
    <row r="5142" spans="1:3" x14ac:dyDescent="0.3">
      <c r="A5142" t="s">
        <v>9889</v>
      </c>
      <c r="B5142" t="s">
        <v>53</v>
      </c>
      <c r="C5142">
        <v>0.05</v>
      </c>
    </row>
    <row r="5143" spans="1:3" x14ac:dyDescent="0.3">
      <c r="A5143" t="s">
        <v>10641</v>
      </c>
      <c r="B5143" t="s">
        <v>40</v>
      </c>
      <c r="C5143">
        <v>0.1</v>
      </c>
    </row>
    <row r="5144" spans="1:3" x14ac:dyDescent="0.3">
      <c r="A5144" t="s">
        <v>10641</v>
      </c>
      <c r="B5144" t="s">
        <v>29</v>
      </c>
      <c r="C5144">
        <v>0.04</v>
      </c>
    </row>
    <row r="5145" spans="1:3" x14ac:dyDescent="0.3">
      <c r="A5145" t="s">
        <v>12743</v>
      </c>
      <c r="B5145" t="s">
        <v>225</v>
      </c>
      <c r="C5145">
        <v>0.03</v>
      </c>
    </row>
    <row r="5146" spans="1:3" x14ac:dyDescent="0.3">
      <c r="A5146" t="s">
        <v>12743</v>
      </c>
      <c r="B5146" t="s">
        <v>225</v>
      </c>
      <c r="C5146">
        <v>0.08</v>
      </c>
    </row>
    <row r="5147" spans="1:3" x14ac:dyDescent="0.3">
      <c r="A5147" t="s">
        <v>10803</v>
      </c>
      <c r="B5147" t="s">
        <v>53</v>
      </c>
      <c r="C5147">
        <v>0.06</v>
      </c>
    </row>
    <row r="5148" spans="1:3" x14ac:dyDescent="0.3">
      <c r="A5148" t="s">
        <v>6723</v>
      </c>
      <c r="B5148" t="s">
        <v>29</v>
      </c>
      <c r="C5148">
        <v>0.03</v>
      </c>
    </row>
    <row r="5149" spans="1:3" x14ac:dyDescent="0.3">
      <c r="A5149" t="s">
        <v>5295</v>
      </c>
      <c r="B5149" t="s">
        <v>29</v>
      </c>
      <c r="C5149">
        <v>0.01</v>
      </c>
    </row>
    <row r="5150" spans="1:3" x14ac:dyDescent="0.3">
      <c r="A5150" t="s">
        <v>2832</v>
      </c>
      <c r="B5150" t="s">
        <v>53</v>
      </c>
      <c r="C5150">
        <v>0.05</v>
      </c>
    </row>
    <row r="5151" spans="1:3" x14ac:dyDescent="0.3">
      <c r="A5151" t="s">
        <v>5928</v>
      </c>
      <c r="B5151" t="s">
        <v>64</v>
      </c>
      <c r="C5151">
        <v>0.02</v>
      </c>
    </row>
    <row r="5152" spans="1:3" x14ac:dyDescent="0.3">
      <c r="A5152" t="s">
        <v>5928</v>
      </c>
      <c r="B5152" t="s">
        <v>64</v>
      </c>
      <c r="C5152">
        <v>0.05</v>
      </c>
    </row>
    <row r="5153" spans="1:3" x14ac:dyDescent="0.3">
      <c r="A5153" t="s">
        <v>10046</v>
      </c>
      <c r="B5153" t="s">
        <v>40</v>
      </c>
      <c r="C5153">
        <v>0</v>
      </c>
    </row>
    <row r="5154" spans="1:3" x14ac:dyDescent="0.3">
      <c r="A5154" t="s">
        <v>10046</v>
      </c>
      <c r="B5154" t="s">
        <v>40</v>
      </c>
      <c r="C5154">
        <v>0.1</v>
      </c>
    </row>
    <row r="5155" spans="1:3" x14ac:dyDescent="0.3">
      <c r="A5155" t="s">
        <v>9485</v>
      </c>
      <c r="B5155" t="s">
        <v>225</v>
      </c>
      <c r="C5155">
        <v>0.09</v>
      </c>
    </row>
    <row r="5156" spans="1:3" x14ac:dyDescent="0.3">
      <c r="A5156" t="s">
        <v>9485</v>
      </c>
      <c r="B5156" t="s">
        <v>87</v>
      </c>
      <c r="C5156">
        <v>0.06</v>
      </c>
    </row>
    <row r="5157" spans="1:3" x14ac:dyDescent="0.3">
      <c r="A5157" t="s">
        <v>13107</v>
      </c>
      <c r="B5157" t="s">
        <v>29</v>
      </c>
      <c r="C5157">
        <v>0.1</v>
      </c>
    </row>
    <row r="5158" spans="1:3" x14ac:dyDescent="0.3">
      <c r="A5158" t="s">
        <v>6961</v>
      </c>
      <c r="B5158" t="s">
        <v>40</v>
      </c>
      <c r="C5158">
        <v>0.02</v>
      </c>
    </row>
    <row r="5159" spans="1:3" x14ac:dyDescent="0.3">
      <c r="A5159" t="s">
        <v>6961</v>
      </c>
      <c r="B5159" t="s">
        <v>64</v>
      </c>
      <c r="C5159">
        <v>0.02</v>
      </c>
    </row>
    <row r="5160" spans="1:3" x14ac:dyDescent="0.3">
      <c r="A5160" t="s">
        <v>12303</v>
      </c>
      <c r="B5160" t="s">
        <v>40</v>
      </c>
      <c r="C5160">
        <v>0.05</v>
      </c>
    </row>
    <row r="5161" spans="1:3" x14ac:dyDescent="0.3">
      <c r="A5161" t="s">
        <v>2931</v>
      </c>
      <c r="B5161" t="s">
        <v>225</v>
      </c>
      <c r="C5161">
        <v>0.01</v>
      </c>
    </row>
    <row r="5162" spans="1:3" x14ac:dyDescent="0.3">
      <c r="A5162" t="s">
        <v>11582</v>
      </c>
      <c r="B5162" t="s">
        <v>40</v>
      </c>
      <c r="C5162">
        <v>0.09</v>
      </c>
    </row>
    <row r="5163" spans="1:3" x14ac:dyDescent="0.3">
      <c r="A5163" t="s">
        <v>6405</v>
      </c>
      <c r="B5163" t="s">
        <v>40</v>
      </c>
      <c r="C5163">
        <v>7.0000000000000007E-2</v>
      </c>
    </row>
    <row r="5164" spans="1:3" x14ac:dyDescent="0.3">
      <c r="A5164" t="s">
        <v>13582</v>
      </c>
      <c r="B5164" t="s">
        <v>40</v>
      </c>
      <c r="C5164">
        <v>0.02</v>
      </c>
    </row>
    <row r="5165" spans="1:3" x14ac:dyDescent="0.3">
      <c r="A5165" t="s">
        <v>8656</v>
      </c>
      <c r="B5165" t="s">
        <v>29</v>
      </c>
      <c r="C5165">
        <v>0</v>
      </c>
    </row>
    <row r="5166" spans="1:3" x14ac:dyDescent="0.3">
      <c r="A5166" t="s">
        <v>8656</v>
      </c>
      <c r="B5166" t="s">
        <v>29</v>
      </c>
      <c r="C5166">
        <v>0.01</v>
      </c>
    </row>
    <row r="5167" spans="1:3" x14ac:dyDescent="0.3">
      <c r="A5167" t="s">
        <v>12113</v>
      </c>
      <c r="B5167" t="s">
        <v>29</v>
      </c>
      <c r="C5167">
        <v>0.01</v>
      </c>
    </row>
    <row r="5168" spans="1:3" x14ac:dyDescent="0.3">
      <c r="A5168" t="s">
        <v>13217</v>
      </c>
      <c r="B5168" t="s">
        <v>225</v>
      </c>
      <c r="C5168">
        <v>0.03</v>
      </c>
    </row>
    <row r="5169" spans="1:3" x14ac:dyDescent="0.3">
      <c r="A5169" t="s">
        <v>13217</v>
      </c>
      <c r="B5169" t="s">
        <v>225</v>
      </c>
      <c r="C5169">
        <v>0.05</v>
      </c>
    </row>
    <row r="5170" spans="1:3" x14ac:dyDescent="0.3">
      <c r="A5170" t="s">
        <v>7951</v>
      </c>
      <c r="B5170" t="s">
        <v>87</v>
      </c>
      <c r="C5170">
        <v>0.01</v>
      </c>
    </row>
    <row r="5171" spans="1:3" x14ac:dyDescent="0.3">
      <c r="A5171" t="s">
        <v>12138</v>
      </c>
      <c r="B5171" t="s">
        <v>225</v>
      </c>
      <c r="C5171">
        <v>0.05</v>
      </c>
    </row>
    <row r="5172" spans="1:3" x14ac:dyDescent="0.3">
      <c r="A5172" t="s">
        <v>6196</v>
      </c>
      <c r="B5172" t="s">
        <v>29</v>
      </c>
      <c r="C5172">
        <v>0.03</v>
      </c>
    </row>
    <row r="5173" spans="1:3" x14ac:dyDescent="0.3">
      <c r="A5173" t="s">
        <v>6196</v>
      </c>
      <c r="B5173" t="s">
        <v>29</v>
      </c>
      <c r="C5173">
        <v>0.05</v>
      </c>
    </row>
    <row r="5174" spans="1:3" x14ac:dyDescent="0.3">
      <c r="A5174" t="s">
        <v>8298</v>
      </c>
      <c r="B5174" t="s">
        <v>87</v>
      </c>
      <c r="C5174">
        <v>0</v>
      </c>
    </row>
    <row r="5175" spans="1:3" x14ac:dyDescent="0.3">
      <c r="A5175" t="s">
        <v>8298</v>
      </c>
      <c r="B5175" t="s">
        <v>87</v>
      </c>
      <c r="C5175">
        <v>0.05</v>
      </c>
    </row>
    <row r="5176" spans="1:3" x14ac:dyDescent="0.3">
      <c r="A5176" t="s">
        <v>4147</v>
      </c>
      <c r="B5176" t="s">
        <v>225</v>
      </c>
      <c r="C5176">
        <v>0.04</v>
      </c>
    </row>
    <row r="5177" spans="1:3" x14ac:dyDescent="0.3">
      <c r="A5177" t="s">
        <v>9904</v>
      </c>
      <c r="B5177" t="s">
        <v>64</v>
      </c>
      <c r="C5177">
        <v>0.1</v>
      </c>
    </row>
    <row r="5178" spans="1:3" x14ac:dyDescent="0.3">
      <c r="A5178" t="s">
        <v>2985</v>
      </c>
      <c r="B5178" t="s">
        <v>225</v>
      </c>
      <c r="C5178">
        <v>0.02</v>
      </c>
    </row>
    <row r="5179" spans="1:3" x14ac:dyDescent="0.3">
      <c r="A5179" t="s">
        <v>2985</v>
      </c>
      <c r="B5179" t="s">
        <v>225</v>
      </c>
      <c r="C5179">
        <v>0.06</v>
      </c>
    </row>
    <row r="5180" spans="1:3" x14ac:dyDescent="0.3">
      <c r="A5180" t="s">
        <v>13260</v>
      </c>
      <c r="B5180" t="s">
        <v>64</v>
      </c>
      <c r="C5180">
        <v>0.03</v>
      </c>
    </row>
    <row r="5181" spans="1:3" x14ac:dyDescent="0.3">
      <c r="A5181" t="s">
        <v>7994</v>
      </c>
      <c r="B5181" t="s">
        <v>40</v>
      </c>
      <c r="C5181">
        <v>0.06</v>
      </c>
    </row>
    <row r="5182" spans="1:3" x14ac:dyDescent="0.3">
      <c r="A5182" t="s">
        <v>15272</v>
      </c>
      <c r="B5182" t="s">
        <v>64</v>
      </c>
      <c r="C5182">
        <v>0.03</v>
      </c>
    </row>
    <row r="5183" spans="1:3" x14ac:dyDescent="0.3">
      <c r="A5183" t="s">
        <v>15272</v>
      </c>
      <c r="B5183" t="s">
        <v>87</v>
      </c>
      <c r="C5183">
        <v>0.02</v>
      </c>
    </row>
    <row r="5184" spans="1:3" x14ac:dyDescent="0.3">
      <c r="A5184" t="s">
        <v>3399</v>
      </c>
      <c r="B5184" t="s">
        <v>225</v>
      </c>
      <c r="C5184">
        <v>0.09</v>
      </c>
    </row>
    <row r="5185" spans="1:3" x14ac:dyDescent="0.3">
      <c r="A5185" t="s">
        <v>3399</v>
      </c>
      <c r="B5185" t="s">
        <v>87</v>
      </c>
      <c r="C5185">
        <v>0.03</v>
      </c>
    </row>
    <row r="5186" spans="1:3" x14ac:dyDescent="0.3">
      <c r="A5186" t="s">
        <v>13593</v>
      </c>
      <c r="B5186" t="s">
        <v>64</v>
      </c>
      <c r="C5186">
        <v>0.03</v>
      </c>
    </row>
    <row r="5187" spans="1:3" x14ac:dyDescent="0.3">
      <c r="A5187" t="s">
        <v>13593</v>
      </c>
      <c r="B5187" t="s">
        <v>64</v>
      </c>
      <c r="C5187">
        <v>0.04</v>
      </c>
    </row>
    <row r="5188" spans="1:3" x14ac:dyDescent="0.3">
      <c r="A5188" t="s">
        <v>13593</v>
      </c>
      <c r="B5188" t="s">
        <v>64</v>
      </c>
      <c r="C5188">
        <v>0.1</v>
      </c>
    </row>
    <row r="5189" spans="1:3" x14ac:dyDescent="0.3">
      <c r="A5189" t="s">
        <v>3024</v>
      </c>
      <c r="B5189" t="s">
        <v>64</v>
      </c>
      <c r="C5189">
        <v>0.04</v>
      </c>
    </row>
    <row r="5190" spans="1:3" x14ac:dyDescent="0.3">
      <c r="A5190" t="s">
        <v>3024</v>
      </c>
      <c r="B5190" t="s">
        <v>29</v>
      </c>
      <c r="C5190">
        <v>0.09</v>
      </c>
    </row>
    <row r="5191" spans="1:3" x14ac:dyDescent="0.3">
      <c r="A5191" t="s">
        <v>9984</v>
      </c>
      <c r="B5191" t="s">
        <v>87</v>
      </c>
      <c r="C5191">
        <v>0.03</v>
      </c>
    </row>
    <row r="5192" spans="1:3" x14ac:dyDescent="0.3">
      <c r="A5192" t="s">
        <v>14104</v>
      </c>
      <c r="B5192" t="s">
        <v>40</v>
      </c>
      <c r="C5192">
        <v>0.01</v>
      </c>
    </row>
    <row r="5193" spans="1:3" x14ac:dyDescent="0.3">
      <c r="A5193" t="s">
        <v>3060</v>
      </c>
      <c r="B5193" t="s">
        <v>87</v>
      </c>
      <c r="C5193">
        <v>0.06</v>
      </c>
    </row>
    <row r="5194" spans="1:3" x14ac:dyDescent="0.3">
      <c r="A5194" t="s">
        <v>3060</v>
      </c>
      <c r="B5194" t="s">
        <v>87</v>
      </c>
      <c r="C5194">
        <v>0.1</v>
      </c>
    </row>
    <row r="5195" spans="1:3" x14ac:dyDescent="0.3">
      <c r="A5195" t="s">
        <v>10848</v>
      </c>
      <c r="B5195" t="s">
        <v>29</v>
      </c>
      <c r="C5195">
        <v>0.09</v>
      </c>
    </row>
    <row r="5196" spans="1:3" x14ac:dyDescent="0.3">
      <c r="A5196" t="s">
        <v>10848</v>
      </c>
      <c r="B5196" t="s">
        <v>87</v>
      </c>
      <c r="C5196">
        <v>0.1</v>
      </c>
    </row>
    <row r="5197" spans="1:3" x14ac:dyDescent="0.3">
      <c r="A5197" t="s">
        <v>7793</v>
      </c>
      <c r="B5197" t="s">
        <v>225</v>
      </c>
      <c r="C5197">
        <v>0.04</v>
      </c>
    </row>
    <row r="5198" spans="1:3" x14ac:dyDescent="0.3">
      <c r="A5198" t="s">
        <v>12801</v>
      </c>
      <c r="B5198" t="s">
        <v>225</v>
      </c>
      <c r="C5198">
        <v>0.08</v>
      </c>
    </row>
    <row r="5199" spans="1:3" x14ac:dyDescent="0.3">
      <c r="A5199" t="s">
        <v>12114</v>
      </c>
      <c r="B5199" t="s">
        <v>225</v>
      </c>
      <c r="C5199">
        <v>0.04</v>
      </c>
    </row>
    <row r="5200" spans="1:3" x14ac:dyDescent="0.3">
      <c r="A5200" t="s">
        <v>15094</v>
      </c>
      <c r="B5200" t="s">
        <v>225</v>
      </c>
      <c r="C5200">
        <v>0.1</v>
      </c>
    </row>
    <row r="5201" spans="1:3" x14ac:dyDescent="0.3">
      <c r="A5201" t="s">
        <v>14774</v>
      </c>
      <c r="B5201" t="s">
        <v>225</v>
      </c>
      <c r="C5201">
        <v>0.08</v>
      </c>
    </row>
    <row r="5202" spans="1:3" x14ac:dyDescent="0.3">
      <c r="A5202" t="s">
        <v>3098</v>
      </c>
      <c r="B5202" t="s">
        <v>29</v>
      </c>
      <c r="C5202">
        <v>7.0000000000000007E-2</v>
      </c>
    </row>
    <row r="5203" spans="1:3" x14ac:dyDescent="0.3">
      <c r="A5203" t="s">
        <v>13526</v>
      </c>
      <c r="B5203" t="s">
        <v>40</v>
      </c>
      <c r="C5203">
        <v>0.06</v>
      </c>
    </row>
    <row r="5204" spans="1:3" x14ac:dyDescent="0.3">
      <c r="A5204" t="s">
        <v>10409</v>
      </c>
      <c r="B5204" t="s">
        <v>64</v>
      </c>
      <c r="C5204">
        <v>0.06</v>
      </c>
    </row>
    <row r="5205" spans="1:3" x14ac:dyDescent="0.3">
      <c r="A5205" t="s">
        <v>4581</v>
      </c>
      <c r="B5205" t="s">
        <v>87</v>
      </c>
      <c r="C5205">
        <v>0.1</v>
      </c>
    </row>
    <row r="5206" spans="1:3" x14ac:dyDescent="0.3">
      <c r="A5206" t="s">
        <v>12850</v>
      </c>
      <c r="B5206" t="s">
        <v>64</v>
      </c>
      <c r="C5206">
        <v>0.03</v>
      </c>
    </row>
    <row r="5207" spans="1:3" x14ac:dyDescent="0.3">
      <c r="A5207" t="s">
        <v>12850</v>
      </c>
      <c r="B5207" t="s">
        <v>64</v>
      </c>
      <c r="C5207">
        <v>0.1</v>
      </c>
    </row>
    <row r="5208" spans="1:3" x14ac:dyDescent="0.3">
      <c r="A5208" t="s">
        <v>10534</v>
      </c>
      <c r="B5208" t="s">
        <v>40</v>
      </c>
      <c r="C5208">
        <v>0.1</v>
      </c>
    </row>
    <row r="5209" spans="1:3" x14ac:dyDescent="0.3">
      <c r="A5209" t="s">
        <v>11436</v>
      </c>
      <c r="B5209" t="s">
        <v>87</v>
      </c>
      <c r="C5209">
        <v>0.01</v>
      </c>
    </row>
    <row r="5210" spans="1:3" x14ac:dyDescent="0.3">
      <c r="A5210" t="s">
        <v>11436</v>
      </c>
      <c r="B5210" t="s">
        <v>87</v>
      </c>
      <c r="C5210">
        <v>7.0000000000000007E-2</v>
      </c>
    </row>
    <row r="5211" spans="1:3" x14ac:dyDescent="0.3">
      <c r="A5211" t="s">
        <v>11043</v>
      </c>
      <c r="B5211" t="s">
        <v>40</v>
      </c>
      <c r="C5211">
        <v>0</v>
      </c>
    </row>
    <row r="5212" spans="1:3" x14ac:dyDescent="0.3">
      <c r="A5212" t="s">
        <v>9516</v>
      </c>
      <c r="B5212" t="s">
        <v>40</v>
      </c>
      <c r="C5212">
        <v>0.06</v>
      </c>
    </row>
    <row r="5213" spans="1:3" x14ac:dyDescent="0.3">
      <c r="A5213" t="s">
        <v>9516</v>
      </c>
      <c r="B5213" t="s">
        <v>225</v>
      </c>
      <c r="C5213">
        <v>7.0000000000000007E-2</v>
      </c>
    </row>
    <row r="5214" spans="1:3" x14ac:dyDescent="0.3">
      <c r="A5214" t="s">
        <v>14453</v>
      </c>
      <c r="B5214" t="s">
        <v>40</v>
      </c>
      <c r="C5214">
        <v>0.04</v>
      </c>
    </row>
    <row r="5215" spans="1:3" x14ac:dyDescent="0.3">
      <c r="A5215" t="s">
        <v>14453</v>
      </c>
      <c r="B5215" t="s">
        <v>40</v>
      </c>
      <c r="C5215">
        <v>0.1</v>
      </c>
    </row>
    <row r="5216" spans="1:3" x14ac:dyDescent="0.3">
      <c r="A5216" t="s">
        <v>3115</v>
      </c>
      <c r="B5216" t="s">
        <v>225</v>
      </c>
      <c r="C5216">
        <v>0</v>
      </c>
    </row>
    <row r="5217" spans="1:3" x14ac:dyDescent="0.3">
      <c r="A5217" t="s">
        <v>3115</v>
      </c>
      <c r="B5217" t="s">
        <v>225</v>
      </c>
      <c r="C5217">
        <v>0.1</v>
      </c>
    </row>
    <row r="5218" spans="1:3" x14ac:dyDescent="0.3">
      <c r="A5218" t="s">
        <v>11725</v>
      </c>
      <c r="B5218" t="s">
        <v>40</v>
      </c>
      <c r="C5218">
        <v>0.08</v>
      </c>
    </row>
    <row r="5219" spans="1:3" x14ac:dyDescent="0.3">
      <c r="A5219" t="s">
        <v>8600</v>
      </c>
      <c r="B5219" t="s">
        <v>87</v>
      </c>
      <c r="C5219">
        <v>0.02</v>
      </c>
    </row>
    <row r="5220" spans="1:3" x14ac:dyDescent="0.3">
      <c r="A5220" t="s">
        <v>8600</v>
      </c>
      <c r="B5220" t="s">
        <v>87</v>
      </c>
      <c r="C5220">
        <v>0.03</v>
      </c>
    </row>
    <row r="5221" spans="1:3" x14ac:dyDescent="0.3">
      <c r="A5221" t="s">
        <v>13085</v>
      </c>
      <c r="B5221" t="s">
        <v>40</v>
      </c>
      <c r="C5221">
        <v>7.0000000000000007E-2</v>
      </c>
    </row>
    <row r="5222" spans="1:3" x14ac:dyDescent="0.3">
      <c r="A5222" t="s">
        <v>12079</v>
      </c>
      <c r="B5222" t="s">
        <v>40</v>
      </c>
      <c r="C5222">
        <v>0.01</v>
      </c>
    </row>
    <row r="5223" spans="1:3" x14ac:dyDescent="0.3">
      <c r="A5223" t="s">
        <v>3137</v>
      </c>
      <c r="B5223" t="s">
        <v>29</v>
      </c>
      <c r="C5223">
        <v>0.01</v>
      </c>
    </row>
    <row r="5224" spans="1:3" x14ac:dyDescent="0.3">
      <c r="A5224" t="s">
        <v>3137</v>
      </c>
      <c r="B5224" t="s">
        <v>29</v>
      </c>
      <c r="C5224">
        <v>0.04</v>
      </c>
    </row>
    <row r="5225" spans="1:3" x14ac:dyDescent="0.3">
      <c r="A5225" t="s">
        <v>3137</v>
      </c>
      <c r="B5225" t="s">
        <v>29</v>
      </c>
      <c r="C5225">
        <v>0.05</v>
      </c>
    </row>
    <row r="5226" spans="1:3" x14ac:dyDescent="0.3">
      <c r="A5226" t="s">
        <v>8281</v>
      </c>
      <c r="B5226" t="s">
        <v>87</v>
      </c>
      <c r="C5226">
        <v>0</v>
      </c>
    </row>
    <row r="5227" spans="1:3" x14ac:dyDescent="0.3">
      <c r="A5227" t="s">
        <v>10136</v>
      </c>
      <c r="B5227" t="s">
        <v>87</v>
      </c>
      <c r="C5227">
        <v>0.08</v>
      </c>
    </row>
    <row r="5228" spans="1:3" x14ac:dyDescent="0.3">
      <c r="A5228" t="s">
        <v>15206</v>
      </c>
      <c r="B5228" t="s">
        <v>87</v>
      </c>
      <c r="C5228">
        <v>0</v>
      </c>
    </row>
    <row r="5229" spans="1:3" x14ac:dyDescent="0.3">
      <c r="A5229" t="s">
        <v>15206</v>
      </c>
      <c r="B5229" t="s">
        <v>87</v>
      </c>
      <c r="C5229">
        <v>0.02</v>
      </c>
    </row>
    <row r="5230" spans="1:3" x14ac:dyDescent="0.3">
      <c r="A5230" t="s">
        <v>15206</v>
      </c>
      <c r="B5230" t="s">
        <v>87</v>
      </c>
      <c r="C5230">
        <v>7.0000000000000007E-2</v>
      </c>
    </row>
    <row r="5231" spans="1:3" x14ac:dyDescent="0.3">
      <c r="A5231" t="s">
        <v>15206</v>
      </c>
      <c r="B5231" t="s">
        <v>87</v>
      </c>
      <c r="C5231">
        <v>0.09</v>
      </c>
    </row>
    <row r="5232" spans="1:3" x14ac:dyDescent="0.3">
      <c r="A5232" t="s">
        <v>13388</v>
      </c>
      <c r="B5232" t="s">
        <v>87</v>
      </c>
      <c r="C5232">
        <v>0.1</v>
      </c>
    </row>
    <row r="5233" spans="1:3" x14ac:dyDescent="0.3">
      <c r="A5233" t="s">
        <v>8244</v>
      </c>
      <c r="B5233" t="s">
        <v>87</v>
      </c>
      <c r="C5233">
        <v>0.04</v>
      </c>
    </row>
    <row r="5234" spans="1:3" x14ac:dyDescent="0.3">
      <c r="A5234" t="s">
        <v>3171</v>
      </c>
      <c r="B5234" t="s">
        <v>29</v>
      </c>
      <c r="C5234">
        <v>0.08</v>
      </c>
    </row>
    <row r="5235" spans="1:3" x14ac:dyDescent="0.3">
      <c r="A5235" t="s">
        <v>6317</v>
      </c>
      <c r="B5235" t="s">
        <v>87</v>
      </c>
      <c r="C5235">
        <v>0</v>
      </c>
    </row>
    <row r="5236" spans="1:3" x14ac:dyDescent="0.3">
      <c r="A5236" t="s">
        <v>9478</v>
      </c>
      <c r="B5236" t="s">
        <v>87</v>
      </c>
      <c r="C5236">
        <v>0</v>
      </c>
    </row>
    <row r="5237" spans="1:3" x14ac:dyDescent="0.3">
      <c r="A5237" t="s">
        <v>12239</v>
      </c>
      <c r="B5237" t="s">
        <v>87</v>
      </c>
      <c r="C5237">
        <v>0</v>
      </c>
    </row>
    <row r="5238" spans="1:3" x14ac:dyDescent="0.3">
      <c r="A5238" t="s">
        <v>12239</v>
      </c>
      <c r="B5238" t="s">
        <v>87</v>
      </c>
      <c r="C5238">
        <v>0.01</v>
      </c>
    </row>
    <row r="5239" spans="1:3" x14ac:dyDescent="0.3">
      <c r="A5239" t="s">
        <v>12239</v>
      </c>
      <c r="B5239" t="s">
        <v>87</v>
      </c>
      <c r="C5239">
        <v>0.1</v>
      </c>
    </row>
    <row r="5240" spans="1:3" x14ac:dyDescent="0.3">
      <c r="A5240" t="s">
        <v>11128</v>
      </c>
      <c r="B5240" t="s">
        <v>225</v>
      </c>
      <c r="C5240">
        <v>7.0000000000000007E-2</v>
      </c>
    </row>
    <row r="5241" spans="1:3" x14ac:dyDescent="0.3">
      <c r="A5241" t="s">
        <v>15671</v>
      </c>
      <c r="B5241" t="s">
        <v>64</v>
      </c>
      <c r="C5241">
        <v>0.06</v>
      </c>
    </row>
    <row r="5242" spans="1:3" x14ac:dyDescent="0.3">
      <c r="A5242" t="s">
        <v>15671</v>
      </c>
      <c r="B5242" t="s">
        <v>64</v>
      </c>
      <c r="C5242">
        <v>0.09</v>
      </c>
    </row>
    <row r="5243" spans="1:3" x14ac:dyDescent="0.3">
      <c r="A5243" t="s">
        <v>12441</v>
      </c>
      <c r="B5243" t="s">
        <v>225</v>
      </c>
      <c r="C5243">
        <v>0</v>
      </c>
    </row>
    <row r="5244" spans="1:3" x14ac:dyDescent="0.3">
      <c r="A5244" t="s">
        <v>10716</v>
      </c>
      <c r="B5244" t="s">
        <v>225</v>
      </c>
      <c r="C5244">
        <v>0.04</v>
      </c>
    </row>
    <row r="5245" spans="1:3" x14ac:dyDescent="0.3">
      <c r="A5245" t="s">
        <v>10716</v>
      </c>
      <c r="B5245" t="s">
        <v>225</v>
      </c>
      <c r="C5245">
        <v>0.06</v>
      </c>
    </row>
    <row r="5246" spans="1:3" x14ac:dyDescent="0.3">
      <c r="A5246" t="s">
        <v>14064</v>
      </c>
      <c r="B5246" t="s">
        <v>225</v>
      </c>
      <c r="C5246">
        <v>0.04</v>
      </c>
    </row>
    <row r="5247" spans="1:3" x14ac:dyDescent="0.3">
      <c r="A5247" t="s">
        <v>11494</v>
      </c>
      <c r="B5247" t="s">
        <v>87</v>
      </c>
      <c r="C5247">
        <v>0.1</v>
      </c>
    </row>
    <row r="5248" spans="1:3" x14ac:dyDescent="0.3">
      <c r="A5248" t="s">
        <v>10398</v>
      </c>
      <c r="B5248" t="s">
        <v>40</v>
      </c>
      <c r="C5248">
        <v>7.0000000000000007E-2</v>
      </c>
    </row>
    <row r="5249" spans="1:3" x14ac:dyDescent="0.3">
      <c r="A5249" t="s">
        <v>9767</v>
      </c>
      <c r="B5249" t="s">
        <v>53</v>
      </c>
      <c r="C5249">
        <v>0</v>
      </c>
    </row>
    <row r="5250" spans="1:3" x14ac:dyDescent="0.3">
      <c r="A5250" t="s">
        <v>9767</v>
      </c>
      <c r="B5250" t="s">
        <v>53</v>
      </c>
      <c r="C5250">
        <v>0.06</v>
      </c>
    </row>
    <row r="5251" spans="1:3" x14ac:dyDescent="0.3">
      <c r="A5251" t="s">
        <v>8567</v>
      </c>
      <c r="B5251" t="s">
        <v>53</v>
      </c>
      <c r="C5251">
        <v>0</v>
      </c>
    </row>
    <row r="5252" spans="1:3" x14ac:dyDescent="0.3">
      <c r="A5252" t="s">
        <v>14024</v>
      </c>
      <c r="B5252" t="s">
        <v>40</v>
      </c>
      <c r="C5252">
        <v>0.09</v>
      </c>
    </row>
    <row r="5253" spans="1:3" x14ac:dyDescent="0.3">
      <c r="A5253" t="s">
        <v>12612</v>
      </c>
      <c r="B5253" t="s">
        <v>29</v>
      </c>
      <c r="C5253">
        <v>0.02</v>
      </c>
    </row>
    <row r="5254" spans="1:3" x14ac:dyDescent="0.3">
      <c r="A5254" t="s">
        <v>12612</v>
      </c>
      <c r="B5254" t="s">
        <v>29</v>
      </c>
      <c r="C5254">
        <v>0.03</v>
      </c>
    </row>
    <row r="5255" spans="1:3" x14ac:dyDescent="0.3">
      <c r="A5255" t="s">
        <v>3231</v>
      </c>
      <c r="B5255" t="s">
        <v>29</v>
      </c>
      <c r="C5255">
        <v>7.0000000000000007E-2</v>
      </c>
    </row>
    <row r="5256" spans="1:3" x14ac:dyDescent="0.3">
      <c r="A5256" t="s">
        <v>7397</v>
      </c>
      <c r="B5256" t="s">
        <v>29</v>
      </c>
      <c r="C5256">
        <v>0.04</v>
      </c>
    </row>
    <row r="5257" spans="1:3" x14ac:dyDescent="0.3">
      <c r="A5257" t="s">
        <v>7397</v>
      </c>
      <c r="B5257" t="s">
        <v>29</v>
      </c>
      <c r="C5257">
        <v>0.1</v>
      </c>
    </row>
    <row r="5258" spans="1:3" x14ac:dyDescent="0.3">
      <c r="A5258" t="s">
        <v>15375</v>
      </c>
      <c r="B5258" t="s">
        <v>29</v>
      </c>
      <c r="C5258">
        <v>0.03</v>
      </c>
    </row>
    <row r="5259" spans="1:3" x14ac:dyDescent="0.3">
      <c r="A5259" t="s">
        <v>15281</v>
      </c>
      <c r="B5259" t="s">
        <v>87</v>
      </c>
      <c r="C5259">
        <v>0.05</v>
      </c>
    </row>
    <row r="5260" spans="1:3" x14ac:dyDescent="0.3">
      <c r="A5260" t="s">
        <v>15281</v>
      </c>
      <c r="B5260" t="s">
        <v>87</v>
      </c>
      <c r="C5260">
        <v>0.1</v>
      </c>
    </row>
    <row r="5261" spans="1:3" x14ac:dyDescent="0.3">
      <c r="A5261" t="s">
        <v>13963</v>
      </c>
      <c r="B5261" t="s">
        <v>87</v>
      </c>
      <c r="C5261">
        <v>0.04</v>
      </c>
    </row>
    <row r="5262" spans="1:3" x14ac:dyDescent="0.3">
      <c r="A5262" t="s">
        <v>13963</v>
      </c>
      <c r="B5262" t="s">
        <v>87</v>
      </c>
      <c r="C5262">
        <v>0.1</v>
      </c>
    </row>
    <row r="5263" spans="1:3" x14ac:dyDescent="0.3">
      <c r="A5263" t="s">
        <v>3245</v>
      </c>
      <c r="B5263" t="s">
        <v>29</v>
      </c>
      <c r="C5263">
        <v>0.06</v>
      </c>
    </row>
    <row r="5264" spans="1:3" x14ac:dyDescent="0.3">
      <c r="A5264" t="s">
        <v>4872</v>
      </c>
      <c r="B5264" t="s">
        <v>29</v>
      </c>
      <c r="C5264">
        <v>0</v>
      </c>
    </row>
    <row r="5265" spans="1:3" x14ac:dyDescent="0.3">
      <c r="A5265" t="s">
        <v>6703</v>
      </c>
      <c r="B5265" t="s">
        <v>87</v>
      </c>
      <c r="C5265">
        <v>0.01</v>
      </c>
    </row>
    <row r="5266" spans="1:3" x14ac:dyDescent="0.3">
      <c r="A5266" t="s">
        <v>11260</v>
      </c>
      <c r="B5266" t="s">
        <v>40</v>
      </c>
      <c r="C5266">
        <v>0.05</v>
      </c>
    </row>
    <row r="5267" spans="1:3" x14ac:dyDescent="0.3">
      <c r="A5267" t="s">
        <v>11260</v>
      </c>
      <c r="B5267" t="s">
        <v>87</v>
      </c>
      <c r="C5267">
        <v>0.09</v>
      </c>
    </row>
    <row r="5268" spans="1:3" x14ac:dyDescent="0.3">
      <c r="A5268" t="s">
        <v>10229</v>
      </c>
      <c r="B5268" t="s">
        <v>40</v>
      </c>
      <c r="C5268">
        <v>0.06</v>
      </c>
    </row>
    <row r="5269" spans="1:3" x14ac:dyDescent="0.3">
      <c r="A5269" t="s">
        <v>9211</v>
      </c>
      <c r="B5269" t="s">
        <v>40</v>
      </c>
      <c r="C5269">
        <v>0</v>
      </c>
    </row>
    <row r="5270" spans="1:3" x14ac:dyDescent="0.3">
      <c r="A5270" t="s">
        <v>3257</v>
      </c>
      <c r="B5270" t="s">
        <v>87</v>
      </c>
      <c r="C5270">
        <v>0</v>
      </c>
    </row>
    <row r="5271" spans="1:3" x14ac:dyDescent="0.3">
      <c r="A5271" t="s">
        <v>11998</v>
      </c>
      <c r="B5271" t="s">
        <v>87</v>
      </c>
      <c r="C5271">
        <v>0</v>
      </c>
    </row>
    <row r="5272" spans="1:3" x14ac:dyDescent="0.3">
      <c r="A5272" t="s">
        <v>12361</v>
      </c>
      <c r="B5272" t="s">
        <v>87</v>
      </c>
      <c r="C5272">
        <v>0</v>
      </c>
    </row>
    <row r="5273" spans="1:3" x14ac:dyDescent="0.3">
      <c r="A5273" t="s">
        <v>3268</v>
      </c>
      <c r="B5273" t="s">
        <v>53</v>
      </c>
      <c r="C5273">
        <v>0</v>
      </c>
    </row>
    <row r="5274" spans="1:3" x14ac:dyDescent="0.3">
      <c r="A5274" t="s">
        <v>7001</v>
      </c>
      <c r="B5274" t="s">
        <v>87</v>
      </c>
      <c r="C5274">
        <v>0.08</v>
      </c>
    </row>
    <row r="5275" spans="1:3" x14ac:dyDescent="0.3">
      <c r="A5275" t="s">
        <v>5564</v>
      </c>
      <c r="B5275" t="s">
        <v>53</v>
      </c>
      <c r="C5275">
        <v>7.0000000000000007E-2</v>
      </c>
    </row>
    <row r="5276" spans="1:3" x14ac:dyDescent="0.3">
      <c r="A5276" t="s">
        <v>5564</v>
      </c>
      <c r="B5276" t="s">
        <v>53</v>
      </c>
      <c r="C5276">
        <v>0.08</v>
      </c>
    </row>
    <row r="5277" spans="1:3" x14ac:dyDescent="0.3">
      <c r="A5277" t="s">
        <v>3879</v>
      </c>
      <c r="B5277" t="s">
        <v>29</v>
      </c>
      <c r="C5277">
        <v>0.05</v>
      </c>
    </row>
    <row r="5278" spans="1:3" x14ac:dyDescent="0.3">
      <c r="A5278" t="s">
        <v>3879</v>
      </c>
      <c r="B5278" t="s">
        <v>87</v>
      </c>
      <c r="C5278">
        <v>0.02</v>
      </c>
    </row>
    <row r="5279" spans="1:3" x14ac:dyDescent="0.3">
      <c r="A5279" t="s">
        <v>3279</v>
      </c>
      <c r="B5279" t="s">
        <v>87</v>
      </c>
      <c r="C5279">
        <v>0.02</v>
      </c>
    </row>
    <row r="5280" spans="1:3" x14ac:dyDescent="0.3">
      <c r="A5280" t="s">
        <v>3279</v>
      </c>
      <c r="B5280" t="s">
        <v>87</v>
      </c>
      <c r="C5280">
        <v>0.09</v>
      </c>
    </row>
    <row r="5281" spans="1:3" x14ac:dyDescent="0.3">
      <c r="A5281" t="s">
        <v>3279</v>
      </c>
      <c r="B5281" t="s">
        <v>87</v>
      </c>
      <c r="C5281">
        <v>0.1</v>
      </c>
    </row>
    <row r="5282" spans="1:3" x14ac:dyDescent="0.3">
      <c r="A5282" t="s">
        <v>14169</v>
      </c>
      <c r="B5282" t="s">
        <v>64</v>
      </c>
      <c r="C5282">
        <v>7.0000000000000007E-2</v>
      </c>
    </row>
    <row r="5283" spans="1:3" x14ac:dyDescent="0.3">
      <c r="A5283" t="s">
        <v>7271</v>
      </c>
      <c r="B5283" t="s">
        <v>87</v>
      </c>
      <c r="C5283">
        <v>0.01</v>
      </c>
    </row>
    <row r="5284" spans="1:3" x14ac:dyDescent="0.3">
      <c r="A5284" t="s">
        <v>7147</v>
      </c>
      <c r="B5284" t="s">
        <v>87</v>
      </c>
      <c r="C5284">
        <v>0.03</v>
      </c>
    </row>
    <row r="5285" spans="1:3" x14ac:dyDescent="0.3">
      <c r="A5285" t="s">
        <v>6033</v>
      </c>
      <c r="B5285" t="s">
        <v>87</v>
      </c>
      <c r="C5285">
        <v>0.01</v>
      </c>
    </row>
    <row r="5286" spans="1:3" x14ac:dyDescent="0.3">
      <c r="A5286" t="s">
        <v>7833</v>
      </c>
      <c r="B5286" t="s">
        <v>87</v>
      </c>
      <c r="C5286">
        <v>0.08</v>
      </c>
    </row>
    <row r="5287" spans="1:3" x14ac:dyDescent="0.3">
      <c r="A5287" t="s">
        <v>6900</v>
      </c>
      <c r="B5287" t="s">
        <v>29</v>
      </c>
      <c r="C5287">
        <v>0</v>
      </c>
    </row>
    <row r="5288" spans="1:3" x14ac:dyDescent="0.3">
      <c r="A5288" t="s">
        <v>6900</v>
      </c>
      <c r="B5288" t="s">
        <v>29</v>
      </c>
      <c r="C5288">
        <v>0.05</v>
      </c>
    </row>
    <row r="5289" spans="1:3" x14ac:dyDescent="0.3">
      <c r="A5289" t="s">
        <v>4434</v>
      </c>
      <c r="B5289" t="s">
        <v>29</v>
      </c>
      <c r="C5289">
        <v>0</v>
      </c>
    </row>
    <row r="5290" spans="1:3" x14ac:dyDescent="0.3">
      <c r="A5290" t="s">
        <v>4434</v>
      </c>
      <c r="B5290" t="s">
        <v>87</v>
      </c>
      <c r="C5290">
        <v>0.08</v>
      </c>
    </row>
    <row r="5291" spans="1:3" x14ac:dyDescent="0.3">
      <c r="A5291" t="s">
        <v>3793</v>
      </c>
      <c r="B5291" t="s">
        <v>40</v>
      </c>
      <c r="C5291">
        <v>0.01</v>
      </c>
    </row>
    <row r="5292" spans="1:3" x14ac:dyDescent="0.3">
      <c r="A5292" t="s">
        <v>3793</v>
      </c>
      <c r="B5292" t="s">
        <v>87</v>
      </c>
      <c r="C5292">
        <v>0.02</v>
      </c>
    </row>
    <row r="5293" spans="1:3" x14ac:dyDescent="0.3">
      <c r="A5293" t="s">
        <v>14267</v>
      </c>
      <c r="B5293" t="s">
        <v>64</v>
      </c>
      <c r="C5293">
        <v>0.09</v>
      </c>
    </row>
    <row r="5294" spans="1:3" x14ac:dyDescent="0.3">
      <c r="A5294" t="s">
        <v>14267</v>
      </c>
      <c r="B5294" t="s">
        <v>87</v>
      </c>
      <c r="C5294">
        <v>0.08</v>
      </c>
    </row>
    <row r="5295" spans="1:3" x14ac:dyDescent="0.3">
      <c r="A5295" t="s">
        <v>15498</v>
      </c>
      <c r="B5295" t="s">
        <v>40</v>
      </c>
      <c r="C5295">
        <v>0.04</v>
      </c>
    </row>
    <row r="5296" spans="1:3" x14ac:dyDescent="0.3">
      <c r="A5296" t="s">
        <v>8034</v>
      </c>
      <c r="B5296" t="s">
        <v>225</v>
      </c>
      <c r="C5296">
        <v>0.09</v>
      </c>
    </row>
    <row r="5297" spans="1:3" x14ac:dyDescent="0.3">
      <c r="A5297" t="s">
        <v>7984</v>
      </c>
      <c r="B5297" t="s">
        <v>87</v>
      </c>
      <c r="C5297">
        <v>0.09</v>
      </c>
    </row>
    <row r="5298" spans="1:3" x14ac:dyDescent="0.3">
      <c r="A5298" t="s">
        <v>3385</v>
      </c>
      <c r="B5298" t="s">
        <v>40</v>
      </c>
      <c r="C5298">
        <v>7.0000000000000007E-2</v>
      </c>
    </row>
    <row r="5299" spans="1:3" x14ac:dyDescent="0.3">
      <c r="A5299" t="s">
        <v>3385</v>
      </c>
      <c r="B5299" t="s">
        <v>40</v>
      </c>
      <c r="C5299">
        <v>0.08</v>
      </c>
    </row>
    <row r="5300" spans="1:3" x14ac:dyDescent="0.3">
      <c r="A5300" t="s">
        <v>14219</v>
      </c>
      <c r="B5300" t="s">
        <v>64</v>
      </c>
      <c r="C5300">
        <v>0.08</v>
      </c>
    </row>
    <row r="5301" spans="1:3" x14ac:dyDescent="0.3">
      <c r="A5301" t="s">
        <v>7398</v>
      </c>
      <c r="B5301" t="s">
        <v>225</v>
      </c>
      <c r="C5301">
        <v>0.03</v>
      </c>
    </row>
    <row r="5302" spans="1:3" x14ac:dyDescent="0.3">
      <c r="A5302" t="s">
        <v>6704</v>
      </c>
      <c r="B5302" t="s">
        <v>225</v>
      </c>
      <c r="C5302">
        <v>0</v>
      </c>
    </row>
    <row r="5303" spans="1:3" x14ac:dyDescent="0.3">
      <c r="A5303" t="s">
        <v>7452</v>
      </c>
      <c r="B5303" t="s">
        <v>40</v>
      </c>
      <c r="C5303">
        <v>0.04</v>
      </c>
    </row>
    <row r="5304" spans="1:3" x14ac:dyDescent="0.3">
      <c r="A5304" t="s">
        <v>3415</v>
      </c>
      <c r="B5304" t="s">
        <v>87</v>
      </c>
      <c r="C5304">
        <v>0.06</v>
      </c>
    </row>
    <row r="5305" spans="1:3" x14ac:dyDescent="0.3">
      <c r="A5305" t="s">
        <v>3415</v>
      </c>
      <c r="B5305" t="s">
        <v>87</v>
      </c>
      <c r="C5305">
        <v>0.1</v>
      </c>
    </row>
    <row r="5306" spans="1:3" x14ac:dyDescent="0.3">
      <c r="A5306" t="s">
        <v>10054</v>
      </c>
      <c r="B5306" t="s">
        <v>29</v>
      </c>
      <c r="C5306">
        <v>0.06</v>
      </c>
    </row>
    <row r="5307" spans="1:3" x14ac:dyDescent="0.3">
      <c r="A5307" t="s">
        <v>10054</v>
      </c>
      <c r="B5307" t="s">
        <v>87</v>
      </c>
      <c r="C5307">
        <v>0.1</v>
      </c>
    </row>
    <row r="5308" spans="1:3" x14ac:dyDescent="0.3">
      <c r="A5308" t="s">
        <v>6798</v>
      </c>
      <c r="B5308" t="s">
        <v>40</v>
      </c>
      <c r="C5308">
        <v>0.01</v>
      </c>
    </row>
    <row r="5309" spans="1:3" x14ac:dyDescent="0.3">
      <c r="A5309" t="s">
        <v>10347</v>
      </c>
      <c r="B5309" t="s">
        <v>64</v>
      </c>
      <c r="C5309">
        <v>7.0000000000000007E-2</v>
      </c>
    </row>
    <row r="5310" spans="1:3" x14ac:dyDescent="0.3">
      <c r="A5310" t="s">
        <v>15271</v>
      </c>
      <c r="B5310" t="s">
        <v>64</v>
      </c>
      <c r="C5310">
        <v>0.06</v>
      </c>
    </row>
    <row r="5311" spans="1:3" x14ac:dyDescent="0.3">
      <c r="A5311" t="s">
        <v>15839</v>
      </c>
      <c r="B5311" t="s">
        <v>64</v>
      </c>
      <c r="C5311">
        <v>0.1</v>
      </c>
    </row>
    <row r="5312" spans="1:3" x14ac:dyDescent="0.3">
      <c r="A5312" t="s">
        <v>15667</v>
      </c>
      <c r="B5312" t="s">
        <v>40</v>
      </c>
      <c r="C5312">
        <v>0.02</v>
      </c>
    </row>
    <row r="5313" spans="1:3" x14ac:dyDescent="0.3">
      <c r="A5313" t="s">
        <v>12063</v>
      </c>
      <c r="B5313" t="s">
        <v>64</v>
      </c>
      <c r="C5313">
        <v>0.02</v>
      </c>
    </row>
    <row r="5314" spans="1:3" x14ac:dyDescent="0.3">
      <c r="A5314" t="s">
        <v>12063</v>
      </c>
      <c r="B5314" t="s">
        <v>64</v>
      </c>
      <c r="C5314">
        <v>0.1</v>
      </c>
    </row>
    <row r="5315" spans="1:3" x14ac:dyDescent="0.3">
      <c r="A5315" t="s">
        <v>3456</v>
      </c>
      <c r="B5315" t="s">
        <v>87</v>
      </c>
      <c r="C5315">
        <v>0.04</v>
      </c>
    </row>
    <row r="5316" spans="1:3" x14ac:dyDescent="0.3">
      <c r="A5316" t="s">
        <v>11225</v>
      </c>
      <c r="B5316" t="s">
        <v>40</v>
      </c>
      <c r="C5316">
        <v>7.0000000000000007E-2</v>
      </c>
    </row>
    <row r="5317" spans="1:3" x14ac:dyDescent="0.3">
      <c r="A5317" t="s">
        <v>11225</v>
      </c>
      <c r="B5317" t="s">
        <v>87</v>
      </c>
      <c r="C5317">
        <v>0.06</v>
      </c>
    </row>
    <row r="5318" spans="1:3" x14ac:dyDescent="0.3">
      <c r="A5318" t="s">
        <v>3483</v>
      </c>
      <c r="B5318" t="s">
        <v>87</v>
      </c>
      <c r="C5318">
        <v>0.05</v>
      </c>
    </row>
    <row r="5319" spans="1:3" x14ac:dyDescent="0.3">
      <c r="A5319" t="s">
        <v>9682</v>
      </c>
      <c r="B5319" t="s">
        <v>225</v>
      </c>
      <c r="C5319">
        <v>0.05</v>
      </c>
    </row>
    <row r="5320" spans="1:3" x14ac:dyDescent="0.3">
      <c r="A5320" t="s">
        <v>11502</v>
      </c>
      <c r="B5320" t="s">
        <v>53</v>
      </c>
      <c r="C5320">
        <v>0.03</v>
      </c>
    </row>
    <row r="5321" spans="1:3" x14ac:dyDescent="0.3">
      <c r="A5321" t="s">
        <v>11405</v>
      </c>
      <c r="B5321" t="s">
        <v>225</v>
      </c>
      <c r="C5321">
        <v>0.1</v>
      </c>
    </row>
    <row r="5322" spans="1:3" x14ac:dyDescent="0.3">
      <c r="A5322" t="s">
        <v>11405</v>
      </c>
      <c r="B5322" t="s">
        <v>53</v>
      </c>
      <c r="C5322">
        <v>0.05</v>
      </c>
    </row>
    <row r="5323" spans="1:3" x14ac:dyDescent="0.3">
      <c r="A5323" t="s">
        <v>9354</v>
      </c>
      <c r="B5323" t="s">
        <v>87</v>
      </c>
      <c r="C5323">
        <v>0.02</v>
      </c>
    </row>
    <row r="5324" spans="1:3" x14ac:dyDescent="0.3">
      <c r="A5324" t="s">
        <v>4529</v>
      </c>
      <c r="B5324" t="s">
        <v>225</v>
      </c>
      <c r="C5324">
        <v>0.01</v>
      </c>
    </row>
    <row r="5325" spans="1:3" x14ac:dyDescent="0.3">
      <c r="A5325" t="s">
        <v>4529</v>
      </c>
      <c r="B5325" t="s">
        <v>225</v>
      </c>
      <c r="C5325">
        <v>0.04</v>
      </c>
    </row>
    <row r="5326" spans="1:3" x14ac:dyDescent="0.3">
      <c r="A5326" t="s">
        <v>15595</v>
      </c>
      <c r="B5326" t="s">
        <v>87</v>
      </c>
      <c r="C5326">
        <v>0.04</v>
      </c>
    </row>
    <row r="5327" spans="1:3" x14ac:dyDescent="0.3">
      <c r="A5327" t="s">
        <v>15595</v>
      </c>
      <c r="B5327" t="s">
        <v>87</v>
      </c>
      <c r="C5327">
        <v>0.05</v>
      </c>
    </row>
    <row r="5328" spans="1:3" x14ac:dyDescent="0.3">
      <c r="A5328" t="s">
        <v>15595</v>
      </c>
      <c r="B5328" t="s">
        <v>87</v>
      </c>
      <c r="C5328">
        <v>7.0000000000000007E-2</v>
      </c>
    </row>
    <row r="5329" spans="1:3" x14ac:dyDescent="0.3">
      <c r="A5329" t="s">
        <v>14507</v>
      </c>
      <c r="B5329" t="s">
        <v>64</v>
      </c>
      <c r="C5329">
        <v>0.05</v>
      </c>
    </row>
    <row r="5330" spans="1:3" x14ac:dyDescent="0.3">
      <c r="A5330" t="s">
        <v>3521</v>
      </c>
      <c r="B5330" t="s">
        <v>53</v>
      </c>
      <c r="C5330">
        <v>0.01</v>
      </c>
    </row>
    <row r="5331" spans="1:3" x14ac:dyDescent="0.3">
      <c r="A5331" t="s">
        <v>3535</v>
      </c>
      <c r="B5331" t="s">
        <v>29</v>
      </c>
      <c r="C5331">
        <v>0.01</v>
      </c>
    </row>
    <row r="5332" spans="1:3" x14ac:dyDescent="0.3">
      <c r="A5332" t="s">
        <v>3555</v>
      </c>
      <c r="B5332" t="s">
        <v>29</v>
      </c>
      <c r="C5332">
        <v>0.01</v>
      </c>
    </row>
    <row r="5333" spans="1:3" x14ac:dyDescent="0.3">
      <c r="A5333" t="s">
        <v>3555</v>
      </c>
      <c r="B5333" t="s">
        <v>29</v>
      </c>
      <c r="C5333">
        <v>7.0000000000000007E-2</v>
      </c>
    </row>
    <row r="5334" spans="1:3" x14ac:dyDescent="0.3">
      <c r="A5334" t="s">
        <v>15585</v>
      </c>
      <c r="B5334" t="s">
        <v>225</v>
      </c>
      <c r="C5334">
        <v>0.08</v>
      </c>
    </row>
    <row r="5335" spans="1:3" x14ac:dyDescent="0.3">
      <c r="A5335" t="s">
        <v>12107</v>
      </c>
      <c r="B5335" t="s">
        <v>53</v>
      </c>
      <c r="C5335">
        <v>0.01</v>
      </c>
    </row>
    <row r="5336" spans="1:3" x14ac:dyDescent="0.3">
      <c r="A5336" t="s">
        <v>3563</v>
      </c>
      <c r="B5336" t="s">
        <v>225</v>
      </c>
      <c r="C5336">
        <v>0.01</v>
      </c>
    </row>
    <row r="5337" spans="1:3" x14ac:dyDescent="0.3">
      <c r="A5337" t="s">
        <v>10129</v>
      </c>
      <c r="B5337" t="s">
        <v>29</v>
      </c>
      <c r="C5337">
        <v>0.1</v>
      </c>
    </row>
    <row r="5338" spans="1:3" x14ac:dyDescent="0.3">
      <c r="A5338" t="s">
        <v>7094</v>
      </c>
      <c r="B5338" t="s">
        <v>87</v>
      </c>
      <c r="C5338">
        <v>0.01</v>
      </c>
    </row>
    <row r="5339" spans="1:3" x14ac:dyDescent="0.3">
      <c r="A5339" t="s">
        <v>7094</v>
      </c>
      <c r="B5339" t="s">
        <v>87</v>
      </c>
      <c r="C5339">
        <v>0.04</v>
      </c>
    </row>
    <row r="5340" spans="1:3" x14ac:dyDescent="0.3">
      <c r="A5340" t="s">
        <v>7094</v>
      </c>
      <c r="B5340" t="s">
        <v>87</v>
      </c>
      <c r="C5340">
        <v>0.09</v>
      </c>
    </row>
    <row r="5341" spans="1:3" x14ac:dyDescent="0.3">
      <c r="A5341" t="s">
        <v>7678</v>
      </c>
      <c r="B5341" t="s">
        <v>87</v>
      </c>
      <c r="C5341">
        <v>0.05</v>
      </c>
    </row>
    <row r="5342" spans="1:3" x14ac:dyDescent="0.3">
      <c r="A5342" t="s">
        <v>11427</v>
      </c>
      <c r="B5342" t="s">
        <v>29</v>
      </c>
      <c r="C5342">
        <v>0.1</v>
      </c>
    </row>
    <row r="5343" spans="1:3" x14ac:dyDescent="0.3">
      <c r="A5343" t="s">
        <v>14836</v>
      </c>
      <c r="B5343" t="s">
        <v>64</v>
      </c>
      <c r="C5343">
        <v>0.01</v>
      </c>
    </row>
    <row r="5344" spans="1:3" x14ac:dyDescent="0.3">
      <c r="A5344" t="s">
        <v>14836</v>
      </c>
      <c r="B5344" t="s">
        <v>64</v>
      </c>
      <c r="C5344">
        <v>0.03</v>
      </c>
    </row>
    <row r="5345" spans="1:3" x14ac:dyDescent="0.3">
      <c r="A5345" t="s">
        <v>14836</v>
      </c>
      <c r="B5345" t="s">
        <v>64</v>
      </c>
      <c r="C5345">
        <v>0.06</v>
      </c>
    </row>
    <row r="5346" spans="1:3" x14ac:dyDescent="0.3">
      <c r="A5346" t="s">
        <v>4159</v>
      </c>
      <c r="B5346" t="s">
        <v>64</v>
      </c>
      <c r="C5346">
        <v>0.03</v>
      </c>
    </row>
    <row r="5347" spans="1:3" x14ac:dyDescent="0.3">
      <c r="A5347" t="s">
        <v>4159</v>
      </c>
      <c r="B5347" t="s">
        <v>64</v>
      </c>
      <c r="C5347">
        <v>0.1</v>
      </c>
    </row>
    <row r="5348" spans="1:3" x14ac:dyDescent="0.3">
      <c r="A5348" t="s">
        <v>4159</v>
      </c>
      <c r="B5348" t="s">
        <v>53</v>
      </c>
      <c r="C5348">
        <v>0.05</v>
      </c>
    </row>
    <row r="5349" spans="1:3" x14ac:dyDescent="0.3">
      <c r="A5349" t="s">
        <v>7148</v>
      </c>
      <c r="B5349" t="s">
        <v>64</v>
      </c>
      <c r="C5349">
        <v>0.05</v>
      </c>
    </row>
    <row r="5350" spans="1:3" x14ac:dyDescent="0.3">
      <c r="A5350" t="s">
        <v>8492</v>
      </c>
      <c r="B5350" t="s">
        <v>40</v>
      </c>
      <c r="C5350">
        <v>0.02</v>
      </c>
    </row>
    <row r="5351" spans="1:3" x14ac:dyDescent="0.3">
      <c r="A5351" t="s">
        <v>8492</v>
      </c>
      <c r="B5351" t="s">
        <v>64</v>
      </c>
      <c r="C5351">
        <v>0.06</v>
      </c>
    </row>
    <row r="5352" spans="1:3" x14ac:dyDescent="0.3">
      <c r="A5352" t="s">
        <v>8492</v>
      </c>
      <c r="B5352" t="s">
        <v>64</v>
      </c>
      <c r="C5352">
        <v>0.1</v>
      </c>
    </row>
    <row r="5353" spans="1:3" x14ac:dyDescent="0.3">
      <c r="A5353" t="s">
        <v>8492</v>
      </c>
      <c r="B5353" t="s">
        <v>87</v>
      </c>
      <c r="C5353">
        <v>0.1</v>
      </c>
    </row>
    <row r="5354" spans="1:3" x14ac:dyDescent="0.3">
      <c r="A5354" t="s">
        <v>3583</v>
      </c>
      <c r="B5354" t="s">
        <v>87</v>
      </c>
      <c r="C5354">
        <v>0.06</v>
      </c>
    </row>
    <row r="5355" spans="1:3" x14ac:dyDescent="0.3">
      <c r="A5355" t="s">
        <v>3742</v>
      </c>
      <c r="B5355" t="s">
        <v>53</v>
      </c>
      <c r="C5355">
        <v>0.09</v>
      </c>
    </row>
    <row r="5356" spans="1:3" x14ac:dyDescent="0.3">
      <c r="A5356" t="s">
        <v>12761</v>
      </c>
      <c r="B5356" t="s">
        <v>87</v>
      </c>
      <c r="C5356">
        <v>0.05</v>
      </c>
    </row>
    <row r="5357" spans="1:3" x14ac:dyDescent="0.3">
      <c r="A5357" t="s">
        <v>8520</v>
      </c>
      <c r="B5357" t="s">
        <v>87</v>
      </c>
      <c r="C5357">
        <v>0.01</v>
      </c>
    </row>
    <row r="5358" spans="1:3" x14ac:dyDescent="0.3">
      <c r="A5358" t="s">
        <v>8520</v>
      </c>
      <c r="B5358" t="s">
        <v>87</v>
      </c>
      <c r="C5358">
        <v>0.03</v>
      </c>
    </row>
    <row r="5359" spans="1:3" x14ac:dyDescent="0.3">
      <c r="A5359" t="s">
        <v>8833</v>
      </c>
      <c r="B5359" t="s">
        <v>40</v>
      </c>
      <c r="C5359">
        <v>0</v>
      </c>
    </row>
    <row r="5360" spans="1:3" x14ac:dyDescent="0.3">
      <c r="A5360" t="s">
        <v>8833</v>
      </c>
      <c r="B5360" t="s">
        <v>40</v>
      </c>
      <c r="C5360">
        <v>0.01</v>
      </c>
    </row>
    <row r="5361" spans="1:3" x14ac:dyDescent="0.3">
      <c r="A5361" t="s">
        <v>8833</v>
      </c>
      <c r="B5361" t="s">
        <v>40</v>
      </c>
      <c r="C5361">
        <v>0.03</v>
      </c>
    </row>
    <row r="5362" spans="1:3" x14ac:dyDescent="0.3">
      <c r="A5362" t="s">
        <v>8833</v>
      </c>
      <c r="B5362" t="s">
        <v>40</v>
      </c>
      <c r="C5362">
        <v>0.04</v>
      </c>
    </row>
    <row r="5363" spans="1:3" x14ac:dyDescent="0.3">
      <c r="A5363" t="s">
        <v>10172</v>
      </c>
      <c r="B5363" t="s">
        <v>40</v>
      </c>
      <c r="C5363">
        <v>0.1</v>
      </c>
    </row>
    <row r="5364" spans="1:3" x14ac:dyDescent="0.3">
      <c r="A5364" t="s">
        <v>6914</v>
      </c>
      <c r="B5364" t="s">
        <v>40</v>
      </c>
      <c r="C5364">
        <v>0</v>
      </c>
    </row>
    <row r="5365" spans="1:3" x14ac:dyDescent="0.3">
      <c r="A5365" t="s">
        <v>3615</v>
      </c>
      <c r="B5365" t="s">
        <v>225</v>
      </c>
      <c r="C5365">
        <v>0.09</v>
      </c>
    </row>
    <row r="5366" spans="1:3" x14ac:dyDescent="0.3">
      <c r="A5366" t="s">
        <v>3615</v>
      </c>
      <c r="B5366" t="s">
        <v>87</v>
      </c>
      <c r="C5366">
        <v>0.04</v>
      </c>
    </row>
    <row r="5367" spans="1:3" x14ac:dyDescent="0.3">
      <c r="A5367" t="s">
        <v>3628</v>
      </c>
      <c r="B5367" t="s">
        <v>225</v>
      </c>
      <c r="C5367">
        <v>0.01</v>
      </c>
    </row>
    <row r="5368" spans="1:3" x14ac:dyDescent="0.3">
      <c r="A5368" t="s">
        <v>3636</v>
      </c>
      <c r="B5368" t="s">
        <v>40</v>
      </c>
      <c r="C5368">
        <v>0.02</v>
      </c>
    </row>
    <row r="5369" spans="1:3" x14ac:dyDescent="0.3">
      <c r="A5369" t="s">
        <v>4854</v>
      </c>
      <c r="B5369" t="s">
        <v>64</v>
      </c>
      <c r="C5369">
        <v>0.06</v>
      </c>
    </row>
    <row r="5370" spans="1:3" x14ac:dyDescent="0.3">
      <c r="A5370" t="s">
        <v>4854</v>
      </c>
      <c r="B5370" t="s">
        <v>53</v>
      </c>
      <c r="C5370">
        <v>0.04</v>
      </c>
    </row>
    <row r="5371" spans="1:3" x14ac:dyDescent="0.3">
      <c r="A5371" t="s">
        <v>4854</v>
      </c>
      <c r="B5371" t="s">
        <v>87</v>
      </c>
      <c r="C5371">
        <v>0.1</v>
      </c>
    </row>
    <row r="5372" spans="1:3" x14ac:dyDescent="0.3">
      <c r="A5372" t="s">
        <v>13820</v>
      </c>
      <c r="B5372" t="s">
        <v>87</v>
      </c>
      <c r="C5372">
        <v>0.03</v>
      </c>
    </row>
    <row r="5373" spans="1:3" x14ac:dyDescent="0.3">
      <c r="A5373" t="s">
        <v>7290</v>
      </c>
      <c r="B5373" t="s">
        <v>64</v>
      </c>
      <c r="C5373">
        <v>0.03</v>
      </c>
    </row>
    <row r="5374" spans="1:3" x14ac:dyDescent="0.3">
      <c r="A5374" t="s">
        <v>7290</v>
      </c>
      <c r="B5374" t="s">
        <v>29</v>
      </c>
      <c r="C5374">
        <v>0.09</v>
      </c>
    </row>
    <row r="5375" spans="1:3" x14ac:dyDescent="0.3">
      <c r="A5375" t="s">
        <v>8148</v>
      </c>
      <c r="B5375" t="s">
        <v>225</v>
      </c>
      <c r="C5375">
        <v>0.02</v>
      </c>
    </row>
    <row r="5376" spans="1:3" x14ac:dyDescent="0.3">
      <c r="A5376" t="s">
        <v>14883</v>
      </c>
      <c r="B5376" t="s">
        <v>64</v>
      </c>
      <c r="C5376">
        <v>0.02</v>
      </c>
    </row>
    <row r="5377" spans="1:3" x14ac:dyDescent="0.3">
      <c r="A5377" t="s">
        <v>14883</v>
      </c>
      <c r="B5377" t="s">
        <v>64</v>
      </c>
      <c r="C5377">
        <v>0.03</v>
      </c>
    </row>
    <row r="5378" spans="1:3" x14ac:dyDescent="0.3">
      <c r="A5378" t="s">
        <v>13973</v>
      </c>
      <c r="B5378" t="s">
        <v>64</v>
      </c>
      <c r="C5378">
        <v>0.04</v>
      </c>
    </row>
    <row r="5379" spans="1:3" x14ac:dyDescent="0.3">
      <c r="A5379" t="s">
        <v>14172</v>
      </c>
      <c r="B5379" t="s">
        <v>64</v>
      </c>
      <c r="C5379">
        <v>7.0000000000000007E-2</v>
      </c>
    </row>
    <row r="5380" spans="1:3" x14ac:dyDescent="0.3">
      <c r="A5380" t="s">
        <v>14409</v>
      </c>
      <c r="B5380" t="s">
        <v>53</v>
      </c>
      <c r="C5380">
        <v>0.02</v>
      </c>
    </row>
    <row r="5381" spans="1:3" x14ac:dyDescent="0.3">
      <c r="A5381" t="s">
        <v>13614</v>
      </c>
      <c r="B5381" t="s">
        <v>29</v>
      </c>
      <c r="C5381">
        <v>7.0000000000000007E-2</v>
      </c>
    </row>
    <row r="5382" spans="1:3" x14ac:dyDescent="0.3">
      <c r="A5382" t="s">
        <v>3672</v>
      </c>
      <c r="B5382" t="s">
        <v>64</v>
      </c>
      <c r="C5382">
        <v>0.01</v>
      </c>
    </row>
    <row r="5383" spans="1:3" x14ac:dyDescent="0.3">
      <c r="A5383" t="s">
        <v>3686</v>
      </c>
      <c r="B5383" t="s">
        <v>29</v>
      </c>
      <c r="C5383">
        <v>0.1</v>
      </c>
    </row>
    <row r="5384" spans="1:3" x14ac:dyDescent="0.3">
      <c r="A5384" t="s">
        <v>9107</v>
      </c>
      <c r="B5384" t="s">
        <v>40</v>
      </c>
      <c r="C5384">
        <v>0.1</v>
      </c>
    </row>
    <row r="5385" spans="1:3" x14ac:dyDescent="0.3">
      <c r="A5385" t="s">
        <v>10314</v>
      </c>
      <c r="B5385" t="s">
        <v>40</v>
      </c>
      <c r="C5385">
        <v>7.0000000000000007E-2</v>
      </c>
    </row>
    <row r="5386" spans="1:3" x14ac:dyDescent="0.3">
      <c r="A5386" t="s">
        <v>15644</v>
      </c>
      <c r="B5386" t="s">
        <v>40</v>
      </c>
      <c r="C5386">
        <v>0.03</v>
      </c>
    </row>
    <row r="5387" spans="1:3" x14ac:dyDescent="0.3">
      <c r="A5387" t="s">
        <v>15644</v>
      </c>
      <c r="B5387" t="s">
        <v>40</v>
      </c>
      <c r="C5387">
        <v>0.1</v>
      </c>
    </row>
    <row r="5388" spans="1:3" x14ac:dyDescent="0.3">
      <c r="A5388" t="s">
        <v>10777</v>
      </c>
      <c r="B5388" t="s">
        <v>40</v>
      </c>
      <c r="C5388">
        <v>0</v>
      </c>
    </row>
    <row r="5389" spans="1:3" x14ac:dyDescent="0.3">
      <c r="A5389" t="s">
        <v>5582</v>
      </c>
      <c r="B5389" t="s">
        <v>53</v>
      </c>
      <c r="C5389">
        <v>0.01</v>
      </c>
    </row>
    <row r="5390" spans="1:3" x14ac:dyDescent="0.3">
      <c r="A5390" t="s">
        <v>5582</v>
      </c>
      <c r="B5390" t="s">
        <v>53</v>
      </c>
      <c r="C5390">
        <v>0.04</v>
      </c>
    </row>
    <row r="5391" spans="1:3" x14ac:dyDescent="0.3">
      <c r="A5391" t="s">
        <v>13949</v>
      </c>
      <c r="B5391" t="s">
        <v>40</v>
      </c>
      <c r="C5391">
        <v>0.05</v>
      </c>
    </row>
    <row r="5392" spans="1:3" x14ac:dyDescent="0.3">
      <c r="A5392" t="s">
        <v>13997</v>
      </c>
      <c r="B5392" t="s">
        <v>225</v>
      </c>
      <c r="C5392">
        <v>7.0000000000000007E-2</v>
      </c>
    </row>
    <row r="5393" spans="1:3" x14ac:dyDescent="0.3">
      <c r="A5393" t="s">
        <v>4005</v>
      </c>
      <c r="B5393" t="s">
        <v>29</v>
      </c>
      <c r="C5393">
        <v>0.1</v>
      </c>
    </row>
    <row r="5394" spans="1:3" x14ac:dyDescent="0.3">
      <c r="A5394" t="s">
        <v>12882</v>
      </c>
      <c r="B5394" t="s">
        <v>40</v>
      </c>
      <c r="C5394">
        <v>0.08</v>
      </c>
    </row>
    <row r="5395" spans="1:3" x14ac:dyDescent="0.3">
      <c r="A5395" t="s">
        <v>12853</v>
      </c>
      <c r="B5395" t="s">
        <v>225</v>
      </c>
      <c r="C5395">
        <v>0.03</v>
      </c>
    </row>
    <row r="5396" spans="1:3" x14ac:dyDescent="0.3">
      <c r="A5396" t="s">
        <v>12853</v>
      </c>
      <c r="B5396" t="s">
        <v>225</v>
      </c>
      <c r="C5396">
        <v>0.09</v>
      </c>
    </row>
    <row r="5397" spans="1:3" x14ac:dyDescent="0.3">
      <c r="A5397" t="s">
        <v>12853</v>
      </c>
      <c r="B5397" t="s">
        <v>64</v>
      </c>
      <c r="C5397">
        <v>7.0000000000000007E-2</v>
      </c>
    </row>
    <row r="5398" spans="1:3" x14ac:dyDescent="0.3">
      <c r="A5398" t="s">
        <v>5778</v>
      </c>
      <c r="B5398" t="s">
        <v>64</v>
      </c>
      <c r="C5398">
        <v>0.1</v>
      </c>
    </row>
    <row r="5399" spans="1:3" x14ac:dyDescent="0.3">
      <c r="A5399" t="s">
        <v>8474</v>
      </c>
      <c r="B5399" t="s">
        <v>87</v>
      </c>
      <c r="C5399">
        <v>7.0000000000000007E-2</v>
      </c>
    </row>
    <row r="5400" spans="1:3" x14ac:dyDescent="0.3">
      <c r="A5400" t="s">
        <v>8474</v>
      </c>
      <c r="B5400" t="s">
        <v>87</v>
      </c>
      <c r="C5400">
        <v>0.09</v>
      </c>
    </row>
    <row r="5401" spans="1:3" x14ac:dyDescent="0.3">
      <c r="A5401" t="s">
        <v>14723</v>
      </c>
      <c r="B5401" t="s">
        <v>87</v>
      </c>
      <c r="C5401">
        <v>0.1</v>
      </c>
    </row>
    <row r="5402" spans="1:3" x14ac:dyDescent="0.3">
      <c r="A5402" t="s">
        <v>3750</v>
      </c>
      <c r="B5402" t="s">
        <v>87</v>
      </c>
      <c r="C5402">
        <v>0.01</v>
      </c>
    </row>
    <row r="5403" spans="1:3" x14ac:dyDescent="0.3">
      <c r="A5403" t="s">
        <v>3755</v>
      </c>
      <c r="B5403" t="s">
        <v>225</v>
      </c>
      <c r="C5403">
        <v>0</v>
      </c>
    </row>
    <row r="5404" spans="1:3" x14ac:dyDescent="0.3">
      <c r="A5404" t="s">
        <v>10354</v>
      </c>
      <c r="B5404" t="s">
        <v>64</v>
      </c>
      <c r="C5404">
        <v>0.01</v>
      </c>
    </row>
    <row r="5405" spans="1:3" x14ac:dyDescent="0.3">
      <c r="A5405" t="s">
        <v>10354</v>
      </c>
      <c r="B5405" t="s">
        <v>64</v>
      </c>
      <c r="C5405">
        <v>7.0000000000000007E-2</v>
      </c>
    </row>
    <row r="5406" spans="1:3" x14ac:dyDescent="0.3">
      <c r="A5406" t="s">
        <v>15691</v>
      </c>
      <c r="B5406" t="s">
        <v>29</v>
      </c>
      <c r="C5406">
        <v>0.08</v>
      </c>
    </row>
    <row r="5407" spans="1:3" x14ac:dyDescent="0.3">
      <c r="A5407" t="s">
        <v>10265</v>
      </c>
      <c r="B5407" t="s">
        <v>87</v>
      </c>
      <c r="C5407">
        <v>0.09</v>
      </c>
    </row>
    <row r="5408" spans="1:3" x14ac:dyDescent="0.3">
      <c r="A5408" t="s">
        <v>15563</v>
      </c>
      <c r="B5408" t="s">
        <v>225</v>
      </c>
      <c r="C5408">
        <v>0</v>
      </c>
    </row>
    <row r="5409" spans="1:3" x14ac:dyDescent="0.3">
      <c r="A5409" t="s">
        <v>15563</v>
      </c>
      <c r="B5409" t="s">
        <v>225</v>
      </c>
      <c r="C5409">
        <v>0.01</v>
      </c>
    </row>
    <row r="5410" spans="1:3" x14ac:dyDescent="0.3">
      <c r="A5410" t="s">
        <v>15563</v>
      </c>
      <c r="B5410" t="s">
        <v>225</v>
      </c>
      <c r="C5410">
        <v>0.09</v>
      </c>
    </row>
    <row r="5411" spans="1:3" x14ac:dyDescent="0.3">
      <c r="A5411" t="s">
        <v>4424</v>
      </c>
      <c r="B5411" t="s">
        <v>40</v>
      </c>
      <c r="C5411">
        <v>0.05</v>
      </c>
    </row>
    <row r="5412" spans="1:3" x14ac:dyDescent="0.3">
      <c r="A5412" t="s">
        <v>3800</v>
      </c>
      <c r="B5412" t="s">
        <v>40</v>
      </c>
      <c r="C5412">
        <v>0.04</v>
      </c>
    </row>
    <row r="5413" spans="1:3" x14ac:dyDescent="0.3">
      <c r="A5413" t="s">
        <v>10100</v>
      </c>
      <c r="B5413" t="s">
        <v>29</v>
      </c>
      <c r="C5413">
        <v>0.03</v>
      </c>
    </row>
    <row r="5414" spans="1:3" x14ac:dyDescent="0.3">
      <c r="A5414" t="s">
        <v>10100</v>
      </c>
      <c r="B5414" t="s">
        <v>29</v>
      </c>
      <c r="C5414">
        <v>0.06</v>
      </c>
    </row>
    <row r="5415" spans="1:3" x14ac:dyDescent="0.3">
      <c r="A5415" t="s">
        <v>11538</v>
      </c>
      <c r="B5415" t="s">
        <v>225</v>
      </c>
      <c r="C5415">
        <v>0.03</v>
      </c>
    </row>
    <row r="5416" spans="1:3" x14ac:dyDescent="0.3">
      <c r="A5416" t="s">
        <v>11538</v>
      </c>
      <c r="B5416" t="s">
        <v>29</v>
      </c>
      <c r="C5416">
        <v>0.02</v>
      </c>
    </row>
    <row r="5417" spans="1:3" x14ac:dyDescent="0.3">
      <c r="A5417" t="s">
        <v>11538</v>
      </c>
      <c r="B5417" t="s">
        <v>29</v>
      </c>
      <c r="C5417">
        <v>0.03</v>
      </c>
    </row>
    <row r="5418" spans="1:3" x14ac:dyDescent="0.3">
      <c r="A5418" t="s">
        <v>11538</v>
      </c>
      <c r="B5418" t="s">
        <v>29</v>
      </c>
      <c r="C5418">
        <v>0.1</v>
      </c>
    </row>
    <row r="5419" spans="1:3" x14ac:dyDescent="0.3">
      <c r="A5419" t="s">
        <v>3843</v>
      </c>
      <c r="B5419" t="s">
        <v>29</v>
      </c>
      <c r="C5419">
        <v>0</v>
      </c>
    </row>
    <row r="5420" spans="1:3" x14ac:dyDescent="0.3">
      <c r="A5420" t="s">
        <v>3843</v>
      </c>
      <c r="B5420" t="s">
        <v>29</v>
      </c>
      <c r="C5420">
        <v>0.02</v>
      </c>
    </row>
    <row r="5421" spans="1:3" x14ac:dyDescent="0.3">
      <c r="A5421" t="s">
        <v>13660</v>
      </c>
      <c r="B5421" t="s">
        <v>64</v>
      </c>
      <c r="C5421">
        <v>0.04</v>
      </c>
    </row>
    <row r="5422" spans="1:3" x14ac:dyDescent="0.3">
      <c r="A5422" t="s">
        <v>12022</v>
      </c>
      <c r="B5422" t="s">
        <v>64</v>
      </c>
      <c r="C5422">
        <v>0.09</v>
      </c>
    </row>
    <row r="5423" spans="1:3" x14ac:dyDescent="0.3">
      <c r="A5423" t="s">
        <v>12360</v>
      </c>
      <c r="B5423" t="s">
        <v>64</v>
      </c>
      <c r="C5423">
        <v>0</v>
      </c>
    </row>
    <row r="5424" spans="1:3" x14ac:dyDescent="0.3">
      <c r="A5424" t="s">
        <v>12360</v>
      </c>
      <c r="B5424" t="s">
        <v>64</v>
      </c>
      <c r="C5424">
        <v>0.03</v>
      </c>
    </row>
    <row r="5425" spans="1:3" x14ac:dyDescent="0.3">
      <c r="A5425" t="s">
        <v>13035</v>
      </c>
      <c r="B5425" t="s">
        <v>40</v>
      </c>
      <c r="C5425">
        <v>0.04</v>
      </c>
    </row>
    <row r="5426" spans="1:3" x14ac:dyDescent="0.3">
      <c r="A5426" t="s">
        <v>12069</v>
      </c>
      <c r="B5426" t="s">
        <v>40</v>
      </c>
      <c r="C5426">
        <v>7.0000000000000007E-2</v>
      </c>
    </row>
    <row r="5427" spans="1:3" x14ac:dyDescent="0.3">
      <c r="A5427" t="s">
        <v>13237</v>
      </c>
      <c r="B5427" t="s">
        <v>53</v>
      </c>
      <c r="C5427">
        <v>0.08</v>
      </c>
    </row>
    <row r="5428" spans="1:3" x14ac:dyDescent="0.3">
      <c r="A5428" t="s">
        <v>14520</v>
      </c>
      <c r="B5428" t="s">
        <v>53</v>
      </c>
      <c r="C5428">
        <v>7.0000000000000007E-2</v>
      </c>
    </row>
    <row r="5429" spans="1:3" x14ac:dyDescent="0.3">
      <c r="A5429" t="s">
        <v>14807</v>
      </c>
      <c r="B5429" t="s">
        <v>53</v>
      </c>
      <c r="C5429">
        <v>0.04</v>
      </c>
    </row>
    <row r="5430" spans="1:3" x14ac:dyDescent="0.3">
      <c r="A5430" t="s">
        <v>14807</v>
      </c>
      <c r="B5430" t="s">
        <v>53</v>
      </c>
      <c r="C5430">
        <v>0.05</v>
      </c>
    </row>
    <row r="5431" spans="1:3" x14ac:dyDescent="0.3">
      <c r="A5431" t="s">
        <v>14807</v>
      </c>
      <c r="B5431" t="s">
        <v>53</v>
      </c>
      <c r="C5431">
        <v>0.08</v>
      </c>
    </row>
    <row r="5432" spans="1:3" x14ac:dyDescent="0.3">
      <c r="A5432" t="s">
        <v>14942</v>
      </c>
      <c r="B5432" t="s">
        <v>53</v>
      </c>
      <c r="C5432">
        <v>0.03</v>
      </c>
    </row>
    <row r="5433" spans="1:3" x14ac:dyDescent="0.3">
      <c r="A5433" t="s">
        <v>4902</v>
      </c>
      <c r="B5433" t="s">
        <v>53</v>
      </c>
      <c r="C5433">
        <v>0</v>
      </c>
    </row>
    <row r="5434" spans="1:3" x14ac:dyDescent="0.3">
      <c r="A5434" t="s">
        <v>4902</v>
      </c>
      <c r="B5434" t="s">
        <v>53</v>
      </c>
      <c r="C5434">
        <v>0.06</v>
      </c>
    </row>
    <row r="5435" spans="1:3" x14ac:dyDescent="0.3">
      <c r="A5435" t="s">
        <v>3937</v>
      </c>
      <c r="B5435" t="s">
        <v>87</v>
      </c>
      <c r="C5435">
        <v>0</v>
      </c>
    </row>
    <row r="5436" spans="1:3" x14ac:dyDescent="0.3">
      <c r="A5436" t="s">
        <v>3947</v>
      </c>
      <c r="B5436" t="s">
        <v>225</v>
      </c>
      <c r="C5436">
        <v>0</v>
      </c>
    </row>
    <row r="5437" spans="1:3" x14ac:dyDescent="0.3">
      <c r="A5437" t="s">
        <v>6826</v>
      </c>
      <c r="B5437" t="s">
        <v>225</v>
      </c>
      <c r="C5437">
        <v>0.09</v>
      </c>
    </row>
    <row r="5438" spans="1:3" x14ac:dyDescent="0.3">
      <c r="A5438" t="s">
        <v>4374</v>
      </c>
      <c r="B5438" t="s">
        <v>87</v>
      </c>
      <c r="C5438">
        <v>0.03</v>
      </c>
    </row>
    <row r="5439" spans="1:3" x14ac:dyDescent="0.3">
      <c r="A5439" t="s">
        <v>6940</v>
      </c>
      <c r="B5439" t="s">
        <v>29</v>
      </c>
      <c r="C5439">
        <v>0.1</v>
      </c>
    </row>
    <row r="5440" spans="1:3" x14ac:dyDescent="0.3">
      <c r="A5440" t="s">
        <v>3964</v>
      </c>
      <c r="B5440" t="s">
        <v>64</v>
      </c>
      <c r="C5440">
        <v>0.04</v>
      </c>
    </row>
    <row r="5441" spans="1:3" x14ac:dyDescent="0.3">
      <c r="A5441" t="s">
        <v>12334</v>
      </c>
      <c r="B5441" t="s">
        <v>40</v>
      </c>
      <c r="C5441">
        <v>0.04</v>
      </c>
    </row>
    <row r="5442" spans="1:3" x14ac:dyDescent="0.3">
      <c r="A5442" t="s">
        <v>12334</v>
      </c>
      <c r="B5442" t="s">
        <v>40</v>
      </c>
      <c r="C5442">
        <v>0.08</v>
      </c>
    </row>
    <row r="5443" spans="1:3" x14ac:dyDescent="0.3">
      <c r="A5443" t="s">
        <v>10117</v>
      </c>
      <c r="B5443" t="s">
        <v>64</v>
      </c>
      <c r="C5443">
        <v>0.04</v>
      </c>
    </row>
    <row r="5444" spans="1:3" x14ac:dyDescent="0.3">
      <c r="A5444" t="s">
        <v>10117</v>
      </c>
      <c r="B5444" t="s">
        <v>64</v>
      </c>
      <c r="C5444">
        <v>0.06</v>
      </c>
    </row>
    <row r="5445" spans="1:3" x14ac:dyDescent="0.3">
      <c r="A5445" t="s">
        <v>7826</v>
      </c>
      <c r="B5445" t="s">
        <v>87</v>
      </c>
      <c r="C5445">
        <v>0</v>
      </c>
    </row>
    <row r="5446" spans="1:3" x14ac:dyDescent="0.3">
      <c r="A5446" t="s">
        <v>10727</v>
      </c>
      <c r="B5446" t="s">
        <v>29</v>
      </c>
      <c r="C5446">
        <v>0.08</v>
      </c>
    </row>
    <row r="5447" spans="1:3" x14ac:dyDescent="0.3">
      <c r="A5447" t="s">
        <v>13944</v>
      </c>
      <c r="B5447" t="s">
        <v>29</v>
      </c>
      <c r="C5447">
        <v>7.0000000000000007E-2</v>
      </c>
    </row>
    <row r="5448" spans="1:3" x14ac:dyDescent="0.3">
      <c r="A5448" t="s">
        <v>8666</v>
      </c>
      <c r="B5448" t="s">
        <v>40</v>
      </c>
      <c r="C5448">
        <v>0.06</v>
      </c>
    </row>
    <row r="5449" spans="1:3" x14ac:dyDescent="0.3">
      <c r="A5449" t="s">
        <v>11673</v>
      </c>
      <c r="B5449" t="s">
        <v>53</v>
      </c>
      <c r="C5449">
        <v>0.03</v>
      </c>
    </row>
    <row r="5450" spans="1:3" x14ac:dyDescent="0.3">
      <c r="A5450" t="s">
        <v>4753</v>
      </c>
      <c r="B5450" t="s">
        <v>87</v>
      </c>
      <c r="C5450">
        <v>0.05</v>
      </c>
    </row>
    <row r="5451" spans="1:3" x14ac:dyDescent="0.3">
      <c r="A5451" t="s">
        <v>14749</v>
      </c>
      <c r="B5451" t="s">
        <v>29</v>
      </c>
      <c r="C5451">
        <v>0.1</v>
      </c>
    </row>
    <row r="5452" spans="1:3" x14ac:dyDescent="0.3">
      <c r="A5452" t="s">
        <v>5112</v>
      </c>
      <c r="B5452" t="s">
        <v>87</v>
      </c>
      <c r="C5452">
        <v>0</v>
      </c>
    </row>
    <row r="5453" spans="1:3" x14ac:dyDescent="0.3">
      <c r="A5453" t="s">
        <v>5112</v>
      </c>
      <c r="B5453" t="s">
        <v>87</v>
      </c>
      <c r="C5453">
        <v>0.08</v>
      </c>
    </row>
    <row r="5454" spans="1:3" x14ac:dyDescent="0.3">
      <c r="A5454" t="s">
        <v>12757</v>
      </c>
      <c r="B5454" t="s">
        <v>53</v>
      </c>
      <c r="C5454">
        <v>0.1</v>
      </c>
    </row>
    <row r="5455" spans="1:3" x14ac:dyDescent="0.3">
      <c r="A5455" t="s">
        <v>8423</v>
      </c>
      <c r="B5455" t="s">
        <v>225</v>
      </c>
      <c r="C5455">
        <v>0.02</v>
      </c>
    </row>
    <row r="5456" spans="1:3" x14ac:dyDescent="0.3">
      <c r="A5456" t="s">
        <v>9431</v>
      </c>
      <c r="B5456" t="s">
        <v>87</v>
      </c>
      <c r="C5456">
        <v>0.02</v>
      </c>
    </row>
    <row r="5457" spans="1:3" x14ac:dyDescent="0.3">
      <c r="A5457" t="s">
        <v>9431</v>
      </c>
      <c r="B5457" t="s">
        <v>87</v>
      </c>
      <c r="C5457">
        <v>0.04</v>
      </c>
    </row>
    <row r="5458" spans="1:3" x14ac:dyDescent="0.3">
      <c r="A5458" t="s">
        <v>9431</v>
      </c>
      <c r="B5458" t="s">
        <v>87</v>
      </c>
      <c r="C5458">
        <v>7.0000000000000007E-2</v>
      </c>
    </row>
    <row r="5459" spans="1:3" x14ac:dyDescent="0.3">
      <c r="A5459" t="s">
        <v>14488</v>
      </c>
      <c r="B5459" t="s">
        <v>53</v>
      </c>
      <c r="C5459">
        <v>7.0000000000000007E-2</v>
      </c>
    </row>
    <row r="5460" spans="1:3" x14ac:dyDescent="0.3">
      <c r="A5460" t="s">
        <v>14488</v>
      </c>
      <c r="B5460" t="s">
        <v>87</v>
      </c>
      <c r="C5460">
        <v>7.0000000000000007E-2</v>
      </c>
    </row>
    <row r="5461" spans="1:3" x14ac:dyDescent="0.3">
      <c r="A5461" t="s">
        <v>12936</v>
      </c>
      <c r="B5461" t="s">
        <v>53</v>
      </c>
      <c r="C5461">
        <v>0.05</v>
      </c>
    </row>
    <row r="5462" spans="1:3" x14ac:dyDescent="0.3">
      <c r="A5462" t="s">
        <v>10176</v>
      </c>
      <c r="B5462" t="s">
        <v>40</v>
      </c>
      <c r="C5462">
        <v>0.04</v>
      </c>
    </row>
    <row r="5463" spans="1:3" x14ac:dyDescent="0.3">
      <c r="A5463" t="s">
        <v>10176</v>
      </c>
      <c r="B5463" t="s">
        <v>87</v>
      </c>
      <c r="C5463">
        <v>0.06</v>
      </c>
    </row>
    <row r="5464" spans="1:3" x14ac:dyDescent="0.3">
      <c r="A5464" t="s">
        <v>4451</v>
      </c>
      <c r="B5464" t="s">
        <v>29</v>
      </c>
      <c r="C5464">
        <v>0.01</v>
      </c>
    </row>
    <row r="5465" spans="1:3" x14ac:dyDescent="0.3">
      <c r="A5465" t="s">
        <v>4451</v>
      </c>
      <c r="B5465" t="s">
        <v>29</v>
      </c>
      <c r="C5465">
        <v>7.0000000000000007E-2</v>
      </c>
    </row>
    <row r="5466" spans="1:3" x14ac:dyDescent="0.3">
      <c r="A5466" t="s">
        <v>4451</v>
      </c>
      <c r="B5466" t="s">
        <v>29</v>
      </c>
      <c r="C5466">
        <v>0.08</v>
      </c>
    </row>
    <row r="5467" spans="1:3" x14ac:dyDescent="0.3">
      <c r="A5467" t="s">
        <v>4451</v>
      </c>
      <c r="B5467" t="s">
        <v>53</v>
      </c>
      <c r="C5467">
        <v>0.08</v>
      </c>
    </row>
    <row r="5468" spans="1:3" x14ac:dyDescent="0.3">
      <c r="A5468" t="s">
        <v>4451</v>
      </c>
      <c r="B5468" t="s">
        <v>53</v>
      </c>
      <c r="C5468">
        <v>0.1</v>
      </c>
    </row>
    <row r="5469" spans="1:3" x14ac:dyDescent="0.3">
      <c r="A5469" t="s">
        <v>11300</v>
      </c>
      <c r="B5469" t="s">
        <v>29</v>
      </c>
      <c r="C5469">
        <v>0.02</v>
      </c>
    </row>
    <row r="5470" spans="1:3" x14ac:dyDescent="0.3">
      <c r="A5470" t="s">
        <v>11764</v>
      </c>
      <c r="B5470" t="s">
        <v>225</v>
      </c>
      <c r="C5470">
        <v>0.08</v>
      </c>
    </row>
    <row r="5471" spans="1:3" x14ac:dyDescent="0.3">
      <c r="A5471" t="s">
        <v>11764</v>
      </c>
      <c r="B5471" t="s">
        <v>87</v>
      </c>
      <c r="C5471">
        <v>0.03</v>
      </c>
    </row>
    <row r="5472" spans="1:3" x14ac:dyDescent="0.3">
      <c r="A5472" t="s">
        <v>6483</v>
      </c>
      <c r="B5472" t="s">
        <v>40</v>
      </c>
      <c r="C5472">
        <v>0.02</v>
      </c>
    </row>
    <row r="5473" spans="1:3" x14ac:dyDescent="0.3">
      <c r="A5473" t="s">
        <v>15084</v>
      </c>
      <c r="B5473" t="s">
        <v>64</v>
      </c>
      <c r="C5473">
        <v>0.03</v>
      </c>
    </row>
    <row r="5474" spans="1:3" x14ac:dyDescent="0.3">
      <c r="A5474" t="s">
        <v>4899</v>
      </c>
      <c r="B5474" t="s">
        <v>87</v>
      </c>
      <c r="C5474">
        <v>0.01</v>
      </c>
    </row>
    <row r="5475" spans="1:3" x14ac:dyDescent="0.3">
      <c r="A5475" t="s">
        <v>4899</v>
      </c>
      <c r="B5475" t="s">
        <v>87</v>
      </c>
      <c r="C5475">
        <v>0.05</v>
      </c>
    </row>
    <row r="5476" spans="1:3" x14ac:dyDescent="0.3">
      <c r="A5476" t="s">
        <v>4899</v>
      </c>
      <c r="B5476" t="s">
        <v>87</v>
      </c>
      <c r="C5476">
        <v>0.1</v>
      </c>
    </row>
    <row r="5477" spans="1:3" x14ac:dyDescent="0.3">
      <c r="A5477" t="s">
        <v>4875</v>
      </c>
      <c r="B5477" t="s">
        <v>87</v>
      </c>
      <c r="C5477">
        <v>0.09</v>
      </c>
    </row>
    <row r="5478" spans="1:3" x14ac:dyDescent="0.3">
      <c r="A5478" t="s">
        <v>6130</v>
      </c>
      <c r="B5478" t="s">
        <v>53</v>
      </c>
      <c r="C5478">
        <v>0.03</v>
      </c>
    </row>
    <row r="5479" spans="1:3" x14ac:dyDescent="0.3">
      <c r="A5479" t="s">
        <v>10880</v>
      </c>
      <c r="B5479" t="s">
        <v>53</v>
      </c>
      <c r="C5479">
        <v>0.1</v>
      </c>
    </row>
    <row r="5480" spans="1:3" x14ac:dyDescent="0.3">
      <c r="A5480" t="s">
        <v>15207</v>
      </c>
      <c r="B5480" t="s">
        <v>53</v>
      </c>
      <c r="C5480">
        <v>0</v>
      </c>
    </row>
    <row r="5481" spans="1:3" x14ac:dyDescent="0.3">
      <c r="A5481" t="s">
        <v>15207</v>
      </c>
      <c r="B5481" t="s">
        <v>53</v>
      </c>
      <c r="C5481">
        <v>0.04</v>
      </c>
    </row>
    <row r="5482" spans="1:3" x14ac:dyDescent="0.3">
      <c r="A5482" t="s">
        <v>9689</v>
      </c>
      <c r="B5482" t="s">
        <v>53</v>
      </c>
      <c r="C5482">
        <v>0.05</v>
      </c>
    </row>
    <row r="5483" spans="1:3" x14ac:dyDescent="0.3">
      <c r="A5483" t="s">
        <v>9689</v>
      </c>
      <c r="B5483" t="s">
        <v>53</v>
      </c>
      <c r="C5483">
        <v>7.0000000000000007E-2</v>
      </c>
    </row>
    <row r="5484" spans="1:3" x14ac:dyDescent="0.3">
      <c r="A5484" t="s">
        <v>8303</v>
      </c>
      <c r="B5484" t="s">
        <v>87</v>
      </c>
      <c r="C5484">
        <v>0.1</v>
      </c>
    </row>
    <row r="5485" spans="1:3" x14ac:dyDescent="0.3">
      <c r="A5485" t="s">
        <v>15562</v>
      </c>
      <c r="B5485" t="s">
        <v>40</v>
      </c>
      <c r="C5485">
        <v>0.02</v>
      </c>
    </row>
    <row r="5486" spans="1:3" x14ac:dyDescent="0.3">
      <c r="A5486" t="s">
        <v>5616</v>
      </c>
      <c r="B5486" t="s">
        <v>87</v>
      </c>
      <c r="C5486">
        <v>0.1</v>
      </c>
    </row>
    <row r="5487" spans="1:3" x14ac:dyDescent="0.3">
      <c r="A5487" t="s">
        <v>14375</v>
      </c>
      <c r="B5487" t="s">
        <v>87</v>
      </c>
      <c r="C5487">
        <v>0.04</v>
      </c>
    </row>
    <row r="5488" spans="1:3" x14ac:dyDescent="0.3">
      <c r="A5488" t="s">
        <v>14375</v>
      </c>
      <c r="B5488" t="s">
        <v>87</v>
      </c>
      <c r="C5488">
        <v>0.09</v>
      </c>
    </row>
    <row r="5489" spans="1:3" x14ac:dyDescent="0.3">
      <c r="A5489" t="s">
        <v>9751</v>
      </c>
      <c r="B5489" t="s">
        <v>40</v>
      </c>
      <c r="C5489">
        <v>0.08</v>
      </c>
    </row>
    <row r="5490" spans="1:3" x14ac:dyDescent="0.3">
      <c r="A5490" t="s">
        <v>4188</v>
      </c>
      <c r="B5490" t="s">
        <v>64</v>
      </c>
      <c r="C5490">
        <v>0.02</v>
      </c>
    </row>
    <row r="5491" spans="1:3" x14ac:dyDescent="0.3">
      <c r="A5491" t="s">
        <v>10891</v>
      </c>
      <c r="B5491" t="s">
        <v>40</v>
      </c>
      <c r="C5491">
        <v>0.02</v>
      </c>
    </row>
    <row r="5492" spans="1:3" x14ac:dyDescent="0.3">
      <c r="A5492" t="s">
        <v>7470</v>
      </c>
      <c r="B5492" t="s">
        <v>40</v>
      </c>
      <c r="C5492">
        <v>0.04</v>
      </c>
    </row>
    <row r="5493" spans="1:3" x14ac:dyDescent="0.3">
      <c r="A5493" t="s">
        <v>7470</v>
      </c>
      <c r="B5493" t="s">
        <v>40</v>
      </c>
      <c r="C5493">
        <v>0.08</v>
      </c>
    </row>
    <row r="5494" spans="1:3" x14ac:dyDescent="0.3">
      <c r="A5494" t="s">
        <v>14839</v>
      </c>
      <c r="B5494" t="s">
        <v>87</v>
      </c>
      <c r="C5494">
        <v>0.03</v>
      </c>
    </row>
    <row r="5495" spans="1:3" x14ac:dyDescent="0.3">
      <c r="A5495" t="s">
        <v>6181</v>
      </c>
      <c r="B5495" t="s">
        <v>225</v>
      </c>
      <c r="C5495">
        <v>0.06</v>
      </c>
    </row>
    <row r="5496" spans="1:3" x14ac:dyDescent="0.3">
      <c r="A5496" t="s">
        <v>6854</v>
      </c>
      <c r="B5496" t="s">
        <v>29</v>
      </c>
      <c r="C5496">
        <v>0.04</v>
      </c>
    </row>
    <row r="5497" spans="1:3" x14ac:dyDescent="0.3">
      <c r="A5497" t="s">
        <v>11204</v>
      </c>
      <c r="B5497" t="s">
        <v>29</v>
      </c>
      <c r="C5497">
        <v>0.06</v>
      </c>
    </row>
    <row r="5498" spans="1:3" x14ac:dyDescent="0.3">
      <c r="A5498" t="s">
        <v>12429</v>
      </c>
      <c r="B5498" t="s">
        <v>64</v>
      </c>
      <c r="C5498">
        <v>0</v>
      </c>
    </row>
    <row r="5499" spans="1:3" x14ac:dyDescent="0.3">
      <c r="A5499" t="s">
        <v>12429</v>
      </c>
      <c r="B5499" t="s">
        <v>64</v>
      </c>
      <c r="C5499">
        <v>7.0000000000000007E-2</v>
      </c>
    </row>
    <row r="5500" spans="1:3" x14ac:dyDescent="0.3">
      <c r="A5500" t="s">
        <v>12429</v>
      </c>
      <c r="B5500" t="s">
        <v>64</v>
      </c>
      <c r="C5500">
        <v>0.08</v>
      </c>
    </row>
    <row r="5501" spans="1:3" x14ac:dyDescent="0.3">
      <c r="A5501" t="s">
        <v>15659</v>
      </c>
      <c r="B5501" t="s">
        <v>40</v>
      </c>
      <c r="C5501">
        <v>7.0000000000000007E-2</v>
      </c>
    </row>
    <row r="5502" spans="1:3" x14ac:dyDescent="0.3">
      <c r="A5502" t="s">
        <v>7207</v>
      </c>
      <c r="B5502" t="s">
        <v>87</v>
      </c>
      <c r="C5502">
        <v>0.06</v>
      </c>
    </row>
    <row r="5503" spans="1:3" x14ac:dyDescent="0.3">
      <c r="A5503" t="s">
        <v>7207</v>
      </c>
      <c r="B5503" t="s">
        <v>87</v>
      </c>
      <c r="C5503">
        <v>0.09</v>
      </c>
    </row>
    <row r="5504" spans="1:3" x14ac:dyDescent="0.3">
      <c r="A5504" t="s">
        <v>14429</v>
      </c>
      <c r="B5504" t="s">
        <v>40</v>
      </c>
      <c r="C5504">
        <v>0.02</v>
      </c>
    </row>
    <row r="5505" spans="1:3" x14ac:dyDescent="0.3">
      <c r="A5505" t="s">
        <v>14429</v>
      </c>
      <c r="B5505" t="s">
        <v>40</v>
      </c>
      <c r="C5505">
        <v>7.0000000000000007E-2</v>
      </c>
    </row>
    <row r="5506" spans="1:3" x14ac:dyDescent="0.3">
      <c r="A5506" t="s">
        <v>13545</v>
      </c>
      <c r="B5506" t="s">
        <v>64</v>
      </c>
      <c r="C5506">
        <v>0.1</v>
      </c>
    </row>
    <row r="5507" spans="1:3" x14ac:dyDescent="0.3">
      <c r="A5507" t="s">
        <v>13545</v>
      </c>
      <c r="B5507" t="s">
        <v>29</v>
      </c>
      <c r="C5507">
        <v>0.05</v>
      </c>
    </row>
    <row r="5508" spans="1:3" x14ac:dyDescent="0.3">
      <c r="A5508" t="s">
        <v>9940</v>
      </c>
      <c r="B5508" t="s">
        <v>64</v>
      </c>
      <c r="C5508">
        <v>0.06</v>
      </c>
    </row>
    <row r="5509" spans="1:3" x14ac:dyDescent="0.3">
      <c r="A5509" t="s">
        <v>11771</v>
      </c>
      <c r="B5509" t="s">
        <v>64</v>
      </c>
      <c r="C5509">
        <v>0.09</v>
      </c>
    </row>
    <row r="5510" spans="1:3" x14ac:dyDescent="0.3">
      <c r="A5510" t="s">
        <v>11771</v>
      </c>
      <c r="B5510" t="s">
        <v>29</v>
      </c>
      <c r="C5510">
        <v>0</v>
      </c>
    </row>
    <row r="5511" spans="1:3" x14ac:dyDescent="0.3">
      <c r="A5511" t="s">
        <v>11771</v>
      </c>
      <c r="B5511" t="s">
        <v>29</v>
      </c>
      <c r="C5511">
        <v>7.0000000000000007E-2</v>
      </c>
    </row>
    <row r="5512" spans="1:3" x14ac:dyDescent="0.3">
      <c r="A5512" t="s">
        <v>13084</v>
      </c>
      <c r="B5512" t="s">
        <v>29</v>
      </c>
      <c r="C5512">
        <v>0.08</v>
      </c>
    </row>
    <row r="5513" spans="1:3" x14ac:dyDescent="0.3">
      <c r="A5513" t="s">
        <v>12589</v>
      </c>
      <c r="B5513" t="s">
        <v>53</v>
      </c>
      <c r="C5513">
        <v>0.02</v>
      </c>
    </row>
    <row r="5514" spans="1:3" x14ac:dyDescent="0.3">
      <c r="A5514" t="s">
        <v>12589</v>
      </c>
      <c r="B5514" t="s">
        <v>53</v>
      </c>
      <c r="C5514">
        <v>0.04</v>
      </c>
    </row>
    <row r="5515" spans="1:3" x14ac:dyDescent="0.3">
      <c r="A5515" t="s">
        <v>12589</v>
      </c>
      <c r="B5515" t="s">
        <v>53</v>
      </c>
      <c r="C5515">
        <v>0.08</v>
      </c>
    </row>
    <row r="5516" spans="1:3" x14ac:dyDescent="0.3">
      <c r="A5516" t="s">
        <v>4281</v>
      </c>
      <c r="B5516" t="s">
        <v>29</v>
      </c>
      <c r="C5516">
        <v>7.0000000000000007E-2</v>
      </c>
    </row>
    <row r="5517" spans="1:3" x14ac:dyDescent="0.3">
      <c r="A5517" t="s">
        <v>4281</v>
      </c>
      <c r="B5517" t="s">
        <v>29</v>
      </c>
      <c r="C5517">
        <v>0.09</v>
      </c>
    </row>
    <row r="5518" spans="1:3" x14ac:dyDescent="0.3">
      <c r="A5518" t="s">
        <v>4286</v>
      </c>
      <c r="B5518" t="s">
        <v>40</v>
      </c>
      <c r="C5518">
        <v>0.05</v>
      </c>
    </row>
    <row r="5519" spans="1:3" x14ac:dyDescent="0.3">
      <c r="A5519" t="s">
        <v>4286</v>
      </c>
      <c r="B5519" t="s">
        <v>64</v>
      </c>
      <c r="C5519">
        <v>0</v>
      </c>
    </row>
    <row r="5520" spans="1:3" x14ac:dyDescent="0.3">
      <c r="A5520" t="s">
        <v>11009</v>
      </c>
      <c r="B5520" t="s">
        <v>87</v>
      </c>
      <c r="C5520">
        <v>0.08</v>
      </c>
    </row>
    <row r="5521" spans="1:3" x14ac:dyDescent="0.3">
      <c r="A5521" t="s">
        <v>10945</v>
      </c>
      <c r="B5521" t="s">
        <v>64</v>
      </c>
      <c r="C5521">
        <v>0.04</v>
      </c>
    </row>
    <row r="5522" spans="1:3" x14ac:dyDescent="0.3">
      <c r="A5522" t="s">
        <v>10945</v>
      </c>
      <c r="B5522" t="s">
        <v>64</v>
      </c>
      <c r="C5522">
        <v>0.08</v>
      </c>
    </row>
    <row r="5523" spans="1:3" x14ac:dyDescent="0.3">
      <c r="A5523" t="s">
        <v>12336</v>
      </c>
      <c r="B5523" t="s">
        <v>64</v>
      </c>
      <c r="C5523">
        <v>0</v>
      </c>
    </row>
    <row r="5524" spans="1:3" x14ac:dyDescent="0.3">
      <c r="A5524" t="s">
        <v>15088</v>
      </c>
      <c r="B5524" t="s">
        <v>87</v>
      </c>
      <c r="C5524">
        <v>0.04</v>
      </c>
    </row>
    <row r="5525" spans="1:3" x14ac:dyDescent="0.3">
      <c r="A5525" t="s">
        <v>4324</v>
      </c>
      <c r="B5525" t="s">
        <v>29</v>
      </c>
      <c r="C5525">
        <v>0</v>
      </c>
    </row>
    <row r="5526" spans="1:3" x14ac:dyDescent="0.3">
      <c r="A5526" t="s">
        <v>4324</v>
      </c>
      <c r="B5526" t="s">
        <v>87</v>
      </c>
      <c r="C5526">
        <v>0</v>
      </c>
    </row>
    <row r="5527" spans="1:3" x14ac:dyDescent="0.3">
      <c r="A5527" t="s">
        <v>9383</v>
      </c>
      <c r="B5527" t="s">
        <v>87</v>
      </c>
      <c r="C5527">
        <v>0.04</v>
      </c>
    </row>
    <row r="5528" spans="1:3" x14ac:dyDescent="0.3">
      <c r="A5528" t="s">
        <v>9383</v>
      </c>
      <c r="B5528" t="s">
        <v>87</v>
      </c>
      <c r="C5528">
        <v>0.06</v>
      </c>
    </row>
    <row r="5529" spans="1:3" x14ac:dyDescent="0.3">
      <c r="A5529" t="s">
        <v>10529</v>
      </c>
      <c r="B5529" t="s">
        <v>87</v>
      </c>
      <c r="C5529">
        <v>0.09</v>
      </c>
    </row>
    <row r="5530" spans="1:3" x14ac:dyDescent="0.3">
      <c r="A5530" t="s">
        <v>10461</v>
      </c>
      <c r="B5530" t="s">
        <v>87</v>
      </c>
      <c r="C5530">
        <v>0.02</v>
      </c>
    </row>
    <row r="5531" spans="1:3" x14ac:dyDescent="0.3">
      <c r="A5531" t="s">
        <v>8232</v>
      </c>
      <c r="B5531" t="s">
        <v>87</v>
      </c>
      <c r="C5531">
        <v>0.1</v>
      </c>
    </row>
    <row r="5532" spans="1:3" x14ac:dyDescent="0.3">
      <c r="A5532" t="s">
        <v>15440</v>
      </c>
      <c r="B5532" t="s">
        <v>87</v>
      </c>
      <c r="C5532">
        <v>0.09</v>
      </c>
    </row>
    <row r="5533" spans="1:3" x14ac:dyDescent="0.3">
      <c r="A5533" t="s">
        <v>10173</v>
      </c>
      <c r="B5533" t="s">
        <v>87</v>
      </c>
      <c r="C5533">
        <v>0.09</v>
      </c>
    </row>
    <row r="5534" spans="1:3" x14ac:dyDescent="0.3">
      <c r="A5534" t="s">
        <v>9361</v>
      </c>
      <c r="B5534" t="s">
        <v>64</v>
      </c>
      <c r="C5534">
        <v>0</v>
      </c>
    </row>
    <row r="5535" spans="1:3" x14ac:dyDescent="0.3">
      <c r="A5535" t="s">
        <v>8811</v>
      </c>
      <c r="B5535" t="s">
        <v>53</v>
      </c>
      <c r="C5535">
        <v>0</v>
      </c>
    </row>
    <row r="5536" spans="1:3" x14ac:dyDescent="0.3">
      <c r="A5536" t="s">
        <v>9494</v>
      </c>
      <c r="B5536" t="s">
        <v>64</v>
      </c>
      <c r="C5536">
        <v>0.09</v>
      </c>
    </row>
    <row r="5537" spans="1:3" x14ac:dyDescent="0.3">
      <c r="A5537" t="s">
        <v>9494</v>
      </c>
      <c r="B5537" t="s">
        <v>29</v>
      </c>
      <c r="C5537">
        <v>0.04</v>
      </c>
    </row>
    <row r="5538" spans="1:3" x14ac:dyDescent="0.3">
      <c r="A5538" t="s">
        <v>11942</v>
      </c>
      <c r="B5538" t="s">
        <v>40</v>
      </c>
      <c r="C5538">
        <v>0.09</v>
      </c>
    </row>
    <row r="5539" spans="1:3" x14ac:dyDescent="0.3">
      <c r="A5539" t="s">
        <v>4382</v>
      </c>
      <c r="B5539" t="s">
        <v>40</v>
      </c>
      <c r="C5539">
        <v>7.0000000000000007E-2</v>
      </c>
    </row>
    <row r="5540" spans="1:3" x14ac:dyDescent="0.3">
      <c r="A5540" t="s">
        <v>15067</v>
      </c>
      <c r="B5540" t="s">
        <v>40</v>
      </c>
      <c r="C5540">
        <v>0.03</v>
      </c>
    </row>
    <row r="5541" spans="1:3" x14ac:dyDescent="0.3">
      <c r="A5541" t="s">
        <v>15067</v>
      </c>
      <c r="B5541" t="s">
        <v>40</v>
      </c>
      <c r="C5541">
        <v>0.1</v>
      </c>
    </row>
    <row r="5542" spans="1:3" x14ac:dyDescent="0.3">
      <c r="A5542" t="s">
        <v>15067</v>
      </c>
      <c r="B5542" t="s">
        <v>64</v>
      </c>
      <c r="C5542">
        <v>0.03</v>
      </c>
    </row>
    <row r="5543" spans="1:3" x14ac:dyDescent="0.3">
      <c r="A5543" t="s">
        <v>15846</v>
      </c>
      <c r="B5543" t="s">
        <v>64</v>
      </c>
      <c r="C5543">
        <v>0.06</v>
      </c>
    </row>
    <row r="5544" spans="1:3" x14ac:dyDescent="0.3">
      <c r="A5544" t="s">
        <v>15846</v>
      </c>
      <c r="B5544" t="s">
        <v>64</v>
      </c>
      <c r="C5544">
        <v>7.0000000000000007E-2</v>
      </c>
    </row>
    <row r="5545" spans="1:3" x14ac:dyDescent="0.3">
      <c r="A5545" t="s">
        <v>14526</v>
      </c>
      <c r="B5545" t="s">
        <v>64</v>
      </c>
      <c r="C5545">
        <v>0.08</v>
      </c>
    </row>
    <row r="5546" spans="1:3" x14ac:dyDescent="0.3">
      <c r="A5546" t="s">
        <v>12725</v>
      </c>
      <c r="B5546" t="s">
        <v>53</v>
      </c>
      <c r="C5546">
        <v>0.01</v>
      </c>
    </row>
    <row r="5547" spans="1:3" x14ac:dyDescent="0.3">
      <c r="A5547" t="s">
        <v>15399</v>
      </c>
      <c r="B5547" t="s">
        <v>29</v>
      </c>
      <c r="C5547">
        <v>0.09</v>
      </c>
    </row>
    <row r="5548" spans="1:3" x14ac:dyDescent="0.3">
      <c r="A5548" t="s">
        <v>4418</v>
      </c>
      <c r="B5548" t="s">
        <v>29</v>
      </c>
      <c r="C5548">
        <v>0.09</v>
      </c>
    </row>
    <row r="5549" spans="1:3" x14ac:dyDescent="0.3">
      <c r="A5549" t="s">
        <v>11187</v>
      </c>
      <c r="B5549" t="s">
        <v>29</v>
      </c>
      <c r="C5549">
        <v>0.03</v>
      </c>
    </row>
    <row r="5550" spans="1:3" x14ac:dyDescent="0.3">
      <c r="A5550" t="s">
        <v>6474</v>
      </c>
      <c r="B5550" t="s">
        <v>64</v>
      </c>
      <c r="C5550">
        <v>0.1</v>
      </c>
    </row>
    <row r="5551" spans="1:3" x14ac:dyDescent="0.3">
      <c r="A5551" t="s">
        <v>6474</v>
      </c>
      <c r="B5551" t="s">
        <v>53</v>
      </c>
      <c r="C5551">
        <v>0.05</v>
      </c>
    </row>
    <row r="5552" spans="1:3" x14ac:dyDescent="0.3">
      <c r="A5552" t="s">
        <v>4441</v>
      </c>
      <c r="B5552" t="s">
        <v>87</v>
      </c>
      <c r="C5552">
        <v>0.02</v>
      </c>
    </row>
    <row r="5553" spans="1:3" x14ac:dyDescent="0.3">
      <c r="A5553" t="s">
        <v>15027</v>
      </c>
      <c r="B5553" t="s">
        <v>225</v>
      </c>
      <c r="C5553">
        <v>0.03</v>
      </c>
    </row>
    <row r="5554" spans="1:3" x14ac:dyDescent="0.3">
      <c r="A5554" t="s">
        <v>14917</v>
      </c>
      <c r="B5554" t="s">
        <v>225</v>
      </c>
      <c r="C5554">
        <v>0.05</v>
      </c>
    </row>
    <row r="5555" spans="1:3" x14ac:dyDescent="0.3">
      <c r="A5555" t="s">
        <v>14917</v>
      </c>
      <c r="B5555" t="s">
        <v>225</v>
      </c>
      <c r="C5555">
        <v>0.08</v>
      </c>
    </row>
    <row r="5556" spans="1:3" x14ac:dyDescent="0.3">
      <c r="A5556" t="s">
        <v>5436</v>
      </c>
      <c r="B5556" t="s">
        <v>53</v>
      </c>
      <c r="C5556">
        <v>0.04</v>
      </c>
    </row>
    <row r="5557" spans="1:3" x14ac:dyDescent="0.3">
      <c r="A5557" t="s">
        <v>10871</v>
      </c>
      <c r="B5557" t="s">
        <v>87</v>
      </c>
      <c r="C5557">
        <v>0.04</v>
      </c>
    </row>
    <row r="5558" spans="1:3" x14ac:dyDescent="0.3">
      <c r="A5558" t="s">
        <v>15164</v>
      </c>
      <c r="B5558" t="s">
        <v>53</v>
      </c>
      <c r="C5558">
        <v>0.09</v>
      </c>
    </row>
    <row r="5559" spans="1:3" x14ac:dyDescent="0.3">
      <c r="A5559" t="s">
        <v>11985</v>
      </c>
      <c r="B5559" t="s">
        <v>225</v>
      </c>
      <c r="C5559">
        <v>0.03</v>
      </c>
    </row>
    <row r="5560" spans="1:3" x14ac:dyDescent="0.3">
      <c r="A5560" t="s">
        <v>11985</v>
      </c>
      <c r="B5560" t="s">
        <v>225</v>
      </c>
      <c r="C5560">
        <v>0.05</v>
      </c>
    </row>
    <row r="5561" spans="1:3" x14ac:dyDescent="0.3">
      <c r="A5561" t="s">
        <v>5510</v>
      </c>
      <c r="B5561" t="s">
        <v>225</v>
      </c>
      <c r="C5561">
        <v>0.02</v>
      </c>
    </row>
    <row r="5562" spans="1:3" x14ac:dyDescent="0.3">
      <c r="A5562" t="s">
        <v>14151</v>
      </c>
      <c r="B5562" t="s">
        <v>40</v>
      </c>
      <c r="C5562">
        <v>0.08</v>
      </c>
    </row>
    <row r="5563" spans="1:3" x14ac:dyDescent="0.3">
      <c r="A5563" t="s">
        <v>14910</v>
      </c>
      <c r="B5563" t="s">
        <v>64</v>
      </c>
      <c r="C5563">
        <v>0.05</v>
      </c>
    </row>
    <row r="5564" spans="1:3" x14ac:dyDescent="0.3">
      <c r="A5564" t="s">
        <v>14910</v>
      </c>
      <c r="B5564" t="s">
        <v>64</v>
      </c>
      <c r="C5564">
        <v>0.09</v>
      </c>
    </row>
    <row r="5565" spans="1:3" x14ac:dyDescent="0.3">
      <c r="A5565" t="s">
        <v>11864</v>
      </c>
      <c r="B5565" t="s">
        <v>40</v>
      </c>
      <c r="C5565">
        <v>7.0000000000000007E-2</v>
      </c>
    </row>
    <row r="5566" spans="1:3" x14ac:dyDescent="0.3">
      <c r="A5566" t="s">
        <v>11864</v>
      </c>
      <c r="B5566" t="s">
        <v>64</v>
      </c>
      <c r="C5566">
        <v>7.0000000000000007E-2</v>
      </c>
    </row>
    <row r="5567" spans="1:3" x14ac:dyDescent="0.3">
      <c r="A5567" t="s">
        <v>7750</v>
      </c>
      <c r="B5567" t="s">
        <v>225</v>
      </c>
      <c r="C5567">
        <v>0.03</v>
      </c>
    </row>
    <row r="5568" spans="1:3" x14ac:dyDescent="0.3">
      <c r="A5568" t="s">
        <v>7750</v>
      </c>
      <c r="B5568" t="s">
        <v>225</v>
      </c>
      <c r="C5568">
        <v>0.04</v>
      </c>
    </row>
    <row r="5569" spans="1:3" x14ac:dyDescent="0.3">
      <c r="A5569" t="s">
        <v>11704</v>
      </c>
      <c r="B5569" t="s">
        <v>225</v>
      </c>
      <c r="C5569">
        <v>0.02</v>
      </c>
    </row>
    <row r="5570" spans="1:3" x14ac:dyDescent="0.3">
      <c r="A5570" t="s">
        <v>11704</v>
      </c>
      <c r="B5570" t="s">
        <v>225</v>
      </c>
      <c r="C5570">
        <v>0.03</v>
      </c>
    </row>
    <row r="5571" spans="1:3" x14ac:dyDescent="0.3">
      <c r="A5571" t="s">
        <v>11704</v>
      </c>
      <c r="B5571" t="s">
        <v>225</v>
      </c>
      <c r="C5571">
        <v>0.04</v>
      </c>
    </row>
    <row r="5572" spans="1:3" x14ac:dyDescent="0.3">
      <c r="A5572" t="s">
        <v>11704</v>
      </c>
      <c r="B5572" t="s">
        <v>225</v>
      </c>
      <c r="C5572">
        <v>0.06</v>
      </c>
    </row>
    <row r="5573" spans="1:3" x14ac:dyDescent="0.3">
      <c r="A5573" t="s">
        <v>12280</v>
      </c>
      <c r="B5573" t="s">
        <v>87</v>
      </c>
      <c r="C5573">
        <v>0.08</v>
      </c>
    </row>
    <row r="5574" spans="1:3" x14ac:dyDescent="0.3">
      <c r="A5574" t="s">
        <v>12280</v>
      </c>
      <c r="B5574" t="s">
        <v>87</v>
      </c>
      <c r="C5574">
        <v>0.1</v>
      </c>
    </row>
    <row r="5575" spans="1:3" x14ac:dyDescent="0.3">
      <c r="A5575" t="s">
        <v>12599</v>
      </c>
      <c r="B5575" t="s">
        <v>87</v>
      </c>
      <c r="C5575">
        <v>7.0000000000000007E-2</v>
      </c>
    </row>
    <row r="5576" spans="1:3" x14ac:dyDescent="0.3">
      <c r="A5576" t="s">
        <v>13816</v>
      </c>
      <c r="B5576" t="s">
        <v>40</v>
      </c>
      <c r="C5576">
        <v>0.04</v>
      </c>
    </row>
    <row r="5577" spans="1:3" x14ac:dyDescent="0.3">
      <c r="A5577" t="s">
        <v>4514</v>
      </c>
      <c r="B5577" t="s">
        <v>40</v>
      </c>
      <c r="C5577">
        <v>0.1</v>
      </c>
    </row>
    <row r="5578" spans="1:3" x14ac:dyDescent="0.3">
      <c r="A5578" t="s">
        <v>15381</v>
      </c>
      <c r="B5578" t="s">
        <v>53</v>
      </c>
      <c r="C5578">
        <v>0.09</v>
      </c>
    </row>
    <row r="5579" spans="1:3" x14ac:dyDescent="0.3">
      <c r="A5579" t="s">
        <v>4519</v>
      </c>
      <c r="B5579" t="s">
        <v>87</v>
      </c>
      <c r="C5579">
        <v>0.03</v>
      </c>
    </row>
    <row r="5580" spans="1:3" x14ac:dyDescent="0.3">
      <c r="A5580" t="s">
        <v>4533</v>
      </c>
      <c r="B5580" t="s">
        <v>53</v>
      </c>
      <c r="C5580">
        <v>0.04</v>
      </c>
    </row>
    <row r="5581" spans="1:3" x14ac:dyDescent="0.3">
      <c r="A5581" t="s">
        <v>15054</v>
      </c>
      <c r="B5581" t="s">
        <v>87</v>
      </c>
      <c r="C5581">
        <v>0.1</v>
      </c>
    </row>
    <row r="5582" spans="1:3" x14ac:dyDescent="0.3">
      <c r="A5582" t="s">
        <v>11795</v>
      </c>
      <c r="B5582" t="s">
        <v>53</v>
      </c>
      <c r="C5582">
        <v>0.1</v>
      </c>
    </row>
    <row r="5583" spans="1:3" x14ac:dyDescent="0.3">
      <c r="A5583" t="s">
        <v>4549</v>
      </c>
      <c r="B5583" t="s">
        <v>53</v>
      </c>
      <c r="C5583">
        <v>0.03</v>
      </c>
    </row>
    <row r="5584" spans="1:3" x14ac:dyDescent="0.3">
      <c r="A5584" t="s">
        <v>4549</v>
      </c>
      <c r="B5584" t="s">
        <v>53</v>
      </c>
      <c r="C5584">
        <v>0.04</v>
      </c>
    </row>
    <row r="5585" spans="1:3" x14ac:dyDescent="0.3">
      <c r="A5585" t="s">
        <v>5427</v>
      </c>
      <c r="B5585" t="s">
        <v>53</v>
      </c>
      <c r="C5585">
        <v>0.01</v>
      </c>
    </row>
    <row r="5586" spans="1:3" x14ac:dyDescent="0.3">
      <c r="A5586" t="s">
        <v>14247</v>
      </c>
      <c r="B5586" t="s">
        <v>53</v>
      </c>
      <c r="C5586">
        <v>0</v>
      </c>
    </row>
    <row r="5587" spans="1:3" x14ac:dyDescent="0.3">
      <c r="A5587" t="s">
        <v>14201</v>
      </c>
      <c r="B5587" t="s">
        <v>29</v>
      </c>
      <c r="C5587">
        <v>0.05</v>
      </c>
    </row>
    <row r="5588" spans="1:3" x14ac:dyDescent="0.3">
      <c r="A5588" t="s">
        <v>14201</v>
      </c>
      <c r="B5588" t="s">
        <v>53</v>
      </c>
      <c r="C5588">
        <v>0</v>
      </c>
    </row>
    <row r="5589" spans="1:3" x14ac:dyDescent="0.3">
      <c r="A5589" t="s">
        <v>14266</v>
      </c>
      <c r="B5589" t="s">
        <v>29</v>
      </c>
      <c r="C5589">
        <v>0.01</v>
      </c>
    </row>
    <row r="5590" spans="1:3" x14ac:dyDescent="0.3">
      <c r="A5590" t="s">
        <v>10543</v>
      </c>
      <c r="B5590" t="s">
        <v>87</v>
      </c>
      <c r="C5590">
        <v>0</v>
      </c>
    </row>
    <row r="5591" spans="1:3" x14ac:dyDescent="0.3">
      <c r="A5591" t="s">
        <v>10543</v>
      </c>
      <c r="B5591" t="s">
        <v>87</v>
      </c>
      <c r="C5591">
        <v>0.1</v>
      </c>
    </row>
    <row r="5592" spans="1:3" x14ac:dyDescent="0.3">
      <c r="A5592" t="s">
        <v>4592</v>
      </c>
      <c r="B5592" t="s">
        <v>87</v>
      </c>
      <c r="C5592">
        <v>0.05</v>
      </c>
    </row>
    <row r="5593" spans="1:3" x14ac:dyDescent="0.3">
      <c r="A5593" t="s">
        <v>14739</v>
      </c>
      <c r="B5593" t="s">
        <v>64</v>
      </c>
      <c r="C5593">
        <v>0.08</v>
      </c>
    </row>
    <row r="5594" spans="1:3" x14ac:dyDescent="0.3">
      <c r="A5594" t="s">
        <v>4622</v>
      </c>
      <c r="B5594" t="s">
        <v>40</v>
      </c>
      <c r="C5594">
        <v>0.08</v>
      </c>
    </row>
    <row r="5595" spans="1:3" x14ac:dyDescent="0.3">
      <c r="A5595" t="s">
        <v>12346</v>
      </c>
      <c r="B5595" t="s">
        <v>87</v>
      </c>
      <c r="C5595">
        <v>0.03</v>
      </c>
    </row>
    <row r="5596" spans="1:3" x14ac:dyDescent="0.3">
      <c r="A5596" t="s">
        <v>12346</v>
      </c>
      <c r="B5596" t="s">
        <v>87</v>
      </c>
      <c r="C5596">
        <v>0.05</v>
      </c>
    </row>
    <row r="5597" spans="1:3" x14ac:dyDescent="0.3">
      <c r="A5597" t="s">
        <v>6915</v>
      </c>
      <c r="B5597" t="s">
        <v>64</v>
      </c>
      <c r="C5597">
        <v>0.1</v>
      </c>
    </row>
    <row r="5598" spans="1:3" x14ac:dyDescent="0.3">
      <c r="A5598" t="s">
        <v>13117</v>
      </c>
      <c r="B5598" t="s">
        <v>40</v>
      </c>
      <c r="C5598">
        <v>7.0000000000000007E-2</v>
      </c>
    </row>
    <row r="5599" spans="1:3" x14ac:dyDescent="0.3">
      <c r="A5599" t="s">
        <v>13091</v>
      </c>
      <c r="B5599" t="s">
        <v>64</v>
      </c>
      <c r="C5599">
        <v>0.06</v>
      </c>
    </row>
    <row r="5600" spans="1:3" x14ac:dyDescent="0.3">
      <c r="A5600" t="s">
        <v>15325</v>
      </c>
      <c r="B5600" t="s">
        <v>40</v>
      </c>
      <c r="C5600">
        <v>0.06</v>
      </c>
    </row>
    <row r="5601" spans="1:3" x14ac:dyDescent="0.3">
      <c r="A5601" t="s">
        <v>15325</v>
      </c>
      <c r="B5601" t="s">
        <v>40</v>
      </c>
      <c r="C5601">
        <v>7.0000000000000007E-2</v>
      </c>
    </row>
    <row r="5602" spans="1:3" x14ac:dyDescent="0.3">
      <c r="A5602" t="s">
        <v>7906</v>
      </c>
      <c r="B5602" t="s">
        <v>87</v>
      </c>
      <c r="C5602">
        <v>0.04</v>
      </c>
    </row>
    <row r="5603" spans="1:3" x14ac:dyDescent="0.3">
      <c r="A5603" t="s">
        <v>13377</v>
      </c>
      <c r="B5603" t="s">
        <v>87</v>
      </c>
      <c r="C5603">
        <v>0.08</v>
      </c>
    </row>
    <row r="5604" spans="1:3" x14ac:dyDescent="0.3">
      <c r="A5604" t="s">
        <v>4682</v>
      </c>
      <c r="B5604" t="s">
        <v>64</v>
      </c>
      <c r="C5604">
        <v>0.08</v>
      </c>
    </row>
    <row r="5605" spans="1:3" x14ac:dyDescent="0.3">
      <c r="A5605" t="s">
        <v>12595</v>
      </c>
      <c r="B5605" t="s">
        <v>29</v>
      </c>
      <c r="C5605">
        <v>0.03</v>
      </c>
    </row>
    <row r="5606" spans="1:3" x14ac:dyDescent="0.3">
      <c r="A5606" t="s">
        <v>12595</v>
      </c>
      <c r="B5606" t="s">
        <v>29</v>
      </c>
      <c r="C5606">
        <v>0.04</v>
      </c>
    </row>
    <row r="5607" spans="1:3" x14ac:dyDescent="0.3">
      <c r="A5607" t="s">
        <v>12595</v>
      </c>
      <c r="B5607" t="s">
        <v>29</v>
      </c>
      <c r="C5607">
        <v>0.05</v>
      </c>
    </row>
    <row r="5608" spans="1:3" x14ac:dyDescent="0.3">
      <c r="A5608" t="s">
        <v>12078</v>
      </c>
      <c r="B5608" t="s">
        <v>40</v>
      </c>
      <c r="C5608">
        <v>0.06</v>
      </c>
    </row>
    <row r="5609" spans="1:3" x14ac:dyDescent="0.3">
      <c r="A5609" t="s">
        <v>10427</v>
      </c>
      <c r="B5609" t="s">
        <v>40</v>
      </c>
      <c r="C5609">
        <v>7.0000000000000007E-2</v>
      </c>
    </row>
    <row r="5610" spans="1:3" x14ac:dyDescent="0.3">
      <c r="A5610" t="s">
        <v>10427</v>
      </c>
      <c r="B5610" t="s">
        <v>40</v>
      </c>
      <c r="C5610">
        <v>0.09</v>
      </c>
    </row>
    <row r="5611" spans="1:3" x14ac:dyDescent="0.3">
      <c r="A5611" t="s">
        <v>12533</v>
      </c>
      <c r="B5611" t="s">
        <v>53</v>
      </c>
      <c r="C5611">
        <v>0.04</v>
      </c>
    </row>
    <row r="5612" spans="1:3" x14ac:dyDescent="0.3">
      <c r="A5612" t="s">
        <v>12533</v>
      </c>
      <c r="B5612" t="s">
        <v>53</v>
      </c>
      <c r="C5612">
        <v>0.06</v>
      </c>
    </row>
    <row r="5613" spans="1:3" x14ac:dyDescent="0.3">
      <c r="A5613" t="s">
        <v>6455</v>
      </c>
      <c r="B5613" t="s">
        <v>64</v>
      </c>
      <c r="C5613">
        <v>0.08</v>
      </c>
    </row>
    <row r="5614" spans="1:3" x14ac:dyDescent="0.3">
      <c r="A5614" t="s">
        <v>4704</v>
      </c>
      <c r="B5614" t="s">
        <v>53</v>
      </c>
      <c r="C5614">
        <v>0.02</v>
      </c>
    </row>
    <row r="5615" spans="1:3" x14ac:dyDescent="0.3">
      <c r="A5615" t="s">
        <v>8994</v>
      </c>
      <c r="B5615" t="s">
        <v>87</v>
      </c>
      <c r="C5615">
        <v>0.06</v>
      </c>
    </row>
    <row r="5616" spans="1:3" x14ac:dyDescent="0.3">
      <c r="A5616" t="s">
        <v>12821</v>
      </c>
      <c r="B5616" t="s">
        <v>87</v>
      </c>
      <c r="C5616">
        <v>0.01</v>
      </c>
    </row>
    <row r="5617" spans="1:3" x14ac:dyDescent="0.3">
      <c r="A5617" t="s">
        <v>7028</v>
      </c>
      <c r="B5617" t="s">
        <v>87</v>
      </c>
      <c r="C5617">
        <v>0.02</v>
      </c>
    </row>
    <row r="5618" spans="1:3" x14ac:dyDescent="0.3">
      <c r="A5618" t="s">
        <v>13044</v>
      </c>
      <c r="B5618" t="s">
        <v>225</v>
      </c>
      <c r="C5618">
        <v>0.09</v>
      </c>
    </row>
    <row r="5619" spans="1:3" x14ac:dyDescent="0.3">
      <c r="A5619" t="s">
        <v>13044</v>
      </c>
      <c r="B5619" t="s">
        <v>87</v>
      </c>
      <c r="C5619">
        <v>0.08</v>
      </c>
    </row>
    <row r="5620" spans="1:3" x14ac:dyDescent="0.3">
      <c r="A5620" t="s">
        <v>13044</v>
      </c>
      <c r="B5620" t="s">
        <v>87</v>
      </c>
      <c r="C5620">
        <v>0.1</v>
      </c>
    </row>
    <row r="5621" spans="1:3" x14ac:dyDescent="0.3">
      <c r="A5621" t="s">
        <v>15489</v>
      </c>
      <c r="B5621" t="s">
        <v>53</v>
      </c>
      <c r="C5621">
        <v>0.08</v>
      </c>
    </row>
    <row r="5622" spans="1:3" x14ac:dyDescent="0.3">
      <c r="A5622" t="s">
        <v>15489</v>
      </c>
      <c r="B5622" t="s">
        <v>87</v>
      </c>
      <c r="C5622">
        <v>0.04</v>
      </c>
    </row>
    <row r="5623" spans="1:3" x14ac:dyDescent="0.3">
      <c r="A5623" t="s">
        <v>14517</v>
      </c>
      <c r="B5623" t="s">
        <v>40</v>
      </c>
      <c r="C5623">
        <v>0.02</v>
      </c>
    </row>
    <row r="5624" spans="1:3" x14ac:dyDescent="0.3">
      <c r="A5624" t="s">
        <v>14275</v>
      </c>
      <c r="B5624" t="s">
        <v>29</v>
      </c>
      <c r="C5624">
        <v>0.05</v>
      </c>
    </row>
    <row r="5625" spans="1:3" x14ac:dyDescent="0.3">
      <c r="A5625" t="s">
        <v>14275</v>
      </c>
      <c r="B5625" t="s">
        <v>29</v>
      </c>
      <c r="C5625">
        <v>0.06</v>
      </c>
    </row>
    <row r="5626" spans="1:3" x14ac:dyDescent="0.3">
      <c r="A5626" t="s">
        <v>7025</v>
      </c>
      <c r="B5626" t="s">
        <v>225</v>
      </c>
      <c r="C5626">
        <v>0.05</v>
      </c>
    </row>
    <row r="5627" spans="1:3" x14ac:dyDescent="0.3">
      <c r="A5627" t="s">
        <v>9281</v>
      </c>
      <c r="B5627" t="s">
        <v>40</v>
      </c>
      <c r="C5627">
        <v>7.0000000000000007E-2</v>
      </c>
    </row>
    <row r="5628" spans="1:3" x14ac:dyDescent="0.3">
      <c r="A5628" t="s">
        <v>9281</v>
      </c>
      <c r="B5628" t="s">
        <v>40</v>
      </c>
      <c r="C5628">
        <v>0.08</v>
      </c>
    </row>
    <row r="5629" spans="1:3" x14ac:dyDescent="0.3">
      <c r="A5629" t="s">
        <v>14198</v>
      </c>
      <c r="B5629" t="s">
        <v>87</v>
      </c>
      <c r="C5629">
        <v>0</v>
      </c>
    </row>
    <row r="5630" spans="1:3" x14ac:dyDescent="0.3">
      <c r="A5630" t="s">
        <v>14198</v>
      </c>
      <c r="B5630" t="s">
        <v>87</v>
      </c>
      <c r="C5630">
        <v>0.06</v>
      </c>
    </row>
    <row r="5631" spans="1:3" x14ac:dyDescent="0.3">
      <c r="A5631" t="s">
        <v>9761</v>
      </c>
      <c r="B5631" t="s">
        <v>64</v>
      </c>
      <c r="C5631">
        <v>0.01</v>
      </c>
    </row>
    <row r="5632" spans="1:3" x14ac:dyDescent="0.3">
      <c r="A5632" t="s">
        <v>9670</v>
      </c>
      <c r="B5632" t="s">
        <v>87</v>
      </c>
      <c r="C5632">
        <v>0.02</v>
      </c>
    </row>
    <row r="5633" spans="1:3" x14ac:dyDescent="0.3">
      <c r="A5633" t="s">
        <v>9670</v>
      </c>
      <c r="B5633" t="s">
        <v>87</v>
      </c>
      <c r="C5633">
        <v>0.04</v>
      </c>
    </row>
    <row r="5634" spans="1:3" x14ac:dyDescent="0.3">
      <c r="A5634" t="s">
        <v>9497</v>
      </c>
      <c r="B5634" t="s">
        <v>64</v>
      </c>
      <c r="C5634">
        <v>0.1</v>
      </c>
    </row>
    <row r="5635" spans="1:3" x14ac:dyDescent="0.3">
      <c r="A5635" t="s">
        <v>14408</v>
      </c>
      <c r="B5635" t="s">
        <v>87</v>
      </c>
      <c r="C5635">
        <v>0.01</v>
      </c>
    </row>
    <row r="5636" spans="1:3" x14ac:dyDescent="0.3">
      <c r="A5636" t="s">
        <v>8874</v>
      </c>
      <c r="B5636" t="s">
        <v>87</v>
      </c>
      <c r="C5636">
        <v>0.06</v>
      </c>
    </row>
    <row r="5637" spans="1:3" x14ac:dyDescent="0.3">
      <c r="A5637" t="s">
        <v>8874</v>
      </c>
      <c r="B5637" t="s">
        <v>87</v>
      </c>
      <c r="C5637">
        <v>0.08</v>
      </c>
    </row>
    <row r="5638" spans="1:3" x14ac:dyDescent="0.3">
      <c r="A5638" t="s">
        <v>15555</v>
      </c>
      <c r="B5638" t="s">
        <v>29</v>
      </c>
      <c r="C5638">
        <v>0.04</v>
      </c>
    </row>
    <row r="5639" spans="1:3" x14ac:dyDescent="0.3">
      <c r="A5639" t="s">
        <v>15555</v>
      </c>
      <c r="B5639" t="s">
        <v>53</v>
      </c>
      <c r="C5639">
        <v>7.0000000000000007E-2</v>
      </c>
    </row>
    <row r="5640" spans="1:3" x14ac:dyDescent="0.3">
      <c r="A5640" t="s">
        <v>12426</v>
      </c>
      <c r="B5640" t="s">
        <v>87</v>
      </c>
      <c r="C5640">
        <v>0</v>
      </c>
    </row>
    <row r="5641" spans="1:3" x14ac:dyDescent="0.3">
      <c r="A5641" t="s">
        <v>14416</v>
      </c>
      <c r="B5641" t="s">
        <v>40</v>
      </c>
      <c r="C5641">
        <v>0.01</v>
      </c>
    </row>
    <row r="5642" spans="1:3" x14ac:dyDescent="0.3">
      <c r="A5642" t="s">
        <v>14416</v>
      </c>
      <c r="B5642" t="s">
        <v>40</v>
      </c>
      <c r="C5642">
        <v>0.05</v>
      </c>
    </row>
    <row r="5643" spans="1:3" x14ac:dyDescent="0.3">
      <c r="A5643" t="s">
        <v>14416</v>
      </c>
      <c r="B5643" t="s">
        <v>225</v>
      </c>
      <c r="C5643">
        <v>0</v>
      </c>
    </row>
    <row r="5644" spans="1:3" x14ac:dyDescent="0.3">
      <c r="A5644" t="s">
        <v>4841</v>
      </c>
      <c r="B5644" t="s">
        <v>53</v>
      </c>
      <c r="C5644">
        <v>0.04</v>
      </c>
    </row>
    <row r="5645" spans="1:3" x14ac:dyDescent="0.3">
      <c r="A5645" t="s">
        <v>7845</v>
      </c>
      <c r="B5645" t="s">
        <v>40</v>
      </c>
      <c r="C5645">
        <v>0.06</v>
      </c>
    </row>
    <row r="5646" spans="1:3" x14ac:dyDescent="0.3">
      <c r="A5646" t="s">
        <v>13350</v>
      </c>
      <c r="B5646" t="s">
        <v>40</v>
      </c>
      <c r="C5646">
        <v>0.02</v>
      </c>
    </row>
    <row r="5647" spans="1:3" x14ac:dyDescent="0.3">
      <c r="A5647" t="s">
        <v>12893</v>
      </c>
      <c r="B5647" t="s">
        <v>40</v>
      </c>
      <c r="C5647">
        <v>0.04</v>
      </c>
    </row>
    <row r="5648" spans="1:3" x14ac:dyDescent="0.3">
      <c r="A5648" t="s">
        <v>8822</v>
      </c>
      <c r="B5648" t="s">
        <v>64</v>
      </c>
      <c r="C5648">
        <v>0.08</v>
      </c>
    </row>
    <row r="5649" spans="1:3" x14ac:dyDescent="0.3">
      <c r="A5649" t="s">
        <v>13575</v>
      </c>
      <c r="B5649" t="s">
        <v>40</v>
      </c>
      <c r="C5649">
        <v>0</v>
      </c>
    </row>
    <row r="5650" spans="1:3" x14ac:dyDescent="0.3">
      <c r="A5650" t="s">
        <v>15699</v>
      </c>
      <c r="B5650" t="s">
        <v>40</v>
      </c>
      <c r="C5650">
        <v>0.03</v>
      </c>
    </row>
    <row r="5651" spans="1:3" x14ac:dyDescent="0.3">
      <c r="A5651" t="s">
        <v>15699</v>
      </c>
      <c r="B5651" t="s">
        <v>40</v>
      </c>
      <c r="C5651">
        <v>0.09</v>
      </c>
    </row>
    <row r="5652" spans="1:3" x14ac:dyDescent="0.3">
      <c r="A5652" t="s">
        <v>9327</v>
      </c>
      <c r="B5652" t="s">
        <v>64</v>
      </c>
      <c r="C5652">
        <v>0.03</v>
      </c>
    </row>
    <row r="5653" spans="1:3" x14ac:dyDescent="0.3">
      <c r="A5653" t="s">
        <v>8514</v>
      </c>
      <c r="B5653" t="s">
        <v>29</v>
      </c>
      <c r="C5653">
        <v>0.05</v>
      </c>
    </row>
    <row r="5654" spans="1:3" x14ac:dyDescent="0.3">
      <c r="A5654" t="s">
        <v>13661</v>
      </c>
      <c r="B5654" t="s">
        <v>40</v>
      </c>
      <c r="C5654">
        <v>0.03</v>
      </c>
    </row>
    <row r="5655" spans="1:3" x14ac:dyDescent="0.3">
      <c r="A5655" t="s">
        <v>4849</v>
      </c>
      <c r="B5655" t="s">
        <v>29</v>
      </c>
      <c r="C5655">
        <v>7.0000000000000007E-2</v>
      </c>
    </row>
    <row r="5656" spans="1:3" x14ac:dyDescent="0.3">
      <c r="A5656" t="s">
        <v>13520</v>
      </c>
      <c r="B5656" t="s">
        <v>29</v>
      </c>
      <c r="C5656">
        <v>0.09</v>
      </c>
    </row>
    <row r="5657" spans="1:3" x14ac:dyDescent="0.3">
      <c r="A5657" t="s">
        <v>14458</v>
      </c>
      <c r="B5657" t="s">
        <v>87</v>
      </c>
      <c r="C5657">
        <v>0.05</v>
      </c>
    </row>
    <row r="5658" spans="1:3" x14ac:dyDescent="0.3">
      <c r="A5658" t="s">
        <v>8394</v>
      </c>
      <c r="B5658" t="s">
        <v>64</v>
      </c>
      <c r="C5658">
        <v>0.01</v>
      </c>
    </row>
    <row r="5659" spans="1:3" x14ac:dyDescent="0.3">
      <c r="A5659" t="s">
        <v>8394</v>
      </c>
      <c r="B5659" t="s">
        <v>87</v>
      </c>
      <c r="C5659">
        <v>0.02</v>
      </c>
    </row>
    <row r="5660" spans="1:3" x14ac:dyDescent="0.3">
      <c r="A5660" t="s">
        <v>8776</v>
      </c>
      <c r="B5660" t="s">
        <v>64</v>
      </c>
      <c r="C5660">
        <v>0</v>
      </c>
    </row>
    <row r="5661" spans="1:3" x14ac:dyDescent="0.3">
      <c r="A5661" t="s">
        <v>8776</v>
      </c>
      <c r="B5661" t="s">
        <v>64</v>
      </c>
      <c r="C5661">
        <v>0.09</v>
      </c>
    </row>
    <row r="5662" spans="1:3" x14ac:dyDescent="0.3">
      <c r="A5662" t="s">
        <v>12969</v>
      </c>
      <c r="B5662" t="s">
        <v>225</v>
      </c>
      <c r="C5662">
        <v>0.01</v>
      </c>
    </row>
    <row r="5663" spans="1:3" x14ac:dyDescent="0.3">
      <c r="A5663" t="s">
        <v>12969</v>
      </c>
      <c r="B5663" t="s">
        <v>225</v>
      </c>
      <c r="C5663">
        <v>0.02</v>
      </c>
    </row>
    <row r="5664" spans="1:3" x14ac:dyDescent="0.3">
      <c r="A5664" t="s">
        <v>12969</v>
      </c>
      <c r="B5664" t="s">
        <v>225</v>
      </c>
      <c r="C5664">
        <v>0.03</v>
      </c>
    </row>
    <row r="5665" spans="1:3" x14ac:dyDescent="0.3">
      <c r="A5665" t="s">
        <v>12969</v>
      </c>
      <c r="B5665" t="s">
        <v>225</v>
      </c>
      <c r="C5665">
        <v>7.0000000000000007E-2</v>
      </c>
    </row>
    <row r="5666" spans="1:3" x14ac:dyDescent="0.3">
      <c r="A5666" t="s">
        <v>5168</v>
      </c>
      <c r="B5666" t="s">
        <v>87</v>
      </c>
      <c r="C5666">
        <v>0.1</v>
      </c>
    </row>
    <row r="5667" spans="1:3" x14ac:dyDescent="0.3">
      <c r="A5667" t="s">
        <v>12277</v>
      </c>
      <c r="B5667" t="s">
        <v>40</v>
      </c>
      <c r="C5667">
        <v>0</v>
      </c>
    </row>
    <row r="5668" spans="1:3" x14ac:dyDescent="0.3">
      <c r="A5668" t="s">
        <v>4965</v>
      </c>
      <c r="B5668" t="s">
        <v>225</v>
      </c>
      <c r="C5668">
        <v>0.09</v>
      </c>
    </row>
    <row r="5669" spans="1:3" x14ac:dyDescent="0.3">
      <c r="A5669" t="s">
        <v>6089</v>
      </c>
      <c r="B5669" t="s">
        <v>40</v>
      </c>
      <c r="C5669">
        <v>0.09</v>
      </c>
    </row>
    <row r="5670" spans="1:3" x14ac:dyDescent="0.3">
      <c r="A5670" t="s">
        <v>6089</v>
      </c>
      <c r="B5670" t="s">
        <v>225</v>
      </c>
      <c r="C5670">
        <v>0.09</v>
      </c>
    </row>
    <row r="5671" spans="1:3" x14ac:dyDescent="0.3">
      <c r="A5671" t="s">
        <v>14528</v>
      </c>
      <c r="B5671" t="s">
        <v>29</v>
      </c>
      <c r="C5671">
        <v>0.03</v>
      </c>
    </row>
    <row r="5672" spans="1:3" x14ac:dyDescent="0.3">
      <c r="A5672" t="s">
        <v>14528</v>
      </c>
      <c r="B5672" t="s">
        <v>29</v>
      </c>
      <c r="C5672">
        <v>0.04</v>
      </c>
    </row>
    <row r="5673" spans="1:3" x14ac:dyDescent="0.3">
      <c r="A5673" t="s">
        <v>14115</v>
      </c>
      <c r="B5673" t="s">
        <v>53</v>
      </c>
      <c r="C5673">
        <v>0</v>
      </c>
    </row>
    <row r="5674" spans="1:3" x14ac:dyDescent="0.3">
      <c r="A5674" t="s">
        <v>14115</v>
      </c>
      <c r="B5674" t="s">
        <v>53</v>
      </c>
      <c r="C5674">
        <v>0.06</v>
      </c>
    </row>
    <row r="5675" spans="1:3" x14ac:dyDescent="0.3">
      <c r="A5675" t="s">
        <v>6626</v>
      </c>
      <c r="B5675" t="s">
        <v>87</v>
      </c>
      <c r="C5675">
        <v>7.0000000000000007E-2</v>
      </c>
    </row>
    <row r="5676" spans="1:3" x14ac:dyDescent="0.3">
      <c r="A5676" t="s">
        <v>11147</v>
      </c>
      <c r="B5676" t="s">
        <v>87</v>
      </c>
      <c r="C5676">
        <v>0.04</v>
      </c>
    </row>
    <row r="5677" spans="1:3" x14ac:dyDescent="0.3">
      <c r="A5677" t="s">
        <v>10748</v>
      </c>
      <c r="B5677" t="s">
        <v>40</v>
      </c>
      <c r="C5677">
        <v>0.04</v>
      </c>
    </row>
    <row r="5678" spans="1:3" x14ac:dyDescent="0.3">
      <c r="A5678" t="s">
        <v>10228</v>
      </c>
      <c r="B5678" t="s">
        <v>64</v>
      </c>
      <c r="C5678">
        <v>0.03</v>
      </c>
    </row>
    <row r="5679" spans="1:3" x14ac:dyDescent="0.3">
      <c r="A5679" t="s">
        <v>13086</v>
      </c>
      <c r="B5679" t="s">
        <v>64</v>
      </c>
      <c r="C5679">
        <v>7.0000000000000007E-2</v>
      </c>
    </row>
    <row r="5680" spans="1:3" x14ac:dyDescent="0.3">
      <c r="A5680" t="s">
        <v>6257</v>
      </c>
      <c r="B5680" t="s">
        <v>225</v>
      </c>
      <c r="C5680">
        <v>0.02</v>
      </c>
    </row>
    <row r="5681" spans="1:3" x14ac:dyDescent="0.3">
      <c r="A5681" t="s">
        <v>6257</v>
      </c>
      <c r="B5681" t="s">
        <v>225</v>
      </c>
      <c r="C5681">
        <v>0.05</v>
      </c>
    </row>
    <row r="5682" spans="1:3" x14ac:dyDescent="0.3">
      <c r="A5682" t="s">
        <v>15284</v>
      </c>
      <c r="B5682" t="s">
        <v>53</v>
      </c>
      <c r="C5682">
        <v>0</v>
      </c>
    </row>
    <row r="5683" spans="1:3" x14ac:dyDescent="0.3">
      <c r="A5683" t="s">
        <v>15284</v>
      </c>
      <c r="B5683" t="s">
        <v>53</v>
      </c>
      <c r="C5683">
        <v>0.09</v>
      </c>
    </row>
    <row r="5684" spans="1:3" x14ac:dyDescent="0.3">
      <c r="A5684" t="s">
        <v>11179</v>
      </c>
      <c r="B5684" t="s">
        <v>53</v>
      </c>
      <c r="C5684">
        <v>0.01</v>
      </c>
    </row>
    <row r="5685" spans="1:3" x14ac:dyDescent="0.3">
      <c r="A5685" t="s">
        <v>15038</v>
      </c>
      <c r="B5685" t="s">
        <v>64</v>
      </c>
      <c r="C5685">
        <v>0</v>
      </c>
    </row>
    <row r="5686" spans="1:3" x14ac:dyDescent="0.3">
      <c r="A5686" t="s">
        <v>15038</v>
      </c>
      <c r="B5686" t="s">
        <v>53</v>
      </c>
      <c r="C5686">
        <v>0.02</v>
      </c>
    </row>
    <row r="5687" spans="1:3" x14ac:dyDescent="0.3">
      <c r="A5687" t="s">
        <v>7900</v>
      </c>
      <c r="B5687" t="s">
        <v>87</v>
      </c>
      <c r="C5687">
        <v>0.05</v>
      </c>
    </row>
    <row r="5688" spans="1:3" x14ac:dyDescent="0.3">
      <c r="A5688" t="s">
        <v>7900</v>
      </c>
      <c r="B5688" t="s">
        <v>87</v>
      </c>
      <c r="C5688">
        <v>0.09</v>
      </c>
    </row>
    <row r="5689" spans="1:3" x14ac:dyDescent="0.3">
      <c r="A5689" t="s">
        <v>11696</v>
      </c>
      <c r="B5689" t="s">
        <v>40</v>
      </c>
      <c r="C5689">
        <v>0.04</v>
      </c>
    </row>
    <row r="5690" spans="1:3" x14ac:dyDescent="0.3">
      <c r="A5690" t="s">
        <v>5017</v>
      </c>
      <c r="B5690" t="s">
        <v>87</v>
      </c>
      <c r="C5690">
        <v>0.08</v>
      </c>
    </row>
    <row r="5691" spans="1:3" x14ac:dyDescent="0.3">
      <c r="A5691" t="s">
        <v>9425</v>
      </c>
      <c r="B5691" t="s">
        <v>53</v>
      </c>
      <c r="C5691">
        <v>0.05</v>
      </c>
    </row>
    <row r="5692" spans="1:3" x14ac:dyDescent="0.3">
      <c r="A5692" t="s">
        <v>7820</v>
      </c>
      <c r="B5692" t="s">
        <v>29</v>
      </c>
      <c r="C5692">
        <v>0.1</v>
      </c>
    </row>
    <row r="5693" spans="1:3" x14ac:dyDescent="0.3">
      <c r="A5693" t="s">
        <v>7820</v>
      </c>
      <c r="B5693" t="s">
        <v>87</v>
      </c>
      <c r="C5693">
        <v>0.08</v>
      </c>
    </row>
    <row r="5694" spans="1:3" x14ac:dyDescent="0.3">
      <c r="A5694" t="s">
        <v>13476</v>
      </c>
      <c r="B5694" t="s">
        <v>64</v>
      </c>
      <c r="C5694">
        <v>0.01</v>
      </c>
    </row>
    <row r="5695" spans="1:3" x14ac:dyDescent="0.3">
      <c r="A5695" t="s">
        <v>13476</v>
      </c>
      <c r="B5695" t="s">
        <v>64</v>
      </c>
      <c r="C5695">
        <v>7.0000000000000007E-2</v>
      </c>
    </row>
    <row r="5696" spans="1:3" x14ac:dyDescent="0.3">
      <c r="A5696" t="s">
        <v>13476</v>
      </c>
      <c r="B5696" t="s">
        <v>64</v>
      </c>
      <c r="C5696">
        <v>0.1</v>
      </c>
    </row>
    <row r="5697" spans="1:3" x14ac:dyDescent="0.3">
      <c r="A5697" t="s">
        <v>13559</v>
      </c>
      <c r="B5697" t="s">
        <v>87</v>
      </c>
      <c r="C5697">
        <v>0</v>
      </c>
    </row>
    <row r="5698" spans="1:3" x14ac:dyDescent="0.3">
      <c r="A5698" t="s">
        <v>7879</v>
      </c>
      <c r="B5698" t="s">
        <v>40</v>
      </c>
      <c r="C5698">
        <v>0.03</v>
      </c>
    </row>
    <row r="5699" spans="1:3" x14ac:dyDescent="0.3">
      <c r="A5699" t="s">
        <v>7879</v>
      </c>
      <c r="B5699" t="s">
        <v>40</v>
      </c>
      <c r="C5699">
        <v>0.09</v>
      </c>
    </row>
    <row r="5700" spans="1:3" x14ac:dyDescent="0.3">
      <c r="A5700" t="s">
        <v>5033</v>
      </c>
      <c r="B5700" t="s">
        <v>40</v>
      </c>
      <c r="C5700">
        <v>0.1</v>
      </c>
    </row>
    <row r="5701" spans="1:3" x14ac:dyDescent="0.3">
      <c r="A5701" t="s">
        <v>9378</v>
      </c>
      <c r="B5701" t="s">
        <v>40</v>
      </c>
      <c r="C5701">
        <v>0.06</v>
      </c>
    </row>
    <row r="5702" spans="1:3" x14ac:dyDescent="0.3">
      <c r="A5702" t="s">
        <v>9378</v>
      </c>
      <c r="B5702" t="s">
        <v>225</v>
      </c>
      <c r="C5702">
        <v>7.0000000000000007E-2</v>
      </c>
    </row>
    <row r="5703" spans="1:3" x14ac:dyDescent="0.3">
      <c r="A5703" t="s">
        <v>10676</v>
      </c>
      <c r="B5703" t="s">
        <v>225</v>
      </c>
      <c r="C5703">
        <v>0.01</v>
      </c>
    </row>
    <row r="5704" spans="1:3" x14ac:dyDescent="0.3">
      <c r="A5704" t="s">
        <v>10676</v>
      </c>
      <c r="B5704" t="s">
        <v>225</v>
      </c>
      <c r="C5704">
        <v>0.06</v>
      </c>
    </row>
    <row r="5705" spans="1:3" x14ac:dyDescent="0.3">
      <c r="A5705" t="s">
        <v>8839</v>
      </c>
      <c r="B5705" t="s">
        <v>40</v>
      </c>
      <c r="C5705">
        <v>0</v>
      </c>
    </row>
    <row r="5706" spans="1:3" x14ac:dyDescent="0.3">
      <c r="A5706" t="s">
        <v>5041</v>
      </c>
      <c r="B5706" t="s">
        <v>87</v>
      </c>
      <c r="C5706">
        <v>0.03</v>
      </c>
    </row>
    <row r="5707" spans="1:3" x14ac:dyDescent="0.3">
      <c r="A5707" t="s">
        <v>9031</v>
      </c>
      <c r="B5707" t="s">
        <v>53</v>
      </c>
      <c r="C5707">
        <v>0.05</v>
      </c>
    </row>
    <row r="5708" spans="1:3" x14ac:dyDescent="0.3">
      <c r="A5708" t="s">
        <v>5166</v>
      </c>
      <c r="B5708" t="s">
        <v>53</v>
      </c>
      <c r="C5708">
        <v>0.08</v>
      </c>
    </row>
    <row r="5709" spans="1:3" x14ac:dyDescent="0.3">
      <c r="A5709" t="s">
        <v>12748</v>
      </c>
      <c r="B5709" t="s">
        <v>87</v>
      </c>
      <c r="C5709">
        <v>0.01</v>
      </c>
    </row>
    <row r="5710" spans="1:3" x14ac:dyDescent="0.3">
      <c r="A5710" t="s">
        <v>12748</v>
      </c>
      <c r="B5710" t="s">
        <v>87</v>
      </c>
      <c r="C5710">
        <v>0.1</v>
      </c>
    </row>
    <row r="5711" spans="1:3" x14ac:dyDescent="0.3">
      <c r="A5711" t="s">
        <v>10199</v>
      </c>
      <c r="B5711" t="s">
        <v>87</v>
      </c>
      <c r="C5711">
        <v>0.01</v>
      </c>
    </row>
    <row r="5712" spans="1:3" x14ac:dyDescent="0.3">
      <c r="A5712" t="s">
        <v>10788</v>
      </c>
      <c r="B5712" t="s">
        <v>87</v>
      </c>
      <c r="C5712">
        <v>0.05</v>
      </c>
    </row>
    <row r="5713" spans="1:3" x14ac:dyDescent="0.3">
      <c r="A5713" t="s">
        <v>5060</v>
      </c>
      <c r="B5713" t="s">
        <v>53</v>
      </c>
      <c r="C5713">
        <v>0.05</v>
      </c>
    </row>
    <row r="5714" spans="1:3" x14ac:dyDescent="0.3">
      <c r="A5714" t="s">
        <v>5067</v>
      </c>
      <c r="B5714" t="s">
        <v>64</v>
      </c>
      <c r="C5714">
        <v>0.04</v>
      </c>
    </row>
    <row r="5715" spans="1:3" x14ac:dyDescent="0.3">
      <c r="A5715" t="s">
        <v>5067</v>
      </c>
      <c r="B5715" t="s">
        <v>64</v>
      </c>
      <c r="C5715">
        <v>0.06</v>
      </c>
    </row>
    <row r="5716" spans="1:3" x14ac:dyDescent="0.3">
      <c r="A5716" t="s">
        <v>6027</v>
      </c>
      <c r="B5716" t="s">
        <v>64</v>
      </c>
      <c r="C5716">
        <v>0.04</v>
      </c>
    </row>
    <row r="5717" spans="1:3" x14ac:dyDescent="0.3">
      <c r="A5717" t="s">
        <v>14699</v>
      </c>
      <c r="B5717" t="s">
        <v>87</v>
      </c>
      <c r="C5717">
        <v>0.01</v>
      </c>
    </row>
    <row r="5718" spans="1:3" x14ac:dyDescent="0.3">
      <c r="A5718" t="s">
        <v>14699</v>
      </c>
      <c r="B5718" t="s">
        <v>87</v>
      </c>
      <c r="C5718">
        <v>0.04</v>
      </c>
    </row>
    <row r="5719" spans="1:3" x14ac:dyDescent="0.3">
      <c r="A5719" t="s">
        <v>15302</v>
      </c>
      <c r="B5719" t="s">
        <v>87</v>
      </c>
      <c r="C5719">
        <v>0.08</v>
      </c>
    </row>
    <row r="5720" spans="1:3" x14ac:dyDescent="0.3">
      <c r="A5720" t="s">
        <v>5139</v>
      </c>
      <c r="B5720" t="s">
        <v>40</v>
      </c>
      <c r="C5720">
        <v>0.03</v>
      </c>
    </row>
    <row r="5721" spans="1:3" x14ac:dyDescent="0.3">
      <c r="A5721" t="s">
        <v>12282</v>
      </c>
      <c r="B5721" t="s">
        <v>64</v>
      </c>
      <c r="C5721">
        <v>0.1</v>
      </c>
    </row>
    <row r="5722" spans="1:3" x14ac:dyDescent="0.3">
      <c r="A5722" t="s">
        <v>5149</v>
      </c>
      <c r="B5722" t="s">
        <v>40</v>
      </c>
      <c r="C5722">
        <v>7.0000000000000007E-2</v>
      </c>
    </row>
    <row r="5723" spans="1:3" x14ac:dyDescent="0.3">
      <c r="A5723" t="s">
        <v>11234</v>
      </c>
      <c r="B5723" t="s">
        <v>40</v>
      </c>
      <c r="C5723">
        <v>0.06</v>
      </c>
    </row>
    <row r="5724" spans="1:3" x14ac:dyDescent="0.3">
      <c r="A5724" t="s">
        <v>8782</v>
      </c>
      <c r="B5724" t="s">
        <v>87</v>
      </c>
      <c r="C5724">
        <v>0.09</v>
      </c>
    </row>
    <row r="5725" spans="1:3" x14ac:dyDescent="0.3">
      <c r="A5725" t="s">
        <v>12504</v>
      </c>
      <c r="B5725" t="s">
        <v>40</v>
      </c>
      <c r="C5725">
        <v>0</v>
      </c>
    </row>
    <row r="5726" spans="1:3" x14ac:dyDescent="0.3">
      <c r="A5726" t="s">
        <v>12504</v>
      </c>
      <c r="B5726" t="s">
        <v>40</v>
      </c>
      <c r="C5726">
        <v>7.0000000000000007E-2</v>
      </c>
    </row>
    <row r="5727" spans="1:3" x14ac:dyDescent="0.3">
      <c r="A5727" t="s">
        <v>5196</v>
      </c>
      <c r="B5727" t="s">
        <v>40</v>
      </c>
      <c r="C5727">
        <v>0.02</v>
      </c>
    </row>
    <row r="5728" spans="1:3" x14ac:dyDescent="0.3">
      <c r="A5728" t="s">
        <v>8112</v>
      </c>
      <c r="B5728" t="s">
        <v>40</v>
      </c>
      <c r="C5728">
        <v>7.0000000000000007E-2</v>
      </c>
    </row>
    <row r="5729" spans="1:3" x14ac:dyDescent="0.3">
      <c r="A5729" t="s">
        <v>5523</v>
      </c>
      <c r="B5729" t="s">
        <v>29</v>
      </c>
      <c r="C5729">
        <v>0.03</v>
      </c>
    </row>
    <row r="5730" spans="1:3" x14ac:dyDescent="0.3">
      <c r="A5730" t="s">
        <v>5220</v>
      </c>
      <c r="B5730" t="s">
        <v>225</v>
      </c>
      <c r="C5730">
        <v>0</v>
      </c>
    </row>
    <row r="5731" spans="1:3" x14ac:dyDescent="0.3">
      <c r="A5731" t="s">
        <v>12563</v>
      </c>
      <c r="B5731" t="s">
        <v>40</v>
      </c>
      <c r="C5731">
        <v>0.05</v>
      </c>
    </row>
    <row r="5732" spans="1:3" x14ac:dyDescent="0.3">
      <c r="A5732" t="s">
        <v>13208</v>
      </c>
      <c r="B5732" t="s">
        <v>40</v>
      </c>
      <c r="C5732">
        <v>0.05</v>
      </c>
    </row>
    <row r="5733" spans="1:3" x14ac:dyDescent="0.3">
      <c r="A5733" t="s">
        <v>13208</v>
      </c>
      <c r="B5733" t="s">
        <v>40</v>
      </c>
      <c r="C5733">
        <v>0.09</v>
      </c>
    </row>
    <row r="5734" spans="1:3" x14ac:dyDescent="0.3">
      <c r="A5734" t="s">
        <v>13208</v>
      </c>
      <c r="B5734" t="s">
        <v>87</v>
      </c>
      <c r="C5734">
        <v>0.04</v>
      </c>
    </row>
    <row r="5735" spans="1:3" x14ac:dyDescent="0.3">
      <c r="A5735" t="s">
        <v>14660</v>
      </c>
      <c r="B5735" t="s">
        <v>87</v>
      </c>
      <c r="C5735">
        <v>0.05</v>
      </c>
    </row>
    <row r="5736" spans="1:3" x14ac:dyDescent="0.3">
      <c r="A5736" t="s">
        <v>14660</v>
      </c>
      <c r="B5736" t="s">
        <v>87</v>
      </c>
      <c r="C5736">
        <v>7.0000000000000007E-2</v>
      </c>
    </row>
    <row r="5737" spans="1:3" x14ac:dyDescent="0.3">
      <c r="A5737" t="s">
        <v>14123</v>
      </c>
      <c r="B5737" t="s">
        <v>87</v>
      </c>
      <c r="C5737">
        <v>0.1</v>
      </c>
    </row>
    <row r="5738" spans="1:3" x14ac:dyDescent="0.3">
      <c r="A5738" t="s">
        <v>15347</v>
      </c>
      <c r="B5738" t="s">
        <v>40</v>
      </c>
      <c r="C5738">
        <v>0.06</v>
      </c>
    </row>
    <row r="5739" spans="1:3" x14ac:dyDescent="0.3">
      <c r="A5739" t="s">
        <v>10203</v>
      </c>
      <c r="B5739" t="s">
        <v>64</v>
      </c>
      <c r="C5739">
        <v>0.09</v>
      </c>
    </row>
    <row r="5740" spans="1:3" x14ac:dyDescent="0.3">
      <c r="A5740" t="s">
        <v>10203</v>
      </c>
      <c r="B5740" t="s">
        <v>64</v>
      </c>
      <c r="C5740">
        <v>0.1</v>
      </c>
    </row>
    <row r="5741" spans="1:3" x14ac:dyDescent="0.3">
      <c r="A5741" t="s">
        <v>9690</v>
      </c>
      <c r="B5741" t="s">
        <v>87</v>
      </c>
      <c r="C5741">
        <v>0.02</v>
      </c>
    </row>
    <row r="5742" spans="1:3" x14ac:dyDescent="0.3">
      <c r="A5742" t="s">
        <v>5265</v>
      </c>
      <c r="B5742" t="s">
        <v>40</v>
      </c>
      <c r="C5742">
        <v>0.04</v>
      </c>
    </row>
    <row r="5743" spans="1:3" x14ac:dyDescent="0.3">
      <c r="A5743" t="s">
        <v>5265</v>
      </c>
      <c r="B5743" t="s">
        <v>40</v>
      </c>
      <c r="C5743">
        <v>0.1</v>
      </c>
    </row>
    <row r="5744" spans="1:3" x14ac:dyDescent="0.3">
      <c r="A5744" t="s">
        <v>11513</v>
      </c>
      <c r="B5744" t="s">
        <v>40</v>
      </c>
      <c r="C5744">
        <v>0.01</v>
      </c>
    </row>
    <row r="5745" spans="1:3" x14ac:dyDescent="0.3">
      <c r="A5745" t="s">
        <v>12359</v>
      </c>
      <c r="B5745" t="s">
        <v>40</v>
      </c>
      <c r="C5745">
        <v>0.02</v>
      </c>
    </row>
    <row r="5746" spans="1:3" x14ac:dyDescent="0.3">
      <c r="A5746" t="s">
        <v>5297</v>
      </c>
      <c r="B5746" t="s">
        <v>225</v>
      </c>
      <c r="C5746">
        <v>0</v>
      </c>
    </row>
    <row r="5747" spans="1:3" x14ac:dyDescent="0.3">
      <c r="A5747" t="s">
        <v>5517</v>
      </c>
      <c r="B5747" t="s">
        <v>225</v>
      </c>
      <c r="C5747">
        <v>0.04</v>
      </c>
    </row>
    <row r="5748" spans="1:3" x14ac:dyDescent="0.3">
      <c r="A5748" t="s">
        <v>13439</v>
      </c>
      <c r="B5748" t="s">
        <v>40</v>
      </c>
      <c r="C5748">
        <v>0.1</v>
      </c>
    </row>
    <row r="5749" spans="1:3" x14ac:dyDescent="0.3">
      <c r="A5749" t="s">
        <v>13439</v>
      </c>
      <c r="B5749" t="s">
        <v>64</v>
      </c>
      <c r="C5749">
        <v>7.0000000000000007E-2</v>
      </c>
    </row>
    <row r="5750" spans="1:3" x14ac:dyDescent="0.3">
      <c r="A5750" t="s">
        <v>13439</v>
      </c>
      <c r="B5750" t="s">
        <v>87</v>
      </c>
      <c r="C5750">
        <v>0.01</v>
      </c>
    </row>
    <row r="5751" spans="1:3" x14ac:dyDescent="0.3">
      <c r="A5751" t="s">
        <v>13439</v>
      </c>
      <c r="B5751" t="s">
        <v>87</v>
      </c>
      <c r="C5751">
        <v>0.06</v>
      </c>
    </row>
    <row r="5752" spans="1:3" x14ac:dyDescent="0.3">
      <c r="A5752" t="s">
        <v>7612</v>
      </c>
      <c r="B5752" t="s">
        <v>29</v>
      </c>
      <c r="C5752">
        <v>0.04</v>
      </c>
    </row>
    <row r="5753" spans="1:3" x14ac:dyDescent="0.3">
      <c r="A5753" t="s">
        <v>7612</v>
      </c>
      <c r="B5753" t="s">
        <v>53</v>
      </c>
      <c r="C5753">
        <v>0.03</v>
      </c>
    </row>
    <row r="5754" spans="1:3" x14ac:dyDescent="0.3">
      <c r="A5754" t="s">
        <v>5320</v>
      </c>
      <c r="B5754" t="s">
        <v>29</v>
      </c>
      <c r="C5754">
        <v>0</v>
      </c>
    </row>
    <row r="5755" spans="1:3" x14ac:dyDescent="0.3">
      <c r="A5755" t="s">
        <v>5320</v>
      </c>
      <c r="B5755" t="s">
        <v>29</v>
      </c>
      <c r="C5755">
        <v>0.1</v>
      </c>
    </row>
    <row r="5756" spans="1:3" x14ac:dyDescent="0.3">
      <c r="A5756" t="s">
        <v>10890</v>
      </c>
      <c r="B5756" t="s">
        <v>29</v>
      </c>
      <c r="C5756">
        <v>7.0000000000000007E-2</v>
      </c>
    </row>
    <row r="5757" spans="1:3" x14ac:dyDescent="0.3">
      <c r="A5757" t="s">
        <v>11357</v>
      </c>
      <c r="B5757" t="s">
        <v>29</v>
      </c>
      <c r="C5757">
        <v>0.09</v>
      </c>
    </row>
    <row r="5758" spans="1:3" x14ac:dyDescent="0.3">
      <c r="A5758" t="s">
        <v>8892</v>
      </c>
      <c r="B5758" t="s">
        <v>64</v>
      </c>
      <c r="C5758">
        <v>0</v>
      </c>
    </row>
    <row r="5759" spans="1:3" x14ac:dyDescent="0.3">
      <c r="A5759" t="s">
        <v>7067</v>
      </c>
      <c r="B5759" t="s">
        <v>64</v>
      </c>
      <c r="C5759">
        <v>7.0000000000000007E-2</v>
      </c>
    </row>
    <row r="5760" spans="1:3" x14ac:dyDescent="0.3">
      <c r="A5760" t="s">
        <v>7067</v>
      </c>
      <c r="B5760" t="s">
        <v>64</v>
      </c>
      <c r="C5760">
        <v>0.09</v>
      </c>
    </row>
    <row r="5761" spans="1:3" x14ac:dyDescent="0.3">
      <c r="A5761" t="s">
        <v>10665</v>
      </c>
      <c r="B5761" t="s">
        <v>53</v>
      </c>
      <c r="C5761">
        <v>0.06</v>
      </c>
    </row>
    <row r="5762" spans="1:3" x14ac:dyDescent="0.3">
      <c r="A5762" t="s">
        <v>5333</v>
      </c>
      <c r="B5762" t="s">
        <v>53</v>
      </c>
      <c r="C5762">
        <v>7.0000000000000007E-2</v>
      </c>
    </row>
    <row r="5763" spans="1:3" x14ac:dyDescent="0.3">
      <c r="A5763" t="s">
        <v>11389</v>
      </c>
      <c r="B5763" t="s">
        <v>53</v>
      </c>
      <c r="C5763">
        <v>0.1</v>
      </c>
    </row>
    <row r="5764" spans="1:3" x14ac:dyDescent="0.3">
      <c r="A5764" t="s">
        <v>11389</v>
      </c>
      <c r="B5764" t="s">
        <v>87</v>
      </c>
      <c r="C5764">
        <v>0.06</v>
      </c>
    </row>
    <row r="5765" spans="1:3" x14ac:dyDescent="0.3">
      <c r="A5765" t="s">
        <v>11389</v>
      </c>
      <c r="B5765" t="s">
        <v>87</v>
      </c>
      <c r="C5765">
        <v>7.0000000000000007E-2</v>
      </c>
    </row>
    <row r="5766" spans="1:3" x14ac:dyDescent="0.3">
      <c r="A5766" t="s">
        <v>15147</v>
      </c>
      <c r="B5766" t="s">
        <v>40</v>
      </c>
      <c r="C5766">
        <v>7.0000000000000007E-2</v>
      </c>
    </row>
    <row r="5767" spans="1:3" x14ac:dyDescent="0.3">
      <c r="A5767" t="s">
        <v>14009</v>
      </c>
      <c r="B5767" t="s">
        <v>53</v>
      </c>
      <c r="C5767">
        <v>0.01</v>
      </c>
    </row>
    <row r="5768" spans="1:3" x14ac:dyDescent="0.3">
      <c r="A5768" t="s">
        <v>11939</v>
      </c>
      <c r="B5768" t="s">
        <v>53</v>
      </c>
      <c r="C5768">
        <v>0.09</v>
      </c>
    </row>
    <row r="5769" spans="1:3" x14ac:dyDescent="0.3">
      <c r="A5769" t="s">
        <v>13226</v>
      </c>
      <c r="B5769" t="s">
        <v>53</v>
      </c>
      <c r="C5769">
        <v>0.05</v>
      </c>
    </row>
    <row r="5770" spans="1:3" x14ac:dyDescent="0.3">
      <c r="A5770" t="s">
        <v>13226</v>
      </c>
      <c r="B5770" t="s">
        <v>53</v>
      </c>
      <c r="C5770">
        <v>0.1</v>
      </c>
    </row>
    <row r="5771" spans="1:3" x14ac:dyDescent="0.3">
      <c r="A5771" t="s">
        <v>9719</v>
      </c>
      <c r="B5771" t="s">
        <v>64</v>
      </c>
      <c r="C5771">
        <v>0.1</v>
      </c>
    </row>
    <row r="5772" spans="1:3" x14ac:dyDescent="0.3">
      <c r="A5772" t="s">
        <v>13928</v>
      </c>
      <c r="B5772" t="s">
        <v>53</v>
      </c>
      <c r="C5772">
        <v>0</v>
      </c>
    </row>
    <row r="5773" spans="1:3" x14ac:dyDescent="0.3">
      <c r="A5773" t="s">
        <v>7415</v>
      </c>
      <c r="B5773" t="s">
        <v>64</v>
      </c>
      <c r="C5773">
        <v>0</v>
      </c>
    </row>
    <row r="5774" spans="1:3" x14ac:dyDescent="0.3">
      <c r="A5774" t="s">
        <v>7891</v>
      </c>
      <c r="B5774" t="s">
        <v>53</v>
      </c>
      <c r="C5774">
        <v>0</v>
      </c>
    </row>
    <row r="5775" spans="1:3" x14ac:dyDescent="0.3">
      <c r="A5775" t="s">
        <v>5389</v>
      </c>
      <c r="B5775" t="s">
        <v>29</v>
      </c>
      <c r="C5775">
        <v>0.08</v>
      </c>
    </row>
    <row r="5776" spans="1:3" x14ac:dyDescent="0.3">
      <c r="A5776" t="s">
        <v>8920</v>
      </c>
      <c r="B5776" t="s">
        <v>29</v>
      </c>
      <c r="C5776">
        <v>0.09</v>
      </c>
    </row>
    <row r="5777" spans="1:3" x14ac:dyDescent="0.3">
      <c r="A5777" t="s">
        <v>6883</v>
      </c>
      <c r="B5777" t="s">
        <v>87</v>
      </c>
      <c r="C5777">
        <v>0.03</v>
      </c>
    </row>
    <row r="5778" spans="1:3" x14ac:dyDescent="0.3">
      <c r="A5778" t="s">
        <v>6883</v>
      </c>
      <c r="B5778" t="s">
        <v>87</v>
      </c>
      <c r="C5778">
        <v>0.08</v>
      </c>
    </row>
    <row r="5779" spans="1:3" x14ac:dyDescent="0.3">
      <c r="A5779" t="s">
        <v>6159</v>
      </c>
      <c r="B5779" t="s">
        <v>87</v>
      </c>
      <c r="C5779">
        <v>0.06</v>
      </c>
    </row>
    <row r="5780" spans="1:3" x14ac:dyDescent="0.3">
      <c r="A5780" t="s">
        <v>6159</v>
      </c>
      <c r="B5780" t="s">
        <v>87</v>
      </c>
      <c r="C5780">
        <v>0.1</v>
      </c>
    </row>
    <row r="5781" spans="1:3" x14ac:dyDescent="0.3">
      <c r="A5781" t="s">
        <v>7376</v>
      </c>
      <c r="B5781" t="s">
        <v>225</v>
      </c>
      <c r="C5781">
        <v>7.0000000000000007E-2</v>
      </c>
    </row>
    <row r="5782" spans="1:3" x14ac:dyDescent="0.3">
      <c r="A5782" t="s">
        <v>7376</v>
      </c>
      <c r="B5782" t="s">
        <v>225</v>
      </c>
      <c r="C5782">
        <v>0.09</v>
      </c>
    </row>
    <row r="5783" spans="1:3" x14ac:dyDescent="0.3">
      <c r="A5783" t="s">
        <v>8601</v>
      </c>
      <c r="B5783" t="s">
        <v>29</v>
      </c>
      <c r="C5783">
        <v>0.03</v>
      </c>
    </row>
    <row r="5784" spans="1:3" x14ac:dyDescent="0.3">
      <c r="A5784" t="s">
        <v>12027</v>
      </c>
      <c r="B5784" t="s">
        <v>225</v>
      </c>
      <c r="C5784">
        <v>0.09</v>
      </c>
    </row>
    <row r="5785" spans="1:3" x14ac:dyDescent="0.3">
      <c r="A5785" t="s">
        <v>12027</v>
      </c>
      <c r="B5785" t="s">
        <v>29</v>
      </c>
      <c r="C5785">
        <v>0.05</v>
      </c>
    </row>
    <row r="5786" spans="1:3" x14ac:dyDescent="0.3">
      <c r="A5786" t="s">
        <v>15333</v>
      </c>
      <c r="B5786" t="s">
        <v>87</v>
      </c>
      <c r="C5786">
        <v>0.01</v>
      </c>
    </row>
    <row r="5787" spans="1:3" x14ac:dyDescent="0.3">
      <c r="A5787" t="s">
        <v>15333</v>
      </c>
      <c r="B5787" t="s">
        <v>87</v>
      </c>
      <c r="C5787">
        <v>7.0000000000000007E-2</v>
      </c>
    </row>
    <row r="5788" spans="1:3" x14ac:dyDescent="0.3">
      <c r="A5788" t="s">
        <v>5477</v>
      </c>
      <c r="B5788" t="s">
        <v>29</v>
      </c>
      <c r="C5788">
        <v>0.04</v>
      </c>
    </row>
    <row r="5789" spans="1:3" x14ac:dyDescent="0.3">
      <c r="A5789" t="s">
        <v>5477</v>
      </c>
      <c r="B5789" t="s">
        <v>29</v>
      </c>
      <c r="C5789">
        <v>0.05</v>
      </c>
    </row>
    <row r="5790" spans="1:3" x14ac:dyDescent="0.3">
      <c r="A5790" t="s">
        <v>14025</v>
      </c>
      <c r="B5790" t="s">
        <v>87</v>
      </c>
      <c r="C5790">
        <v>0</v>
      </c>
    </row>
    <row r="5791" spans="1:3" x14ac:dyDescent="0.3">
      <c r="A5791" t="s">
        <v>14025</v>
      </c>
      <c r="B5791" t="s">
        <v>87</v>
      </c>
      <c r="C5791">
        <v>0.02</v>
      </c>
    </row>
    <row r="5792" spans="1:3" x14ac:dyDescent="0.3">
      <c r="A5792" t="s">
        <v>6842</v>
      </c>
      <c r="B5792" t="s">
        <v>87</v>
      </c>
      <c r="C5792">
        <v>0.06</v>
      </c>
    </row>
    <row r="5793" spans="1:3" x14ac:dyDescent="0.3">
      <c r="A5793" t="s">
        <v>6842</v>
      </c>
      <c r="B5793" t="s">
        <v>87</v>
      </c>
      <c r="C5793">
        <v>0.08</v>
      </c>
    </row>
    <row r="5794" spans="1:3" x14ac:dyDescent="0.3">
      <c r="A5794" t="s">
        <v>5511</v>
      </c>
      <c r="B5794" t="s">
        <v>87</v>
      </c>
      <c r="C5794">
        <v>0</v>
      </c>
    </row>
    <row r="5795" spans="1:3" x14ac:dyDescent="0.3">
      <c r="A5795" t="s">
        <v>14210</v>
      </c>
      <c r="B5795" t="s">
        <v>225</v>
      </c>
      <c r="C5795">
        <v>0.1</v>
      </c>
    </row>
    <row r="5796" spans="1:3" x14ac:dyDescent="0.3">
      <c r="A5796" t="s">
        <v>10872</v>
      </c>
      <c r="B5796" t="s">
        <v>225</v>
      </c>
      <c r="C5796">
        <v>0.02</v>
      </c>
    </row>
    <row r="5797" spans="1:3" x14ac:dyDescent="0.3">
      <c r="A5797" t="s">
        <v>10872</v>
      </c>
      <c r="B5797" t="s">
        <v>225</v>
      </c>
      <c r="C5797">
        <v>7.0000000000000007E-2</v>
      </c>
    </row>
    <row r="5798" spans="1:3" x14ac:dyDescent="0.3">
      <c r="A5798" t="s">
        <v>10872</v>
      </c>
      <c r="B5798" t="s">
        <v>87</v>
      </c>
      <c r="C5798">
        <v>0.1</v>
      </c>
    </row>
    <row r="5799" spans="1:3" x14ac:dyDescent="0.3">
      <c r="A5799" t="s">
        <v>14259</v>
      </c>
      <c r="B5799" t="s">
        <v>225</v>
      </c>
      <c r="C5799">
        <v>0.06</v>
      </c>
    </row>
    <row r="5800" spans="1:3" x14ac:dyDescent="0.3">
      <c r="A5800" t="s">
        <v>14259</v>
      </c>
      <c r="B5800" t="s">
        <v>225</v>
      </c>
      <c r="C5800">
        <v>7.0000000000000007E-2</v>
      </c>
    </row>
    <row r="5801" spans="1:3" x14ac:dyDescent="0.3">
      <c r="A5801" t="s">
        <v>14259</v>
      </c>
      <c r="B5801" t="s">
        <v>225</v>
      </c>
      <c r="C5801">
        <v>0.09</v>
      </c>
    </row>
    <row r="5802" spans="1:3" x14ac:dyDescent="0.3">
      <c r="A5802" t="s">
        <v>8041</v>
      </c>
      <c r="B5802" t="s">
        <v>87</v>
      </c>
      <c r="C5802">
        <v>0.06</v>
      </c>
    </row>
    <row r="5803" spans="1:3" x14ac:dyDescent="0.3">
      <c r="A5803" t="s">
        <v>5529</v>
      </c>
      <c r="B5803" t="s">
        <v>87</v>
      </c>
      <c r="C5803">
        <v>0.05</v>
      </c>
    </row>
    <row r="5804" spans="1:3" x14ac:dyDescent="0.3">
      <c r="A5804" t="s">
        <v>14574</v>
      </c>
      <c r="B5804" t="s">
        <v>40</v>
      </c>
      <c r="C5804">
        <v>0.09</v>
      </c>
    </row>
    <row r="5805" spans="1:3" x14ac:dyDescent="0.3">
      <c r="A5805" t="s">
        <v>9741</v>
      </c>
      <c r="B5805" t="s">
        <v>64</v>
      </c>
      <c r="C5805">
        <v>0.09</v>
      </c>
    </row>
    <row r="5806" spans="1:3" x14ac:dyDescent="0.3">
      <c r="A5806" t="s">
        <v>13625</v>
      </c>
      <c r="B5806" t="s">
        <v>87</v>
      </c>
      <c r="C5806">
        <v>0.01</v>
      </c>
    </row>
    <row r="5807" spans="1:3" x14ac:dyDescent="0.3">
      <c r="A5807" t="s">
        <v>5591</v>
      </c>
      <c r="B5807" t="s">
        <v>40</v>
      </c>
      <c r="C5807">
        <v>0.04</v>
      </c>
    </row>
    <row r="5808" spans="1:3" x14ac:dyDescent="0.3">
      <c r="A5808" t="s">
        <v>5591</v>
      </c>
      <c r="B5808" t="s">
        <v>40</v>
      </c>
      <c r="C5808">
        <v>0.08</v>
      </c>
    </row>
    <row r="5809" spans="1:3" x14ac:dyDescent="0.3">
      <c r="A5809" t="s">
        <v>10445</v>
      </c>
      <c r="B5809" t="s">
        <v>40</v>
      </c>
      <c r="C5809">
        <v>0.01</v>
      </c>
    </row>
    <row r="5810" spans="1:3" x14ac:dyDescent="0.3">
      <c r="A5810" t="s">
        <v>10445</v>
      </c>
      <c r="B5810" t="s">
        <v>40</v>
      </c>
      <c r="C5810">
        <v>7.0000000000000007E-2</v>
      </c>
    </row>
    <row r="5811" spans="1:3" x14ac:dyDescent="0.3">
      <c r="A5811" t="s">
        <v>7847</v>
      </c>
      <c r="B5811" t="s">
        <v>40</v>
      </c>
      <c r="C5811">
        <v>0.09</v>
      </c>
    </row>
    <row r="5812" spans="1:3" x14ac:dyDescent="0.3">
      <c r="A5812" t="s">
        <v>13424</v>
      </c>
      <c r="B5812" t="s">
        <v>40</v>
      </c>
      <c r="C5812">
        <v>0.04</v>
      </c>
    </row>
    <row r="5813" spans="1:3" x14ac:dyDescent="0.3">
      <c r="A5813" t="s">
        <v>13424</v>
      </c>
      <c r="B5813" t="s">
        <v>40</v>
      </c>
      <c r="C5813">
        <v>0.08</v>
      </c>
    </row>
    <row r="5814" spans="1:3" x14ac:dyDescent="0.3">
      <c r="A5814" t="s">
        <v>7892</v>
      </c>
      <c r="B5814" t="s">
        <v>64</v>
      </c>
      <c r="C5814">
        <v>7.0000000000000007E-2</v>
      </c>
    </row>
    <row r="5815" spans="1:3" x14ac:dyDescent="0.3">
      <c r="A5815" t="s">
        <v>14607</v>
      </c>
      <c r="B5815" t="s">
        <v>40</v>
      </c>
      <c r="C5815">
        <v>0.04</v>
      </c>
    </row>
    <row r="5816" spans="1:3" x14ac:dyDescent="0.3">
      <c r="A5816" t="s">
        <v>15326</v>
      </c>
      <c r="B5816" t="s">
        <v>29</v>
      </c>
      <c r="C5816">
        <v>0.05</v>
      </c>
    </row>
    <row r="5817" spans="1:3" x14ac:dyDescent="0.3">
      <c r="A5817" t="s">
        <v>10737</v>
      </c>
      <c r="B5817" t="s">
        <v>29</v>
      </c>
      <c r="C5817">
        <v>0.03</v>
      </c>
    </row>
    <row r="5818" spans="1:3" x14ac:dyDescent="0.3">
      <c r="A5818" t="s">
        <v>10737</v>
      </c>
      <c r="B5818" t="s">
        <v>29</v>
      </c>
      <c r="C5818">
        <v>0.06</v>
      </c>
    </row>
    <row r="5819" spans="1:3" x14ac:dyDescent="0.3">
      <c r="A5819" t="s">
        <v>13333</v>
      </c>
      <c r="B5819" t="s">
        <v>64</v>
      </c>
      <c r="C5819">
        <v>7.0000000000000007E-2</v>
      </c>
    </row>
    <row r="5820" spans="1:3" x14ac:dyDescent="0.3">
      <c r="A5820" t="s">
        <v>13333</v>
      </c>
      <c r="B5820" t="s">
        <v>64</v>
      </c>
      <c r="C5820">
        <v>0.1</v>
      </c>
    </row>
    <row r="5821" spans="1:3" x14ac:dyDescent="0.3">
      <c r="A5821" t="s">
        <v>5624</v>
      </c>
      <c r="B5821" t="s">
        <v>29</v>
      </c>
      <c r="C5821">
        <v>0.03</v>
      </c>
    </row>
    <row r="5822" spans="1:3" x14ac:dyDescent="0.3">
      <c r="A5822" t="s">
        <v>7996</v>
      </c>
      <c r="B5822" t="s">
        <v>40</v>
      </c>
      <c r="C5822">
        <v>0.06</v>
      </c>
    </row>
    <row r="5823" spans="1:3" x14ac:dyDescent="0.3">
      <c r="A5823" t="s">
        <v>7996</v>
      </c>
      <c r="B5823" t="s">
        <v>29</v>
      </c>
      <c r="C5823">
        <v>0.01</v>
      </c>
    </row>
    <row r="5824" spans="1:3" x14ac:dyDescent="0.3">
      <c r="A5824" t="s">
        <v>5680</v>
      </c>
      <c r="B5824" t="s">
        <v>29</v>
      </c>
      <c r="C5824">
        <v>0.01</v>
      </c>
    </row>
    <row r="5825" spans="1:3" x14ac:dyDescent="0.3">
      <c r="A5825" t="s">
        <v>5680</v>
      </c>
      <c r="B5825" t="s">
        <v>53</v>
      </c>
      <c r="C5825">
        <v>0.04</v>
      </c>
    </row>
    <row r="5826" spans="1:3" x14ac:dyDescent="0.3">
      <c r="A5826" t="s">
        <v>5680</v>
      </c>
      <c r="B5826" t="s">
        <v>53</v>
      </c>
      <c r="C5826">
        <v>0.05</v>
      </c>
    </row>
    <row r="5827" spans="1:3" x14ac:dyDescent="0.3">
      <c r="A5827" t="s">
        <v>5680</v>
      </c>
      <c r="B5827" t="s">
        <v>53</v>
      </c>
      <c r="C5827">
        <v>7.0000000000000007E-2</v>
      </c>
    </row>
    <row r="5828" spans="1:3" x14ac:dyDescent="0.3">
      <c r="A5828" t="s">
        <v>14552</v>
      </c>
      <c r="B5828" t="s">
        <v>53</v>
      </c>
      <c r="C5828">
        <v>0</v>
      </c>
    </row>
    <row r="5829" spans="1:3" x14ac:dyDescent="0.3">
      <c r="A5829" t="s">
        <v>14552</v>
      </c>
      <c r="B5829" t="s">
        <v>53</v>
      </c>
      <c r="C5829">
        <v>0.06</v>
      </c>
    </row>
    <row r="5830" spans="1:3" x14ac:dyDescent="0.3">
      <c r="A5830" t="s">
        <v>14367</v>
      </c>
      <c r="B5830" t="s">
        <v>53</v>
      </c>
      <c r="C5830">
        <v>7.0000000000000007E-2</v>
      </c>
    </row>
    <row r="5831" spans="1:3" x14ac:dyDescent="0.3">
      <c r="A5831" t="s">
        <v>8928</v>
      </c>
      <c r="B5831" t="s">
        <v>64</v>
      </c>
      <c r="C5831">
        <v>0.09</v>
      </c>
    </row>
    <row r="5832" spans="1:3" x14ac:dyDescent="0.3">
      <c r="A5832" t="s">
        <v>13116</v>
      </c>
      <c r="B5832" t="s">
        <v>225</v>
      </c>
      <c r="C5832">
        <v>0.04</v>
      </c>
    </row>
    <row r="5833" spans="1:3" x14ac:dyDescent="0.3">
      <c r="A5833" t="s">
        <v>13116</v>
      </c>
      <c r="B5833" t="s">
        <v>225</v>
      </c>
      <c r="C5833">
        <v>0.08</v>
      </c>
    </row>
    <row r="5834" spans="1:3" x14ac:dyDescent="0.3">
      <c r="A5834" t="s">
        <v>13239</v>
      </c>
      <c r="B5834" t="s">
        <v>40</v>
      </c>
      <c r="C5834">
        <v>0.01</v>
      </c>
    </row>
    <row r="5835" spans="1:3" x14ac:dyDescent="0.3">
      <c r="A5835" t="s">
        <v>13239</v>
      </c>
      <c r="B5835" t="s">
        <v>29</v>
      </c>
      <c r="C5835">
        <v>0.03</v>
      </c>
    </row>
    <row r="5836" spans="1:3" x14ac:dyDescent="0.3">
      <c r="A5836" t="s">
        <v>13239</v>
      </c>
      <c r="B5836" t="s">
        <v>87</v>
      </c>
      <c r="C5836">
        <v>0.02</v>
      </c>
    </row>
    <row r="5837" spans="1:3" x14ac:dyDescent="0.3">
      <c r="A5837" t="s">
        <v>5714</v>
      </c>
      <c r="B5837" t="s">
        <v>29</v>
      </c>
      <c r="C5837">
        <v>0.08</v>
      </c>
    </row>
    <row r="5838" spans="1:3" x14ac:dyDescent="0.3">
      <c r="A5838" t="s">
        <v>13457</v>
      </c>
      <c r="B5838" t="s">
        <v>64</v>
      </c>
      <c r="C5838">
        <v>0.01</v>
      </c>
    </row>
    <row r="5839" spans="1:3" x14ac:dyDescent="0.3">
      <c r="A5839" t="s">
        <v>13457</v>
      </c>
      <c r="B5839" t="s">
        <v>64</v>
      </c>
      <c r="C5839">
        <v>0.05</v>
      </c>
    </row>
    <row r="5840" spans="1:3" x14ac:dyDescent="0.3">
      <c r="A5840" t="s">
        <v>13457</v>
      </c>
      <c r="B5840" t="s">
        <v>64</v>
      </c>
      <c r="C5840">
        <v>0.1</v>
      </c>
    </row>
    <row r="5841" spans="1:3" x14ac:dyDescent="0.3">
      <c r="A5841" t="s">
        <v>10421</v>
      </c>
      <c r="B5841" t="s">
        <v>40</v>
      </c>
      <c r="C5841">
        <v>0.09</v>
      </c>
    </row>
    <row r="5842" spans="1:3" x14ac:dyDescent="0.3">
      <c r="A5842" t="s">
        <v>12782</v>
      </c>
      <c r="B5842" t="s">
        <v>29</v>
      </c>
      <c r="C5842">
        <v>0.04</v>
      </c>
    </row>
    <row r="5843" spans="1:3" x14ac:dyDescent="0.3">
      <c r="A5843" t="s">
        <v>15159</v>
      </c>
      <c r="B5843" t="s">
        <v>29</v>
      </c>
      <c r="C5843">
        <v>0.05</v>
      </c>
    </row>
    <row r="5844" spans="1:3" x14ac:dyDescent="0.3">
      <c r="A5844" t="s">
        <v>15159</v>
      </c>
      <c r="B5844" t="s">
        <v>29</v>
      </c>
      <c r="C5844">
        <v>0.08</v>
      </c>
    </row>
    <row r="5845" spans="1:3" x14ac:dyDescent="0.3">
      <c r="A5845" t="s">
        <v>10374</v>
      </c>
      <c r="B5845" t="s">
        <v>64</v>
      </c>
      <c r="C5845">
        <v>0.03</v>
      </c>
    </row>
    <row r="5846" spans="1:3" x14ac:dyDescent="0.3">
      <c r="A5846" t="s">
        <v>5813</v>
      </c>
      <c r="B5846" t="s">
        <v>64</v>
      </c>
      <c r="C5846">
        <v>0.04</v>
      </c>
    </row>
    <row r="5847" spans="1:3" x14ac:dyDescent="0.3">
      <c r="A5847" t="s">
        <v>15232</v>
      </c>
      <c r="B5847" t="s">
        <v>40</v>
      </c>
      <c r="C5847">
        <v>0.1</v>
      </c>
    </row>
    <row r="5848" spans="1:3" x14ac:dyDescent="0.3">
      <c r="A5848" t="s">
        <v>15232</v>
      </c>
      <c r="B5848" t="s">
        <v>29</v>
      </c>
      <c r="C5848">
        <v>0.05</v>
      </c>
    </row>
    <row r="5849" spans="1:3" x14ac:dyDescent="0.3">
      <c r="A5849" t="s">
        <v>15232</v>
      </c>
      <c r="B5849" t="s">
        <v>29</v>
      </c>
      <c r="C5849">
        <v>0.1</v>
      </c>
    </row>
    <row r="5850" spans="1:3" x14ac:dyDescent="0.3">
      <c r="A5850" t="s">
        <v>15764</v>
      </c>
      <c r="B5850" t="s">
        <v>29</v>
      </c>
      <c r="C5850">
        <v>0.08</v>
      </c>
    </row>
    <row r="5851" spans="1:3" x14ac:dyDescent="0.3">
      <c r="A5851" t="s">
        <v>12483</v>
      </c>
      <c r="B5851" t="s">
        <v>64</v>
      </c>
      <c r="C5851">
        <v>0</v>
      </c>
    </row>
    <row r="5852" spans="1:3" x14ac:dyDescent="0.3">
      <c r="A5852" t="s">
        <v>6754</v>
      </c>
      <c r="B5852" t="s">
        <v>29</v>
      </c>
      <c r="C5852">
        <v>0.02</v>
      </c>
    </row>
    <row r="5853" spans="1:3" x14ac:dyDescent="0.3">
      <c r="A5853" t="s">
        <v>7464</v>
      </c>
      <c r="B5853" t="s">
        <v>87</v>
      </c>
      <c r="C5853">
        <v>0</v>
      </c>
    </row>
    <row r="5854" spans="1:3" x14ac:dyDescent="0.3">
      <c r="A5854" t="s">
        <v>7464</v>
      </c>
      <c r="B5854" t="s">
        <v>87</v>
      </c>
      <c r="C5854">
        <v>0.06</v>
      </c>
    </row>
    <row r="5855" spans="1:3" x14ac:dyDescent="0.3">
      <c r="A5855" t="s">
        <v>13267</v>
      </c>
      <c r="B5855" t="s">
        <v>53</v>
      </c>
      <c r="C5855">
        <v>0.01</v>
      </c>
    </row>
    <row r="5856" spans="1:3" x14ac:dyDescent="0.3">
      <c r="A5856" t="s">
        <v>14277</v>
      </c>
      <c r="B5856" t="s">
        <v>40</v>
      </c>
      <c r="C5856">
        <v>0.09</v>
      </c>
    </row>
    <row r="5857" spans="1:3" x14ac:dyDescent="0.3">
      <c r="A5857" t="s">
        <v>5995</v>
      </c>
      <c r="B5857" t="s">
        <v>40</v>
      </c>
      <c r="C5857">
        <v>0.03</v>
      </c>
    </row>
    <row r="5858" spans="1:3" x14ac:dyDescent="0.3">
      <c r="A5858" t="s">
        <v>15226</v>
      </c>
      <c r="B5858" t="s">
        <v>225</v>
      </c>
      <c r="C5858">
        <v>0</v>
      </c>
    </row>
    <row r="5859" spans="1:3" x14ac:dyDescent="0.3">
      <c r="A5859" t="s">
        <v>15226</v>
      </c>
      <c r="B5859" t="s">
        <v>225</v>
      </c>
      <c r="C5859">
        <v>0.03</v>
      </c>
    </row>
    <row r="5860" spans="1:3" x14ac:dyDescent="0.3">
      <c r="A5860" t="s">
        <v>15226</v>
      </c>
      <c r="B5860" t="s">
        <v>29</v>
      </c>
      <c r="C5860">
        <v>0.09</v>
      </c>
    </row>
    <row r="5861" spans="1:3" x14ac:dyDescent="0.3">
      <c r="A5861" t="s">
        <v>14549</v>
      </c>
      <c r="B5861" t="s">
        <v>29</v>
      </c>
      <c r="C5861">
        <v>0.01</v>
      </c>
    </row>
    <row r="5862" spans="1:3" x14ac:dyDescent="0.3">
      <c r="A5862" t="s">
        <v>14549</v>
      </c>
      <c r="B5862" t="s">
        <v>29</v>
      </c>
      <c r="C5862">
        <v>0.02</v>
      </c>
    </row>
    <row r="5863" spans="1:3" x14ac:dyDescent="0.3">
      <c r="A5863" t="s">
        <v>8334</v>
      </c>
      <c r="B5863" t="s">
        <v>29</v>
      </c>
      <c r="C5863">
        <v>0.08</v>
      </c>
    </row>
    <row r="5864" spans="1:3" x14ac:dyDescent="0.3">
      <c r="A5864" t="s">
        <v>13280</v>
      </c>
      <c r="B5864" t="s">
        <v>225</v>
      </c>
      <c r="C5864">
        <v>0</v>
      </c>
    </row>
    <row r="5865" spans="1:3" x14ac:dyDescent="0.3">
      <c r="A5865" t="s">
        <v>6505</v>
      </c>
      <c r="B5865" t="s">
        <v>29</v>
      </c>
      <c r="C5865">
        <v>0.01</v>
      </c>
    </row>
    <row r="5866" spans="1:3" x14ac:dyDescent="0.3">
      <c r="A5866" t="s">
        <v>8825</v>
      </c>
      <c r="B5866" t="s">
        <v>29</v>
      </c>
      <c r="C5866">
        <v>0.05</v>
      </c>
    </row>
    <row r="5867" spans="1:3" x14ac:dyDescent="0.3">
      <c r="A5867" t="s">
        <v>12388</v>
      </c>
      <c r="B5867" t="s">
        <v>53</v>
      </c>
      <c r="C5867">
        <v>0.03</v>
      </c>
    </row>
    <row r="5868" spans="1:3" x14ac:dyDescent="0.3">
      <c r="A5868" t="s">
        <v>12388</v>
      </c>
      <c r="B5868" t="s">
        <v>53</v>
      </c>
      <c r="C5868">
        <v>0.1</v>
      </c>
    </row>
    <row r="5869" spans="1:3" x14ac:dyDescent="0.3">
      <c r="A5869" t="s">
        <v>8192</v>
      </c>
      <c r="B5869" t="s">
        <v>225</v>
      </c>
      <c r="C5869">
        <v>7.0000000000000007E-2</v>
      </c>
    </row>
    <row r="5870" spans="1:3" x14ac:dyDescent="0.3">
      <c r="A5870" t="s">
        <v>8192</v>
      </c>
      <c r="B5870" t="s">
        <v>225</v>
      </c>
      <c r="C5870">
        <v>0.09</v>
      </c>
    </row>
    <row r="5871" spans="1:3" x14ac:dyDescent="0.3">
      <c r="A5871" t="s">
        <v>15211</v>
      </c>
      <c r="B5871" t="s">
        <v>29</v>
      </c>
      <c r="C5871">
        <v>0</v>
      </c>
    </row>
    <row r="5872" spans="1:3" x14ac:dyDescent="0.3">
      <c r="A5872" t="s">
        <v>15211</v>
      </c>
      <c r="B5872" t="s">
        <v>29</v>
      </c>
      <c r="C5872">
        <v>0.1</v>
      </c>
    </row>
    <row r="5873" spans="1:3" x14ac:dyDescent="0.3">
      <c r="A5873" t="s">
        <v>15290</v>
      </c>
      <c r="B5873" t="s">
        <v>29</v>
      </c>
      <c r="C5873">
        <v>0.03</v>
      </c>
    </row>
    <row r="5874" spans="1:3" x14ac:dyDescent="0.3">
      <c r="A5874" t="s">
        <v>15204</v>
      </c>
      <c r="B5874" t="s">
        <v>53</v>
      </c>
      <c r="C5874">
        <v>0.08</v>
      </c>
    </row>
    <row r="5875" spans="1:3" x14ac:dyDescent="0.3">
      <c r="A5875" t="s">
        <v>15204</v>
      </c>
      <c r="B5875" t="s">
        <v>53</v>
      </c>
      <c r="C5875">
        <v>0.1</v>
      </c>
    </row>
    <row r="5876" spans="1:3" x14ac:dyDescent="0.3">
      <c r="A5876" t="s">
        <v>10080</v>
      </c>
      <c r="B5876" t="s">
        <v>40</v>
      </c>
      <c r="C5876">
        <v>0</v>
      </c>
    </row>
    <row r="5877" spans="1:3" x14ac:dyDescent="0.3">
      <c r="A5877" t="s">
        <v>10080</v>
      </c>
      <c r="B5877" t="s">
        <v>40</v>
      </c>
      <c r="C5877">
        <v>0.03</v>
      </c>
    </row>
    <row r="5878" spans="1:3" x14ac:dyDescent="0.3">
      <c r="A5878" t="s">
        <v>6139</v>
      </c>
      <c r="B5878" t="s">
        <v>53</v>
      </c>
      <c r="C5878">
        <v>0.03</v>
      </c>
    </row>
    <row r="5879" spans="1:3" x14ac:dyDescent="0.3">
      <c r="A5879" t="s">
        <v>14412</v>
      </c>
      <c r="B5879" t="s">
        <v>29</v>
      </c>
      <c r="C5879">
        <v>0.06</v>
      </c>
    </row>
    <row r="5880" spans="1:3" x14ac:dyDescent="0.3">
      <c r="A5880" t="s">
        <v>14412</v>
      </c>
      <c r="B5880" t="s">
        <v>29</v>
      </c>
      <c r="C5880">
        <v>0.08</v>
      </c>
    </row>
    <row r="5881" spans="1:3" x14ac:dyDescent="0.3">
      <c r="A5881" t="s">
        <v>13201</v>
      </c>
      <c r="B5881" t="s">
        <v>53</v>
      </c>
      <c r="C5881">
        <v>0.08</v>
      </c>
    </row>
    <row r="5882" spans="1:3" x14ac:dyDescent="0.3">
      <c r="A5882" t="s">
        <v>13507</v>
      </c>
      <c r="B5882" t="s">
        <v>29</v>
      </c>
      <c r="C5882">
        <v>0.05</v>
      </c>
    </row>
    <row r="5883" spans="1:3" x14ac:dyDescent="0.3">
      <c r="A5883" t="s">
        <v>13507</v>
      </c>
      <c r="B5883" t="s">
        <v>53</v>
      </c>
      <c r="C5883">
        <v>0.02</v>
      </c>
    </row>
    <row r="5884" spans="1:3" x14ac:dyDescent="0.3">
      <c r="A5884" t="s">
        <v>13507</v>
      </c>
      <c r="B5884" t="s">
        <v>53</v>
      </c>
      <c r="C5884">
        <v>0.05</v>
      </c>
    </row>
    <row r="5885" spans="1:3" x14ac:dyDescent="0.3">
      <c r="A5885" t="s">
        <v>7961</v>
      </c>
      <c r="B5885" t="s">
        <v>53</v>
      </c>
      <c r="C5885">
        <v>0.05</v>
      </c>
    </row>
    <row r="5886" spans="1:3" x14ac:dyDescent="0.3">
      <c r="A5886" t="s">
        <v>6188</v>
      </c>
      <c r="B5886" t="s">
        <v>87</v>
      </c>
      <c r="C5886">
        <v>0.02</v>
      </c>
    </row>
    <row r="5887" spans="1:3" x14ac:dyDescent="0.3">
      <c r="A5887" t="s">
        <v>8932</v>
      </c>
      <c r="B5887" t="s">
        <v>87</v>
      </c>
      <c r="C5887">
        <v>0.09</v>
      </c>
    </row>
    <row r="5888" spans="1:3" x14ac:dyDescent="0.3">
      <c r="A5888" t="s">
        <v>7977</v>
      </c>
      <c r="B5888" t="s">
        <v>40</v>
      </c>
      <c r="C5888">
        <v>0.09</v>
      </c>
    </row>
    <row r="5889" spans="1:3" x14ac:dyDescent="0.3">
      <c r="A5889" t="s">
        <v>7977</v>
      </c>
      <c r="B5889" t="s">
        <v>53</v>
      </c>
      <c r="C5889">
        <v>0.05</v>
      </c>
    </row>
    <row r="5890" spans="1:3" x14ac:dyDescent="0.3">
      <c r="A5890" t="s">
        <v>6917</v>
      </c>
      <c r="B5890" t="s">
        <v>40</v>
      </c>
      <c r="C5890">
        <v>0.08</v>
      </c>
    </row>
    <row r="5891" spans="1:3" x14ac:dyDescent="0.3">
      <c r="A5891" t="s">
        <v>14246</v>
      </c>
      <c r="B5891" t="s">
        <v>87</v>
      </c>
      <c r="C5891">
        <v>0.1</v>
      </c>
    </row>
    <row r="5892" spans="1:3" x14ac:dyDescent="0.3">
      <c r="A5892" t="s">
        <v>6208</v>
      </c>
      <c r="B5892" t="s">
        <v>53</v>
      </c>
      <c r="C5892">
        <v>0.01</v>
      </c>
    </row>
    <row r="5893" spans="1:3" x14ac:dyDescent="0.3">
      <c r="A5893" t="s">
        <v>6208</v>
      </c>
      <c r="B5893" t="s">
        <v>53</v>
      </c>
      <c r="C5893">
        <v>7.0000000000000007E-2</v>
      </c>
    </row>
    <row r="5894" spans="1:3" x14ac:dyDescent="0.3">
      <c r="A5894" t="s">
        <v>14342</v>
      </c>
      <c r="B5894" t="s">
        <v>87</v>
      </c>
      <c r="C5894">
        <v>0.03</v>
      </c>
    </row>
    <row r="5895" spans="1:3" x14ac:dyDescent="0.3">
      <c r="A5895" t="s">
        <v>8212</v>
      </c>
      <c r="B5895" t="s">
        <v>40</v>
      </c>
      <c r="C5895">
        <v>0.1</v>
      </c>
    </row>
    <row r="5896" spans="1:3" x14ac:dyDescent="0.3">
      <c r="A5896" t="s">
        <v>9445</v>
      </c>
      <c r="B5896" t="s">
        <v>53</v>
      </c>
      <c r="C5896">
        <v>0.05</v>
      </c>
    </row>
    <row r="5897" spans="1:3" x14ac:dyDescent="0.3">
      <c r="A5897" t="s">
        <v>14916</v>
      </c>
      <c r="B5897" t="s">
        <v>87</v>
      </c>
      <c r="C5897">
        <v>0.08</v>
      </c>
    </row>
    <row r="5898" spans="1:3" x14ac:dyDescent="0.3">
      <c r="A5898" t="s">
        <v>6923</v>
      </c>
      <c r="B5898" t="s">
        <v>87</v>
      </c>
      <c r="C5898">
        <v>0.01</v>
      </c>
    </row>
    <row r="5899" spans="1:3" x14ac:dyDescent="0.3">
      <c r="A5899" t="s">
        <v>10980</v>
      </c>
      <c r="B5899" t="s">
        <v>40</v>
      </c>
      <c r="C5899">
        <v>0.1</v>
      </c>
    </row>
    <row r="5900" spans="1:3" x14ac:dyDescent="0.3">
      <c r="A5900" t="s">
        <v>10980</v>
      </c>
      <c r="B5900" t="s">
        <v>87</v>
      </c>
      <c r="C5900">
        <v>0.01</v>
      </c>
    </row>
    <row r="5901" spans="1:3" x14ac:dyDescent="0.3">
      <c r="A5901" t="s">
        <v>6296</v>
      </c>
      <c r="B5901" t="s">
        <v>53</v>
      </c>
      <c r="C5901">
        <v>0.03</v>
      </c>
    </row>
    <row r="5902" spans="1:3" x14ac:dyDescent="0.3">
      <c r="A5902" t="s">
        <v>12885</v>
      </c>
      <c r="B5902" t="s">
        <v>29</v>
      </c>
      <c r="C5902">
        <v>7.0000000000000007E-2</v>
      </c>
    </row>
    <row r="5903" spans="1:3" x14ac:dyDescent="0.3">
      <c r="A5903" t="s">
        <v>12102</v>
      </c>
      <c r="B5903" t="s">
        <v>225</v>
      </c>
      <c r="C5903">
        <v>0.03</v>
      </c>
    </row>
    <row r="5904" spans="1:3" x14ac:dyDescent="0.3">
      <c r="A5904" t="s">
        <v>12102</v>
      </c>
      <c r="B5904" t="s">
        <v>225</v>
      </c>
      <c r="C5904">
        <v>0.08</v>
      </c>
    </row>
    <row r="5905" spans="1:3" x14ac:dyDescent="0.3">
      <c r="A5905" t="s">
        <v>12102</v>
      </c>
      <c r="B5905" t="s">
        <v>87</v>
      </c>
      <c r="C5905">
        <v>0.01</v>
      </c>
    </row>
    <row r="5906" spans="1:3" x14ac:dyDescent="0.3">
      <c r="A5906" t="s">
        <v>6309</v>
      </c>
      <c r="B5906" t="s">
        <v>53</v>
      </c>
      <c r="C5906">
        <v>0.03</v>
      </c>
    </row>
    <row r="5907" spans="1:3" x14ac:dyDescent="0.3">
      <c r="A5907" t="s">
        <v>6309</v>
      </c>
      <c r="B5907" t="s">
        <v>53</v>
      </c>
      <c r="C5907">
        <v>7.0000000000000007E-2</v>
      </c>
    </row>
    <row r="5908" spans="1:3" x14ac:dyDescent="0.3">
      <c r="A5908" t="s">
        <v>14037</v>
      </c>
      <c r="B5908" t="s">
        <v>40</v>
      </c>
      <c r="C5908">
        <v>0.01</v>
      </c>
    </row>
    <row r="5909" spans="1:3" x14ac:dyDescent="0.3">
      <c r="A5909" t="s">
        <v>14851</v>
      </c>
      <c r="B5909" t="s">
        <v>64</v>
      </c>
      <c r="C5909">
        <v>0.03</v>
      </c>
    </row>
    <row r="5910" spans="1:3" x14ac:dyDescent="0.3">
      <c r="A5910" t="s">
        <v>14851</v>
      </c>
      <c r="B5910" t="s">
        <v>53</v>
      </c>
      <c r="C5910">
        <v>0.05</v>
      </c>
    </row>
    <row r="5911" spans="1:3" x14ac:dyDescent="0.3">
      <c r="A5911" t="s">
        <v>6334</v>
      </c>
      <c r="B5911" t="s">
        <v>40</v>
      </c>
      <c r="C5911">
        <v>0.09</v>
      </c>
    </row>
    <row r="5912" spans="1:3" x14ac:dyDescent="0.3">
      <c r="A5912" t="s">
        <v>6334</v>
      </c>
      <c r="B5912" t="s">
        <v>64</v>
      </c>
      <c r="C5912">
        <v>0.08</v>
      </c>
    </row>
    <row r="5913" spans="1:3" x14ac:dyDescent="0.3">
      <c r="A5913" t="s">
        <v>9444</v>
      </c>
      <c r="B5913" t="s">
        <v>40</v>
      </c>
      <c r="C5913">
        <v>0.06</v>
      </c>
    </row>
    <row r="5914" spans="1:3" x14ac:dyDescent="0.3">
      <c r="A5914" t="s">
        <v>14146</v>
      </c>
      <c r="B5914" t="s">
        <v>64</v>
      </c>
      <c r="C5914">
        <v>0.09</v>
      </c>
    </row>
    <row r="5915" spans="1:3" x14ac:dyDescent="0.3">
      <c r="A5915" t="s">
        <v>14668</v>
      </c>
      <c r="B5915" t="s">
        <v>53</v>
      </c>
      <c r="C5915">
        <v>0</v>
      </c>
    </row>
    <row r="5916" spans="1:3" x14ac:dyDescent="0.3">
      <c r="A5916" t="s">
        <v>15569</v>
      </c>
      <c r="B5916" t="s">
        <v>64</v>
      </c>
      <c r="C5916">
        <v>0.01</v>
      </c>
    </row>
    <row r="5917" spans="1:3" x14ac:dyDescent="0.3">
      <c r="A5917" t="s">
        <v>15569</v>
      </c>
      <c r="B5917" t="s">
        <v>64</v>
      </c>
      <c r="C5917">
        <v>0.09</v>
      </c>
    </row>
    <row r="5918" spans="1:3" x14ac:dyDescent="0.3">
      <c r="A5918" t="s">
        <v>15569</v>
      </c>
      <c r="B5918" t="s">
        <v>29</v>
      </c>
      <c r="C5918">
        <v>0.06</v>
      </c>
    </row>
    <row r="5919" spans="1:3" x14ac:dyDescent="0.3">
      <c r="A5919" t="s">
        <v>15569</v>
      </c>
      <c r="B5919" t="s">
        <v>29</v>
      </c>
      <c r="C5919">
        <v>0.09</v>
      </c>
    </row>
    <row r="5920" spans="1:3" x14ac:dyDescent="0.3">
      <c r="A5920" t="s">
        <v>10113</v>
      </c>
      <c r="B5920" t="s">
        <v>64</v>
      </c>
      <c r="C5920">
        <v>0.02</v>
      </c>
    </row>
    <row r="5921" spans="1:3" x14ac:dyDescent="0.3">
      <c r="A5921" t="s">
        <v>11121</v>
      </c>
      <c r="B5921" t="s">
        <v>29</v>
      </c>
      <c r="C5921">
        <v>0.01</v>
      </c>
    </row>
    <row r="5922" spans="1:3" x14ac:dyDescent="0.3">
      <c r="A5922" t="s">
        <v>11121</v>
      </c>
      <c r="B5922" t="s">
        <v>29</v>
      </c>
      <c r="C5922">
        <v>0.08</v>
      </c>
    </row>
    <row r="5923" spans="1:3" x14ac:dyDescent="0.3">
      <c r="A5923" t="s">
        <v>6549</v>
      </c>
      <c r="B5923" t="s">
        <v>53</v>
      </c>
      <c r="C5923">
        <v>0.01</v>
      </c>
    </row>
    <row r="5924" spans="1:3" x14ac:dyDescent="0.3">
      <c r="A5924" t="s">
        <v>6549</v>
      </c>
      <c r="B5924" t="s">
        <v>53</v>
      </c>
      <c r="C5924">
        <v>0.04</v>
      </c>
    </row>
    <row r="5925" spans="1:3" x14ac:dyDescent="0.3">
      <c r="A5925" t="s">
        <v>6549</v>
      </c>
      <c r="B5925" t="s">
        <v>53</v>
      </c>
      <c r="C5925">
        <v>0.09</v>
      </c>
    </row>
    <row r="5926" spans="1:3" x14ac:dyDescent="0.3">
      <c r="A5926" t="s">
        <v>10998</v>
      </c>
      <c r="B5926" t="s">
        <v>40</v>
      </c>
      <c r="C5926">
        <v>0.04</v>
      </c>
    </row>
    <row r="5927" spans="1:3" x14ac:dyDescent="0.3">
      <c r="A5927" t="s">
        <v>8417</v>
      </c>
      <c r="B5927" t="s">
        <v>87</v>
      </c>
      <c r="C5927">
        <v>0.02</v>
      </c>
    </row>
    <row r="5928" spans="1:3" x14ac:dyDescent="0.3">
      <c r="A5928" t="s">
        <v>8417</v>
      </c>
      <c r="B5928" t="s">
        <v>87</v>
      </c>
      <c r="C5928">
        <v>0.05</v>
      </c>
    </row>
    <row r="5929" spans="1:3" x14ac:dyDescent="0.3">
      <c r="A5929" t="s">
        <v>6566</v>
      </c>
      <c r="B5929" t="s">
        <v>29</v>
      </c>
      <c r="C5929">
        <v>0.04</v>
      </c>
    </row>
    <row r="5930" spans="1:3" x14ac:dyDescent="0.3">
      <c r="A5930" t="s">
        <v>6566</v>
      </c>
      <c r="B5930" t="s">
        <v>87</v>
      </c>
      <c r="C5930">
        <v>7.0000000000000007E-2</v>
      </c>
    </row>
    <row r="5931" spans="1:3" x14ac:dyDescent="0.3">
      <c r="A5931" t="s">
        <v>13932</v>
      </c>
      <c r="B5931" t="s">
        <v>29</v>
      </c>
      <c r="C5931">
        <v>0.06</v>
      </c>
    </row>
    <row r="5932" spans="1:3" x14ac:dyDescent="0.3">
      <c r="A5932" t="s">
        <v>9974</v>
      </c>
      <c r="B5932" t="s">
        <v>29</v>
      </c>
      <c r="C5932">
        <v>0.02</v>
      </c>
    </row>
    <row r="5933" spans="1:3" x14ac:dyDescent="0.3">
      <c r="A5933" t="s">
        <v>14904</v>
      </c>
      <c r="B5933" t="s">
        <v>87</v>
      </c>
      <c r="C5933">
        <v>0.02</v>
      </c>
    </row>
    <row r="5934" spans="1:3" x14ac:dyDescent="0.3">
      <c r="A5934" t="s">
        <v>6617</v>
      </c>
      <c r="B5934" t="s">
        <v>53</v>
      </c>
      <c r="C5934">
        <v>0.01</v>
      </c>
    </row>
    <row r="5935" spans="1:3" x14ac:dyDescent="0.3">
      <c r="A5935" t="s">
        <v>6848</v>
      </c>
      <c r="B5935" t="s">
        <v>64</v>
      </c>
      <c r="C5935">
        <v>0.05</v>
      </c>
    </row>
    <row r="5936" spans="1:3" x14ac:dyDescent="0.3">
      <c r="A5936" t="s">
        <v>6640</v>
      </c>
      <c r="B5936" t="s">
        <v>53</v>
      </c>
      <c r="C5936">
        <v>0.09</v>
      </c>
    </row>
    <row r="5937" spans="1:3" x14ac:dyDescent="0.3">
      <c r="A5937" t="s">
        <v>7733</v>
      </c>
      <c r="B5937" t="s">
        <v>29</v>
      </c>
      <c r="C5937">
        <v>7.0000000000000007E-2</v>
      </c>
    </row>
    <row r="5938" spans="1:3" x14ac:dyDescent="0.3">
      <c r="A5938" t="s">
        <v>7733</v>
      </c>
      <c r="B5938" t="s">
        <v>29</v>
      </c>
      <c r="C5938">
        <v>0.08</v>
      </c>
    </row>
    <row r="5939" spans="1:3" x14ac:dyDescent="0.3">
      <c r="A5939" t="s">
        <v>14580</v>
      </c>
      <c r="B5939" t="s">
        <v>29</v>
      </c>
      <c r="C5939">
        <v>0.01</v>
      </c>
    </row>
    <row r="5940" spans="1:3" x14ac:dyDescent="0.3">
      <c r="A5940" t="s">
        <v>14580</v>
      </c>
      <c r="B5940" t="s">
        <v>53</v>
      </c>
      <c r="C5940">
        <v>0.03</v>
      </c>
    </row>
    <row r="5941" spans="1:3" x14ac:dyDescent="0.3">
      <c r="A5941" t="s">
        <v>14580</v>
      </c>
      <c r="B5941" t="s">
        <v>53</v>
      </c>
      <c r="C5941">
        <v>0.09</v>
      </c>
    </row>
    <row r="5942" spans="1:3" x14ac:dyDescent="0.3">
      <c r="A5942" t="s">
        <v>13199</v>
      </c>
      <c r="B5942" t="s">
        <v>40</v>
      </c>
      <c r="C5942">
        <v>0.03</v>
      </c>
    </row>
    <row r="5943" spans="1:3" x14ac:dyDescent="0.3">
      <c r="A5943" t="s">
        <v>14797</v>
      </c>
      <c r="B5943" t="s">
        <v>29</v>
      </c>
      <c r="C5943">
        <v>0.09</v>
      </c>
    </row>
    <row r="5944" spans="1:3" x14ac:dyDescent="0.3">
      <c r="A5944" t="s">
        <v>6691</v>
      </c>
      <c r="B5944" t="s">
        <v>29</v>
      </c>
      <c r="C5944">
        <v>0.01</v>
      </c>
    </row>
    <row r="5945" spans="1:3" x14ac:dyDescent="0.3">
      <c r="A5945" t="s">
        <v>6717</v>
      </c>
      <c r="B5945" t="s">
        <v>64</v>
      </c>
      <c r="C5945">
        <v>0.01</v>
      </c>
    </row>
    <row r="5946" spans="1:3" x14ac:dyDescent="0.3">
      <c r="A5946" t="s">
        <v>6717</v>
      </c>
      <c r="B5946" t="s">
        <v>64</v>
      </c>
      <c r="C5946">
        <v>0.02</v>
      </c>
    </row>
    <row r="5947" spans="1:3" x14ac:dyDescent="0.3">
      <c r="A5947" t="s">
        <v>9120</v>
      </c>
      <c r="B5947" t="s">
        <v>87</v>
      </c>
      <c r="C5947">
        <v>0.08</v>
      </c>
    </row>
    <row r="5948" spans="1:3" x14ac:dyDescent="0.3">
      <c r="A5948" t="s">
        <v>9120</v>
      </c>
      <c r="B5948" t="s">
        <v>87</v>
      </c>
      <c r="C5948">
        <v>0.1</v>
      </c>
    </row>
    <row r="5949" spans="1:3" x14ac:dyDescent="0.3">
      <c r="A5949" t="s">
        <v>7111</v>
      </c>
      <c r="B5949" t="s">
        <v>40</v>
      </c>
      <c r="C5949">
        <v>0</v>
      </c>
    </row>
    <row r="5950" spans="1:3" x14ac:dyDescent="0.3">
      <c r="A5950" t="s">
        <v>12188</v>
      </c>
      <c r="B5950" t="s">
        <v>40</v>
      </c>
      <c r="C5950">
        <v>0</v>
      </c>
    </row>
    <row r="5951" spans="1:3" x14ac:dyDescent="0.3">
      <c r="A5951" t="s">
        <v>6734</v>
      </c>
      <c r="B5951" t="s">
        <v>87</v>
      </c>
      <c r="C5951">
        <v>0</v>
      </c>
    </row>
    <row r="5952" spans="1:3" x14ac:dyDescent="0.3">
      <c r="A5952" t="s">
        <v>6734</v>
      </c>
      <c r="B5952" t="s">
        <v>87</v>
      </c>
      <c r="C5952">
        <v>0.08</v>
      </c>
    </row>
    <row r="5953" spans="1:3" x14ac:dyDescent="0.3">
      <c r="A5953" t="s">
        <v>9077</v>
      </c>
      <c r="B5953" t="s">
        <v>64</v>
      </c>
      <c r="C5953">
        <v>0.03</v>
      </c>
    </row>
    <row r="5954" spans="1:3" x14ac:dyDescent="0.3">
      <c r="A5954" t="s">
        <v>6891</v>
      </c>
      <c r="B5954" t="s">
        <v>40</v>
      </c>
      <c r="C5954">
        <v>0.01</v>
      </c>
    </row>
    <row r="5955" spans="1:3" x14ac:dyDescent="0.3">
      <c r="A5955" t="s">
        <v>6891</v>
      </c>
      <c r="B5955" t="s">
        <v>40</v>
      </c>
      <c r="C5955">
        <v>0.06</v>
      </c>
    </row>
    <row r="5956" spans="1:3" x14ac:dyDescent="0.3">
      <c r="A5956" t="s">
        <v>6891</v>
      </c>
      <c r="B5956" t="s">
        <v>225</v>
      </c>
      <c r="C5956">
        <v>0.05</v>
      </c>
    </row>
    <row r="5957" spans="1:3" x14ac:dyDescent="0.3">
      <c r="A5957" t="s">
        <v>9206</v>
      </c>
      <c r="B5957" t="s">
        <v>53</v>
      </c>
      <c r="C5957">
        <v>0.08</v>
      </c>
    </row>
    <row r="5958" spans="1:3" x14ac:dyDescent="0.3">
      <c r="A5958" t="s">
        <v>9206</v>
      </c>
      <c r="B5958" t="s">
        <v>87</v>
      </c>
      <c r="C5958">
        <v>0.05</v>
      </c>
    </row>
    <row r="5959" spans="1:3" x14ac:dyDescent="0.3">
      <c r="A5959" t="s">
        <v>14569</v>
      </c>
      <c r="B5959" t="s">
        <v>87</v>
      </c>
      <c r="C5959">
        <v>0.05</v>
      </c>
    </row>
    <row r="5960" spans="1:3" x14ac:dyDescent="0.3">
      <c r="A5960" t="s">
        <v>14569</v>
      </c>
      <c r="B5960" t="s">
        <v>87</v>
      </c>
      <c r="C5960">
        <v>0.09</v>
      </c>
    </row>
    <row r="5961" spans="1:3" x14ac:dyDescent="0.3">
      <c r="A5961" t="s">
        <v>11792</v>
      </c>
      <c r="B5961" t="s">
        <v>53</v>
      </c>
      <c r="C5961">
        <v>0.09</v>
      </c>
    </row>
    <row r="5962" spans="1:3" x14ac:dyDescent="0.3">
      <c r="A5962" t="s">
        <v>6951</v>
      </c>
      <c r="B5962" t="s">
        <v>87</v>
      </c>
      <c r="C5962">
        <v>0.08</v>
      </c>
    </row>
    <row r="5963" spans="1:3" x14ac:dyDescent="0.3">
      <c r="A5963" t="s">
        <v>6951</v>
      </c>
      <c r="B5963" t="s">
        <v>87</v>
      </c>
      <c r="C5963">
        <v>0.1</v>
      </c>
    </row>
    <row r="5964" spans="1:3" x14ac:dyDescent="0.3">
      <c r="A5964" t="s">
        <v>15386</v>
      </c>
      <c r="B5964" t="s">
        <v>87</v>
      </c>
      <c r="C5964">
        <v>0.05</v>
      </c>
    </row>
    <row r="5965" spans="1:3" x14ac:dyDescent="0.3">
      <c r="A5965" t="s">
        <v>11493</v>
      </c>
      <c r="B5965" t="s">
        <v>29</v>
      </c>
      <c r="C5965">
        <v>0.01</v>
      </c>
    </row>
    <row r="5966" spans="1:3" x14ac:dyDescent="0.3">
      <c r="A5966" t="s">
        <v>7054</v>
      </c>
      <c r="B5966" t="s">
        <v>53</v>
      </c>
      <c r="C5966">
        <v>0.01</v>
      </c>
    </row>
    <row r="5967" spans="1:3" x14ac:dyDescent="0.3">
      <c r="A5967" t="s">
        <v>7054</v>
      </c>
      <c r="B5967" t="s">
        <v>53</v>
      </c>
      <c r="C5967">
        <v>7.0000000000000007E-2</v>
      </c>
    </row>
    <row r="5968" spans="1:3" x14ac:dyDescent="0.3">
      <c r="A5968" t="s">
        <v>12372</v>
      </c>
      <c r="B5968" t="s">
        <v>53</v>
      </c>
      <c r="C5968">
        <v>0.1</v>
      </c>
    </row>
    <row r="5969" spans="1:3" x14ac:dyDescent="0.3">
      <c r="A5969" t="s">
        <v>15264</v>
      </c>
      <c r="B5969" t="s">
        <v>29</v>
      </c>
      <c r="C5969">
        <v>0.01</v>
      </c>
    </row>
    <row r="5970" spans="1:3" x14ac:dyDescent="0.3">
      <c r="A5970" t="s">
        <v>11943</v>
      </c>
      <c r="B5970" t="s">
        <v>87</v>
      </c>
      <c r="C5970">
        <v>0.05</v>
      </c>
    </row>
    <row r="5971" spans="1:3" x14ac:dyDescent="0.3">
      <c r="A5971" t="s">
        <v>8993</v>
      </c>
      <c r="B5971" t="s">
        <v>64</v>
      </c>
      <c r="C5971">
        <v>0.04</v>
      </c>
    </row>
    <row r="5972" spans="1:3" x14ac:dyDescent="0.3">
      <c r="A5972" t="s">
        <v>10991</v>
      </c>
      <c r="B5972" t="s">
        <v>29</v>
      </c>
      <c r="C5972">
        <v>0.05</v>
      </c>
    </row>
    <row r="5973" spans="1:3" x14ac:dyDescent="0.3">
      <c r="A5973" t="s">
        <v>14187</v>
      </c>
      <c r="B5973" t="s">
        <v>225</v>
      </c>
      <c r="C5973">
        <v>0.06</v>
      </c>
    </row>
    <row r="5974" spans="1:3" x14ac:dyDescent="0.3">
      <c r="A5974" t="s">
        <v>14726</v>
      </c>
      <c r="B5974" t="s">
        <v>225</v>
      </c>
      <c r="C5974">
        <v>0.02</v>
      </c>
    </row>
    <row r="5975" spans="1:3" x14ac:dyDescent="0.3">
      <c r="A5975" t="s">
        <v>14726</v>
      </c>
      <c r="B5975" t="s">
        <v>53</v>
      </c>
      <c r="C5975">
        <v>0.01</v>
      </c>
    </row>
    <row r="5976" spans="1:3" x14ac:dyDescent="0.3">
      <c r="A5976" t="s">
        <v>14726</v>
      </c>
      <c r="B5976" t="s">
        <v>53</v>
      </c>
      <c r="C5976">
        <v>0.08</v>
      </c>
    </row>
    <row r="5977" spans="1:3" x14ac:dyDescent="0.3">
      <c r="A5977" t="s">
        <v>10361</v>
      </c>
      <c r="B5977" t="s">
        <v>40</v>
      </c>
      <c r="C5977">
        <v>0.02</v>
      </c>
    </row>
    <row r="5978" spans="1:3" x14ac:dyDescent="0.3">
      <c r="A5978" t="s">
        <v>10361</v>
      </c>
      <c r="B5978" t="s">
        <v>53</v>
      </c>
      <c r="C5978">
        <v>0.06</v>
      </c>
    </row>
    <row r="5979" spans="1:3" x14ac:dyDescent="0.3">
      <c r="A5979" t="s">
        <v>7274</v>
      </c>
      <c r="B5979" t="s">
        <v>53</v>
      </c>
      <c r="C5979">
        <v>0</v>
      </c>
    </row>
    <row r="5980" spans="1:3" x14ac:dyDescent="0.3">
      <c r="A5980" t="s">
        <v>7274</v>
      </c>
      <c r="B5980" t="s">
        <v>53</v>
      </c>
      <c r="C5980">
        <v>0.1</v>
      </c>
    </row>
    <row r="5981" spans="1:3" x14ac:dyDescent="0.3">
      <c r="A5981" t="s">
        <v>7975</v>
      </c>
      <c r="B5981" t="s">
        <v>53</v>
      </c>
      <c r="C5981">
        <v>0.02</v>
      </c>
    </row>
    <row r="5982" spans="1:3" x14ac:dyDescent="0.3">
      <c r="A5982" t="s">
        <v>7975</v>
      </c>
      <c r="B5982" t="s">
        <v>53</v>
      </c>
      <c r="C5982">
        <v>0.09</v>
      </c>
    </row>
    <row r="5983" spans="1:3" x14ac:dyDescent="0.3">
      <c r="A5983" t="s">
        <v>13380</v>
      </c>
      <c r="B5983" t="s">
        <v>64</v>
      </c>
      <c r="C5983">
        <v>0.01</v>
      </c>
    </row>
    <row r="5984" spans="1:3" x14ac:dyDescent="0.3">
      <c r="A5984" t="s">
        <v>13380</v>
      </c>
      <c r="B5984" t="s">
        <v>64</v>
      </c>
      <c r="C5984">
        <v>0.05</v>
      </c>
    </row>
    <row r="5985" spans="1:3" x14ac:dyDescent="0.3">
      <c r="A5985" t="s">
        <v>7244</v>
      </c>
      <c r="B5985" t="s">
        <v>87</v>
      </c>
      <c r="C5985">
        <v>0</v>
      </c>
    </row>
    <row r="5986" spans="1:3" x14ac:dyDescent="0.3">
      <c r="A5986" t="s">
        <v>13532</v>
      </c>
      <c r="B5986" t="s">
        <v>29</v>
      </c>
      <c r="C5986">
        <v>0.06</v>
      </c>
    </row>
    <row r="5987" spans="1:3" x14ac:dyDescent="0.3">
      <c r="A5987" t="s">
        <v>12133</v>
      </c>
      <c r="B5987" t="s">
        <v>53</v>
      </c>
      <c r="C5987">
        <v>0</v>
      </c>
    </row>
    <row r="5988" spans="1:3" x14ac:dyDescent="0.3">
      <c r="A5988" t="s">
        <v>12133</v>
      </c>
      <c r="B5988" t="s">
        <v>53</v>
      </c>
      <c r="C5988">
        <v>0.04</v>
      </c>
    </row>
    <row r="5989" spans="1:3" x14ac:dyDescent="0.3">
      <c r="A5989" t="s">
        <v>12133</v>
      </c>
      <c r="B5989" t="s">
        <v>53</v>
      </c>
      <c r="C5989">
        <v>0.09</v>
      </c>
    </row>
    <row r="5990" spans="1:3" x14ac:dyDescent="0.3">
      <c r="A5990" t="s">
        <v>12133</v>
      </c>
      <c r="B5990" t="s">
        <v>53</v>
      </c>
      <c r="C5990">
        <v>0.1</v>
      </c>
    </row>
    <row r="5991" spans="1:3" x14ac:dyDescent="0.3">
      <c r="A5991" t="s">
        <v>14877</v>
      </c>
      <c r="B5991" t="s">
        <v>64</v>
      </c>
      <c r="C5991">
        <v>7.0000000000000007E-2</v>
      </c>
    </row>
    <row r="5992" spans="1:3" x14ac:dyDescent="0.3">
      <c r="A5992" t="s">
        <v>12318</v>
      </c>
      <c r="B5992" t="s">
        <v>64</v>
      </c>
      <c r="C5992">
        <v>0.09</v>
      </c>
    </row>
    <row r="5993" spans="1:3" x14ac:dyDescent="0.3">
      <c r="A5993" t="s">
        <v>12116</v>
      </c>
      <c r="B5993" t="s">
        <v>40</v>
      </c>
      <c r="C5993">
        <v>0</v>
      </c>
    </row>
    <row r="5994" spans="1:3" x14ac:dyDescent="0.3">
      <c r="A5994" t="s">
        <v>13282</v>
      </c>
      <c r="B5994" t="s">
        <v>40</v>
      </c>
      <c r="C5994">
        <v>0.09</v>
      </c>
    </row>
    <row r="5995" spans="1:3" x14ac:dyDescent="0.3">
      <c r="A5995" t="s">
        <v>13282</v>
      </c>
      <c r="B5995" t="s">
        <v>40</v>
      </c>
      <c r="C5995">
        <v>0.1</v>
      </c>
    </row>
    <row r="5996" spans="1:3" x14ac:dyDescent="0.3">
      <c r="A5996" t="s">
        <v>7435</v>
      </c>
      <c r="B5996" t="s">
        <v>29</v>
      </c>
      <c r="C5996">
        <v>0.04</v>
      </c>
    </row>
    <row r="5997" spans="1:3" x14ac:dyDescent="0.3">
      <c r="A5997" t="s">
        <v>8124</v>
      </c>
      <c r="B5997" t="s">
        <v>225</v>
      </c>
      <c r="C5997">
        <v>0.01</v>
      </c>
    </row>
    <row r="5998" spans="1:3" x14ac:dyDescent="0.3">
      <c r="A5998" t="s">
        <v>8124</v>
      </c>
      <c r="B5998" t="s">
        <v>29</v>
      </c>
      <c r="C5998">
        <v>0.06</v>
      </c>
    </row>
    <row r="5999" spans="1:3" x14ac:dyDescent="0.3">
      <c r="A5999" t="s">
        <v>15408</v>
      </c>
      <c r="B5999" t="s">
        <v>87</v>
      </c>
      <c r="C5999">
        <v>7.0000000000000007E-2</v>
      </c>
    </row>
    <row r="6000" spans="1:3" x14ac:dyDescent="0.3">
      <c r="A6000" t="s">
        <v>8975</v>
      </c>
      <c r="B6000" t="s">
        <v>40</v>
      </c>
      <c r="C6000">
        <v>0.03</v>
      </c>
    </row>
    <row r="6001" spans="1:3" x14ac:dyDescent="0.3">
      <c r="A6001" t="s">
        <v>7482</v>
      </c>
      <c r="B6001" t="s">
        <v>53</v>
      </c>
      <c r="C6001">
        <v>0.04</v>
      </c>
    </row>
    <row r="6002" spans="1:3" x14ac:dyDescent="0.3">
      <c r="A6002" t="s">
        <v>10327</v>
      </c>
      <c r="B6002" t="s">
        <v>53</v>
      </c>
      <c r="C6002">
        <v>0.05</v>
      </c>
    </row>
    <row r="6003" spans="1:3" x14ac:dyDescent="0.3">
      <c r="A6003" t="s">
        <v>12565</v>
      </c>
      <c r="B6003" t="s">
        <v>40</v>
      </c>
      <c r="C6003">
        <v>0</v>
      </c>
    </row>
    <row r="6004" spans="1:3" x14ac:dyDescent="0.3">
      <c r="A6004" t="s">
        <v>12565</v>
      </c>
      <c r="B6004" t="s">
        <v>40</v>
      </c>
      <c r="C6004">
        <v>0.08</v>
      </c>
    </row>
    <row r="6005" spans="1:3" x14ac:dyDescent="0.3">
      <c r="A6005" t="s">
        <v>10367</v>
      </c>
      <c r="B6005" t="s">
        <v>29</v>
      </c>
      <c r="C6005">
        <v>0.09</v>
      </c>
    </row>
    <row r="6006" spans="1:3" x14ac:dyDescent="0.3">
      <c r="A6006" t="s">
        <v>14885</v>
      </c>
      <c r="B6006" t="s">
        <v>40</v>
      </c>
      <c r="C6006">
        <v>7.0000000000000007E-2</v>
      </c>
    </row>
    <row r="6007" spans="1:3" x14ac:dyDescent="0.3">
      <c r="A6007" t="s">
        <v>12413</v>
      </c>
      <c r="B6007" t="s">
        <v>29</v>
      </c>
      <c r="C6007">
        <v>0.08</v>
      </c>
    </row>
    <row r="6008" spans="1:3" x14ac:dyDescent="0.3">
      <c r="A6008" t="s">
        <v>7519</v>
      </c>
      <c r="B6008" t="s">
        <v>40</v>
      </c>
      <c r="C6008">
        <v>0.01</v>
      </c>
    </row>
    <row r="6009" spans="1:3" x14ac:dyDescent="0.3">
      <c r="A6009" t="s">
        <v>7708</v>
      </c>
      <c r="B6009" t="s">
        <v>40</v>
      </c>
      <c r="C6009">
        <v>0.04</v>
      </c>
    </row>
    <row r="6010" spans="1:3" x14ac:dyDescent="0.3">
      <c r="A6010" t="s">
        <v>7708</v>
      </c>
      <c r="B6010" t="s">
        <v>40</v>
      </c>
      <c r="C6010">
        <v>0.08</v>
      </c>
    </row>
    <row r="6011" spans="1:3" x14ac:dyDescent="0.3">
      <c r="A6011" t="s">
        <v>7553</v>
      </c>
      <c r="B6011" t="s">
        <v>53</v>
      </c>
      <c r="C6011">
        <v>0.01</v>
      </c>
    </row>
    <row r="6012" spans="1:3" x14ac:dyDescent="0.3">
      <c r="A6012" t="s">
        <v>7553</v>
      </c>
      <c r="B6012" t="s">
        <v>53</v>
      </c>
      <c r="C6012">
        <v>7.0000000000000007E-2</v>
      </c>
    </row>
    <row r="6013" spans="1:3" x14ac:dyDescent="0.3">
      <c r="A6013" t="s">
        <v>11413</v>
      </c>
      <c r="B6013" t="s">
        <v>29</v>
      </c>
      <c r="C6013">
        <v>0.06</v>
      </c>
    </row>
    <row r="6014" spans="1:3" x14ac:dyDescent="0.3">
      <c r="A6014" t="s">
        <v>15781</v>
      </c>
      <c r="B6014" t="s">
        <v>29</v>
      </c>
      <c r="C6014">
        <v>0.05</v>
      </c>
    </row>
    <row r="6015" spans="1:3" x14ac:dyDescent="0.3">
      <c r="A6015" t="s">
        <v>7602</v>
      </c>
      <c r="B6015" t="s">
        <v>53</v>
      </c>
      <c r="C6015">
        <v>0.09</v>
      </c>
    </row>
    <row r="6016" spans="1:3" x14ac:dyDescent="0.3">
      <c r="A6016" t="s">
        <v>12358</v>
      </c>
      <c r="B6016" t="s">
        <v>225</v>
      </c>
      <c r="C6016">
        <v>0.01</v>
      </c>
    </row>
    <row r="6017" spans="1:3" x14ac:dyDescent="0.3">
      <c r="A6017" t="s">
        <v>12358</v>
      </c>
      <c r="B6017" t="s">
        <v>225</v>
      </c>
      <c r="C6017">
        <v>7.0000000000000007E-2</v>
      </c>
    </row>
    <row r="6018" spans="1:3" x14ac:dyDescent="0.3">
      <c r="A6018" t="s">
        <v>9644</v>
      </c>
      <c r="B6018" t="s">
        <v>53</v>
      </c>
      <c r="C6018">
        <v>0.04</v>
      </c>
    </row>
    <row r="6019" spans="1:3" x14ac:dyDescent="0.3">
      <c r="A6019" t="s">
        <v>9644</v>
      </c>
      <c r="B6019" t="s">
        <v>53</v>
      </c>
      <c r="C6019">
        <v>0.06</v>
      </c>
    </row>
    <row r="6020" spans="1:3" x14ac:dyDescent="0.3">
      <c r="A6020" t="s">
        <v>10899</v>
      </c>
      <c r="B6020" t="s">
        <v>53</v>
      </c>
      <c r="C6020">
        <v>0.02</v>
      </c>
    </row>
    <row r="6021" spans="1:3" x14ac:dyDescent="0.3">
      <c r="A6021" t="s">
        <v>10317</v>
      </c>
      <c r="B6021" t="s">
        <v>53</v>
      </c>
      <c r="C6021">
        <v>0.04</v>
      </c>
    </row>
    <row r="6022" spans="1:3" x14ac:dyDescent="0.3">
      <c r="A6022" t="s">
        <v>10317</v>
      </c>
      <c r="B6022" t="s">
        <v>53</v>
      </c>
      <c r="C6022">
        <v>0.08</v>
      </c>
    </row>
    <row r="6023" spans="1:3" x14ac:dyDescent="0.3">
      <c r="A6023" t="s">
        <v>7608</v>
      </c>
      <c r="B6023" t="s">
        <v>40</v>
      </c>
      <c r="C6023">
        <v>0.1</v>
      </c>
    </row>
    <row r="6024" spans="1:3" x14ac:dyDescent="0.3">
      <c r="A6024" t="s">
        <v>15670</v>
      </c>
      <c r="B6024" t="s">
        <v>40</v>
      </c>
      <c r="C6024">
        <v>0.05</v>
      </c>
    </row>
    <row r="6025" spans="1:3" x14ac:dyDescent="0.3">
      <c r="A6025" t="s">
        <v>7644</v>
      </c>
      <c r="B6025" t="s">
        <v>40</v>
      </c>
      <c r="C6025">
        <v>0.08</v>
      </c>
    </row>
    <row r="6026" spans="1:3" x14ac:dyDescent="0.3">
      <c r="A6026" t="s">
        <v>14800</v>
      </c>
      <c r="B6026" t="s">
        <v>53</v>
      </c>
      <c r="C6026">
        <v>0.1</v>
      </c>
    </row>
    <row r="6027" spans="1:3" x14ac:dyDescent="0.3">
      <c r="A6027" t="s">
        <v>8768</v>
      </c>
      <c r="B6027" t="s">
        <v>64</v>
      </c>
      <c r="C6027">
        <v>0.06</v>
      </c>
    </row>
    <row r="6028" spans="1:3" x14ac:dyDescent="0.3">
      <c r="A6028" t="s">
        <v>14535</v>
      </c>
      <c r="B6028" t="s">
        <v>40</v>
      </c>
      <c r="C6028">
        <v>0.1</v>
      </c>
    </row>
    <row r="6029" spans="1:3" x14ac:dyDescent="0.3">
      <c r="A6029" t="s">
        <v>14535</v>
      </c>
      <c r="B6029" t="s">
        <v>225</v>
      </c>
      <c r="C6029">
        <v>0.1</v>
      </c>
    </row>
    <row r="6030" spans="1:3" x14ac:dyDescent="0.3">
      <c r="A6030" t="s">
        <v>8700</v>
      </c>
      <c r="B6030" t="s">
        <v>64</v>
      </c>
      <c r="C6030">
        <v>0.01</v>
      </c>
    </row>
    <row r="6031" spans="1:3" x14ac:dyDescent="0.3">
      <c r="A6031" t="s">
        <v>8700</v>
      </c>
      <c r="B6031" t="s">
        <v>64</v>
      </c>
      <c r="C6031">
        <v>0.04</v>
      </c>
    </row>
    <row r="6032" spans="1:3" x14ac:dyDescent="0.3">
      <c r="A6032" t="s">
        <v>14772</v>
      </c>
      <c r="B6032" t="s">
        <v>64</v>
      </c>
      <c r="C6032">
        <v>0.02</v>
      </c>
    </row>
    <row r="6033" spans="1:3" x14ac:dyDescent="0.3">
      <c r="A6033" t="s">
        <v>7720</v>
      </c>
      <c r="B6033" t="s">
        <v>225</v>
      </c>
      <c r="C6033">
        <v>0.02</v>
      </c>
    </row>
    <row r="6034" spans="1:3" x14ac:dyDescent="0.3">
      <c r="A6034" t="s">
        <v>9643</v>
      </c>
      <c r="B6034" t="s">
        <v>87</v>
      </c>
      <c r="C6034">
        <v>0.09</v>
      </c>
    </row>
    <row r="6035" spans="1:3" x14ac:dyDescent="0.3">
      <c r="A6035" t="s">
        <v>9643</v>
      </c>
      <c r="B6035" t="s">
        <v>87</v>
      </c>
      <c r="C6035">
        <v>0.1</v>
      </c>
    </row>
    <row r="6036" spans="1:3" x14ac:dyDescent="0.3">
      <c r="A6036" t="s">
        <v>14986</v>
      </c>
      <c r="B6036" t="s">
        <v>87</v>
      </c>
      <c r="C6036">
        <v>7.0000000000000007E-2</v>
      </c>
    </row>
    <row r="6037" spans="1:3" x14ac:dyDescent="0.3">
      <c r="A6037" t="s">
        <v>8688</v>
      </c>
      <c r="B6037" t="s">
        <v>87</v>
      </c>
      <c r="C6037">
        <v>0.05</v>
      </c>
    </row>
    <row r="6038" spans="1:3" x14ac:dyDescent="0.3">
      <c r="A6038" t="s">
        <v>8688</v>
      </c>
      <c r="B6038" t="s">
        <v>87</v>
      </c>
      <c r="C6038">
        <v>0.06</v>
      </c>
    </row>
    <row r="6039" spans="1:3" x14ac:dyDescent="0.3">
      <c r="A6039" t="s">
        <v>9708</v>
      </c>
      <c r="B6039" t="s">
        <v>87</v>
      </c>
      <c r="C6039">
        <v>0.03</v>
      </c>
    </row>
    <row r="6040" spans="1:3" x14ac:dyDescent="0.3">
      <c r="A6040" t="s">
        <v>9708</v>
      </c>
      <c r="B6040" t="s">
        <v>87</v>
      </c>
      <c r="C6040">
        <v>0.05</v>
      </c>
    </row>
    <row r="6041" spans="1:3" x14ac:dyDescent="0.3">
      <c r="A6041" t="s">
        <v>7886</v>
      </c>
      <c r="B6041" t="s">
        <v>64</v>
      </c>
      <c r="C6041">
        <v>0.04</v>
      </c>
    </row>
    <row r="6042" spans="1:3" x14ac:dyDescent="0.3">
      <c r="A6042" t="s">
        <v>12345</v>
      </c>
      <c r="B6042" t="s">
        <v>29</v>
      </c>
      <c r="C6042">
        <v>0</v>
      </c>
    </row>
    <row r="6043" spans="1:3" x14ac:dyDescent="0.3">
      <c r="A6043" t="s">
        <v>12345</v>
      </c>
      <c r="B6043" t="s">
        <v>29</v>
      </c>
      <c r="C6043">
        <v>0.08</v>
      </c>
    </row>
    <row r="6044" spans="1:3" x14ac:dyDescent="0.3">
      <c r="A6044" t="s">
        <v>7895</v>
      </c>
      <c r="B6044" t="s">
        <v>53</v>
      </c>
      <c r="C6044">
        <v>0.08</v>
      </c>
    </row>
    <row r="6045" spans="1:3" x14ac:dyDescent="0.3">
      <c r="A6045" t="s">
        <v>8017</v>
      </c>
      <c r="B6045" t="s">
        <v>64</v>
      </c>
      <c r="C6045">
        <v>0.04</v>
      </c>
    </row>
    <row r="6046" spans="1:3" x14ac:dyDescent="0.3">
      <c r="A6046" t="s">
        <v>8017</v>
      </c>
      <c r="B6046" t="s">
        <v>64</v>
      </c>
      <c r="C6046">
        <v>0.05</v>
      </c>
    </row>
    <row r="6047" spans="1:3" x14ac:dyDescent="0.3">
      <c r="A6047" t="s">
        <v>13048</v>
      </c>
      <c r="B6047" t="s">
        <v>87</v>
      </c>
      <c r="C6047">
        <v>0</v>
      </c>
    </row>
    <row r="6048" spans="1:3" x14ac:dyDescent="0.3">
      <c r="A6048" t="s">
        <v>12842</v>
      </c>
      <c r="B6048" t="s">
        <v>87</v>
      </c>
      <c r="C6048">
        <v>0.05</v>
      </c>
    </row>
    <row r="6049" spans="1:3" x14ac:dyDescent="0.3">
      <c r="A6049" t="s">
        <v>9166</v>
      </c>
      <c r="B6049" t="s">
        <v>87</v>
      </c>
      <c r="C6049">
        <v>0.08</v>
      </c>
    </row>
    <row r="6050" spans="1:3" x14ac:dyDescent="0.3">
      <c r="A6050" t="s">
        <v>9166</v>
      </c>
      <c r="B6050" t="s">
        <v>87</v>
      </c>
      <c r="C6050">
        <v>0.09</v>
      </c>
    </row>
    <row r="6051" spans="1:3" x14ac:dyDescent="0.3">
      <c r="A6051" t="s">
        <v>13726</v>
      </c>
      <c r="B6051" t="s">
        <v>87</v>
      </c>
      <c r="C6051">
        <v>0.05</v>
      </c>
    </row>
    <row r="6052" spans="1:3" x14ac:dyDescent="0.3">
      <c r="A6052" t="s">
        <v>8068</v>
      </c>
      <c r="B6052" t="s">
        <v>53</v>
      </c>
      <c r="C6052">
        <v>0.01</v>
      </c>
    </row>
    <row r="6053" spans="1:3" x14ac:dyDescent="0.3">
      <c r="A6053" t="s">
        <v>8068</v>
      </c>
      <c r="B6053" t="s">
        <v>53</v>
      </c>
      <c r="C6053">
        <v>0.02</v>
      </c>
    </row>
    <row r="6054" spans="1:3" x14ac:dyDescent="0.3">
      <c r="A6054" t="s">
        <v>8068</v>
      </c>
      <c r="B6054" t="s">
        <v>53</v>
      </c>
      <c r="C6054">
        <v>7.0000000000000007E-2</v>
      </c>
    </row>
    <row r="6055" spans="1:3" x14ac:dyDescent="0.3">
      <c r="A6055" t="s">
        <v>10902</v>
      </c>
      <c r="B6055" t="s">
        <v>40</v>
      </c>
      <c r="C6055">
        <v>0.02</v>
      </c>
    </row>
    <row r="6056" spans="1:3" x14ac:dyDescent="0.3">
      <c r="A6056" t="s">
        <v>10902</v>
      </c>
      <c r="B6056" t="s">
        <v>40</v>
      </c>
      <c r="C6056">
        <v>0.04</v>
      </c>
    </row>
    <row r="6057" spans="1:3" x14ac:dyDescent="0.3">
      <c r="A6057" t="s">
        <v>10902</v>
      </c>
      <c r="B6057" t="s">
        <v>40</v>
      </c>
      <c r="C6057">
        <v>0.08</v>
      </c>
    </row>
    <row r="6058" spans="1:3" x14ac:dyDescent="0.3">
      <c r="A6058" t="s">
        <v>14376</v>
      </c>
      <c r="B6058" t="s">
        <v>40</v>
      </c>
      <c r="C6058">
        <v>0.02</v>
      </c>
    </row>
    <row r="6059" spans="1:3" x14ac:dyDescent="0.3">
      <c r="A6059" t="s">
        <v>14376</v>
      </c>
      <c r="B6059" t="s">
        <v>40</v>
      </c>
      <c r="C6059">
        <v>0.03</v>
      </c>
    </row>
    <row r="6060" spans="1:3" x14ac:dyDescent="0.3">
      <c r="A6060" t="s">
        <v>14376</v>
      </c>
      <c r="B6060" t="s">
        <v>64</v>
      </c>
      <c r="C6060">
        <v>0</v>
      </c>
    </row>
    <row r="6061" spans="1:3" x14ac:dyDescent="0.3">
      <c r="A6061" t="s">
        <v>14376</v>
      </c>
      <c r="B6061" t="s">
        <v>29</v>
      </c>
      <c r="C6061">
        <v>0.1</v>
      </c>
    </row>
    <row r="6062" spans="1:3" x14ac:dyDescent="0.3">
      <c r="A6062" t="s">
        <v>8131</v>
      </c>
      <c r="B6062" t="s">
        <v>29</v>
      </c>
      <c r="C6062">
        <v>0.1</v>
      </c>
    </row>
    <row r="6063" spans="1:3" x14ac:dyDescent="0.3">
      <c r="A6063" t="s">
        <v>9258</v>
      </c>
      <c r="B6063" t="s">
        <v>29</v>
      </c>
      <c r="C6063">
        <v>0.08</v>
      </c>
    </row>
    <row r="6064" spans="1:3" x14ac:dyDescent="0.3">
      <c r="A6064" t="s">
        <v>8175</v>
      </c>
      <c r="B6064" t="s">
        <v>29</v>
      </c>
      <c r="C6064">
        <v>0.08</v>
      </c>
    </row>
    <row r="6065" spans="1:3" x14ac:dyDescent="0.3">
      <c r="A6065" t="s">
        <v>10842</v>
      </c>
      <c r="B6065" t="s">
        <v>53</v>
      </c>
      <c r="C6065">
        <v>0.03</v>
      </c>
    </row>
    <row r="6066" spans="1:3" x14ac:dyDescent="0.3">
      <c r="A6066" t="s">
        <v>12640</v>
      </c>
      <c r="B6066" t="s">
        <v>53</v>
      </c>
      <c r="C6066">
        <v>7.0000000000000007E-2</v>
      </c>
    </row>
    <row r="6067" spans="1:3" x14ac:dyDescent="0.3">
      <c r="A6067" t="s">
        <v>14135</v>
      </c>
      <c r="B6067" t="s">
        <v>87</v>
      </c>
      <c r="C6067">
        <v>0.05</v>
      </c>
    </row>
    <row r="6068" spans="1:3" x14ac:dyDescent="0.3">
      <c r="A6068" t="s">
        <v>15292</v>
      </c>
      <c r="B6068" t="s">
        <v>87</v>
      </c>
      <c r="C6068">
        <v>0.09</v>
      </c>
    </row>
    <row r="6069" spans="1:3" x14ac:dyDescent="0.3">
      <c r="A6069" t="s">
        <v>11678</v>
      </c>
      <c r="B6069" t="s">
        <v>29</v>
      </c>
      <c r="C6069">
        <v>0.01</v>
      </c>
    </row>
    <row r="6070" spans="1:3" x14ac:dyDescent="0.3">
      <c r="A6070" t="s">
        <v>11678</v>
      </c>
      <c r="B6070" t="s">
        <v>29</v>
      </c>
      <c r="C6070">
        <v>0.04</v>
      </c>
    </row>
    <row r="6071" spans="1:3" x14ac:dyDescent="0.3">
      <c r="A6071" t="s">
        <v>11096</v>
      </c>
      <c r="B6071" t="s">
        <v>225</v>
      </c>
      <c r="C6071">
        <v>0.01</v>
      </c>
    </row>
    <row r="6072" spans="1:3" x14ac:dyDescent="0.3">
      <c r="A6072" t="s">
        <v>11096</v>
      </c>
      <c r="B6072" t="s">
        <v>225</v>
      </c>
      <c r="C6072">
        <v>0.02</v>
      </c>
    </row>
    <row r="6073" spans="1:3" x14ac:dyDescent="0.3">
      <c r="A6073" t="s">
        <v>8367</v>
      </c>
      <c r="B6073" t="s">
        <v>225</v>
      </c>
      <c r="C6073">
        <v>0.1</v>
      </c>
    </row>
    <row r="6074" spans="1:3" x14ac:dyDescent="0.3">
      <c r="A6074" t="s">
        <v>12998</v>
      </c>
      <c r="B6074" t="s">
        <v>53</v>
      </c>
      <c r="C6074">
        <v>0.09</v>
      </c>
    </row>
    <row r="6075" spans="1:3" x14ac:dyDescent="0.3">
      <c r="A6075" t="s">
        <v>8847</v>
      </c>
      <c r="B6075" t="s">
        <v>29</v>
      </c>
      <c r="C6075">
        <v>0</v>
      </c>
    </row>
    <row r="6076" spans="1:3" x14ac:dyDescent="0.3">
      <c r="A6076" t="s">
        <v>8847</v>
      </c>
      <c r="B6076" t="s">
        <v>29</v>
      </c>
      <c r="C6076">
        <v>0.02</v>
      </c>
    </row>
    <row r="6077" spans="1:3" x14ac:dyDescent="0.3">
      <c r="A6077" t="s">
        <v>8855</v>
      </c>
      <c r="B6077" t="s">
        <v>40</v>
      </c>
      <c r="C6077">
        <v>0.1</v>
      </c>
    </row>
    <row r="6078" spans="1:3" x14ac:dyDescent="0.3">
      <c r="A6078" t="s">
        <v>10823</v>
      </c>
      <c r="B6078" t="s">
        <v>29</v>
      </c>
      <c r="C6078">
        <v>0.06</v>
      </c>
    </row>
    <row r="6079" spans="1:3" x14ac:dyDescent="0.3">
      <c r="A6079" t="s">
        <v>8934</v>
      </c>
      <c r="B6079" t="s">
        <v>29</v>
      </c>
      <c r="C6079">
        <v>0.01</v>
      </c>
    </row>
    <row r="6080" spans="1:3" x14ac:dyDescent="0.3">
      <c r="A6080" t="s">
        <v>10298</v>
      </c>
      <c r="B6080" t="s">
        <v>53</v>
      </c>
      <c r="C6080">
        <v>0.09</v>
      </c>
    </row>
    <row r="6081" spans="1:3" x14ac:dyDescent="0.3">
      <c r="A6081" t="s">
        <v>9052</v>
      </c>
      <c r="B6081" t="s">
        <v>40</v>
      </c>
      <c r="C6081">
        <v>0</v>
      </c>
    </row>
    <row r="6082" spans="1:3" x14ac:dyDescent="0.3">
      <c r="A6082" t="s">
        <v>9112</v>
      </c>
      <c r="B6082" t="s">
        <v>40</v>
      </c>
      <c r="C6082">
        <v>0</v>
      </c>
    </row>
    <row r="6083" spans="1:3" x14ac:dyDescent="0.3">
      <c r="A6083" t="s">
        <v>9112</v>
      </c>
      <c r="B6083" t="s">
        <v>40</v>
      </c>
      <c r="C6083">
        <v>0.04</v>
      </c>
    </row>
    <row r="6084" spans="1:3" x14ac:dyDescent="0.3">
      <c r="A6084" t="s">
        <v>9112</v>
      </c>
      <c r="B6084" t="s">
        <v>40</v>
      </c>
      <c r="C6084">
        <v>0.1</v>
      </c>
    </row>
    <row r="6085" spans="1:3" x14ac:dyDescent="0.3">
      <c r="A6085" t="s">
        <v>11216</v>
      </c>
      <c r="B6085" t="s">
        <v>40</v>
      </c>
      <c r="C6085">
        <v>0.01</v>
      </c>
    </row>
    <row r="6086" spans="1:3" x14ac:dyDescent="0.3">
      <c r="A6086" t="s">
        <v>9537</v>
      </c>
      <c r="B6086" t="s">
        <v>29</v>
      </c>
      <c r="C6086">
        <v>0.09</v>
      </c>
    </row>
    <row r="6087" spans="1:3" x14ac:dyDescent="0.3">
      <c r="A6087" t="s">
        <v>10135</v>
      </c>
      <c r="B6087" t="s">
        <v>29</v>
      </c>
      <c r="C6087">
        <v>0.05</v>
      </c>
    </row>
    <row r="6088" spans="1:3" x14ac:dyDescent="0.3">
      <c r="A6088" t="s">
        <v>10135</v>
      </c>
      <c r="B6088" t="s">
        <v>29</v>
      </c>
      <c r="C6088">
        <v>0.08</v>
      </c>
    </row>
    <row r="6089" spans="1:3" x14ac:dyDescent="0.3">
      <c r="A6089" t="s">
        <v>9126</v>
      </c>
      <c r="B6089" t="s">
        <v>64</v>
      </c>
      <c r="C6089">
        <v>0.08</v>
      </c>
    </row>
    <row r="6090" spans="1:3" x14ac:dyDescent="0.3">
      <c r="A6090" t="s">
        <v>14317</v>
      </c>
      <c r="B6090" t="s">
        <v>29</v>
      </c>
      <c r="C6090">
        <v>0.08</v>
      </c>
    </row>
    <row r="6091" spans="1:3" x14ac:dyDescent="0.3">
      <c r="A6091" t="s">
        <v>11661</v>
      </c>
      <c r="B6091" t="s">
        <v>40</v>
      </c>
      <c r="C6091">
        <v>0.01</v>
      </c>
    </row>
    <row r="6092" spans="1:3" x14ac:dyDescent="0.3">
      <c r="A6092" t="s">
        <v>11661</v>
      </c>
      <c r="B6092" t="s">
        <v>87</v>
      </c>
      <c r="C6092">
        <v>0.09</v>
      </c>
    </row>
    <row r="6093" spans="1:3" x14ac:dyDescent="0.3">
      <c r="A6093" t="s">
        <v>9188</v>
      </c>
      <c r="B6093" t="s">
        <v>53</v>
      </c>
      <c r="C6093">
        <v>0</v>
      </c>
    </row>
    <row r="6094" spans="1:3" x14ac:dyDescent="0.3">
      <c r="A6094" t="s">
        <v>9188</v>
      </c>
      <c r="B6094" t="s">
        <v>53</v>
      </c>
      <c r="C6094">
        <v>0.04</v>
      </c>
    </row>
    <row r="6095" spans="1:3" x14ac:dyDescent="0.3">
      <c r="A6095" t="s">
        <v>9188</v>
      </c>
      <c r="B6095" t="s">
        <v>53</v>
      </c>
      <c r="C6095">
        <v>0.1</v>
      </c>
    </row>
    <row r="6096" spans="1:3" x14ac:dyDescent="0.3">
      <c r="A6096" t="s">
        <v>14542</v>
      </c>
      <c r="B6096" t="s">
        <v>87</v>
      </c>
      <c r="C6096">
        <v>0.08</v>
      </c>
    </row>
    <row r="6097" spans="1:3" x14ac:dyDescent="0.3">
      <c r="A6097" t="s">
        <v>15572</v>
      </c>
      <c r="B6097" t="s">
        <v>40</v>
      </c>
      <c r="C6097">
        <v>0.06</v>
      </c>
    </row>
    <row r="6098" spans="1:3" x14ac:dyDescent="0.3">
      <c r="A6098" t="s">
        <v>9267</v>
      </c>
      <c r="B6098" t="s">
        <v>64</v>
      </c>
      <c r="C6098">
        <v>7.0000000000000007E-2</v>
      </c>
    </row>
    <row r="6099" spans="1:3" x14ac:dyDescent="0.3">
      <c r="A6099" t="s">
        <v>12394</v>
      </c>
      <c r="B6099" t="s">
        <v>29</v>
      </c>
      <c r="C6099">
        <v>0.02</v>
      </c>
    </row>
    <row r="6100" spans="1:3" x14ac:dyDescent="0.3">
      <c r="A6100" t="s">
        <v>14368</v>
      </c>
      <c r="B6100" t="s">
        <v>87</v>
      </c>
      <c r="C6100">
        <v>0.08</v>
      </c>
    </row>
    <row r="6101" spans="1:3" x14ac:dyDescent="0.3">
      <c r="A6101" t="s">
        <v>9364</v>
      </c>
      <c r="B6101" t="s">
        <v>87</v>
      </c>
      <c r="C6101">
        <v>0.04</v>
      </c>
    </row>
    <row r="6102" spans="1:3" x14ac:dyDescent="0.3">
      <c r="A6102" t="s">
        <v>9364</v>
      </c>
      <c r="B6102" t="s">
        <v>87</v>
      </c>
      <c r="C6102">
        <v>0.09</v>
      </c>
    </row>
    <row r="6103" spans="1:3" x14ac:dyDescent="0.3">
      <c r="A6103" t="s">
        <v>12302</v>
      </c>
      <c r="B6103" t="s">
        <v>40</v>
      </c>
      <c r="C6103">
        <v>0.1</v>
      </c>
    </row>
    <row r="6104" spans="1:3" x14ac:dyDescent="0.3">
      <c r="A6104" t="s">
        <v>15792</v>
      </c>
      <c r="B6104" t="s">
        <v>40</v>
      </c>
      <c r="C6104">
        <v>0.01</v>
      </c>
    </row>
    <row r="6105" spans="1:3" x14ac:dyDescent="0.3">
      <c r="A6105" t="s">
        <v>9498</v>
      </c>
      <c r="B6105" t="s">
        <v>40</v>
      </c>
      <c r="C6105">
        <v>0.01</v>
      </c>
    </row>
    <row r="6106" spans="1:3" x14ac:dyDescent="0.3">
      <c r="A6106" t="s">
        <v>12573</v>
      </c>
      <c r="B6106" t="s">
        <v>40</v>
      </c>
      <c r="C6106">
        <v>0.05</v>
      </c>
    </row>
    <row r="6107" spans="1:3" x14ac:dyDescent="0.3">
      <c r="A6107" t="s">
        <v>14629</v>
      </c>
      <c r="B6107" t="s">
        <v>225</v>
      </c>
      <c r="C6107">
        <v>0.02</v>
      </c>
    </row>
    <row r="6108" spans="1:3" x14ac:dyDescent="0.3">
      <c r="A6108" t="s">
        <v>14629</v>
      </c>
      <c r="B6108" t="s">
        <v>225</v>
      </c>
      <c r="C6108">
        <v>0.04</v>
      </c>
    </row>
    <row r="6109" spans="1:3" x14ac:dyDescent="0.3">
      <c r="A6109" t="s">
        <v>14629</v>
      </c>
      <c r="B6109" t="s">
        <v>225</v>
      </c>
      <c r="C6109">
        <v>0.09</v>
      </c>
    </row>
    <row r="6110" spans="1:3" x14ac:dyDescent="0.3">
      <c r="A6110" t="s">
        <v>14629</v>
      </c>
      <c r="B6110" t="s">
        <v>225</v>
      </c>
      <c r="C6110">
        <v>0.1</v>
      </c>
    </row>
    <row r="6111" spans="1:3" x14ac:dyDescent="0.3">
      <c r="A6111" t="s">
        <v>11785</v>
      </c>
      <c r="B6111" t="s">
        <v>40</v>
      </c>
      <c r="C6111">
        <v>7.0000000000000007E-2</v>
      </c>
    </row>
    <row r="6112" spans="1:3" x14ac:dyDescent="0.3">
      <c r="A6112" t="s">
        <v>14981</v>
      </c>
      <c r="B6112" t="s">
        <v>64</v>
      </c>
      <c r="C6112">
        <v>0.06</v>
      </c>
    </row>
    <row r="6113" spans="1:3" x14ac:dyDescent="0.3">
      <c r="A6113" t="s">
        <v>14981</v>
      </c>
      <c r="B6113" t="s">
        <v>87</v>
      </c>
      <c r="C6113">
        <v>0.08</v>
      </c>
    </row>
    <row r="6114" spans="1:3" x14ac:dyDescent="0.3">
      <c r="A6114" t="s">
        <v>10407</v>
      </c>
      <c r="B6114" t="s">
        <v>87</v>
      </c>
      <c r="C6114">
        <v>0</v>
      </c>
    </row>
    <row r="6115" spans="1:3" x14ac:dyDescent="0.3">
      <c r="A6115" t="s">
        <v>10407</v>
      </c>
      <c r="B6115" t="s">
        <v>87</v>
      </c>
      <c r="C6115">
        <v>7.0000000000000007E-2</v>
      </c>
    </row>
    <row r="6116" spans="1:3" x14ac:dyDescent="0.3">
      <c r="A6116" t="s">
        <v>14407</v>
      </c>
      <c r="B6116" t="s">
        <v>40</v>
      </c>
      <c r="C6116">
        <v>0.03</v>
      </c>
    </row>
    <row r="6117" spans="1:3" x14ac:dyDescent="0.3">
      <c r="A6117" t="s">
        <v>14407</v>
      </c>
      <c r="B6117" t="s">
        <v>40</v>
      </c>
      <c r="C6117">
        <v>7.0000000000000007E-2</v>
      </c>
    </row>
    <row r="6118" spans="1:3" x14ac:dyDescent="0.3">
      <c r="A6118" t="s">
        <v>14402</v>
      </c>
      <c r="B6118" t="s">
        <v>40</v>
      </c>
      <c r="C6118">
        <v>0.08</v>
      </c>
    </row>
    <row r="6119" spans="1:3" x14ac:dyDescent="0.3">
      <c r="A6119" t="s">
        <v>14402</v>
      </c>
      <c r="B6119" t="s">
        <v>40</v>
      </c>
      <c r="C6119">
        <v>0.1</v>
      </c>
    </row>
    <row r="6120" spans="1:3" x14ac:dyDescent="0.3">
      <c r="A6120" t="s">
        <v>14402</v>
      </c>
      <c r="B6120" t="s">
        <v>64</v>
      </c>
      <c r="C6120">
        <v>0.08</v>
      </c>
    </row>
    <row r="6121" spans="1:3" x14ac:dyDescent="0.3">
      <c r="A6121" t="s">
        <v>14258</v>
      </c>
      <c r="B6121" t="s">
        <v>53</v>
      </c>
      <c r="C6121">
        <v>0.03</v>
      </c>
    </row>
    <row r="6122" spans="1:3" x14ac:dyDescent="0.3">
      <c r="A6122" t="s">
        <v>9794</v>
      </c>
      <c r="B6122" t="s">
        <v>225</v>
      </c>
      <c r="C6122">
        <v>0.05</v>
      </c>
    </row>
    <row r="6123" spans="1:3" x14ac:dyDescent="0.3">
      <c r="A6123" t="s">
        <v>9794</v>
      </c>
      <c r="B6123" t="s">
        <v>225</v>
      </c>
      <c r="C6123">
        <v>0.1</v>
      </c>
    </row>
    <row r="6124" spans="1:3" x14ac:dyDescent="0.3">
      <c r="A6124" t="s">
        <v>10405</v>
      </c>
      <c r="B6124" t="s">
        <v>29</v>
      </c>
      <c r="C6124">
        <v>0.03</v>
      </c>
    </row>
    <row r="6125" spans="1:3" x14ac:dyDescent="0.3">
      <c r="A6125" t="s">
        <v>10405</v>
      </c>
      <c r="B6125" t="s">
        <v>29</v>
      </c>
      <c r="C6125">
        <v>7.0000000000000007E-2</v>
      </c>
    </row>
    <row r="6126" spans="1:3" x14ac:dyDescent="0.3">
      <c r="A6126" t="s">
        <v>11531</v>
      </c>
      <c r="B6126" t="s">
        <v>225</v>
      </c>
      <c r="C6126">
        <v>7.0000000000000007E-2</v>
      </c>
    </row>
    <row r="6127" spans="1:3" x14ac:dyDescent="0.3">
      <c r="A6127" t="s">
        <v>11531</v>
      </c>
      <c r="B6127" t="s">
        <v>64</v>
      </c>
      <c r="C6127">
        <v>0.01</v>
      </c>
    </row>
    <row r="6128" spans="1:3" x14ac:dyDescent="0.3">
      <c r="A6128" t="s">
        <v>11531</v>
      </c>
      <c r="B6128" t="s">
        <v>64</v>
      </c>
      <c r="C6128">
        <v>0.09</v>
      </c>
    </row>
    <row r="6129" spans="1:3" x14ac:dyDescent="0.3">
      <c r="A6129" t="s">
        <v>10102</v>
      </c>
      <c r="B6129" t="s">
        <v>225</v>
      </c>
      <c r="C6129">
        <v>0.04</v>
      </c>
    </row>
    <row r="6130" spans="1:3" x14ac:dyDescent="0.3">
      <c r="A6130" t="s">
        <v>10102</v>
      </c>
      <c r="B6130" t="s">
        <v>29</v>
      </c>
      <c r="C6130">
        <v>0.03</v>
      </c>
    </row>
    <row r="6131" spans="1:3" x14ac:dyDescent="0.3">
      <c r="A6131" t="s">
        <v>10102</v>
      </c>
      <c r="B6131" t="s">
        <v>29</v>
      </c>
      <c r="C6131">
        <v>0.04</v>
      </c>
    </row>
    <row r="6132" spans="1:3" x14ac:dyDescent="0.3">
      <c r="A6132" t="s">
        <v>10102</v>
      </c>
      <c r="B6132" t="s">
        <v>29</v>
      </c>
      <c r="C6132">
        <v>0.05</v>
      </c>
    </row>
    <row r="6133" spans="1:3" x14ac:dyDescent="0.3">
      <c r="A6133" t="s">
        <v>10130</v>
      </c>
      <c r="B6133" t="s">
        <v>87</v>
      </c>
      <c r="C6133">
        <v>0.01</v>
      </c>
    </row>
    <row r="6134" spans="1:3" x14ac:dyDescent="0.3">
      <c r="A6134" t="s">
        <v>10130</v>
      </c>
      <c r="B6134" t="s">
        <v>87</v>
      </c>
      <c r="C6134">
        <v>0.06</v>
      </c>
    </row>
    <row r="6135" spans="1:3" x14ac:dyDescent="0.3">
      <c r="A6135" t="s">
        <v>10245</v>
      </c>
      <c r="B6135" t="s">
        <v>87</v>
      </c>
      <c r="C6135">
        <v>0</v>
      </c>
    </row>
    <row r="6136" spans="1:3" x14ac:dyDescent="0.3">
      <c r="A6136" t="s">
        <v>10284</v>
      </c>
      <c r="B6136" t="s">
        <v>53</v>
      </c>
      <c r="C6136">
        <v>0.09</v>
      </c>
    </row>
    <row r="6137" spans="1:3" x14ac:dyDescent="0.3">
      <c r="A6137" t="s">
        <v>10328</v>
      </c>
      <c r="B6137" t="s">
        <v>64</v>
      </c>
      <c r="C6137">
        <v>0</v>
      </c>
    </row>
    <row r="6138" spans="1:3" x14ac:dyDescent="0.3">
      <c r="A6138" t="s">
        <v>10328</v>
      </c>
      <c r="B6138" t="s">
        <v>64</v>
      </c>
      <c r="C6138">
        <v>0.03</v>
      </c>
    </row>
    <row r="6139" spans="1:3" x14ac:dyDescent="0.3">
      <c r="A6139" t="s">
        <v>13776</v>
      </c>
      <c r="B6139" t="s">
        <v>53</v>
      </c>
      <c r="C6139">
        <v>0.03</v>
      </c>
    </row>
    <row r="6140" spans="1:3" x14ac:dyDescent="0.3">
      <c r="A6140" t="s">
        <v>13718</v>
      </c>
      <c r="B6140" t="s">
        <v>64</v>
      </c>
      <c r="C6140">
        <v>0.03</v>
      </c>
    </row>
    <row r="6141" spans="1:3" x14ac:dyDescent="0.3">
      <c r="A6141" t="s">
        <v>11563</v>
      </c>
      <c r="B6141" t="s">
        <v>53</v>
      </c>
      <c r="C6141">
        <v>0.04</v>
      </c>
    </row>
    <row r="6142" spans="1:3" x14ac:dyDescent="0.3">
      <c r="A6142" t="s">
        <v>11830</v>
      </c>
      <c r="B6142" t="s">
        <v>29</v>
      </c>
      <c r="C6142">
        <v>0.01</v>
      </c>
    </row>
    <row r="6143" spans="1:3" x14ac:dyDescent="0.3">
      <c r="A6143" t="s">
        <v>13407</v>
      </c>
      <c r="B6143" t="s">
        <v>40</v>
      </c>
      <c r="C6143">
        <v>0.01</v>
      </c>
    </row>
    <row r="6144" spans="1:3" x14ac:dyDescent="0.3">
      <c r="A6144" t="s">
        <v>13407</v>
      </c>
      <c r="B6144" t="s">
        <v>40</v>
      </c>
      <c r="C6144">
        <v>0.03</v>
      </c>
    </row>
    <row r="6145" spans="1:3" x14ac:dyDescent="0.3">
      <c r="A6145" t="s">
        <v>10530</v>
      </c>
      <c r="B6145" t="s">
        <v>40</v>
      </c>
      <c r="C6145">
        <v>0.05</v>
      </c>
    </row>
    <row r="6146" spans="1:3" x14ac:dyDescent="0.3">
      <c r="A6146" t="s">
        <v>10548</v>
      </c>
      <c r="B6146" t="s">
        <v>64</v>
      </c>
      <c r="C6146">
        <v>0.03</v>
      </c>
    </row>
    <row r="6147" spans="1:3" x14ac:dyDescent="0.3">
      <c r="A6147" t="s">
        <v>10548</v>
      </c>
      <c r="B6147" t="s">
        <v>64</v>
      </c>
      <c r="C6147">
        <v>0.05</v>
      </c>
    </row>
    <row r="6148" spans="1:3" x14ac:dyDescent="0.3">
      <c r="A6148" t="s">
        <v>14731</v>
      </c>
      <c r="B6148" t="s">
        <v>64</v>
      </c>
      <c r="C6148">
        <v>7.0000000000000007E-2</v>
      </c>
    </row>
    <row r="6149" spans="1:3" x14ac:dyDescent="0.3">
      <c r="A6149" t="s">
        <v>15458</v>
      </c>
      <c r="B6149" t="s">
        <v>225</v>
      </c>
      <c r="C6149">
        <v>0.04</v>
      </c>
    </row>
    <row r="6150" spans="1:3" x14ac:dyDescent="0.3">
      <c r="A6150" t="s">
        <v>11793</v>
      </c>
      <c r="B6150" t="s">
        <v>87</v>
      </c>
      <c r="C6150">
        <v>0.08</v>
      </c>
    </row>
    <row r="6151" spans="1:3" x14ac:dyDescent="0.3">
      <c r="A6151" t="s">
        <v>14276</v>
      </c>
      <c r="B6151" t="s">
        <v>40</v>
      </c>
      <c r="C6151">
        <v>0.02</v>
      </c>
    </row>
    <row r="6152" spans="1:3" x14ac:dyDescent="0.3">
      <c r="A6152" t="s">
        <v>10562</v>
      </c>
      <c r="B6152" t="s">
        <v>87</v>
      </c>
      <c r="C6152">
        <v>0</v>
      </c>
    </row>
    <row r="6153" spans="1:3" x14ac:dyDescent="0.3">
      <c r="A6153" t="s">
        <v>10562</v>
      </c>
      <c r="B6153" t="s">
        <v>87</v>
      </c>
      <c r="C6153">
        <v>0.01</v>
      </c>
    </row>
    <row r="6154" spans="1:3" x14ac:dyDescent="0.3">
      <c r="A6154" t="s">
        <v>10562</v>
      </c>
      <c r="B6154" t="s">
        <v>87</v>
      </c>
      <c r="C6154">
        <v>0.02</v>
      </c>
    </row>
    <row r="6155" spans="1:3" x14ac:dyDescent="0.3">
      <c r="A6155" t="s">
        <v>15542</v>
      </c>
      <c r="B6155" t="s">
        <v>87</v>
      </c>
      <c r="C6155">
        <v>0.02</v>
      </c>
    </row>
    <row r="6156" spans="1:3" x14ac:dyDescent="0.3">
      <c r="A6156" t="s">
        <v>13309</v>
      </c>
      <c r="B6156" t="s">
        <v>64</v>
      </c>
      <c r="C6156">
        <v>0</v>
      </c>
    </row>
    <row r="6157" spans="1:3" x14ac:dyDescent="0.3">
      <c r="A6157" t="s">
        <v>10583</v>
      </c>
      <c r="B6157" t="s">
        <v>29</v>
      </c>
      <c r="C6157">
        <v>0.06</v>
      </c>
    </row>
    <row r="6158" spans="1:3" x14ac:dyDescent="0.3">
      <c r="A6158" t="s">
        <v>10583</v>
      </c>
      <c r="B6158" t="s">
        <v>29</v>
      </c>
      <c r="C6158">
        <v>7.0000000000000007E-2</v>
      </c>
    </row>
    <row r="6159" spans="1:3" x14ac:dyDescent="0.3">
      <c r="A6159" t="s">
        <v>14680</v>
      </c>
      <c r="B6159" t="s">
        <v>40</v>
      </c>
      <c r="C6159">
        <v>0.04</v>
      </c>
    </row>
    <row r="6160" spans="1:3" x14ac:dyDescent="0.3">
      <c r="A6160" t="s">
        <v>14786</v>
      </c>
      <c r="B6160" t="s">
        <v>29</v>
      </c>
      <c r="C6160">
        <v>0.01</v>
      </c>
    </row>
    <row r="6161" spans="1:3" x14ac:dyDescent="0.3">
      <c r="A6161" t="s">
        <v>15101</v>
      </c>
      <c r="B6161" t="s">
        <v>29</v>
      </c>
      <c r="C6161">
        <v>0</v>
      </c>
    </row>
    <row r="6162" spans="1:3" x14ac:dyDescent="0.3">
      <c r="A6162" t="s">
        <v>11023</v>
      </c>
      <c r="B6162" t="s">
        <v>53</v>
      </c>
      <c r="C6162">
        <v>0.01</v>
      </c>
    </row>
    <row r="6163" spans="1:3" x14ac:dyDescent="0.3">
      <c r="A6163" t="s">
        <v>11023</v>
      </c>
      <c r="B6163" t="s">
        <v>53</v>
      </c>
      <c r="C6163">
        <v>0.03</v>
      </c>
    </row>
    <row r="6164" spans="1:3" x14ac:dyDescent="0.3">
      <c r="A6164" t="s">
        <v>11186</v>
      </c>
      <c r="B6164" t="s">
        <v>40</v>
      </c>
      <c r="C6164">
        <v>0.08</v>
      </c>
    </row>
    <row r="6165" spans="1:3" x14ac:dyDescent="0.3">
      <c r="A6165" t="s">
        <v>11158</v>
      </c>
      <c r="B6165" t="s">
        <v>53</v>
      </c>
      <c r="C6165">
        <v>0.04</v>
      </c>
    </row>
    <row r="6166" spans="1:3" x14ac:dyDescent="0.3">
      <c r="A6166" t="s">
        <v>13960</v>
      </c>
      <c r="B6166" t="s">
        <v>53</v>
      </c>
      <c r="C6166">
        <v>0.01</v>
      </c>
    </row>
    <row r="6167" spans="1:3" x14ac:dyDescent="0.3">
      <c r="A6167" t="s">
        <v>13960</v>
      </c>
      <c r="B6167" t="s">
        <v>53</v>
      </c>
      <c r="C6167">
        <v>0.09</v>
      </c>
    </row>
    <row r="6168" spans="1:3" x14ac:dyDescent="0.3">
      <c r="A6168" t="s">
        <v>11217</v>
      </c>
      <c r="B6168" t="s">
        <v>87</v>
      </c>
      <c r="C6168">
        <v>0.06</v>
      </c>
    </row>
    <row r="6169" spans="1:3" x14ac:dyDescent="0.3">
      <c r="A6169" t="s">
        <v>11217</v>
      </c>
      <c r="B6169" t="s">
        <v>87</v>
      </c>
      <c r="C6169">
        <v>0.09</v>
      </c>
    </row>
    <row r="6170" spans="1:3" x14ac:dyDescent="0.3">
      <c r="A6170" t="s">
        <v>15606</v>
      </c>
      <c r="B6170" t="s">
        <v>87</v>
      </c>
      <c r="C6170">
        <v>0.09</v>
      </c>
    </row>
    <row r="6171" spans="1:3" x14ac:dyDescent="0.3">
      <c r="A6171" t="s">
        <v>14341</v>
      </c>
      <c r="B6171" t="s">
        <v>64</v>
      </c>
      <c r="C6171">
        <v>0.09</v>
      </c>
    </row>
    <row r="6172" spans="1:3" x14ac:dyDescent="0.3">
      <c r="A6172" t="s">
        <v>11786</v>
      </c>
      <c r="B6172" t="s">
        <v>40</v>
      </c>
      <c r="C6172">
        <v>0.02</v>
      </c>
    </row>
    <row r="6173" spans="1:3" x14ac:dyDescent="0.3">
      <c r="A6173" t="s">
        <v>11786</v>
      </c>
      <c r="B6173" t="s">
        <v>40</v>
      </c>
      <c r="C6173">
        <v>0.06</v>
      </c>
    </row>
    <row r="6174" spans="1:3" x14ac:dyDescent="0.3">
      <c r="A6174" t="s">
        <v>11786</v>
      </c>
      <c r="B6174" t="s">
        <v>40</v>
      </c>
      <c r="C6174">
        <v>0.08</v>
      </c>
    </row>
    <row r="6175" spans="1:3" x14ac:dyDescent="0.3">
      <c r="A6175" t="s">
        <v>14609</v>
      </c>
      <c r="B6175" t="s">
        <v>40</v>
      </c>
      <c r="C6175">
        <v>0.02</v>
      </c>
    </row>
    <row r="6176" spans="1:3" x14ac:dyDescent="0.3">
      <c r="A6176" t="s">
        <v>11877</v>
      </c>
      <c r="B6176" t="s">
        <v>225</v>
      </c>
      <c r="C6176">
        <v>0.1</v>
      </c>
    </row>
    <row r="6177" spans="1:3" x14ac:dyDescent="0.3">
      <c r="A6177" t="s">
        <v>12198</v>
      </c>
      <c r="B6177" t="s">
        <v>87</v>
      </c>
      <c r="C6177">
        <v>0.1</v>
      </c>
    </row>
    <row r="6178" spans="1:3" x14ac:dyDescent="0.3">
      <c r="A6178" t="s">
        <v>14601</v>
      </c>
      <c r="B6178" t="s">
        <v>87</v>
      </c>
      <c r="C6178">
        <v>0</v>
      </c>
    </row>
    <row r="6179" spans="1:3" x14ac:dyDescent="0.3">
      <c r="A6179" t="s">
        <v>14601</v>
      </c>
      <c r="B6179" t="s">
        <v>87</v>
      </c>
      <c r="C6179">
        <v>0.08</v>
      </c>
    </row>
    <row r="6180" spans="1:3" x14ac:dyDescent="0.3">
      <c r="A6180" t="s">
        <v>12567</v>
      </c>
      <c r="B6180" t="s">
        <v>225</v>
      </c>
      <c r="C6180">
        <v>0</v>
      </c>
    </row>
    <row r="6181" spans="1:3" x14ac:dyDescent="0.3">
      <c r="A6181" t="s">
        <v>12567</v>
      </c>
      <c r="B6181" t="s">
        <v>225</v>
      </c>
      <c r="C6181">
        <v>0.06</v>
      </c>
    </row>
    <row r="6182" spans="1:3" x14ac:dyDescent="0.3">
      <c r="A6182" t="s">
        <v>13118</v>
      </c>
      <c r="B6182" t="s">
        <v>29</v>
      </c>
      <c r="C6182">
        <v>0.06</v>
      </c>
    </row>
    <row r="6183" spans="1:3" x14ac:dyDescent="0.3">
      <c r="A6183" t="s">
        <v>15461</v>
      </c>
      <c r="B6183" t="s">
        <v>225</v>
      </c>
      <c r="C6183">
        <v>0.01</v>
      </c>
    </row>
    <row r="6184" spans="1:3" x14ac:dyDescent="0.3">
      <c r="A6184" t="s">
        <v>15461</v>
      </c>
      <c r="B6184" t="s">
        <v>225</v>
      </c>
      <c r="C6184">
        <v>0.06</v>
      </c>
    </row>
    <row r="6185" spans="1:3" x14ac:dyDescent="0.3">
      <c r="A6185" t="s">
        <v>6144</v>
      </c>
      <c r="B6185" t="s">
        <v>64</v>
      </c>
      <c r="C6185">
        <v>0.01</v>
      </c>
    </row>
    <row r="6186" spans="1:3" x14ac:dyDescent="0.3">
      <c r="A6186" t="s">
        <v>16170</v>
      </c>
      <c r="B6186" t="s">
        <v>40</v>
      </c>
      <c r="C6186">
        <v>0.08</v>
      </c>
    </row>
    <row r="6187" spans="1:3" x14ac:dyDescent="0.3">
      <c r="A6187" t="s">
        <v>16170</v>
      </c>
      <c r="B6187" t="s">
        <v>40</v>
      </c>
      <c r="C6187">
        <v>0.1</v>
      </c>
    </row>
    <row r="6188" spans="1:3" x14ac:dyDescent="0.3">
      <c r="A6188" t="s">
        <v>16337</v>
      </c>
      <c r="B6188" t="s">
        <v>225</v>
      </c>
      <c r="C6188">
        <v>0.06</v>
      </c>
    </row>
    <row r="6189" spans="1:3" x14ac:dyDescent="0.3">
      <c r="A6189" t="s">
        <v>16485</v>
      </c>
      <c r="B6189" t="s">
        <v>64</v>
      </c>
      <c r="C6189">
        <v>0.01</v>
      </c>
    </row>
    <row r="6190" spans="1:3" x14ac:dyDescent="0.3">
      <c r="A6190" t="s">
        <v>16485</v>
      </c>
      <c r="B6190" t="s">
        <v>64</v>
      </c>
      <c r="C6190">
        <v>0.1</v>
      </c>
    </row>
    <row r="6191" spans="1:3" x14ac:dyDescent="0.3">
      <c r="A6191" t="s">
        <v>10269</v>
      </c>
      <c r="B6191" t="s">
        <v>53</v>
      </c>
      <c r="C6191">
        <v>7.0000000000000007E-2</v>
      </c>
    </row>
    <row r="6192" spans="1:3" x14ac:dyDescent="0.3">
      <c r="A6192" t="s">
        <v>10735</v>
      </c>
      <c r="B6192" t="s">
        <v>64</v>
      </c>
      <c r="C6192">
        <v>7.0000000000000007E-2</v>
      </c>
    </row>
    <row r="6193" spans="1:3" x14ac:dyDescent="0.3">
      <c r="A6193" t="s">
        <v>14932</v>
      </c>
      <c r="B6193" t="s">
        <v>225</v>
      </c>
      <c r="C6193">
        <v>0.03</v>
      </c>
    </row>
    <row r="6194" spans="1:3" x14ac:dyDescent="0.3">
      <c r="A6194" t="s">
        <v>15847</v>
      </c>
      <c r="B6194" t="s">
        <v>40</v>
      </c>
      <c r="C6194">
        <v>7.0000000000000007E-2</v>
      </c>
    </row>
    <row r="6195" spans="1:3" x14ac:dyDescent="0.3">
      <c r="A6195" t="s">
        <v>15855</v>
      </c>
      <c r="B6195" t="s">
        <v>40</v>
      </c>
      <c r="C6195">
        <v>0.05</v>
      </c>
    </row>
    <row r="6196" spans="1:3" x14ac:dyDescent="0.3">
      <c r="A6196" t="s">
        <v>15855</v>
      </c>
      <c r="B6196" t="s">
        <v>40</v>
      </c>
      <c r="C6196">
        <v>0.08</v>
      </c>
    </row>
    <row r="6197" spans="1:3" x14ac:dyDescent="0.3">
      <c r="A6197" t="s">
        <v>15855</v>
      </c>
      <c r="B6197" t="s">
        <v>40</v>
      </c>
      <c r="C6197">
        <v>0.1</v>
      </c>
    </row>
    <row r="6198" spans="1:3" x14ac:dyDescent="0.3">
      <c r="A6198" t="s">
        <v>15907</v>
      </c>
      <c r="B6198" t="s">
        <v>53</v>
      </c>
      <c r="C6198">
        <v>0</v>
      </c>
    </row>
    <row r="6199" spans="1:3" x14ac:dyDescent="0.3">
      <c r="A6199" t="s">
        <v>15907</v>
      </c>
      <c r="B6199" t="s">
        <v>53</v>
      </c>
      <c r="C6199">
        <v>0.02</v>
      </c>
    </row>
    <row r="6200" spans="1:3" x14ac:dyDescent="0.3">
      <c r="A6200" t="s">
        <v>15907</v>
      </c>
      <c r="B6200" t="s">
        <v>53</v>
      </c>
      <c r="C6200">
        <v>0.08</v>
      </c>
    </row>
    <row r="6201" spans="1:3" x14ac:dyDescent="0.3">
      <c r="A6201" t="s">
        <v>15907</v>
      </c>
      <c r="B6201" t="s">
        <v>53</v>
      </c>
      <c r="C6201">
        <v>0.1</v>
      </c>
    </row>
    <row r="6202" spans="1:3" x14ac:dyDescent="0.3">
      <c r="A6202" t="s">
        <v>15957</v>
      </c>
      <c r="B6202" t="s">
        <v>40</v>
      </c>
      <c r="C6202">
        <v>0.06</v>
      </c>
    </row>
    <row r="6203" spans="1:3" x14ac:dyDescent="0.3">
      <c r="A6203" t="s">
        <v>16102</v>
      </c>
      <c r="B6203" t="s">
        <v>40</v>
      </c>
      <c r="C6203">
        <v>0.1</v>
      </c>
    </row>
    <row r="6204" spans="1:3" x14ac:dyDescent="0.3">
      <c r="A6204" t="s">
        <v>16162</v>
      </c>
      <c r="B6204" t="s">
        <v>53</v>
      </c>
      <c r="C6204">
        <v>0</v>
      </c>
    </row>
    <row r="6205" spans="1:3" x14ac:dyDescent="0.3">
      <c r="A6205" t="s">
        <v>16171</v>
      </c>
      <c r="B6205" t="s">
        <v>40</v>
      </c>
      <c r="C6205">
        <v>7.0000000000000007E-2</v>
      </c>
    </row>
    <row r="6206" spans="1:3" x14ac:dyDescent="0.3">
      <c r="A6206" t="s">
        <v>16187</v>
      </c>
      <c r="B6206" t="s">
        <v>64</v>
      </c>
      <c r="C6206">
        <v>0.06</v>
      </c>
    </row>
    <row r="6207" spans="1:3" x14ac:dyDescent="0.3">
      <c r="A6207" t="s">
        <v>16204</v>
      </c>
      <c r="B6207" t="s">
        <v>40</v>
      </c>
      <c r="C6207">
        <v>0</v>
      </c>
    </row>
    <row r="6208" spans="1:3" x14ac:dyDescent="0.3">
      <c r="A6208" t="s">
        <v>16220</v>
      </c>
      <c r="B6208" t="s">
        <v>64</v>
      </c>
      <c r="C6208">
        <v>0.05</v>
      </c>
    </row>
    <row r="6209" spans="1:3" x14ac:dyDescent="0.3">
      <c r="A6209" t="s">
        <v>16284</v>
      </c>
      <c r="B6209" t="s">
        <v>40</v>
      </c>
      <c r="C6209">
        <v>0.02</v>
      </c>
    </row>
    <row r="6210" spans="1:3" x14ac:dyDescent="0.3">
      <c r="A6210" t="s">
        <v>16325</v>
      </c>
      <c r="B6210" t="s">
        <v>87</v>
      </c>
      <c r="C6210">
        <v>0.02</v>
      </c>
    </row>
    <row r="6211" spans="1:3" x14ac:dyDescent="0.3">
      <c r="A6211" t="s">
        <v>16343</v>
      </c>
      <c r="B6211" t="s">
        <v>64</v>
      </c>
      <c r="C6211">
        <v>0.04</v>
      </c>
    </row>
    <row r="6212" spans="1:3" x14ac:dyDescent="0.3">
      <c r="A6212" t="s">
        <v>16403</v>
      </c>
      <c r="B6212" t="s">
        <v>40</v>
      </c>
      <c r="C6212">
        <v>0.02</v>
      </c>
    </row>
    <row r="6213" spans="1:3" x14ac:dyDescent="0.3">
      <c r="A6213" t="s">
        <v>16403</v>
      </c>
      <c r="B6213" t="s">
        <v>40</v>
      </c>
      <c r="C6213">
        <v>0.04</v>
      </c>
    </row>
    <row r="6214" spans="1:3" x14ac:dyDescent="0.3">
      <c r="A6214" t="s">
        <v>16418</v>
      </c>
      <c r="B6214" t="s">
        <v>87</v>
      </c>
      <c r="C6214">
        <v>0.06</v>
      </c>
    </row>
    <row r="6215" spans="1:3" x14ac:dyDescent="0.3">
      <c r="A6215" t="s">
        <v>16456</v>
      </c>
      <c r="B6215" t="s">
        <v>64</v>
      </c>
      <c r="C6215">
        <v>0</v>
      </c>
    </row>
    <row r="6216" spans="1:3" x14ac:dyDescent="0.3">
      <c r="A6216" t="s">
        <v>16472</v>
      </c>
      <c r="B6216" t="s">
        <v>64</v>
      </c>
      <c r="C6216">
        <v>0.06</v>
      </c>
    </row>
    <row r="6217" spans="1:3" x14ac:dyDescent="0.3">
      <c r="A6217" t="s">
        <v>16476</v>
      </c>
      <c r="B6217" t="s">
        <v>29</v>
      </c>
      <c r="C6217">
        <v>0.03</v>
      </c>
    </row>
    <row r="6218" spans="1:3" x14ac:dyDescent="0.3">
      <c r="A6218" t="s">
        <v>16476</v>
      </c>
      <c r="B6218" t="s">
        <v>29</v>
      </c>
      <c r="C6218">
        <v>0.05</v>
      </c>
    </row>
    <row r="6219" spans="1:3" x14ac:dyDescent="0.3">
      <c r="A6219" t="s">
        <v>16476</v>
      </c>
      <c r="B6219" t="s">
        <v>29</v>
      </c>
      <c r="C6219">
        <v>0.08</v>
      </c>
    </row>
    <row r="6220" spans="1:3" x14ac:dyDescent="0.3">
      <c r="A6220" t="s">
        <v>16486</v>
      </c>
      <c r="B6220" t="s">
        <v>64</v>
      </c>
      <c r="C6220">
        <v>0.08</v>
      </c>
    </row>
    <row r="6221" spans="1:3" x14ac:dyDescent="0.3">
      <c r="A6221" t="s">
        <v>16487</v>
      </c>
      <c r="B6221" t="s">
        <v>40</v>
      </c>
      <c r="C6221">
        <v>7.0000000000000007E-2</v>
      </c>
    </row>
    <row r="6222" spans="1:3" x14ac:dyDescent="0.3">
      <c r="A6222" t="s">
        <v>16491</v>
      </c>
      <c r="B6222" t="s">
        <v>64</v>
      </c>
      <c r="C6222">
        <v>0.02</v>
      </c>
    </row>
    <row r="6223" spans="1:3" x14ac:dyDescent="0.3">
      <c r="A6223" t="s">
        <v>16491</v>
      </c>
      <c r="B6223" t="s">
        <v>64</v>
      </c>
      <c r="C6223">
        <v>0.06</v>
      </c>
    </row>
    <row r="6224" spans="1:3" x14ac:dyDescent="0.3">
      <c r="A6224" t="s">
        <v>16491</v>
      </c>
      <c r="B6224" t="s">
        <v>64</v>
      </c>
      <c r="C6224">
        <v>0.1</v>
      </c>
    </row>
    <row r="6225" spans="1:3" x14ac:dyDescent="0.3">
      <c r="A6225" t="s">
        <v>16493</v>
      </c>
      <c r="B6225" t="s">
        <v>64</v>
      </c>
      <c r="C6225">
        <v>0.03</v>
      </c>
    </row>
    <row r="6226" spans="1:3" x14ac:dyDescent="0.3">
      <c r="A6226" t="s">
        <v>75</v>
      </c>
      <c r="B6226" t="s">
        <v>40</v>
      </c>
      <c r="C6226">
        <v>0.01</v>
      </c>
    </row>
    <row r="6227" spans="1:3" x14ac:dyDescent="0.3">
      <c r="A6227" t="s">
        <v>137</v>
      </c>
      <c r="B6227" t="s">
        <v>64</v>
      </c>
      <c r="C6227">
        <v>0.03</v>
      </c>
    </row>
    <row r="6228" spans="1:3" x14ac:dyDescent="0.3">
      <c r="A6228" t="s">
        <v>137</v>
      </c>
      <c r="B6228" t="s">
        <v>64</v>
      </c>
      <c r="C6228">
        <v>0.05</v>
      </c>
    </row>
    <row r="6229" spans="1:3" x14ac:dyDescent="0.3">
      <c r="A6229" t="s">
        <v>147</v>
      </c>
      <c r="B6229" t="s">
        <v>40</v>
      </c>
      <c r="C6229">
        <v>0.06</v>
      </c>
    </row>
    <row r="6230" spans="1:3" x14ac:dyDescent="0.3">
      <c r="A6230" t="s">
        <v>165</v>
      </c>
      <c r="B6230" t="s">
        <v>53</v>
      </c>
      <c r="C6230">
        <v>0</v>
      </c>
    </row>
    <row r="6231" spans="1:3" x14ac:dyDescent="0.3">
      <c r="A6231" t="s">
        <v>188</v>
      </c>
      <c r="B6231" t="s">
        <v>64</v>
      </c>
      <c r="C6231">
        <v>0.1</v>
      </c>
    </row>
    <row r="6232" spans="1:3" x14ac:dyDescent="0.3">
      <c r="A6232" t="s">
        <v>193</v>
      </c>
      <c r="B6232" t="s">
        <v>64</v>
      </c>
      <c r="C6232">
        <v>0.08</v>
      </c>
    </row>
    <row r="6233" spans="1:3" x14ac:dyDescent="0.3">
      <c r="A6233" t="s">
        <v>206</v>
      </c>
      <c r="B6233" t="s">
        <v>64</v>
      </c>
      <c r="C6233">
        <v>0.08</v>
      </c>
    </row>
    <row r="6234" spans="1:3" x14ac:dyDescent="0.3">
      <c r="A6234" t="s">
        <v>247</v>
      </c>
      <c r="B6234" t="s">
        <v>53</v>
      </c>
      <c r="C6234">
        <v>0.05</v>
      </c>
    </row>
    <row r="6235" spans="1:3" x14ac:dyDescent="0.3">
      <c r="A6235" t="s">
        <v>251</v>
      </c>
      <c r="B6235" t="s">
        <v>64</v>
      </c>
      <c r="C6235">
        <v>0.1</v>
      </c>
    </row>
    <row r="6236" spans="1:3" x14ac:dyDescent="0.3">
      <c r="A6236" t="s">
        <v>257</v>
      </c>
      <c r="B6236" t="s">
        <v>40</v>
      </c>
      <c r="C6236">
        <v>0.09</v>
      </c>
    </row>
    <row r="6237" spans="1:3" x14ac:dyDescent="0.3">
      <c r="A6237" t="s">
        <v>264</v>
      </c>
      <c r="B6237" t="s">
        <v>64</v>
      </c>
      <c r="C6237">
        <v>0.06</v>
      </c>
    </row>
    <row r="6238" spans="1:3" x14ac:dyDescent="0.3">
      <c r="A6238" t="s">
        <v>283</v>
      </c>
      <c r="B6238" t="s">
        <v>53</v>
      </c>
      <c r="C6238">
        <v>0.1</v>
      </c>
    </row>
    <row r="6239" spans="1:3" x14ac:dyDescent="0.3">
      <c r="A6239" t="s">
        <v>288</v>
      </c>
      <c r="B6239" t="s">
        <v>225</v>
      </c>
      <c r="C6239">
        <v>0</v>
      </c>
    </row>
    <row r="6240" spans="1:3" x14ac:dyDescent="0.3">
      <c r="A6240" t="s">
        <v>288</v>
      </c>
      <c r="B6240" t="s">
        <v>225</v>
      </c>
      <c r="C6240">
        <v>0.02</v>
      </c>
    </row>
    <row r="6241" spans="1:3" x14ac:dyDescent="0.3">
      <c r="A6241" t="s">
        <v>288</v>
      </c>
      <c r="B6241" t="s">
        <v>225</v>
      </c>
      <c r="C6241">
        <v>0.05</v>
      </c>
    </row>
    <row r="6242" spans="1:3" x14ac:dyDescent="0.3">
      <c r="A6242" t="s">
        <v>322</v>
      </c>
      <c r="B6242" t="s">
        <v>29</v>
      </c>
      <c r="C6242">
        <v>0.03</v>
      </c>
    </row>
    <row r="6243" spans="1:3" x14ac:dyDescent="0.3">
      <c r="A6243" t="s">
        <v>338</v>
      </c>
      <c r="B6243" t="s">
        <v>64</v>
      </c>
      <c r="C6243">
        <v>0.06</v>
      </c>
    </row>
    <row r="6244" spans="1:3" x14ac:dyDescent="0.3">
      <c r="A6244" t="s">
        <v>343</v>
      </c>
      <c r="B6244" t="s">
        <v>64</v>
      </c>
      <c r="C6244">
        <v>0</v>
      </c>
    </row>
    <row r="6245" spans="1:3" x14ac:dyDescent="0.3">
      <c r="A6245" t="s">
        <v>343</v>
      </c>
      <c r="B6245" t="s">
        <v>64</v>
      </c>
      <c r="C6245">
        <v>7.0000000000000007E-2</v>
      </c>
    </row>
    <row r="6246" spans="1:3" x14ac:dyDescent="0.3">
      <c r="A6246" t="s">
        <v>354</v>
      </c>
      <c r="B6246" t="s">
        <v>40</v>
      </c>
      <c r="C6246">
        <v>0</v>
      </c>
    </row>
    <row r="6247" spans="1:3" x14ac:dyDescent="0.3">
      <c r="A6247" t="s">
        <v>362</v>
      </c>
      <c r="B6247" t="s">
        <v>225</v>
      </c>
      <c r="C6247">
        <v>0.1</v>
      </c>
    </row>
    <row r="6248" spans="1:3" x14ac:dyDescent="0.3">
      <c r="A6248" t="s">
        <v>373</v>
      </c>
      <c r="B6248" t="s">
        <v>64</v>
      </c>
      <c r="C6248">
        <v>0</v>
      </c>
    </row>
    <row r="6249" spans="1:3" x14ac:dyDescent="0.3">
      <c r="A6249" t="s">
        <v>373</v>
      </c>
      <c r="B6249" t="s">
        <v>64</v>
      </c>
      <c r="C6249">
        <v>0.02</v>
      </c>
    </row>
    <row r="6250" spans="1:3" x14ac:dyDescent="0.3">
      <c r="A6250" t="s">
        <v>373</v>
      </c>
      <c r="B6250" t="s">
        <v>64</v>
      </c>
      <c r="C6250">
        <v>0.08</v>
      </c>
    </row>
    <row r="6251" spans="1:3" x14ac:dyDescent="0.3">
      <c r="A6251" t="s">
        <v>2190</v>
      </c>
      <c r="B6251" t="s">
        <v>40</v>
      </c>
      <c r="C6251">
        <v>0.05</v>
      </c>
    </row>
    <row r="6252" spans="1:3" x14ac:dyDescent="0.3">
      <c r="A6252" t="s">
        <v>2190</v>
      </c>
      <c r="B6252" t="s">
        <v>40</v>
      </c>
      <c r="C6252">
        <v>0.1</v>
      </c>
    </row>
    <row r="6253" spans="1:3" x14ac:dyDescent="0.3">
      <c r="A6253" t="s">
        <v>2741</v>
      </c>
      <c r="B6253" t="s">
        <v>87</v>
      </c>
      <c r="C6253">
        <v>7.0000000000000007E-2</v>
      </c>
    </row>
    <row r="6254" spans="1:3" x14ac:dyDescent="0.3">
      <c r="A6254" t="s">
        <v>2926</v>
      </c>
      <c r="B6254" t="s">
        <v>53</v>
      </c>
      <c r="C6254">
        <v>0.06</v>
      </c>
    </row>
    <row r="6255" spans="1:3" x14ac:dyDescent="0.3">
      <c r="A6255" t="s">
        <v>3176</v>
      </c>
      <c r="B6255" t="s">
        <v>87</v>
      </c>
      <c r="C6255">
        <v>0.09</v>
      </c>
    </row>
    <row r="6256" spans="1:3" x14ac:dyDescent="0.3">
      <c r="A6256" t="s">
        <v>3562</v>
      </c>
      <c r="B6256" t="s">
        <v>64</v>
      </c>
      <c r="C6256">
        <v>0.04</v>
      </c>
    </row>
    <row r="6257" spans="1:3" x14ac:dyDescent="0.3">
      <c r="A6257" t="s">
        <v>3664</v>
      </c>
      <c r="B6257" t="s">
        <v>225</v>
      </c>
      <c r="C6257">
        <v>0.09</v>
      </c>
    </row>
    <row r="6258" spans="1:3" x14ac:dyDescent="0.3">
      <c r="A6258" t="s">
        <v>5114</v>
      </c>
      <c r="B6258" t="s">
        <v>64</v>
      </c>
      <c r="C6258">
        <v>0.05</v>
      </c>
    </row>
    <row r="6259" spans="1:3" x14ac:dyDescent="0.3">
      <c r="A6259" t="s">
        <v>5155</v>
      </c>
      <c r="B6259" t="s">
        <v>87</v>
      </c>
      <c r="C6259">
        <v>0</v>
      </c>
    </row>
    <row r="6260" spans="1:3" x14ac:dyDescent="0.3">
      <c r="A6260" t="s">
        <v>5155</v>
      </c>
      <c r="B6260" t="s">
        <v>87</v>
      </c>
      <c r="C6260">
        <v>0.01</v>
      </c>
    </row>
    <row r="6261" spans="1:3" x14ac:dyDescent="0.3">
      <c r="A6261" t="s">
        <v>5155</v>
      </c>
      <c r="B6261" t="s">
        <v>87</v>
      </c>
      <c r="C6261">
        <v>0.04</v>
      </c>
    </row>
    <row r="6262" spans="1:3" x14ac:dyDescent="0.3">
      <c r="A6262" t="s">
        <v>5655</v>
      </c>
      <c r="B6262" t="s">
        <v>40</v>
      </c>
      <c r="C6262">
        <v>0.06</v>
      </c>
    </row>
    <row r="6263" spans="1:3" x14ac:dyDescent="0.3">
      <c r="A6263" t="s">
        <v>6048</v>
      </c>
      <c r="B6263" t="s">
        <v>87</v>
      </c>
      <c r="C6263">
        <v>0.03</v>
      </c>
    </row>
    <row r="6264" spans="1:3" x14ac:dyDescent="0.3">
      <c r="A6264" t="s">
        <v>7089</v>
      </c>
      <c r="B6264" t="s">
        <v>40</v>
      </c>
      <c r="C6264">
        <v>0.08</v>
      </c>
    </row>
    <row r="6265" spans="1:3" x14ac:dyDescent="0.3">
      <c r="A6265" t="s">
        <v>7319</v>
      </c>
      <c r="B6265" t="s">
        <v>40</v>
      </c>
      <c r="C6265">
        <v>0.04</v>
      </c>
    </row>
    <row r="6266" spans="1:3" x14ac:dyDescent="0.3">
      <c r="A6266" t="s">
        <v>7789</v>
      </c>
      <c r="B6266" t="s">
        <v>64</v>
      </c>
      <c r="C6266">
        <v>7.0000000000000007E-2</v>
      </c>
    </row>
    <row r="6267" spans="1:3" x14ac:dyDescent="0.3">
      <c r="A6267" t="s">
        <v>10042</v>
      </c>
      <c r="B6267" t="s">
        <v>225</v>
      </c>
      <c r="C6267">
        <v>0.06</v>
      </c>
    </row>
    <row r="6268" spans="1:3" x14ac:dyDescent="0.3">
      <c r="A6268" t="s">
        <v>10042</v>
      </c>
      <c r="B6268" t="s">
        <v>225</v>
      </c>
      <c r="C6268">
        <v>0.09</v>
      </c>
    </row>
    <row r="6269" spans="1:3" x14ac:dyDescent="0.3">
      <c r="A6269" t="s">
        <v>10968</v>
      </c>
      <c r="B6269" t="s">
        <v>64</v>
      </c>
      <c r="C6269">
        <v>0.09</v>
      </c>
    </row>
    <row r="6270" spans="1:3" x14ac:dyDescent="0.3">
      <c r="A6270" t="s">
        <v>11611</v>
      </c>
      <c r="B6270" t="s">
        <v>53</v>
      </c>
      <c r="C6270">
        <v>0.04</v>
      </c>
    </row>
    <row r="6271" spans="1:3" x14ac:dyDescent="0.3">
      <c r="A6271" t="s">
        <v>11732</v>
      </c>
      <c r="B6271" t="s">
        <v>64</v>
      </c>
      <c r="C6271">
        <v>0.1</v>
      </c>
    </row>
    <row r="6272" spans="1:3" x14ac:dyDescent="0.3">
      <c r="A6272" t="s">
        <v>11901</v>
      </c>
      <c r="B6272" t="s">
        <v>53</v>
      </c>
      <c r="C6272">
        <v>0.02</v>
      </c>
    </row>
    <row r="6273" spans="1:3" x14ac:dyDescent="0.3">
      <c r="A6273" t="s">
        <v>11901</v>
      </c>
      <c r="B6273" t="s">
        <v>53</v>
      </c>
      <c r="C6273">
        <v>0.06</v>
      </c>
    </row>
    <row r="6274" spans="1:3" x14ac:dyDescent="0.3">
      <c r="A6274" t="s">
        <v>12250</v>
      </c>
      <c r="B6274" t="s">
        <v>64</v>
      </c>
      <c r="C6274">
        <v>0.03</v>
      </c>
    </row>
    <row r="6275" spans="1:3" x14ac:dyDescent="0.3">
      <c r="A6275" t="s">
        <v>12325</v>
      </c>
      <c r="B6275" t="s">
        <v>64</v>
      </c>
      <c r="C6275">
        <v>0.05</v>
      </c>
    </row>
    <row r="6276" spans="1:3" x14ac:dyDescent="0.3">
      <c r="A6276" t="s">
        <v>12579</v>
      </c>
      <c r="B6276" t="s">
        <v>225</v>
      </c>
      <c r="C6276">
        <v>0.06</v>
      </c>
    </row>
    <row r="6277" spans="1:3" x14ac:dyDescent="0.3">
      <c r="A6277" t="s">
        <v>14419</v>
      </c>
      <c r="B6277" t="s">
        <v>225</v>
      </c>
      <c r="C6277">
        <v>0</v>
      </c>
    </row>
    <row r="6278" spans="1:3" x14ac:dyDescent="0.3">
      <c r="A6278" t="s">
        <v>14496</v>
      </c>
      <c r="B6278" t="s">
        <v>64</v>
      </c>
      <c r="C6278">
        <v>0.09</v>
      </c>
    </row>
    <row r="6279" spans="1:3" x14ac:dyDescent="0.3">
      <c r="A6279" t="s">
        <v>15062</v>
      </c>
      <c r="B6279" t="s">
        <v>40</v>
      </c>
      <c r="C6279">
        <v>0.01</v>
      </c>
    </row>
    <row r="6280" spans="1:3" x14ac:dyDescent="0.3">
      <c r="A6280" t="s">
        <v>15062</v>
      </c>
      <c r="B6280" t="s">
        <v>40</v>
      </c>
      <c r="C6280">
        <v>0.02</v>
      </c>
    </row>
    <row r="6281" spans="1:3" x14ac:dyDescent="0.3">
      <c r="A6281" t="s">
        <v>15376</v>
      </c>
      <c r="B6281" t="s">
        <v>64</v>
      </c>
      <c r="C6281">
        <v>0.01</v>
      </c>
    </row>
    <row r="6282" spans="1:3" x14ac:dyDescent="0.3">
      <c r="A6282" t="s">
        <v>15541</v>
      </c>
      <c r="B6282" t="s">
        <v>29</v>
      </c>
      <c r="C6282">
        <v>0.08</v>
      </c>
    </row>
    <row r="6283" spans="1:3" x14ac:dyDescent="0.3">
      <c r="A6283" t="s">
        <v>15584</v>
      </c>
      <c r="B6283" t="s">
        <v>53</v>
      </c>
      <c r="C6283">
        <v>0.06</v>
      </c>
    </row>
    <row r="6284" spans="1:3" x14ac:dyDescent="0.3">
      <c r="A6284" t="s">
        <v>15610</v>
      </c>
      <c r="B6284" t="s">
        <v>53</v>
      </c>
      <c r="C6284">
        <v>0.05</v>
      </c>
    </row>
    <row r="6285" spans="1:3" x14ac:dyDescent="0.3">
      <c r="A6285" t="s">
        <v>15859</v>
      </c>
      <c r="B6285" t="s">
        <v>53</v>
      </c>
      <c r="C6285">
        <v>0.06</v>
      </c>
    </row>
    <row r="6286" spans="1:3" x14ac:dyDescent="0.3">
      <c r="A6286" t="s">
        <v>15861</v>
      </c>
      <c r="B6286" t="s">
        <v>64</v>
      </c>
      <c r="C6286">
        <v>0.05</v>
      </c>
    </row>
    <row r="6287" spans="1:3" x14ac:dyDescent="0.3">
      <c r="A6287" t="s">
        <v>15862</v>
      </c>
      <c r="B6287" t="s">
        <v>40</v>
      </c>
      <c r="C6287">
        <v>0.05</v>
      </c>
    </row>
    <row r="6288" spans="1:3" x14ac:dyDescent="0.3">
      <c r="A6288" t="s">
        <v>15871</v>
      </c>
      <c r="B6288" t="s">
        <v>40</v>
      </c>
      <c r="C6288">
        <v>0.06</v>
      </c>
    </row>
    <row r="6289" spans="1:3" x14ac:dyDescent="0.3">
      <c r="A6289" t="s">
        <v>15871</v>
      </c>
      <c r="B6289" t="s">
        <v>40</v>
      </c>
      <c r="C6289">
        <v>0.09</v>
      </c>
    </row>
    <row r="6290" spans="1:3" x14ac:dyDescent="0.3">
      <c r="A6290" t="s">
        <v>15877</v>
      </c>
      <c r="B6290" t="s">
        <v>87</v>
      </c>
      <c r="C6290">
        <v>0.02</v>
      </c>
    </row>
    <row r="6291" spans="1:3" x14ac:dyDescent="0.3">
      <c r="A6291" t="s">
        <v>15877</v>
      </c>
      <c r="B6291" t="s">
        <v>87</v>
      </c>
      <c r="C6291">
        <v>0.09</v>
      </c>
    </row>
    <row r="6292" spans="1:3" x14ac:dyDescent="0.3">
      <c r="A6292" t="s">
        <v>15879</v>
      </c>
      <c r="B6292" t="s">
        <v>40</v>
      </c>
      <c r="C6292">
        <v>0.08</v>
      </c>
    </row>
    <row r="6293" spans="1:3" x14ac:dyDescent="0.3">
      <c r="A6293" t="s">
        <v>15879</v>
      </c>
      <c r="B6293" t="s">
        <v>40</v>
      </c>
      <c r="C6293">
        <v>0.1</v>
      </c>
    </row>
    <row r="6294" spans="1:3" x14ac:dyDescent="0.3">
      <c r="A6294" t="s">
        <v>15885</v>
      </c>
      <c r="B6294" t="s">
        <v>53</v>
      </c>
      <c r="C6294">
        <v>0.03</v>
      </c>
    </row>
    <row r="6295" spans="1:3" x14ac:dyDescent="0.3">
      <c r="A6295" t="s">
        <v>15886</v>
      </c>
      <c r="B6295" t="s">
        <v>64</v>
      </c>
      <c r="C6295">
        <v>0.04</v>
      </c>
    </row>
    <row r="6296" spans="1:3" x14ac:dyDescent="0.3">
      <c r="A6296" t="s">
        <v>15900</v>
      </c>
      <c r="B6296" t="s">
        <v>64</v>
      </c>
      <c r="C6296">
        <v>0.02</v>
      </c>
    </row>
    <row r="6297" spans="1:3" x14ac:dyDescent="0.3">
      <c r="A6297" t="s">
        <v>15912</v>
      </c>
      <c r="B6297" t="s">
        <v>64</v>
      </c>
      <c r="C6297">
        <v>0</v>
      </c>
    </row>
    <row r="6298" spans="1:3" x14ac:dyDescent="0.3">
      <c r="A6298" t="s">
        <v>15919</v>
      </c>
      <c r="B6298" t="s">
        <v>40</v>
      </c>
      <c r="C6298">
        <v>0.05</v>
      </c>
    </row>
    <row r="6299" spans="1:3" x14ac:dyDescent="0.3">
      <c r="A6299" t="s">
        <v>15924</v>
      </c>
      <c r="B6299" t="s">
        <v>87</v>
      </c>
      <c r="C6299">
        <v>0.02</v>
      </c>
    </row>
    <row r="6300" spans="1:3" x14ac:dyDescent="0.3">
      <c r="A6300" t="s">
        <v>15924</v>
      </c>
      <c r="B6300" t="s">
        <v>87</v>
      </c>
      <c r="C6300">
        <v>0.05</v>
      </c>
    </row>
    <row r="6301" spans="1:3" x14ac:dyDescent="0.3">
      <c r="A6301" t="s">
        <v>15925</v>
      </c>
      <c r="B6301" t="s">
        <v>53</v>
      </c>
      <c r="C6301">
        <v>7.0000000000000007E-2</v>
      </c>
    </row>
    <row r="6302" spans="1:3" x14ac:dyDescent="0.3">
      <c r="A6302" t="s">
        <v>15939</v>
      </c>
      <c r="B6302" t="s">
        <v>40</v>
      </c>
      <c r="C6302">
        <v>0</v>
      </c>
    </row>
    <row r="6303" spans="1:3" x14ac:dyDescent="0.3">
      <c r="A6303" t="s">
        <v>15954</v>
      </c>
      <c r="B6303" t="s">
        <v>87</v>
      </c>
      <c r="C6303">
        <v>0.09</v>
      </c>
    </row>
    <row r="6304" spans="1:3" x14ac:dyDescent="0.3">
      <c r="A6304" t="s">
        <v>15958</v>
      </c>
      <c r="B6304" t="s">
        <v>40</v>
      </c>
      <c r="C6304">
        <v>0.05</v>
      </c>
    </row>
    <row r="6305" spans="1:3" x14ac:dyDescent="0.3">
      <c r="A6305" t="s">
        <v>15958</v>
      </c>
      <c r="B6305" t="s">
        <v>40</v>
      </c>
      <c r="C6305">
        <v>0.08</v>
      </c>
    </row>
    <row r="6306" spans="1:3" x14ac:dyDescent="0.3">
      <c r="A6306" t="s">
        <v>15959</v>
      </c>
      <c r="B6306" t="s">
        <v>64</v>
      </c>
      <c r="C6306">
        <v>0.09</v>
      </c>
    </row>
    <row r="6307" spans="1:3" x14ac:dyDescent="0.3">
      <c r="A6307" t="s">
        <v>15966</v>
      </c>
      <c r="B6307" t="s">
        <v>64</v>
      </c>
      <c r="C6307">
        <v>0</v>
      </c>
    </row>
    <row r="6308" spans="1:3" x14ac:dyDescent="0.3">
      <c r="A6308" t="s">
        <v>15968</v>
      </c>
      <c r="B6308" t="s">
        <v>40</v>
      </c>
      <c r="C6308">
        <v>0.06</v>
      </c>
    </row>
    <row r="6309" spans="1:3" x14ac:dyDescent="0.3">
      <c r="A6309" t="s">
        <v>15981</v>
      </c>
      <c r="B6309" t="s">
        <v>64</v>
      </c>
      <c r="C6309">
        <v>0.1</v>
      </c>
    </row>
    <row r="6310" spans="1:3" x14ac:dyDescent="0.3">
      <c r="A6310" t="s">
        <v>15983</v>
      </c>
      <c r="B6310" t="s">
        <v>40</v>
      </c>
      <c r="C6310">
        <v>7.0000000000000007E-2</v>
      </c>
    </row>
    <row r="6311" spans="1:3" x14ac:dyDescent="0.3">
      <c r="A6311" t="s">
        <v>15983</v>
      </c>
      <c r="B6311" t="s">
        <v>40</v>
      </c>
      <c r="C6311">
        <v>0.09</v>
      </c>
    </row>
    <row r="6312" spans="1:3" x14ac:dyDescent="0.3">
      <c r="A6312" t="s">
        <v>15985</v>
      </c>
      <c r="B6312" t="s">
        <v>64</v>
      </c>
      <c r="C6312">
        <v>0.09</v>
      </c>
    </row>
    <row r="6313" spans="1:3" x14ac:dyDescent="0.3">
      <c r="A6313" t="s">
        <v>15986</v>
      </c>
      <c r="B6313" t="s">
        <v>225</v>
      </c>
      <c r="C6313">
        <v>0.01</v>
      </c>
    </row>
    <row r="6314" spans="1:3" x14ac:dyDescent="0.3">
      <c r="A6314" t="s">
        <v>15986</v>
      </c>
      <c r="B6314" t="s">
        <v>225</v>
      </c>
      <c r="C6314">
        <v>0.05</v>
      </c>
    </row>
    <row r="6315" spans="1:3" x14ac:dyDescent="0.3">
      <c r="A6315" t="s">
        <v>15986</v>
      </c>
      <c r="B6315" t="s">
        <v>225</v>
      </c>
      <c r="C6315">
        <v>0.1</v>
      </c>
    </row>
    <row r="6316" spans="1:3" x14ac:dyDescent="0.3">
      <c r="A6316" t="s">
        <v>15994</v>
      </c>
      <c r="B6316" t="s">
        <v>64</v>
      </c>
      <c r="C6316">
        <v>0.04</v>
      </c>
    </row>
    <row r="6317" spans="1:3" x14ac:dyDescent="0.3">
      <c r="A6317" t="s">
        <v>15994</v>
      </c>
      <c r="B6317" t="s">
        <v>64</v>
      </c>
      <c r="C6317">
        <v>0.08</v>
      </c>
    </row>
    <row r="6318" spans="1:3" x14ac:dyDescent="0.3">
      <c r="A6318" t="s">
        <v>15998</v>
      </c>
      <c r="B6318" t="s">
        <v>64</v>
      </c>
      <c r="C6318">
        <v>7.0000000000000007E-2</v>
      </c>
    </row>
    <row r="6319" spans="1:3" x14ac:dyDescent="0.3">
      <c r="A6319" t="s">
        <v>15998</v>
      </c>
      <c r="B6319" t="s">
        <v>64</v>
      </c>
      <c r="C6319">
        <v>0.1</v>
      </c>
    </row>
    <row r="6320" spans="1:3" x14ac:dyDescent="0.3">
      <c r="A6320" t="s">
        <v>16000</v>
      </c>
      <c r="B6320" t="s">
        <v>87</v>
      </c>
      <c r="C6320">
        <v>0.02</v>
      </c>
    </row>
    <row r="6321" spans="1:3" x14ac:dyDescent="0.3">
      <c r="A6321" t="s">
        <v>16000</v>
      </c>
      <c r="B6321" t="s">
        <v>87</v>
      </c>
      <c r="C6321">
        <v>0.03</v>
      </c>
    </row>
    <row r="6322" spans="1:3" x14ac:dyDescent="0.3">
      <c r="A6322" t="s">
        <v>16000</v>
      </c>
      <c r="B6322" t="s">
        <v>87</v>
      </c>
      <c r="C6322">
        <v>0.05</v>
      </c>
    </row>
    <row r="6323" spans="1:3" x14ac:dyDescent="0.3">
      <c r="A6323" t="s">
        <v>16002</v>
      </c>
      <c r="B6323" t="s">
        <v>40</v>
      </c>
      <c r="C6323">
        <v>0.09</v>
      </c>
    </row>
    <row r="6324" spans="1:3" x14ac:dyDescent="0.3">
      <c r="A6324" t="s">
        <v>16004</v>
      </c>
      <c r="B6324" t="s">
        <v>40</v>
      </c>
      <c r="C6324">
        <v>0.05</v>
      </c>
    </row>
    <row r="6325" spans="1:3" x14ac:dyDescent="0.3">
      <c r="A6325" t="s">
        <v>16015</v>
      </c>
      <c r="B6325" t="s">
        <v>40</v>
      </c>
      <c r="C6325">
        <v>0.04</v>
      </c>
    </row>
    <row r="6326" spans="1:3" x14ac:dyDescent="0.3">
      <c r="A6326" t="s">
        <v>16017</v>
      </c>
      <c r="B6326" t="s">
        <v>225</v>
      </c>
      <c r="C6326">
        <v>0</v>
      </c>
    </row>
    <row r="6327" spans="1:3" x14ac:dyDescent="0.3">
      <c r="A6327" t="s">
        <v>16019</v>
      </c>
      <c r="B6327" t="s">
        <v>40</v>
      </c>
      <c r="C6327">
        <v>0.02</v>
      </c>
    </row>
    <row r="6328" spans="1:3" x14ac:dyDescent="0.3">
      <c r="A6328" t="s">
        <v>16019</v>
      </c>
      <c r="B6328" t="s">
        <v>40</v>
      </c>
      <c r="C6328">
        <v>0.06</v>
      </c>
    </row>
    <row r="6329" spans="1:3" x14ac:dyDescent="0.3">
      <c r="A6329" t="s">
        <v>16022</v>
      </c>
      <c r="B6329" t="s">
        <v>87</v>
      </c>
      <c r="C6329">
        <v>0.05</v>
      </c>
    </row>
    <row r="6330" spans="1:3" x14ac:dyDescent="0.3">
      <c r="A6330" t="s">
        <v>16025</v>
      </c>
      <c r="B6330" t="s">
        <v>40</v>
      </c>
      <c r="C6330">
        <v>0.02</v>
      </c>
    </row>
    <row r="6331" spans="1:3" x14ac:dyDescent="0.3">
      <c r="A6331" t="s">
        <v>16034</v>
      </c>
      <c r="B6331" t="s">
        <v>64</v>
      </c>
      <c r="C6331">
        <v>0.1</v>
      </c>
    </row>
    <row r="6332" spans="1:3" x14ac:dyDescent="0.3">
      <c r="A6332" t="s">
        <v>16035</v>
      </c>
      <c r="B6332" t="s">
        <v>53</v>
      </c>
      <c r="C6332">
        <v>0.04</v>
      </c>
    </row>
    <row r="6333" spans="1:3" x14ac:dyDescent="0.3">
      <c r="A6333" t="s">
        <v>16035</v>
      </c>
      <c r="B6333" t="s">
        <v>53</v>
      </c>
      <c r="C6333">
        <v>0.05</v>
      </c>
    </row>
    <row r="6334" spans="1:3" x14ac:dyDescent="0.3">
      <c r="A6334" t="s">
        <v>16036</v>
      </c>
      <c r="B6334" t="s">
        <v>64</v>
      </c>
      <c r="C6334">
        <v>0.08</v>
      </c>
    </row>
    <row r="6335" spans="1:3" x14ac:dyDescent="0.3">
      <c r="A6335" t="s">
        <v>16040</v>
      </c>
      <c r="B6335" t="s">
        <v>87</v>
      </c>
      <c r="C6335">
        <v>0.02</v>
      </c>
    </row>
    <row r="6336" spans="1:3" x14ac:dyDescent="0.3">
      <c r="A6336" t="s">
        <v>16042</v>
      </c>
      <c r="B6336" t="s">
        <v>53</v>
      </c>
      <c r="C6336">
        <v>0</v>
      </c>
    </row>
    <row r="6337" spans="1:3" x14ac:dyDescent="0.3">
      <c r="A6337" t="s">
        <v>16045</v>
      </c>
      <c r="B6337" t="s">
        <v>64</v>
      </c>
      <c r="C6337">
        <v>0.03</v>
      </c>
    </row>
    <row r="6338" spans="1:3" x14ac:dyDescent="0.3">
      <c r="A6338" t="s">
        <v>16050</v>
      </c>
      <c r="B6338" t="s">
        <v>87</v>
      </c>
      <c r="C6338">
        <v>0.03</v>
      </c>
    </row>
    <row r="6339" spans="1:3" x14ac:dyDescent="0.3">
      <c r="A6339" t="s">
        <v>16052</v>
      </c>
      <c r="B6339" t="s">
        <v>87</v>
      </c>
      <c r="C6339">
        <v>0.02</v>
      </c>
    </row>
    <row r="6340" spans="1:3" x14ac:dyDescent="0.3">
      <c r="A6340" t="s">
        <v>16053</v>
      </c>
      <c r="B6340" t="s">
        <v>40</v>
      </c>
      <c r="C6340">
        <v>0.02</v>
      </c>
    </row>
    <row r="6341" spans="1:3" x14ac:dyDescent="0.3">
      <c r="A6341" t="s">
        <v>16053</v>
      </c>
      <c r="B6341" t="s">
        <v>40</v>
      </c>
      <c r="C6341">
        <v>0.06</v>
      </c>
    </row>
    <row r="6342" spans="1:3" x14ac:dyDescent="0.3">
      <c r="A6342" t="s">
        <v>16055</v>
      </c>
      <c r="B6342" t="s">
        <v>40</v>
      </c>
      <c r="C6342">
        <v>0.1</v>
      </c>
    </row>
    <row r="6343" spans="1:3" x14ac:dyDescent="0.3">
      <c r="A6343" t="s">
        <v>16058</v>
      </c>
      <c r="B6343" t="s">
        <v>53</v>
      </c>
      <c r="C6343">
        <v>0.08</v>
      </c>
    </row>
    <row r="6344" spans="1:3" x14ac:dyDescent="0.3">
      <c r="A6344" t="s">
        <v>16062</v>
      </c>
      <c r="B6344" t="s">
        <v>53</v>
      </c>
      <c r="C6344">
        <v>0.09</v>
      </c>
    </row>
    <row r="6345" spans="1:3" x14ac:dyDescent="0.3">
      <c r="A6345" t="s">
        <v>16068</v>
      </c>
      <c r="B6345" t="s">
        <v>64</v>
      </c>
      <c r="C6345">
        <v>0</v>
      </c>
    </row>
    <row r="6346" spans="1:3" x14ac:dyDescent="0.3">
      <c r="A6346" t="s">
        <v>16068</v>
      </c>
      <c r="B6346" t="s">
        <v>64</v>
      </c>
      <c r="C6346">
        <v>0.1</v>
      </c>
    </row>
    <row r="6347" spans="1:3" x14ac:dyDescent="0.3">
      <c r="A6347" t="s">
        <v>16070</v>
      </c>
      <c r="B6347" t="s">
        <v>64</v>
      </c>
      <c r="C6347">
        <v>0.02</v>
      </c>
    </row>
    <row r="6348" spans="1:3" x14ac:dyDescent="0.3">
      <c r="A6348" t="s">
        <v>16074</v>
      </c>
      <c r="B6348" t="s">
        <v>87</v>
      </c>
      <c r="C6348">
        <v>0.08</v>
      </c>
    </row>
    <row r="6349" spans="1:3" x14ac:dyDescent="0.3">
      <c r="A6349" t="s">
        <v>16083</v>
      </c>
      <c r="B6349" t="s">
        <v>64</v>
      </c>
      <c r="C6349">
        <v>7.0000000000000007E-2</v>
      </c>
    </row>
    <row r="6350" spans="1:3" x14ac:dyDescent="0.3">
      <c r="A6350" t="s">
        <v>16084</v>
      </c>
      <c r="B6350" t="s">
        <v>64</v>
      </c>
      <c r="C6350">
        <v>0.04</v>
      </c>
    </row>
    <row r="6351" spans="1:3" x14ac:dyDescent="0.3">
      <c r="A6351" t="s">
        <v>16084</v>
      </c>
      <c r="B6351" t="s">
        <v>64</v>
      </c>
      <c r="C6351">
        <v>7.0000000000000007E-2</v>
      </c>
    </row>
    <row r="6352" spans="1:3" x14ac:dyDescent="0.3">
      <c r="A6352" t="s">
        <v>16087</v>
      </c>
      <c r="B6352" t="s">
        <v>64</v>
      </c>
      <c r="C6352">
        <v>0</v>
      </c>
    </row>
    <row r="6353" spans="1:3" x14ac:dyDescent="0.3">
      <c r="A6353" t="s">
        <v>16100</v>
      </c>
      <c r="B6353" t="s">
        <v>40</v>
      </c>
      <c r="C6353">
        <v>0.02</v>
      </c>
    </row>
    <row r="6354" spans="1:3" x14ac:dyDescent="0.3">
      <c r="A6354" t="s">
        <v>16100</v>
      </c>
      <c r="B6354" t="s">
        <v>40</v>
      </c>
      <c r="C6354">
        <v>7.0000000000000007E-2</v>
      </c>
    </row>
    <row r="6355" spans="1:3" x14ac:dyDescent="0.3">
      <c r="A6355" t="s">
        <v>16104</v>
      </c>
      <c r="B6355" t="s">
        <v>53</v>
      </c>
      <c r="C6355">
        <v>0.01</v>
      </c>
    </row>
    <row r="6356" spans="1:3" x14ac:dyDescent="0.3">
      <c r="A6356" t="s">
        <v>16109</v>
      </c>
      <c r="B6356" t="s">
        <v>64</v>
      </c>
      <c r="C6356">
        <v>0.02</v>
      </c>
    </row>
    <row r="6357" spans="1:3" x14ac:dyDescent="0.3">
      <c r="A6357" t="s">
        <v>16109</v>
      </c>
      <c r="B6357" t="s">
        <v>64</v>
      </c>
      <c r="C6357">
        <v>0.05</v>
      </c>
    </row>
    <row r="6358" spans="1:3" x14ac:dyDescent="0.3">
      <c r="A6358" t="s">
        <v>16109</v>
      </c>
      <c r="B6358" t="s">
        <v>64</v>
      </c>
      <c r="C6358">
        <v>0.1</v>
      </c>
    </row>
    <row r="6359" spans="1:3" x14ac:dyDescent="0.3">
      <c r="A6359" t="s">
        <v>16111</v>
      </c>
      <c r="B6359" t="s">
        <v>87</v>
      </c>
      <c r="C6359">
        <v>0.08</v>
      </c>
    </row>
    <row r="6360" spans="1:3" x14ac:dyDescent="0.3">
      <c r="A6360" t="s">
        <v>16117</v>
      </c>
      <c r="B6360" t="s">
        <v>53</v>
      </c>
      <c r="C6360">
        <v>0.04</v>
      </c>
    </row>
    <row r="6361" spans="1:3" x14ac:dyDescent="0.3">
      <c r="A6361" t="s">
        <v>16122</v>
      </c>
      <c r="B6361" t="s">
        <v>64</v>
      </c>
      <c r="C6361">
        <v>0.05</v>
      </c>
    </row>
    <row r="6362" spans="1:3" x14ac:dyDescent="0.3">
      <c r="A6362" t="s">
        <v>16125</v>
      </c>
      <c r="B6362" t="s">
        <v>64</v>
      </c>
      <c r="C6362">
        <v>0.03</v>
      </c>
    </row>
    <row r="6363" spans="1:3" x14ac:dyDescent="0.3">
      <c r="A6363" t="s">
        <v>16128</v>
      </c>
      <c r="B6363" t="s">
        <v>64</v>
      </c>
      <c r="C6363">
        <v>0.04</v>
      </c>
    </row>
    <row r="6364" spans="1:3" x14ac:dyDescent="0.3">
      <c r="A6364" t="s">
        <v>16132</v>
      </c>
      <c r="B6364" t="s">
        <v>40</v>
      </c>
      <c r="C6364">
        <v>0.01</v>
      </c>
    </row>
    <row r="6365" spans="1:3" x14ac:dyDescent="0.3">
      <c r="A6365" t="s">
        <v>16132</v>
      </c>
      <c r="B6365" t="s">
        <v>40</v>
      </c>
      <c r="C6365">
        <v>0.04</v>
      </c>
    </row>
    <row r="6366" spans="1:3" x14ac:dyDescent="0.3">
      <c r="A6366" t="s">
        <v>16138</v>
      </c>
      <c r="B6366" t="s">
        <v>40</v>
      </c>
      <c r="C6366">
        <v>0.1</v>
      </c>
    </row>
    <row r="6367" spans="1:3" x14ac:dyDescent="0.3">
      <c r="A6367" t="s">
        <v>16145</v>
      </c>
      <c r="B6367" t="s">
        <v>29</v>
      </c>
      <c r="C6367">
        <v>0</v>
      </c>
    </row>
    <row r="6368" spans="1:3" x14ac:dyDescent="0.3">
      <c r="A6368" t="s">
        <v>16145</v>
      </c>
      <c r="B6368" t="s">
        <v>29</v>
      </c>
      <c r="C6368">
        <v>0.1</v>
      </c>
    </row>
    <row r="6369" spans="1:3" x14ac:dyDescent="0.3">
      <c r="A6369" t="s">
        <v>16148</v>
      </c>
      <c r="B6369" t="s">
        <v>40</v>
      </c>
      <c r="C6369">
        <v>0.03</v>
      </c>
    </row>
    <row r="6370" spans="1:3" x14ac:dyDescent="0.3">
      <c r="A6370" t="s">
        <v>16149</v>
      </c>
      <c r="B6370" t="s">
        <v>53</v>
      </c>
      <c r="C6370">
        <v>0.02</v>
      </c>
    </row>
    <row r="6371" spans="1:3" x14ac:dyDescent="0.3">
      <c r="A6371" t="s">
        <v>16152</v>
      </c>
      <c r="B6371" t="s">
        <v>53</v>
      </c>
      <c r="C6371">
        <v>0</v>
      </c>
    </row>
    <row r="6372" spans="1:3" x14ac:dyDescent="0.3">
      <c r="A6372" t="s">
        <v>16153</v>
      </c>
      <c r="B6372" t="s">
        <v>40</v>
      </c>
      <c r="C6372">
        <v>0.08</v>
      </c>
    </row>
    <row r="6373" spans="1:3" x14ac:dyDescent="0.3">
      <c r="A6373" t="s">
        <v>16168</v>
      </c>
      <c r="B6373" t="s">
        <v>225</v>
      </c>
      <c r="C6373">
        <v>0.1</v>
      </c>
    </row>
    <row r="6374" spans="1:3" x14ac:dyDescent="0.3">
      <c r="A6374" t="s">
        <v>16172</v>
      </c>
      <c r="B6374" t="s">
        <v>40</v>
      </c>
      <c r="C6374">
        <v>0</v>
      </c>
    </row>
    <row r="6375" spans="1:3" x14ac:dyDescent="0.3">
      <c r="A6375" t="s">
        <v>16174</v>
      </c>
      <c r="B6375" t="s">
        <v>64</v>
      </c>
      <c r="C6375">
        <v>0.04</v>
      </c>
    </row>
    <row r="6376" spans="1:3" x14ac:dyDescent="0.3">
      <c r="A6376" t="s">
        <v>16183</v>
      </c>
      <c r="B6376" t="s">
        <v>64</v>
      </c>
      <c r="C6376">
        <v>0.05</v>
      </c>
    </row>
    <row r="6377" spans="1:3" x14ac:dyDescent="0.3">
      <c r="A6377" t="s">
        <v>16186</v>
      </c>
      <c r="B6377" t="s">
        <v>53</v>
      </c>
      <c r="C6377">
        <v>0.04</v>
      </c>
    </row>
    <row r="6378" spans="1:3" x14ac:dyDescent="0.3">
      <c r="A6378" t="s">
        <v>16188</v>
      </c>
      <c r="B6378" t="s">
        <v>40</v>
      </c>
      <c r="C6378">
        <v>0.01</v>
      </c>
    </row>
    <row r="6379" spans="1:3" x14ac:dyDescent="0.3">
      <c r="A6379" t="s">
        <v>16189</v>
      </c>
      <c r="B6379" t="s">
        <v>53</v>
      </c>
      <c r="C6379">
        <v>0.1</v>
      </c>
    </row>
    <row r="6380" spans="1:3" x14ac:dyDescent="0.3">
      <c r="A6380" t="s">
        <v>16191</v>
      </c>
      <c r="B6380" t="s">
        <v>40</v>
      </c>
      <c r="C6380">
        <v>0.1</v>
      </c>
    </row>
    <row r="6381" spans="1:3" x14ac:dyDescent="0.3">
      <c r="A6381" t="s">
        <v>16202</v>
      </c>
      <c r="B6381" t="s">
        <v>40</v>
      </c>
      <c r="C6381">
        <v>0.04</v>
      </c>
    </row>
    <row r="6382" spans="1:3" x14ac:dyDescent="0.3">
      <c r="A6382" t="s">
        <v>16203</v>
      </c>
      <c r="B6382" t="s">
        <v>64</v>
      </c>
      <c r="C6382">
        <v>0.01</v>
      </c>
    </row>
    <row r="6383" spans="1:3" x14ac:dyDescent="0.3">
      <c r="A6383" t="s">
        <v>16203</v>
      </c>
      <c r="B6383" t="s">
        <v>64</v>
      </c>
      <c r="C6383">
        <v>0.02</v>
      </c>
    </row>
    <row r="6384" spans="1:3" x14ac:dyDescent="0.3">
      <c r="A6384" t="s">
        <v>16209</v>
      </c>
      <c r="B6384" t="s">
        <v>40</v>
      </c>
      <c r="C6384">
        <v>0.01</v>
      </c>
    </row>
    <row r="6385" spans="1:3" x14ac:dyDescent="0.3">
      <c r="A6385" t="s">
        <v>16211</v>
      </c>
      <c r="B6385" t="s">
        <v>40</v>
      </c>
      <c r="C6385">
        <v>0.1</v>
      </c>
    </row>
    <row r="6386" spans="1:3" x14ac:dyDescent="0.3">
      <c r="A6386" t="s">
        <v>16213</v>
      </c>
      <c r="B6386" t="s">
        <v>53</v>
      </c>
      <c r="C6386">
        <v>0.02</v>
      </c>
    </row>
    <row r="6387" spans="1:3" x14ac:dyDescent="0.3">
      <c r="A6387" t="s">
        <v>16213</v>
      </c>
      <c r="B6387" t="s">
        <v>53</v>
      </c>
      <c r="C6387">
        <v>0.03</v>
      </c>
    </row>
    <row r="6388" spans="1:3" x14ac:dyDescent="0.3">
      <c r="A6388" t="s">
        <v>16214</v>
      </c>
      <c r="B6388" t="s">
        <v>64</v>
      </c>
      <c r="C6388">
        <v>0.03</v>
      </c>
    </row>
    <row r="6389" spans="1:3" x14ac:dyDescent="0.3">
      <c r="A6389" t="s">
        <v>16215</v>
      </c>
      <c r="B6389" t="s">
        <v>64</v>
      </c>
      <c r="C6389">
        <v>0</v>
      </c>
    </row>
    <row r="6390" spans="1:3" x14ac:dyDescent="0.3">
      <c r="A6390" t="s">
        <v>16215</v>
      </c>
      <c r="B6390" t="s">
        <v>64</v>
      </c>
      <c r="C6390">
        <v>0.06</v>
      </c>
    </row>
    <row r="6391" spans="1:3" x14ac:dyDescent="0.3">
      <c r="A6391" t="s">
        <v>16217</v>
      </c>
      <c r="B6391" t="s">
        <v>64</v>
      </c>
      <c r="C6391">
        <v>0.01</v>
      </c>
    </row>
    <row r="6392" spans="1:3" x14ac:dyDescent="0.3">
      <c r="A6392" t="s">
        <v>16217</v>
      </c>
      <c r="B6392" t="s">
        <v>64</v>
      </c>
      <c r="C6392">
        <v>0.03</v>
      </c>
    </row>
    <row r="6393" spans="1:3" x14ac:dyDescent="0.3">
      <c r="A6393" t="s">
        <v>16217</v>
      </c>
      <c r="B6393" t="s">
        <v>64</v>
      </c>
      <c r="C6393">
        <v>0.05</v>
      </c>
    </row>
    <row r="6394" spans="1:3" x14ac:dyDescent="0.3">
      <c r="A6394" t="s">
        <v>16222</v>
      </c>
      <c r="B6394" t="s">
        <v>53</v>
      </c>
      <c r="C6394">
        <v>0.1</v>
      </c>
    </row>
    <row r="6395" spans="1:3" x14ac:dyDescent="0.3">
      <c r="A6395" t="s">
        <v>16229</v>
      </c>
      <c r="B6395" t="s">
        <v>53</v>
      </c>
      <c r="C6395">
        <v>0.04</v>
      </c>
    </row>
    <row r="6396" spans="1:3" x14ac:dyDescent="0.3">
      <c r="A6396" t="s">
        <v>16235</v>
      </c>
      <c r="B6396" t="s">
        <v>64</v>
      </c>
      <c r="C6396">
        <v>0.03</v>
      </c>
    </row>
    <row r="6397" spans="1:3" x14ac:dyDescent="0.3">
      <c r="A6397" t="s">
        <v>16238</v>
      </c>
      <c r="B6397" t="s">
        <v>87</v>
      </c>
      <c r="C6397">
        <v>0.01</v>
      </c>
    </row>
    <row r="6398" spans="1:3" x14ac:dyDescent="0.3">
      <c r="A6398" t="s">
        <v>16238</v>
      </c>
      <c r="B6398" t="s">
        <v>87</v>
      </c>
      <c r="C6398">
        <v>0.04</v>
      </c>
    </row>
    <row r="6399" spans="1:3" x14ac:dyDescent="0.3">
      <c r="A6399" t="s">
        <v>16238</v>
      </c>
      <c r="B6399" t="s">
        <v>87</v>
      </c>
      <c r="C6399">
        <v>0.06</v>
      </c>
    </row>
    <row r="6400" spans="1:3" x14ac:dyDescent="0.3">
      <c r="A6400" t="s">
        <v>16243</v>
      </c>
      <c r="B6400" t="s">
        <v>40</v>
      </c>
      <c r="C6400">
        <v>0</v>
      </c>
    </row>
    <row r="6401" spans="1:3" x14ac:dyDescent="0.3">
      <c r="A6401" t="s">
        <v>16246</v>
      </c>
      <c r="B6401" t="s">
        <v>64</v>
      </c>
      <c r="C6401">
        <v>0.06</v>
      </c>
    </row>
    <row r="6402" spans="1:3" x14ac:dyDescent="0.3">
      <c r="A6402" t="s">
        <v>16247</v>
      </c>
      <c r="B6402" t="s">
        <v>87</v>
      </c>
      <c r="C6402">
        <v>0.03</v>
      </c>
    </row>
    <row r="6403" spans="1:3" x14ac:dyDescent="0.3">
      <c r="A6403" t="s">
        <v>16249</v>
      </c>
      <c r="B6403" t="s">
        <v>29</v>
      </c>
      <c r="C6403">
        <v>0</v>
      </c>
    </row>
    <row r="6404" spans="1:3" x14ac:dyDescent="0.3">
      <c r="A6404" t="s">
        <v>16249</v>
      </c>
      <c r="B6404" t="s">
        <v>29</v>
      </c>
      <c r="C6404">
        <v>0.04</v>
      </c>
    </row>
    <row r="6405" spans="1:3" x14ac:dyDescent="0.3">
      <c r="A6405" t="s">
        <v>16249</v>
      </c>
      <c r="B6405" t="s">
        <v>29</v>
      </c>
      <c r="C6405">
        <v>0.05</v>
      </c>
    </row>
    <row r="6406" spans="1:3" x14ac:dyDescent="0.3">
      <c r="A6406" t="s">
        <v>16249</v>
      </c>
      <c r="B6406" t="s">
        <v>29</v>
      </c>
      <c r="C6406">
        <v>0.08</v>
      </c>
    </row>
    <row r="6407" spans="1:3" x14ac:dyDescent="0.3">
      <c r="A6407" t="s">
        <v>16251</v>
      </c>
      <c r="B6407" t="s">
        <v>40</v>
      </c>
      <c r="C6407">
        <v>0.03</v>
      </c>
    </row>
    <row r="6408" spans="1:3" x14ac:dyDescent="0.3">
      <c r="A6408" t="s">
        <v>16251</v>
      </c>
      <c r="B6408" t="s">
        <v>40</v>
      </c>
      <c r="C6408">
        <v>0.05</v>
      </c>
    </row>
    <row r="6409" spans="1:3" x14ac:dyDescent="0.3">
      <c r="A6409" t="s">
        <v>16254</v>
      </c>
      <c r="B6409" t="s">
        <v>40</v>
      </c>
      <c r="C6409">
        <v>0.01</v>
      </c>
    </row>
    <row r="6410" spans="1:3" x14ac:dyDescent="0.3">
      <c r="A6410" t="s">
        <v>16256</v>
      </c>
      <c r="B6410" t="s">
        <v>225</v>
      </c>
      <c r="C6410">
        <v>0.01</v>
      </c>
    </row>
    <row r="6411" spans="1:3" x14ac:dyDescent="0.3">
      <c r="A6411" t="s">
        <v>16261</v>
      </c>
      <c r="B6411" t="s">
        <v>64</v>
      </c>
      <c r="C6411">
        <v>0</v>
      </c>
    </row>
    <row r="6412" spans="1:3" x14ac:dyDescent="0.3">
      <c r="A6412" t="s">
        <v>16261</v>
      </c>
      <c r="B6412" t="s">
        <v>64</v>
      </c>
      <c r="C6412">
        <v>7.0000000000000007E-2</v>
      </c>
    </row>
    <row r="6413" spans="1:3" x14ac:dyDescent="0.3">
      <c r="A6413" t="s">
        <v>16262</v>
      </c>
      <c r="B6413" t="s">
        <v>64</v>
      </c>
      <c r="C6413">
        <v>0.05</v>
      </c>
    </row>
    <row r="6414" spans="1:3" x14ac:dyDescent="0.3">
      <c r="A6414" t="s">
        <v>16263</v>
      </c>
      <c r="B6414" t="s">
        <v>64</v>
      </c>
      <c r="C6414">
        <v>0.01</v>
      </c>
    </row>
    <row r="6415" spans="1:3" x14ac:dyDescent="0.3">
      <c r="A6415" t="s">
        <v>16265</v>
      </c>
      <c r="B6415" t="s">
        <v>29</v>
      </c>
      <c r="C6415">
        <v>0</v>
      </c>
    </row>
    <row r="6416" spans="1:3" x14ac:dyDescent="0.3">
      <c r="A6416" t="s">
        <v>16267</v>
      </c>
      <c r="B6416" t="s">
        <v>40</v>
      </c>
      <c r="C6416">
        <v>0.02</v>
      </c>
    </row>
    <row r="6417" spans="1:3" x14ac:dyDescent="0.3">
      <c r="A6417" t="s">
        <v>16267</v>
      </c>
      <c r="B6417" t="s">
        <v>40</v>
      </c>
      <c r="C6417">
        <v>0.08</v>
      </c>
    </row>
    <row r="6418" spans="1:3" x14ac:dyDescent="0.3">
      <c r="A6418" t="s">
        <v>16272</v>
      </c>
      <c r="B6418" t="s">
        <v>40</v>
      </c>
      <c r="C6418">
        <v>0.03</v>
      </c>
    </row>
    <row r="6419" spans="1:3" x14ac:dyDescent="0.3">
      <c r="A6419" t="s">
        <v>16274</v>
      </c>
      <c r="B6419" t="s">
        <v>87</v>
      </c>
      <c r="C6419">
        <v>0.04</v>
      </c>
    </row>
    <row r="6420" spans="1:3" x14ac:dyDescent="0.3">
      <c r="A6420" t="s">
        <v>16276</v>
      </c>
      <c r="B6420" t="s">
        <v>64</v>
      </c>
      <c r="C6420">
        <v>0.05</v>
      </c>
    </row>
    <row r="6421" spans="1:3" x14ac:dyDescent="0.3">
      <c r="A6421" t="s">
        <v>16278</v>
      </c>
      <c r="B6421" t="s">
        <v>225</v>
      </c>
      <c r="C6421">
        <v>0.04</v>
      </c>
    </row>
    <row r="6422" spans="1:3" x14ac:dyDescent="0.3">
      <c r="A6422" t="s">
        <v>16285</v>
      </c>
      <c r="B6422" t="s">
        <v>40</v>
      </c>
      <c r="C6422">
        <v>0.1</v>
      </c>
    </row>
    <row r="6423" spans="1:3" x14ac:dyDescent="0.3">
      <c r="A6423" t="s">
        <v>16287</v>
      </c>
      <c r="B6423" t="s">
        <v>40</v>
      </c>
      <c r="C6423">
        <v>0.06</v>
      </c>
    </row>
    <row r="6424" spans="1:3" x14ac:dyDescent="0.3">
      <c r="A6424" t="s">
        <v>16288</v>
      </c>
      <c r="B6424" t="s">
        <v>53</v>
      </c>
      <c r="C6424">
        <v>7.0000000000000007E-2</v>
      </c>
    </row>
    <row r="6425" spans="1:3" x14ac:dyDescent="0.3">
      <c r="A6425" t="s">
        <v>16293</v>
      </c>
      <c r="B6425" t="s">
        <v>64</v>
      </c>
      <c r="C6425">
        <v>0.05</v>
      </c>
    </row>
    <row r="6426" spans="1:3" x14ac:dyDescent="0.3">
      <c r="A6426" t="s">
        <v>16293</v>
      </c>
      <c r="B6426" t="s">
        <v>64</v>
      </c>
      <c r="C6426">
        <v>0.06</v>
      </c>
    </row>
    <row r="6427" spans="1:3" x14ac:dyDescent="0.3">
      <c r="A6427" t="s">
        <v>16294</v>
      </c>
      <c r="B6427" t="s">
        <v>40</v>
      </c>
      <c r="C6427">
        <v>0.02</v>
      </c>
    </row>
    <row r="6428" spans="1:3" x14ac:dyDescent="0.3">
      <c r="A6428" t="s">
        <v>16299</v>
      </c>
      <c r="B6428" t="s">
        <v>64</v>
      </c>
      <c r="C6428">
        <v>0.04</v>
      </c>
    </row>
    <row r="6429" spans="1:3" x14ac:dyDescent="0.3">
      <c r="A6429" t="s">
        <v>16300</v>
      </c>
      <c r="B6429" t="s">
        <v>53</v>
      </c>
      <c r="C6429">
        <v>7.0000000000000007E-2</v>
      </c>
    </row>
    <row r="6430" spans="1:3" x14ac:dyDescent="0.3">
      <c r="A6430" t="s">
        <v>16302</v>
      </c>
      <c r="B6430" t="s">
        <v>64</v>
      </c>
      <c r="C6430">
        <v>0.08</v>
      </c>
    </row>
    <row r="6431" spans="1:3" x14ac:dyDescent="0.3">
      <c r="A6431" t="s">
        <v>16303</v>
      </c>
      <c r="B6431" t="s">
        <v>87</v>
      </c>
      <c r="C6431">
        <v>0.05</v>
      </c>
    </row>
    <row r="6432" spans="1:3" x14ac:dyDescent="0.3">
      <c r="A6432" t="s">
        <v>16303</v>
      </c>
      <c r="B6432" t="s">
        <v>87</v>
      </c>
      <c r="C6432">
        <v>0.06</v>
      </c>
    </row>
    <row r="6433" spans="1:3" x14ac:dyDescent="0.3">
      <c r="A6433" t="s">
        <v>16303</v>
      </c>
      <c r="B6433" t="s">
        <v>87</v>
      </c>
      <c r="C6433">
        <v>0.1</v>
      </c>
    </row>
    <row r="6434" spans="1:3" x14ac:dyDescent="0.3">
      <c r="A6434" t="s">
        <v>16304</v>
      </c>
      <c r="B6434" t="s">
        <v>64</v>
      </c>
      <c r="C6434">
        <v>0.06</v>
      </c>
    </row>
    <row r="6435" spans="1:3" x14ac:dyDescent="0.3">
      <c r="A6435" t="s">
        <v>16317</v>
      </c>
      <c r="B6435" t="s">
        <v>40</v>
      </c>
      <c r="C6435">
        <v>7.0000000000000007E-2</v>
      </c>
    </row>
    <row r="6436" spans="1:3" x14ac:dyDescent="0.3">
      <c r="A6436" t="s">
        <v>16317</v>
      </c>
      <c r="B6436" t="s">
        <v>40</v>
      </c>
      <c r="C6436">
        <v>0.1</v>
      </c>
    </row>
    <row r="6437" spans="1:3" x14ac:dyDescent="0.3">
      <c r="A6437" t="s">
        <v>16324</v>
      </c>
      <c r="B6437" t="s">
        <v>87</v>
      </c>
      <c r="C6437">
        <v>0</v>
      </c>
    </row>
    <row r="6438" spans="1:3" x14ac:dyDescent="0.3">
      <c r="A6438" t="s">
        <v>16327</v>
      </c>
      <c r="B6438" t="s">
        <v>29</v>
      </c>
      <c r="C6438">
        <v>0</v>
      </c>
    </row>
    <row r="6439" spans="1:3" x14ac:dyDescent="0.3">
      <c r="A6439" t="s">
        <v>16329</v>
      </c>
      <c r="B6439" t="s">
        <v>40</v>
      </c>
      <c r="C6439">
        <v>0.09</v>
      </c>
    </row>
    <row r="6440" spans="1:3" x14ac:dyDescent="0.3">
      <c r="A6440" t="s">
        <v>16338</v>
      </c>
      <c r="B6440" t="s">
        <v>40</v>
      </c>
      <c r="C6440">
        <v>0.08</v>
      </c>
    </row>
    <row r="6441" spans="1:3" x14ac:dyDescent="0.3">
      <c r="A6441" t="s">
        <v>16344</v>
      </c>
      <c r="B6441" t="s">
        <v>225</v>
      </c>
      <c r="C6441">
        <v>0</v>
      </c>
    </row>
    <row r="6442" spans="1:3" x14ac:dyDescent="0.3">
      <c r="A6442" t="s">
        <v>16344</v>
      </c>
      <c r="B6442" t="s">
        <v>225</v>
      </c>
      <c r="C6442">
        <v>0.06</v>
      </c>
    </row>
    <row r="6443" spans="1:3" x14ac:dyDescent="0.3">
      <c r="A6443" t="s">
        <v>16345</v>
      </c>
      <c r="B6443" t="s">
        <v>64</v>
      </c>
      <c r="C6443">
        <v>0.09</v>
      </c>
    </row>
    <row r="6444" spans="1:3" x14ac:dyDescent="0.3">
      <c r="A6444" t="s">
        <v>16346</v>
      </c>
      <c r="B6444" t="s">
        <v>225</v>
      </c>
      <c r="C6444">
        <v>0.04</v>
      </c>
    </row>
    <row r="6445" spans="1:3" x14ac:dyDescent="0.3">
      <c r="A6445" t="s">
        <v>16357</v>
      </c>
      <c r="B6445" t="s">
        <v>64</v>
      </c>
      <c r="C6445">
        <v>0.09</v>
      </c>
    </row>
    <row r="6446" spans="1:3" x14ac:dyDescent="0.3">
      <c r="A6446" t="s">
        <v>16358</v>
      </c>
      <c r="B6446" t="s">
        <v>53</v>
      </c>
      <c r="C6446">
        <v>0.01</v>
      </c>
    </row>
    <row r="6447" spans="1:3" x14ac:dyDescent="0.3">
      <c r="A6447" t="s">
        <v>16358</v>
      </c>
      <c r="B6447" t="s">
        <v>53</v>
      </c>
      <c r="C6447">
        <v>0.04</v>
      </c>
    </row>
    <row r="6448" spans="1:3" x14ac:dyDescent="0.3">
      <c r="A6448" t="s">
        <v>16358</v>
      </c>
      <c r="B6448" t="s">
        <v>53</v>
      </c>
      <c r="C6448">
        <v>0.08</v>
      </c>
    </row>
    <row r="6449" spans="1:3" x14ac:dyDescent="0.3">
      <c r="A6449" t="s">
        <v>16359</v>
      </c>
      <c r="B6449" t="s">
        <v>53</v>
      </c>
      <c r="C6449">
        <v>0</v>
      </c>
    </row>
    <row r="6450" spans="1:3" x14ac:dyDescent="0.3">
      <c r="A6450" t="s">
        <v>16360</v>
      </c>
      <c r="B6450" t="s">
        <v>64</v>
      </c>
      <c r="C6450">
        <v>0.04</v>
      </c>
    </row>
    <row r="6451" spans="1:3" x14ac:dyDescent="0.3">
      <c r="A6451" t="s">
        <v>16363</v>
      </c>
      <c r="B6451" t="s">
        <v>225</v>
      </c>
      <c r="C6451">
        <v>0.1</v>
      </c>
    </row>
    <row r="6452" spans="1:3" x14ac:dyDescent="0.3">
      <c r="A6452" t="s">
        <v>16365</v>
      </c>
      <c r="B6452" t="s">
        <v>40</v>
      </c>
      <c r="C6452">
        <v>0</v>
      </c>
    </row>
    <row r="6453" spans="1:3" x14ac:dyDescent="0.3">
      <c r="A6453" t="s">
        <v>16365</v>
      </c>
      <c r="B6453" t="s">
        <v>40</v>
      </c>
      <c r="C6453">
        <v>0.02</v>
      </c>
    </row>
    <row r="6454" spans="1:3" x14ac:dyDescent="0.3">
      <c r="A6454" t="s">
        <v>16367</v>
      </c>
      <c r="B6454" t="s">
        <v>225</v>
      </c>
      <c r="C6454">
        <v>0.04</v>
      </c>
    </row>
    <row r="6455" spans="1:3" x14ac:dyDescent="0.3">
      <c r="A6455" t="s">
        <v>16375</v>
      </c>
      <c r="B6455" t="s">
        <v>64</v>
      </c>
      <c r="C6455">
        <v>0.09</v>
      </c>
    </row>
    <row r="6456" spans="1:3" x14ac:dyDescent="0.3">
      <c r="A6456" t="s">
        <v>16376</v>
      </c>
      <c r="B6456" t="s">
        <v>64</v>
      </c>
      <c r="C6456">
        <v>0.03</v>
      </c>
    </row>
    <row r="6457" spans="1:3" x14ac:dyDescent="0.3">
      <c r="A6457" t="s">
        <v>16378</v>
      </c>
      <c r="B6457" t="s">
        <v>53</v>
      </c>
      <c r="C6457">
        <v>0.04</v>
      </c>
    </row>
    <row r="6458" spans="1:3" x14ac:dyDescent="0.3">
      <c r="A6458" t="s">
        <v>16378</v>
      </c>
      <c r="B6458" t="s">
        <v>53</v>
      </c>
      <c r="C6458">
        <v>0.1</v>
      </c>
    </row>
    <row r="6459" spans="1:3" x14ac:dyDescent="0.3">
      <c r="A6459" t="s">
        <v>16379</v>
      </c>
      <c r="B6459" t="s">
        <v>64</v>
      </c>
      <c r="C6459">
        <v>0</v>
      </c>
    </row>
    <row r="6460" spans="1:3" x14ac:dyDescent="0.3">
      <c r="A6460" t="s">
        <v>16380</v>
      </c>
      <c r="B6460" t="s">
        <v>225</v>
      </c>
      <c r="C6460">
        <v>0.1</v>
      </c>
    </row>
    <row r="6461" spans="1:3" x14ac:dyDescent="0.3">
      <c r="A6461" t="s">
        <v>16382</v>
      </c>
      <c r="B6461" t="s">
        <v>64</v>
      </c>
      <c r="C6461">
        <v>0.05</v>
      </c>
    </row>
    <row r="6462" spans="1:3" x14ac:dyDescent="0.3">
      <c r="A6462" t="s">
        <v>16382</v>
      </c>
      <c r="B6462" t="s">
        <v>64</v>
      </c>
      <c r="C6462">
        <v>7.0000000000000007E-2</v>
      </c>
    </row>
    <row r="6463" spans="1:3" x14ac:dyDescent="0.3">
      <c r="A6463" t="s">
        <v>16386</v>
      </c>
      <c r="B6463" t="s">
        <v>225</v>
      </c>
      <c r="C6463">
        <v>0</v>
      </c>
    </row>
    <row r="6464" spans="1:3" x14ac:dyDescent="0.3">
      <c r="A6464" t="s">
        <v>16387</v>
      </c>
      <c r="B6464" t="s">
        <v>64</v>
      </c>
      <c r="C6464">
        <v>0.03</v>
      </c>
    </row>
    <row r="6465" spans="1:3" x14ac:dyDescent="0.3">
      <c r="A6465" t="s">
        <v>16392</v>
      </c>
      <c r="B6465" t="s">
        <v>40</v>
      </c>
      <c r="C6465">
        <v>0.04</v>
      </c>
    </row>
    <row r="6466" spans="1:3" x14ac:dyDescent="0.3">
      <c r="A6466" t="s">
        <v>16394</v>
      </c>
      <c r="B6466" t="s">
        <v>40</v>
      </c>
      <c r="C6466">
        <v>0.08</v>
      </c>
    </row>
    <row r="6467" spans="1:3" x14ac:dyDescent="0.3">
      <c r="A6467" t="s">
        <v>16397</v>
      </c>
      <c r="B6467" t="s">
        <v>64</v>
      </c>
      <c r="C6467">
        <v>0.01</v>
      </c>
    </row>
    <row r="6468" spans="1:3" x14ac:dyDescent="0.3">
      <c r="A6468" t="s">
        <v>16397</v>
      </c>
      <c r="B6468" t="s">
        <v>64</v>
      </c>
      <c r="C6468">
        <v>0.02</v>
      </c>
    </row>
    <row r="6469" spans="1:3" x14ac:dyDescent="0.3">
      <c r="A6469" t="s">
        <v>16400</v>
      </c>
      <c r="B6469" t="s">
        <v>64</v>
      </c>
      <c r="C6469">
        <v>0.03</v>
      </c>
    </row>
    <row r="6470" spans="1:3" x14ac:dyDescent="0.3">
      <c r="A6470" t="s">
        <v>16400</v>
      </c>
      <c r="B6470" t="s">
        <v>64</v>
      </c>
      <c r="C6470">
        <v>0.06</v>
      </c>
    </row>
    <row r="6471" spans="1:3" x14ac:dyDescent="0.3">
      <c r="A6471" t="s">
        <v>16404</v>
      </c>
      <c r="B6471" t="s">
        <v>40</v>
      </c>
      <c r="C6471">
        <v>0.03</v>
      </c>
    </row>
    <row r="6472" spans="1:3" x14ac:dyDescent="0.3">
      <c r="A6472" t="s">
        <v>16412</v>
      </c>
      <c r="B6472" t="s">
        <v>64</v>
      </c>
      <c r="C6472">
        <v>0.02</v>
      </c>
    </row>
    <row r="6473" spans="1:3" x14ac:dyDescent="0.3">
      <c r="A6473" t="s">
        <v>16415</v>
      </c>
      <c r="B6473" t="s">
        <v>53</v>
      </c>
      <c r="C6473">
        <v>0.06</v>
      </c>
    </row>
    <row r="6474" spans="1:3" x14ac:dyDescent="0.3">
      <c r="A6474" t="s">
        <v>16427</v>
      </c>
      <c r="B6474" t="s">
        <v>64</v>
      </c>
      <c r="C6474">
        <v>0.08</v>
      </c>
    </row>
    <row r="6475" spans="1:3" x14ac:dyDescent="0.3">
      <c r="A6475" t="s">
        <v>16429</v>
      </c>
      <c r="B6475" t="s">
        <v>40</v>
      </c>
      <c r="C6475">
        <v>0.03</v>
      </c>
    </row>
    <row r="6476" spans="1:3" x14ac:dyDescent="0.3">
      <c r="A6476" t="s">
        <v>16430</v>
      </c>
      <c r="B6476" t="s">
        <v>64</v>
      </c>
      <c r="C6476">
        <v>0.05</v>
      </c>
    </row>
    <row r="6477" spans="1:3" x14ac:dyDescent="0.3">
      <c r="A6477" t="s">
        <v>16439</v>
      </c>
      <c r="B6477" t="s">
        <v>64</v>
      </c>
      <c r="C6477">
        <v>0.01</v>
      </c>
    </row>
    <row r="6478" spans="1:3" x14ac:dyDescent="0.3">
      <c r="A6478" t="s">
        <v>16443</v>
      </c>
      <c r="B6478" t="s">
        <v>29</v>
      </c>
      <c r="C6478">
        <v>0.03</v>
      </c>
    </row>
    <row r="6479" spans="1:3" x14ac:dyDescent="0.3">
      <c r="A6479" t="s">
        <v>16444</v>
      </c>
      <c r="B6479" t="s">
        <v>225</v>
      </c>
      <c r="C6479">
        <v>0.04</v>
      </c>
    </row>
    <row r="6480" spans="1:3" x14ac:dyDescent="0.3">
      <c r="A6480" t="s">
        <v>16444</v>
      </c>
      <c r="B6480" t="s">
        <v>225</v>
      </c>
      <c r="C6480">
        <v>0.06</v>
      </c>
    </row>
    <row r="6481" spans="1:3" x14ac:dyDescent="0.3">
      <c r="A6481" t="s">
        <v>16446</v>
      </c>
      <c r="B6481" t="s">
        <v>64</v>
      </c>
      <c r="C6481">
        <v>0.03</v>
      </c>
    </row>
    <row r="6482" spans="1:3" x14ac:dyDescent="0.3">
      <c r="A6482" t="s">
        <v>16453</v>
      </c>
      <c r="B6482" t="s">
        <v>64</v>
      </c>
      <c r="C6482">
        <v>7.0000000000000007E-2</v>
      </c>
    </row>
    <row r="6483" spans="1:3" x14ac:dyDescent="0.3">
      <c r="A6483" t="s">
        <v>16453</v>
      </c>
      <c r="B6483" t="s">
        <v>64</v>
      </c>
      <c r="C6483">
        <v>0.08</v>
      </c>
    </row>
    <row r="6484" spans="1:3" x14ac:dyDescent="0.3">
      <c r="A6484" t="s">
        <v>16453</v>
      </c>
      <c r="B6484" t="s">
        <v>64</v>
      </c>
      <c r="C6484">
        <v>0.09</v>
      </c>
    </row>
    <row r="6485" spans="1:3" x14ac:dyDescent="0.3">
      <c r="A6485" t="s">
        <v>16466</v>
      </c>
      <c r="B6485" t="s">
        <v>53</v>
      </c>
      <c r="C6485">
        <v>7.0000000000000007E-2</v>
      </c>
    </row>
    <row r="6486" spans="1:3" x14ac:dyDescent="0.3">
      <c r="A6486" t="s">
        <v>16467</v>
      </c>
      <c r="B6486" t="s">
        <v>64</v>
      </c>
      <c r="C6486">
        <v>0.01</v>
      </c>
    </row>
    <row r="6487" spans="1:3" x14ac:dyDescent="0.3">
      <c r="A6487" t="s">
        <v>16467</v>
      </c>
      <c r="B6487" t="s">
        <v>64</v>
      </c>
      <c r="C6487">
        <v>0.09</v>
      </c>
    </row>
    <row r="6488" spans="1:3" x14ac:dyDescent="0.3">
      <c r="A6488" t="s">
        <v>16473</v>
      </c>
      <c r="B6488" t="s">
        <v>40</v>
      </c>
      <c r="C6488">
        <v>0.03</v>
      </c>
    </row>
    <row r="6489" spans="1:3" x14ac:dyDescent="0.3">
      <c r="A6489" t="s">
        <v>16477</v>
      </c>
      <c r="B6489" t="s">
        <v>40</v>
      </c>
      <c r="C6489">
        <v>0.05</v>
      </c>
    </row>
    <row r="6490" spans="1:3" x14ac:dyDescent="0.3">
      <c r="A6490" t="s">
        <v>16477</v>
      </c>
      <c r="B6490" t="s">
        <v>40</v>
      </c>
      <c r="C6490">
        <v>0.1</v>
      </c>
    </row>
    <row r="6491" spans="1:3" x14ac:dyDescent="0.3">
      <c r="A6491" t="s">
        <v>11416</v>
      </c>
      <c r="B6491" t="s">
        <v>225</v>
      </c>
      <c r="C6491">
        <v>0.04</v>
      </c>
    </row>
    <row r="6492" spans="1:3" x14ac:dyDescent="0.3">
      <c r="A6492" t="s">
        <v>11541</v>
      </c>
      <c r="B6492" t="s">
        <v>225</v>
      </c>
      <c r="C6492">
        <v>0.09</v>
      </c>
    </row>
    <row r="6493" spans="1:3" x14ac:dyDescent="0.3">
      <c r="A6493" t="s">
        <v>15507</v>
      </c>
      <c r="B6493" t="s">
        <v>40</v>
      </c>
      <c r="C6493">
        <v>0.01</v>
      </c>
    </row>
    <row r="6494" spans="1:3" x14ac:dyDescent="0.3">
      <c r="A6494" t="s">
        <v>395</v>
      </c>
      <c r="B6494" t="s">
        <v>87</v>
      </c>
      <c r="C6494">
        <v>0.01</v>
      </c>
    </row>
    <row r="6495" spans="1:3" x14ac:dyDescent="0.3">
      <c r="A6495" t="s">
        <v>14587</v>
      </c>
      <c r="B6495" t="s">
        <v>53</v>
      </c>
      <c r="C6495">
        <v>0.05</v>
      </c>
    </row>
    <row r="6496" spans="1:3" x14ac:dyDescent="0.3">
      <c r="A6496" t="s">
        <v>14587</v>
      </c>
      <c r="B6496" t="s">
        <v>53</v>
      </c>
      <c r="C6496">
        <v>7.0000000000000007E-2</v>
      </c>
    </row>
    <row r="6497" spans="1:3" x14ac:dyDescent="0.3">
      <c r="A6497" t="s">
        <v>14383</v>
      </c>
      <c r="B6497" t="s">
        <v>40</v>
      </c>
      <c r="C6497">
        <v>0.05</v>
      </c>
    </row>
    <row r="6498" spans="1:3" x14ac:dyDescent="0.3">
      <c r="A6498" t="s">
        <v>15465</v>
      </c>
      <c r="B6498" t="s">
        <v>40</v>
      </c>
      <c r="C6498">
        <v>0.01</v>
      </c>
    </row>
    <row r="6499" spans="1:3" x14ac:dyDescent="0.3">
      <c r="A6499" t="s">
        <v>14575</v>
      </c>
      <c r="B6499" t="s">
        <v>40</v>
      </c>
      <c r="C6499">
        <v>0.05</v>
      </c>
    </row>
    <row r="6500" spans="1:3" x14ac:dyDescent="0.3">
      <c r="A6500" t="s">
        <v>11798</v>
      </c>
      <c r="B6500" t="s">
        <v>40</v>
      </c>
      <c r="C6500">
        <v>7.0000000000000007E-2</v>
      </c>
    </row>
    <row r="6501" spans="1:3" x14ac:dyDescent="0.3">
      <c r="A6501" t="s">
        <v>11798</v>
      </c>
      <c r="B6501" t="s">
        <v>225</v>
      </c>
      <c r="C6501">
        <v>0</v>
      </c>
    </row>
    <row r="6502" spans="1:3" x14ac:dyDescent="0.3">
      <c r="A6502" t="s">
        <v>2099</v>
      </c>
      <c r="B6502" t="s">
        <v>64</v>
      </c>
      <c r="C6502">
        <v>0.05</v>
      </c>
    </row>
    <row r="6503" spans="1:3" x14ac:dyDescent="0.3">
      <c r="A6503" t="s">
        <v>2099</v>
      </c>
      <c r="B6503" t="s">
        <v>64</v>
      </c>
      <c r="C6503">
        <v>0.08</v>
      </c>
    </row>
    <row r="6504" spans="1:3" x14ac:dyDescent="0.3">
      <c r="A6504" t="s">
        <v>6851</v>
      </c>
      <c r="B6504" t="s">
        <v>87</v>
      </c>
      <c r="C6504">
        <v>0.02</v>
      </c>
    </row>
    <row r="6505" spans="1:3" x14ac:dyDescent="0.3">
      <c r="A6505" t="s">
        <v>13374</v>
      </c>
      <c r="B6505" t="s">
        <v>53</v>
      </c>
      <c r="C6505">
        <v>0.09</v>
      </c>
    </row>
    <row r="6506" spans="1:3" x14ac:dyDescent="0.3">
      <c r="A6506" t="s">
        <v>13179</v>
      </c>
      <c r="B6506" t="s">
        <v>53</v>
      </c>
      <c r="C6506">
        <v>0.06</v>
      </c>
    </row>
    <row r="6507" spans="1:3" x14ac:dyDescent="0.3">
      <c r="A6507" t="s">
        <v>14143</v>
      </c>
      <c r="B6507" t="s">
        <v>29</v>
      </c>
      <c r="C6507">
        <v>0.05</v>
      </c>
    </row>
    <row r="6508" spans="1:3" x14ac:dyDescent="0.3">
      <c r="A6508" t="s">
        <v>12538</v>
      </c>
      <c r="B6508" t="s">
        <v>87</v>
      </c>
      <c r="C6508">
        <v>0.04</v>
      </c>
    </row>
    <row r="6509" spans="1:3" x14ac:dyDescent="0.3">
      <c r="A6509" t="s">
        <v>14597</v>
      </c>
      <c r="B6509" t="s">
        <v>29</v>
      </c>
      <c r="C6509">
        <v>0.06</v>
      </c>
    </row>
    <row r="6510" spans="1:3" x14ac:dyDescent="0.3">
      <c r="A6510" t="s">
        <v>13157</v>
      </c>
      <c r="B6510" t="s">
        <v>87</v>
      </c>
      <c r="C6510">
        <v>0.01</v>
      </c>
    </row>
    <row r="6511" spans="1:3" x14ac:dyDescent="0.3">
      <c r="A6511" t="s">
        <v>10782</v>
      </c>
      <c r="B6511" t="s">
        <v>29</v>
      </c>
      <c r="C6511">
        <v>0.02</v>
      </c>
    </row>
    <row r="6512" spans="1:3" x14ac:dyDescent="0.3">
      <c r="A6512" t="s">
        <v>10782</v>
      </c>
      <c r="B6512" t="s">
        <v>29</v>
      </c>
      <c r="C6512">
        <v>0.09</v>
      </c>
    </row>
    <row r="6513" spans="1:3" x14ac:dyDescent="0.3">
      <c r="A6513" t="s">
        <v>10782</v>
      </c>
      <c r="B6513" t="s">
        <v>87</v>
      </c>
      <c r="C6513">
        <v>0.05</v>
      </c>
    </row>
    <row r="6514" spans="1:3" x14ac:dyDescent="0.3">
      <c r="A6514" t="s">
        <v>4597</v>
      </c>
      <c r="B6514" t="s">
        <v>29</v>
      </c>
      <c r="C6514">
        <v>0.03</v>
      </c>
    </row>
    <row r="6515" spans="1:3" x14ac:dyDescent="0.3">
      <c r="A6515" t="s">
        <v>4597</v>
      </c>
      <c r="B6515" t="s">
        <v>29</v>
      </c>
      <c r="C6515">
        <v>0.04</v>
      </c>
    </row>
    <row r="6516" spans="1:3" x14ac:dyDescent="0.3">
      <c r="A6516" t="s">
        <v>4597</v>
      </c>
      <c r="B6516" t="s">
        <v>29</v>
      </c>
      <c r="C6516">
        <v>0.1</v>
      </c>
    </row>
    <row r="6517" spans="1:3" x14ac:dyDescent="0.3">
      <c r="A6517" t="s">
        <v>3543</v>
      </c>
      <c r="B6517" t="s">
        <v>29</v>
      </c>
      <c r="C6517">
        <v>0.05</v>
      </c>
    </row>
    <row r="6518" spans="1:3" x14ac:dyDescent="0.3">
      <c r="A6518" t="s">
        <v>12459</v>
      </c>
      <c r="B6518" t="s">
        <v>40</v>
      </c>
      <c r="C6518">
        <v>0.01</v>
      </c>
    </row>
    <row r="6519" spans="1:3" x14ac:dyDescent="0.3">
      <c r="A6519" t="s">
        <v>7649</v>
      </c>
      <c r="B6519" t="s">
        <v>40</v>
      </c>
      <c r="C6519">
        <v>0.03</v>
      </c>
    </row>
    <row r="6520" spans="1:3" x14ac:dyDescent="0.3">
      <c r="A6520" t="s">
        <v>5071</v>
      </c>
      <c r="B6520" t="s">
        <v>64</v>
      </c>
      <c r="C6520">
        <v>0.03</v>
      </c>
    </row>
    <row r="6521" spans="1:3" x14ac:dyDescent="0.3">
      <c r="A6521" t="s">
        <v>6116</v>
      </c>
      <c r="B6521" t="s">
        <v>64</v>
      </c>
      <c r="C6521">
        <v>0</v>
      </c>
    </row>
    <row r="6522" spans="1:3" x14ac:dyDescent="0.3">
      <c r="A6522" t="s">
        <v>8001</v>
      </c>
      <c r="B6522" t="s">
        <v>53</v>
      </c>
      <c r="C6522">
        <v>0.01</v>
      </c>
    </row>
    <row r="6523" spans="1:3" x14ac:dyDescent="0.3">
      <c r="A6523" t="s">
        <v>8001</v>
      </c>
      <c r="B6523" t="s">
        <v>53</v>
      </c>
      <c r="C6523">
        <v>0.05</v>
      </c>
    </row>
    <row r="6524" spans="1:3" x14ac:dyDescent="0.3">
      <c r="A6524" t="s">
        <v>14035</v>
      </c>
      <c r="B6524" t="s">
        <v>53</v>
      </c>
      <c r="C6524">
        <v>0.05</v>
      </c>
    </row>
    <row r="6525" spans="1:3" x14ac:dyDescent="0.3">
      <c r="A6525" t="s">
        <v>5023</v>
      </c>
      <c r="B6525" t="s">
        <v>40</v>
      </c>
      <c r="C6525">
        <v>0.05</v>
      </c>
    </row>
    <row r="6526" spans="1:3" x14ac:dyDescent="0.3">
      <c r="A6526" t="s">
        <v>15496</v>
      </c>
      <c r="B6526" t="s">
        <v>64</v>
      </c>
      <c r="C6526">
        <v>0</v>
      </c>
    </row>
    <row r="6527" spans="1:3" x14ac:dyDescent="0.3">
      <c r="A6527" t="s">
        <v>14261</v>
      </c>
      <c r="B6527" t="s">
        <v>64</v>
      </c>
      <c r="C6527">
        <v>0.01</v>
      </c>
    </row>
    <row r="6528" spans="1:3" x14ac:dyDescent="0.3">
      <c r="A6528" t="s">
        <v>15742</v>
      </c>
      <c r="B6528" t="s">
        <v>40</v>
      </c>
      <c r="C6528">
        <v>0.03</v>
      </c>
    </row>
    <row r="6529" spans="1:3" x14ac:dyDescent="0.3">
      <c r="A6529" t="s">
        <v>15742</v>
      </c>
      <c r="B6529" t="s">
        <v>64</v>
      </c>
      <c r="C6529">
        <v>0.08</v>
      </c>
    </row>
    <row r="6530" spans="1:3" x14ac:dyDescent="0.3">
      <c r="A6530" t="s">
        <v>4184</v>
      </c>
      <c r="B6530" t="s">
        <v>87</v>
      </c>
      <c r="C6530">
        <v>0.06</v>
      </c>
    </row>
    <row r="6531" spans="1:3" x14ac:dyDescent="0.3">
      <c r="A6531" t="s">
        <v>7512</v>
      </c>
      <c r="B6531" t="s">
        <v>87</v>
      </c>
      <c r="C6531">
        <v>0.04</v>
      </c>
    </row>
    <row r="6532" spans="1:3" x14ac:dyDescent="0.3">
      <c r="A6532" t="s">
        <v>7512</v>
      </c>
      <c r="B6532" t="s">
        <v>87</v>
      </c>
      <c r="C6532">
        <v>0.05</v>
      </c>
    </row>
    <row r="6533" spans="1:3" x14ac:dyDescent="0.3">
      <c r="A6533" t="s">
        <v>7512</v>
      </c>
      <c r="B6533" t="s">
        <v>87</v>
      </c>
      <c r="C6533">
        <v>0.06</v>
      </c>
    </row>
    <row r="6534" spans="1:3" x14ac:dyDescent="0.3">
      <c r="A6534" t="s">
        <v>469</v>
      </c>
      <c r="B6534" t="s">
        <v>225</v>
      </c>
      <c r="C6534">
        <v>0.09</v>
      </c>
    </row>
    <row r="6535" spans="1:3" x14ac:dyDescent="0.3">
      <c r="A6535" t="s">
        <v>7097</v>
      </c>
      <c r="B6535" t="s">
        <v>40</v>
      </c>
      <c r="C6535">
        <v>0.06</v>
      </c>
    </row>
    <row r="6536" spans="1:3" x14ac:dyDescent="0.3">
      <c r="A6536" t="s">
        <v>7097</v>
      </c>
      <c r="B6536" t="s">
        <v>40</v>
      </c>
      <c r="C6536">
        <v>0.08</v>
      </c>
    </row>
    <row r="6537" spans="1:3" x14ac:dyDescent="0.3">
      <c r="A6537" t="s">
        <v>475</v>
      </c>
      <c r="B6537" t="s">
        <v>40</v>
      </c>
      <c r="C6537">
        <v>0.02</v>
      </c>
    </row>
    <row r="6538" spans="1:3" x14ac:dyDescent="0.3">
      <c r="A6538" t="s">
        <v>475</v>
      </c>
      <c r="B6538" t="s">
        <v>40</v>
      </c>
      <c r="C6538">
        <v>0.05</v>
      </c>
    </row>
    <row r="6539" spans="1:3" x14ac:dyDescent="0.3">
      <c r="A6539" t="s">
        <v>15707</v>
      </c>
      <c r="B6539" t="s">
        <v>29</v>
      </c>
      <c r="C6539">
        <v>0.09</v>
      </c>
    </row>
    <row r="6540" spans="1:3" x14ac:dyDescent="0.3">
      <c r="A6540" t="s">
        <v>13824</v>
      </c>
      <c r="B6540" t="s">
        <v>29</v>
      </c>
      <c r="C6540">
        <v>0.02</v>
      </c>
    </row>
    <row r="6541" spans="1:3" x14ac:dyDescent="0.3">
      <c r="A6541" t="s">
        <v>13322</v>
      </c>
      <c r="B6541" t="s">
        <v>40</v>
      </c>
      <c r="C6541">
        <v>0.08</v>
      </c>
    </row>
    <row r="6542" spans="1:3" x14ac:dyDescent="0.3">
      <c r="A6542" t="s">
        <v>9939</v>
      </c>
      <c r="B6542" t="s">
        <v>29</v>
      </c>
      <c r="C6542">
        <v>0.08</v>
      </c>
    </row>
    <row r="6543" spans="1:3" x14ac:dyDescent="0.3">
      <c r="A6543" t="s">
        <v>15530</v>
      </c>
      <c r="B6543" t="s">
        <v>40</v>
      </c>
      <c r="C6543">
        <v>0.03</v>
      </c>
    </row>
    <row r="6544" spans="1:3" x14ac:dyDescent="0.3">
      <c r="A6544" t="s">
        <v>10174</v>
      </c>
      <c r="B6544" t="s">
        <v>29</v>
      </c>
      <c r="C6544">
        <v>0.08</v>
      </c>
    </row>
    <row r="6545" spans="1:3" x14ac:dyDescent="0.3">
      <c r="A6545" t="s">
        <v>8565</v>
      </c>
      <c r="B6545" t="s">
        <v>29</v>
      </c>
      <c r="C6545">
        <v>0.06</v>
      </c>
    </row>
    <row r="6546" spans="1:3" x14ac:dyDescent="0.3">
      <c r="A6546" t="s">
        <v>6284</v>
      </c>
      <c r="B6546" t="s">
        <v>53</v>
      </c>
      <c r="C6546">
        <v>0.04</v>
      </c>
    </row>
    <row r="6547" spans="1:3" x14ac:dyDescent="0.3">
      <c r="A6547" t="s">
        <v>9907</v>
      </c>
      <c r="B6547" t="s">
        <v>225</v>
      </c>
      <c r="C6547">
        <v>0.05</v>
      </c>
    </row>
    <row r="6548" spans="1:3" x14ac:dyDescent="0.3">
      <c r="A6548" t="s">
        <v>494</v>
      </c>
      <c r="B6548" t="s">
        <v>87</v>
      </c>
      <c r="C6548">
        <v>0.01</v>
      </c>
    </row>
    <row r="6549" spans="1:3" x14ac:dyDescent="0.3">
      <c r="A6549" t="s">
        <v>14114</v>
      </c>
      <c r="B6549" t="s">
        <v>53</v>
      </c>
      <c r="C6549">
        <v>0.1</v>
      </c>
    </row>
    <row r="6550" spans="1:3" x14ac:dyDescent="0.3">
      <c r="A6550" t="s">
        <v>8452</v>
      </c>
      <c r="B6550" t="s">
        <v>225</v>
      </c>
      <c r="C6550">
        <v>0.03</v>
      </c>
    </row>
    <row r="6551" spans="1:3" x14ac:dyDescent="0.3">
      <c r="A6551" t="s">
        <v>8452</v>
      </c>
      <c r="B6551" t="s">
        <v>225</v>
      </c>
      <c r="C6551">
        <v>0.04</v>
      </c>
    </row>
    <row r="6552" spans="1:3" x14ac:dyDescent="0.3">
      <c r="A6552" t="s">
        <v>13654</v>
      </c>
      <c r="B6552" t="s">
        <v>53</v>
      </c>
      <c r="C6552">
        <v>0.1</v>
      </c>
    </row>
    <row r="6553" spans="1:3" x14ac:dyDescent="0.3">
      <c r="A6553" t="s">
        <v>12980</v>
      </c>
      <c r="B6553" t="s">
        <v>87</v>
      </c>
      <c r="C6553">
        <v>0.09</v>
      </c>
    </row>
    <row r="6554" spans="1:3" x14ac:dyDescent="0.3">
      <c r="A6554" t="s">
        <v>12137</v>
      </c>
      <c r="B6554" t="s">
        <v>87</v>
      </c>
      <c r="C6554">
        <v>0.04</v>
      </c>
    </row>
    <row r="6555" spans="1:3" x14ac:dyDescent="0.3">
      <c r="A6555" t="s">
        <v>12973</v>
      </c>
      <c r="B6555" t="s">
        <v>87</v>
      </c>
      <c r="C6555">
        <v>0</v>
      </c>
    </row>
    <row r="6556" spans="1:3" x14ac:dyDescent="0.3">
      <c r="A6556" t="s">
        <v>13485</v>
      </c>
      <c r="B6556" t="s">
        <v>225</v>
      </c>
      <c r="C6556">
        <v>0.04</v>
      </c>
    </row>
    <row r="6557" spans="1:3" x14ac:dyDescent="0.3">
      <c r="A6557" t="s">
        <v>12598</v>
      </c>
      <c r="B6557" t="s">
        <v>87</v>
      </c>
      <c r="C6557">
        <v>0.01</v>
      </c>
    </row>
    <row r="6558" spans="1:3" x14ac:dyDescent="0.3">
      <c r="A6558" t="s">
        <v>606</v>
      </c>
      <c r="B6558" t="s">
        <v>87</v>
      </c>
      <c r="C6558">
        <v>0.08</v>
      </c>
    </row>
    <row r="6559" spans="1:3" x14ac:dyDescent="0.3">
      <c r="A6559" t="s">
        <v>8816</v>
      </c>
      <c r="B6559" t="s">
        <v>225</v>
      </c>
      <c r="C6559">
        <v>0.04</v>
      </c>
    </row>
    <row r="6560" spans="1:3" x14ac:dyDescent="0.3">
      <c r="A6560" t="s">
        <v>12129</v>
      </c>
      <c r="B6560" t="s">
        <v>87</v>
      </c>
      <c r="C6560">
        <v>0.03</v>
      </c>
    </row>
    <row r="6561" spans="1:3" x14ac:dyDescent="0.3">
      <c r="A6561" t="s">
        <v>11947</v>
      </c>
      <c r="B6561" t="s">
        <v>87</v>
      </c>
      <c r="C6561">
        <v>0.02</v>
      </c>
    </row>
    <row r="6562" spans="1:3" x14ac:dyDescent="0.3">
      <c r="A6562" t="s">
        <v>7391</v>
      </c>
      <c r="B6562" t="s">
        <v>225</v>
      </c>
      <c r="C6562">
        <v>0.06</v>
      </c>
    </row>
    <row r="6563" spans="1:3" x14ac:dyDescent="0.3">
      <c r="A6563" t="s">
        <v>7391</v>
      </c>
      <c r="B6563" t="s">
        <v>225</v>
      </c>
      <c r="C6563">
        <v>7.0000000000000007E-2</v>
      </c>
    </row>
    <row r="6564" spans="1:3" x14ac:dyDescent="0.3">
      <c r="A6564" t="s">
        <v>7391</v>
      </c>
      <c r="B6564" t="s">
        <v>87</v>
      </c>
      <c r="C6564">
        <v>0.05</v>
      </c>
    </row>
    <row r="6565" spans="1:3" x14ac:dyDescent="0.3">
      <c r="A6565" t="s">
        <v>15240</v>
      </c>
      <c r="B6565" t="s">
        <v>87</v>
      </c>
      <c r="C6565">
        <v>0.08</v>
      </c>
    </row>
    <row r="6566" spans="1:3" x14ac:dyDescent="0.3">
      <c r="A6566" t="s">
        <v>14642</v>
      </c>
      <c r="B6566" t="s">
        <v>87</v>
      </c>
      <c r="C6566">
        <v>0.09</v>
      </c>
    </row>
    <row r="6567" spans="1:3" x14ac:dyDescent="0.3">
      <c r="A6567" t="s">
        <v>7835</v>
      </c>
      <c r="B6567" t="s">
        <v>225</v>
      </c>
      <c r="C6567">
        <v>0.1</v>
      </c>
    </row>
    <row r="6568" spans="1:3" x14ac:dyDescent="0.3">
      <c r="A6568" t="s">
        <v>7835</v>
      </c>
      <c r="B6568" t="s">
        <v>87</v>
      </c>
      <c r="C6568">
        <v>0.08</v>
      </c>
    </row>
    <row r="6569" spans="1:3" x14ac:dyDescent="0.3">
      <c r="A6569" t="s">
        <v>13552</v>
      </c>
      <c r="B6569" t="s">
        <v>40</v>
      </c>
      <c r="C6569">
        <v>0.08</v>
      </c>
    </row>
    <row r="6570" spans="1:3" x14ac:dyDescent="0.3">
      <c r="A6570" t="s">
        <v>13552</v>
      </c>
      <c r="B6570" t="s">
        <v>87</v>
      </c>
      <c r="C6570">
        <v>7.0000000000000007E-2</v>
      </c>
    </row>
    <row r="6571" spans="1:3" x14ac:dyDescent="0.3">
      <c r="A6571" t="s">
        <v>518</v>
      </c>
      <c r="B6571" t="s">
        <v>64</v>
      </c>
      <c r="C6571">
        <v>0.04</v>
      </c>
    </row>
    <row r="6572" spans="1:3" x14ac:dyDescent="0.3">
      <c r="A6572" t="s">
        <v>518</v>
      </c>
      <c r="B6572" t="s">
        <v>64</v>
      </c>
      <c r="C6572">
        <v>0.1</v>
      </c>
    </row>
    <row r="6573" spans="1:3" x14ac:dyDescent="0.3">
      <c r="A6573" t="s">
        <v>6621</v>
      </c>
      <c r="B6573" t="s">
        <v>40</v>
      </c>
      <c r="C6573">
        <v>0</v>
      </c>
    </row>
    <row r="6574" spans="1:3" x14ac:dyDescent="0.3">
      <c r="A6574" t="s">
        <v>6621</v>
      </c>
      <c r="B6574" t="s">
        <v>87</v>
      </c>
      <c r="C6574">
        <v>0.06</v>
      </c>
    </row>
    <row r="6575" spans="1:3" x14ac:dyDescent="0.3">
      <c r="A6575" t="s">
        <v>12245</v>
      </c>
      <c r="B6575" t="s">
        <v>40</v>
      </c>
      <c r="C6575">
        <v>7.0000000000000007E-2</v>
      </c>
    </row>
    <row r="6576" spans="1:3" x14ac:dyDescent="0.3">
      <c r="A6576" t="s">
        <v>11410</v>
      </c>
      <c r="B6576" t="s">
        <v>64</v>
      </c>
      <c r="C6576">
        <v>0</v>
      </c>
    </row>
    <row r="6577" spans="1:3" x14ac:dyDescent="0.3">
      <c r="A6577" t="s">
        <v>6992</v>
      </c>
      <c r="B6577" t="s">
        <v>29</v>
      </c>
      <c r="C6577">
        <v>0.09</v>
      </c>
    </row>
    <row r="6578" spans="1:3" x14ac:dyDescent="0.3">
      <c r="A6578" t="s">
        <v>11954</v>
      </c>
      <c r="B6578" t="s">
        <v>64</v>
      </c>
      <c r="C6578">
        <v>0.06</v>
      </c>
    </row>
    <row r="6579" spans="1:3" x14ac:dyDescent="0.3">
      <c r="A6579" t="s">
        <v>13683</v>
      </c>
      <c r="B6579" t="s">
        <v>53</v>
      </c>
      <c r="C6579">
        <v>0.05</v>
      </c>
    </row>
    <row r="6580" spans="1:3" x14ac:dyDescent="0.3">
      <c r="A6580" t="s">
        <v>13683</v>
      </c>
      <c r="B6580" t="s">
        <v>53</v>
      </c>
      <c r="C6580">
        <v>0.09</v>
      </c>
    </row>
    <row r="6581" spans="1:3" x14ac:dyDescent="0.3">
      <c r="A6581" t="s">
        <v>10191</v>
      </c>
      <c r="B6581" t="s">
        <v>40</v>
      </c>
      <c r="C6581">
        <v>7.0000000000000007E-2</v>
      </c>
    </row>
    <row r="6582" spans="1:3" x14ac:dyDescent="0.3">
      <c r="A6582" t="s">
        <v>14977</v>
      </c>
      <c r="B6582" t="s">
        <v>53</v>
      </c>
      <c r="C6582">
        <v>0</v>
      </c>
    </row>
    <row r="6583" spans="1:3" x14ac:dyDescent="0.3">
      <c r="A6583" t="s">
        <v>13695</v>
      </c>
      <c r="B6583" t="s">
        <v>53</v>
      </c>
      <c r="C6583">
        <v>0.08</v>
      </c>
    </row>
    <row r="6584" spans="1:3" x14ac:dyDescent="0.3">
      <c r="A6584" t="s">
        <v>11553</v>
      </c>
      <c r="B6584" t="s">
        <v>40</v>
      </c>
      <c r="C6584">
        <v>0.04</v>
      </c>
    </row>
    <row r="6585" spans="1:3" x14ac:dyDescent="0.3">
      <c r="A6585" t="s">
        <v>11553</v>
      </c>
      <c r="B6585" t="s">
        <v>40</v>
      </c>
      <c r="C6585">
        <v>0.09</v>
      </c>
    </row>
    <row r="6586" spans="1:3" x14ac:dyDescent="0.3">
      <c r="A6586" t="s">
        <v>11553</v>
      </c>
      <c r="B6586" t="s">
        <v>225</v>
      </c>
      <c r="C6586">
        <v>0.05</v>
      </c>
    </row>
    <row r="6587" spans="1:3" x14ac:dyDescent="0.3">
      <c r="A6587" t="s">
        <v>9884</v>
      </c>
      <c r="B6587" t="s">
        <v>40</v>
      </c>
      <c r="C6587">
        <v>0.02</v>
      </c>
    </row>
    <row r="6588" spans="1:3" x14ac:dyDescent="0.3">
      <c r="A6588" t="s">
        <v>12242</v>
      </c>
      <c r="B6588" t="s">
        <v>87</v>
      </c>
      <c r="C6588">
        <v>0.03</v>
      </c>
    </row>
    <row r="6589" spans="1:3" x14ac:dyDescent="0.3">
      <c r="A6589" t="s">
        <v>6828</v>
      </c>
      <c r="B6589" t="s">
        <v>87</v>
      </c>
      <c r="C6589">
        <v>0.06</v>
      </c>
    </row>
    <row r="6590" spans="1:3" x14ac:dyDescent="0.3">
      <c r="A6590" t="s">
        <v>13836</v>
      </c>
      <c r="B6590" t="s">
        <v>87</v>
      </c>
      <c r="C6590">
        <v>0.03</v>
      </c>
    </row>
    <row r="6591" spans="1:3" x14ac:dyDescent="0.3">
      <c r="A6591" t="s">
        <v>9779</v>
      </c>
      <c r="B6591" t="s">
        <v>87</v>
      </c>
      <c r="C6591">
        <v>0.09</v>
      </c>
    </row>
    <row r="6592" spans="1:3" x14ac:dyDescent="0.3">
      <c r="A6592" t="s">
        <v>10732</v>
      </c>
      <c r="B6592" t="s">
        <v>87</v>
      </c>
      <c r="C6592">
        <v>0.04</v>
      </c>
    </row>
    <row r="6593" spans="1:3" x14ac:dyDescent="0.3">
      <c r="A6593" t="s">
        <v>10732</v>
      </c>
      <c r="B6593" t="s">
        <v>87</v>
      </c>
      <c r="C6593">
        <v>0.06</v>
      </c>
    </row>
    <row r="6594" spans="1:3" x14ac:dyDescent="0.3">
      <c r="A6594" t="s">
        <v>10732</v>
      </c>
      <c r="B6594" t="s">
        <v>87</v>
      </c>
      <c r="C6594">
        <v>7.0000000000000007E-2</v>
      </c>
    </row>
    <row r="6595" spans="1:3" x14ac:dyDescent="0.3">
      <c r="A6595" t="s">
        <v>12910</v>
      </c>
      <c r="B6595" t="s">
        <v>29</v>
      </c>
      <c r="C6595">
        <v>0.05</v>
      </c>
    </row>
    <row r="6596" spans="1:3" x14ac:dyDescent="0.3">
      <c r="A6596" t="s">
        <v>11257</v>
      </c>
      <c r="B6596" t="s">
        <v>40</v>
      </c>
      <c r="C6596">
        <v>0.05</v>
      </c>
    </row>
    <row r="6597" spans="1:3" x14ac:dyDescent="0.3">
      <c r="A6597" t="s">
        <v>11257</v>
      </c>
      <c r="B6597" t="s">
        <v>40</v>
      </c>
      <c r="C6597">
        <v>0.09</v>
      </c>
    </row>
    <row r="6598" spans="1:3" x14ac:dyDescent="0.3">
      <c r="A6598" t="s">
        <v>15115</v>
      </c>
      <c r="B6598" t="s">
        <v>29</v>
      </c>
      <c r="C6598">
        <v>0.03</v>
      </c>
    </row>
    <row r="6599" spans="1:3" x14ac:dyDescent="0.3">
      <c r="A6599" t="s">
        <v>15115</v>
      </c>
      <c r="B6599" t="s">
        <v>87</v>
      </c>
      <c r="C6599">
        <v>7.0000000000000007E-2</v>
      </c>
    </row>
    <row r="6600" spans="1:3" x14ac:dyDescent="0.3">
      <c r="A6600" t="s">
        <v>9183</v>
      </c>
      <c r="B6600" t="s">
        <v>225</v>
      </c>
      <c r="C6600">
        <v>0.04</v>
      </c>
    </row>
    <row r="6601" spans="1:3" x14ac:dyDescent="0.3">
      <c r="A6601" t="s">
        <v>9183</v>
      </c>
      <c r="B6601" t="s">
        <v>225</v>
      </c>
      <c r="C6601">
        <v>0.1</v>
      </c>
    </row>
    <row r="6602" spans="1:3" x14ac:dyDescent="0.3">
      <c r="A6602" t="s">
        <v>10896</v>
      </c>
      <c r="B6602" t="s">
        <v>225</v>
      </c>
      <c r="C6602">
        <v>0.05</v>
      </c>
    </row>
    <row r="6603" spans="1:3" x14ac:dyDescent="0.3">
      <c r="A6603" t="s">
        <v>12582</v>
      </c>
      <c r="B6603" t="s">
        <v>29</v>
      </c>
      <c r="C6603">
        <v>0.1</v>
      </c>
    </row>
    <row r="6604" spans="1:3" x14ac:dyDescent="0.3">
      <c r="A6604" t="s">
        <v>12566</v>
      </c>
      <c r="B6604" t="s">
        <v>225</v>
      </c>
      <c r="C6604">
        <v>0.02</v>
      </c>
    </row>
    <row r="6605" spans="1:3" x14ac:dyDescent="0.3">
      <c r="A6605" t="s">
        <v>7548</v>
      </c>
      <c r="B6605" t="s">
        <v>29</v>
      </c>
      <c r="C6605">
        <v>0.01</v>
      </c>
    </row>
    <row r="6606" spans="1:3" x14ac:dyDescent="0.3">
      <c r="A6606" t="s">
        <v>7548</v>
      </c>
      <c r="B6606" t="s">
        <v>29</v>
      </c>
      <c r="C6606">
        <v>0.04</v>
      </c>
    </row>
    <row r="6607" spans="1:3" x14ac:dyDescent="0.3">
      <c r="A6607" t="s">
        <v>14476</v>
      </c>
      <c r="B6607" t="s">
        <v>29</v>
      </c>
      <c r="C6607">
        <v>0.01</v>
      </c>
    </row>
    <row r="6608" spans="1:3" x14ac:dyDescent="0.3">
      <c r="A6608" t="s">
        <v>14476</v>
      </c>
      <c r="B6608" t="s">
        <v>29</v>
      </c>
      <c r="C6608">
        <v>0.04</v>
      </c>
    </row>
    <row r="6609" spans="1:3" x14ac:dyDescent="0.3">
      <c r="A6609" t="s">
        <v>14476</v>
      </c>
      <c r="B6609" t="s">
        <v>29</v>
      </c>
      <c r="C6609">
        <v>7.0000000000000007E-2</v>
      </c>
    </row>
    <row r="6610" spans="1:3" x14ac:dyDescent="0.3">
      <c r="A6610" t="s">
        <v>13046</v>
      </c>
      <c r="B6610" t="s">
        <v>40</v>
      </c>
      <c r="C6610">
        <v>0.06</v>
      </c>
    </row>
    <row r="6611" spans="1:3" x14ac:dyDescent="0.3">
      <c r="A6611" t="s">
        <v>7219</v>
      </c>
      <c r="B6611" t="s">
        <v>29</v>
      </c>
      <c r="C6611">
        <v>0.04</v>
      </c>
    </row>
    <row r="6612" spans="1:3" x14ac:dyDescent="0.3">
      <c r="A6612" t="s">
        <v>7219</v>
      </c>
      <c r="B6612" t="s">
        <v>29</v>
      </c>
      <c r="C6612">
        <v>0.05</v>
      </c>
    </row>
    <row r="6613" spans="1:3" x14ac:dyDescent="0.3">
      <c r="A6613" t="s">
        <v>6970</v>
      </c>
      <c r="B6613" t="s">
        <v>53</v>
      </c>
      <c r="C6613">
        <v>0.04</v>
      </c>
    </row>
    <row r="6614" spans="1:3" x14ac:dyDescent="0.3">
      <c r="A6614" t="s">
        <v>13495</v>
      </c>
      <c r="B6614" t="s">
        <v>40</v>
      </c>
      <c r="C6614">
        <v>0.01</v>
      </c>
    </row>
    <row r="6615" spans="1:3" x14ac:dyDescent="0.3">
      <c r="A6615" t="s">
        <v>13495</v>
      </c>
      <c r="B6615" t="s">
        <v>40</v>
      </c>
      <c r="C6615">
        <v>0.02</v>
      </c>
    </row>
    <row r="6616" spans="1:3" x14ac:dyDescent="0.3">
      <c r="A6616" t="s">
        <v>11395</v>
      </c>
      <c r="B6616" t="s">
        <v>40</v>
      </c>
      <c r="C6616">
        <v>0.04</v>
      </c>
    </row>
    <row r="6617" spans="1:3" x14ac:dyDescent="0.3">
      <c r="A6617" t="s">
        <v>11395</v>
      </c>
      <c r="B6617" t="s">
        <v>40</v>
      </c>
      <c r="C6617">
        <v>0.06</v>
      </c>
    </row>
    <row r="6618" spans="1:3" x14ac:dyDescent="0.3">
      <c r="A6618" t="s">
        <v>11127</v>
      </c>
      <c r="B6618" t="s">
        <v>64</v>
      </c>
      <c r="C6618">
        <v>0.04</v>
      </c>
    </row>
    <row r="6619" spans="1:3" x14ac:dyDescent="0.3">
      <c r="A6619" t="s">
        <v>13393</v>
      </c>
      <c r="B6619" t="s">
        <v>87</v>
      </c>
      <c r="C6619">
        <v>0.06</v>
      </c>
    </row>
    <row r="6620" spans="1:3" x14ac:dyDescent="0.3">
      <c r="A6620" t="s">
        <v>9367</v>
      </c>
      <c r="B6620" t="s">
        <v>87</v>
      </c>
      <c r="C6620">
        <v>0.1</v>
      </c>
    </row>
    <row r="6621" spans="1:3" x14ac:dyDescent="0.3">
      <c r="A6621" t="s">
        <v>14150</v>
      </c>
      <c r="B6621" t="s">
        <v>87</v>
      </c>
      <c r="C6621">
        <v>0</v>
      </c>
    </row>
    <row r="6622" spans="1:3" x14ac:dyDescent="0.3">
      <c r="A6622" t="s">
        <v>14150</v>
      </c>
      <c r="B6622" t="s">
        <v>87</v>
      </c>
      <c r="C6622">
        <v>0.1</v>
      </c>
    </row>
    <row r="6623" spans="1:3" x14ac:dyDescent="0.3">
      <c r="A6623" t="s">
        <v>4919</v>
      </c>
      <c r="B6623" t="s">
        <v>40</v>
      </c>
      <c r="C6623">
        <v>0.08</v>
      </c>
    </row>
    <row r="6624" spans="1:3" x14ac:dyDescent="0.3">
      <c r="A6624" t="s">
        <v>9971</v>
      </c>
      <c r="B6624" t="s">
        <v>29</v>
      </c>
      <c r="C6624">
        <v>0.06</v>
      </c>
    </row>
    <row r="6625" spans="1:3" x14ac:dyDescent="0.3">
      <c r="A6625" t="s">
        <v>8111</v>
      </c>
      <c r="B6625" t="s">
        <v>29</v>
      </c>
      <c r="C6625">
        <v>0.05</v>
      </c>
    </row>
    <row r="6626" spans="1:3" x14ac:dyDescent="0.3">
      <c r="A6626" t="s">
        <v>8111</v>
      </c>
      <c r="B6626" t="s">
        <v>29</v>
      </c>
      <c r="C6626">
        <v>0.08</v>
      </c>
    </row>
    <row r="6627" spans="1:3" x14ac:dyDescent="0.3">
      <c r="A6627" t="s">
        <v>7310</v>
      </c>
      <c r="B6627" t="s">
        <v>29</v>
      </c>
      <c r="C6627">
        <v>0.01</v>
      </c>
    </row>
    <row r="6628" spans="1:3" x14ac:dyDescent="0.3">
      <c r="A6628" t="s">
        <v>8794</v>
      </c>
      <c r="B6628" t="s">
        <v>29</v>
      </c>
      <c r="C6628">
        <v>0.09</v>
      </c>
    </row>
    <row r="6629" spans="1:3" x14ac:dyDescent="0.3">
      <c r="A6629" t="s">
        <v>12970</v>
      </c>
      <c r="B6629" t="s">
        <v>87</v>
      </c>
      <c r="C6629">
        <v>0.09</v>
      </c>
    </row>
    <row r="6630" spans="1:3" x14ac:dyDescent="0.3">
      <c r="A6630" t="s">
        <v>14451</v>
      </c>
      <c r="B6630" t="s">
        <v>87</v>
      </c>
      <c r="C6630">
        <v>0.03</v>
      </c>
    </row>
    <row r="6631" spans="1:3" x14ac:dyDescent="0.3">
      <c r="A6631" t="s">
        <v>14667</v>
      </c>
      <c r="B6631" t="s">
        <v>87</v>
      </c>
      <c r="C6631">
        <v>7.0000000000000007E-2</v>
      </c>
    </row>
    <row r="6632" spans="1:3" x14ac:dyDescent="0.3">
      <c r="A6632" t="s">
        <v>9338</v>
      </c>
      <c r="B6632" t="s">
        <v>53</v>
      </c>
      <c r="C6632">
        <v>0.01</v>
      </c>
    </row>
    <row r="6633" spans="1:3" x14ac:dyDescent="0.3">
      <c r="A6633" t="s">
        <v>12335</v>
      </c>
      <c r="B6633" t="s">
        <v>53</v>
      </c>
      <c r="C6633">
        <v>0.06</v>
      </c>
    </row>
    <row r="6634" spans="1:3" x14ac:dyDescent="0.3">
      <c r="A6634" t="s">
        <v>612</v>
      </c>
      <c r="B6634" t="s">
        <v>53</v>
      </c>
      <c r="C6634">
        <v>0.01</v>
      </c>
    </row>
    <row r="6635" spans="1:3" x14ac:dyDescent="0.3">
      <c r="A6635" t="s">
        <v>612</v>
      </c>
      <c r="B6635" t="s">
        <v>53</v>
      </c>
      <c r="C6635">
        <v>7.0000000000000007E-2</v>
      </c>
    </row>
    <row r="6636" spans="1:3" x14ac:dyDescent="0.3">
      <c r="A6636" t="s">
        <v>10900</v>
      </c>
      <c r="B6636" t="s">
        <v>87</v>
      </c>
      <c r="C6636">
        <v>0.08</v>
      </c>
    </row>
    <row r="6637" spans="1:3" x14ac:dyDescent="0.3">
      <c r="A6637" t="s">
        <v>14709</v>
      </c>
      <c r="B6637" t="s">
        <v>40</v>
      </c>
      <c r="C6637">
        <v>0</v>
      </c>
    </row>
    <row r="6638" spans="1:3" x14ac:dyDescent="0.3">
      <c r="A6638" t="s">
        <v>14709</v>
      </c>
      <c r="B6638" t="s">
        <v>40</v>
      </c>
      <c r="C6638">
        <v>0.1</v>
      </c>
    </row>
    <row r="6639" spans="1:3" x14ac:dyDescent="0.3">
      <c r="A6639" t="s">
        <v>14194</v>
      </c>
      <c r="B6639" t="s">
        <v>87</v>
      </c>
      <c r="C6639">
        <v>0.05</v>
      </c>
    </row>
    <row r="6640" spans="1:3" x14ac:dyDescent="0.3">
      <c r="A6640" t="s">
        <v>625</v>
      </c>
      <c r="B6640" t="s">
        <v>40</v>
      </c>
      <c r="C6640">
        <v>0.08</v>
      </c>
    </row>
    <row r="6641" spans="1:3" x14ac:dyDescent="0.3">
      <c r="A6641" t="s">
        <v>625</v>
      </c>
      <c r="B6641" t="s">
        <v>64</v>
      </c>
      <c r="C6641">
        <v>0.1</v>
      </c>
    </row>
    <row r="6642" spans="1:3" x14ac:dyDescent="0.3">
      <c r="A6642" t="s">
        <v>9247</v>
      </c>
      <c r="B6642" t="s">
        <v>64</v>
      </c>
      <c r="C6642">
        <v>7.0000000000000007E-2</v>
      </c>
    </row>
    <row r="6643" spans="1:3" x14ac:dyDescent="0.3">
      <c r="A6643" t="s">
        <v>9247</v>
      </c>
      <c r="B6643" t="s">
        <v>64</v>
      </c>
      <c r="C6643">
        <v>0.09</v>
      </c>
    </row>
    <row r="6644" spans="1:3" x14ac:dyDescent="0.3">
      <c r="A6644" t="s">
        <v>13786</v>
      </c>
      <c r="B6644" t="s">
        <v>64</v>
      </c>
      <c r="C6644">
        <v>0.08</v>
      </c>
    </row>
    <row r="6645" spans="1:3" x14ac:dyDescent="0.3">
      <c r="A6645" t="s">
        <v>13786</v>
      </c>
      <c r="B6645" t="s">
        <v>29</v>
      </c>
      <c r="C6645">
        <v>0.03</v>
      </c>
    </row>
    <row r="6646" spans="1:3" x14ac:dyDescent="0.3">
      <c r="A6646" t="s">
        <v>7558</v>
      </c>
      <c r="B6646" t="s">
        <v>64</v>
      </c>
      <c r="C6646">
        <v>0.06</v>
      </c>
    </row>
    <row r="6647" spans="1:3" x14ac:dyDescent="0.3">
      <c r="A6647" t="s">
        <v>7558</v>
      </c>
      <c r="B6647" t="s">
        <v>64</v>
      </c>
      <c r="C6647">
        <v>0.09</v>
      </c>
    </row>
    <row r="6648" spans="1:3" x14ac:dyDescent="0.3">
      <c r="A6648" t="s">
        <v>5476</v>
      </c>
      <c r="B6648" t="s">
        <v>64</v>
      </c>
      <c r="C6648">
        <v>0</v>
      </c>
    </row>
    <row r="6649" spans="1:3" x14ac:dyDescent="0.3">
      <c r="A6649" t="s">
        <v>13639</v>
      </c>
      <c r="B6649" t="s">
        <v>53</v>
      </c>
      <c r="C6649">
        <v>0.1</v>
      </c>
    </row>
    <row r="6650" spans="1:3" x14ac:dyDescent="0.3">
      <c r="A6650" t="s">
        <v>12373</v>
      </c>
      <c r="B6650" t="s">
        <v>64</v>
      </c>
      <c r="C6650">
        <v>0.08</v>
      </c>
    </row>
    <row r="6651" spans="1:3" x14ac:dyDescent="0.3">
      <c r="A6651" t="s">
        <v>643</v>
      </c>
      <c r="B6651" t="s">
        <v>87</v>
      </c>
      <c r="C6651">
        <v>0.02</v>
      </c>
    </row>
    <row r="6652" spans="1:3" x14ac:dyDescent="0.3">
      <c r="A6652" t="s">
        <v>12385</v>
      </c>
      <c r="B6652" t="s">
        <v>40</v>
      </c>
      <c r="C6652">
        <v>0.04</v>
      </c>
    </row>
    <row r="6653" spans="1:3" x14ac:dyDescent="0.3">
      <c r="A6653" t="s">
        <v>3156</v>
      </c>
      <c r="B6653" t="s">
        <v>29</v>
      </c>
      <c r="C6653">
        <v>0.05</v>
      </c>
    </row>
    <row r="6654" spans="1:3" x14ac:dyDescent="0.3">
      <c r="A6654" t="s">
        <v>4585</v>
      </c>
      <c r="B6654" t="s">
        <v>53</v>
      </c>
      <c r="C6654">
        <v>0.01</v>
      </c>
    </row>
    <row r="6655" spans="1:3" x14ac:dyDescent="0.3">
      <c r="A6655" t="s">
        <v>5454</v>
      </c>
      <c r="B6655" t="s">
        <v>64</v>
      </c>
      <c r="C6655">
        <v>0.04</v>
      </c>
    </row>
    <row r="6656" spans="1:3" x14ac:dyDescent="0.3">
      <c r="A6656" t="s">
        <v>14215</v>
      </c>
      <c r="B6656" t="s">
        <v>40</v>
      </c>
      <c r="C6656">
        <v>0.04</v>
      </c>
    </row>
    <row r="6657" spans="1:3" x14ac:dyDescent="0.3">
      <c r="A6657" t="s">
        <v>7074</v>
      </c>
      <c r="B6657" t="s">
        <v>29</v>
      </c>
      <c r="C6657">
        <v>0.06</v>
      </c>
    </row>
    <row r="6658" spans="1:3" x14ac:dyDescent="0.3">
      <c r="A6658" t="s">
        <v>11116</v>
      </c>
      <c r="B6658" t="s">
        <v>53</v>
      </c>
      <c r="C6658">
        <v>0.08</v>
      </c>
    </row>
    <row r="6659" spans="1:3" x14ac:dyDescent="0.3">
      <c r="A6659" t="s">
        <v>6316</v>
      </c>
      <c r="B6659" t="s">
        <v>87</v>
      </c>
      <c r="C6659">
        <v>7.0000000000000007E-2</v>
      </c>
    </row>
    <row r="6660" spans="1:3" x14ac:dyDescent="0.3">
      <c r="A6660" t="s">
        <v>9345</v>
      </c>
      <c r="B6660" t="s">
        <v>53</v>
      </c>
      <c r="C6660">
        <v>7.0000000000000007E-2</v>
      </c>
    </row>
    <row r="6661" spans="1:3" x14ac:dyDescent="0.3">
      <c r="A6661" t="s">
        <v>9345</v>
      </c>
      <c r="B6661" t="s">
        <v>53</v>
      </c>
      <c r="C6661">
        <v>0.1</v>
      </c>
    </row>
    <row r="6662" spans="1:3" x14ac:dyDescent="0.3">
      <c r="A6662" t="s">
        <v>691</v>
      </c>
      <c r="B6662" t="s">
        <v>64</v>
      </c>
      <c r="C6662">
        <v>0.02</v>
      </c>
    </row>
    <row r="6663" spans="1:3" x14ac:dyDescent="0.3">
      <c r="A6663" t="s">
        <v>13261</v>
      </c>
      <c r="B6663" t="s">
        <v>64</v>
      </c>
      <c r="C6663">
        <v>0.08</v>
      </c>
    </row>
    <row r="6664" spans="1:3" x14ac:dyDescent="0.3">
      <c r="A6664" t="s">
        <v>13173</v>
      </c>
      <c r="B6664" t="s">
        <v>64</v>
      </c>
      <c r="C6664">
        <v>0.03</v>
      </c>
    </row>
    <row r="6665" spans="1:3" x14ac:dyDescent="0.3">
      <c r="A6665" t="s">
        <v>7137</v>
      </c>
      <c r="B6665" t="s">
        <v>64</v>
      </c>
      <c r="C6665">
        <v>0.09</v>
      </c>
    </row>
    <row r="6666" spans="1:3" x14ac:dyDescent="0.3">
      <c r="A6666" t="s">
        <v>5388</v>
      </c>
      <c r="B6666" t="s">
        <v>87</v>
      </c>
      <c r="C6666">
        <v>0.06</v>
      </c>
    </row>
    <row r="6667" spans="1:3" x14ac:dyDescent="0.3">
      <c r="A6667" t="s">
        <v>5413</v>
      </c>
      <c r="B6667" t="s">
        <v>87</v>
      </c>
      <c r="C6667">
        <v>0</v>
      </c>
    </row>
    <row r="6668" spans="1:3" x14ac:dyDescent="0.3">
      <c r="A6668" t="s">
        <v>5413</v>
      </c>
      <c r="B6668" t="s">
        <v>87</v>
      </c>
      <c r="C6668">
        <v>7.0000000000000007E-2</v>
      </c>
    </row>
    <row r="6669" spans="1:3" x14ac:dyDescent="0.3">
      <c r="A6669" t="s">
        <v>14171</v>
      </c>
      <c r="B6669" t="s">
        <v>40</v>
      </c>
      <c r="C6669">
        <v>0.1</v>
      </c>
    </row>
    <row r="6670" spans="1:3" x14ac:dyDescent="0.3">
      <c r="A6670" t="s">
        <v>14221</v>
      </c>
      <c r="B6670" t="s">
        <v>29</v>
      </c>
      <c r="C6670">
        <v>0.04</v>
      </c>
    </row>
    <row r="6671" spans="1:3" x14ac:dyDescent="0.3">
      <c r="A6671" t="s">
        <v>704</v>
      </c>
      <c r="B6671" t="s">
        <v>40</v>
      </c>
      <c r="C6671">
        <v>0.06</v>
      </c>
    </row>
    <row r="6672" spans="1:3" x14ac:dyDescent="0.3">
      <c r="A6672" t="s">
        <v>15339</v>
      </c>
      <c r="B6672" t="s">
        <v>64</v>
      </c>
      <c r="C6672">
        <v>0.05</v>
      </c>
    </row>
    <row r="6673" spans="1:3" x14ac:dyDescent="0.3">
      <c r="A6673" t="s">
        <v>13984</v>
      </c>
      <c r="B6673" t="s">
        <v>40</v>
      </c>
      <c r="C6673">
        <v>0.02</v>
      </c>
    </row>
    <row r="6674" spans="1:3" x14ac:dyDescent="0.3">
      <c r="A6674" t="s">
        <v>13984</v>
      </c>
      <c r="B6674" t="s">
        <v>53</v>
      </c>
      <c r="C6674">
        <v>0.03</v>
      </c>
    </row>
    <row r="6675" spans="1:3" x14ac:dyDescent="0.3">
      <c r="A6675" t="s">
        <v>14362</v>
      </c>
      <c r="B6675" t="s">
        <v>29</v>
      </c>
      <c r="C6675">
        <v>0.05</v>
      </c>
    </row>
    <row r="6676" spans="1:3" x14ac:dyDescent="0.3">
      <c r="A6676" t="s">
        <v>14362</v>
      </c>
      <c r="B6676" t="s">
        <v>29</v>
      </c>
      <c r="C6676">
        <v>0.1</v>
      </c>
    </row>
    <row r="6677" spans="1:3" x14ac:dyDescent="0.3">
      <c r="A6677" t="s">
        <v>10881</v>
      </c>
      <c r="B6677" t="s">
        <v>29</v>
      </c>
      <c r="C6677">
        <v>0.06</v>
      </c>
    </row>
    <row r="6678" spans="1:3" x14ac:dyDescent="0.3">
      <c r="A6678" t="s">
        <v>14564</v>
      </c>
      <c r="B6678" t="s">
        <v>40</v>
      </c>
      <c r="C6678">
        <v>0.03</v>
      </c>
    </row>
    <row r="6679" spans="1:3" x14ac:dyDescent="0.3">
      <c r="A6679" t="s">
        <v>2970</v>
      </c>
      <c r="B6679" t="s">
        <v>53</v>
      </c>
      <c r="C6679">
        <v>0.02</v>
      </c>
    </row>
    <row r="6680" spans="1:3" x14ac:dyDescent="0.3">
      <c r="A6680" t="s">
        <v>10663</v>
      </c>
      <c r="B6680" t="s">
        <v>64</v>
      </c>
      <c r="C6680">
        <v>0.02</v>
      </c>
    </row>
    <row r="6681" spans="1:3" x14ac:dyDescent="0.3">
      <c r="A6681" t="s">
        <v>10663</v>
      </c>
      <c r="B6681" t="s">
        <v>64</v>
      </c>
      <c r="C6681">
        <v>0.08</v>
      </c>
    </row>
    <row r="6682" spans="1:3" x14ac:dyDescent="0.3">
      <c r="A6682" t="s">
        <v>9082</v>
      </c>
      <c r="B6682" t="s">
        <v>64</v>
      </c>
      <c r="C6682">
        <v>0.1</v>
      </c>
    </row>
    <row r="6683" spans="1:3" x14ac:dyDescent="0.3">
      <c r="A6683" t="s">
        <v>15402</v>
      </c>
      <c r="B6683" t="s">
        <v>40</v>
      </c>
      <c r="C6683">
        <v>0.09</v>
      </c>
    </row>
    <row r="6684" spans="1:3" x14ac:dyDescent="0.3">
      <c r="A6684" t="s">
        <v>2510</v>
      </c>
      <c r="B6684" t="s">
        <v>40</v>
      </c>
      <c r="C6684">
        <v>0</v>
      </c>
    </row>
    <row r="6685" spans="1:3" x14ac:dyDescent="0.3">
      <c r="A6685" t="s">
        <v>2510</v>
      </c>
      <c r="B6685" t="s">
        <v>40</v>
      </c>
      <c r="C6685">
        <v>0.02</v>
      </c>
    </row>
    <row r="6686" spans="1:3" x14ac:dyDescent="0.3">
      <c r="A6686" t="s">
        <v>3592</v>
      </c>
      <c r="B6686" t="s">
        <v>53</v>
      </c>
      <c r="C6686">
        <v>0.06</v>
      </c>
    </row>
    <row r="6687" spans="1:3" x14ac:dyDescent="0.3">
      <c r="A6687" t="s">
        <v>3592</v>
      </c>
      <c r="B6687" t="s">
        <v>53</v>
      </c>
      <c r="C6687">
        <v>0.1</v>
      </c>
    </row>
    <row r="6688" spans="1:3" x14ac:dyDescent="0.3">
      <c r="A6688" t="s">
        <v>15655</v>
      </c>
      <c r="B6688" t="s">
        <v>40</v>
      </c>
      <c r="C6688">
        <v>0.02</v>
      </c>
    </row>
    <row r="6689" spans="1:3" x14ac:dyDescent="0.3">
      <c r="A6689" t="s">
        <v>9212</v>
      </c>
      <c r="B6689" t="s">
        <v>87</v>
      </c>
      <c r="C6689">
        <v>0.02</v>
      </c>
    </row>
    <row r="6690" spans="1:3" x14ac:dyDescent="0.3">
      <c r="A6690" t="s">
        <v>8243</v>
      </c>
      <c r="B6690" t="s">
        <v>87</v>
      </c>
      <c r="C6690">
        <v>0.05</v>
      </c>
    </row>
    <row r="6691" spans="1:3" x14ac:dyDescent="0.3">
      <c r="A6691" t="s">
        <v>9060</v>
      </c>
      <c r="B6691" t="s">
        <v>87</v>
      </c>
      <c r="C6691">
        <v>0.09</v>
      </c>
    </row>
    <row r="6692" spans="1:3" x14ac:dyDescent="0.3">
      <c r="A6692" t="s">
        <v>11077</v>
      </c>
      <c r="B6692" t="s">
        <v>53</v>
      </c>
      <c r="C6692">
        <v>0.1</v>
      </c>
    </row>
    <row r="6693" spans="1:3" x14ac:dyDescent="0.3">
      <c r="A6693" t="s">
        <v>7208</v>
      </c>
      <c r="B6693" t="s">
        <v>40</v>
      </c>
      <c r="C6693">
        <v>0.1</v>
      </c>
    </row>
    <row r="6694" spans="1:3" x14ac:dyDescent="0.3">
      <c r="A6694" t="s">
        <v>12306</v>
      </c>
      <c r="B6694" t="s">
        <v>29</v>
      </c>
      <c r="C6694">
        <v>0.02</v>
      </c>
    </row>
    <row r="6695" spans="1:3" x14ac:dyDescent="0.3">
      <c r="A6695" t="s">
        <v>5948</v>
      </c>
      <c r="B6695" t="s">
        <v>40</v>
      </c>
      <c r="C6695">
        <v>0.04</v>
      </c>
    </row>
    <row r="6696" spans="1:3" x14ac:dyDescent="0.3">
      <c r="A6696" t="s">
        <v>749</v>
      </c>
      <c r="B6696" t="s">
        <v>225</v>
      </c>
      <c r="C6696">
        <v>0.01</v>
      </c>
    </row>
    <row r="6697" spans="1:3" x14ac:dyDescent="0.3">
      <c r="A6697" t="s">
        <v>3360</v>
      </c>
      <c r="B6697" t="s">
        <v>225</v>
      </c>
      <c r="C6697">
        <v>0.01</v>
      </c>
    </row>
    <row r="6698" spans="1:3" x14ac:dyDescent="0.3">
      <c r="A6698" t="s">
        <v>12972</v>
      </c>
      <c r="B6698" t="s">
        <v>87</v>
      </c>
      <c r="C6698">
        <v>0.04</v>
      </c>
    </row>
    <row r="6699" spans="1:3" x14ac:dyDescent="0.3">
      <c r="A6699" t="s">
        <v>11639</v>
      </c>
      <c r="B6699" t="s">
        <v>87</v>
      </c>
      <c r="C6699">
        <v>0.04</v>
      </c>
    </row>
    <row r="6700" spans="1:3" x14ac:dyDescent="0.3">
      <c r="A6700" t="s">
        <v>762</v>
      </c>
      <c r="B6700" t="s">
        <v>64</v>
      </c>
      <c r="C6700">
        <v>7.0000000000000007E-2</v>
      </c>
    </row>
    <row r="6701" spans="1:3" x14ac:dyDescent="0.3">
      <c r="A6701" t="s">
        <v>1646</v>
      </c>
      <c r="B6701" t="s">
        <v>53</v>
      </c>
      <c r="C6701">
        <v>0.06</v>
      </c>
    </row>
    <row r="6702" spans="1:3" x14ac:dyDescent="0.3">
      <c r="A6702" t="s">
        <v>1646</v>
      </c>
      <c r="B6702" t="s">
        <v>53</v>
      </c>
      <c r="C6702">
        <v>0.09</v>
      </c>
    </row>
    <row r="6703" spans="1:3" x14ac:dyDescent="0.3">
      <c r="A6703" t="s">
        <v>15565</v>
      </c>
      <c r="B6703" t="s">
        <v>64</v>
      </c>
      <c r="C6703">
        <v>0.01</v>
      </c>
    </row>
    <row r="6704" spans="1:3" x14ac:dyDescent="0.3">
      <c r="A6704" t="s">
        <v>9196</v>
      </c>
      <c r="B6704" t="s">
        <v>29</v>
      </c>
      <c r="C6704">
        <v>0.03</v>
      </c>
    </row>
    <row r="6705" spans="1:3" x14ac:dyDescent="0.3">
      <c r="A6705" t="s">
        <v>9196</v>
      </c>
      <c r="B6705" t="s">
        <v>29</v>
      </c>
      <c r="C6705">
        <v>0.04</v>
      </c>
    </row>
    <row r="6706" spans="1:3" x14ac:dyDescent="0.3">
      <c r="A6706" t="s">
        <v>14793</v>
      </c>
      <c r="B6706" t="s">
        <v>29</v>
      </c>
      <c r="C6706">
        <v>0.04</v>
      </c>
    </row>
    <row r="6707" spans="1:3" x14ac:dyDescent="0.3">
      <c r="A6707" t="s">
        <v>8073</v>
      </c>
      <c r="B6707" t="s">
        <v>40</v>
      </c>
      <c r="C6707">
        <v>0.09</v>
      </c>
    </row>
    <row r="6708" spans="1:3" x14ac:dyDescent="0.3">
      <c r="A6708" t="s">
        <v>13007</v>
      </c>
      <c r="B6708" t="s">
        <v>53</v>
      </c>
      <c r="C6708">
        <v>7.0000000000000007E-2</v>
      </c>
    </row>
    <row r="6709" spans="1:3" x14ac:dyDescent="0.3">
      <c r="A6709" t="s">
        <v>14485</v>
      </c>
      <c r="B6709" t="s">
        <v>29</v>
      </c>
      <c r="C6709">
        <v>0</v>
      </c>
    </row>
    <row r="6710" spans="1:3" x14ac:dyDescent="0.3">
      <c r="A6710" t="s">
        <v>14485</v>
      </c>
      <c r="B6710" t="s">
        <v>29</v>
      </c>
      <c r="C6710">
        <v>0.1</v>
      </c>
    </row>
    <row r="6711" spans="1:3" x14ac:dyDescent="0.3">
      <c r="A6711" t="s">
        <v>9106</v>
      </c>
      <c r="B6711" t="s">
        <v>87</v>
      </c>
      <c r="C6711">
        <v>0.04</v>
      </c>
    </row>
    <row r="6712" spans="1:3" x14ac:dyDescent="0.3">
      <c r="A6712" t="s">
        <v>10101</v>
      </c>
      <c r="B6712" t="s">
        <v>87</v>
      </c>
      <c r="C6712">
        <v>0.01</v>
      </c>
    </row>
    <row r="6713" spans="1:3" x14ac:dyDescent="0.3">
      <c r="A6713" t="s">
        <v>10101</v>
      </c>
      <c r="B6713" t="s">
        <v>87</v>
      </c>
      <c r="C6713">
        <v>0.1</v>
      </c>
    </row>
    <row r="6714" spans="1:3" x14ac:dyDescent="0.3">
      <c r="A6714" t="s">
        <v>14294</v>
      </c>
      <c r="B6714" t="s">
        <v>29</v>
      </c>
      <c r="C6714">
        <v>0.06</v>
      </c>
    </row>
    <row r="6715" spans="1:3" x14ac:dyDescent="0.3">
      <c r="A6715" t="s">
        <v>12735</v>
      </c>
      <c r="B6715" t="s">
        <v>40</v>
      </c>
      <c r="C6715">
        <v>0.08</v>
      </c>
    </row>
    <row r="6716" spans="1:3" x14ac:dyDescent="0.3">
      <c r="A6716" t="s">
        <v>5121</v>
      </c>
      <c r="B6716" t="s">
        <v>64</v>
      </c>
      <c r="C6716">
        <v>0</v>
      </c>
    </row>
    <row r="6717" spans="1:3" x14ac:dyDescent="0.3">
      <c r="A6717" t="s">
        <v>5121</v>
      </c>
      <c r="B6717" t="s">
        <v>64</v>
      </c>
      <c r="C6717">
        <v>0.02</v>
      </c>
    </row>
    <row r="6718" spans="1:3" x14ac:dyDescent="0.3">
      <c r="A6718" t="s">
        <v>5121</v>
      </c>
      <c r="B6718" t="s">
        <v>64</v>
      </c>
      <c r="C6718">
        <v>0.05</v>
      </c>
    </row>
    <row r="6719" spans="1:3" x14ac:dyDescent="0.3">
      <c r="A6719" t="s">
        <v>15313</v>
      </c>
      <c r="B6719" t="s">
        <v>40</v>
      </c>
      <c r="C6719">
        <v>0.05</v>
      </c>
    </row>
    <row r="6720" spans="1:3" x14ac:dyDescent="0.3">
      <c r="A6720" t="s">
        <v>9908</v>
      </c>
      <c r="B6720" t="s">
        <v>40</v>
      </c>
      <c r="C6720">
        <v>0.05</v>
      </c>
    </row>
    <row r="6721" spans="1:3" x14ac:dyDescent="0.3">
      <c r="A6721" t="s">
        <v>799</v>
      </c>
      <c r="B6721" t="s">
        <v>40</v>
      </c>
      <c r="C6721">
        <v>0.03</v>
      </c>
    </row>
    <row r="6722" spans="1:3" x14ac:dyDescent="0.3">
      <c r="A6722" t="s">
        <v>799</v>
      </c>
      <c r="B6722" t="s">
        <v>40</v>
      </c>
      <c r="C6722">
        <v>0.05</v>
      </c>
    </row>
    <row r="6723" spans="1:3" x14ac:dyDescent="0.3">
      <c r="A6723" t="s">
        <v>11106</v>
      </c>
      <c r="B6723" t="s">
        <v>53</v>
      </c>
      <c r="C6723">
        <v>0.1</v>
      </c>
    </row>
    <row r="6724" spans="1:3" x14ac:dyDescent="0.3">
      <c r="A6724" t="s">
        <v>14931</v>
      </c>
      <c r="B6724" t="s">
        <v>87</v>
      </c>
      <c r="C6724">
        <v>0.1</v>
      </c>
    </row>
    <row r="6725" spans="1:3" x14ac:dyDescent="0.3">
      <c r="A6725" t="s">
        <v>12718</v>
      </c>
      <c r="B6725" t="s">
        <v>53</v>
      </c>
      <c r="C6725">
        <v>0.04</v>
      </c>
    </row>
    <row r="6726" spans="1:3" x14ac:dyDescent="0.3">
      <c r="A6726" t="s">
        <v>15214</v>
      </c>
      <c r="B6726" t="s">
        <v>87</v>
      </c>
      <c r="C6726">
        <v>0.03</v>
      </c>
    </row>
    <row r="6727" spans="1:3" x14ac:dyDescent="0.3">
      <c r="A6727" t="s">
        <v>12192</v>
      </c>
      <c r="B6727" t="s">
        <v>87</v>
      </c>
      <c r="C6727">
        <v>0.01</v>
      </c>
    </row>
    <row r="6728" spans="1:3" x14ac:dyDescent="0.3">
      <c r="A6728" t="s">
        <v>12192</v>
      </c>
      <c r="B6728" t="s">
        <v>87</v>
      </c>
      <c r="C6728">
        <v>0.03</v>
      </c>
    </row>
    <row r="6729" spans="1:3" x14ac:dyDescent="0.3">
      <c r="A6729" t="s">
        <v>12192</v>
      </c>
      <c r="B6729" t="s">
        <v>87</v>
      </c>
      <c r="C6729">
        <v>0.05</v>
      </c>
    </row>
    <row r="6730" spans="1:3" x14ac:dyDescent="0.3">
      <c r="A6730" t="s">
        <v>812</v>
      </c>
      <c r="B6730" t="s">
        <v>40</v>
      </c>
      <c r="C6730">
        <v>0.01</v>
      </c>
    </row>
    <row r="6731" spans="1:3" x14ac:dyDescent="0.3">
      <c r="A6731" t="s">
        <v>812</v>
      </c>
      <c r="B6731" t="s">
        <v>40</v>
      </c>
      <c r="C6731">
        <v>0.1</v>
      </c>
    </row>
    <row r="6732" spans="1:3" x14ac:dyDescent="0.3">
      <c r="A6732" t="s">
        <v>12376</v>
      </c>
      <c r="B6732" t="s">
        <v>87</v>
      </c>
      <c r="C6732">
        <v>0.01</v>
      </c>
    </row>
    <row r="6733" spans="1:3" x14ac:dyDescent="0.3">
      <c r="A6733" t="s">
        <v>12376</v>
      </c>
      <c r="B6733" t="s">
        <v>87</v>
      </c>
      <c r="C6733">
        <v>0.04</v>
      </c>
    </row>
    <row r="6734" spans="1:3" x14ac:dyDescent="0.3">
      <c r="A6734" t="s">
        <v>12376</v>
      </c>
      <c r="B6734" t="s">
        <v>87</v>
      </c>
      <c r="C6734">
        <v>0.06</v>
      </c>
    </row>
    <row r="6735" spans="1:3" x14ac:dyDescent="0.3">
      <c r="A6735" t="s">
        <v>6864</v>
      </c>
      <c r="B6735" t="s">
        <v>87</v>
      </c>
      <c r="C6735">
        <v>0.06</v>
      </c>
    </row>
    <row r="6736" spans="1:3" x14ac:dyDescent="0.3">
      <c r="A6736" t="s">
        <v>15140</v>
      </c>
      <c r="B6736" t="s">
        <v>29</v>
      </c>
      <c r="C6736">
        <v>7.0000000000000007E-2</v>
      </c>
    </row>
    <row r="6737" spans="1:3" x14ac:dyDescent="0.3">
      <c r="A6737" t="s">
        <v>15140</v>
      </c>
      <c r="B6737" t="s">
        <v>29</v>
      </c>
      <c r="C6737">
        <v>0.09</v>
      </c>
    </row>
    <row r="6738" spans="1:3" x14ac:dyDescent="0.3">
      <c r="A6738" t="s">
        <v>15140</v>
      </c>
      <c r="B6738" t="s">
        <v>87</v>
      </c>
      <c r="C6738">
        <v>0.04</v>
      </c>
    </row>
    <row r="6739" spans="1:3" x14ac:dyDescent="0.3">
      <c r="A6739" t="s">
        <v>10093</v>
      </c>
      <c r="B6739" t="s">
        <v>87</v>
      </c>
      <c r="C6739">
        <v>0.09</v>
      </c>
    </row>
    <row r="6740" spans="1:3" x14ac:dyDescent="0.3">
      <c r="A6740" t="s">
        <v>825</v>
      </c>
      <c r="B6740" t="s">
        <v>40</v>
      </c>
      <c r="C6740">
        <v>0</v>
      </c>
    </row>
    <row r="6741" spans="1:3" x14ac:dyDescent="0.3">
      <c r="A6741" t="s">
        <v>825</v>
      </c>
      <c r="B6741" t="s">
        <v>40</v>
      </c>
      <c r="C6741">
        <v>7.0000000000000007E-2</v>
      </c>
    </row>
    <row r="6742" spans="1:3" x14ac:dyDescent="0.3">
      <c r="A6742" t="s">
        <v>5699</v>
      </c>
      <c r="B6742" t="s">
        <v>40</v>
      </c>
      <c r="C6742">
        <v>0.03</v>
      </c>
    </row>
    <row r="6743" spans="1:3" x14ac:dyDescent="0.3">
      <c r="A6743" t="s">
        <v>5699</v>
      </c>
      <c r="B6743" t="s">
        <v>87</v>
      </c>
      <c r="C6743">
        <v>0.02</v>
      </c>
    </row>
    <row r="6744" spans="1:3" x14ac:dyDescent="0.3">
      <c r="A6744" t="s">
        <v>14729</v>
      </c>
      <c r="B6744" t="s">
        <v>87</v>
      </c>
      <c r="C6744">
        <v>0</v>
      </c>
    </row>
    <row r="6745" spans="1:3" x14ac:dyDescent="0.3">
      <c r="A6745" t="s">
        <v>9515</v>
      </c>
      <c r="B6745" t="s">
        <v>53</v>
      </c>
      <c r="C6745">
        <v>7.0000000000000007E-2</v>
      </c>
    </row>
    <row r="6746" spans="1:3" x14ac:dyDescent="0.3">
      <c r="A6746" t="s">
        <v>9515</v>
      </c>
      <c r="B6746" t="s">
        <v>53</v>
      </c>
      <c r="C6746">
        <v>0.09</v>
      </c>
    </row>
    <row r="6747" spans="1:3" x14ac:dyDescent="0.3">
      <c r="A6747" t="s">
        <v>14783</v>
      </c>
      <c r="B6747" t="s">
        <v>53</v>
      </c>
      <c r="C6747">
        <v>0.05</v>
      </c>
    </row>
    <row r="6748" spans="1:3" x14ac:dyDescent="0.3">
      <c r="A6748" t="s">
        <v>14437</v>
      </c>
      <c r="B6748" t="s">
        <v>53</v>
      </c>
      <c r="C6748">
        <v>0.03</v>
      </c>
    </row>
    <row r="6749" spans="1:3" x14ac:dyDescent="0.3">
      <c r="A6749" t="s">
        <v>6555</v>
      </c>
      <c r="B6749" t="s">
        <v>29</v>
      </c>
      <c r="C6749">
        <v>0.04</v>
      </c>
    </row>
    <row r="6750" spans="1:3" x14ac:dyDescent="0.3">
      <c r="A6750" t="s">
        <v>6555</v>
      </c>
      <c r="B6750" t="s">
        <v>53</v>
      </c>
      <c r="C6750">
        <v>0.01</v>
      </c>
    </row>
    <row r="6751" spans="1:3" x14ac:dyDescent="0.3">
      <c r="A6751" t="s">
        <v>14661</v>
      </c>
      <c r="B6751" t="s">
        <v>40</v>
      </c>
      <c r="C6751">
        <v>0.01</v>
      </c>
    </row>
    <row r="6752" spans="1:3" x14ac:dyDescent="0.3">
      <c r="A6752" t="s">
        <v>14661</v>
      </c>
      <c r="B6752" t="s">
        <v>29</v>
      </c>
      <c r="C6752">
        <v>0.02</v>
      </c>
    </row>
    <row r="6753" spans="1:3" x14ac:dyDescent="0.3">
      <c r="A6753" t="s">
        <v>14563</v>
      </c>
      <c r="B6753" t="s">
        <v>40</v>
      </c>
      <c r="C6753">
        <v>0.09</v>
      </c>
    </row>
    <row r="6754" spans="1:3" x14ac:dyDescent="0.3">
      <c r="A6754" t="s">
        <v>845</v>
      </c>
      <c r="B6754" t="s">
        <v>87</v>
      </c>
      <c r="C6754">
        <v>0.01</v>
      </c>
    </row>
    <row r="6755" spans="1:3" x14ac:dyDescent="0.3">
      <c r="A6755" t="s">
        <v>2674</v>
      </c>
      <c r="B6755" t="s">
        <v>87</v>
      </c>
      <c r="C6755">
        <v>0.04</v>
      </c>
    </row>
    <row r="6756" spans="1:3" x14ac:dyDescent="0.3">
      <c r="A6756" t="s">
        <v>12296</v>
      </c>
      <c r="B6756" t="s">
        <v>29</v>
      </c>
      <c r="C6756">
        <v>0.01</v>
      </c>
    </row>
    <row r="6757" spans="1:3" x14ac:dyDescent="0.3">
      <c r="A6757" t="s">
        <v>12296</v>
      </c>
      <c r="B6757" t="s">
        <v>29</v>
      </c>
      <c r="C6757">
        <v>0.05</v>
      </c>
    </row>
    <row r="6758" spans="1:3" x14ac:dyDescent="0.3">
      <c r="A6758" t="s">
        <v>12631</v>
      </c>
      <c r="B6758" t="s">
        <v>29</v>
      </c>
      <c r="C6758">
        <v>0.01</v>
      </c>
    </row>
    <row r="6759" spans="1:3" x14ac:dyDescent="0.3">
      <c r="A6759" t="s">
        <v>12631</v>
      </c>
      <c r="B6759" t="s">
        <v>87</v>
      </c>
      <c r="C6759">
        <v>7.0000000000000007E-2</v>
      </c>
    </row>
    <row r="6760" spans="1:3" x14ac:dyDescent="0.3">
      <c r="A6760" t="s">
        <v>15246</v>
      </c>
      <c r="B6760" t="s">
        <v>53</v>
      </c>
      <c r="C6760">
        <v>0.02</v>
      </c>
    </row>
    <row r="6761" spans="1:3" x14ac:dyDescent="0.3">
      <c r="A6761" t="s">
        <v>15246</v>
      </c>
      <c r="B6761" t="s">
        <v>53</v>
      </c>
      <c r="C6761">
        <v>7.0000000000000007E-2</v>
      </c>
    </row>
    <row r="6762" spans="1:3" x14ac:dyDescent="0.3">
      <c r="A6762" t="s">
        <v>7914</v>
      </c>
      <c r="B6762" t="s">
        <v>29</v>
      </c>
      <c r="C6762">
        <v>0.03</v>
      </c>
    </row>
    <row r="6763" spans="1:3" x14ac:dyDescent="0.3">
      <c r="A6763" t="s">
        <v>7914</v>
      </c>
      <c r="B6763" t="s">
        <v>29</v>
      </c>
      <c r="C6763">
        <v>0.1</v>
      </c>
    </row>
    <row r="6764" spans="1:3" x14ac:dyDescent="0.3">
      <c r="A6764" t="s">
        <v>5214</v>
      </c>
      <c r="B6764" t="s">
        <v>29</v>
      </c>
      <c r="C6764">
        <v>0.04</v>
      </c>
    </row>
    <row r="6765" spans="1:3" x14ac:dyDescent="0.3">
      <c r="A6765" t="s">
        <v>5214</v>
      </c>
      <c r="B6765" t="s">
        <v>29</v>
      </c>
      <c r="C6765">
        <v>0.09</v>
      </c>
    </row>
    <row r="6766" spans="1:3" x14ac:dyDescent="0.3">
      <c r="A6766" t="s">
        <v>5878</v>
      </c>
      <c r="B6766" t="s">
        <v>40</v>
      </c>
      <c r="C6766">
        <v>7.0000000000000007E-2</v>
      </c>
    </row>
    <row r="6767" spans="1:3" x14ac:dyDescent="0.3">
      <c r="A6767" t="s">
        <v>10728</v>
      </c>
      <c r="B6767" t="s">
        <v>40</v>
      </c>
      <c r="C6767">
        <v>0.08</v>
      </c>
    </row>
    <row r="6768" spans="1:3" x14ac:dyDescent="0.3">
      <c r="A6768" t="s">
        <v>13310</v>
      </c>
      <c r="B6768" t="s">
        <v>40</v>
      </c>
      <c r="C6768">
        <v>0.08</v>
      </c>
    </row>
    <row r="6769" spans="1:3" x14ac:dyDescent="0.3">
      <c r="A6769" t="s">
        <v>10831</v>
      </c>
      <c r="B6769" t="s">
        <v>225</v>
      </c>
      <c r="C6769">
        <v>0</v>
      </c>
    </row>
    <row r="6770" spans="1:3" x14ac:dyDescent="0.3">
      <c r="A6770" t="s">
        <v>10831</v>
      </c>
      <c r="B6770" t="s">
        <v>225</v>
      </c>
      <c r="C6770">
        <v>0.09</v>
      </c>
    </row>
    <row r="6771" spans="1:3" x14ac:dyDescent="0.3">
      <c r="A6771" t="s">
        <v>14343</v>
      </c>
      <c r="B6771" t="s">
        <v>225</v>
      </c>
      <c r="C6771">
        <v>7.0000000000000007E-2</v>
      </c>
    </row>
    <row r="6772" spans="1:3" x14ac:dyDescent="0.3">
      <c r="A6772" t="s">
        <v>7640</v>
      </c>
      <c r="B6772" t="s">
        <v>87</v>
      </c>
      <c r="C6772">
        <v>0.03</v>
      </c>
    </row>
    <row r="6773" spans="1:3" x14ac:dyDescent="0.3">
      <c r="A6773" t="s">
        <v>10066</v>
      </c>
      <c r="B6773" t="s">
        <v>40</v>
      </c>
      <c r="C6773">
        <v>0.06</v>
      </c>
    </row>
    <row r="6774" spans="1:3" x14ac:dyDescent="0.3">
      <c r="A6774" t="s">
        <v>13492</v>
      </c>
      <c r="B6774" t="s">
        <v>40</v>
      </c>
      <c r="C6774">
        <v>7.0000000000000007E-2</v>
      </c>
    </row>
    <row r="6775" spans="1:3" x14ac:dyDescent="0.3">
      <c r="A6775" t="s">
        <v>13492</v>
      </c>
      <c r="B6775" t="s">
        <v>40</v>
      </c>
      <c r="C6775">
        <v>0.1</v>
      </c>
    </row>
    <row r="6776" spans="1:3" x14ac:dyDescent="0.3">
      <c r="A6776" t="s">
        <v>10205</v>
      </c>
      <c r="B6776" t="s">
        <v>40</v>
      </c>
      <c r="C6776">
        <v>0.1</v>
      </c>
    </row>
    <row r="6777" spans="1:3" x14ac:dyDescent="0.3">
      <c r="A6777" t="s">
        <v>9492</v>
      </c>
      <c r="B6777" t="s">
        <v>225</v>
      </c>
      <c r="C6777">
        <v>0.05</v>
      </c>
    </row>
    <row r="6778" spans="1:3" x14ac:dyDescent="0.3">
      <c r="A6778" t="s">
        <v>12613</v>
      </c>
      <c r="B6778" t="s">
        <v>29</v>
      </c>
      <c r="C6778">
        <v>7.0000000000000007E-2</v>
      </c>
    </row>
    <row r="6779" spans="1:3" x14ac:dyDescent="0.3">
      <c r="A6779" t="s">
        <v>12613</v>
      </c>
      <c r="B6779" t="s">
        <v>29</v>
      </c>
      <c r="C6779">
        <v>0.09</v>
      </c>
    </row>
    <row r="6780" spans="1:3" x14ac:dyDescent="0.3">
      <c r="A6780" t="s">
        <v>12613</v>
      </c>
      <c r="B6780" t="s">
        <v>29</v>
      </c>
      <c r="C6780">
        <v>0.1</v>
      </c>
    </row>
    <row r="6781" spans="1:3" x14ac:dyDescent="0.3">
      <c r="A6781" t="s">
        <v>11066</v>
      </c>
      <c r="B6781" t="s">
        <v>225</v>
      </c>
      <c r="C6781">
        <v>0.04</v>
      </c>
    </row>
    <row r="6782" spans="1:3" x14ac:dyDescent="0.3">
      <c r="A6782" t="s">
        <v>11066</v>
      </c>
      <c r="B6782" t="s">
        <v>29</v>
      </c>
      <c r="C6782">
        <v>0.08</v>
      </c>
    </row>
    <row r="6783" spans="1:3" x14ac:dyDescent="0.3">
      <c r="A6783" t="s">
        <v>12301</v>
      </c>
      <c r="B6783" t="s">
        <v>87</v>
      </c>
      <c r="C6783">
        <v>0</v>
      </c>
    </row>
    <row r="6784" spans="1:3" x14ac:dyDescent="0.3">
      <c r="A6784" t="s">
        <v>12301</v>
      </c>
      <c r="B6784" t="s">
        <v>87</v>
      </c>
      <c r="C6784">
        <v>0.02</v>
      </c>
    </row>
    <row r="6785" spans="1:3" x14ac:dyDescent="0.3">
      <c r="A6785" t="s">
        <v>12350</v>
      </c>
      <c r="B6785" t="s">
        <v>87</v>
      </c>
      <c r="C6785">
        <v>0.02</v>
      </c>
    </row>
    <row r="6786" spans="1:3" x14ac:dyDescent="0.3">
      <c r="A6786" t="s">
        <v>12498</v>
      </c>
      <c r="B6786" t="s">
        <v>87</v>
      </c>
      <c r="C6786">
        <v>0.01</v>
      </c>
    </row>
    <row r="6787" spans="1:3" x14ac:dyDescent="0.3">
      <c r="A6787" t="s">
        <v>12498</v>
      </c>
      <c r="B6787" t="s">
        <v>87</v>
      </c>
      <c r="C6787">
        <v>0.06</v>
      </c>
    </row>
    <row r="6788" spans="1:3" x14ac:dyDescent="0.3">
      <c r="A6788" t="s">
        <v>5827</v>
      </c>
      <c r="B6788" t="s">
        <v>29</v>
      </c>
      <c r="C6788">
        <v>0.09</v>
      </c>
    </row>
    <row r="6789" spans="1:3" x14ac:dyDescent="0.3">
      <c r="A6789" t="s">
        <v>2144</v>
      </c>
      <c r="B6789" t="s">
        <v>29</v>
      </c>
      <c r="C6789">
        <v>0.02</v>
      </c>
    </row>
    <row r="6790" spans="1:3" x14ac:dyDescent="0.3">
      <c r="A6790" t="s">
        <v>10031</v>
      </c>
      <c r="B6790" t="s">
        <v>29</v>
      </c>
      <c r="C6790">
        <v>0.05</v>
      </c>
    </row>
    <row r="6791" spans="1:3" x14ac:dyDescent="0.3">
      <c r="A6791" t="s">
        <v>3344</v>
      </c>
      <c r="B6791" t="s">
        <v>64</v>
      </c>
      <c r="C6791">
        <v>0</v>
      </c>
    </row>
    <row r="6792" spans="1:3" x14ac:dyDescent="0.3">
      <c r="A6792" t="s">
        <v>3344</v>
      </c>
      <c r="B6792" t="s">
        <v>64</v>
      </c>
      <c r="C6792">
        <v>0.02</v>
      </c>
    </row>
    <row r="6793" spans="1:3" x14ac:dyDescent="0.3">
      <c r="A6793" t="s">
        <v>11768</v>
      </c>
      <c r="B6793" t="s">
        <v>29</v>
      </c>
      <c r="C6793">
        <v>0.02</v>
      </c>
    </row>
    <row r="6794" spans="1:3" x14ac:dyDescent="0.3">
      <c r="A6794" t="s">
        <v>15383</v>
      </c>
      <c r="B6794" t="s">
        <v>64</v>
      </c>
      <c r="C6794">
        <v>0.01</v>
      </c>
    </row>
    <row r="6795" spans="1:3" x14ac:dyDescent="0.3">
      <c r="A6795" t="s">
        <v>15383</v>
      </c>
      <c r="B6795" t="s">
        <v>64</v>
      </c>
      <c r="C6795">
        <v>0.02</v>
      </c>
    </row>
    <row r="6796" spans="1:3" x14ac:dyDescent="0.3">
      <c r="A6796" t="s">
        <v>10568</v>
      </c>
      <c r="B6796" t="s">
        <v>40</v>
      </c>
      <c r="C6796">
        <v>0.04</v>
      </c>
    </row>
    <row r="6797" spans="1:3" x14ac:dyDescent="0.3">
      <c r="A6797" t="s">
        <v>10568</v>
      </c>
      <c r="B6797" t="s">
        <v>87</v>
      </c>
      <c r="C6797">
        <v>0.04</v>
      </c>
    </row>
    <row r="6798" spans="1:3" x14ac:dyDescent="0.3">
      <c r="A6798" t="s">
        <v>1977</v>
      </c>
      <c r="B6798" t="s">
        <v>29</v>
      </c>
      <c r="C6798">
        <v>0.01</v>
      </c>
    </row>
    <row r="6799" spans="1:3" x14ac:dyDescent="0.3">
      <c r="A6799" t="s">
        <v>1977</v>
      </c>
      <c r="B6799" t="s">
        <v>29</v>
      </c>
      <c r="C6799">
        <v>0.09</v>
      </c>
    </row>
    <row r="6800" spans="1:3" x14ac:dyDescent="0.3">
      <c r="A6800" t="s">
        <v>1977</v>
      </c>
      <c r="B6800" t="s">
        <v>87</v>
      </c>
      <c r="C6800">
        <v>0.1</v>
      </c>
    </row>
    <row r="6801" spans="1:3" x14ac:dyDescent="0.3">
      <c r="A6801" t="s">
        <v>14516</v>
      </c>
      <c r="B6801" t="s">
        <v>29</v>
      </c>
      <c r="C6801">
        <v>0.04</v>
      </c>
    </row>
    <row r="6802" spans="1:3" x14ac:dyDescent="0.3">
      <c r="A6802" t="s">
        <v>930</v>
      </c>
      <c r="B6802" t="s">
        <v>87</v>
      </c>
      <c r="C6802">
        <v>0.03</v>
      </c>
    </row>
    <row r="6803" spans="1:3" x14ac:dyDescent="0.3">
      <c r="A6803" t="s">
        <v>13073</v>
      </c>
      <c r="B6803" t="s">
        <v>40</v>
      </c>
      <c r="C6803">
        <v>0</v>
      </c>
    </row>
    <row r="6804" spans="1:3" x14ac:dyDescent="0.3">
      <c r="A6804" t="s">
        <v>13073</v>
      </c>
      <c r="B6804" t="s">
        <v>40</v>
      </c>
      <c r="C6804">
        <v>0.04</v>
      </c>
    </row>
    <row r="6805" spans="1:3" x14ac:dyDescent="0.3">
      <c r="A6805" t="s">
        <v>13073</v>
      </c>
      <c r="B6805" t="s">
        <v>40</v>
      </c>
      <c r="C6805">
        <v>0.08</v>
      </c>
    </row>
    <row r="6806" spans="1:3" x14ac:dyDescent="0.3">
      <c r="A6806" t="s">
        <v>6857</v>
      </c>
      <c r="B6806" t="s">
        <v>225</v>
      </c>
      <c r="C6806">
        <v>0</v>
      </c>
    </row>
    <row r="6807" spans="1:3" x14ac:dyDescent="0.3">
      <c r="A6807" t="s">
        <v>10151</v>
      </c>
      <c r="B6807" t="s">
        <v>40</v>
      </c>
      <c r="C6807">
        <v>7.0000000000000007E-2</v>
      </c>
    </row>
    <row r="6808" spans="1:3" x14ac:dyDescent="0.3">
      <c r="A6808" t="s">
        <v>7180</v>
      </c>
      <c r="B6808" t="s">
        <v>40</v>
      </c>
      <c r="C6808">
        <v>0.01</v>
      </c>
    </row>
    <row r="6809" spans="1:3" x14ac:dyDescent="0.3">
      <c r="A6809" t="s">
        <v>7180</v>
      </c>
      <c r="B6809" t="s">
        <v>40</v>
      </c>
      <c r="C6809">
        <v>0.02</v>
      </c>
    </row>
    <row r="6810" spans="1:3" x14ac:dyDescent="0.3">
      <c r="A6810" t="s">
        <v>7180</v>
      </c>
      <c r="B6810" t="s">
        <v>40</v>
      </c>
      <c r="C6810">
        <v>0.08</v>
      </c>
    </row>
    <row r="6811" spans="1:3" x14ac:dyDescent="0.3">
      <c r="A6811" t="s">
        <v>15415</v>
      </c>
      <c r="B6811" t="s">
        <v>87</v>
      </c>
      <c r="C6811">
        <v>0.09</v>
      </c>
    </row>
    <row r="6812" spans="1:3" x14ac:dyDescent="0.3">
      <c r="A6812" t="s">
        <v>13319</v>
      </c>
      <c r="B6812" t="s">
        <v>40</v>
      </c>
      <c r="C6812">
        <v>0.06</v>
      </c>
    </row>
    <row r="6813" spans="1:3" x14ac:dyDescent="0.3">
      <c r="A6813" t="s">
        <v>5092</v>
      </c>
      <c r="B6813" t="s">
        <v>40</v>
      </c>
      <c r="C6813">
        <v>0.09</v>
      </c>
    </row>
    <row r="6814" spans="1:3" x14ac:dyDescent="0.3">
      <c r="A6814" t="s">
        <v>956</v>
      </c>
      <c r="B6814" t="s">
        <v>40</v>
      </c>
      <c r="C6814">
        <v>0.02</v>
      </c>
    </row>
    <row r="6815" spans="1:3" x14ac:dyDescent="0.3">
      <c r="A6815" t="s">
        <v>4245</v>
      </c>
      <c r="B6815" t="s">
        <v>29</v>
      </c>
      <c r="C6815">
        <v>7.0000000000000007E-2</v>
      </c>
    </row>
    <row r="6816" spans="1:3" x14ac:dyDescent="0.3">
      <c r="A6816" t="s">
        <v>4245</v>
      </c>
      <c r="B6816" t="s">
        <v>87</v>
      </c>
      <c r="C6816">
        <v>0.02</v>
      </c>
    </row>
    <row r="6817" spans="1:3" x14ac:dyDescent="0.3">
      <c r="A6817" t="s">
        <v>2776</v>
      </c>
      <c r="B6817" t="s">
        <v>29</v>
      </c>
      <c r="C6817">
        <v>0.06</v>
      </c>
    </row>
    <row r="6818" spans="1:3" x14ac:dyDescent="0.3">
      <c r="A6818" t="s">
        <v>5146</v>
      </c>
      <c r="B6818" t="s">
        <v>29</v>
      </c>
      <c r="C6818">
        <v>0.04</v>
      </c>
    </row>
    <row r="6819" spans="1:3" x14ac:dyDescent="0.3">
      <c r="A6819" t="s">
        <v>14273</v>
      </c>
      <c r="B6819" t="s">
        <v>40</v>
      </c>
      <c r="C6819">
        <v>0.01</v>
      </c>
    </row>
    <row r="6820" spans="1:3" x14ac:dyDescent="0.3">
      <c r="A6820" t="s">
        <v>9624</v>
      </c>
      <c r="B6820" t="s">
        <v>53</v>
      </c>
      <c r="C6820">
        <v>7.0000000000000007E-2</v>
      </c>
    </row>
    <row r="6821" spans="1:3" x14ac:dyDescent="0.3">
      <c r="A6821" t="s">
        <v>14306</v>
      </c>
      <c r="B6821" t="s">
        <v>40</v>
      </c>
      <c r="C6821">
        <v>0.01</v>
      </c>
    </row>
    <row r="6822" spans="1:3" x14ac:dyDescent="0.3">
      <c r="A6822" t="s">
        <v>14306</v>
      </c>
      <c r="B6822" t="s">
        <v>40</v>
      </c>
      <c r="C6822">
        <v>0.04</v>
      </c>
    </row>
    <row r="6823" spans="1:3" x14ac:dyDescent="0.3">
      <c r="A6823" t="s">
        <v>14306</v>
      </c>
      <c r="B6823" t="s">
        <v>40</v>
      </c>
      <c r="C6823">
        <v>0.1</v>
      </c>
    </row>
    <row r="6824" spans="1:3" x14ac:dyDescent="0.3">
      <c r="A6824" t="s">
        <v>11361</v>
      </c>
      <c r="B6824" t="s">
        <v>53</v>
      </c>
      <c r="C6824">
        <v>0.08</v>
      </c>
    </row>
    <row r="6825" spans="1:3" x14ac:dyDescent="0.3">
      <c r="A6825" t="s">
        <v>983</v>
      </c>
      <c r="B6825" t="s">
        <v>225</v>
      </c>
      <c r="C6825">
        <v>0</v>
      </c>
    </row>
    <row r="6826" spans="1:3" x14ac:dyDescent="0.3">
      <c r="A6826" t="s">
        <v>983</v>
      </c>
      <c r="B6826" t="s">
        <v>225</v>
      </c>
      <c r="C6826">
        <v>0.04</v>
      </c>
    </row>
    <row r="6827" spans="1:3" x14ac:dyDescent="0.3">
      <c r="A6827" t="s">
        <v>9132</v>
      </c>
      <c r="B6827" t="s">
        <v>225</v>
      </c>
      <c r="C6827">
        <v>0.04</v>
      </c>
    </row>
    <row r="6828" spans="1:3" x14ac:dyDescent="0.3">
      <c r="A6828" t="s">
        <v>14262</v>
      </c>
      <c r="B6828" t="s">
        <v>40</v>
      </c>
      <c r="C6828">
        <v>0.03</v>
      </c>
    </row>
    <row r="6829" spans="1:3" x14ac:dyDescent="0.3">
      <c r="A6829" t="s">
        <v>14757</v>
      </c>
      <c r="B6829" t="s">
        <v>40</v>
      </c>
      <c r="C6829">
        <v>0.04</v>
      </c>
    </row>
    <row r="6830" spans="1:3" x14ac:dyDescent="0.3">
      <c r="A6830" t="s">
        <v>2919</v>
      </c>
      <c r="B6830" t="s">
        <v>87</v>
      </c>
      <c r="C6830">
        <v>0.02</v>
      </c>
    </row>
    <row r="6831" spans="1:3" x14ac:dyDescent="0.3">
      <c r="A6831" t="s">
        <v>9812</v>
      </c>
      <c r="B6831" t="s">
        <v>87</v>
      </c>
      <c r="C6831">
        <v>0.01</v>
      </c>
    </row>
    <row r="6832" spans="1:3" x14ac:dyDescent="0.3">
      <c r="A6832" t="s">
        <v>8728</v>
      </c>
      <c r="B6832" t="s">
        <v>64</v>
      </c>
      <c r="C6832">
        <v>0.04</v>
      </c>
    </row>
    <row r="6833" spans="1:3" x14ac:dyDescent="0.3">
      <c r="A6833" t="s">
        <v>8230</v>
      </c>
      <c r="B6833" t="s">
        <v>40</v>
      </c>
      <c r="C6833">
        <v>0.08</v>
      </c>
    </row>
    <row r="6834" spans="1:3" x14ac:dyDescent="0.3">
      <c r="A6834" t="s">
        <v>8230</v>
      </c>
      <c r="B6834" t="s">
        <v>40</v>
      </c>
      <c r="C6834">
        <v>0.1</v>
      </c>
    </row>
    <row r="6835" spans="1:3" x14ac:dyDescent="0.3">
      <c r="A6835" t="s">
        <v>14683</v>
      </c>
      <c r="B6835" t="s">
        <v>29</v>
      </c>
      <c r="C6835">
        <v>0.06</v>
      </c>
    </row>
    <row r="6836" spans="1:3" x14ac:dyDescent="0.3">
      <c r="A6836" t="s">
        <v>9143</v>
      </c>
      <c r="B6836" t="s">
        <v>87</v>
      </c>
      <c r="C6836">
        <v>0.04</v>
      </c>
    </row>
    <row r="6837" spans="1:3" x14ac:dyDescent="0.3">
      <c r="A6837" t="s">
        <v>7477</v>
      </c>
      <c r="B6837" t="s">
        <v>40</v>
      </c>
      <c r="C6837">
        <v>7.0000000000000007E-2</v>
      </c>
    </row>
    <row r="6838" spans="1:3" x14ac:dyDescent="0.3">
      <c r="A6838" t="s">
        <v>8744</v>
      </c>
      <c r="B6838" t="s">
        <v>64</v>
      </c>
      <c r="C6838">
        <v>0.02</v>
      </c>
    </row>
    <row r="6839" spans="1:3" x14ac:dyDescent="0.3">
      <c r="A6839" t="s">
        <v>8744</v>
      </c>
      <c r="B6839" t="s">
        <v>64</v>
      </c>
      <c r="C6839">
        <v>0.08</v>
      </c>
    </row>
    <row r="6840" spans="1:3" x14ac:dyDescent="0.3">
      <c r="A6840" t="s">
        <v>13437</v>
      </c>
      <c r="B6840" t="s">
        <v>29</v>
      </c>
      <c r="C6840">
        <v>0.05</v>
      </c>
    </row>
    <row r="6841" spans="1:3" x14ac:dyDescent="0.3">
      <c r="A6841" t="s">
        <v>10393</v>
      </c>
      <c r="B6841" t="s">
        <v>40</v>
      </c>
      <c r="C6841">
        <v>0</v>
      </c>
    </row>
    <row r="6842" spans="1:3" x14ac:dyDescent="0.3">
      <c r="A6842" t="s">
        <v>11480</v>
      </c>
      <c r="B6842" t="s">
        <v>40</v>
      </c>
      <c r="C6842">
        <v>0.08</v>
      </c>
    </row>
    <row r="6843" spans="1:3" x14ac:dyDescent="0.3">
      <c r="A6843" t="s">
        <v>11223</v>
      </c>
      <c r="B6843" t="s">
        <v>40</v>
      </c>
      <c r="C6843">
        <v>0.08</v>
      </c>
    </row>
    <row r="6844" spans="1:3" x14ac:dyDescent="0.3">
      <c r="A6844" t="s">
        <v>3910</v>
      </c>
      <c r="B6844" t="s">
        <v>40</v>
      </c>
      <c r="C6844">
        <v>0.06</v>
      </c>
    </row>
    <row r="6845" spans="1:3" x14ac:dyDescent="0.3">
      <c r="A6845" t="s">
        <v>3910</v>
      </c>
      <c r="B6845" t="s">
        <v>29</v>
      </c>
      <c r="C6845">
        <v>0.05</v>
      </c>
    </row>
    <row r="6846" spans="1:3" x14ac:dyDescent="0.3">
      <c r="A6846" t="s">
        <v>3910</v>
      </c>
      <c r="B6846" t="s">
        <v>87</v>
      </c>
      <c r="C6846">
        <v>0.01</v>
      </c>
    </row>
    <row r="6847" spans="1:3" x14ac:dyDescent="0.3">
      <c r="A6847" t="s">
        <v>13285</v>
      </c>
      <c r="B6847" t="s">
        <v>87</v>
      </c>
      <c r="C6847">
        <v>0.09</v>
      </c>
    </row>
    <row r="6848" spans="1:3" x14ac:dyDescent="0.3">
      <c r="A6848" t="s">
        <v>6378</v>
      </c>
      <c r="B6848" t="s">
        <v>64</v>
      </c>
      <c r="C6848">
        <v>7.0000000000000007E-2</v>
      </c>
    </row>
    <row r="6849" spans="1:3" x14ac:dyDescent="0.3">
      <c r="A6849" t="s">
        <v>13486</v>
      </c>
      <c r="B6849" t="s">
        <v>64</v>
      </c>
      <c r="C6849">
        <v>0.02</v>
      </c>
    </row>
    <row r="6850" spans="1:3" x14ac:dyDescent="0.3">
      <c r="A6850" t="s">
        <v>13486</v>
      </c>
      <c r="B6850" t="s">
        <v>87</v>
      </c>
      <c r="C6850">
        <v>0.02</v>
      </c>
    </row>
    <row r="6851" spans="1:3" x14ac:dyDescent="0.3">
      <c r="A6851" t="s">
        <v>15022</v>
      </c>
      <c r="B6851" t="s">
        <v>87</v>
      </c>
      <c r="C6851">
        <v>0.06</v>
      </c>
    </row>
    <row r="6852" spans="1:3" x14ac:dyDescent="0.3">
      <c r="A6852" t="s">
        <v>15136</v>
      </c>
      <c r="B6852" t="s">
        <v>87</v>
      </c>
      <c r="C6852">
        <v>0.08</v>
      </c>
    </row>
    <row r="6853" spans="1:3" x14ac:dyDescent="0.3">
      <c r="A6853" t="s">
        <v>11310</v>
      </c>
      <c r="B6853" t="s">
        <v>64</v>
      </c>
      <c r="C6853">
        <v>7.0000000000000007E-2</v>
      </c>
    </row>
    <row r="6854" spans="1:3" x14ac:dyDescent="0.3">
      <c r="A6854" t="s">
        <v>11596</v>
      </c>
      <c r="B6854" t="s">
        <v>53</v>
      </c>
      <c r="C6854">
        <v>0.05</v>
      </c>
    </row>
    <row r="6855" spans="1:3" x14ac:dyDescent="0.3">
      <c r="A6855" t="s">
        <v>13746</v>
      </c>
      <c r="B6855" t="s">
        <v>40</v>
      </c>
      <c r="C6855">
        <v>7.0000000000000007E-2</v>
      </c>
    </row>
    <row r="6856" spans="1:3" x14ac:dyDescent="0.3">
      <c r="A6856" t="s">
        <v>2922</v>
      </c>
      <c r="B6856" t="s">
        <v>53</v>
      </c>
      <c r="C6856">
        <v>0.09</v>
      </c>
    </row>
    <row r="6857" spans="1:3" x14ac:dyDescent="0.3">
      <c r="A6857" t="s">
        <v>11522</v>
      </c>
      <c r="B6857" t="s">
        <v>53</v>
      </c>
      <c r="C6857">
        <v>0.05</v>
      </c>
    </row>
    <row r="6858" spans="1:3" x14ac:dyDescent="0.3">
      <c r="A6858" t="s">
        <v>14299</v>
      </c>
      <c r="B6858" t="s">
        <v>29</v>
      </c>
      <c r="C6858">
        <v>0</v>
      </c>
    </row>
    <row r="6859" spans="1:3" x14ac:dyDescent="0.3">
      <c r="A6859" t="s">
        <v>1026</v>
      </c>
      <c r="B6859" t="s">
        <v>87</v>
      </c>
      <c r="C6859">
        <v>0.04</v>
      </c>
    </row>
    <row r="6860" spans="1:3" x14ac:dyDescent="0.3">
      <c r="A6860" t="s">
        <v>10723</v>
      </c>
      <c r="B6860" t="s">
        <v>40</v>
      </c>
      <c r="C6860">
        <v>0.03</v>
      </c>
    </row>
    <row r="6861" spans="1:3" x14ac:dyDescent="0.3">
      <c r="A6861" t="s">
        <v>11328</v>
      </c>
      <c r="B6861" t="s">
        <v>87</v>
      </c>
      <c r="C6861">
        <v>0.08</v>
      </c>
    </row>
    <row r="6862" spans="1:3" x14ac:dyDescent="0.3">
      <c r="A6862" t="s">
        <v>13778</v>
      </c>
      <c r="B6862" t="s">
        <v>87</v>
      </c>
      <c r="C6862">
        <v>0.01</v>
      </c>
    </row>
    <row r="6863" spans="1:3" x14ac:dyDescent="0.3">
      <c r="A6863" t="s">
        <v>12291</v>
      </c>
      <c r="B6863" t="s">
        <v>87</v>
      </c>
      <c r="C6863">
        <v>0.08</v>
      </c>
    </row>
    <row r="6864" spans="1:3" x14ac:dyDescent="0.3">
      <c r="A6864" t="s">
        <v>9712</v>
      </c>
      <c r="B6864" t="s">
        <v>40</v>
      </c>
      <c r="C6864">
        <v>0.08</v>
      </c>
    </row>
    <row r="6865" spans="1:3" x14ac:dyDescent="0.3">
      <c r="A6865" t="s">
        <v>1036</v>
      </c>
      <c r="B6865" t="s">
        <v>40</v>
      </c>
      <c r="C6865">
        <v>0.02</v>
      </c>
    </row>
    <row r="6866" spans="1:3" x14ac:dyDescent="0.3">
      <c r="A6866" t="s">
        <v>9270</v>
      </c>
      <c r="B6866" t="s">
        <v>53</v>
      </c>
      <c r="C6866">
        <v>0.06</v>
      </c>
    </row>
    <row r="6867" spans="1:3" x14ac:dyDescent="0.3">
      <c r="A6867" t="s">
        <v>8961</v>
      </c>
      <c r="B6867" t="s">
        <v>29</v>
      </c>
      <c r="C6867">
        <v>0.01</v>
      </c>
    </row>
    <row r="6868" spans="1:3" x14ac:dyDescent="0.3">
      <c r="A6868" t="s">
        <v>8961</v>
      </c>
      <c r="B6868" t="s">
        <v>53</v>
      </c>
      <c r="C6868">
        <v>0.09</v>
      </c>
    </row>
    <row r="6869" spans="1:3" x14ac:dyDescent="0.3">
      <c r="A6869" t="s">
        <v>10408</v>
      </c>
      <c r="B6869" t="s">
        <v>53</v>
      </c>
      <c r="C6869">
        <v>0.03</v>
      </c>
    </row>
    <row r="6870" spans="1:3" x14ac:dyDescent="0.3">
      <c r="A6870" t="s">
        <v>10408</v>
      </c>
      <c r="B6870" t="s">
        <v>53</v>
      </c>
      <c r="C6870">
        <v>7.0000000000000007E-2</v>
      </c>
    </row>
    <row r="6871" spans="1:3" x14ac:dyDescent="0.3">
      <c r="A6871" t="s">
        <v>14218</v>
      </c>
      <c r="B6871" t="s">
        <v>53</v>
      </c>
      <c r="C6871">
        <v>0.02</v>
      </c>
    </row>
    <row r="6872" spans="1:3" x14ac:dyDescent="0.3">
      <c r="A6872" t="s">
        <v>2522</v>
      </c>
      <c r="B6872" t="s">
        <v>87</v>
      </c>
      <c r="C6872">
        <v>0</v>
      </c>
    </row>
    <row r="6873" spans="1:3" x14ac:dyDescent="0.3">
      <c r="A6873" t="s">
        <v>2746</v>
      </c>
      <c r="B6873" t="s">
        <v>87</v>
      </c>
      <c r="C6873">
        <v>0.02</v>
      </c>
    </row>
    <row r="6874" spans="1:3" x14ac:dyDescent="0.3">
      <c r="A6874" t="s">
        <v>15803</v>
      </c>
      <c r="B6874" t="s">
        <v>40</v>
      </c>
      <c r="C6874">
        <v>0.04</v>
      </c>
    </row>
    <row r="6875" spans="1:3" x14ac:dyDescent="0.3">
      <c r="A6875" t="s">
        <v>15223</v>
      </c>
      <c r="B6875" t="s">
        <v>40</v>
      </c>
      <c r="C6875">
        <v>0.08</v>
      </c>
    </row>
    <row r="6876" spans="1:3" x14ac:dyDescent="0.3">
      <c r="A6876" t="s">
        <v>12525</v>
      </c>
      <c r="B6876" t="s">
        <v>40</v>
      </c>
      <c r="C6876">
        <v>0.01</v>
      </c>
    </row>
    <row r="6877" spans="1:3" x14ac:dyDescent="0.3">
      <c r="A6877" t="s">
        <v>12525</v>
      </c>
      <c r="B6877" t="s">
        <v>53</v>
      </c>
      <c r="C6877">
        <v>0</v>
      </c>
    </row>
    <row r="6878" spans="1:3" x14ac:dyDescent="0.3">
      <c r="A6878" t="s">
        <v>15093</v>
      </c>
      <c r="B6878" t="s">
        <v>40</v>
      </c>
      <c r="C6878">
        <v>0.04</v>
      </c>
    </row>
    <row r="6879" spans="1:3" x14ac:dyDescent="0.3">
      <c r="A6879" t="s">
        <v>14097</v>
      </c>
      <c r="B6879" t="s">
        <v>40</v>
      </c>
      <c r="C6879">
        <v>0.09</v>
      </c>
    </row>
    <row r="6880" spans="1:3" x14ac:dyDescent="0.3">
      <c r="A6880" t="s">
        <v>3737</v>
      </c>
      <c r="B6880" t="s">
        <v>53</v>
      </c>
      <c r="C6880">
        <v>0.08</v>
      </c>
    </row>
    <row r="6881" spans="1:3" x14ac:dyDescent="0.3">
      <c r="A6881" t="s">
        <v>1074</v>
      </c>
      <c r="B6881" t="s">
        <v>64</v>
      </c>
      <c r="C6881">
        <v>0.01</v>
      </c>
    </row>
    <row r="6882" spans="1:3" x14ac:dyDescent="0.3">
      <c r="A6882" t="s">
        <v>1074</v>
      </c>
      <c r="B6882" t="s">
        <v>64</v>
      </c>
      <c r="C6882">
        <v>0.03</v>
      </c>
    </row>
    <row r="6883" spans="1:3" x14ac:dyDescent="0.3">
      <c r="A6883" t="s">
        <v>9607</v>
      </c>
      <c r="B6883" t="s">
        <v>40</v>
      </c>
      <c r="C6883">
        <v>0.03</v>
      </c>
    </row>
    <row r="6884" spans="1:3" x14ac:dyDescent="0.3">
      <c r="A6884" t="s">
        <v>9607</v>
      </c>
      <c r="B6884" t="s">
        <v>40</v>
      </c>
      <c r="C6884">
        <v>0.06</v>
      </c>
    </row>
    <row r="6885" spans="1:3" x14ac:dyDescent="0.3">
      <c r="A6885" t="s">
        <v>12618</v>
      </c>
      <c r="B6885" t="s">
        <v>40</v>
      </c>
      <c r="C6885">
        <v>0.1</v>
      </c>
    </row>
    <row r="6886" spans="1:3" x14ac:dyDescent="0.3">
      <c r="A6886" t="s">
        <v>12618</v>
      </c>
      <c r="B6886" t="s">
        <v>225</v>
      </c>
      <c r="C6886">
        <v>0.03</v>
      </c>
    </row>
    <row r="6887" spans="1:3" x14ac:dyDescent="0.3">
      <c r="A6887" t="s">
        <v>12618</v>
      </c>
      <c r="B6887" t="s">
        <v>225</v>
      </c>
      <c r="C6887">
        <v>0.06</v>
      </c>
    </row>
    <row r="6888" spans="1:3" x14ac:dyDescent="0.3">
      <c r="A6888" t="s">
        <v>14913</v>
      </c>
      <c r="B6888" t="s">
        <v>40</v>
      </c>
      <c r="C6888">
        <v>0.01</v>
      </c>
    </row>
    <row r="6889" spans="1:3" x14ac:dyDescent="0.3">
      <c r="A6889" t="s">
        <v>14454</v>
      </c>
      <c r="B6889" t="s">
        <v>64</v>
      </c>
      <c r="C6889">
        <v>0.06</v>
      </c>
    </row>
    <row r="6890" spans="1:3" x14ac:dyDescent="0.3">
      <c r="A6890" t="s">
        <v>5173</v>
      </c>
      <c r="B6890" t="s">
        <v>87</v>
      </c>
      <c r="C6890">
        <v>0.1</v>
      </c>
    </row>
    <row r="6891" spans="1:3" x14ac:dyDescent="0.3">
      <c r="A6891" t="s">
        <v>10300</v>
      </c>
      <c r="B6891" t="s">
        <v>53</v>
      </c>
      <c r="C6891">
        <v>0.04</v>
      </c>
    </row>
    <row r="6892" spans="1:3" x14ac:dyDescent="0.3">
      <c r="A6892" t="s">
        <v>13170</v>
      </c>
      <c r="B6892" t="s">
        <v>87</v>
      </c>
      <c r="C6892">
        <v>0.01</v>
      </c>
    </row>
    <row r="6893" spans="1:3" x14ac:dyDescent="0.3">
      <c r="A6893" t="s">
        <v>3287</v>
      </c>
      <c r="B6893" t="s">
        <v>87</v>
      </c>
      <c r="C6893">
        <v>0.03</v>
      </c>
    </row>
    <row r="6894" spans="1:3" x14ac:dyDescent="0.3">
      <c r="A6894" t="s">
        <v>1487</v>
      </c>
      <c r="B6894" t="s">
        <v>87</v>
      </c>
      <c r="C6894">
        <v>0.1</v>
      </c>
    </row>
    <row r="6895" spans="1:3" x14ac:dyDescent="0.3">
      <c r="A6895" t="s">
        <v>11290</v>
      </c>
      <c r="B6895" t="s">
        <v>40</v>
      </c>
      <c r="C6895">
        <v>0.03</v>
      </c>
    </row>
    <row r="6896" spans="1:3" x14ac:dyDescent="0.3">
      <c r="A6896" t="s">
        <v>1102</v>
      </c>
      <c r="B6896" t="s">
        <v>87</v>
      </c>
      <c r="C6896">
        <v>0.04</v>
      </c>
    </row>
    <row r="6897" spans="1:3" x14ac:dyDescent="0.3">
      <c r="A6897" t="s">
        <v>14532</v>
      </c>
      <c r="B6897" t="s">
        <v>40</v>
      </c>
      <c r="C6897">
        <v>7.0000000000000007E-2</v>
      </c>
    </row>
    <row r="6898" spans="1:3" x14ac:dyDescent="0.3">
      <c r="A6898" t="s">
        <v>1707</v>
      </c>
      <c r="B6898" t="s">
        <v>87</v>
      </c>
      <c r="C6898">
        <v>0.04</v>
      </c>
    </row>
    <row r="6899" spans="1:3" x14ac:dyDescent="0.3">
      <c r="A6899" t="s">
        <v>1112</v>
      </c>
      <c r="B6899" t="s">
        <v>29</v>
      </c>
      <c r="C6899">
        <v>0.09</v>
      </c>
    </row>
    <row r="6900" spans="1:3" x14ac:dyDescent="0.3">
      <c r="A6900" t="s">
        <v>6259</v>
      </c>
      <c r="B6900" t="s">
        <v>29</v>
      </c>
      <c r="C6900">
        <v>0.05</v>
      </c>
    </row>
    <row r="6901" spans="1:3" x14ac:dyDescent="0.3">
      <c r="A6901" t="s">
        <v>14962</v>
      </c>
      <c r="B6901" t="s">
        <v>53</v>
      </c>
      <c r="C6901">
        <v>0.05</v>
      </c>
    </row>
    <row r="6902" spans="1:3" x14ac:dyDescent="0.3">
      <c r="A6902" t="s">
        <v>13195</v>
      </c>
      <c r="B6902" t="s">
        <v>29</v>
      </c>
      <c r="C6902">
        <v>0</v>
      </c>
    </row>
    <row r="6903" spans="1:3" x14ac:dyDescent="0.3">
      <c r="A6903" t="s">
        <v>13195</v>
      </c>
      <c r="B6903" t="s">
        <v>29</v>
      </c>
      <c r="C6903">
        <v>0.06</v>
      </c>
    </row>
    <row r="6904" spans="1:3" x14ac:dyDescent="0.3">
      <c r="A6904" t="s">
        <v>13029</v>
      </c>
      <c r="B6904" t="s">
        <v>53</v>
      </c>
      <c r="C6904">
        <v>0.08</v>
      </c>
    </row>
    <row r="6905" spans="1:3" x14ac:dyDescent="0.3">
      <c r="A6905" t="s">
        <v>14316</v>
      </c>
      <c r="B6905" t="s">
        <v>29</v>
      </c>
      <c r="C6905">
        <v>0.06</v>
      </c>
    </row>
    <row r="6906" spans="1:3" x14ac:dyDescent="0.3">
      <c r="A6906" t="s">
        <v>14316</v>
      </c>
      <c r="B6906" t="s">
        <v>29</v>
      </c>
      <c r="C6906">
        <v>0.1</v>
      </c>
    </row>
    <row r="6907" spans="1:3" x14ac:dyDescent="0.3">
      <c r="A6907" t="s">
        <v>10264</v>
      </c>
      <c r="B6907" t="s">
        <v>53</v>
      </c>
      <c r="C6907">
        <v>0.04</v>
      </c>
    </row>
    <row r="6908" spans="1:3" x14ac:dyDescent="0.3">
      <c r="A6908" t="s">
        <v>15312</v>
      </c>
      <c r="B6908" t="s">
        <v>29</v>
      </c>
      <c r="C6908">
        <v>0.01</v>
      </c>
    </row>
    <row r="6909" spans="1:3" x14ac:dyDescent="0.3">
      <c r="A6909" t="s">
        <v>7782</v>
      </c>
      <c r="B6909" t="s">
        <v>53</v>
      </c>
      <c r="C6909">
        <v>0.1</v>
      </c>
    </row>
    <row r="6910" spans="1:3" x14ac:dyDescent="0.3">
      <c r="A6910" t="s">
        <v>13672</v>
      </c>
      <c r="B6910" t="s">
        <v>29</v>
      </c>
      <c r="C6910">
        <v>0.08</v>
      </c>
    </row>
    <row r="6911" spans="1:3" x14ac:dyDescent="0.3">
      <c r="A6911" t="s">
        <v>6582</v>
      </c>
      <c r="B6911" t="s">
        <v>40</v>
      </c>
      <c r="C6911">
        <v>0.05</v>
      </c>
    </row>
    <row r="6912" spans="1:3" x14ac:dyDescent="0.3">
      <c r="A6912" t="s">
        <v>6582</v>
      </c>
      <c r="B6912" t="s">
        <v>64</v>
      </c>
      <c r="C6912">
        <v>0.1</v>
      </c>
    </row>
    <row r="6913" spans="1:3" x14ac:dyDescent="0.3">
      <c r="A6913" t="s">
        <v>6582</v>
      </c>
      <c r="B6913" t="s">
        <v>29</v>
      </c>
      <c r="C6913">
        <v>7.0000000000000007E-2</v>
      </c>
    </row>
    <row r="6914" spans="1:3" x14ac:dyDescent="0.3">
      <c r="A6914" t="s">
        <v>6582</v>
      </c>
      <c r="B6914" t="s">
        <v>29</v>
      </c>
      <c r="C6914">
        <v>0.09</v>
      </c>
    </row>
    <row r="6915" spans="1:3" x14ac:dyDescent="0.3">
      <c r="A6915" t="s">
        <v>13701</v>
      </c>
      <c r="B6915" t="s">
        <v>87</v>
      </c>
      <c r="C6915">
        <v>0.04</v>
      </c>
    </row>
    <row r="6916" spans="1:3" x14ac:dyDescent="0.3">
      <c r="A6916" t="s">
        <v>13474</v>
      </c>
      <c r="B6916" t="s">
        <v>64</v>
      </c>
      <c r="C6916">
        <v>0.05</v>
      </c>
    </row>
    <row r="6917" spans="1:3" x14ac:dyDescent="0.3">
      <c r="A6917" t="s">
        <v>2670</v>
      </c>
      <c r="B6917" t="s">
        <v>225</v>
      </c>
      <c r="C6917">
        <v>0.05</v>
      </c>
    </row>
    <row r="6918" spans="1:3" x14ac:dyDescent="0.3">
      <c r="A6918" t="s">
        <v>2670</v>
      </c>
      <c r="B6918" t="s">
        <v>225</v>
      </c>
      <c r="C6918">
        <v>0.08</v>
      </c>
    </row>
    <row r="6919" spans="1:3" x14ac:dyDescent="0.3">
      <c r="A6919" t="s">
        <v>2670</v>
      </c>
      <c r="B6919" t="s">
        <v>225</v>
      </c>
      <c r="C6919">
        <v>0.1</v>
      </c>
    </row>
    <row r="6920" spans="1:3" x14ac:dyDescent="0.3">
      <c r="A6920" t="s">
        <v>12987</v>
      </c>
      <c r="B6920" t="s">
        <v>64</v>
      </c>
      <c r="C6920">
        <v>0.03</v>
      </c>
    </row>
    <row r="6921" spans="1:3" x14ac:dyDescent="0.3">
      <c r="A6921" t="s">
        <v>1133</v>
      </c>
      <c r="B6921" t="s">
        <v>40</v>
      </c>
      <c r="C6921">
        <v>0.1</v>
      </c>
    </row>
    <row r="6922" spans="1:3" x14ac:dyDescent="0.3">
      <c r="A6922" t="s">
        <v>3854</v>
      </c>
      <c r="B6922" t="s">
        <v>40</v>
      </c>
      <c r="C6922">
        <v>7.0000000000000007E-2</v>
      </c>
    </row>
    <row r="6923" spans="1:3" x14ac:dyDescent="0.3">
      <c r="A6923" t="s">
        <v>14979</v>
      </c>
      <c r="B6923" t="s">
        <v>87</v>
      </c>
      <c r="C6923">
        <v>0.05</v>
      </c>
    </row>
    <row r="6924" spans="1:3" x14ac:dyDescent="0.3">
      <c r="A6924" t="s">
        <v>12673</v>
      </c>
      <c r="B6924" t="s">
        <v>225</v>
      </c>
      <c r="C6924">
        <v>0.09</v>
      </c>
    </row>
    <row r="6925" spans="1:3" x14ac:dyDescent="0.3">
      <c r="A6925" t="s">
        <v>12673</v>
      </c>
      <c r="B6925" t="s">
        <v>87</v>
      </c>
      <c r="C6925">
        <v>0.05</v>
      </c>
    </row>
    <row r="6926" spans="1:3" x14ac:dyDescent="0.3">
      <c r="A6926" t="s">
        <v>14224</v>
      </c>
      <c r="B6926" t="s">
        <v>40</v>
      </c>
      <c r="C6926">
        <v>0.1</v>
      </c>
    </row>
    <row r="6927" spans="1:3" x14ac:dyDescent="0.3">
      <c r="A6927" t="s">
        <v>12265</v>
      </c>
      <c r="B6927" t="s">
        <v>64</v>
      </c>
      <c r="C6927">
        <v>0.01</v>
      </c>
    </row>
    <row r="6928" spans="1:3" x14ac:dyDescent="0.3">
      <c r="A6928" t="s">
        <v>12265</v>
      </c>
      <c r="B6928" t="s">
        <v>64</v>
      </c>
      <c r="C6928">
        <v>0.04</v>
      </c>
    </row>
    <row r="6929" spans="1:3" x14ac:dyDescent="0.3">
      <c r="A6929" t="s">
        <v>15844</v>
      </c>
      <c r="B6929" t="s">
        <v>87</v>
      </c>
      <c r="C6929">
        <v>0</v>
      </c>
    </row>
    <row r="6930" spans="1:3" x14ac:dyDescent="0.3">
      <c r="A6930" t="s">
        <v>15844</v>
      </c>
      <c r="B6930" t="s">
        <v>87</v>
      </c>
      <c r="C6930">
        <v>0.01</v>
      </c>
    </row>
    <row r="6931" spans="1:3" x14ac:dyDescent="0.3">
      <c r="A6931" t="s">
        <v>5556</v>
      </c>
      <c r="B6931" t="s">
        <v>225</v>
      </c>
      <c r="C6931">
        <v>0.01</v>
      </c>
    </row>
    <row r="6932" spans="1:3" x14ac:dyDescent="0.3">
      <c r="A6932" t="s">
        <v>5556</v>
      </c>
      <c r="B6932" t="s">
        <v>225</v>
      </c>
      <c r="C6932">
        <v>0.02</v>
      </c>
    </row>
    <row r="6933" spans="1:3" x14ac:dyDescent="0.3">
      <c r="A6933" t="s">
        <v>5556</v>
      </c>
      <c r="B6933" t="s">
        <v>225</v>
      </c>
      <c r="C6933">
        <v>0.09</v>
      </c>
    </row>
    <row r="6934" spans="1:3" x14ac:dyDescent="0.3">
      <c r="A6934" t="s">
        <v>13915</v>
      </c>
      <c r="B6934" t="s">
        <v>29</v>
      </c>
      <c r="C6934">
        <v>0</v>
      </c>
    </row>
    <row r="6935" spans="1:3" x14ac:dyDescent="0.3">
      <c r="A6935" t="s">
        <v>15163</v>
      </c>
      <c r="B6935" t="s">
        <v>29</v>
      </c>
      <c r="C6935">
        <v>0.02</v>
      </c>
    </row>
    <row r="6936" spans="1:3" x14ac:dyDescent="0.3">
      <c r="A6936" t="s">
        <v>9525</v>
      </c>
      <c r="B6936" t="s">
        <v>225</v>
      </c>
      <c r="C6936">
        <v>0.04</v>
      </c>
    </row>
    <row r="6937" spans="1:3" x14ac:dyDescent="0.3">
      <c r="A6937" t="s">
        <v>9525</v>
      </c>
      <c r="B6937" t="s">
        <v>225</v>
      </c>
      <c r="C6937">
        <v>0.1</v>
      </c>
    </row>
    <row r="6938" spans="1:3" x14ac:dyDescent="0.3">
      <c r="A6938" t="s">
        <v>6015</v>
      </c>
      <c r="B6938" t="s">
        <v>40</v>
      </c>
      <c r="C6938">
        <v>0.08</v>
      </c>
    </row>
    <row r="6939" spans="1:3" x14ac:dyDescent="0.3">
      <c r="A6939" t="s">
        <v>6015</v>
      </c>
      <c r="B6939" t="s">
        <v>225</v>
      </c>
      <c r="C6939">
        <v>0</v>
      </c>
    </row>
    <row r="6940" spans="1:3" x14ac:dyDescent="0.3">
      <c r="A6940" t="s">
        <v>6015</v>
      </c>
      <c r="B6940" t="s">
        <v>225</v>
      </c>
      <c r="C6940">
        <v>0.04</v>
      </c>
    </row>
    <row r="6941" spans="1:3" x14ac:dyDescent="0.3">
      <c r="A6941" t="s">
        <v>2676</v>
      </c>
      <c r="B6941" t="s">
        <v>225</v>
      </c>
      <c r="C6941">
        <v>0</v>
      </c>
    </row>
    <row r="6942" spans="1:3" x14ac:dyDescent="0.3">
      <c r="A6942" t="s">
        <v>2676</v>
      </c>
      <c r="B6942" t="s">
        <v>225</v>
      </c>
      <c r="C6942">
        <v>0.04</v>
      </c>
    </row>
    <row r="6943" spans="1:3" x14ac:dyDescent="0.3">
      <c r="A6943" t="s">
        <v>2676</v>
      </c>
      <c r="B6943" t="s">
        <v>225</v>
      </c>
      <c r="C6943">
        <v>0.05</v>
      </c>
    </row>
    <row r="6944" spans="1:3" x14ac:dyDescent="0.3">
      <c r="A6944" t="s">
        <v>2676</v>
      </c>
      <c r="B6944" t="s">
        <v>225</v>
      </c>
      <c r="C6944">
        <v>0.08</v>
      </c>
    </row>
    <row r="6945" spans="1:3" x14ac:dyDescent="0.3">
      <c r="A6945" t="s">
        <v>7340</v>
      </c>
      <c r="B6945" t="s">
        <v>40</v>
      </c>
      <c r="C6945">
        <v>7.0000000000000007E-2</v>
      </c>
    </row>
    <row r="6946" spans="1:3" x14ac:dyDescent="0.3">
      <c r="A6946" t="s">
        <v>7726</v>
      </c>
      <c r="B6946" t="s">
        <v>40</v>
      </c>
      <c r="C6946">
        <v>0.03</v>
      </c>
    </row>
    <row r="6947" spans="1:3" x14ac:dyDescent="0.3">
      <c r="A6947" t="s">
        <v>1146</v>
      </c>
      <c r="B6947" t="s">
        <v>53</v>
      </c>
      <c r="C6947">
        <v>0.04</v>
      </c>
    </row>
    <row r="6948" spans="1:3" x14ac:dyDescent="0.3">
      <c r="A6948" t="s">
        <v>1146</v>
      </c>
      <c r="B6948" t="s">
        <v>53</v>
      </c>
      <c r="C6948">
        <v>0.25</v>
      </c>
    </row>
    <row r="6949" spans="1:3" x14ac:dyDescent="0.3">
      <c r="A6949" t="s">
        <v>15708</v>
      </c>
      <c r="B6949" t="s">
        <v>53</v>
      </c>
      <c r="C6949">
        <v>0.02</v>
      </c>
    </row>
    <row r="6950" spans="1:3" x14ac:dyDescent="0.3">
      <c r="A6950" t="s">
        <v>8798</v>
      </c>
      <c r="B6950" t="s">
        <v>40</v>
      </c>
      <c r="C6950">
        <v>0</v>
      </c>
    </row>
    <row r="6951" spans="1:3" x14ac:dyDescent="0.3">
      <c r="A6951" t="s">
        <v>8798</v>
      </c>
      <c r="B6951" t="s">
        <v>40</v>
      </c>
      <c r="C6951">
        <v>0.06</v>
      </c>
    </row>
    <row r="6952" spans="1:3" x14ac:dyDescent="0.3">
      <c r="A6952" t="s">
        <v>14205</v>
      </c>
      <c r="B6952" t="s">
        <v>53</v>
      </c>
      <c r="C6952">
        <v>0.09</v>
      </c>
    </row>
    <row r="6953" spans="1:3" x14ac:dyDescent="0.3">
      <c r="A6953" t="s">
        <v>11358</v>
      </c>
      <c r="B6953" t="s">
        <v>40</v>
      </c>
      <c r="C6953">
        <v>0.05</v>
      </c>
    </row>
    <row r="6954" spans="1:3" x14ac:dyDescent="0.3">
      <c r="A6954" t="s">
        <v>1153</v>
      </c>
      <c r="B6954" t="s">
        <v>64</v>
      </c>
      <c r="C6954">
        <v>0.01</v>
      </c>
    </row>
    <row r="6955" spans="1:3" x14ac:dyDescent="0.3">
      <c r="A6955" t="s">
        <v>1153</v>
      </c>
      <c r="B6955" t="s">
        <v>64</v>
      </c>
      <c r="C6955">
        <v>0.02</v>
      </c>
    </row>
    <row r="6956" spans="1:3" x14ac:dyDescent="0.3">
      <c r="A6956" t="s">
        <v>15279</v>
      </c>
      <c r="B6956" t="s">
        <v>87</v>
      </c>
      <c r="C6956">
        <v>0.09</v>
      </c>
    </row>
    <row r="6957" spans="1:3" x14ac:dyDescent="0.3">
      <c r="A6957" t="s">
        <v>8259</v>
      </c>
      <c r="B6957" t="s">
        <v>87</v>
      </c>
      <c r="C6957">
        <v>0.04</v>
      </c>
    </row>
    <row r="6958" spans="1:3" x14ac:dyDescent="0.3">
      <c r="A6958" t="s">
        <v>2841</v>
      </c>
      <c r="B6958" t="s">
        <v>87</v>
      </c>
      <c r="C6958">
        <v>0.02</v>
      </c>
    </row>
    <row r="6959" spans="1:3" x14ac:dyDescent="0.3">
      <c r="A6959" t="s">
        <v>15843</v>
      </c>
      <c r="B6959" t="s">
        <v>53</v>
      </c>
      <c r="C6959">
        <v>0</v>
      </c>
    </row>
    <row r="6960" spans="1:3" x14ac:dyDescent="0.3">
      <c r="A6960" t="s">
        <v>3498</v>
      </c>
      <c r="B6960" t="s">
        <v>53</v>
      </c>
      <c r="C6960">
        <v>0.02</v>
      </c>
    </row>
    <row r="6961" spans="1:3" x14ac:dyDescent="0.3">
      <c r="A6961" t="s">
        <v>1163</v>
      </c>
      <c r="B6961" t="s">
        <v>29</v>
      </c>
      <c r="C6961">
        <v>0.09</v>
      </c>
    </row>
    <row r="6962" spans="1:3" x14ac:dyDescent="0.3">
      <c r="A6962" t="s">
        <v>14239</v>
      </c>
      <c r="B6962" t="s">
        <v>53</v>
      </c>
      <c r="C6962">
        <v>0.02</v>
      </c>
    </row>
    <row r="6963" spans="1:3" x14ac:dyDescent="0.3">
      <c r="A6963" t="s">
        <v>8252</v>
      </c>
      <c r="B6963" t="s">
        <v>53</v>
      </c>
      <c r="C6963">
        <v>0.06</v>
      </c>
    </row>
    <row r="6964" spans="1:3" x14ac:dyDescent="0.3">
      <c r="A6964" t="s">
        <v>11523</v>
      </c>
      <c r="B6964" t="s">
        <v>29</v>
      </c>
      <c r="C6964">
        <v>0.02</v>
      </c>
    </row>
    <row r="6965" spans="1:3" x14ac:dyDescent="0.3">
      <c r="A6965" t="s">
        <v>14101</v>
      </c>
      <c r="B6965" t="s">
        <v>64</v>
      </c>
      <c r="C6965">
        <v>0</v>
      </c>
    </row>
    <row r="6966" spans="1:3" x14ac:dyDescent="0.3">
      <c r="A6966" t="s">
        <v>1169</v>
      </c>
      <c r="B6966" t="s">
        <v>53</v>
      </c>
      <c r="C6966">
        <v>0.05</v>
      </c>
    </row>
    <row r="6967" spans="1:3" x14ac:dyDescent="0.3">
      <c r="A6967" t="s">
        <v>14832</v>
      </c>
      <c r="B6967" t="s">
        <v>64</v>
      </c>
      <c r="C6967">
        <v>0.01</v>
      </c>
    </row>
    <row r="6968" spans="1:3" x14ac:dyDescent="0.3">
      <c r="A6968" t="s">
        <v>14832</v>
      </c>
      <c r="B6968" t="s">
        <v>29</v>
      </c>
      <c r="C6968">
        <v>0.05</v>
      </c>
    </row>
    <row r="6969" spans="1:3" x14ac:dyDescent="0.3">
      <c r="A6969" t="s">
        <v>14832</v>
      </c>
      <c r="B6969" t="s">
        <v>29</v>
      </c>
      <c r="C6969">
        <v>0.09</v>
      </c>
    </row>
    <row r="6970" spans="1:3" x14ac:dyDescent="0.3">
      <c r="A6970" t="s">
        <v>10847</v>
      </c>
      <c r="B6970" t="s">
        <v>225</v>
      </c>
      <c r="C6970">
        <v>0</v>
      </c>
    </row>
    <row r="6971" spans="1:3" x14ac:dyDescent="0.3">
      <c r="A6971" t="s">
        <v>11626</v>
      </c>
      <c r="B6971" t="s">
        <v>225</v>
      </c>
      <c r="C6971">
        <v>7.0000000000000007E-2</v>
      </c>
    </row>
    <row r="6972" spans="1:3" x14ac:dyDescent="0.3">
      <c r="A6972" t="s">
        <v>15680</v>
      </c>
      <c r="B6972" t="s">
        <v>40</v>
      </c>
      <c r="C6972">
        <v>0.08</v>
      </c>
    </row>
    <row r="6973" spans="1:3" x14ac:dyDescent="0.3">
      <c r="A6973" t="s">
        <v>13853</v>
      </c>
      <c r="B6973" t="s">
        <v>87</v>
      </c>
      <c r="C6973">
        <v>0.01</v>
      </c>
    </row>
    <row r="6974" spans="1:3" x14ac:dyDescent="0.3">
      <c r="A6974" t="s">
        <v>2495</v>
      </c>
      <c r="B6974" t="s">
        <v>64</v>
      </c>
      <c r="C6974">
        <v>0</v>
      </c>
    </row>
    <row r="6975" spans="1:3" x14ac:dyDescent="0.3">
      <c r="A6975" t="s">
        <v>2495</v>
      </c>
      <c r="B6975" t="s">
        <v>64</v>
      </c>
      <c r="C6975">
        <v>0.03</v>
      </c>
    </row>
    <row r="6976" spans="1:3" x14ac:dyDescent="0.3">
      <c r="A6976" t="s">
        <v>2495</v>
      </c>
      <c r="B6976" t="s">
        <v>29</v>
      </c>
      <c r="C6976">
        <v>0.1</v>
      </c>
    </row>
    <row r="6977" spans="1:3" x14ac:dyDescent="0.3">
      <c r="A6977" t="s">
        <v>6123</v>
      </c>
      <c r="B6977" t="s">
        <v>53</v>
      </c>
      <c r="C6977">
        <v>7.0000000000000007E-2</v>
      </c>
    </row>
    <row r="6978" spans="1:3" x14ac:dyDescent="0.3">
      <c r="A6978" t="s">
        <v>8909</v>
      </c>
      <c r="B6978" t="s">
        <v>29</v>
      </c>
      <c r="C6978">
        <v>0.05</v>
      </c>
    </row>
    <row r="6979" spans="1:3" x14ac:dyDescent="0.3">
      <c r="A6979" t="s">
        <v>5662</v>
      </c>
      <c r="B6979" t="s">
        <v>64</v>
      </c>
      <c r="C6979">
        <v>0</v>
      </c>
    </row>
    <row r="6980" spans="1:3" x14ac:dyDescent="0.3">
      <c r="A6980" t="s">
        <v>5662</v>
      </c>
      <c r="B6980" t="s">
        <v>53</v>
      </c>
      <c r="C6980">
        <v>0.05</v>
      </c>
    </row>
    <row r="6981" spans="1:3" x14ac:dyDescent="0.3">
      <c r="A6981" t="s">
        <v>1186</v>
      </c>
      <c r="B6981" t="s">
        <v>64</v>
      </c>
      <c r="C6981">
        <v>7.0000000000000007E-2</v>
      </c>
    </row>
    <row r="6982" spans="1:3" x14ac:dyDescent="0.3">
      <c r="A6982" t="s">
        <v>12914</v>
      </c>
      <c r="B6982" t="s">
        <v>53</v>
      </c>
      <c r="C6982">
        <v>0</v>
      </c>
    </row>
    <row r="6983" spans="1:3" x14ac:dyDescent="0.3">
      <c r="A6983" t="s">
        <v>15050</v>
      </c>
      <c r="B6983" t="s">
        <v>64</v>
      </c>
      <c r="C6983">
        <v>0.08</v>
      </c>
    </row>
    <row r="6984" spans="1:3" x14ac:dyDescent="0.3">
      <c r="A6984" t="s">
        <v>4072</v>
      </c>
      <c r="B6984" t="s">
        <v>29</v>
      </c>
      <c r="C6984">
        <v>0.1</v>
      </c>
    </row>
    <row r="6985" spans="1:3" x14ac:dyDescent="0.3">
      <c r="A6985" t="s">
        <v>10705</v>
      </c>
      <c r="B6985" t="s">
        <v>64</v>
      </c>
      <c r="C6985">
        <v>0.01</v>
      </c>
    </row>
    <row r="6986" spans="1:3" x14ac:dyDescent="0.3">
      <c r="A6986" t="s">
        <v>1197</v>
      </c>
      <c r="B6986" t="s">
        <v>29</v>
      </c>
      <c r="C6986">
        <v>0.03</v>
      </c>
    </row>
    <row r="6987" spans="1:3" x14ac:dyDescent="0.3">
      <c r="A6987" t="s">
        <v>1197</v>
      </c>
      <c r="B6987" t="s">
        <v>29</v>
      </c>
      <c r="C6987">
        <v>0.08</v>
      </c>
    </row>
    <row r="6988" spans="1:3" x14ac:dyDescent="0.3">
      <c r="A6988" t="s">
        <v>1197</v>
      </c>
      <c r="B6988" t="s">
        <v>87</v>
      </c>
      <c r="C6988">
        <v>0.06</v>
      </c>
    </row>
    <row r="6989" spans="1:3" x14ac:dyDescent="0.3">
      <c r="A6989" t="s">
        <v>6945</v>
      </c>
      <c r="B6989" t="s">
        <v>40</v>
      </c>
      <c r="C6989">
        <v>0.04</v>
      </c>
    </row>
    <row r="6990" spans="1:3" x14ac:dyDescent="0.3">
      <c r="A6990" t="s">
        <v>6945</v>
      </c>
      <c r="B6990" t="s">
        <v>64</v>
      </c>
      <c r="C6990">
        <v>0.1</v>
      </c>
    </row>
    <row r="6991" spans="1:3" x14ac:dyDescent="0.3">
      <c r="A6991" t="s">
        <v>2739</v>
      </c>
      <c r="B6991" t="s">
        <v>40</v>
      </c>
      <c r="C6991">
        <v>0.04</v>
      </c>
    </row>
    <row r="6992" spans="1:3" x14ac:dyDescent="0.3">
      <c r="A6992" t="s">
        <v>2739</v>
      </c>
      <c r="B6992" t="s">
        <v>29</v>
      </c>
      <c r="C6992">
        <v>0.04</v>
      </c>
    </row>
    <row r="6993" spans="1:3" x14ac:dyDescent="0.3">
      <c r="A6993" t="s">
        <v>2739</v>
      </c>
      <c r="B6993" t="s">
        <v>29</v>
      </c>
      <c r="C6993">
        <v>0.08</v>
      </c>
    </row>
    <row r="6994" spans="1:3" x14ac:dyDescent="0.3">
      <c r="A6994" t="s">
        <v>10693</v>
      </c>
      <c r="B6994" t="s">
        <v>64</v>
      </c>
      <c r="C6994">
        <v>0.02</v>
      </c>
    </row>
    <row r="6995" spans="1:3" x14ac:dyDescent="0.3">
      <c r="A6995" t="s">
        <v>10693</v>
      </c>
      <c r="B6995" t="s">
        <v>64</v>
      </c>
      <c r="C6995">
        <v>0.05</v>
      </c>
    </row>
    <row r="6996" spans="1:3" x14ac:dyDescent="0.3">
      <c r="A6996" t="s">
        <v>10693</v>
      </c>
      <c r="B6996" t="s">
        <v>64</v>
      </c>
      <c r="C6996">
        <v>0.1</v>
      </c>
    </row>
    <row r="6997" spans="1:3" x14ac:dyDescent="0.3">
      <c r="A6997" t="s">
        <v>15173</v>
      </c>
      <c r="B6997" t="s">
        <v>64</v>
      </c>
      <c r="C6997">
        <v>0.08</v>
      </c>
    </row>
    <row r="6998" spans="1:3" x14ac:dyDescent="0.3">
      <c r="A6998" t="s">
        <v>9090</v>
      </c>
      <c r="B6998" t="s">
        <v>64</v>
      </c>
      <c r="C6998">
        <v>0</v>
      </c>
    </row>
    <row r="6999" spans="1:3" x14ac:dyDescent="0.3">
      <c r="A6999" t="s">
        <v>9823</v>
      </c>
      <c r="B6999" t="s">
        <v>87</v>
      </c>
      <c r="C6999">
        <v>7.0000000000000007E-2</v>
      </c>
    </row>
    <row r="7000" spans="1:3" x14ac:dyDescent="0.3">
      <c r="A7000" t="s">
        <v>2567</v>
      </c>
      <c r="B7000" t="s">
        <v>64</v>
      </c>
      <c r="C7000">
        <v>0.04</v>
      </c>
    </row>
    <row r="7001" spans="1:3" x14ac:dyDescent="0.3">
      <c r="A7001" t="s">
        <v>2567</v>
      </c>
      <c r="B7001" t="s">
        <v>64</v>
      </c>
      <c r="C7001">
        <v>0.09</v>
      </c>
    </row>
    <row r="7002" spans="1:3" x14ac:dyDescent="0.3">
      <c r="A7002" t="s">
        <v>13680</v>
      </c>
      <c r="B7002" t="s">
        <v>87</v>
      </c>
      <c r="C7002">
        <v>0.1</v>
      </c>
    </row>
    <row r="7003" spans="1:3" x14ac:dyDescent="0.3">
      <c r="A7003" t="s">
        <v>1221</v>
      </c>
      <c r="B7003" t="s">
        <v>87</v>
      </c>
      <c r="C7003">
        <v>0</v>
      </c>
    </row>
    <row r="7004" spans="1:3" x14ac:dyDescent="0.3">
      <c r="A7004" t="s">
        <v>1221</v>
      </c>
      <c r="B7004" t="s">
        <v>87</v>
      </c>
      <c r="C7004">
        <v>0.01</v>
      </c>
    </row>
    <row r="7005" spans="1:3" x14ac:dyDescent="0.3">
      <c r="A7005" t="s">
        <v>2072</v>
      </c>
      <c r="B7005" t="s">
        <v>87</v>
      </c>
      <c r="C7005">
        <v>0.04</v>
      </c>
    </row>
    <row r="7006" spans="1:3" x14ac:dyDescent="0.3">
      <c r="A7006" t="s">
        <v>2072</v>
      </c>
      <c r="B7006" t="s">
        <v>87</v>
      </c>
      <c r="C7006">
        <v>0.06</v>
      </c>
    </row>
    <row r="7007" spans="1:3" x14ac:dyDescent="0.3">
      <c r="A7007" t="s">
        <v>4251</v>
      </c>
      <c r="B7007" t="s">
        <v>87</v>
      </c>
      <c r="C7007">
        <v>0.08</v>
      </c>
    </row>
    <row r="7008" spans="1:3" x14ac:dyDescent="0.3">
      <c r="A7008" t="s">
        <v>4617</v>
      </c>
      <c r="B7008" t="s">
        <v>87</v>
      </c>
      <c r="C7008">
        <v>0</v>
      </c>
    </row>
    <row r="7009" spans="1:3" x14ac:dyDescent="0.3">
      <c r="A7009" t="s">
        <v>4617</v>
      </c>
      <c r="B7009" t="s">
        <v>87</v>
      </c>
      <c r="C7009">
        <v>0.01</v>
      </c>
    </row>
    <row r="7010" spans="1:3" x14ac:dyDescent="0.3">
      <c r="A7010" t="s">
        <v>10085</v>
      </c>
      <c r="B7010" t="s">
        <v>40</v>
      </c>
      <c r="C7010">
        <v>0.05</v>
      </c>
    </row>
    <row r="7011" spans="1:3" x14ac:dyDescent="0.3">
      <c r="A7011" t="s">
        <v>10085</v>
      </c>
      <c r="B7011" t="s">
        <v>40</v>
      </c>
      <c r="C7011">
        <v>0.09</v>
      </c>
    </row>
    <row r="7012" spans="1:3" x14ac:dyDescent="0.3">
      <c r="A7012" t="s">
        <v>12276</v>
      </c>
      <c r="B7012" t="s">
        <v>40</v>
      </c>
      <c r="C7012">
        <v>0.05</v>
      </c>
    </row>
    <row r="7013" spans="1:3" x14ac:dyDescent="0.3">
      <c r="A7013" t="s">
        <v>15243</v>
      </c>
      <c r="B7013" t="s">
        <v>87</v>
      </c>
      <c r="C7013">
        <v>0.02</v>
      </c>
    </row>
    <row r="7014" spans="1:3" x14ac:dyDescent="0.3">
      <c r="A7014" t="s">
        <v>4978</v>
      </c>
      <c r="B7014" t="s">
        <v>87</v>
      </c>
      <c r="C7014">
        <v>0.05</v>
      </c>
    </row>
    <row r="7015" spans="1:3" x14ac:dyDescent="0.3">
      <c r="A7015" t="s">
        <v>1228</v>
      </c>
      <c r="B7015" t="s">
        <v>87</v>
      </c>
      <c r="C7015">
        <v>0</v>
      </c>
    </row>
    <row r="7016" spans="1:3" x14ac:dyDescent="0.3">
      <c r="A7016" t="s">
        <v>1228</v>
      </c>
      <c r="B7016" t="s">
        <v>87</v>
      </c>
      <c r="C7016">
        <v>0.05</v>
      </c>
    </row>
    <row r="7017" spans="1:3" x14ac:dyDescent="0.3">
      <c r="A7017" t="s">
        <v>6400</v>
      </c>
      <c r="B7017" t="s">
        <v>40</v>
      </c>
      <c r="C7017">
        <v>0.06</v>
      </c>
    </row>
    <row r="7018" spans="1:3" x14ac:dyDescent="0.3">
      <c r="A7018" t="s">
        <v>6400</v>
      </c>
      <c r="B7018" t="s">
        <v>225</v>
      </c>
      <c r="C7018">
        <v>0.01</v>
      </c>
    </row>
    <row r="7019" spans="1:3" x14ac:dyDescent="0.3">
      <c r="A7019" t="s">
        <v>8371</v>
      </c>
      <c r="B7019" t="s">
        <v>225</v>
      </c>
      <c r="C7019">
        <v>0.1</v>
      </c>
    </row>
    <row r="7020" spans="1:3" x14ac:dyDescent="0.3">
      <c r="A7020" t="s">
        <v>14361</v>
      </c>
      <c r="B7020" t="s">
        <v>40</v>
      </c>
      <c r="C7020">
        <v>0.1</v>
      </c>
    </row>
    <row r="7021" spans="1:3" x14ac:dyDescent="0.3">
      <c r="A7021" t="s">
        <v>10288</v>
      </c>
      <c r="B7021" t="s">
        <v>29</v>
      </c>
      <c r="C7021">
        <v>0.02</v>
      </c>
    </row>
    <row r="7022" spans="1:3" x14ac:dyDescent="0.3">
      <c r="A7022" t="s">
        <v>14426</v>
      </c>
      <c r="B7022" t="s">
        <v>40</v>
      </c>
      <c r="C7022">
        <v>7.0000000000000007E-2</v>
      </c>
    </row>
    <row r="7023" spans="1:3" x14ac:dyDescent="0.3">
      <c r="A7023" t="s">
        <v>14691</v>
      </c>
      <c r="B7023" t="s">
        <v>29</v>
      </c>
      <c r="C7023">
        <v>0.04</v>
      </c>
    </row>
    <row r="7024" spans="1:3" x14ac:dyDescent="0.3">
      <c r="A7024" t="s">
        <v>14691</v>
      </c>
      <c r="B7024" t="s">
        <v>29</v>
      </c>
      <c r="C7024">
        <v>0.06</v>
      </c>
    </row>
    <row r="7025" spans="1:3" x14ac:dyDescent="0.3">
      <c r="A7025" t="s">
        <v>14691</v>
      </c>
      <c r="B7025" t="s">
        <v>29</v>
      </c>
      <c r="C7025">
        <v>0.1</v>
      </c>
    </row>
    <row r="7026" spans="1:3" x14ac:dyDescent="0.3">
      <c r="A7026" t="s">
        <v>7170</v>
      </c>
      <c r="B7026" t="s">
        <v>87</v>
      </c>
      <c r="C7026">
        <v>0.02</v>
      </c>
    </row>
    <row r="7027" spans="1:3" x14ac:dyDescent="0.3">
      <c r="A7027" t="s">
        <v>8661</v>
      </c>
      <c r="B7027" t="s">
        <v>87</v>
      </c>
      <c r="C7027">
        <v>0.03</v>
      </c>
    </row>
    <row r="7028" spans="1:3" x14ac:dyDescent="0.3">
      <c r="A7028" t="s">
        <v>6315</v>
      </c>
      <c r="B7028" t="s">
        <v>87</v>
      </c>
      <c r="C7028">
        <v>0.01</v>
      </c>
    </row>
    <row r="7029" spans="1:3" x14ac:dyDescent="0.3">
      <c r="A7029" t="s">
        <v>9720</v>
      </c>
      <c r="B7029" t="s">
        <v>87</v>
      </c>
      <c r="C7029">
        <v>0.06</v>
      </c>
    </row>
    <row r="7030" spans="1:3" x14ac:dyDescent="0.3">
      <c r="A7030" t="s">
        <v>1260</v>
      </c>
      <c r="B7030" t="s">
        <v>87</v>
      </c>
      <c r="C7030">
        <v>0.01</v>
      </c>
    </row>
    <row r="7031" spans="1:3" x14ac:dyDescent="0.3">
      <c r="A7031" t="s">
        <v>1260</v>
      </c>
      <c r="B7031" t="s">
        <v>87</v>
      </c>
      <c r="C7031">
        <v>0.06</v>
      </c>
    </row>
    <row r="7032" spans="1:3" x14ac:dyDescent="0.3">
      <c r="A7032" t="s">
        <v>13139</v>
      </c>
      <c r="B7032" t="s">
        <v>40</v>
      </c>
      <c r="C7032">
        <v>0.08</v>
      </c>
    </row>
    <row r="7033" spans="1:3" x14ac:dyDescent="0.3">
      <c r="A7033" t="s">
        <v>14641</v>
      </c>
      <c r="B7033" t="s">
        <v>29</v>
      </c>
      <c r="C7033">
        <v>0.03</v>
      </c>
    </row>
    <row r="7034" spans="1:3" x14ac:dyDescent="0.3">
      <c r="A7034" t="s">
        <v>14641</v>
      </c>
      <c r="B7034" t="s">
        <v>29</v>
      </c>
      <c r="C7034">
        <v>0.09</v>
      </c>
    </row>
    <row r="7035" spans="1:3" x14ac:dyDescent="0.3">
      <c r="A7035" t="s">
        <v>14240</v>
      </c>
      <c r="B7035" t="s">
        <v>29</v>
      </c>
      <c r="C7035">
        <v>0.02</v>
      </c>
    </row>
    <row r="7036" spans="1:3" x14ac:dyDescent="0.3">
      <c r="A7036" t="s">
        <v>8491</v>
      </c>
      <c r="B7036" t="s">
        <v>40</v>
      </c>
      <c r="C7036">
        <v>0.02</v>
      </c>
    </row>
    <row r="7037" spans="1:3" x14ac:dyDescent="0.3">
      <c r="A7037" t="s">
        <v>1266</v>
      </c>
      <c r="B7037" t="s">
        <v>64</v>
      </c>
      <c r="C7037">
        <v>0.08</v>
      </c>
    </row>
    <row r="7038" spans="1:3" x14ac:dyDescent="0.3">
      <c r="A7038" t="s">
        <v>1272</v>
      </c>
      <c r="B7038" t="s">
        <v>53</v>
      </c>
      <c r="C7038">
        <v>0.09</v>
      </c>
    </row>
    <row r="7039" spans="1:3" x14ac:dyDescent="0.3">
      <c r="A7039" t="s">
        <v>14356</v>
      </c>
      <c r="B7039" t="s">
        <v>53</v>
      </c>
      <c r="C7039">
        <v>0.08</v>
      </c>
    </row>
    <row r="7040" spans="1:3" x14ac:dyDescent="0.3">
      <c r="A7040" t="s">
        <v>14356</v>
      </c>
      <c r="B7040" t="s">
        <v>53</v>
      </c>
      <c r="C7040">
        <v>0.1</v>
      </c>
    </row>
    <row r="7041" spans="1:3" x14ac:dyDescent="0.3">
      <c r="A7041" t="s">
        <v>14344</v>
      </c>
      <c r="B7041" t="s">
        <v>53</v>
      </c>
      <c r="C7041">
        <v>7.0000000000000007E-2</v>
      </c>
    </row>
    <row r="7042" spans="1:3" x14ac:dyDescent="0.3">
      <c r="A7042" t="s">
        <v>14344</v>
      </c>
      <c r="B7042" t="s">
        <v>53</v>
      </c>
      <c r="C7042">
        <v>0.1</v>
      </c>
    </row>
    <row r="7043" spans="1:3" x14ac:dyDescent="0.3">
      <c r="A7043" t="s">
        <v>13583</v>
      </c>
      <c r="B7043" t="s">
        <v>53</v>
      </c>
      <c r="C7043">
        <v>0.02</v>
      </c>
    </row>
    <row r="7044" spans="1:3" x14ac:dyDescent="0.3">
      <c r="A7044" t="s">
        <v>15701</v>
      </c>
      <c r="B7044" t="s">
        <v>40</v>
      </c>
      <c r="C7044">
        <v>0.04</v>
      </c>
    </row>
    <row r="7045" spans="1:3" x14ac:dyDescent="0.3">
      <c r="A7045" t="s">
        <v>15701</v>
      </c>
      <c r="B7045" t="s">
        <v>53</v>
      </c>
      <c r="C7045">
        <v>0.09</v>
      </c>
    </row>
    <row r="7046" spans="1:3" x14ac:dyDescent="0.3">
      <c r="A7046" t="s">
        <v>15701</v>
      </c>
      <c r="B7046" t="s">
        <v>53</v>
      </c>
      <c r="C7046">
        <v>0.1</v>
      </c>
    </row>
    <row r="7047" spans="1:3" x14ac:dyDescent="0.3">
      <c r="A7047" t="s">
        <v>12961</v>
      </c>
      <c r="B7047" t="s">
        <v>53</v>
      </c>
      <c r="C7047">
        <v>0.01</v>
      </c>
    </row>
    <row r="7048" spans="1:3" x14ac:dyDescent="0.3">
      <c r="A7048" t="s">
        <v>12961</v>
      </c>
      <c r="B7048" t="s">
        <v>53</v>
      </c>
      <c r="C7048">
        <v>0.03</v>
      </c>
    </row>
    <row r="7049" spans="1:3" x14ac:dyDescent="0.3">
      <c r="A7049" t="s">
        <v>12961</v>
      </c>
      <c r="B7049" t="s">
        <v>53</v>
      </c>
      <c r="C7049">
        <v>7.0000000000000007E-2</v>
      </c>
    </row>
    <row r="7050" spans="1:3" x14ac:dyDescent="0.3">
      <c r="A7050" t="s">
        <v>15687</v>
      </c>
      <c r="B7050" t="s">
        <v>40</v>
      </c>
      <c r="C7050">
        <v>0.02</v>
      </c>
    </row>
    <row r="7051" spans="1:3" x14ac:dyDescent="0.3">
      <c r="A7051" t="s">
        <v>15687</v>
      </c>
      <c r="B7051" t="s">
        <v>40</v>
      </c>
      <c r="C7051">
        <v>0.03</v>
      </c>
    </row>
    <row r="7052" spans="1:3" x14ac:dyDescent="0.3">
      <c r="A7052" t="s">
        <v>15687</v>
      </c>
      <c r="B7052" t="s">
        <v>40</v>
      </c>
      <c r="C7052">
        <v>0.04</v>
      </c>
    </row>
    <row r="7053" spans="1:3" x14ac:dyDescent="0.3">
      <c r="A7053" t="s">
        <v>6715</v>
      </c>
      <c r="B7053" t="s">
        <v>40</v>
      </c>
      <c r="C7053">
        <v>0.1</v>
      </c>
    </row>
    <row r="7054" spans="1:3" x14ac:dyDescent="0.3">
      <c r="A7054" t="s">
        <v>13710</v>
      </c>
      <c r="B7054" t="s">
        <v>40</v>
      </c>
      <c r="C7054">
        <v>0.01</v>
      </c>
    </row>
    <row r="7055" spans="1:3" x14ac:dyDescent="0.3">
      <c r="A7055" t="s">
        <v>7912</v>
      </c>
      <c r="B7055" t="s">
        <v>225</v>
      </c>
      <c r="C7055">
        <v>0.1</v>
      </c>
    </row>
    <row r="7056" spans="1:3" x14ac:dyDescent="0.3">
      <c r="A7056" t="s">
        <v>14251</v>
      </c>
      <c r="B7056" t="s">
        <v>225</v>
      </c>
      <c r="C7056">
        <v>0.01</v>
      </c>
    </row>
    <row r="7057" spans="1:3" x14ac:dyDescent="0.3">
      <c r="A7057" t="s">
        <v>14251</v>
      </c>
      <c r="B7057" t="s">
        <v>225</v>
      </c>
      <c r="C7057">
        <v>0.1</v>
      </c>
    </row>
    <row r="7058" spans="1:3" x14ac:dyDescent="0.3">
      <c r="A7058" t="s">
        <v>6943</v>
      </c>
      <c r="B7058" t="s">
        <v>64</v>
      </c>
      <c r="C7058">
        <v>0.01</v>
      </c>
    </row>
    <row r="7059" spans="1:3" x14ac:dyDescent="0.3">
      <c r="A7059" t="s">
        <v>10961</v>
      </c>
      <c r="B7059" t="s">
        <v>225</v>
      </c>
      <c r="C7059">
        <v>0.04</v>
      </c>
    </row>
    <row r="7060" spans="1:3" x14ac:dyDescent="0.3">
      <c r="A7060" t="s">
        <v>15122</v>
      </c>
      <c r="B7060" t="s">
        <v>87</v>
      </c>
      <c r="C7060">
        <v>0.06</v>
      </c>
    </row>
    <row r="7061" spans="1:3" x14ac:dyDescent="0.3">
      <c r="A7061" t="s">
        <v>15122</v>
      </c>
      <c r="B7061" t="s">
        <v>87</v>
      </c>
      <c r="C7061">
        <v>0.09</v>
      </c>
    </row>
    <row r="7062" spans="1:3" x14ac:dyDescent="0.3">
      <c r="A7062" t="s">
        <v>9282</v>
      </c>
      <c r="B7062" t="s">
        <v>40</v>
      </c>
      <c r="C7062">
        <v>7.0000000000000007E-2</v>
      </c>
    </row>
    <row r="7063" spans="1:3" x14ac:dyDescent="0.3">
      <c r="A7063" t="s">
        <v>9282</v>
      </c>
      <c r="B7063" t="s">
        <v>29</v>
      </c>
      <c r="C7063">
        <v>0.08</v>
      </c>
    </row>
    <row r="7064" spans="1:3" x14ac:dyDescent="0.3">
      <c r="A7064" t="s">
        <v>11913</v>
      </c>
      <c r="B7064" t="s">
        <v>40</v>
      </c>
      <c r="C7064">
        <v>0.02</v>
      </c>
    </row>
    <row r="7065" spans="1:3" x14ac:dyDescent="0.3">
      <c r="A7065" t="s">
        <v>7843</v>
      </c>
      <c r="B7065" t="s">
        <v>29</v>
      </c>
      <c r="C7065">
        <v>0.05</v>
      </c>
    </row>
    <row r="7066" spans="1:3" x14ac:dyDescent="0.3">
      <c r="A7066" t="s">
        <v>8827</v>
      </c>
      <c r="B7066" t="s">
        <v>87</v>
      </c>
      <c r="C7066">
        <v>0.01</v>
      </c>
    </row>
    <row r="7067" spans="1:3" x14ac:dyDescent="0.3">
      <c r="A7067" t="s">
        <v>10385</v>
      </c>
      <c r="B7067" t="s">
        <v>87</v>
      </c>
      <c r="C7067">
        <v>0.03</v>
      </c>
    </row>
    <row r="7068" spans="1:3" x14ac:dyDescent="0.3">
      <c r="A7068" t="s">
        <v>10385</v>
      </c>
      <c r="B7068" t="s">
        <v>87</v>
      </c>
      <c r="C7068">
        <v>0.05</v>
      </c>
    </row>
    <row r="7069" spans="1:3" x14ac:dyDescent="0.3">
      <c r="A7069" t="s">
        <v>2668</v>
      </c>
      <c r="B7069" t="s">
        <v>40</v>
      </c>
      <c r="C7069">
        <v>0.04</v>
      </c>
    </row>
    <row r="7070" spans="1:3" x14ac:dyDescent="0.3">
      <c r="A7070" t="s">
        <v>7795</v>
      </c>
      <c r="B7070" t="s">
        <v>29</v>
      </c>
      <c r="C7070">
        <v>0.04</v>
      </c>
    </row>
    <row r="7071" spans="1:3" x14ac:dyDescent="0.3">
      <c r="A7071" t="s">
        <v>7289</v>
      </c>
      <c r="B7071" t="s">
        <v>225</v>
      </c>
      <c r="C7071">
        <v>0.05</v>
      </c>
    </row>
    <row r="7072" spans="1:3" x14ac:dyDescent="0.3">
      <c r="A7072" t="s">
        <v>7289</v>
      </c>
      <c r="B7072" t="s">
        <v>225</v>
      </c>
      <c r="C7072">
        <v>0.06</v>
      </c>
    </row>
    <row r="7073" spans="1:3" x14ac:dyDescent="0.3">
      <c r="A7073" t="s">
        <v>11708</v>
      </c>
      <c r="B7073" t="s">
        <v>40</v>
      </c>
      <c r="C7073">
        <v>0.1</v>
      </c>
    </row>
    <row r="7074" spans="1:3" x14ac:dyDescent="0.3">
      <c r="A7074" t="s">
        <v>9937</v>
      </c>
      <c r="B7074" t="s">
        <v>225</v>
      </c>
      <c r="C7074">
        <v>0</v>
      </c>
    </row>
    <row r="7075" spans="1:3" x14ac:dyDescent="0.3">
      <c r="A7075" t="s">
        <v>1354</v>
      </c>
      <c r="B7075" t="s">
        <v>225</v>
      </c>
      <c r="C7075">
        <v>7.0000000000000007E-2</v>
      </c>
    </row>
    <row r="7076" spans="1:3" x14ac:dyDescent="0.3">
      <c r="A7076" t="s">
        <v>12305</v>
      </c>
      <c r="B7076" t="s">
        <v>40</v>
      </c>
      <c r="C7076">
        <v>0.04</v>
      </c>
    </row>
    <row r="7077" spans="1:3" x14ac:dyDescent="0.3">
      <c r="A7077" t="s">
        <v>12378</v>
      </c>
      <c r="B7077" t="s">
        <v>53</v>
      </c>
      <c r="C7077">
        <v>0.09</v>
      </c>
    </row>
    <row r="7078" spans="1:3" x14ac:dyDescent="0.3">
      <c r="A7078" t="s">
        <v>1360</v>
      </c>
      <c r="B7078" t="s">
        <v>53</v>
      </c>
      <c r="C7078">
        <v>0.08</v>
      </c>
    </row>
    <row r="7079" spans="1:3" x14ac:dyDescent="0.3">
      <c r="A7079" t="s">
        <v>13999</v>
      </c>
      <c r="B7079" t="s">
        <v>64</v>
      </c>
      <c r="C7079">
        <v>0.04</v>
      </c>
    </row>
    <row r="7080" spans="1:3" x14ac:dyDescent="0.3">
      <c r="A7080" t="s">
        <v>11477</v>
      </c>
      <c r="B7080" t="s">
        <v>87</v>
      </c>
      <c r="C7080">
        <v>0</v>
      </c>
    </row>
    <row r="7081" spans="1:3" x14ac:dyDescent="0.3">
      <c r="A7081" t="s">
        <v>1904</v>
      </c>
      <c r="B7081" t="s">
        <v>29</v>
      </c>
      <c r="C7081">
        <v>0</v>
      </c>
    </row>
    <row r="7082" spans="1:3" x14ac:dyDescent="0.3">
      <c r="A7082" t="s">
        <v>1904</v>
      </c>
      <c r="B7082" t="s">
        <v>29</v>
      </c>
      <c r="C7082">
        <v>7.0000000000000007E-2</v>
      </c>
    </row>
    <row r="7083" spans="1:3" x14ac:dyDescent="0.3">
      <c r="A7083" t="s">
        <v>12922</v>
      </c>
      <c r="B7083" t="s">
        <v>64</v>
      </c>
      <c r="C7083">
        <v>0.06</v>
      </c>
    </row>
    <row r="7084" spans="1:3" x14ac:dyDescent="0.3">
      <c r="A7084" t="s">
        <v>12434</v>
      </c>
      <c r="B7084" t="s">
        <v>87</v>
      </c>
      <c r="C7084">
        <v>0.03</v>
      </c>
    </row>
    <row r="7085" spans="1:3" x14ac:dyDescent="0.3">
      <c r="A7085" t="s">
        <v>12434</v>
      </c>
      <c r="B7085" t="s">
        <v>87</v>
      </c>
      <c r="C7085">
        <v>0.05</v>
      </c>
    </row>
    <row r="7086" spans="1:3" x14ac:dyDescent="0.3">
      <c r="A7086" t="s">
        <v>1371</v>
      </c>
      <c r="B7086" t="s">
        <v>64</v>
      </c>
      <c r="C7086">
        <v>7.0000000000000007E-2</v>
      </c>
    </row>
    <row r="7087" spans="1:3" x14ac:dyDescent="0.3">
      <c r="A7087" t="s">
        <v>13262</v>
      </c>
      <c r="B7087" t="s">
        <v>87</v>
      </c>
      <c r="C7087">
        <v>0.02</v>
      </c>
    </row>
    <row r="7088" spans="1:3" x14ac:dyDescent="0.3">
      <c r="A7088" t="s">
        <v>12130</v>
      </c>
      <c r="B7088" t="s">
        <v>29</v>
      </c>
      <c r="C7088">
        <v>0.03</v>
      </c>
    </row>
    <row r="7089" spans="1:3" x14ac:dyDescent="0.3">
      <c r="A7089" t="s">
        <v>5929</v>
      </c>
      <c r="B7089" t="s">
        <v>225</v>
      </c>
      <c r="C7089">
        <v>0.04</v>
      </c>
    </row>
    <row r="7090" spans="1:3" x14ac:dyDescent="0.3">
      <c r="A7090" t="s">
        <v>12758</v>
      </c>
      <c r="B7090" t="s">
        <v>29</v>
      </c>
      <c r="C7090">
        <v>0.1</v>
      </c>
    </row>
    <row r="7091" spans="1:3" x14ac:dyDescent="0.3">
      <c r="A7091" t="s">
        <v>12615</v>
      </c>
      <c r="B7091" t="s">
        <v>29</v>
      </c>
      <c r="C7091">
        <v>0.05</v>
      </c>
    </row>
    <row r="7092" spans="1:3" x14ac:dyDescent="0.3">
      <c r="A7092" t="s">
        <v>12615</v>
      </c>
      <c r="B7092" t="s">
        <v>29</v>
      </c>
      <c r="C7092">
        <v>7.0000000000000007E-2</v>
      </c>
    </row>
    <row r="7093" spans="1:3" x14ac:dyDescent="0.3">
      <c r="A7093" t="s">
        <v>1984</v>
      </c>
      <c r="B7093" t="s">
        <v>87</v>
      </c>
      <c r="C7093">
        <v>0.1</v>
      </c>
    </row>
    <row r="7094" spans="1:3" x14ac:dyDescent="0.3">
      <c r="A7094" t="s">
        <v>1388</v>
      </c>
      <c r="B7094" t="s">
        <v>87</v>
      </c>
      <c r="C7094">
        <v>0.09</v>
      </c>
    </row>
    <row r="7095" spans="1:3" x14ac:dyDescent="0.3">
      <c r="A7095" t="s">
        <v>13702</v>
      </c>
      <c r="B7095" t="s">
        <v>64</v>
      </c>
      <c r="C7095">
        <v>0.04</v>
      </c>
    </row>
    <row r="7096" spans="1:3" x14ac:dyDescent="0.3">
      <c r="A7096" t="s">
        <v>14280</v>
      </c>
      <c r="B7096" t="s">
        <v>64</v>
      </c>
      <c r="C7096">
        <v>0.1</v>
      </c>
    </row>
    <row r="7097" spans="1:3" x14ac:dyDescent="0.3">
      <c r="A7097" t="s">
        <v>14280</v>
      </c>
      <c r="B7097" t="s">
        <v>29</v>
      </c>
      <c r="C7097">
        <v>0.01</v>
      </c>
    </row>
    <row r="7098" spans="1:3" x14ac:dyDescent="0.3">
      <c r="A7098" t="s">
        <v>14280</v>
      </c>
      <c r="B7098" t="s">
        <v>29</v>
      </c>
      <c r="C7098">
        <v>7.0000000000000007E-2</v>
      </c>
    </row>
    <row r="7099" spans="1:3" x14ac:dyDescent="0.3">
      <c r="A7099" t="s">
        <v>10186</v>
      </c>
      <c r="B7099" t="s">
        <v>64</v>
      </c>
      <c r="C7099">
        <v>0.02</v>
      </c>
    </row>
    <row r="7100" spans="1:3" x14ac:dyDescent="0.3">
      <c r="A7100" t="s">
        <v>11514</v>
      </c>
      <c r="B7100" t="s">
        <v>29</v>
      </c>
      <c r="C7100">
        <v>0.05</v>
      </c>
    </row>
    <row r="7101" spans="1:3" x14ac:dyDescent="0.3">
      <c r="A7101" t="s">
        <v>8231</v>
      </c>
      <c r="B7101" t="s">
        <v>53</v>
      </c>
      <c r="C7101">
        <v>0.03</v>
      </c>
    </row>
    <row r="7102" spans="1:3" x14ac:dyDescent="0.3">
      <c r="A7102" t="s">
        <v>1405</v>
      </c>
      <c r="B7102" t="s">
        <v>53</v>
      </c>
      <c r="C7102">
        <v>0.09</v>
      </c>
    </row>
    <row r="7103" spans="1:3" x14ac:dyDescent="0.3">
      <c r="A7103" t="s">
        <v>6082</v>
      </c>
      <c r="B7103" t="s">
        <v>40</v>
      </c>
      <c r="C7103">
        <v>0.05</v>
      </c>
    </row>
    <row r="7104" spans="1:3" x14ac:dyDescent="0.3">
      <c r="A7104" t="s">
        <v>15349</v>
      </c>
      <c r="B7104" t="s">
        <v>40</v>
      </c>
      <c r="C7104">
        <v>0.09</v>
      </c>
    </row>
    <row r="7105" spans="1:3" x14ac:dyDescent="0.3">
      <c r="A7105" t="s">
        <v>11273</v>
      </c>
      <c r="B7105" t="s">
        <v>40</v>
      </c>
      <c r="C7105">
        <v>0.04</v>
      </c>
    </row>
    <row r="7106" spans="1:3" x14ac:dyDescent="0.3">
      <c r="A7106" t="s">
        <v>10965</v>
      </c>
      <c r="B7106" t="s">
        <v>29</v>
      </c>
      <c r="C7106">
        <v>7.0000000000000007E-2</v>
      </c>
    </row>
    <row r="7107" spans="1:3" x14ac:dyDescent="0.3">
      <c r="A7107" t="s">
        <v>11562</v>
      </c>
      <c r="B7107" t="s">
        <v>64</v>
      </c>
      <c r="C7107">
        <v>0</v>
      </c>
    </row>
    <row r="7108" spans="1:3" x14ac:dyDescent="0.3">
      <c r="A7108" t="s">
        <v>11562</v>
      </c>
      <c r="B7108" t="s">
        <v>64</v>
      </c>
      <c r="C7108">
        <v>7.0000000000000007E-2</v>
      </c>
    </row>
    <row r="7109" spans="1:3" x14ac:dyDescent="0.3">
      <c r="A7109" t="s">
        <v>12320</v>
      </c>
      <c r="B7109" t="s">
        <v>87</v>
      </c>
      <c r="C7109">
        <v>7.0000000000000007E-2</v>
      </c>
    </row>
    <row r="7110" spans="1:3" x14ac:dyDescent="0.3">
      <c r="A7110" t="s">
        <v>12191</v>
      </c>
      <c r="B7110" t="s">
        <v>87</v>
      </c>
      <c r="C7110">
        <v>0.02</v>
      </c>
    </row>
    <row r="7111" spans="1:3" x14ac:dyDescent="0.3">
      <c r="A7111" t="s">
        <v>12191</v>
      </c>
      <c r="B7111" t="s">
        <v>87</v>
      </c>
      <c r="C7111">
        <v>0.09</v>
      </c>
    </row>
    <row r="7112" spans="1:3" x14ac:dyDescent="0.3">
      <c r="A7112" t="s">
        <v>9773</v>
      </c>
      <c r="B7112" t="s">
        <v>87</v>
      </c>
      <c r="C7112">
        <v>0.03</v>
      </c>
    </row>
    <row r="7113" spans="1:3" x14ac:dyDescent="0.3">
      <c r="A7113" t="s">
        <v>8946</v>
      </c>
      <c r="B7113" t="s">
        <v>87</v>
      </c>
      <c r="C7113">
        <v>0.01</v>
      </c>
    </row>
    <row r="7114" spans="1:3" x14ac:dyDescent="0.3">
      <c r="A7114" t="s">
        <v>14756</v>
      </c>
      <c r="B7114" t="s">
        <v>87</v>
      </c>
      <c r="C7114">
        <v>0</v>
      </c>
    </row>
    <row r="7115" spans="1:3" x14ac:dyDescent="0.3">
      <c r="A7115" t="s">
        <v>13574</v>
      </c>
      <c r="B7115" t="s">
        <v>87</v>
      </c>
      <c r="C7115">
        <v>0.03</v>
      </c>
    </row>
    <row r="7116" spans="1:3" x14ac:dyDescent="0.3">
      <c r="A7116" t="s">
        <v>12398</v>
      </c>
      <c r="B7116" t="s">
        <v>64</v>
      </c>
      <c r="C7116">
        <v>0.08</v>
      </c>
    </row>
    <row r="7117" spans="1:3" x14ac:dyDescent="0.3">
      <c r="A7117" t="s">
        <v>12177</v>
      </c>
      <c r="B7117" t="s">
        <v>29</v>
      </c>
      <c r="C7117">
        <v>0.04</v>
      </c>
    </row>
    <row r="7118" spans="1:3" x14ac:dyDescent="0.3">
      <c r="A7118" t="s">
        <v>13750</v>
      </c>
      <c r="B7118" t="s">
        <v>87</v>
      </c>
      <c r="C7118">
        <v>0.01</v>
      </c>
    </row>
    <row r="7119" spans="1:3" x14ac:dyDescent="0.3">
      <c r="A7119" t="s">
        <v>13408</v>
      </c>
      <c r="B7119" t="s">
        <v>87</v>
      </c>
      <c r="C7119">
        <v>0.05</v>
      </c>
    </row>
    <row r="7120" spans="1:3" x14ac:dyDescent="0.3">
      <c r="A7120" t="s">
        <v>14326</v>
      </c>
      <c r="B7120" t="s">
        <v>87</v>
      </c>
      <c r="C7120">
        <v>0.03</v>
      </c>
    </row>
    <row r="7121" spans="1:3" x14ac:dyDescent="0.3">
      <c r="A7121" t="s">
        <v>15205</v>
      </c>
      <c r="B7121" t="s">
        <v>87</v>
      </c>
      <c r="C7121">
        <v>0.09</v>
      </c>
    </row>
    <row r="7122" spans="1:3" x14ac:dyDescent="0.3">
      <c r="A7122" t="s">
        <v>14493</v>
      </c>
      <c r="B7122" t="s">
        <v>87</v>
      </c>
      <c r="C7122">
        <v>0</v>
      </c>
    </row>
    <row r="7123" spans="1:3" x14ac:dyDescent="0.3">
      <c r="A7123" t="s">
        <v>10740</v>
      </c>
      <c r="B7123" t="s">
        <v>29</v>
      </c>
      <c r="C7123">
        <v>0.08</v>
      </c>
    </row>
    <row r="7124" spans="1:3" x14ac:dyDescent="0.3">
      <c r="A7124" t="s">
        <v>13888</v>
      </c>
      <c r="B7124" t="s">
        <v>87</v>
      </c>
      <c r="C7124">
        <v>0.09</v>
      </c>
    </row>
    <row r="7125" spans="1:3" x14ac:dyDescent="0.3">
      <c r="A7125" t="s">
        <v>15077</v>
      </c>
      <c r="B7125" t="s">
        <v>87</v>
      </c>
      <c r="C7125">
        <v>0.01</v>
      </c>
    </row>
    <row r="7126" spans="1:3" x14ac:dyDescent="0.3">
      <c r="A7126" t="s">
        <v>15077</v>
      </c>
      <c r="B7126" t="s">
        <v>87</v>
      </c>
      <c r="C7126">
        <v>0.09</v>
      </c>
    </row>
    <row r="7127" spans="1:3" x14ac:dyDescent="0.3">
      <c r="A7127" t="s">
        <v>13074</v>
      </c>
      <c r="B7127" t="s">
        <v>40</v>
      </c>
      <c r="C7127">
        <v>0.08</v>
      </c>
    </row>
    <row r="7128" spans="1:3" x14ac:dyDescent="0.3">
      <c r="A7128" t="s">
        <v>14672</v>
      </c>
      <c r="B7128" t="s">
        <v>29</v>
      </c>
      <c r="C7128">
        <v>0.1</v>
      </c>
    </row>
    <row r="7129" spans="1:3" x14ac:dyDescent="0.3">
      <c r="A7129" t="s">
        <v>15257</v>
      </c>
      <c r="B7129" t="s">
        <v>29</v>
      </c>
      <c r="C7129">
        <v>0.04</v>
      </c>
    </row>
    <row r="7130" spans="1:3" x14ac:dyDescent="0.3">
      <c r="A7130" t="s">
        <v>15257</v>
      </c>
      <c r="B7130" t="s">
        <v>29</v>
      </c>
      <c r="C7130">
        <v>0.1</v>
      </c>
    </row>
    <row r="7131" spans="1:3" x14ac:dyDescent="0.3">
      <c r="A7131" t="s">
        <v>6808</v>
      </c>
      <c r="B7131" t="s">
        <v>64</v>
      </c>
      <c r="C7131">
        <v>0.05</v>
      </c>
    </row>
    <row r="7132" spans="1:3" x14ac:dyDescent="0.3">
      <c r="A7132" t="s">
        <v>6808</v>
      </c>
      <c r="B7132" t="s">
        <v>64</v>
      </c>
      <c r="C7132">
        <v>0.08</v>
      </c>
    </row>
    <row r="7133" spans="1:3" x14ac:dyDescent="0.3">
      <c r="A7133" t="s">
        <v>1464</v>
      </c>
      <c r="B7133" t="s">
        <v>64</v>
      </c>
      <c r="C7133">
        <v>0.01</v>
      </c>
    </row>
    <row r="7134" spans="1:3" x14ac:dyDescent="0.3">
      <c r="A7134" t="s">
        <v>1464</v>
      </c>
      <c r="B7134" t="s">
        <v>64</v>
      </c>
      <c r="C7134">
        <v>0.02</v>
      </c>
    </row>
    <row r="7135" spans="1:3" x14ac:dyDescent="0.3">
      <c r="A7135" t="s">
        <v>6999</v>
      </c>
      <c r="B7135" t="s">
        <v>64</v>
      </c>
      <c r="C7135">
        <v>0.03</v>
      </c>
    </row>
    <row r="7136" spans="1:3" x14ac:dyDescent="0.3">
      <c r="A7136" t="s">
        <v>6999</v>
      </c>
      <c r="B7136" t="s">
        <v>64</v>
      </c>
      <c r="C7136">
        <v>0.06</v>
      </c>
    </row>
    <row r="7137" spans="1:3" x14ac:dyDescent="0.3">
      <c r="A7137" t="s">
        <v>9718</v>
      </c>
      <c r="B7137" t="s">
        <v>29</v>
      </c>
      <c r="C7137">
        <v>7.0000000000000007E-2</v>
      </c>
    </row>
    <row r="7138" spans="1:3" x14ac:dyDescent="0.3">
      <c r="A7138" t="s">
        <v>9100</v>
      </c>
      <c r="B7138" t="s">
        <v>225</v>
      </c>
      <c r="C7138">
        <v>0</v>
      </c>
    </row>
    <row r="7139" spans="1:3" x14ac:dyDescent="0.3">
      <c r="A7139" t="s">
        <v>5175</v>
      </c>
      <c r="B7139" t="s">
        <v>225</v>
      </c>
      <c r="C7139">
        <v>0</v>
      </c>
    </row>
    <row r="7140" spans="1:3" x14ac:dyDescent="0.3">
      <c r="A7140" t="s">
        <v>8800</v>
      </c>
      <c r="B7140" t="s">
        <v>29</v>
      </c>
      <c r="C7140">
        <v>0</v>
      </c>
    </row>
    <row r="7141" spans="1:3" x14ac:dyDescent="0.3">
      <c r="A7141" t="s">
        <v>8800</v>
      </c>
      <c r="B7141" t="s">
        <v>29</v>
      </c>
      <c r="C7141">
        <v>0.01</v>
      </c>
    </row>
    <row r="7142" spans="1:3" x14ac:dyDescent="0.3">
      <c r="A7142" t="s">
        <v>8800</v>
      </c>
      <c r="B7142" t="s">
        <v>29</v>
      </c>
      <c r="C7142">
        <v>0.02</v>
      </c>
    </row>
    <row r="7143" spans="1:3" x14ac:dyDescent="0.3">
      <c r="A7143" t="s">
        <v>14633</v>
      </c>
      <c r="B7143" t="s">
        <v>225</v>
      </c>
      <c r="C7143">
        <v>0</v>
      </c>
    </row>
    <row r="7144" spans="1:3" x14ac:dyDescent="0.3">
      <c r="A7144" t="s">
        <v>1496</v>
      </c>
      <c r="B7144" t="s">
        <v>29</v>
      </c>
      <c r="C7144">
        <v>0.03</v>
      </c>
    </row>
    <row r="7145" spans="1:3" x14ac:dyDescent="0.3">
      <c r="A7145" t="s">
        <v>5934</v>
      </c>
      <c r="B7145" t="s">
        <v>40</v>
      </c>
      <c r="C7145">
        <v>0.09</v>
      </c>
    </row>
    <row r="7146" spans="1:3" x14ac:dyDescent="0.3">
      <c r="A7146" t="s">
        <v>5488</v>
      </c>
      <c r="B7146" t="s">
        <v>53</v>
      </c>
      <c r="C7146">
        <v>0.1</v>
      </c>
    </row>
    <row r="7147" spans="1:3" x14ac:dyDescent="0.3">
      <c r="A7147" t="s">
        <v>5494</v>
      </c>
      <c r="B7147" t="s">
        <v>53</v>
      </c>
      <c r="C7147">
        <v>0.1</v>
      </c>
    </row>
    <row r="7148" spans="1:3" x14ac:dyDescent="0.3">
      <c r="A7148" t="s">
        <v>5819</v>
      </c>
      <c r="B7148" t="s">
        <v>29</v>
      </c>
      <c r="C7148">
        <v>7.0000000000000007E-2</v>
      </c>
    </row>
    <row r="7149" spans="1:3" x14ac:dyDescent="0.3">
      <c r="A7149" t="s">
        <v>11241</v>
      </c>
      <c r="B7149" t="s">
        <v>87</v>
      </c>
      <c r="C7149">
        <v>0.09</v>
      </c>
    </row>
    <row r="7150" spans="1:3" x14ac:dyDescent="0.3">
      <c r="A7150" t="s">
        <v>7167</v>
      </c>
      <c r="B7150" t="s">
        <v>29</v>
      </c>
      <c r="C7150">
        <v>0.08</v>
      </c>
    </row>
    <row r="7151" spans="1:3" x14ac:dyDescent="0.3">
      <c r="A7151" t="s">
        <v>7167</v>
      </c>
      <c r="B7151" t="s">
        <v>29</v>
      </c>
      <c r="C7151">
        <v>0.09</v>
      </c>
    </row>
    <row r="7152" spans="1:3" x14ac:dyDescent="0.3">
      <c r="A7152" t="s">
        <v>7262</v>
      </c>
      <c r="B7152" t="s">
        <v>40</v>
      </c>
      <c r="C7152">
        <v>0.06</v>
      </c>
    </row>
    <row r="7153" spans="1:3" x14ac:dyDescent="0.3">
      <c r="A7153" t="s">
        <v>7262</v>
      </c>
      <c r="B7153" t="s">
        <v>225</v>
      </c>
      <c r="C7153">
        <v>0.09</v>
      </c>
    </row>
    <row r="7154" spans="1:3" x14ac:dyDescent="0.3">
      <c r="A7154" t="s">
        <v>7262</v>
      </c>
      <c r="B7154" t="s">
        <v>29</v>
      </c>
      <c r="C7154">
        <v>0.05</v>
      </c>
    </row>
    <row r="7155" spans="1:3" x14ac:dyDescent="0.3">
      <c r="A7155" t="s">
        <v>13113</v>
      </c>
      <c r="B7155" t="s">
        <v>40</v>
      </c>
      <c r="C7155">
        <v>0.02</v>
      </c>
    </row>
    <row r="7156" spans="1:3" x14ac:dyDescent="0.3">
      <c r="A7156" t="s">
        <v>8108</v>
      </c>
      <c r="B7156" t="s">
        <v>40</v>
      </c>
      <c r="C7156">
        <v>0.06</v>
      </c>
    </row>
    <row r="7157" spans="1:3" x14ac:dyDescent="0.3">
      <c r="A7157" t="s">
        <v>8108</v>
      </c>
      <c r="B7157" t="s">
        <v>40</v>
      </c>
      <c r="C7157">
        <v>7.0000000000000007E-2</v>
      </c>
    </row>
    <row r="7158" spans="1:3" x14ac:dyDescent="0.3">
      <c r="A7158" t="s">
        <v>1502</v>
      </c>
      <c r="B7158" t="s">
        <v>40</v>
      </c>
      <c r="C7158">
        <v>7.0000000000000007E-2</v>
      </c>
    </row>
    <row r="7159" spans="1:3" x14ac:dyDescent="0.3">
      <c r="A7159" t="s">
        <v>13233</v>
      </c>
      <c r="B7159" t="s">
        <v>87</v>
      </c>
      <c r="C7159">
        <v>0.05</v>
      </c>
    </row>
    <row r="7160" spans="1:3" x14ac:dyDescent="0.3">
      <c r="A7160" t="s">
        <v>9725</v>
      </c>
      <c r="B7160" t="s">
        <v>87</v>
      </c>
      <c r="C7160">
        <v>0.1</v>
      </c>
    </row>
    <row r="7161" spans="1:3" x14ac:dyDescent="0.3">
      <c r="A7161" t="s">
        <v>12659</v>
      </c>
      <c r="B7161" t="s">
        <v>29</v>
      </c>
      <c r="C7161">
        <v>0.09</v>
      </c>
    </row>
    <row r="7162" spans="1:3" x14ac:dyDescent="0.3">
      <c r="A7162" t="s">
        <v>15149</v>
      </c>
      <c r="B7162" t="s">
        <v>29</v>
      </c>
      <c r="C7162">
        <v>0.09</v>
      </c>
    </row>
    <row r="7163" spans="1:3" x14ac:dyDescent="0.3">
      <c r="A7163" t="s">
        <v>15026</v>
      </c>
      <c r="B7163" t="s">
        <v>29</v>
      </c>
      <c r="C7163">
        <v>0.04</v>
      </c>
    </row>
    <row r="7164" spans="1:3" x14ac:dyDescent="0.3">
      <c r="A7164" t="s">
        <v>12834</v>
      </c>
      <c r="B7164" t="s">
        <v>64</v>
      </c>
      <c r="C7164">
        <v>0.02</v>
      </c>
    </row>
    <row r="7165" spans="1:3" x14ac:dyDescent="0.3">
      <c r="A7165" t="s">
        <v>12871</v>
      </c>
      <c r="B7165" t="s">
        <v>225</v>
      </c>
      <c r="C7165">
        <v>0.04</v>
      </c>
    </row>
    <row r="7166" spans="1:3" x14ac:dyDescent="0.3">
      <c r="A7166" t="s">
        <v>1523</v>
      </c>
      <c r="B7166" t="s">
        <v>87</v>
      </c>
      <c r="C7166">
        <v>0.09</v>
      </c>
    </row>
    <row r="7167" spans="1:3" x14ac:dyDescent="0.3">
      <c r="A7167" t="s">
        <v>12796</v>
      </c>
      <c r="B7167" t="s">
        <v>64</v>
      </c>
      <c r="C7167">
        <v>0.05</v>
      </c>
    </row>
    <row r="7168" spans="1:3" x14ac:dyDescent="0.3">
      <c r="A7168" t="s">
        <v>10342</v>
      </c>
      <c r="B7168" t="s">
        <v>64</v>
      </c>
      <c r="C7168">
        <v>0.02</v>
      </c>
    </row>
    <row r="7169" spans="1:3" x14ac:dyDescent="0.3">
      <c r="A7169" t="s">
        <v>10342</v>
      </c>
      <c r="B7169" t="s">
        <v>64</v>
      </c>
      <c r="C7169">
        <v>0.04</v>
      </c>
    </row>
    <row r="7170" spans="1:3" x14ac:dyDescent="0.3">
      <c r="A7170" t="s">
        <v>12454</v>
      </c>
      <c r="B7170" t="s">
        <v>29</v>
      </c>
      <c r="C7170">
        <v>0</v>
      </c>
    </row>
    <row r="7171" spans="1:3" x14ac:dyDescent="0.3">
      <c r="A7171" t="s">
        <v>10161</v>
      </c>
      <c r="B7171" t="s">
        <v>53</v>
      </c>
      <c r="C7171">
        <v>0.02</v>
      </c>
    </row>
    <row r="7172" spans="1:3" x14ac:dyDescent="0.3">
      <c r="A7172" t="s">
        <v>10161</v>
      </c>
      <c r="B7172" t="s">
        <v>53</v>
      </c>
      <c r="C7172">
        <v>0.06</v>
      </c>
    </row>
    <row r="7173" spans="1:3" x14ac:dyDescent="0.3">
      <c r="A7173" t="s">
        <v>15602</v>
      </c>
      <c r="B7173" t="s">
        <v>40</v>
      </c>
      <c r="C7173">
        <v>0.03</v>
      </c>
    </row>
    <row r="7174" spans="1:3" x14ac:dyDescent="0.3">
      <c r="A7174" t="s">
        <v>9645</v>
      </c>
      <c r="B7174" t="s">
        <v>53</v>
      </c>
      <c r="C7174">
        <v>0.02</v>
      </c>
    </row>
    <row r="7175" spans="1:3" x14ac:dyDescent="0.3">
      <c r="A7175" t="s">
        <v>9645</v>
      </c>
      <c r="B7175" t="s">
        <v>53</v>
      </c>
      <c r="C7175">
        <v>0.06</v>
      </c>
    </row>
    <row r="7176" spans="1:3" x14ac:dyDescent="0.3">
      <c r="A7176" t="s">
        <v>10751</v>
      </c>
      <c r="B7176" t="s">
        <v>53</v>
      </c>
      <c r="C7176">
        <v>0.06</v>
      </c>
    </row>
    <row r="7177" spans="1:3" x14ac:dyDescent="0.3">
      <c r="A7177" t="s">
        <v>1541</v>
      </c>
      <c r="B7177" t="s">
        <v>40</v>
      </c>
      <c r="C7177">
        <v>0.05</v>
      </c>
    </row>
    <row r="7178" spans="1:3" x14ac:dyDescent="0.3">
      <c r="A7178" t="s">
        <v>1541</v>
      </c>
      <c r="B7178" t="s">
        <v>40</v>
      </c>
      <c r="C7178">
        <v>0.08</v>
      </c>
    </row>
    <row r="7179" spans="1:3" x14ac:dyDescent="0.3">
      <c r="A7179" t="s">
        <v>1541</v>
      </c>
      <c r="B7179" t="s">
        <v>40</v>
      </c>
      <c r="C7179">
        <v>0.1</v>
      </c>
    </row>
    <row r="7180" spans="1:3" x14ac:dyDescent="0.3">
      <c r="A7180" t="s">
        <v>15137</v>
      </c>
      <c r="B7180" t="s">
        <v>53</v>
      </c>
      <c r="C7180">
        <v>0.08</v>
      </c>
    </row>
    <row r="7181" spans="1:3" x14ac:dyDescent="0.3">
      <c r="A7181" t="s">
        <v>13043</v>
      </c>
      <c r="B7181" t="s">
        <v>29</v>
      </c>
      <c r="C7181">
        <v>0.01</v>
      </c>
    </row>
    <row r="7182" spans="1:3" x14ac:dyDescent="0.3">
      <c r="A7182" t="s">
        <v>11507</v>
      </c>
      <c r="B7182" t="s">
        <v>29</v>
      </c>
      <c r="C7182">
        <v>0</v>
      </c>
    </row>
    <row r="7183" spans="1:3" x14ac:dyDescent="0.3">
      <c r="A7183" t="s">
        <v>14118</v>
      </c>
      <c r="B7183" t="s">
        <v>87</v>
      </c>
      <c r="C7183">
        <v>0</v>
      </c>
    </row>
    <row r="7184" spans="1:3" x14ac:dyDescent="0.3">
      <c r="A7184" t="s">
        <v>9972</v>
      </c>
      <c r="B7184" t="s">
        <v>225</v>
      </c>
      <c r="C7184">
        <v>0</v>
      </c>
    </row>
    <row r="7185" spans="1:3" x14ac:dyDescent="0.3">
      <c r="A7185" t="s">
        <v>14562</v>
      </c>
      <c r="B7185" t="s">
        <v>87</v>
      </c>
      <c r="C7185">
        <v>0.08</v>
      </c>
    </row>
    <row r="7186" spans="1:3" x14ac:dyDescent="0.3">
      <c r="A7186" t="s">
        <v>4336</v>
      </c>
      <c r="B7186" t="s">
        <v>64</v>
      </c>
      <c r="C7186">
        <v>0.04</v>
      </c>
    </row>
    <row r="7187" spans="1:3" x14ac:dyDescent="0.3">
      <c r="A7187" t="s">
        <v>5833</v>
      </c>
      <c r="B7187" t="s">
        <v>225</v>
      </c>
      <c r="C7187">
        <v>0.02</v>
      </c>
    </row>
    <row r="7188" spans="1:3" x14ac:dyDescent="0.3">
      <c r="A7188" t="s">
        <v>5833</v>
      </c>
      <c r="B7188" t="s">
        <v>225</v>
      </c>
      <c r="C7188">
        <v>0.09</v>
      </c>
    </row>
    <row r="7189" spans="1:3" x14ac:dyDescent="0.3">
      <c r="A7189" t="s">
        <v>10192</v>
      </c>
      <c r="B7189" t="s">
        <v>40</v>
      </c>
      <c r="C7189">
        <v>0.02</v>
      </c>
    </row>
    <row r="7190" spans="1:3" x14ac:dyDescent="0.3">
      <c r="A7190" t="s">
        <v>10192</v>
      </c>
      <c r="B7190" t="s">
        <v>40</v>
      </c>
      <c r="C7190">
        <v>7.0000000000000007E-2</v>
      </c>
    </row>
    <row r="7191" spans="1:3" x14ac:dyDescent="0.3">
      <c r="A7191" t="s">
        <v>10192</v>
      </c>
      <c r="B7191" t="s">
        <v>40</v>
      </c>
      <c r="C7191">
        <v>0.08</v>
      </c>
    </row>
    <row r="7192" spans="1:3" x14ac:dyDescent="0.3">
      <c r="A7192" t="s">
        <v>10192</v>
      </c>
      <c r="B7192" t="s">
        <v>225</v>
      </c>
      <c r="C7192">
        <v>0.01</v>
      </c>
    </row>
    <row r="7193" spans="1:3" x14ac:dyDescent="0.3">
      <c r="A7193" t="s">
        <v>6198</v>
      </c>
      <c r="B7193" t="s">
        <v>53</v>
      </c>
      <c r="C7193">
        <v>0.02</v>
      </c>
    </row>
    <row r="7194" spans="1:3" x14ac:dyDescent="0.3">
      <c r="A7194" t="s">
        <v>8684</v>
      </c>
      <c r="B7194" t="s">
        <v>53</v>
      </c>
      <c r="C7194">
        <v>0.06</v>
      </c>
    </row>
    <row r="7195" spans="1:3" x14ac:dyDescent="0.3">
      <c r="A7195" t="s">
        <v>4603</v>
      </c>
      <c r="B7195" t="s">
        <v>40</v>
      </c>
      <c r="C7195">
        <v>0.05</v>
      </c>
    </row>
    <row r="7196" spans="1:3" x14ac:dyDescent="0.3">
      <c r="A7196" t="s">
        <v>4898</v>
      </c>
      <c r="B7196" t="s">
        <v>40</v>
      </c>
      <c r="C7196">
        <v>0.09</v>
      </c>
    </row>
    <row r="7197" spans="1:3" x14ac:dyDescent="0.3">
      <c r="A7197" t="s">
        <v>2968</v>
      </c>
      <c r="B7197" t="s">
        <v>87</v>
      </c>
      <c r="C7197">
        <v>0</v>
      </c>
    </row>
    <row r="7198" spans="1:3" x14ac:dyDescent="0.3">
      <c r="A7198" t="s">
        <v>15016</v>
      </c>
      <c r="B7198" t="s">
        <v>40</v>
      </c>
      <c r="C7198">
        <v>0.03</v>
      </c>
    </row>
    <row r="7199" spans="1:3" x14ac:dyDescent="0.3">
      <c r="A7199" t="s">
        <v>15016</v>
      </c>
      <c r="B7199" t="s">
        <v>87</v>
      </c>
      <c r="C7199">
        <v>0.1</v>
      </c>
    </row>
    <row r="7200" spans="1:3" x14ac:dyDescent="0.3">
      <c r="A7200" t="s">
        <v>9580</v>
      </c>
      <c r="B7200" t="s">
        <v>87</v>
      </c>
      <c r="C7200">
        <v>7.0000000000000007E-2</v>
      </c>
    </row>
    <row r="7201" spans="1:3" x14ac:dyDescent="0.3">
      <c r="A7201" t="s">
        <v>7192</v>
      </c>
      <c r="B7201" t="s">
        <v>53</v>
      </c>
      <c r="C7201">
        <v>0.04</v>
      </c>
    </row>
    <row r="7202" spans="1:3" x14ac:dyDescent="0.3">
      <c r="A7202" t="s">
        <v>10840</v>
      </c>
      <c r="B7202" t="s">
        <v>29</v>
      </c>
      <c r="C7202">
        <v>0.05</v>
      </c>
    </row>
    <row r="7203" spans="1:3" x14ac:dyDescent="0.3">
      <c r="A7203" t="s">
        <v>6499</v>
      </c>
      <c r="B7203" t="s">
        <v>87</v>
      </c>
      <c r="C7203">
        <v>0.08</v>
      </c>
    </row>
    <row r="7204" spans="1:3" x14ac:dyDescent="0.3">
      <c r="A7204" t="s">
        <v>6444</v>
      </c>
      <c r="B7204" t="s">
        <v>40</v>
      </c>
      <c r="C7204">
        <v>0.04</v>
      </c>
    </row>
    <row r="7205" spans="1:3" x14ac:dyDescent="0.3">
      <c r="A7205" t="s">
        <v>6444</v>
      </c>
      <c r="B7205" t="s">
        <v>53</v>
      </c>
      <c r="C7205">
        <v>0.02</v>
      </c>
    </row>
    <row r="7206" spans="1:3" x14ac:dyDescent="0.3">
      <c r="A7206" t="s">
        <v>6444</v>
      </c>
      <c r="B7206" t="s">
        <v>87</v>
      </c>
      <c r="C7206">
        <v>0.01</v>
      </c>
    </row>
    <row r="7207" spans="1:3" x14ac:dyDescent="0.3">
      <c r="A7207" t="s">
        <v>14778</v>
      </c>
      <c r="B7207" t="s">
        <v>29</v>
      </c>
      <c r="C7207">
        <v>0.01</v>
      </c>
    </row>
    <row r="7208" spans="1:3" x14ac:dyDescent="0.3">
      <c r="A7208" t="s">
        <v>14778</v>
      </c>
      <c r="B7208" t="s">
        <v>29</v>
      </c>
      <c r="C7208">
        <v>0.03</v>
      </c>
    </row>
    <row r="7209" spans="1:3" x14ac:dyDescent="0.3">
      <c r="A7209" t="s">
        <v>15043</v>
      </c>
      <c r="B7209" t="s">
        <v>29</v>
      </c>
      <c r="C7209">
        <v>0.04</v>
      </c>
    </row>
    <row r="7210" spans="1:3" x14ac:dyDescent="0.3">
      <c r="A7210" t="s">
        <v>1590</v>
      </c>
      <c r="B7210" t="s">
        <v>40</v>
      </c>
      <c r="C7210">
        <v>0.08</v>
      </c>
    </row>
    <row r="7211" spans="1:3" x14ac:dyDescent="0.3">
      <c r="A7211" t="s">
        <v>1590</v>
      </c>
      <c r="B7211" t="s">
        <v>29</v>
      </c>
      <c r="C7211">
        <v>0.02</v>
      </c>
    </row>
    <row r="7212" spans="1:3" x14ac:dyDescent="0.3">
      <c r="A7212" t="s">
        <v>13580</v>
      </c>
      <c r="B7212" t="s">
        <v>53</v>
      </c>
      <c r="C7212">
        <v>0.1</v>
      </c>
    </row>
    <row r="7213" spans="1:3" x14ac:dyDescent="0.3">
      <c r="A7213" t="s">
        <v>14471</v>
      </c>
      <c r="B7213" t="s">
        <v>40</v>
      </c>
      <c r="C7213">
        <v>0.08</v>
      </c>
    </row>
    <row r="7214" spans="1:3" x14ac:dyDescent="0.3">
      <c r="A7214" t="s">
        <v>14471</v>
      </c>
      <c r="B7214" t="s">
        <v>40</v>
      </c>
      <c r="C7214">
        <v>0.1</v>
      </c>
    </row>
    <row r="7215" spans="1:3" x14ac:dyDescent="0.3">
      <c r="A7215" t="s">
        <v>15797</v>
      </c>
      <c r="B7215" t="s">
        <v>40</v>
      </c>
      <c r="C7215">
        <v>0.09</v>
      </c>
    </row>
    <row r="7216" spans="1:3" x14ac:dyDescent="0.3">
      <c r="A7216" t="s">
        <v>10003</v>
      </c>
      <c r="B7216" t="s">
        <v>40</v>
      </c>
      <c r="C7216">
        <v>0.03</v>
      </c>
    </row>
    <row r="7217" spans="1:3" x14ac:dyDescent="0.3">
      <c r="A7217" t="s">
        <v>12521</v>
      </c>
      <c r="B7217" t="s">
        <v>40</v>
      </c>
      <c r="C7217">
        <v>0.02</v>
      </c>
    </row>
    <row r="7218" spans="1:3" x14ac:dyDescent="0.3">
      <c r="A7218" t="s">
        <v>12624</v>
      </c>
      <c r="B7218" t="s">
        <v>29</v>
      </c>
      <c r="C7218">
        <v>0.09</v>
      </c>
    </row>
    <row r="7219" spans="1:3" x14ac:dyDescent="0.3">
      <c r="A7219" t="s">
        <v>12233</v>
      </c>
      <c r="B7219" t="s">
        <v>40</v>
      </c>
      <c r="C7219">
        <v>0.06</v>
      </c>
    </row>
    <row r="7220" spans="1:3" x14ac:dyDescent="0.3">
      <c r="A7220" t="s">
        <v>4468</v>
      </c>
      <c r="B7220" t="s">
        <v>40</v>
      </c>
      <c r="C7220">
        <v>0.09</v>
      </c>
    </row>
    <row r="7221" spans="1:3" x14ac:dyDescent="0.3">
      <c r="A7221" t="s">
        <v>4468</v>
      </c>
      <c r="B7221" t="s">
        <v>64</v>
      </c>
      <c r="C7221">
        <v>7.0000000000000007E-2</v>
      </c>
    </row>
    <row r="7222" spans="1:3" x14ac:dyDescent="0.3">
      <c r="A7222" t="s">
        <v>4468</v>
      </c>
      <c r="B7222" t="s">
        <v>87</v>
      </c>
      <c r="C7222">
        <v>0.03</v>
      </c>
    </row>
    <row r="7223" spans="1:3" x14ac:dyDescent="0.3">
      <c r="A7223" t="s">
        <v>12462</v>
      </c>
      <c r="B7223" t="s">
        <v>53</v>
      </c>
      <c r="C7223">
        <v>7.0000000000000007E-2</v>
      </c>
    </row>
    <row r="7224" spans="1:3" x14ac:dyDescent="0.3">
      <c r="A7224" t="s">
        <v>11991</v>
      </c>
      <c r="B7224" t="s">
        <v>40</v>
      </c>
      <c r="C7224">
        <v>0.09</v>
      </c>
    </row>
    <row r="7225" spans="1:3" x14ac:dyDescent="0.3">
      <c r="A7225" t="s">
        <v>13287</v>
      </c>
      <c r="B7225" t="s">
        <v>87</v>
      </c>
      <c r="C7225">
        <v>0.06</v>
      </c>
    </row>
    <row r="7226" spans="1:3" x14ac:dyDescent="0.3">
      <c r="A7226" t="s">
        <v>1627</v>
      </c>
      <c r="B7226" t="s">
        <v>87</v>
      </c>
      <c r="C7226">
        <v>0.01</v>
      </c>
    </row>
    <row r="7227" spans="1:3" x14ac:dyDescent="0.3">
      <c r="A7227" t="s">
        <v>1627</v>
      </c>
      <c r="B7227" t="s">
        <v>87</v>
      </c>
      <c r="C7227">
        <v>0.09</v>
      </c>
    </row>
    <row r="7228" spans="1:3" x14ac:dyDescent="0.3">
      <c r="A7228" t="s">
        <v>12491</v>
      </c>
      <c r="B7228" t="s">
        <v>53</v>
      </c>
      <c r="C7228">
        <v>0.1</v>
      </c>
    </row>
    <row r="7229" spans="1:3" x14ac:dyDescent="0.3">
      <c r="A7229" t="s">
        <v>13571</v>
      </c>
      <c r="B7229" t="s">
        <v>29</v>
      </c>
      <c r="C7229">
        <v>0.03</v>
      </c>
    </row>
    <row r="7230" spans="1:3" x14ac:dyDescent="0.3">
      <c r="A7230" t="s">
        <v>13571</v>
      </c>
      <c r="B7230" t="s">
        <v>29</v>
      </c>
      <c r="C7230">
        <v>0.05</v>
      </c>
    </row>
    <row r="7231" spans="1:3" x14ac:dyDescent="0.3">
      <c r="A7231" t="s">
        <v>12170</v>
      </c>
      <c r="B7231" t="s">
        <v>29</v>
      </c>
      <c r="C7231">
        <v>0.01</v>
      </c>
    </row>
    <row r="7232" spans="1:3" x14ac:dyDescent="0.3">
      <c r="A7232" t="s">
        <v>5145</v>
      </c>
      <c r="B7232" t="s">
        <v>225</v>
      </c>
      <c r="C7232">
        <v>0.09</v>
      </c>
    </row>
    <row r="7233" spans="1:3" x14ac:dyDescent="0.3">
      <c r="A7233" t="s">
        <v>13823</v>
      </c>
      <c r="B7233" t="s">
        <v>29</v>
      </c>
      <c r="C7233">
        <v>0.06</v>
      </c>
    </row>
    <row r="7234" spans="1:3" x14ac:dyDescent="0.3">
      <c r="A7234" t="s">
        <v>13823</v>
      </c>
      <c r="B7234" t="s">
        <v>29</v>
      </c>
      <c r="C7234">
        <v>7.0000000000000007E-2</v>
      </c>
    </row>
    <row r="7235" spans="1:3" x14ac:dyDescent="0.3">
      <c r="A7235" t="s">
        <v>10898</v>
      </c>
      <c r="B7235" t="s">
        <v>87</v>
      </c>
      <c r="C7235">
        <v>0.1</v>
      </c>
    </row>
    <row r="7236" spans="1:3" x14ac:dyDescent="0.3">
      <c r="A7236" t="s">
        <v>4578</v>
      </c>
      <c r="B7236" t="s">
        <v>87</v>
      </c>
      <c r="C7236">
        <v>0.02</v>
      </c>
    </row>
    <row r="7237" spans="1:3" x14ac:dyDescent="0.3">
      <c r="A7237" t="s">
        <v>4578</v>
      </c>
      <c r="B7237" t="s">
        <v>87</v>
      </c>
      <c r="C7237">
        <v>0.08</v>
      </c>
    </row>
    <row r="7238" spans="1:3" x14ac:dyDescent="0.3">
      <c r="A7238" t="s">
        <v>8083</v>
      </c>
      <c r="B7238" t="s">
        <v>53</v>
      </c>
      <c r="C7238">
        <v>0.03</v>
      </c>
    </row>
    <row r="7239" spans="1:3" x14ac:dyDescent="0.3">
      <c r="A7239" t="s">
        <v>8083</v>
      </c>
      <c r="B7239" t="s">
        <v>87</v>
      </c>
      <c r="C7239">
        <v>0.04</v>
      </c>
    </row>
    <row r="7240" spans="1:3" x14ac:dyDescent="0.3">
      <c r="A7240" t="s">
        <v>14583</v>
      </c>
      <c r="B7240" t="s">
        <v>225</v>
      </c>
      <c r="C7240">
        <v>0.09</v>
      </c>
    </row>
    <row r="7241" spans="1:3" x14ac:dyDescent="0.3">
      <c r="A7241" t="s">
        <v>14583</v>
      </c>
      <c r="B7241" t="s">
        <v>87</v>
      </c>
      <c r="C7241">
        <v>7.0000000000000007E-2</v>
      </c>
    </row>
    <row r="7242" spans="1:3" x14ac:dyDescent="0.3">
      <c r="A7242" t="s">
        <v>1640</v>
      </c>
      <c r="B7242" t="s">
        <v>87</v>
      </c>
      <c r="C7242">
        <v>0</v>
      </c>
    </row>
    <row r="7243" spans="1:3" x14ac:dyDescent="0.3">
      <c r="A7243" t="s">
        <v>5941</v>
      </c>
      <c r="B7243" t="s">
        <v>87</v>
      </c>
      <c r="C7243">
        <v>0.02</v>
      </c>
    </row>
    <row r="7244" spans="1:3" x14ac:dyDescent="0.3">
      <c r="A7244" t="s">
        <v>5941</v>
      </c>
      <c r="B7244" t="s">
        <v>87</v>
      </c>
      <c r="C7244">
        <v>0.09</v>
      </c>
    </row>
    <row r="7245" spans="1:3" x14ac:dyDescent="0.3">
      <c r="A7245" t="s">
        <v>14804</v>
      </c>
      <c r="B7245" t="s">
        <v>87</v>
      </c>
      <c r="C7245">
        <v>0.02</v>
      </c>
    </row>
    <row r="7246" spans="1:3" x14ac:dyDescent="0.3">
      <c r="A7246" t="s">
        <v>14804</v>
      </c>
      <c r="B7246" t="s">
        <v>87</v>
      </c>
      <c r="C7246">
        <v>0.06</v>
      </c>
    </row>
    <row r="7247" spans="1:3" x14ac:dyDescent="0.3">
      <c r="A7247" t="s">
        <v>15635</v>
      </c>
      <c r="B7247" t="s">
        <v>87</v>
      </c>
      <c r="C7247">
        <v>0.04</v>
      </c>
    </row>
    <row r="7248" spans="1:3" x14ac:dyDescent="0.3">
      <c r="A7248" t="s">
        <v>15635</v>
      </c>
      <c r="B7248" t="s">
        <v>87</v>
      </c>
      <c r="C7248">
        <v>0.1</v>
      </c>
    </row>
    <row r="7249" spans="1:3" x14ac:dyDescent="0.3">
      <c r="A7249" t="s">
        <v>6967</v>
      </c>
      <c r="B7249" t="s">
        <v>64</v>
      </c>
      <c r="C7249">
        <v>0.08</v>
      </c>
    </row>
    <row r="7250" spans="1:3" x14ac:dyDescent="0.3">
      <c r="A7250" t="s">
        <v>7862</v>
      </c>
      <c r="B7250" t="s">
        <v>53</v>
      </c>
      <c r="C7250">
        <v>0.05</v>
      </c>
    </row>
    <row r="7251" spans="1:3" x14ac:dyDescent="0.3">
      <c r="A7251" t="s">
        <v>10309</v>
      </c>
      <c r="B7251" t="s">
        <v>87</v>
      </c>
      <c r="C7251">
        <v>0</v>
      </c>
    </row>
    <row r="7252" spans="1:3" x14ac:dyDescent="0.3">
      <c r="A7252" t="s">
        <v>14544</v>
      </c>
      <c r="B7252" t="s">
        <v>225</v>
      </c>
      <c r="C7252">
        <v>0.02</v>
      </c>
    </row>
    <row r="7253" spans="1:3" x14ac:dyDescent="0.3">
      <c r="A7253" t="s">
        <v>9025</v>
      </c>
      <c r="B7253" t="s">
        <v>87</v>
      </c>
      <c r="C7253">
        <v>0.04</v>
      </c>
    </row>
    <row r="7254" spans="1:3" x14ac:dyDescent="0.3">
      <c r="A7254" t="s">
        <v>15630</v>
      </c>
      <c r="B7254" t="s">
        <v>87</v>
      </c>
      <c r="C7254">
        <v>0.01</v>
      </c>
    </row>
    <row r="7255" spans="1:3" x14ac:dyDescent="0.3">
      <c r="A7255" t="s">
        <v>1661</v>
      </c>
      <c r="B7255" t="s">
        <v>87</v>
      </c>
      <c r="C7255">
        <v>0</v>
      </c>
    </row>
    <row r="7256" spans="1:3" x14ac:dyDescent="0.3">
      <c r="A7256" t="s">
        <v>4691</v>
      </c>
      <c r="B7256" t="s">
        <v>29</v>
      </c>
      <c r="C7256">
        <v>0.08</v>
      </c>
    </row>
    <row r="7257" spans="1:3" x14ac:dyDescent="0.3">
      <c r="A7257" t="s">
        <v>4691</v>
      </c>
      <c r="B7257" t="s">
        <v>87</v>
      </c>
      <c r="C7257">
        <v>0.04</v>
      </c>
    </row>
    <row r="7258" spans="1:3" x14ac:dyDescent="0.3">
      <c r="A7258" t="s">
        <v>1701</v>
      </c>
      <c r="B7258" t="s">
        <v>64</v>
      </c>
      <c r="C7258">
        <v>7.0000000000000007E-2</v>
      </c>
    </row>
    <row r="7259" spans="1:3" x14ac:dyDescent="0.3">
      <c r="A7259" t="s">
        <v>1701</v>
      </c>
      <c r="B7259" t="s">
        <v>29</v>
      </c>
      <c r="C7259">
        <v>0.06</v>
      </c>
    </row>
    <row r="7260" spans="1:3" x14ac:dyDescent="0.3">
      <c r="A7260" t="s">
        <v>9869</v>
      </c>
      <c r="B7260" t="s">
        <v>40</v>
      </c>
      <c r="C7260">
        <v>0</v>
      </c>
    </row>
    <row r="7261" spans="1:3" x14ac:dyDescent="0.3">
      <c r="A7261" t="s">
        <v>9869</v>
      </c>
      <c r="B7261" t="s">
        <v>64</v>
      </c>
      <c r="C7261">
        <v>0.05</v>
      </c>
    </row>
    <row r="7262" spans="1:3" x14ac:dyDescent="0.3">
      <c r="A7262" t="s">
        <v>1671</v>
      </c>
      <c r="B7262" t="s">
        <v>87</v>
      </c>
      <c r="C7262">
        <v>0.03</v>
      </c>
    </row>
    <row r="7263" spans="1:3" x14ac:dyDescent="0.3">
      <c r="A7263" t="s">
        <v>1671</v>
      </c>
      <c r="B7263" t="s">
        <v>87</v>
      </c>
      <c r="C7263">
        <v>0.09</v>
      </c>
    </row>
    <row r="7264" spans="1:3" x14ac:dyDescent="0.3">
      <c r="A7264" t="s">
        <v>9555</v>
      </c>
      <c r="B7264" t="s">
        <v>225</v>
      </c>
      <c r="C7264">
        <v>0.05</v>
      </c>
    </row>
    <row r="7265" spans="1:3" x14ac:dyDescent="0.3">
      <c r="A7265" t="s">
        <v>12370</v>
      </c>
      <c r="B7265" t="s">
        <v>225</v>
      </c>
      <c r="C7265">
        <v>0.05</v>
      </c>
    </row>
    <row r="7266" spans="1:3" x14ac:dyDescent="0.3">
      <c r="A7266" t="s">
        <v>6683</v>
      </c>
      <c r="B7266" t="s">
        <v>29</v>
      </c>
      <c r="C7266">
        <v>7.0000000000000007E-2</v>
      </c>
    </row>
    <row r="7267" spans="1:3" x14ac:dyDescent="0.3">
      <c r="A7267" t="s">
        <v>8530</v>
      </c>
      <c r="B7267" t="s">
        <v>225</v>
      </c>
      <c r="C7267">
        <v>0.06</v>
      </c>
    </row>
    <row r="7268" spans="1:3" x14ac:dyDescent="0.3">
      <c r="A7268" t="s">
        <v>8530</v>
      </c>
      <c r="B7268" t="s">
        <v>53</v>
      </c>
      <c r="C7268">
        <v>0.02</v>
      </c>
    </row>
    <row r="7269" spans="1:3" x14ac:dyDescent="0.3">
      <c r="A7269" t="s">
        <v>8530</v>
      </c>
      <c r="B7269" t="s">
        <v>87</v>
      </c>
      <c r="C7269">
        <v>0.06</v>
      </c>
    </row>
    <row r="7270" spans="1:3" x14ac:dyDescent="0.3">
      <c r="A7270" t="s">
        <v>13835</v>
      </c>
      <c r="B7270" t="s">
        <v>225</v>
      </c>
      <c r="C7270">
        <v>0</v>
      </c>
    </row>
    <row r="7271" spans="1:3" x14ac:dyDescent="0.3">
      <c r="A7271" t="s">
        <v>7966</v>
      </c>
      <c r="B7271" t="s">
        <v>64</v>
      </c>
      <c r="C7271">
        <v>0.04</v>
      </c>
    </row>
    <row r="7272" spans="1:3" x14ac:dyDescent="0.3">
      <c r="A7272" t="s">
        <v>7966</v>
      </c>
      <c r="B7272" t="s">
        <v>64</v>
      </c>
      <c r="C7272">
        <v>0.08</v>
      </c>
    </row>
    <row r="7273" spans="1:3" x14ac:dyDescent="0.3">
      <c r="A7273" t="s">
        <v>7966</v>
      </c>
      <c r="B7273" t="s">
        <v>87</v>
      </c>
      <c r="C7273">
        <v>0</v>
      </c>
    </row>
    <row r="7274" spans="1:3" x14ac:dyDescent="0.3">
      <c r="A7274" t="s">
        <v>5927</v>
      </c>
      <c r="B7274" t="s">
        <v>64</v>
      </c>
      <c r="C7274">
        <v>0.09</v>
      </c>
    </row>
    <row r="7275" spans="1:3" x14ac:dyDescent="0.3">
      <c r="A7275" t="s">
        <v>6331</v>
      </c>
      <c r="B7275" t="s">
        <v>29</v>
      </c>
      <c r="C7275">
        <v>0.03</v>
      </c>
    </row>
    <row r="7276" spans="1:3" x14ac:dyDescent="0.3">
      <c r="A7276" t="s">
        <v>6145</v>
      </c>
      <c r="B7276" t="s">
        <v>29</v>
      </c>
      <c r="C7276">
        <v>7.0000000000000007E-2</v>
      </c>
    </row>
    <row r="7277" spans="1:3" x14ac:dyDescent="0.3">
      <c r="A7277" t="s">
        <v>2810</v>
      </c>
      <c r="B7277" t="s">
        <v>53</v>
      </c>
      <c r="C7277">
        <v>0.02</v>
      </c>
    </row>
    <row r="7278" spans="1:3" x14ac:dyDescent="0.3">
      <c r="A7278" t="s">
        <v>12839</v>
      </c>
      <c r="B7278" t="s">
        <v>29</v>
      </c>
      <c r="C7278">
        <v>0.04</v>
      </c>
    </row>
    <row r="7279" spans="1:3" x14ac:dyDescent="0.3">
      <c r="A7279" t="s">
        <v>15619</v>
      </c>
      <c r="B7279" t="s">
        <v>29</v>
      </c>
      <c r="C7279">
        <v>0.03</v>
      </c>
    </row>
    <row r="7280" spans="1:3" x14ac:dyDescent="0.3">
      <c r="A7280" t="s">
        <v>8900</v>
      </c>
      <c r="B7280" t="s">
        <v>29</v>
      </c>
      <c r="C7280">
        <v>0.09</v>
      </c>
    </row>
    <row r="7281" spans="1:3" x14ac:dyDescent="0.3">
      <c r="A7281" t="s">
        <v>13876</v>
      </c>
      <c r="B7281" t="s">
        <v>29</v>
      </c>
      <c r="C7281">
        <v>0.08</v>
      </c>
    </row>
    <row r="7282" spans="1:3" x14ac:dyDescent="0.3">
      <c r="A7282" t="s">
        <v>11069</v>
      </c>
      <c r="B7282" t="s">
        <v>87</v>
      </c>
      <c r="C7282">
        <v>0.03</v>
      </c>
    </row>
    <row r="7283" spans="1:3" x14ac:dyDescent="0.3">
      <c r="A7283" t="s">
        <v>14100</v>
      </c>
      <c r="B7283" t="s">
        <v>29</v>
      </c>
      <c r="C7283">
        <v>0</v>
      </c>
    </row>
    <row r="7284" spans="1:3" x14ac:dyDescent="0.3">
      <c r="A7284" t="s">
        <v>14100</v>
      </c>
      <c r="B7284" t="s">
        <v>29</v>
      </c>
      <c r="C7284">
        <v>0.09</v>
      </c>
    </row>
    <row r="7285" spans="1:3" x14ac:dyDescent="0.3">
      <c r="A7285" t="s">
        <v>10202</v>
      </c>
      <c r="B7285" t="s">
        <v>87</v>
      </c>
      <c r="C7285">
        <v>7.0000000000000007E-2</v>
      </c>
    </row>
    <row r="7286" spans="1:3" x14ac:dyDescent="0.3">
      <c r="A7286" t="s">
        <v>5895</v>
      </c>
      <c r="B7286" t="s">
        <v>40</v>
      </c>
      <c r="C7286">
        <v>0.06</v>
      </c>
    </row>
    <row r="7287" spans="1:3" x14ac:dyDescent="0.3">
      <c r="A7287" t="s">
        <v>1738</v>
      </c>
      <c r="B7287" t="s">
        <v>40</v>
      </c>
      <c r="C7287">
        <v>0</v>
      </c>
    </row>
    <row r="7288" spans="1:3" x14ac:dyDescent="0.3">
      <c r="A7288" t="s">
        <v>1738</v>
      </c>
      <c r="B7288" t="s">
        <v>40</v>
      </c>
      <c r="C7288">
        <v>0.02</v>
      </c>
    </row>
    <row r="7289" spans="1:3" x14ac:dyDescent="0.3">
      <c r="A7289" t="s">
        <v>1738</v>
      </c>
      <c r="B7289" t="s">
        <v>40</v>
      </c>
      <c r="C7289">
        <v>0.08</v>
      </c>
    </row>
    <row r="7290" spans="1:3" x14ac:dyDescent="0.3">
      <c r="A7290" t="s">
        <v>1738</v>
      </c>
      <c r="B7290" t="s">
        <v>40</v>
      </c>
      <c r="C7290">
        <v>0.1</v>
      </c>
    </row>
    <row r="7291" spans="1:3" x14ac:dyDescent="0.3">
      <c r="A7291" t="s">
        <v>1750</v>
      </c>
      <c r="B7291" t="s">
        <v>29</v>
      </c>
      <c r="C7291">
        <v>0.01</v>
      </c>
    </row>
    <row r="7292" spans="1:3" x14ac:dyDescent="0.3">
      <c r="A7292" t="s">
        <v>1750</v>
      </c>
      <c r="B7292" t="s">
        <v>29</v>
      </c>
      <c r="C7292">
        <v>0.06</v>
      </c>
    </row>
    <row r="7293" spans="1:3" x14ac:dyDescent="0.3">
      <c r="A7293" t="s">
        <v>12847</v>
      </c>
      <c r="B7293" t="s">
        <v>29</v>
      </c>
      <c r="C7293">
        <v>0.06</v>
      </c>
    </row>
    <row r="7294" spans="1:3" x14ac:dyDescent="0.3">
      <c r="A7294" t="s">
        <v>5766</v>
      </c>
      <c r="B7294" t="s">
        <v>29</v>
      </c>
      <c r="C7294">
        <v>0.08</v>
      </c>
    </row>
    <row r="7295" spans="1:3" x14ac:dyDescent="0.3">
      <c r="A7295" t="s">
        <v>11354</v>
      </c>
      <c r="B7295" t="s">
        <v>64</v>
      </c>
      <c r="C7295">
        <v>0.01</v>
      </c>
    </row>
    <row r="7296" spans="1:3" x14ac:dyDescent="0.3">
      <c r="A7296" t="s">
        <v>1764</v>
      </c>
      <c r="B7296" t="s">
        <v>64</v>
      </c>
      <c r="C7296">
        <v>0.06</v>
      </c>
    </row>
    <row r="7297" spans="1:3" x14ac:dyDescent="0.3">
      <c r="A7297" t="s">
        <v>6627</v>
      </c>
      <c r="B7297" t="s">
        <v>64</v>
      </c>
      <c r="C7297">
        <v>7.0000000000000007E-2</v>
      </c>
    </row>
    <row r="7298" spans="1:3" x14ac:dyDescent="0.3">
      <c r="A7298" t="s">
        <v>6713</v>
      </c>
      <c r="B7298" t="s">
        <v>29</v>
      </c>
      <c r="C7298">
        <v>0</v>
      </c>
    </row>
    <row r="7299" spans="1:3" x14ac:dyDescent="0.3">
      <c r="A7299" t="s">
        <v>6713</v>
      </c>
      <c r="B7299" t="s">
        <v>29</v>
      </c>
      <c r="C7299">
        <v>0.06</v>
      </c>
    </row>
    <row r="7300" spans="1:3" x14ac:dyDescent="0.3">
      <c r="A7300" t="s">
        <v>13369</v>
      </c>
      <c r="B7300" t="s">
        <v>225</v>
      </c>
      <c r="C7300">
        <v>0.09</v>
      </c>
    </row>
    <row r="7301" spans="1:3" x14ac:dyDescent="0.3">
      <c r="A7301" t="s">
        <v>13369</v>
      </c>
      <c r="B7301" t="s">
        <v>29</v>
      </c>
      <c r="C7301">
        <v>0.08</v>
      </c>
    </row>
    <row r="7302" spans="1:3" x14ac:dyDescent="0.3">
      <c r="A7302" t="s">
        <v>11852</v>
      </c>
      <c r="B7302" t="s">
        <v>40</v>
      </c>
      <c r="C7302">
        <v>0.02</v>
      </c>
    </row>
    <row r="7303" spans="1:3" x14ac:dyDescent="0.3">
      <c r="A7303" t="s">
        <v>11852</v>
      </c>
      <c r="B7303" t="s">
        <v>40</v>
      </c>
      <c r="C7303">
        <v>7.0000000000000007E-2</v>
      </c>
    </row>
    <row r="7304" spans="1:3" x14ac:dyDescent="0.3">
      <c r="A7304" t="s">
        <v>9578</v>
      </c>
      <c r="B7304" t="s">
        <v>40</v>
      </c>
      <c r="C7304">
        <v>0.05</v>
      </c>
    </row>
    <row r="7305" spans="1:3" x14ac:dyDescent="0.3">
      <c r="A7305" t="s">
        <v>3497</v>
      </c>
      <c r="B7305" t="s">
        <v>53</v>
      </c>
      <c r="C7305">
        <v>0.04</v>
      </c>
    </row>
    <row r="7306" spans="1:3" x14ac:dyDescent="0.3">
      <c r="A7306" t="s">
        <v>13959</v>
      </c>
      <c r="B7306" t="s">
        <v>40</v>
      </c>
      <c r="C7306">
        <v>0.05</v>
      </c>
    </row>
    <row r="7307" spans="1:3" x14ac:dyDescent="0.3">
      <c r="A7307" t="s">
        <v>1776</v>
      </c>
      <c r="B7307" t="s">
        <v>53</v>
      </c>
      <c r="C7307">
        <v>0.08</v>
      </c>
    </row>
    <row r="7308" spans="1:3" x14ac:dyDescent="0.3">
      <c r="A7308" t="s">
        <v>15433</v>
      </c>
      <c r="B7308" t="s">
        <v>225</v>
      </c>
      <c r="C7308">
        <v>0.01</v>
      </c>
    </row>
    <row r="7309" spans="1:3" x14ac:dyDescent="0.3">
      <c r="A7309" t="s">
        <v>15433</v>
      </c>
      <c r="B7309" t="s">
        <v>225</v>
      </c>
      <c r="C7309">
        <v>0.05</v>
      </c>
    </row>
    <row r="7310" spans="1:3" x14ac:dyDescent="0.3">
      <c r="A7310" t="s">
        <v>11731</v>
      </c>
      <c r="B7310" t="s">
        <v>87</v>
      </c>
      <c r="C7310">
        <v>0.04</v>
      </c>
    </row>
    <row r="7311" spans="1:3" x14ac:dyDescent="0.3">
      <c r="A7311" t="s">
        <v>6430</v>
      </c>
      <c r="B7311" t="s">
        <v>87</v>
      </c>
      <c r="C7311">
        <v>0.04</v>
      </c>
    </row>
    <row r="7312" spans="1:3" x14ac:dyDescent="0.3">
      <c r="A7312" t="s">
        <v>8685</v>
      </c>
      <c r="B7312" t="s">
        <v>87</v>
      </c>
      <c r="C7312">
        <v>0.1</v>
      </c>
    </row>
    <row r="7313" spans="1:3" x14ac:dyDescent="0.3">
      <c r="A7313" t="s">
        <v>8374</v>
      </c>
      <c r="B7313" t="s">
        <v>87</v>
      </c>
      <c r="C7313">
        <v>0</v>
      </c>
    </row>
    <row r="7314" spans="1:3" x14ac:dyDescent="0.3">
      <c r="A7314" t="s">
        <v>8374</v>
      </c>
      <c r="B7314" t="s">
        <v>87</v>
      </c>
      <c r="C7314">
        <v>0.06</v>
      </c>
    </row>
    <row r="7315" spans="1:3" x14ac:dyDescent="0.3">
      <c r="A7315" t="s">
        <v>10254</v>
      </c>
      <c r="B7315" t="s">
        <v>87</v>
      </c>
      <c r="C7315">
        <v>0.04</v>
      </c>
    </row>
    <row r="7316" spans="1:3" x14ac:dyDescent="0.3">
      <c r="A7316" t="s">
        <v>7112</v>
      </c>
      <c r="B7316" t="s">
        <v>87</v>
      </c>
      <c r="C7316">
        <v>0</v>
      </c>
    </row>
    <row r="7317" spans="1:3" x14ac:dyDescent="0.3">
      <c r="A7317" t="s">
        <v>4768</v>
      </c>
      <c r="B7317" t="s">
        <v>53</v>
      </c>
      <c r="C7317">
        <v>0.01</v>
      </c>
    </row>
    <row r="7318" spans="1:3" x14ac:dyDescent="0.3">
      <c r="A7318" t="s">
        <v>4604</v>
      </c>
      <c r="B7318" t="s">
        <v>225</v>
      </c>
      <c r="C7318">
        <v>0.03</v>
      </c>
    </row>
    <row r="7319" spans="1:3" x14ac:dyDescent="0.3">
      <c r="A7319" t="s">
        <v>4604</v>
      </c>
      <c r="B7319" t="s">
        <v>225</v>
      </c>
      <c r="C7319">
        <v>0.1</v>
      </c>
    </row>
    <row r="7320" spans="1:3" x14ac:dyDescent="0.3">
      <c r="A7320" t="s">
        <v>9234</v>
      </c>
      <c r="B7320" t="s">
        <v>29</v>
      </c>
      <c r="C7320">
        <v>7.0000000000000007E-2</v>
      </c>
    </row>
    <row r="7321" spans="1:3" x14ac:dyDescent="0.3">
      <c r="A7321" t="s">
        <v>12720</v>
      </c>
      <c r="B7321" t="s">
        <v>29</v>
      </c>
      <c r="C7321">
        <v>0.05</v>
      </c>
    </row>
    <row r="7322" spans="1:3" x14ac:dyDescent="0.3">
      <c r="A7322" t="s">
        <v>14811</v>
      </c>
      <c r="B7322" t="s">
        <v>87</v>
      </c>
      <c r="C7322">
        <v>0</v>
      </c>
    </row>
    <row r="7323" spans="1:3" x14ac:dyDescent="0.3">
      <c r="A7323" t="s">
        <v>15378</v>
      </c>
      <c r="B7323" t="s">
        <v>29</v>
      </c>
      <c r="C7323">
        <v>0.02</v>
      </c>
    </row>
    <row r="7324" spans="1:3" x14ac:dyDescent="0.3">
      <c r="A7324" t="s">
        <v>14653</v>
      </c>
      <c r="B7324" t="s">
        <v>29</v>
      </c>
      <c r="C7324">
        <v>0.02</v>
      </c>
    </row>
    <row r="7325" spans="1:3" x14ac:dyDescent="0.3">
      <c r="A7325" t="s">
        <v>9923</v>
      </c>
      <c r="B7325" t="s">
        <v>87</v>
      </c>
      <c r="C7325">
        <v>0.01</v>
      </c>
    </row>
    <row r="7326" spans="1:3" x14ac:dyDescent="0.3">
      <c r="A7326" t="s">
        <v>13279</v>
      </c>
      <c r="B7326" t="s">
        <v>40</v>
      </c>
      <c r="C7326">
        <v>0.06</v>
      </c>
    </row>
    <row r="7327" spans="1:3" x14ac:dyDescent="0.3">
      <c r="A7327" t="s">
        <v>6874</v>
      </c>
      <c r="B7327" t="s">
        <v>87</v>
      </c>
      <c r="C7327">
        <v>0.05</v>
      </c>
    </row>
    <row r="7328" spans="1:3" x14ac:dyDescent="0.3">
      <c r="A7328" t="s">
        <v>12746</v>
      </c>
      <c r="B7328" t="s">
        <v>64</v>
      </c>
      <c r="C7328">
        <v>0</v>
      </c>
    </row>
    <row r="7329" spans="1:3" x14ac:dyDescent="0.3">
      <c r="A7329" t="s">
        <v>12746</v>
      </c>
      <c r="B7329" t="s">
        <v>64</v>
      </c>
      <c r="C7329">
        <v>7.0000000000000007E-2</v>
      </c>
    </row>
    <row r="7330" spans="1:3" x14ac:dyDescent="0.3">
      <c r="A7330" t="s">
        <v>13717</v>
      </c>
      <c r="B7330" t="s">
        <v>87</v>
      </c>
      <c r="C7330">
        <v>0</v>
      </c>
    </row>
    <row r="7331" spans="1:3" x14ac:dyDescent="0.3">
      <c r="A7331" t="s">
        <v>13717</v>
      </c>
      <c r="B7331" t="s">
        <v>87</v>
      </c>
      <c r="C7331">
        <v>0.05</v>
      </c>
    </row>
    <row r="7332" spans="1:3" x14ac:dyDescent="0.3">
      <c r="A7332" t="s">
        <v>14978</v>
      </c>
      <c r="B7332" t="s">
        <v>87</v>
      </c>
      <c r="C7332">
        <v>0.05</v>
      </c>
    </row>
    <row r="7333" spans="1:3" x14ac:dyDescent="0.3">
      <c r="A7333" t="s">
        <v>9955</v>
      </c>
      <c r="B7333" t="s">
        <v>29</v>
      </c>
      <c r="C7333">
        <v>0</v>
      </c>
    </row>
    <row r="7334" spans="1:3" x14ac:dyDescent="0.3">
      <c r="A7334" t="s">
        <v>14074</v>
      </c>
      <c r="B7334" t="s">
        <v>87</v>
      </c>
      <c r="C7334">
        <v>0.02</v>
      </c>
    </row>
    <row r="7335" spans="1:3" x14ac:dyDescent="0.3">
      <c r="A7335" t="s">
        <v>9894</v>
      </c>
      <c r="B7335" t="s">
        <v>40</v>
      </c>
      <c r="C7335">
        <v>0.04</v>
      </c>
    </row>
    <row r="7336" spans="1:3" x14ac:dyDescent="0.3">
      <c r="A7336" t="s">
        <v>9894</v>
      </c>
      <c r="B7336" t="s">
        <v>40</v>
      </c>
      <c r="C7336">
        <v>0.05</v>
      </c>
    </row>
    <row r="7337" spans="1:3" x14ac:dyDescent="0.3">
      <c r="A7337" t="s">
        <v>6829</v>
      </c>
      <c r="B7337" t="s">
        <v>53</v>
      </c>
      <c r="C7337">
        <v>0.02</v>
      </c>
    </row>
    <row r="7338" spans="1:3" x14ac:dyDescent="0.3">
      <c r="A7338" t="s">
        <v>6829</v>
      </c>
      <c r="B7338" t="s">
        <v>53</v>
      </c>
      <c r="C7338">
        <v>0.06</v>
      </c>
    </row>
    <row r="7339" spans="1:3" x14ac:dyDescent="0.3">
      <c r="A7339" t="s">
        <v>14265</v>
      </c>
      <c r="B7339" t="s">
        <v>40</v>
      </c>
      <c r="C7339">
        <v>0.02</v>
      </c>
    </row>
    <row r="7340" spans="1:3" x14ac:dyDescent="0.3">
      <c r="A7340" t="s">
        <v>10235</v>
      </c>
      <c r="B7340" t="s">
        <v>40</v>
      </c>
      <c r="C7340">
        <v>0.09</v>
      </c>
    </row>
    <row r="7341" spans="1:3" x14ac:dyDescent="0.3">
      <c r="A7341" t="s">
        <v>8354</v>
      </c>
      <c r="B7341" t="s">
        <v>64</v>
      </c>
      <c r="C7341">
        <v>7.0000000000000007E-2</v>
      </c>
    </row>
    <row r="7342" spans="1:3" x14ac:dyDescent="0.3">
      <c r="A7342" t="s">
        <v>14502</v>
      </c>
      <c r="B7342" t="s">
        <v>29</v>
      </c>
      <c r="C7342">
        <v>0.08</v>
      </c>
    </row>
    <row r="7343" spans="1:3" x14ac:dyDescent="0.3">
      <c r="A7343" t="s">
        <v>12802</v>
      </c>
      <c r="B7343" t="s">
        <v>225</v>
      </c>
      <c r="C7343">
        <v>7.0000000000000007E-2</v>
      </c>
    </row>
    <row r="7344" spans="1:3" x14ac:dyDescent="0.3">
      <c r="A7344" t="s">
        <v>8441</v>
      </c>
      <c r="B7344" t="s">
        <v>64</v>
      </c>
      <c r="C7344">
        <v>0.05</v>
      </c>
    </row>
    <row r="7345" spans="1:3" x14ac:dyDescent="0.3">
      <c r="A7345" t="s">
        <v>8441</v>
      </c>
      <c r="B7345" t="s">
        <v>64</v>
      </c>
      <c r="C7345">
        <v>0.06</v>
      </c>
    </row>
    <row r="7346" spans="1:3" x14ac:dyDescent="0.3">
      <c r="A7346" t="s">
        <v>10779</v>
      </c>
      <c r="B7346" t="s">
        <v>29</v>
      </c>
      <c r="C7346">
        <v>0</v>
      </c>
    </row>
    <row r="7347" spans="1:3" x14ac:dyDescent="0.3">
      <c r="A7347" t="s">
        <v>12629</v>
      </c>
      <c r="B7347" t="s">
        <v>64</v>
      </c>
      <c r="C7347">
        <v>0.01</v>
      </c>
    </row>
    <row r="7348" spans="1:3" x14ac:dyDescent="0.3">
      <c r="A7348" t="s">
        <v>2275</v>
      </c>
      <c r="B7348" t="s">
        <v>87</v>
      </c>
      <c r="C7348">
        <v>0.1</v>
      </c>
    </row>
    <row r="7349" spans="1:3" x14ac:dyDescent="0.3">
      <c r="A7349" t="s">
        <v>8510</v>
      </c>
      <c r="B7349" t="s">
        <v>29</v>
      </c>
      <c r="C7349">
        <v>0.06</v>
      </c>
    </row>
    <row r="7350" spans="1:3" x14ac:dyDescent="0.3">
      <c r="A7350" t="s">
        <v>8510</v>
      </c>
      <c r="B7350" t="s">
        <v>29</v>
      </c>
      <c r="C7350">
        <v>0.09</v>
      </c>
    </row>
    <row r="7351" spans="1:3" x14ac:dyDescent="0.3">
      <c r="A7351" t="s">
        <v>15621</v>
      </c>
      <c r="B7351" t="s">
        <v>87</v>
      </c>
      <c r="C7351">
        <v>0.1</v>
      </c>
    </row>
    <row r="7352" spans="1:3" x14ac:dyDescent="0.3">
      <c r="A7352" t="s">
        <v>10535</v>
      </c>
      <c r="B7352" t="s">
        <v>64</v>
      </c>
      <c r="C7352">
        <v>0.03</v>
      </c>
    </row>
    <row r="7353" spans="1:3" x14ac:dyDescent="0.3">
      <c r="A7353" t="s">
        <v>10535</v>
      </c>
      <c r="B7353" t="s">
        <v>87</v>
      </c>
      <c r="C7353">
        <v>0.01</v>
      </c>
    </row>
    <row r="7354" spans="1:3" x14ac:dyDescent="0.3">
      <c r="A7354" t="s">
        <v>6816</v>
      </c>
      <c r="B7354" t="s">
        <v>40</v>
      </c>
      <c r="C7354">
        <v>0.08</v>
      </c>
    </row>
    <row r="7355" spans="1:3" x14ac:dyDescent="0.3">
      <c r="A7355" t="s">
        <v>6816</v>
      </c>
      <c r="B7355" t="s">
        <v>53</v>
      </c>
      <c r="C7355">
        <v>0.09</v>
      </c>
    </row>
    <row r="7356" spans="1:3" x14ac:dyDescent="0.3">
      <c r="A7356" t="s">
        <v>12017</v>
      </c>
      <c r="B7356" t="s">
        <v>87</v>
      </c>
      <c r="C7356">
        <v>0.01</v>
      </c>
    </row>
    <row r="7357" spans="1:3" x14ac:dyDescent="0.3">
      <c r="A7357" t="s">
        <v>14967</v>
      </c>
      <c r="B7357" t="s">
        <v>87</v>
      </c>
      <c r="C7357">
        <v>0.09</v>
      </c>
    </row>
    <row r="7358" spans="1:3" x14ac:dyDescent="0.3">
      <c r="A7358" t="s">
        <v>10168</v>
      </c>
      <c r="B7358" t="s">
        <v>87</v>
      </c>
      <c r="C7358">
        <v>0.01</v>
      </c>
    </row>
    <row r="7359" spans="1:3" x14ac:dyDescent="0.3">
      <c r="A7359" t="s">
        <v>10168</v>
      </c>
      <c r="B7359" t="s">
        <v>87</v>
      </c>
      <c r="C7359">
        <v>0.06</v>
      </c>
    </row>
    <row r="7360" spans="1:3" x14ac:dyDescent="0.3">
      <c r="A7360" t="s">
        <v>8756</v>
      </c>
      <c r="B7360" t="s">
        <v>53</v>
      </c>
      <c r="C7360">
        <v>7.0000000000000007E-2</v>
      </c>
    </row>
    <row r="7361" spans="1:3" x14ac:dyDescent="0.3">
      <c r="A7361" t="s">
        <v>7282</v>
      </c>
      <c r="B7361" t="s">
        <v>53</v>
      </c>
      <c r="C7361">
        <v>0.1</v>
      </c>
    </row>
    <row r="7362" spans="1:3" x14ac:dyDescent="0.3">
      <c r="A7362" t="s">
        <v>12784</v>
      </c>
      <c r="B7362" t="s">
        <v>87</v>
      </c>
      <c r="C7362">
        <v>7.0000000000000007E-2</v>
      </c>
    </row>
    <row r="7363" spans="1:3" x14ac:dyDescent="0.3">
      <c r="A7363" t="s">
        <v>1876</v>
      </c>
      <c r="B7363" t="s">
        <v>225</v>
      </c>
      <c r="C7363">
        <v>0.06</v>
      </c>
    </row>
    <row r="7364" spans="1:3" x14ac:dyDescent="0.3">
      <c r="A7364" t="s">
        <v>3158</v>
      </c>
      <c r="B7364" t="s">
        <v>29</v>
      </c>
      <c r="C7364">
        <v>0.01</v>
      </c>
    </row>
    <row r="7365" spans="1:3" x14ac:dyDescent="0.3">
      <c r="A7365" t="s">
        <v>3158</v>
      </c>
      <c r="B7365" t="s">
        <v>29</v>
      </c>
      <c r="C7365">
        <v>0.04</v>
      </c>
    </row>
    <row r="7366" spans="1:3" x14ac:dyDescent="0.3">
      <c r="A7366" t="s">
        <v>1882</v>
      </c>
      <c r="B7366" t="s">
        <v>29</v>
      </c>
      <c r="C7366">
        <v>0.04</v>
      </c>
    </row>
    <row r="7367" spans="1:3" x14ac:dyDescent="0.3">
      <c r="A7367" t="s">
        <v>12701</v>
      </c>
      <c r="B7367" t="s">
        <v>225</v>
      </c>
      <c r="C7367">
        <v>0.08</v>
      </c>
    </row>
    <row r="7368" spans="1:3" x14ac:dyDescent="0.3">
      <c r="A7368" t="s">
        <v>7487</v>
      </c>
      <c r="B7368" t="s">
        <v>29</v>
      </c>
      <c r="C7368">
        <v>0.06</v>
      </c>
    </row>
    <row r="7369" spans="1:3" x14ac:dyDescent="0.3">
      <c r="A7369" t="s">
        <v>12221</v>
      </c>
      <c r="B7369" t="s">
        <v>40</v>
      </c>
      <c r="C7369">
        <v>0</v>
      </c>
    </row>
    <row r="7370" spans="1:3" x14ac:dyDescent="0.3">
      <c r="A7370" t="s">
        <v>12389</v>
      </c>
      <c r="B7370" t="s">
        <v>40</v>
      </c>
      <c r="C7370">
        <v>0.1</v>
      </c>
    </row>
    <row r="7371" spans="1:3" x14ac:dyDescent="0.3">
      <c r="A7371" t="s">
        <v>8522</v>
      </c>
      <c r="B7371" t="s">
        <v>40</v>
      </c>
      <c r="C7371">
        <v>0.06</v>
      </c>
    </row>
    <row r="7372" spans="1:3" x14ac:dyDescent="0.3">
      <c r="A7372" t="s">
        <v>10724</v>
      </c>
      <c r="B7372" t="s">
        <v>40</v>
      </c>
      <c r="C7372">
        <v>7.0000000000000007E-2</v>
      </c>
    </row>
    <row r="7373" spans="1:3" x14ac:dyDescent="0.3">
      <c r="A7373" t="s">
        <v>10724</v>
      </c>
      <c r="B7373" t="s">
        <v>40</v>
      </c>
      <c r="C7373">
        <v>0.09</v>
      </c>
    </row>
    <row r="7374" spans="1:3" x14ac:dyDescent="0.3">
      <c r="A7374" t="s">
        <v>9030</v>
      </c>
      <c r="B7374" t="s">
        <v>40</v>
      </c>
      <c r="C7374">
        <v>0</v>
      </c>
    </row>
    <row r="7375" spans="1:3" x14ac:dyDescent="0.3">
      <c r="A7375" t="s">
        <v>7367</v>
      </c>
      <c r="B7375" t="s">
        <v>87</v>
      </c>
      <c r="C7375">
        <v>0</v>
      </c>
    </row>
    <row r="7376" spans="1:3" x14ac:dyDescent="0.3">
      <c r="A7376" t="s">
        <v>7367</v>
      </c>
      <c r="B7376" t="s">
        <v>87</v>
      </c>
      <c r="C7376">
        <v>0.1</v>
      </c>
    </row>
    <row r="7377" spans="1:3" x14ac:dyDescent="0.3">
      <c r="A7377" t="s">
        <v>14654</v>
      </c>
      <c r="B7377" t="s">
        <v>53</v>
      </c>
      <c r="C7377">
        <v>0.09</v>
      </c>
    </row>
    <row r="7378" spans="1:3" x14ac:dyDescent="0.3">
      <c r="A7378" t="s">
        <v>12190</v>
      </c>
      <c r="B7378" t="s">
        <v>53</v>
      </c>
      <c r="C7378">
        <v>0.1</v>
      </c>
    </row>
    <row r="7379" spans="1:3" x14ac:dyDescent="0.3">
      <c r="A7379" t="s">
        <v>1905</v>
      </c>
      <c r="B7379" t="s">
        <v>40</v>
      </c>
      <c r="C7379">
        <v>0.02</v>
      </c>
    </row>
    <row r="7380" spans="1:3" x14ac:dyDescent="0.3">
      <c r="A7380" t="s">
        <v>1905</v>
      </c>
      <c r="B7380" t="s">
        <v>40</v>
      </c>
      <c r="C7380">
        <v>0.04</v>
      </c>
    </row>
    <row r="7381" spans="1:3" x14ac:dyDescent="0.3">
      <c r="A7381" t="s">
        <v>1905</v>
      </c>
      <c r="B7381" t="s">
        <v>40</v>
      </c>
      <c r="C7381">
        <v>0.08</v>
      </c>
    </row>
    <row r="7382" spans="1:3" x14ac:dyDescent="0.3">
      <c r="A7382" t="s">
        <v>6827</v>
      </c>
      <c r="B7382" t="s">
        <v>87</v>
      </c>
      <c r="C7382">
        <v>0.05</v>
      </c>
    </row>
    <row r="7383" spans="1:3" x14ac:dyDescent="0.3">
      <c r="A7383" t="s">
        <v>11166</v>
      </c>
      <c r="B7383" t="s">
        <v>53</v>
      </c>
      <c r="C7383">
        <v>0.03</v>
      </c>
    </row>
    <row r="7384" spans="1:3" x14ac:dyDescent="0.3">
      <c r="A7384" t="s">
        <v>10978</v>
      </c>
      <c r="B7384" t="s">
        <v>53</v>
      </c>
      <c r="C7384">
        <v>0</v>
      </c>
    </row>
    <row r="7385" spans="1:3" x14ac:dyDescent="0.3">
      <c r="A7385" t="s">
        <v>10095</v>
      </c>
      <c r="B7385" t="s">
        <v>53</v>
      </c>
      <c r="C7385">
        <v>0.1</v>
      </c>
    </row>
    <row r="7386" spans="1:3" x14ac:dyDescent="0.3">
      <c r="A7386" t="s">
        <v>6270</v>
      </c>
      <c r="B7386" t="s">
        <v>87</v>
      </c>
      <c r="C7386">
        <v>0.04</v>
      </c>
    </row>
    <row r="7387" spans="1:3" x14ac:dyDescent="0.3">
      <c r="A7387" t="s">
        <v>13632</v>
      </c>
      <c r="B7387" t="s">
        <v>40</v>
      </c>
      <c r="C7387">
        <v>0.08</v>
      </c>
    </row>
    <row r="7388" spans="1:3" x14ac:dyDescent="0.3">
      <c r="A7388" t="s">
        <v>12835</v>
      </c>
      <c r="B7388" t="s">
        <v>40</v>
      </c>
      <c r="C7388">
        <v>0</v>
      </c>
    </row>
    <row r="7389" spans="1:3" x14ac:dyDescent="0.3">
      <c r="A7389" t="s">
        <v>9113</v>
      </c>
      <c r="B7389" t="s">
        <v>40</v>
      </c>
      <c r="C7389">
        <v>0.03</v>
      </c>
    </row>
    <row r="7390" spans="1:3" x14ac:dyDescent="0.3">
      <c r="A7390" t="s">
        <v>3049</v>
      </c>
      <c r="B7390" t="s">
        <v>53</v>
      </c>
      <c r="C7390">
        <v>0.06</v>
      </c>
    </row>
    <row r="7391" spans="1:3" x14ac:dyDescent="0.3">
      <c r="A7391" t="s">
        <v>13777</v>
      </c>
      <c r="B7391" t="s">
        <v>40</v>
      </c>
      <c r="C7391">
        <v>0.04</v>
      </c>
    </row>
    <row r="7392" spans="1:3" x14ac:dyDescent="0.3">
      <c r="A7392" t="s">
        <v>12417</v>
      </c>
      <c r="B7392" t="s">
        <v>40</v>
      </c>
      <c r="C7392">
        <v>0.08</v>
      </c>
    </row>
    <row r="7393" spans="1:3" x14ac:dyDescent="0.3">
      <c r="A7393" t="s">
        <v>9105</v>
      </c>
      <c r="B7393" t="s">
        <v>64</v>
      </c>
      <c r="C7393">
        <v>0.03</v>
      </c>
    </row>
    <row r="7394" spans="1:3" x14ac:dyDescent="0.3">
      <c r="A7394" t="s">
        <v>1946</v>
      </c>
      <c r="B7394" t="s">
        <v>225</v>
      </c>
      <c r="C7394">
        <v>0.04</v>
      </c>
    </row>
    <row r="7395" spans="1:3" x14ac:dyDescent="0.3">
      <c r="A7395" t="s">
        <v>15321</v>
      </c>
      <c r="B7395" t="s">
        <v>29</v>
      </c>
      <c r="C7395">
        <v>0</v>
      </c>
    </row>
    <row r="7396" spans="1:3" x14ac:dyDescent="0.3">
      <c r="A7396" t="s">
        <v>15321</v>
      </c>
      <c r="B7396" t="s">
        <v>29</v>
      </c>
      <c r="C7396">
        <v>7.0000000000000007E-2</v>
      </c>
    </row>
    <row r="7397" spans="1:3" x14ac:dyDescent="0.3">
      <c r="A7397" t="s">
        <v>7607</v>
      </c>
      <c r="B7397" t="s">
        <v>64</v>
      </c>
      <c r="C7397">
        <v>7.0000000000000007E-2</v>
      </c>
    </row>
    <row r="7398" spans="1:3" x14ac:dyDescent="0.3">
      <c r="A7398" t="s">
        <v>15045</v>
      </c>
      <c r="B7398" t="s">
        <v>29</v>
      </c>
      <c r="C7398">
        <v>0.09</v>
      </c>
    </row>
    <row r="7399" spans="1:3" x14ac:dyDescent="0.3">
      <c r="A7399" t="s">
        <v>11031</v>
      </c>
      <c r="B7399" t="s">
        <v>29</v>
      </c>
      <c r="C7399">
        <v>0.04</v>
      </c>
    </row>
    <row r="7400" spans="1:3" x14ac:dyDescent="0.3">
      <c r="A7400" t="s">
        <v>9225</v>
      </c>
      <c r="B7400" t="s">
        <v>29</v>
      </c>
      <c r="C7400">
        <v>0.06</v>
      </c>
    </row>
    <row r="7401" spans="1:3" x14ac:dyDescent="0.3">
      <c r="A7401" t="s">
        <v>13102</v>
      </c>
      <c r="B7401" t="s">
        <v>64</v>
      </c>
      <c r="C7401">
        <v>0.08</v>
      </c>
    </row>
    <row r="7402" spans="1:3" x14ac:dyDescent="0.3">
      <c r="A7402" t="s">
        <v>9805</v>
      </c>
      <c r="B7402" t="s">
        <v>64</v>
      </c>
      <c r="C7402">
        <v>0</v>
      </c>
    </row>
    <row r="7403" spans="1:3" x14ac:dyDescent="0.3">
      <c r="A7403" t="s">
        <v>9805</v>
      </c>
      <c r="B7403" t="s">
        <v>64</v>
      </c>
      <c r="C7403">
        <v>0.06</v>
      </c>
    </row>
    <row r="7404" spans="1:3" x14ac:dyDescent="0.3">
      <c r="A7404" t="s">
        <v>10138</v>
      </c>
      <c r="B7404" t="s">
        <v>64</v>
      </c>
      <c r="C7404">
        <v>0.01</v>
      </c>
    </row>
    <row r="7405" spans="1:3" x14ac:dyDescent="0.3">
      <c r="A7405" t="s">
        <v>10138</v>
      </c>
      <c r="B7405" t="s">
        <v>64</v>
      </c>
      <c r="C7405">
        <v>7.0000000000000007E-2</v>
      </c>
    </row>
    <row r="7406" spans="1:3" x14ac:dyDescent="0.3">
      <c r="A7406" t="s">
        <v>10138</v>
      </c>
      <c r="B7406" t="s">
        <v>64</v>
      </c>
      <c r="C7406">
        <v>0.09</v>
      </c>
    </row>
    <row r="7407" spans="1:3" x14ac:dyDescent="0.3">
      <c r="A7407" t="s">
        <v>13607</v>
      </c>
      <c r="B7407" t="s">
        <v>40</v>
      </c>
      <c r="C7407">
        <v>0.06</v>
      </c>
    </row>
    <row r="7408" spans="1:3" x14ac:dyDescent="0.3">
      <c r="A7408" t="s">
        <v>13607</v>
      </c>
      <c r="B7408" t="s">
        <v>29</v>
      </c>
      <c r="C7408">
        <v>0.08</v>
      </c>
    </row>
    <row r="7409" spans="1:3" x14ac:dyDescent="0.3">
      <c r="A7409" t="s">
        <v>2597</v>
      </c>
      <c r="B7409" t="s">
        <v>40</v>
      </c>
      <c r="C7409">
        <v>0.02</v>
      </c>
    </row>
    <row r="7410" spans="1:3" x14ac:dyDescent="0.3">
      <c r="A7410" t="s">
        <v>2597</v>
      </c>
      <c r="B7410" t="s">
        <v>29</v>
      </c>
      <c r="C7410">
        <v>0.03</v>
      </c>
    </row>
    <row r="7411" spans="1:3" x14ac:dyDescent="0.3">
      <c r="A7411" t="s">
        <v>2597</v>
      </c>
      <c r="B7411" t="s">
        <v>29</v>
      </c>
      <c r="C7411">
        <v>7.0000000000000007E-2</v>
      </c>
    </row>
    <row r="7412" spans="1:3" x14ac:dyDescent="0.3">
      <c r="A7412" t="s">
        <v>10239</v>
      </c>
      <c r="B7412" t="s">
        <v>29</v>
      </c>
      <c r="C7412">
        <v>0</v>
      </c>
    </row>
    <row r="7413" spans="1:3" x14ac:dyDescent="0.3">
      <c r="A7413" t="s">
        <v>13863</v>
      </c>
      <c r="B7413" t="s">
        <v>40</v>
      </c>
      <c r="C7413">
        <v>0.05</v>
      </c>
    </row>
    <row r="7414" spans="1:3" x14ac:dyDescent="0.3">
      <c r="A7414" t="s">
        <v>9409</v>
      </c>
      <c r="B7414" t="s">
        <v>53</v>
      </c>
      <c r="C7414">
        <v>0.02</v>
      </c>
    </row>
    <row r="7415" spans="1:3" x14ac:dyDescent="0.3">
      <c r="A7415" t="s">
        <v>10710</v>
      </c>
      <c r="B7415" t="s">
        <v>53</v>
      </c>
      <c r="C7415">
        <v>0.08</v>
      </c>
    </row>
    <row r="7416" spans="1:3" x14ac:dyDescent="0.3">
      <c r="A7416" t="s">
        <v>10710</v>
      </c>
      <c r="B7416" t="s">
        <v>53</v>
      </c>
      <c r="C7416">
        <v>0.09</v>
      </c>
    </row>
    <row r="7417" spans="1:3" x14ac:dyDescent="0.3">
      <c r="A7417" t="s">
        <v>9792</v>
      </c>
      <c r="B7417" t="s">
        <v>53</v>
      </c>
      <c r="C7417">
        <v>0</v>
      </c>
    </row>
    <row r="7418" spans="1:3" x14ac:dyDescent="0.3">
      <c r="A7418" t="s">
        <v>15265</v>
      </c>
      <c r="B7418" t="s">
        <v>29</v>
      </c>
      <c r="C7418">
        <v>0.09</v>
      </c>
    </row>
    <row r="7419" spans="1:3" x14ac:dyDescent="0.3">
      <c r="A7419" t="s">
        <v>15265</v>
      </c>
      <c r="B7419" t="s">
        <v>53</v>
      </c>
      <c r="C7419">
        <v>0.05</v>
      </c>
    </row>
    <row r="7420" spans="1:3" x14ac:dyDescent="0.3">
      <c r="A7420" t="s">
        <v>14679</v>
      </c>
      <c r="B7420" t="s">
        <v>29</v>
      </c>
      <c r="C7420">
        <v>0.08</v>
      </c>
    </row>
    <row r="7421" spans="1:3" x14ac:dyDescent="0.3">
      <c r="A7421" t="s">
        <v>11035</v>
      </c>
      <c r="B7421" t="s">
        <v>64</v>
      </c>
      <c r="C7421">
        <v>0.04</v>
      </c>
    </row>
    <row r="7422" spans="1:3" x14ac:dyDescent="0.3">
      <c r="A7422" t="s">
        <v>15074</v>
      </c>
      <c r="B7422" t="s">
        <v>29</v>
      </c>
      <c r="C7422">
        <v>7.0000000000000007E-2</v>
      </c>
    </row>
    <row r="7423" spans="1:3" x14ac:dyDescent="0.3">
      <c r="A7423" t="s">
        <v>2009</v>
      </c>
      <c r="B7423" t="s">
        <v>64</v>
      </c>
      <c r="C7423">
        <v>0</v>
      </c>
    </row>
    <row r="7424" spans="1:3" x14ac:dyDescent="0.3">
      <c r="A7424" t="s">
        <v>2009</v>
      </c>
      <c r="B7424" t="s">
        <v>64</v>
      </c>
      <c r="C7424">
        <v>0.03</v>
      </c>
    </row>
    <row r="7425" spans="1:3" x14ac:dyDescent="0.3">
      <c r="A7425" t="s">
        <v>13431</v>
      </c>
      <c r="B7425" t="s">
        <v>53</v>
      </c>
      <c r="C7425">
        <v>0.03</v>
      </c>
    </row>
    <row r="7426" spans="1:3" x14ac:dyDescent="0.3">
      <c r="A7426" t="s">
        <v>14946</v>
      </c>
      <c r="B7426" t="s">
        <v>53</v>
      </c>
      <c r="C7426">
        <v>0</v>
      </c>
    </row>
    <row r="7427" spans="1:3" x14ac:dyDescent="0.3">
      <c r="A7427" t="s">
        <v>14775</v>
      </c>
      <c r="B7427" t="s">
        <v>225</v>
      </c>
      <c r="C7427">
        <v>0.06</v>
      </c>
    </row>
    <row r="7428" spans="1:3" x14ac:dyDescent="0.3">
      <c r="A7428" t="s">
        <v>6950</v>
      </c>
      <c r="B7428" t="s">
        <v>225</v>
      </c>
      <c r="C7428">
        <v>0</v>
      </c>
    </row>
    <row r="7429" spans="1:3" x14ac:dyDescent="0.3">
      <c r="A7429" t="s">
        <v>13164</v>
      </c>
      <c r="B7429" t="s">
        <v>87</v>
      </c>
      <c r="C7429">
        <v>0.09</v>
      </c>
    </row>
    <row r="7430" spans="1:3" x14ac:dyDescent="0.3">
      <c r="A7430" t="s">
        <v>12241</v>
      </c>
      <c r="B7430" t="s">
        <v>87</v>
      </c>
      <c r="C7430">
        <v>0.1</v>
      </c>
    </row>
    <row r="7431" spans="1:3" x14ac:dyDescent="0.3">
      <c r="A7431" t="s">
        <v>10607</v>
      </c>
      <c r="B7431" t="s">
        <v>29</v>
      </c>
      <c r="C7431">
        <v>7.0000000000000007E-2</v>
      </c>
    </row>
    <row r="7432" spans="1:3" x14ac:dyDescent="0.3">
      <c r="A7432" t="s">
        <v>10607</v>
      </c>
      <c r="B7432" t="s">
        <v>53</v>
      </c>
      <c r="C7432">
        <v>0.02</v>
      </c>
    </row>
    <row r="7433" spans="1:3" x14ac:dyDescent="0.3">
      <c r="A7433" t="s">
        <v>12375</v>
      </c>
      <c r="B7433" t="s">
        <v>87</v>
      </c>
      <c r="C7433">
        <v>0</v>
      </c>
    </row>
    <row r="7434" spans="1:3" x14ac:dyDescent="0.3">
      <c r="A7434" t="s">
        <v>12375</v>
      </c>
      <c r="B7434" t="s">
        <v>87</v>
      </c>
      <c r="C7434">
        <v>0.04</v>
      </c>
    </row>
    <row r="7435" spans="1:3" x14ac:dyDescent="0.3">
      <c r="A7435" t="s">
        <v>12375</v>
      </c>
      <c r="B7435" t="s">
        <v>87</v>
      </c>
      <c r="C7435">
        <v>0.09</v>
      </c>
    </row>
    <row r="7436" spans="1:3" x14ac:dyDescent="0.3">
      <c r="A7436" t="s">
        <v>11999</v>
      </c>
      <c r="B7436" t="s">
        <v>87</v>
      </c>
      <c r="C7436">
        <v>0.05</v>
      </c>
    </row>
    <row r="7437" spans="1:3" x14ac:dyDescent="0.3">
      <c r="A7437" t="s">
        <v>9623</v>
      </c>
      <c r="B7437" t="s">
        <v>29</v>
      </c>
      <c r="C7437">
        <v>0.04</v>
      </c>
    </row>
    <row r="7438" spans="1:3" x14ac:dyDescent="0.3">
      <c r="A7438" t="s">
        <v>11233</v>
      </c>
      <c r="B7438" t="s">
        <v>225</v>
      </c>
      <c r="C7438">
        <v>0.08</v>
      </c>
    </row>
    <row r="7439" spans="1:3" x14ac:dyDescent="0.3">
      <c r="A7439" t="s">
        <v>9020</v>
      </c>
      <c r="B7439" t="s">
        <v>225</v>
      </c>
      <c r="C7439">
        <v>0.09</v>
      </c>
    </row>
    <row r="7440" spans="1:3" x14ac:dyDescent="0.3">
      <c r="A7440" t="s">
        <v>12279</v>
      </c>
      <c r="B7440" t="s">
        <v>87</v>
      </c>
      <c r="C7440">
        <v>0.1</v>
      </c>
    </row>
    <row r="7441" spans="1:3" x14ac:dyDescent="0.3">
      <c r="A7441" t="s">
        <v>14911</v>
      </c>
      <c r="B7441" t="s">
        <v>87</v>
      </c>
      <c r="C7441">
        <v>0.09</v>
      </c>
    </row>
    <row r="7442" spans="1:3" x14ac:dyDescent="0.3">
      <c r="A7442" t="s">
        <v>15709</v>
      </c>
      <c r="B7442" t="s">
        <v>64</v>
      </c>
      <c r="C7442">
        <v>0</v>
      </c>
    </row>
    <row r="7443" spans="1:3" x14ac:dyDescent="0.3">
      <c r="A7443" t="s">
        <v>13715</v>
      </c>
      <c r="B7443" t="s">
        <v>53</v>
      </c>
      <c r="C7443">
        <v>0.04</v>
      </c>
    </row>
    <row r="7444" spans="1:3" x14ac:dyDescent="0.3">
      <c r="A7444" t="s">
        <v>10559</v>
      </c>
      <c r="B7444" t="s">
        <v>53</v>
      </c>
      <c r="C7444">
        <v>0.04</v>
      </c>
    </row>
    <row r="7445" spans="1:3" x14ac:dyDescent="0.3">
      <c r="A7445" t="s">
        <v>10559</v>
      </c>
      <c r="B7445" t="s">
        <v>53</v>
      </c>
      <c r="C7445">
        <v>7.0000000000000007E-2</v>
      </c>
    </row>
    <row r="7446" spans="1:3" x14ac:dyDescent="0.3">
      <c r="A7446" t="s">
        <v>5542</v>
      </c>
      <c r="B7446" t="s">
        <v>29</v>
      </c>
      <c r="C7446">
        <v>0.02</v>
      </c>
    </row>
    <row r="7447" spans="1:3" x14ac:dyDescent="0.3">
      <c r="A7447" t="s">
        <v>4307</v>
      </c>
      <c r="B7447" t="s">
        <v>29</v>
      </c>
      <c r="C7447">
        <v>0.03</v>
      </c>
    </row>
    <row r="7448" spans="1:3" x14ac:dyDescent="0.3">
      <c r="A7448" t="s">
        <v>13038</v>
      </c>
      <c r="B7448" t="s">
        <v>64</v>
      </c>
      <c r="C7448">
        <v>0</v>
      </c>
    </row>
    <row r="7449" spans="1:3" x14ac:dyDescent="0.3">
      <c r="A7449" t="s">
        <v>8575</v>
      </c>
      <c r="B7449" t="s">
        <v>87</v>
      </c>
      <c r="C7449">
        <v>0.1</v>
      </c>
    </row>
    <row r="7450" spans="1:3" x14ac:dyDescent="0.3">
      <c r="A7450" t="s">
        <v>9669</v>
      </c>
      <c r="B7450" t="s">
        <v>87</v>
      </c>
      <c r="C7450">
        <v>0.03</v>
      </c>
    </row>
    <row r="7451" spans="1:3" x14ac:dyDescent="0.3">
      <c r="A7451" t="s">
        <v>9669</v>
      </c>
      <c r="B7451" t="s">
        <v>87</v>
      </c>
      <c r="C7451">
        <v>0.08</v>
      </c>
    </row>
    <row r="7452" spans="1:3" x14ac:dyDescent="0.3">
      <c r="A7452" t="s">
        <v>14045</v>
      </c>
      <c r="B7452" t="s">
        <v>29</v>
      </c>
      <c r="C7452">
        <v>7.0000000000000007E-2</v>
      </c>
    </row>
    <row r="7453" spans="1:3" x14ac:dyDescent="0.3">
      <c r="A7453" t="s">
        <v>15467</v>
      </c>
      <c r="B7453" t="s">
        <v>29</v>
      </c>
      <c r="C7453">
        <v>0.01</v>
      </c>
    </row>
    <row r="7454" spans="1:3" x14ac:dyDescent="0.3">
      <c r="A7454" t="s">
        <v>2092</v>
      </c>
      <c r="B7454" t="s">
        <v>87</v>
      </c>
      <c r="C7454">
        <v>0.06</v>
      </c>
    </row>
    <row r="7455" spans="1:3" x14ac:dyDescent="0.3">
      <c r="A7455" t="s">
        <v>12752</v>
      </c>
      <c r="B7455" t="s">
        <v>64</v>
      </c>
      <c r="C7455">
        <v>0.05</v>
      </c>
    </row>
    <row r="7456" spans="1:3" x14ac:dyDescent="0.3">
      <c r="A7456" t="s">
        <v>12752</v>
      </c>
      <c r="B7456" t="s">
        <v>64</v>
      </c>
      <c r="C7456">
        <v>7.0000000000000007E-2</v>
      </c>
    </row>
    <row r="7457" spans="1:3" x14ac:dyDescent="0.3">
      <c r="A7457" t="s">
        <v>11948</v>
      </c>
      <c r="B7457" t="s">
        <v>29</v>
      </c>
      <c r="C7457">
        <v>0.06</v>
      </c>
    </row>
    <row r="7458" spans="1:3" x14ac:dyDescent="0.3">
      <c r="A7458" t="s">
        <v>12488</v>
      </c>
      <c r="B7458" t="s">
        <v>29</v>
      </c>
      <c r="C7458">
        <v>0.02</v>
      </c>
    </row>
    <row r="7459" spans="1:3" x14ac:dyDescent="0.3">
      <c r="A7459" t="s">
        <v>14339</v>
      </c>
      <c r="B7459" t="s">
        <v>40</v>
      </c>
      <c r="C7459">
        <v>0.02</v>
      </c>
    </row>
    <row r="7460" spans="1:3" x14ac:dyDescent="0.3">
      <c r="A7460" t="s">
        <v>14339</v>
      </c>
      <c r="B7460" t="s">
        <v>40</v>
      </c>
      <c r="C7460">
        <v>0.1</v>
      </c>
    </row>
    <row r="7461" spans="1:3" x14ac:dyDescent="0.3">
      <c r="A7461" t="s">
        <v>9814</v>
      </c>
      <c r="B7461" t="s">
        <v>87</v>
      </c>
      <c r="C7461">
        <v>0.1</v>
      </c>
    </row>
    <row r="7462" spans="1:3" x14ac:dyDescent="0.3">
      <c r="A7462" t="s">
        <v>11968</v>
      </c>
      <c r="B7462" t="s">
        <v>87</v>
      </c>
      <c r="C7462">
        <v>0.03</v>
      </c>
    </row>
    <row r="7463" spans="1:3" x14ac:dyDescent="0.3">
      <c r="A7463" t="s">
        <v>11968</v>
      </c>
      <c r="B7463" t="s">
        <v>87</v>
      </c>
      <c r="C7463">
        <v>0.06</v>
      </c>
    </row>
    <row r="7464" spans="1:3" x14ac:dyDescent="0.3">
      <c r="A7464" t="s">
        <v>15769</v>
      </c>
      <c r="B7464" t="s">
        <v>87</v>
      </c>
      <c r="C7464">
        <v>7.0000000000000007E-2</v>
      </c>
    </row>
    <row r="7465" spans="1:3" x14ac:dyDescent="0.3">
      <c r="A7465" t="s">
        <v>11613</v>
      </c>
      <c r="B7465" t="s">
        <v>40</v>
      </c>
      <c r="C7465">
        <v>0</v>
      </c>
    </row>
    <row r="7466" spans="1:3" x14ac:dyDescent="0.3">
      <c r="A7466" t="s">
        <v>11613</v>
      </c>
      <c r="B7466" t="s">
        <v>40</v>
      </c>
      <c r="C7466">
        <v>7.0000000000000007E-2</v>
      </c>
    </row>
    <row r="7467" spans="1:3" x14ac:dyDescent="0.3">
      <c r="A7467" t="s">
        <v>13020</v>
      </c>
      <c r="B7467" t="s">
        <v>40</v>
      </c>
      <c r="C7467">
        <v>0.1</v>
      </c>
    </row>
    <row r="7468" spans="1:3" x14ac:dyDescent="0.3">
      <c r="A7468" t="s">
        <v>9133</v>
      </c>
      <c r="B7468" t="s">
        <v>64</v>
      </c>
      <c r="C7468">
        <v>0.06</v>
      </c>
    </row>
    <row r="7469" spans="1:3" x14ac:dyDescent="0.3">
      <c r="A7469" t="s">
        <v>14463</v>
      </c>
      <c r="B7469" t="s">
        <v>64</v>
      </c>
      <c r="C7469">
        <v>0.04</v>
      </c>
    </row>
    <row r="7470" spans="1:3" x14ac:dyDescent="0.3">
      <c r="A7470" t="s">
        <v>14463</v>
      </c>
      <c r="B7470" t="s">
        <v>64</v>
      </c>
      <c r="C7470">
        <v>0.1</v>
      </c>
    </row>
    <row r="7471" spans="1:3" x14ac:dyDescent="0.3">
      <c r="A7471" t="s">
        <v>14506</v>
      </c>
      <c r="B7471" t="s">
        <v>29</v>
      </c>
      <c r="C7471">
        <v>0.01</v>
      </c>
    </row>
    <row r="7472" spans="1:3" x14ac:dyDescent="0.3">
      <c r="A7472" t="s">
        <v>14506</v>
      </c>
      <c r="B7472" t="s">
        <v>29</v>
      </c>
      <c r="C7472">
        <v>0.06</v>
      </c>
    </row>
    <row r="7473" spans="1:3" x14ac:dyDescent="0.3">
      <c r="A7473" t="s">
        <v>10206</v>
      </c>
      <c r="B7473" t="s">
        <v>225</v>
      </c>
      <c r="C7473">
        <v>0.03</v>
      </c>
    </row>
    <row r="7474" spans="1:3" x14ac:dyDescent="0.3">
      <c r="A7474" t="s">
        <v>10206</v>
      </c>
      <c r="B7474" t="s">
        <v>225</v>
      </c>
      <c r="C7474">
        <v>0.05</v>
      </c>
    </row>
    <row r="7475" spans="1:3" x14ac:dyDescent="0.3">
      <c r="A7475" t="s">
        <v>15441</v>
      </c>
      <c r="B7475" t="s">
        <v>225</v>
      </c>
      <c r="C7475">
        <v>7.0000000000000007E-2</v>
      </c>
    </row>
    <row r="7476" spans="1:3" x14ac:dyDescent="0.3">
      <c r="A7476" t="s">
        <v>15441</v>
      </c>
      <c r="B7476" t="s">
        <v>29</v>
      </c>
      <c r="C7476">
        <v>0.09</v>
      </c>
    </row>
    <row r="7477" spans="1:3" x14ac:dyDescent="0.3">
      <c r="A7477" t="s">
        <v>15441</v>
      </c>
      <c r="B7477" t="s">
        <v>53</v>
      </c>
      <c r="C7477">
        <v>0.08</v>
      </c>
    </row>
    <row r="7478" spans="1:3" x14ac:dyDescent="0.3">
      <c r="A7478" t="s">
        <v>14992</v>
      </c>
      <c r="B7478" t="s">
        <v>87</v>
      </c>
      <c r="C7478">
        <v>0.02</v>
      </c>
    </row>
    <row r="7479" spans="1:3" x14ac:dyDescent="0.3">
      <c r="A7479" t="s">
        <v>10514</v>
      </c>
      <c r="B7479" t="s">
        <v>40</v>
      </c>
      <c r="C7479">
        <v>7.0000000000000007E-2</v>
      </c>
    </row>
    <row r="7480" spans="1:3" x14ac:dyDescent="0.3">
      <c r="A7480" t="s">
        <v>10514</v>
      </c>
      <c r="B7480" t="s">
        <v>53</v>
      </c>
      <c r="C7480">
        <v>7.0000000000000007E-2</v>
      </c>
    </row>
    <row r="7481" spans="1:3" x14ac:dyDescent="0.3">
      <c r="A7481" t="s">
        <v>2936</v>
      </c>
      <c r="B7481" t="s">
        <v>64</v>
      </c>
      <c r="C7481">
        <v>0.04</v>
      </c>
    </row>
    <row r="7482" spans="1:3" x14ac:dyDescent="0.3">
      <c r="A7482" t="s">
        <v>2212</v>
      </c>
      <c r="B7482" t="s">
        <v>87</v>
      </c>
      <c r="C7482">
        <v>0.04</v>
      </c>
    </row>
    <row r="7483" spans="1:3" x14ac:dyDescent="0.3">
      <c r="A7483" t="s">
        <v>8758</v>
      </c>
      <c r="B7483" t="s">
        <v>29</v>
      </c>
      <c r="C7483">
        <v>0</v>
      </c>
    </row>
    <row r="7484" spans="1:3" x14ac:dyDescent="0.3">
      <c r="A7484" t="s">
        <v>8758</v>
      </c>
      <c r="B7484" t="s">
        <v>29</v>
      </c>
      <c r="C7484">
        <v>0.01</v>
      </c>
    </row>
    <row r="7485" spans="1:3" x14ac:dyDescent="0.3">
      <c r="A7485" t="s">
        <v>7114</v>
      </c>
      <c r="B7485" t="s">
        <v>29</v>
      </c>
      <c r="C7485">
        <v>7.0000000000000007E-2</v>
      </c>
    </row>
    <row r="7486" spans="1:3" x14ac:dyDescent="0.3">
      <c r="A7486" t="s">
        <v>15055</v>
      </c>
      <c r="B7486" t="s">
        <v>225</v>
      </c>
      <c r="C7486">
        <v>0</v>
      </c>
    </row>
    <row r="7487" spans="1:3" x14ac:dyDescent="0.3">
      <c r="A7487" t="s">
        <v>15055</v>
      </c>
      <c r="B7487" t="s">
        <v>225</v>
      </c>
      <c r="C7487">
        <v>0.01</v>
      </c>
    </row>
    <row r="7488" spans="1:3" x14ac:dyDescent="0.3">
      <c r="A7488" t="s">
        <v>15055</v>
      </c>
      <c r="B7488" t="s">
        <v>29</v>
      </c>
      <c r="C7488">
        <v>0.05</v>
      </c>
    </row>
    <row r="7489" spans="1:3" x14ac:dyDescent="0.3">
      <c r="A7489" t="s">
        <v>6539</v>
      </c>
      <c r="B7489" t="s">
        <v>40</v>
      </c>
      <c r="C7489">
        <v>0</v>
      </c>
    </row>
    <row r="7490" spans="1:3" x14ac:dyDescent="0.3">
      <c r="A7490" t="s">
        <v>6539</v>
      </c>
      <c r="B7490" t="s">
        <v>40</v>
      </c>
      <c r="C7490">
        <v>0.01</v>
      </c>
    </row>
    <row r="7491" spans="1:3" x14ac:dyDescent="0.3">
      <c r="A7491" t="s">
        <v>6539</v>
      </c>
      <c r="B7491" t="s">
        <v>40</v>
      </c>
      <c r="C7491">
        <v>0.1</v>
      </c>
    </row>
    <row r="7492" spans="1:3" x14ac:dyDescent="0.3">
      <c r="A7492" t="s">
        <v>13502</v>
      </c>
      <c r="B7492" t="s">
        <v>64</v>
      </c>
      <c r="C7492">
        <v>0</v>
      </c>
    </row>
    <row r="7493" spans="1:3" x14ac:dyDescent="0.3">
      <c r="A7493" t="s">
        <v>13502</v>
      </c>
      <c r="B7493" t="s">
        <v>64</v>
      </c>
      <c r="C7493">
        <v>0.1</v>
      </c>
    </row>
    <row r="7494" spans="1:3" x14ac:dyDescent="0.3">
      <c r="A7494" t="s">
        <v>13502</v>
      </c>
      <c r="B7494" t="s">
        <v>87</v>
      </c>
      <c r="C7494">
        <v>0.1</v>
      </c>
    </row>
    <row r="7495" spans="1:3" x14ac:dyDescent="0.3">
      <c r="A7495" t="s">
        <v>10865</v>
      </c>
      <c r="B7495" t="s">
        <v>87</v>
      </c>
      <c r="C7495">
        <v>0.01</v>
      </c>
    </row>
    <row r="7496" spans="1:3" x14ac:dyDescent="0.3">
      <c r="A7496" t="s">
        <v>12721</v>
      </c>
      <c r="B7496" t="s">
        <v>87</v>
      </c>
      <c r="C7496">
        <v>0.04</v>
      </c>
    </row>
    <row r="7497" spans="1:3" x14ac:dyDescent="0.3">
      <c r="A7497" t="s">
        <v>12823</v>
      </c>
      <c r="B7497" t="s">
        <v>40</v>
      </c>
      <c r="C7497">
        <v>0.06</v>
      </c>
    </row>
    <row r="7498" spans="1:3" x14ac:dyDescent="0.3">
      <c r="A7498" t="s">
        <v>12823</v>
      </c>
      <c r="B7498" t="s">
        <v>40</v>
      </c>
      <c r="C7498">
        <v>7.0000000000000007E-2</v>
      </c>
    </row>
    <row r="7499" spans="1:3" x14ac:dyDescent="0.3">
      <c r="A7499" t="s">
        <v>13733</v>
      </c>
      <c r="B7499" t="s">
        <v>40</v>
      </c>
      <c r="C7499">
        <v>0.02</v>
      </c>
    </row>
    <row r="7500" spans="1:3" x14ac:dyDescent="0.3">
      <c r="A7500" t="s">
        <v>11671</v>
      </c>
      <c r="B7500" t="s">
        <v>40</v>
      </c>
      <c r="C7500">
        <v>0.06</v>
      </c>
    </row>
    <row r="7501" spans="1:3" x14ac:dyDescent="0.3">
      <c r="A7501" t="s">
        <v>14875</v>
      </c>
      <c r="B7501" t="s">
        <v>53</v>
      </c>
      <c r="C7501">
        <v>0</v>
      </c>
    </row>
    <row r="7502" spans="1:3" x14ac:dyDescent="0.3">
      <c r="A7502" t="s">
        <v>10438</v>
      </c>
      <c r="B7502" t="s">
        <v>64</v>
      </c>
      <c r="C7502">
        <v>0.08</v>
      </c>
    </row>
    <row r="7503" spans="1:3" x14ac:dyDescent="0.3">
      <c r="A7503" t="s">
        <v>8541</v>
      </c>
      <c r="B7503" t="s">
        <v>40</v>
      </c>
      <c r="C7503">
        <v>0.03</v>
      </c>
    </row>
    <row r="7504" spans="1:3" x14ac:dyDescent="0.3">
      <c r="A7504" t="s">
        <v>8541</v>
      </c>
      <c r="B7504" t="s">
        <v>40</v>
      </c>
      <c r="C7504">
        <v>0.1</v>
      </c>
    </row>
    <row r="7505" spans="1:3" x14ac:dyDescent="0.3">
      <c r="A7505" t="s">
        <v>7584</v>
      </c>
      <c r="B7505" t="s">
        <v>40</v>
      </c>
      <c r="C7505">
        <v>0.06</v>
      </c>
    </row>
    <row r="7506" spans="1:3" x14ac:dyDescent="0.3">
      <c r="A7506" t="s">
        <v>3350</v>
      </c>
      <c r="B7506" t="s">
        <v>53</v>
      </c>
      <c r="C7506">
        <v>0.09</v>
      </c>
    </row>
    <row r="7507" spans="1:3" x14ac:dyDescent="0.3">
      <c r="A7507" t="s">
        <v>2219</v>
      </c>
      <c r="B7507" t="s">
        <v>53</v>
      </c>
      <c r="C7507">
        <v>0.05</v>
      </c>
    </row>
    <row r="7508" spans="1:3" x14ac:dyDescent="0.3">
      <c r="A7508" t="s">
        <v>9641</v>
      </c>
      <c r="B7508" t="s">
        <v>29</v>
      </c>
      <c r="C7508">
        <v>7.0000000000000007E-2</v>
      </c>
    </row>
    <row r="7509" spans="1:3" x14ac:dyDescent="0.3">
      <c r="A7509" t="s">
        <v>3474</v>
      </c>
      <c r="B7509" t="s">
        <v>53</v>
      </c>
      <c r="C7509">
        <v>7.0000000000000007E-2</v>
      </c>
    </row>
    <row r="7510" spans="1:3" x14ac:dyDescent="0.3">
      <c r="A7510" t="s">
        <v>10767</v>
      </c>
      <c r="B7510" t="s">
        <v>87</v>
      </c>
      <c r="C7510">
        <v>0.06</v>
      </c>
    </row>
    <row r="7511" spans="1:3" x14ac:dyDescent="0.3">
      <c r="A7511" t="s">
        <v>14822</v>
      </c>
      <c r="B7511" t="s">
        <v>40</v>
      </c>
      <c r="C7511">
        <v>0.08</v>
      </c>
    </row>
    <row r="7512" spans="1:3" x14ac:dyDescent="0.3">
      <c r="A7512" t="s">
        <v>14822</v>
      </c>
      <c r="B7512" t="s">
        <v>225</v>
      </c>
      <c r="C7512">
        <v>0.06</v>
      </c>
    </row>
    <row r="7513" spans="1:3" x14ac:dyDescent="0.3">
      <c r="A7513" t="s">
        <v>2914</v>
      </c>
      <c r="B7513" t="s">
        <v>87</v>
      </c>
      <c r="C7513">
        <v>0.02</v>
      </c>
    </row>
    <row r="7514" spans="1:3" x14ac:dyDescent="0.3">
      <c r="A7514" t="s">
        <v>12038</v>
      </c>
      <c r="B7514" t="s">
        <v>40</v>
      </c>
      <c r="C7514">
        <v>0.05</v>
      </c>
    </row>
    <row r="7515" spans="1:3" x14ac:dyDescent="0.3">
      <c r="A7515" t="s">
        <v>2231</v>
      </c>
      <c r="B7515" t="s">
        <v>40</v>
      </c>
      <c r="C7515">
        <v>0.05</v>
      </c>
    </row>
    <row r="7516" spans="1:3" x14ac:dyDescent="0.3">
      <c r="A7516" t="s">
        <v>13006</v>
      </c>
      <c r="B7516" t="s">
        <v>40</v>
      </c>
      <c r="C7516">
        <v>0.01</v>
      </c>
    </row>
    <row r="7517" spans="1:3" x14ac:dyDescent="0.3">
      <c r="A7517" t="s">
        <v>11657</v>
      </c>
      <c r="B7517" t="s">
        <v>40</v>
      </c>
      <c r="C7517">
        <v>0.1</v>
      </c>
    </row>
    <row r="7518" spans="1:3" x14ac:dyDescent="0.3">
      <c r="A7518" t="s">
        <v>2237</v>
      </c>
      <c r="B7518" t="s">
        <v>40</v>
      </c>
      <c r="C7518">
        <v>0.01</v>
      </c>
    </row>
    <row r="7519" spans="1:3" x14ac:dyDescent="0.3">
      <c r="A7519" t="s">
        <v>2237</v>
      </c>
      <c r="B7519" t="s">
        <v>40</v>
      </c>
      <c r="C7519">
        <v>0.04</v>
      </c>
    </row>
    <row r="7520" spans="1:3" x14ac:dyDescent="0.3">
      <c r="A7520" t="s">
        <v>9655</v>
      </c>
      <c r="B7520" t="s">
        <v>40</v>
      </c>
      <c r="C7520">
        <v>0.1</v>
      </c>
    </row>
    <row r="7521" spans="1:3" x14ac:dyDescent="0.3">
      <c r="A7521" t="s">
        <v>11432</v>
      </c>
      <c r="B7521" t="s">
        <v>225</v>
      </c>
      <c r="C7521">
        <v>0.1</v>
      </c>
    </row>
    <row r="7522" spans="1:3" x14ac:dyDescent="0.3">
      <c r="A7522" t="s">
        <v>9959</v>
      </c>
      <c r="B7522" t="s">
        <v>53</v>
      </c>
      <c r="C7522">
        <v>0.03</v>
      </c>
    </row>
    <row r="7523" spans="1:3" x14ac:dyDescent="0.3">
      <c r="A7523" t="s">
        <v>6467</v>
      </c>
      <c r="B7523" t="s">
        <v>53</v>
      </c>
      <c r="C7523">
        <v>0</v>
      </c>
    </row>
    <row r="7524" spans="1:3" x14ac:dyDescent="0.3">
      <c r="A7524" t="s">
        <v>2242</v>
      </c>
      <c r="B7524" t="s">
        <v>53</v>
      </c>
      <c r="C7524">
        <v>0.06</v>
      </c>
    </row>
    <row r="7525" spans="1:3" x14ac:dyDescent="0.3">
      <c r="A7525" t="s">
        <v>15110</v>
      </c>
      <c r="B7525" t="s">
        <v>53</v>
      </c>
      <c r="C7525">
        <v>0.09</v>
      </c>
    </row>
    <row r="7526" spans="1:3" x14ac:dyDescent="0.3">
      <c r="A7526" t="s">
        <v>11246</v>
      </c>
      <c r="B7526" t="s">
        <v>225</v>
      </c>
      <c r="C7526">
        <v>0.1</v>
      </c>
    </row>
    <row r="7527" spans="1:3" x14ac:dyDescent="0.3">
      <c r="A7527" t="s">
        <v>14445</v>
      </c>
      <c r="B7527" t="s">
        <v>40</v>
      </c>
      <c r="C7527">
        <v>0.05</v>
      </c>
    </row>
    <row r="7528" spans="1:3" x14ac:dyDescent="0.3">
      <c r="A7528" t="s">
        <v>12843</v>
      </c>
      <c r="B7528" t="s">
        <v>40</v>
      </c>
      <c r="C7528">
        <v>0.08</v>
      </c>
    </row>
    <row r="7529" spans="1:3" x14ac:dyDescent="0.3">
      <c r="A7529" t="s">
        <v>12843</v>
      </c>
      <c r="B7529" t="s">
        <v>53</v>
      </c>
      <c r="C7529">
        <v>0</v>
      </c>
    </row>
    <row r="7530" spans="1:3" x14ac:dyDescent="0.3">
      <c r="A7530" t="s">
        <v>13927</v>
      </c>
      <c r="B7530" t="s">
        <v>53</v>
      </c>
      <c r="C7530">
        <v>0.05</v>
      </c>
    </row>
    <row r="7531" spans="1:3" x14ac:dyDescent="0.3">
      <c r="A7531" t="s">
        <v>4937</v>
      </c>
      <c r="B7531" t="s">
        <v>225</v>
      </c>
      <c r="C7531">
        <v>0</v>
      </c>
    </row>
    <row r="7532" spans="1:3" x14ac:dyDescent="0.3">
      <c r="A7532" t="s">
        <v>4937</v>
      </c>
      <c r="B7532" t="s">
        <v>225</v>
      </c>
      <c r="C7532">
        <v>0.01</v>
      </c>
    </row>
    <row r="7533" spans="1:3" x14ac:dyDescent="0.3">
      <c r="A7533" t="s">
        <v>4937</v>
      </c>
      <c r="B7533" t="s">
        <v>225</v>
      </c>
      <c r="C7533">
        <v>0.02</v>
      </c>
    </row>
    <row r="7534" spans="1:3" x14ac:dyDescent="0.3">
      <c r="A7534" t="s">
        <v>4937</v>
      </c>
      <c r="B7534" t="s">
        <v>225</v>
      </c>
      <c r="C7534">
        <v>0.09</v>
      </c>
    </row>
    <row r="7535" spans="1:3" x14ac:dyDescent="0.3">
      <c r="A7535" t="s">
        <v>15335</v>
      </c>
      <c r="B7535" t="s">
        <v>64</v>
      </c>
      <c r="C7535">
        <v>0.08</v>
      </c>
    </row>
    <row r="7536" spans="1:3" x14ac:dyDescent="0.3">
      <c r="A7536" t="s">
        <v>9896</v>
      </c>
      <c r="B7536" t="s">
        <v>64</v>
      </c>
      <c r="C7536">
        <v>0.03</v>
      </c>
    </row>
    <row r="7537" spans="1:3" x14ac:dyDescent="0.3">
      <c r="A7537" t="s">
        <v>9896</v>
      </c>
      <c r="B7537" t="s">
        <v>64</v>
      </c>
      <c r="C7537">
        <v>0.05</v>
      </c>
    </row>
    <row r="7538" spans="1:3" x14ac:dyDescent="0.3">
      <c r="A7538" t="s">
        <v>9896</v>
      </c>
      <c r="B7538" t="s">
        <v>64</v>
      </c>
      <c r="C7538">
        <v>7.0000000000000007E-2</v>
      </c>
    </row>
    <row r="7539" spans="1:3" x14ac:dyDescent="0.3">
      <c r="A7539" t="s">
        <v>2264</v>
      </c>
      <c r="B7539" t="s">
        <v>87</v>
      </c>
      <c r="C7539">
        <v>0.04</v>
      </c>
    </row>
    <row r="7540" spans="1:3" x14ac:dyDescent="0.3">
      <c r="A7540" t="s">
        <v>13637</v>
      </c>
      <c r="B7540" t="s">
        <v>29</v>
      </c>
      <c r="C7540">
        <v>0.03</v>
      </c>
    </row>
    <row r="7541" spans="1:3" x14ac:dyDescent="0.3">
      <c r="A7541" t="s">
        <v>12800</v>
      </c>
      <c r="B7541" t="s">
        <v>29</v>
      </c>
      <c r="C7541">
        <v>0</v>
      </c>
    </row>
    <row r="7542" spans="1:3" x14ac:dyDescent="0.3">
      <c r="A7542" t="s">
        <v>12800</v>
      </c>
      <c r="B7542" t="s">
        <v>29</v>
      </c>
      <c r="C7542">
        <v>0.02</v>
      </c>
    </row>
    <row r="7543" spans="1:3" x14ac:dyDescent="0.3">
      <c r="A7543" t="s">
        <v>11301</v>
      </c>
      <c r="B7543" t="s">
        <v>87</v>
      </c>
      <c r="C7543">
        <v>0</v>
      </c>
    </row>
    <row r="7544" spans="1:3" x14ac:dyDescent="0.3">
      <c r="A7544" t="s">
        <v>4063</v>
      </c>
      <c r="B7544" t="s">
        <v>64</v>
      </c>
      <c r="C7544">
        <v>0.01</v>
      </c>
    </row>
    <row r="7545" spans="1:3" x14ac:dyDescent="0.3">
      <c r="A7545" t="s">
        <v>5646</v>
      </c>
      <c r="B7545" t="s">
        <v>64</v>
      </c>
      <c r="C7545">
        <v>0.01</v>
      </c>
    </row>
    <row r="7546" spans="1:3" x14ac:dyDescent="0.3">
      <c r="A7546" t="s">
        <v>7026</v>
      </c>
      <c r="B7546" t="s">
        <v>64</v>
      </c>
      <c r="C7546">
        <v>0</v>
      </c>
    </row>
    <row r="7547" spans="1:3" x14ac:dyDescent="0.3">
      <c r="A7547" t="s">
        <v>7026</v>
      </c>
      <c r="B7547" t="s">
        <v>64</v>
      </c>
      <c r="C7547">
        <v>0.08</v>
      </c>
    </row>
    <row r="7548" spans="1:3" x14ac:dyDescent="0.3">
      <c r="A7548" t="s">
        <v>12183</v>
      </c>
      <c r="B7548" t="s">
        <v>87</v>
      </c>
      <c r="C7548">
        <v>0.1</v>
      </c>
    </row>
    <row r="7549" spans="1:3" x14ac:dyDescent="0.3">
      <c r="A7549" t="s">
        <v>12808</v>
      </c>
      <c r="B7549" t="s">
        <v>87</v>
      </c>
      <c r="C7549">
        <v>0.01</v>
      </c>
    </row>
    <row r="7550" spans="1:3" x14ac:dyDescent="0.3">
      <c r="A7550" t="s">
        <v>12808</v>
      </c>
      <c r="B7550" t="s">
        <v>87</v>
      </c>
      <c r="C7550">
        <v>0.05</v>
      </c>
    </row>
    <row r="7551" spans="1:3" x14ac:dyDescent="0.3">
      <c r="A7551" t="s">
        <v>10561</v>
      </c>
      <c r="B7551" t="s">
        <v>40</v>
      </c>
      <c r="C7551">
        <v>0</v>
      </c>
    </row>
    <row r="7552" spans="1:3" x14ac:dyDescent="0.3">
      <c r="A7552" t="s">
        <v>5108</v>
      </c>
      <c r="B7552" t="s">
        <v>64</v>
      </c>
      <c r="C7552">
        <v>0.1</v>
      </c>
    </row>
    <row r="7553" spans="1:3" x14ac:dyDescent="0.3">
      <c r="A7553" t="s">
        <v>10479</v>
      </c>
      <c r="B7553" t="s">
        <v>64</v>
      </c>
      <c r="C7553">
        <v>7.0000000000000007E-2</v>
      </c>
    </row>
    <row r="7554" spans="1:3" x14ac:dyDescent="0.3">
      <c r="A7554" t="s">
        <v>10479</v>
      </c>
      <c r="B7554" t="s">
        <v>53</v>
      </c>
      <c r="C7554">
        <v>0.04</v>
      </c>
    </row>
    <row r="7555" spans="1:3" x14ac:dyDescent="0.3">
      <c r="A7555" t="s">
        <v>14397</v>
      </c>
      <c r="B7555" t="s">
        <v>53</v>
      </c>
      <c r="C7555">
        <v>0.03</v>
      </c>
    </row>
    <row r="7556" spans="1:3" x14ac:dyDescent="0.3">
      <c r="A7556" t="s">
        <v>11972</v>
      </c>
      <c r="B7556" t="s">
        <v>40</v>
      </c>
      <c r="C7556">
        <v>0.01</v>
      </c>
    </row>
    <row r="7557" spans="1:3" x14ac:dyDescent="0.3">
      <c r="A7557" t="s">
        <v>11972</v>
      </c>
      <c r="B7557" t="s">
        <v>40</v>
      </c>
      <c r="C7557">
        <v>0.02</v>
      </c>
    </row>
    <row r="7558" spans="1:3" x14ac:dyDescent="0.3">
      <c r="A7558" t="s">
        <v>14736</v>
      </c>
      <c r="B7558" t="s">
        <v>64</v>
      </c>
      <c r="C7558">
        <v>0.05</v>
      </c>
    </row>
    <row r="7559" spans="1:3" x14ac:dyDescent="0.3">
      <c r="A7559" t="s">
        <v>14736</v>
      </c>
      <c r="B7559" t="s">
        <v>64</v>
      </c>
      <c r="C7559">
        <v>0.1</v>
      </c>
    </row>
    <row r="7560" spans="1:3" x14ac:dyDescent="0.3">
      <c r="A7560" t="s">
        <v>12226</v>
      </c>
      <c r="B7560" t="s">
        <v>64</v>
      </c>
      <c r="C7560">
        <v>0</v>
      </c>
    </row>
    <row r="7561" spans="1:3" x14ac:dyDescent="0.3">
      <c r="A7561" t="s">
        <v>2288</v>
      </c>
      <c r="B7561" t="s">
        <v>29</v>
      </c>
      <c r="C7561">
        <v>0.08</v>
      </c>
    </row>
    <row r="7562" spans="1:3" x14ac:dyDescent="0.3">
      <c r="A7562" t="s">
        <v>8581</v>
      </c>
      <c r="B7562" t="s">
        <v>53</v>
      </c>
      <c r="C7562">
        <v>0.08</v>
      </c>
    </row>
    <row r="7563" spans="1:3" x14ac:dyDescent="0.3">
      <c r="A7563" t="s">
        <v>9038</v>
      </c>
      <c r="B7563" t="s">
        <v>87</v>
      </c>
      <c r="C7563">
        <v>0.02</v>
      </c>
    </row>
    <row r="7564" spans="1:3" x14ac:dyDescent="0.3">
      <c r="A7564" t="s">
        <v>9038</v>
      </c>
      <c r="B7564" t="s">
        <v>87</v>
      </c>
      <c r="C7564">
        <v>0.06</v>
      </c>
    </row>
    <row r="7565" spans="1:3" x14ac:dyDescent="0.3">
      <c r="A7565" t="s">
        <v>5549</v>
      </c>
      <c r="B7565" t="s">
        <v>53</v>
      </c>
      <c r="C7565">
        <v>0.08</v>
      </c>
    </row>
    <row r="7566" spans="1:3" x14ac:dyDescent="0.3">
      <c r="A7566" t="s">
        <v>2293</v>
      </c>
      <c r="B7566" t="s">
        <v>29</v>
      </c>
      <c r="C7566">
        <v>0.06</v>
      </c>
    </row>
    <row r="7567" spans="1:3" x14ac:dyDescent="0.3">
      <c r="A7567" t="s">
        <v>2293</v>
      </c>
      <c r="B7567" t="s">
        <v>29</v>
      </c>
      <c r="C7567">
        <v>7.0000000000000007E-2</v>
      </c>
    </row>
    <row r="7568" spans="1:3" x14ac:dyDescent="0.3">
      <c r="A7568" t="s">
        <v>14461</v>
      </c>
      <c r="B7568" t="s">
        <v>87</v>
      </c>
      <c r="C7568">
        <v>0.1</v>
      </c>
    </row>
    <row r="7569" spans="1:3" x14ac:dyDescent="0.3">
      <c r="A7569" t="s">
        <v>5369</v>
      </c>
      <c r="B7569" t="s">
        <v>225</v>
      </c>
      <c r="C7569">
        <v>0.04</v>
      </c>
    </row>
    <row r="7570" spans="1:3" x14ac:dyDescent="0.3">
      <c r="A7570" t="s">
        <v>10422</v>
      </c>
      <c r="B7570" t="s">
        <v>53</v>
      </c>
      <c r="C7570">
        <v>0.06</v>
      </c>
    </row>
    <row r="7571" spans="1:3" x14ac:dyDescent="0.3">
      <c r="A7571" t="s">
        <v>15834</v>
      </c>
      <c r="B7571" t="s">
        <v>40</v>
      </c>
      <c r="C7571">
        <v>0.06</v>
      </c>
    </row>
    <row r="7572" spans="1:3" x14ac:dyDescent="0.3">
      <c r="A7572" t="s">
        <v>15834</v>
      </c>
      <c r="B7572" t="s">
        <v>40</v>
      </c>
      <c r="C7572">
        <v>0.09</v>
      </c>
    </row>
    <row r="7573" spans="1:3" x14ac:dyDescent="0.3">
      <c r="A7573" t="s">
        <v>12067</v>
      </c>
      <c r="B7573" t="s">
        <v>40</v>
      </c>
      <c r="C7573">
        <v>0.06</v>
      </c>
    </row>
    <row r="7574" spans="1:3" x14ac:dyDescent="0.3">
      <c r="A7574" t="s">
        <v>14724</v>
      </c>
      <c r="B7574" t="s">
        <v>53</v>
      </c>
      <c r="C7574">
        <v>0.08</v>
      </c>
    </row>
    <row r="7575" spans="1:3" x14ac:dyDescent="0.3">
      <c r="A7575" t="s">
        <v>14724</v>
      </c>
      <c r="B7575" t="s">
        <v>53</v>
      </c>
      <c r="C7575">
        <v>0.09</v>
      </c>
    </row>
    <row r="7576" spans="1:3" x14ac:dyDescent="0.3">
      <c r="A7576" t="s">
        <v>11581</v>
      </c>
      <c r="B7576" t="s">
        <v>53</v>
      </c>
      <c r="C7576">
        <v>0.03</v>
      </c>
    </row>
    <row r="7577" spans="1:3" x14ac:dyDescent="0.3">
      <c r="A7577" t="s">
        <v>12630</v>
      </c>
      <c r="B7577" t="s">
        <v>40</v>
      </c>
      <c r="C7577">
        <v>0.02</v>
      </c>
    </row>
    <row r="7578" spans="1:3" x14ac:dyDescent="0.3">
      <c r="A7578" t="s">
        <v>10008</v>
      </c>
      <c r="B7578" t="s">
        <v>40</v>
      </c>
      <c r="C7578">
        <v>0.06</v>
      </c>
    </row>
    <row r="7579" spans="1:3" x14ac:dyDescent="0.3">
      <c r="A7579" t="s">
        <v>14748</v>
      </c>
      <c r="B7579" t="s">
        <v>40</v>
      </c>
      <c r="C7579">
        <v>0.02</v>
      </c>
    </row>
    <row r="7580" spans="1:3" x14ac:dyDescent="0.3">
      <c r="A7580" t="s">
        <v>14748</v>
      </c>
      <c r="B7580" t="s">
        <v>40</v>
      </c>
      <c r="C7580">
        <v>0.04</v>
      </c>
    </row>
    <row r="7581" spans="1:3" x14ac:dyDescent="0.3">
      <c r="A7581" t="s">
        <v>8985</v>
      </c>
      <c r="B7581" t="s">
        <v>64</v>
      </c>
      <c r="C7581">
        <v>0.08</v>
      </c>
    </row>
    <row r="7582" spans="1:3" x14ac:dyDescent="0.3">
      <c r="A7582" t="s">
        <v>14764</v>
      </c>
      <c r="B7582" t="s">
        <v>29</v>
      </c>
      <c r="C7582">
        <v>0.06</v>
      </c>
    </row>
    <row r="7583" spans="1:3" x14ac:dyDescent="0.3">
      <c r="A7583" t="s">
        <v>14764</v>
      </c>
      <c r="B7583" t="s">
        <v>87</v>
      </c>
      <c r="C7583">
        <v>0.03</v>
      </c>
    </row>
    <row r="7584" spans="1:3" x14ac:dyDescent="0.3">
      <c r="A7584" t="s">
        <v>12690</v>
      </c>
      <c r="B7584" t="s">
        <v>64</v>
      </c>
      <c r="C7584">
        <v>0.02</v>
      </c>
    </row>
    <row r="7585" spans="1:3" x14ac:dyDescent="0.3">
      <c r="A7585" t="s">
        <v>8938</v>
      </c>
      <c r="B7585" t="s">
        <v>53</v>
      </c>
      <c r="C7585">
        <v>0.02</v>
      </c>
    </row>
    <row r="7586" spans="1:3" x14ac:dyDescent="0.3">
      <c r="A7586" t="s">
        <v>8938</v>
      </c>
      <c r="B7586" t="s">
        <v>87</v>
      </c>
      <c r="C7586">
        <v>0.08</v>
      </c>
    </row>
    <row r="7587" spans="1:3" x14ac:dyDescent="0.3">
      <c r="A7587" t="s">
        <v>13435</v>
      </c>
      <c r="B7587" t="s">
        <v>225</v>
      </c>
      <c r="C7587">
        <v>7.0000000000000007E-2</v>
      </c>
    </row>
    <row r="7588" spans="1:3" x14ac:dyDescent="0.3">
      <c r="A7588" t="s">
        <v>13435</v>
      </c>
      <c r="B7588" t="s">
        <v>225</v>
      </c>
      <c r="C7588">
        <v>0.1</v>
      </c>
    </row>
    <row r="7589" spans="1:3" x14ac:dyDescent="0.3">
      <c r="A7589" t="s">
        <v>2421</v>
      </c>
      <c r="B7589" t="s">
        <v>40</v>
      </c>
      <c r="C7589">
        <v>0.1</v>
      </c>
    </row>
    <row r="7590" spans="1:3" x14ac:dyDescent="0.3">
      <c r="A7590" t="s">
        <v>2421</v>
      </c>
      <c r="B7590" t="s">
        <v>64</v>
      </c>
      <c r="C7590">
        <v>0.05</v>
      </c>
    </row>
    <row r="7591" spans="1:3" x14ac:dyDescent="0.3">
      <c r="A7591" t="s">
        <v>9956</v>
      </c>
      <c r="B7591" t="s">
        <v>225</v>
      </c>
      <c r="C7591">
        <v>0.04</v>
      </c>
    </row>
    <row r="7592" spans="1:3" x14ac:dyDescent="0.3">
      <c r="A7592" t="s">
        <v>14878</v>
      </c>
      <c r="B7592" t="s">
        <v>53</v>
      </c>
      <c r="C7592">
        <v>0.01</v>
      </c>
    </row>
    <row r="7593" spans="1:3" x14ac:dyDescent="0.3">
      <c r="A7593" t="s">
        <v>14878</v>
      </c>
      <c r="B7593" t="s">
        <v>53</v>
      </c>
      <c r="C7593">
        <v>7.0000000000000007E-2</v>
      </c>
    </row>
    <row r="7594" spans="1:3" x14ac:dyDescent="0.3">
      <c r="A7594" t="s">
        <v>14878</v>
      </c>
      <c r="B7594" t="s">
        <v>87</v>
      </c>
      <c r="C7594">
        <v>0</v>
      </c>
    </row>
    <row r="7595" spans="1:3" x14ac:dyDescent="0.3">
      <c r="A7595" t="s">
        <v>13655</v>
      </c>
      <c r="B7595" t="s">
        <v>40</v>
      </c>
      <c r="C7595">
        <v>0.1</v>
      </c>
    </row>
    <row r="7596" spans="1:3" x14ac:dyDescent="0.3">
      <c r="A7596" t="s">
        <v>7280</v>
      </c>
      <c r="B7596" t="s">
        <v>40</v>
      </c>
      <c r="C7596">
        <v>0.08</v>
      </c>
    </row>
    <row r="7597" spans="1:3" x14ac:dyDescent="0.3">
      <c r="A7597" t="s">
        <v>14702</v>
      </c>
      <c r="B7597" t="s">
        <v>87</v>
      </c>
      <c r="C7597">
        <v>0.01</v>
      </c>
    </row>
    <row r="7598" spans="1:3" x14ac:dyDescent="0.3">
      <c r="A7598" t="s">
        <v>11207</v>
      </c>
      <c r="B7598" t="s">
        <v>87</v>
      </c>
      <c r="C7598">
        <v>0</v>
      </c>
    </row>
    <row r="7599" spans="1:3" x14ac:dyDescent="0.3">
      <c r="A7599" t="s">
        <v>11207</v>
      </c>
      <c r="B7599" t="s">
        <v>87</v>
      </c>
      <c r="C7599">
        <v>0.1</v>
      </c>
    </row>
    <row r="7600" spans="1:3" x14ac:dyDescent="0.3">
      <c r="A7600" t="s">
        <v>13652</v>
      </c>
      <c r="B7600" t="s">
        <v>87</v>
      </c>
      <c r="C7600">
        <v>0</v>
      </c>
    </row>
    <row r="7601" spans="1:3" x14ac:dyDescent="0.3">
      <c r="A7601" t="s">
        <v>13805</v>
      </c>
      <c r="B7601" t="s">
        <v>87</v>
      </c>
      <c r="C7601">
        <v>0</v>
      </c>
    </row>
    <row r="7602" spans="1:3" x14ac:dyDescent="0.3">
      <c r="A7602" t="s">
        <v>15462</v>
      </c>
      <c r="B7602" t="s">
        <v>87</v>
      </c>
      <c r="C7602">
        <v>0.05</v>
      </c>
    </row>
    <row r="7603" spans="1:3" x14ac:dyDescent="0.3">
      <c r="A7603" t="s">
        <v>15601</v>
      </c>
      <c r="B7603" t="s">
        <v>87</v>
      </c>
      <c r="C7603">
        <v>0.01</v>
      </c>
    </row>
    <row r="7604" spans="1:3" x14ac:dyDescent="0.3">
      <c r="A7604" t="s">
        <v>15601</v>
      </c>
      <c r="B7604" t="s">
        <v>87</v>
      </c>
      <c r="C7604">
        <v>0.09</v>
      </c>
    </row>
    <row r="7605" spans="1:3" x14ac:dyDescent="0.3">
      <c r="A7605" t="s">
        <v>15601</v>
      </c>
      <c r="B7605" t="s">
        <v>87</v>
      </c>
      <c r="C7605">
        <v>0.1</v>
      </c>
    </row>
    <row r="7606" spans="1:3" x14ac:dyDescent="0.3">
      <c r="A7606" t="s">
        <v>13923</v>
      </c>
      <c r="B7606" t="s">
        <v>87</v>
      </c>
      <c r="C7606">
        <v>0.1</v>
      </c>
    </row>
    <row r="7607" spans="1:3" x14ac:dyDescent="0.3">
      <c r="A7607" t="s">
        <v>10761</v>
      </c>
      <c r="B7607" t="s">
        <v>29</v>
      </c>
      <c r="C7607">
        <v>0.03</v>
      </c>
    </row>
    <row r="7608" spans="1:3" x14ac:dyDescent="0.3">
      <c r="A7608" t="s">
        <v>10761</v>
      </c>
      <c r="B7608" t="s">
        <v>29</v>
      </c>
      <c r="C7608">
        <v>0.06</v>
      </c>
    </row>
    <row r="7609" spans="1:3" x14ac:dyDescent="0.3">
      <c r="A7609" t="s">
        <v>9293</v>
      </c>
      <c r="B7609" t="s">
        <v>225</v>
      </c>
      <c r="C7609">
        <v>0.03</v>
      </c>
    </row>
    <row r="7610" spans="1:3" x14ac:dyDescent="0.3">
      <c r="A7610" t="s">
        <v>9293</v>
      </c>
      <c r="B7610" t="s">
        <v>225</v>
      </c>
      <c r="C7610">
        <v>0.1</v>
      </c>
    </row>
    <row r="7611" spans="1:3" x14ac:dyDescent="0.3">
      <c r="A7611" t="s">
        <v>14401</v>
      </c>
      <c r="B7611" t="s">
        <v>40</v>
      </c>
      <c r="C7611">
        <v>0.03</v>
      </c>
    </row>
    <row r="7612" spans="1:3" x14ac:dyDescent="0.3">
      <c r="A7612" t="s">
        <v>14401</v>
      </c>
      <c r="B7612" t="s">
        <v>40</v>
      </c>
      <c r="C7612">
        <v>0.08</v>
      </c>
    </row>
    <row r="7613" spans="1:3" x14ac:dyDescent="0.3">
      <c r="A7613" t="s">
        <v>9753</v>
      </c>
      <c r="B7613" t="s">
        <v>64</v>
      </c>
      <c r="C7613">
        <v>0.05</v>
      </c>
    </row>
    <row r="7614" spans="1:3" x14ac:dyDescent="0.3">
      <c r="A7614" t="s">
        <v>8708</v>
      </c>
      <c r="B7614" t="s">
        <v>53</v>
      </c>
      <c r="C7614">
        <v>0.05</v>
      </c>
    </row>
    <row r="7615" spans="1:3" x14ac:dyDescent="0.3">
      <c r="A7615" t="s">
        <v>12131</v>
      </c>
      <c r="B7615" t="s">
        <v>40</v>
      </c>
      <c r="C7615">
        <v>0.03</v>
      </c>
    </row>
    <row r="7616" spans="1:3" x14ac:dyDescent="0.3">
      <c r="A7616" t="s">
        <v>6949</v>
      </c>
      <c r="B7616" t="s">
        <v>53</v>
      </c>
      <c r="C7616">
        <v>0.01</v>
      </c>
    </row>
    <row r="7617" spans="1:3" x14ac:dyDescent="0.3">
      <c r="A7617" t="s">
        <v>2826</v>
      </c>
      <c r="B7617" t="s">
        <v>53</v>
      </c>
      <c r="C7617">
        <v>0.01</v>
      </c>
    </row>
    <row r="7618" spans="1:3" x14ac:dyDescent="0.3">
      <c r="A7618" t="s">
        <v>2826</v>
      </c>
      <c r="B7618" t="s">
        <v>53</v>
      </c>
      <c r="C7618">
        <v>7.0000000000000007E-2</v>
      </c>
    </row>
    <row r="7619" spans="1:3" x14ac:dyDescent="0.3">
      <c r="A7619" t="s">
        <v>2826</v>
      </c>
      <c r="B7619" t="s">
        <v>87</v>
      </c>
      <c r="C7619">
        <v>0.09</v>
      </c>
    </row>
    <row r="7620" spans="1:3" x14ac:dyDescent="0.3">
      <c r="A7620" t="s">
        <v>15081</v>
      </c>
      <c r="B7620" t="s">
        <v>40</v>
      </c>
      <c r="C7620">
        <v>0.06</v>
      </c>
    </row>
    <row r="7621" spans="1:3" x14ac:dyDescent="0.3">
      <c r="A7621" t="s">
        <v>15081</v>
      </c>
      <c r="B7621" t="s">
        <v>40</v>
      </c>
      <c r="C7621">
        <v>0.1</v>
      </c>
    </row>
    <row r="7622" spans="1:3" x14ac:dyDescent="0.3">
      <c r="A7622" t="s">
        <v>14474</v>
      </c>
      <c r="B7622" t="s">
        <v>40</v>
      </c>
      <c r="C7622">
        <v>0.03</v>
      </c>
    </row>
    <row r="7623" spans="1:3" x14ac:dyDescent="0.3">
      <c r="A7623" t="s">
        <v>14671</v>
      </c>
      <c r="B7623" t="s">
        <v>40</v>
      </c>
      <c r="C7623">
        <v>0.06</v>
      </c>
    </row>
    <row r="7624" spans="1:3" x14ac:dyDescent="0.3">
      <c r="A7624" t="s">
        <v>12270</v>
      </c>
      <c r="B7624" t="s">
        <v>87</v>
      </c>
      <c r="C7624">
        <v>0.03</v>
      </c>
    </row>
    <row r="7625" spans="1:3" x14ac:dyDescent="0.3">
      <c r="A7625" t="s">
        <v>15454</v>
      </c>
      <c r="B7625" t="s">
        <v>64</v>
      </c>
      <c r="C7625">
        <v>0.04</v>
      </c>
    </row>
    <row r="7626" spans="1:3" x14ac:dyDescent="0.3">
      <c r="A7626" t="s">
        <v>15454</v>
      </c>
      <c r="B7626" t="s">
        <v>64</v>
      </c>
      <c r="C7626">
        <v>0.05</v>
      </c>
    </row>
    <row r="7627" spans="1:3" x14ac:dyDescent="0.3">
      <c r="A7627" t="s">
        <v>15021</v>
      </c>
      <c r="B7627" t="s">
        <v>53</v>
      </c>
      <c r="C7627">
        <v>0.06</v>
      </c>
    </row>
    <row r="7628" spans="1:3" x14ac:dyDescent="0.3">
      <c r="A7628" t="s">
        <v>15021</v>
      </c>
      <c r="B7628" t="s">
        <v>53</v>
      </c>
      <c r="C7628">
        <v>0.1</v>
      </c>
    </row>
    <row r="7629" spans="1:3" x14ac:dyDescent="0.3">
      <c r="A7629" t="s">
        <v>11014</v>
      </c>
      <c r="B7629" t="s">
        <v>87</v>
      </c>
      <c r="C7629">
        <v>0.03</v>
      </c>
    </row>
    <row r="7630" spans="1:3" x14ac:dyDescent="0.3">
      <c r="A7630" t="s">
        <v>8140</v>
      </c>
      <c r="B7630" t="s">
        <v>87</v>
      </c>
      <c r="C7630">
        <v>0.03</v>
      </c>
    </row>
    <row r="7631" spans="1:3" x14ac:dyDescent="0.3">
      <c r="A7631" t="s">
        <v>15420</v>
      </c>
      <c r="B7631" t="s">
        <v>53</v>
      </c>
      <c r="C7631">
        <v>0.03</v>
      </c>
    </row>
    <row r="7632" spans="1:3" x14ac:dyDescent="0.3">
      <c r="A7632" t="s">
        <v>15420</v>
      </c>
      <c r="B7632" t="s">
        <v>53</v>
      </c>
      <c r="C7632">
        <v>0.05</v>
      </c>
    </row>
    <row r="7633" spans="1:3" x14ac:dyDescent="0.3">
      <c r="A7633" t="s">
        <v>15420</v>
      </c>
      <c r="B7633" t="s">
        <v>53</v>
      </c>
      <c r="C7633">
        <v>0.09</v>
      </c>
    </row>
    <row r="7634" spans="1:3" x14ac:dyDescent="0.3">
      <c r="A7634" t="s">
        <v>13316</v>
      </c>
      <c r="B7634" t="s">
        <v>87</v>
      </c>
      <c r="C7634">
        <v>0.01</v>
      </c>
    </row>
    <row r="7635" spans="1:3" x14ac:dyDescent="0.3">
      <c r="A7635" t="s">
        <v>13869</v>
      </c>
      <c r="B7635" t="s">
        <v>53</v>
      </c>
      <c r="C7635">
        <v>0.02</v>
      </c>
    </row>
    <row r="7636" spans="1:3" x14ac:dyDescent="0.3">
      <c r="A7636" t="s">
        <v>8325</v>
      </c>
      <c r="B7636" t="s">
        <v>87</v>
      </c>
      <c r="C7636">
        <v>0.06</v>
      </c>
    </row>
    <row r="7637" spans="1:3" x14ac:dyDescent="0.3">
      <c r="A7637" t="s">
        <v>15752</v>
      </c>
      <c r="B7637" t="s">
        <v>53</v>
      </c>
      <c r="C7637">
        <v>0</v>
      </c>
    </row>
    <row r="7638" spans="1:3" x14ac:dyDescent="0.3">
      <c r="A7638" t="s">
        <v>15752</v>
      </c>
      <c r="B7638" t="s">
        <v>53</v>
      </c>
      <c r="C7638">
        <v>0.04</v>
      </c>
    </row>
    <row r="7639" spans="1:3" x14ac:dyDescent="0.3">
      <c r="A7639" t="s">
        <v>12649</v>
      </c>
      <c r="B7639" t="s">
        <v>40</v>
      </c>
      <c r="C7639">
        <v>0.03</v>
      </c>
    </row>
    <row r="7640" spans="1:3" x14ac:dyDescent="0.3">
      <c r="A7640" t="s">
        <v>12649</v>
      </c>
      <c r="B7640" t="s">
        <v>53</v>
      </c>
      <c r="C7640">
        <v>0.06</v>
      </c>
    </row>
    <row r="7641" spans="1:3" x14ac:dyDescent="0.3">
      <c r="A7641" t="s">
        <v>2392</v>
      </c>
      <c r="B7641" t="s">
        <v>40</v>
      </c>
      <c r="C7641">
        <v>0.06</v>
      </c>
    </row>
    <row r="7642" spans="1:3" x14ac:dyDescent="0.3">
      <c r="A7642" t="s">
        <v>6749</v>
      </c>
      <c r="B7642" t="s">
        <v>87</v>
      </c>
      <c r="C7642">
        <v>0.04</v>
      </c>
    </row>
    <row r="7643" spans="1:3" x14ac:dyDescent="0.3">
      <c r="A7643" t="s">
        <v>2402</v>
      </c>
      <c r="B7643" t="s">
        <v>87</v>
      </c>
      <c r="C7643">
        <v>0</v>
      </c>
    </row>
    <row r="7644" spans="1:3" x14ac:dyDescent="0.3">
      <c r="A7644" t="s">
        <v>4403</v>
      </c>
      <c r="B7644" t="s">
        <v>87</v>
      </c>
      <c r="C7644">
        <v>0</v>
      </c>
    </row>
    <row r="7645" spans="1:3" x14ac:dyDescent="0.3">
      <c r="A7645" t="s">
        <v>7581</v>
      </c>
      <c r="B7645" t="s">
        <v>53</v>
      </c>
      <c r="C7645">
        <v>0.08</v>
      </c>
    </row>
    <row r="7646" spans="1:3" x14ac:dyDescent="0.3">
      <c r="A7646" t="s">
        <v>10292</v>
      </c>
      <c r="B7646" t="s">
        <v>53</v>
      </c>
      <c r="C7646">
        <v>0.03</v>
      </c>
    </row>
    <row r="7647" spans="1:3" x14ac:dyDescent="0.3">
      <c r="A7647" t="s">
        <v>12719</v>
      </c>
      <c r="B7647" t="s">
        <v>40</v>
      </c>
      <c r="C7647">
        <v>0</v>
      </c>
    </row>
    <row r="7648" spans="1:3" x14ac:dyDescent="0.3">
      <c r="A7648" t="s">
        <v>13088</v>
      </c>
      <c r="B7648" t="s">
        <v>53</v>
      </c>
      <c r="C7648">
        <v>0.09</v>
      </c>
    </row>
    <row r="7649" spans="1:3" x14ac:dyDescent="0.3">
      <c r="A7649" t="s">
        <v>11600</v>
      </c>
      <c r="B7649" t="s">
        <v>40</v>
      </c>
      <c r="C7649">
        <v>0.1</v>
      </c>
    </row>
    <row r="7650" spans="1:3" x14ac:dyDescent="0.3">
      <c r="A7650" t="s">
        <v>15615</v>
      </c>
      <c r="B7650" t="s">
        <v>53</v>
      </c>
      <c r="C7650">
        <v>0.05</v>
      </c>
    </row>
    <row r="7651" spans="1:3" x14ac:dyDescent="0.3">
      <c r="A7651" t="s">
        <v>14340</v>
      </c>
      <c r="B7651" t="s">
        <v>53</v>
      </c>
      <c r="C7651">
        <v>7.0000000000000007E-2</v>
      </c>
    </row>
    <row r="7652" spans="1:3" x14ac:dyDescent="0.3">
      <c r="A7652" t="s">
        <v>3391</v>
      </c>
      <c r="B7652" t="s">
        <v>29</v>
      </c>
      <c r="C7652">
        <v>0.06</v>
      </c>
    </row>
    <row r="7653" spans="1:3" x14ac:dyDescent="0.3">
      <c r="A7653" t="s">
        <v>10744</v>
      </c>
      <c r="B7653" t="s">
        <v>53</v>
      </c>
      <c r="C7653">
        <v>0.01</v>
      </c>
    </row>
    <row r="7654" spans="1:3" x14ac:dyDescent="0.3">
      <c r="A7654" t="s">
        <v>10744</v>
      </c>
      <c r="B7654" t="s">
        <v>53</v>
      </c>
      <c r="C7654">
        <v>0.05</v>
      </c>
    </row>
    <row r="7655" spans="1:3" x14ac:dyDescent="0.3">
      <c r="A7655" t="s">
        <v>10744</v>
      </c>
      <c r="B7655" t="s">
        <v>53</v>
      </c>
      <c r="C7655">
        <v>7.0000000000000007E-2</v>
      </c>
    </row>
    <row r="7656" spans="1:3" x14ac:dyDescent="0.3">
      <c r="A7656" t="s">
        <v>15413</v>
      </c>
      <c r="B7656" t="s">
        <v>87</v>
      </c>
      <c r="C7656">
        <v>0.03</v>
      </c>
    </row>
    <row r="7657" spans="1:3" x14ac:dyDescent="0.3">
      <c r="A7657" t="s">
        <v>6711</v>
      </c>
      <c r="B7657" t="s">
        <v>225</v>
      </c>
      <c r="C7657">
        <v>0.03</v>
      </c>
    </row>
    <row r="7658" spans="1:3" x14ac:dyDescent="0.3">
      <c r="A7658" t="s">
        <v>15529</v>
      </c>
      <c r="B7658" t="s">
        <v>87</v>
      </c>
      <c r="C7658">
        <v>0.08</v>
      </c>
    </row>
    <row r="7659" spans="1:3" x14ac:dyDescent="0.3">
      <c r="A7659" t="s">
        <v>15529</v>
      </c>
      <c r="B7659" t="s">
        <v>87</v>
      </c>
      <c r="C7659">
        <v>0.1</v>
      </c>
    </row>
    <row r="7660" spans="1:3" x14ac:dyDescent="0.3">
      <c r="A7660" t="s">
        <v>7703</v>
      </c>
      <c r="B7660" t="s">
        <v>40</v>
      </c>
      <c r="C7660">
        <v>0.02</v>
      </c>
    </row>
    <row r="7661" spans="1:3" x14ac:dyDescent="0.3">
      <c r="A7661" t="s">
        <v>2427</v>
      </c>
      <c r="B7661" t="s">
        <v>225</v>
      </c>
      <c r="C7661">
        <v>7.0000000000000007E-2</v>
      </c>
    </row>
    <row r="7662" spans="1:3" x14ac:dyDescent="0.3">
      <c r="A7662" t="s">
        <v>9787</v>
      </c>
      <c r="B7662" t="s">
        <v>29</v>
      </c>
      <c r="C7662">
        <v>0.08</v>
      </c>
    </row>
    <row r="7663" spans="1:3" x14ac:dyDescent="0.3">
      <c r="A7663" t="s">
        <v>3984</v>
      </c>
      <c r="B7663" t="s">
        <v>53</v>
      </c>
      <c r="C7663">
        <v>0.01</v>
      </c>
    </row>
    <row r="7664" spans="1:3" x14ac:dyDescent="0.3">
      <c r="A7664" t="s">
        <v>3554</v>
      </c>
      <c r="B7664" t="s">
        <v>40</v>
      </c>
      <c r="C7664">
        <v>0.01</v>
      </c>
    </row>
    <row r="7665" spans="1:3" x14ac:dyDescent="0.3">
      <c r="A7665" t="s">
        <v>2682</v>
      </c>
      <c r="B7665" t="s">
        <v>87</v>
      </c>
      <c r="C7665">
        <v>7.0000000000000007E-2</v>
      </c>
    </row>
    <row r="7666" spans="1:3" x14ac:dyDescent="0.3">
      <c r="A7666" t="s">
        <v>15488</v>
      </c>
      <c r="B7666" t="s">
        <v>64</v>
      </c>
      <c r="C7666">
        <v>7.0000000000000007E-2</v>
      </c>
    </row>
    <row r="7667" spans="1:3" x14ac:dyDescent="0.3">
      <c r="A7667" t="s">
        <v>2483</v>
      </c>
      <c r="B7667" t="s">
        <v>64</v>
      </c>
      <c r="C7667">
        <v>0.03</v>
      </c>
    </row>
    <row r="7668" spans="1:3" x14ac:dyDescent="0.3">
      <c r="A7668" t="s">
        <v>2483</v>
      </c>
      <c r="B7668" t="s">
        <v>64</v>
      </c>
      <c r="C7668">
        <v>0.04</v>
      </c>
    </row>
    <row r="7669" spans="1:3" x14ac:dyDescent="0.3">
      <c r="A7669" t="s">
        <v>13722</v>
      </c>
      <c r="B7669" t="s">
        <v>29</v>
      </c>
      <c r="C7669">
        <v>0.03</v>
      </c>
    </row>
    <row r="7670" spans="1:3" x14ac:dyDescent="0.3">
      <c r="A7670" t="s">
        <v>6888</v>
      </c>
      <c r="B7670" t="s">
        <v>64</v>
      </c>
      <c r="C7670">
        <v>0.09</v>
      </c>
    </row>
    <row r="7671" spans="1:3" x14ac:dyDescent="0.3">
      <c r="A7671" t="s">
        <v>2512</v>
      </c>
      <c r="B7671" t="s">
        <v>53</v>
      </c>
      <c r="C7671">
        <v>0.09</v>
      </c>
    </row>
    <row r="7672" spans="1:3" x14ac:dyDescent="0.3">
      <c r="A7672" t="s">
        <v>2512</v>
      </c>
      <c r="B7672" t="s">
        <v>87</v>
      </c>
      <c r="C7672">
        <v>0.1</v>
      </c>
    </row>
    <row r="7673" spans="1:3" x14ac:dyDescent="0.3">
      <c r="A7673" t="s">
        <v>13933</v>
      </c>
      <c r="B7673" t="s">
        <v>40</v>
      </c>
      <c r="C7673">
        <v>0.09</v>
      </c>
    </row>
    <row r="7674" spans="1:3" x14ac:dyDescent="0.3">
      <c r="A7674" t="s">
        <v>4941</v>
      </c>
      <c r="B7674" t="s">
        <v>29</v>
      </c>
      <c r="C7674">
        <v>7.0000000000000007E-2</v>
      </c>
    </row>
    <row r="7675" spans="1:3" x14ac:dyDescent="0.3">
      <c r="A7675" t="s">
        <v>13656</v>
      </c>
      <c r="B7675" t="s">
        <v>64</v>
      </c>
      <c r="C7675">
        <v>0</v>
      </c>
    </row>
    <row r="7676" spans="1:3" x14ac:dyDescent="0.3">
      <c r="A7676" t="s">
        <v>13215</v>
      </c>
      <c r="B7676" t="s">
        <v>53</v>
      </c>
      <c r="C7676">
        <v>0</v>
      </c>
    </row>
    <row r="7677" spans="1:3" x14ac:dyDescent="0.3">
      <c r="A7677" t="s">
        <v>13215</v>
      </c>
      <c r="B7677" t="s">
        <v>53</v>
      </c>
      <c r="C7677">
        <v>0.09</v>
      </c>
    </row>
    <row r="7678" spans="1:3" x14ac:dyDescent="0.3">
      <c r="A7678" t="s">
        <v>9149</v>
      </c>
      <c r="B7678" t="s">
        <v>40</v>
      </c>
      <c r="C7678">
        <v>0.09</v>
      </c>
    </row>
    <row r="7679" spans="1:3" x14ac:dyDescent="0.3">
      <c r="A7679" t="s">
        <v>12124</v>
      </c>
      <c r="B7679" t="s">
        <v>225</v>
      </c>
      <c r="C7679">
        <v>0.02</v>
      </c>
    </row>
    <row r="7680" spans="1:3" x14ac:dyDescent="0.3">
      <c r="A7680" t="s">
        <v>4354</v>
      </c>
      <c r="B7680" t="s">
        <v>53</v>
      </c>
      <c r="C7680">
        <v>0</v>
      </c>
    </row>
    <row r="7681" spans="1:3" x14ac:dyDescent="0.3">
      <c r="A7681" t="s">
        <v>12553</v>
      </c>
      <c r="B7681" t="s">
        <v>53</v>
      </c>
      <c r="C7681">
        <v>0</v>
      </c>
    </row>
    <row r="7682" spans="1:3" x14ac:dyDescent="0.3">
      <c r="A7682" t="s">
        <v>3848</v>
      </c>
      <c r="B7682" t="s">
        <v>225</v>
      </c>
      <c r="C7682">
        <v>0.06</v>
      </c>
    </row>
    <row r="7683" spans="1:3" x14ac:dyDescent="0.3">
      <c r="A7683" t="s">
        <v>6958</v>
      </c>
      <c r="B7683" t="s">
        <v>225</v>
      </c>
      <c r="C7683">
        <v>0.01</v>
      </c>
    </row>
    <row r="7684" spans="1:3" x14ac:dyDescent="0.3">
      <c r="A7684" t="s">
        <v>6958</v>
      </c>
      <c r="B7684" t="s">
        <v>53</v>
      </c>
      <c r="C7684">
        <v>0.02</v>
      </c>
    </row>
    <row r="7685" spans="1:3" x14ac:dyDescent="0.3">
      <c r="A7685" t="s">
        <v>14271</v>
      </c>
      <c r="B7685" t="s">
        <v>53</v>
      </c>
      <c r="C7685">
        <v>0.05</v>
      </c>
    </row>
    <row r="7686" spans="1:3" x14ac:dyDescent="0.3">
      <c r="A7686" t="s">
        <v>15650</v>
      </c>
      <c r="B7686" t="s">
        <v>64</v>
      </c>
      <c r="C7686">
        <v>0.01</v>
      </c>
    </row>
    <row r="7687" spans="1:3" x14ac:dyDescent="0.3">
      <c r="A7687" t="s">
        <v>15650</v>
      </c>
      <c r="B7687" t="s">
        <v>64</v>
      </c>
      <c r="C7687">
        <v>0.09</v>
      </c>
    </row>
    <row r="7688" spans="1:3" x14ac:dyDescent="0.3">
      <c r="A7688" t="s">
        <v>2581</v>
      </c>
      <c r="B7688" t="s">
        <v>29</v>
      </c>
      <c r="C7688">
        <v>0.02</v>
      </c>
    </row>
    <row r="7689" spans="1:3" x14ac:dyDescent="0.3">
      <c r="A7689" t="s">
        <v>2581</v>
      </c>
      <c r="B7689" t="s">
        <v>29</v>
      </c>
      <c r="C7689">
        <v>0.09</v>
      </c>
    </row>
    <row r="7690" spans="1:3" x14ac:dyDescent="0.3">
      <c r="A7690" t="s">
        <v>9738</v>
      </c>
      <c r="B7690" t="s">
        <v>53</v>
      </c>
      <c r="C7690">
        <v>0</v>
      </c>
    </row>
    <row r="7691" spans="1:3" x14ac:dyDescent="0.3">
      <c r="A7691" t="s">
        <v>9738</v>
      </c>
      <c r="B7691" t="s">
        <v>53</v>
      </c>
      <c r="C7691">
        <v>7.0000000000000007E-2</v>
      </c>
    </row>
    <row r="7692" spans="1:3" x14ac:dyDescent="0.3">
      <c r="A7692" t="s">
        <v>9759</v>
      </c>
      <c r="B7692" t="s">
        <v>87</v>
      </c>
      <c r="C7692">
        <v>0.02</v>
      </c>
    </row>
    <row r="7693" spans="1:3" x14ac:dyDescent="0.3">
      <c r="A7693" t="s">
        <v>12556</v>
      </c>
      <c r="B7693" t="s">
        <v>87</v>
      </c>
      <c r="C7693">
        <v>0.03</v>
      </c>
    </row>
    <row r="7694" spans="1:3" x14ac:dyDescent="0.3">
      <c r="A7694" t="s">
        <v>12556</v>
      </c>
      <c r="B7694" t="s">
        <v>87</v>
      </c>
      <c r="C7694">
        <v>0.05</v>
      </c>
    </row>
    <row r="7695" spans="1:3" x14ac:dyDescent="0.3">
      <c r="A7695" t="s">
        <v>5839</v>
      </c>
      <c r="B7695" t="s">
        <v>225</v>
      </c>
      <c r="C7695">
        <v>0.1</v>
      </c>
    </row>
    <row r="7696" spans="1:3" x14ac:dyDescent="0.3">
      <c r="A7696" t="s">
        <v>5839</v>
      </c>
      <c r="B7696" t="s">
        <v>53</v>
      </c>
      <c r="C7696">
        <v>0.05</v>
      </c>
    </row>
    <row r="7697" spans="1:3" x14ac:dyDescent="0.3">
      <c r="A7697" t="s">
        <v>6240</v>
      </c>
      <c r="B7697" t="s">
        <v>87</v>
      </c>
      <c r="C7697">
        <v>0.08</v>
      </c>
    </row>
    <row r="7698" spans="1:3" x14ac:dyDescent="0.3">
      <c r="A7698" t="s">
        <v>15209</v>
      </c>
      <c r="B7698" t="s">
        <v>29</v>
      </c>
      <c r="C7698">
        <v>0</v>
      </c>
    </row>
    <row r="7699" spans="1:3" x14ac:dyDescent="0.3">
      <c r="A7699" t="s">
        <v>11415</v>
      </c>
      <c r="B7699" t="s">
        <v>29</v>
      </c>
      <c r="C7699">
        <v>0.06</v>
      </c>
    </row>
    <row r="7700" spans="1:3" x14ac:dyDescent="0.3">
      <c r="A7700" t="s">
        <v>13093</v>
      </c>
      <c r="B7700" t="s">
        <v>29</v>
      </c>
      <c r="C7700">
        <v>0.01</v>
      </c>
    </row>
    <row r="7701" spans="1:3" x14ac:dyDescent="0.3">
      <c r="A7701" t="s">
        <v>13093</v>
      </c>
      <c r="B7701" t="s">
        <v>29</v>
      </c>
      <c r="C7701">
        <v>0.03</v>
      </c>
    </row>
    <row r="7702" spans="1:3" x14ac:dyDescent="0.3">
      <c r="A7702" t="s">
        <v>12813</v>
      </c>
      <c r="B7702" t="s">
        <v>29</v>
      </c>
      <c r="C7702">
        <v>0.05</v>
      </c>
    </row>
    <row r="7703" spans="1:3" x14ac:dyDescent="0.3">
      <c r="A7703" t="s">
        <v>12813</v>
      </c>
      <c r="B7703" t="s">
        <v>29</v>
      </c>
      <c r="C7703">
        <v>0.06</v>
      </c>
    </row>
    <row r="7704" spans="1:3" x14ac:dyDescent="0.3">
      <c r="A7704" t="s">
        <v>13003</v>
      </c>
      <c r="B7704" t="s">
        <v>40</v>
      </c>
      <c r="C7704">
        <v>0.03</v>
      </c>
    </row>
    <row r="7705" spans="1:3" x14ac:dyDescent="0.3">
      <c r="A7705" t="s">
        <v>2620</v>
      </c>
      <c r="B7705" t="s">
        <v>53</v>
      </c>
      <c r="C7705">
        <v>0.05</v>
      </c>
    </row>
    <row r="7706" spans="1:3" x14ac:dyDescent="0.3">
      <c r="A7706" t="s">
        <v>2620</v>
      </c>
      <c r="B7706" t="s">
        <v>53</v>
      </c>
      <c r="C7706">
        <v>7.0000000000000007E-2</v>
      </c>
    </row>
    <row r="7707" spans="1:3" x14ac:dyDescent="0.3">
      <c r="A7707" t="s">
        <v>9249</v>
      </c>
      <c r="B7707" t="s">
        <v>53</v>
      </c>
      <c r="C7707">
        <v>0.03</v>
      </c>
    </row>
    <row r="7708" spans="1:3" x14ac:dyDescent="0.3">
      <c r="A7708" t="s">
        <v>2626</v>
      </c>
      <c r="B7708" t="s">
        <v>87</v>
      </c>
      <c r="C7708">
        <v>0.06</v>
      </c>
    </row>
    <row r="7709" spans="1:3" x14ac:dyDescent="0.3">
      <c r="A7709" t="s">
        <v>13234</v>
      </c>
      <c r="B7709" t="s">
        <v>29</v>
      </c>
      <c r="C7709">
        <v>0.09</v>
      </c>
    </row>
    <row r="7710" spans="1:3" x14ac:dyDescent="0.3">
      <c r="A7710" t="s">
        <v>7469</v>
      </c>
      <c r="B7710" t="s">
        <v>87</v>
      </c>
      <c r="C7710">
        <v>0.03</v>
      </c>
    </row>
    <row r="7711" spans="1:3" x14ac:dyDescent="0.3">
      <c r="A7711" t="s">
        <v>7469</v>
      </c>
      <c r="B7711" t="s">
        <v>87</v>
      </c>
      <c r="C7711">
        <v>7.0000000000000007E-2</v>
      </c>
    </row>
    <row r="7712" spans="1:3" x14ac:dyDescent="0.3">
      <c r="A7712" t="s">
        <v>11794</v>
      </c>
      <c r="B7712" t="s">
        <v>40</v>
      </c>
      <c r="C7712">
        <v>0.08</v>
      </c>
    </row>
    <row r="7713" spans="1:3" x14ac:dyDescent="0.3">
      <c r="A7713" t="s">
        <v>15713</v>
      </c>
      <c r="B7713" t="s">
        <v>40</v>
      </c>
      <c r="C7713">
        <v>0.1</v>
      </c>
    </row>
    <row r="7714" spans="1:3" x14ac:dyDescent="0.3">
      <c r="A7714" t="s">
        <v>8711</v>
      </c>
      <c r="B7714" t="s">
        <v>53</v>
      </c>
      <c r="C7714">
        <v>0.06</v>
      </c>
    </row>
    <row r="7715" spans="1:3" x14ac:dyDescent="0.3">
      <c r="A7715" t="s">
        <v>8694</v>
      </c>
      <c r="B7715" t="s">
        <v>87</v>
      </c>
      <c r="C7715">
        <v>0</v>
      </c>
    </row>
    <row r="7716" spans="1:3" x14ac:dyDescent="0.3">
      <c r="A7716" t="s">
        <v>8694</v>
      </c>
      <c r="B7716" t="s">
        <v>87</v>
      </c>
      <c r="C7716">
        <v>0.01</v>
      </c>
    </row>
    <row r="7717" spans="1:3" x14ac:dyDescent="0.3">
      <c r="A7717" t="s">
        <v>8694</v>
      </c>
      <c r="B7717" t="s">
        <v>87</v>
      </c>
      <c r="C7717">
        <v>0.03</v>
      </c>
    </row>
    <row r="7718" spans="1:3" x14ac:dyDescent="0.3">
      <c r="A7718" t="s">
        <v>9973</v>
      </c>
      <c r="B7718" t="s">
        <v>87</v>
      </c>
      <c r="C7718">
        <v>0.03</v>
      </c>
    </row>
    <row r="7719" spans="1:3" x14ac:dyDescent="0.3">
      <c r="A7719" t="s">
        <v>13521</v>
      </c>
      <c r="B7719" t="s">
        <v>29</v>
      </c>
      <c r="C7719">
        <v>0.02</v>
      </c>
    </row>
    <row r="7720" spans="1:3" x14ac:dyDescent="0.3">
      <c r="A7720" t="s">
        <v>13521</v>
      </c>
      <c r="B7720" t="s">
        <v>29</v>
      </c>
      <c r="C7720">
        <v>0.06</v>
      </c>
    </row>
    <row r="7721" spans="1:3" x14ac:dyDescent="0.3">
      <c r="A7721" t="s">
        <v>8254</v>
      </c>
      <c r="B7721" t="s">
        <v>53</v>
      </c>
      <c r="C7721">
        <v>0.01</v>
      </c>
    </row>
    <row r="7722" spans="1:3" x14ac:dyDescent="0.3">
      <c r="A7722" t="s">
        <v>8254</v>
      </c>
      <c r="B7722" t="s">
        <v>87</v>
      </c>
      <c r="C7722">
        <v>0.1</v>
      </c>
    </row>
    <row r="7723" spans="1:3" x14ac:dyDescent="0.3">
      <c r="A7723" t="s">
        <v>11370</v>
      </c>
      <c r="B7723" t="s">
        <v>29</v>
      </c>
      <c r="C7723">
        <v>0.02</v>
      </c>
    </row>
    <row r="7724" spans="1:3" x14ac:dyDescent="0.3">
      <c r="A7724" t="s">
        <v>14758</v>
      </c>
      <c r="B7724" t="s">
        <v>29</v>
      </c>
      <c r="C7724">
        <v>0.08</v>
      </c>
    </row>
    <row r="7725" spans="1:3" x14ac:dyDescent="0.3">
      <c r="A7725" t="s">
        <v>13677</v>
      </c>
      <c r="B7725" t="s">
        <v>64</v>
      </c>
      <c r="C7725">
        <v>0.06</v>
      </c>
    </row>
    <row r="7726" spans="1:3" x14ac:dyDescent="0.3">
      <c r="A7726" t="s">
        <v>2705</v>
      </c>
      <c r="B7726" t="s">
        <v>225</v>
      </c>
      <c r="C7726">
        <v>0.1</v>
      </c>
    </row>
    <row r="7727" spans="1:3" x14ac:dyDescent="0.3">
      <c r="A7727" t="s">
        <v>15738</v>
      </c>
      <c r="B7727" t="s">
        <v>225</v>
      </c>
      <c r="C7727">
        <v>0.06</v>
      </c>
    </row>
    <row r="7728" spans="1:3" x14ac:dyDescent="0.3">
      <c r="A7728" t="s">
        <v>15036</v>
      </c>
      <c r="B7728" t="s">
        <v>225</v>
      </c>
      <c r="C7728">
        <v>0.02</v>
      </c>
    </row>
    <row r="7729" spans="1:3" x14ac:dyDescent="0.3">
      <c r="A7729" t="s">
        <v>2724</v>
      </c>
      <c r="B7729" t="s">
        <v>40</v>
      </c>
      <c r="C7729">
        <v>0.01</v>
      </c>
    </row>
    <row r="7730" spans="1:3" x14ac:dyDescent="0.3">
      <c r="A7730" t="s">
        <v>9522</v>
      </c>
      <c r="B7730" t="s">
        <v>87</v>
      </c>
      <c r="C7730">
        <v>0</v>
      </c>
    </row>
    <row r="7731" spans="1:3" x14ac:dyDescent="0.3">
      <c r="A7731" t="s">
        <v>13691</v>
      </c>
      <c r="B7731" t="s">
        <v>87</v>
      </c>
      <c r="C7731">
        <v>0.08</v>
      </c>
    </row>
    <row r="7732" spans="1:3" x14ac:dyDescent="0.3">
      <c r="A7732" t="s">
        <v>2730</v>
      </c>
      <c r="B7732" t="s">
        <v>87</v>
      </c>
      <c r="C7732">
        <v>0.05</v>
      </c>
    </row>
    <row r="7733" spans="1:3" x14ac:dyDescent="0.3">
      <c r="A7733" t="s">
        <v>2730</v>
      </c>
      <c r="B7733" t="s">
        <v>87</v>
      </c>
      <c r="C7733">
        <v>7.0000000000000007E-2</v>
      </c>
    </row>
    <row r="7734" spans="1:3" x14ac:dyDescent="0.3">
      <c r="A7734" t="s">
        <v>8260</v>
      </c>
      <c r="B7734" t="s">
        <v>87</v>
      </c>
      <c r="C7734">
        <v>0.02</v>
      </c>
    </row>
    <row r="7735" spans="1:3" x14ac:dyDescent="0.3">
      <c r="A7735" t="s">
        <v>8260</v>
      </c>
      <c r="B7735" t="s">
        <v>87</v>
      </c>
      <c r="C7735">
        <v>7.0000000000000007E-2</v>
      </c>
    </row>
    <row r="7736" spans="1:3" x14ac:dyDescent="0.3">
      <c r="A7736" t="s">
        <v>13690</v>
      </c>
      <c r="B7736" t="s">
        <v>87</v>
      </c>
      <c r="C7736">
        <v>7.0000000000000007E-2</v>
      </c>
    </row>
    <row r="7737" spans="1:3" x14ac:dyDescent="0.3">
      <c r="A7737" t="s">
        <v>13690</v>
      </c>
      <c r="B7737" t="s">
        <v>87</v>
      </c>
      <c r="C7737">
        <v>0.08</v>
      </c>
    </row>
    <row r="7738" spans="1:3" x14ac:dyDescent="0.3">
      <c r="A7738" t="s">
        <v>14161</v>
      </c>
      <c r="B7738" t="s">
        <v>29</v>
      </c>
      <c r="C7738">
        <v>0</v>
      </c>
    </row>
    <row r="7739" spans="1:3" x14ac:dyDescent="0.3">
      <c r="A7739" t="s">
        <v>7564</v>
      </c>
      <c r="B7739" t="s">
        <v>40</v>
      </c>
      <c r="C7739">
        <v>0.04</v>
      </c>
    </row>
    <row r="7740" spans="1:3" x14ac:dyDescent="0.3">
      <c r="A7740" t="s">
        <v>14634</v>
      </c>
      <c r="B7740" t="s">
        <v>29</v>
      </c>
      <c r="C7740">
        <v>0.03</v>
      </c>
    </row>
    <row r="7741" spans="1:3" x14ac:dyDescent="0.3">
      <c r="A7741" t="s">
        <v>13311</v>
      </c>
      <c r="B7741" t="s">
        <v>29</v>
      </c>
      <c r="C7741">
        <v>0.04</v>
      </c>
    </row>
    <row r="7742" spans="1:3" x14ac:dyDescent="0.3">
      <c r="A7742" t="s">
        <v>13311</v>
      </c>
      <c r="B7742" t="s">
        <v>29</v>
      </c>
      <c r="C7742">
        <v>0.09</v>
      </c>
    </row>
    <row r="7743" spans="1:3" x14ac:dyDescent="0.3">
      <c r="A7743" t="s">
        <v>13311</v>
      </c>
      <c r="B7743" t="s">
        <v>87</v>
      </c>
      <c r="C7743">
        <v>0.04</v>
      </c>
    </row>
    <row r="7744" spans="1:3" x14ac:dyDescent="0.3">
      <c r="A7744" t="s">
        <v>15453</v>
      </c>
      <c r="B7744" t="s">
        <v>29</v>
      </c>
      <c r="C7744">
        <v>0.01</v>
      </c>
    </row>
    <row r="7745" spans="1:3" x14ac:dyDescent="0.3">
      <c r="A7745" t="s">
        <v>11623</v>
      </c>
      <c r="B7745" t="s">
        <v>87</v>
      </c>
      <c r="C7745">
        <v>0.03</v>
      </c>
    </row>
    <row r="7746" spans="1:3" x14ac:dyDescent="0.3">
      <c r="A7746" t="s">
        <v>14713</v>
      </c>
      <c r="B7746" t="s">
        <v>40</v>
      </c>
      <c r="C7746">
        <v>0.05</v>
      </c>
    </row>
    <row r="7747" spans="1:3" x14ac:dyDescent="0.3">
      <c r="A7747" t="s">
        <v>5102</v>
      </c>
      <c r="B7747" t="s">
        <v>40</v>
      </c>
      <c r="C7747">
        <v>0.08</v>
      </c>
    </row>
    <row r="7748" spans="1:3" x14ac:dyDescent="0.3">
      <c r="A7748" t="s">
        <v>12055</v>
      </c>
      <c r="B7748" t="s">
        <v>29</v>
      </c>
      <c r="C7748">
        <v>0.02</v>
      </c>
    </row>
    <row r="7749" spans="1:3" x14ac:dyDescent="0.3">
      <c r="A7749" t="s">
        <v>12055</v>
      </c>
      <c r="B7749" t="s">
        <v>53</v>
      </c>
      <c r="C7749">
        <v>0.09</v>
      </c>
    </row>
    <row r="7750" spans="1:3" x14ac:dyDescent="0.3">
      <c r="A7750" t="s">
        <v>15460</v>
      </c>
      <c r="B7750" t="s">
        <v>40</v>
      </c>
      <c r="C7750">
        <v>0.1</v>
      </c>
    </row>
    <row r="7751" spans="1:3" x14ac:dyDescent="0.3">
      <c r="A7751" t="s">
        <v>12988</v>
      </c>
      <c r="B7751" t="s">
        <v>40</v>
      </c>
      <c r="C7751">
        <v>0</v>
      </c>
    </row>
    <row r="7752" spans="1:3" x14ac:dyDescent="0.3">
      <c r="A7752" t="s">
        <v>12988</v>
      </c>
      <c r="B7752" t="s">
        <v>29</v>
      </c>
      <c r="C7752">
        <v>0.05</v>
      </c>
    </row>
    <row r="7753" spans="1:3" x14ac:dyDescent="0.3">
      <c r="A7753" t="s">
        <v>12988</v>
      </c>
      <c r="B7753" t="s">
        <v>29</v>
      </c>
      <c r="C7753">
        <v>0.06</v>
      </c>
    </row>
    <row r="7754" spans="1:3" x14ac:dyDescent="0.3">
      <c r="A7754" t="s">
        <v>13837</v>
      </c>
      <c r="B7754" t="s">
        <v>53</v>
      </c>
      <c r="C7754">
        <v>0.01</v>
      </c>
    </row>
    <row r="7755" spans="1:3" x14ac:dyDescent="0.3">
      <c r="A7755" t="s">
        <v>11575</v>
      </c>
      <c r="B7755" t="s">
        <v>53</v>
      </c>
      <c r="C7755">
        <v>7.0000000000000007E-2</v>
      </c>
    </row>
    <row r="7756" spans="1:3" x14ac:dyDescent="0.3">
      <c r="A7756" t="s">
        <v>6506</v>
      </c>
      <c r="B7756" t="s">
        <v>53</v>
      </c>
      <c r="C7756">
        <v>0.03</v>
      </c>
    </row>
    <row r="7757" spans="1:3" x14ac:dyDescent="0.3">
      <c r="A7757" t="s">
        <v>13769</v>
      </c>
      <c r="B7757" t="s">
        <v>64</v>
      </c>
      <c r="C7757">
        <v>0.03</v>
      </c>
    </row>
    <row r="7758" spans="1:3" x14ac:dyDescent="0.3">
      <c r="A7758" t="s">
        <v>11056</v>
      </c>
      <c r="B7758" t="s">
        <v>64</v>
      </c>
      <c r="C7758">
        <v>0.01</v>
      </c>
    </row>
    <row r="7759" spans="1:3" x14ac:dyDescent="0.3">
      <c r="A7759" t="s">
        <v>13753</v>
      </c>
      <c r="B7759" t="s">
        <v>225</v>
      </c>
      <c r="C7759">
        <v>0.1</v>
      </c>
    </row>
    <row r="7760" spans="1:3" x14ac:dyDescent="0.3">
      <c r="A7760" t="s">
        <v>5937</v>
      </c>
      <c r="B7760" t="s">
        <v>87</v>
      </c>
      <c r="C7760">
        <v>0.04</v>
      </c>
    </row>
    <row r="7761" spans="1:3" x14ac:dyDescent="0.3">
      <c r="A7761" t="s">
        <v>5937</v>
      </c>
      <c r="B7761" t="s">
        <v>87</v>
      </c>
      <c r="C7761">
        <v>7.0000000000000007E-2</v>
      </c>
    </row>
    <row r="7762" spans="1:3" x14ac:dyDescent="0.3">
      <c r="A7762" t="s">
        <v>6347</v>
      </c>
      <c r="B7762" t="s">
        <v>87</v>
      </c>
      <c r="C7762">
        <v>7.0000000000000007E-2</v>
      </c>
    </row>
    <row r="7763" spans="1:3" x14ac:dyDescent="0.3">
      <c r="A7763" t="s">
        <v>2777</v>
      </c>
      <c r="B7763" t="s">
        <v>87</v>
      </c>
      <c r="C7763">
        <v>0.1</v>
      </c>
    </row>
    <row r="7764" spans="1:3" x14ac:dyDescent="0.3">
      <c r="A7764" t="s">
        <v>10500</v>
      </c>
      <c r="B7764" t="s">
        <v>53</v>
      </c>
      <c r="C7764">
        <v>0.02</v>
      </c>
    </row>
    <row r="7765" spans="1:3" x14ac:dyDescent="0.3">
      <c r="A7765" t="s">
        <v>4709</v>
      </c>
      <c r="B7765" t="s">
        <v>53</v>
      </c>
      <c r="C7765">
        <v>0.1</v>
      </c>
    </row>
    <row r="7766" spans="1:3" x14ac:dyDescent="0.3">
      <c r="A7766" t="s">
        <v>10662</v>
      </c>
      <c r="B7766" t="s">
        <v>53</v>
      </c>
      <c r="C7766">
        <v>0.02</v>
      </c>
    </row>
    <row r="7767" spans="1:3" x14ac:dyDescent="0.3">
      <c r="A7767" t="s">
        <v>10662</v>
      </c>
      <c r="B7767" t="s">
        <v>53</v>
      </c>
      <c r="C7767">
        <v>0.1</v>
      </c>
    </row>
    <row r="7768" spans="1:3" x14ac:dyDescent="0.3">
      <c r="A7768" t="s">
        <v>12333</v>
      </c>
      <c r="B7768" t="s">
        <v>87</v>
      </c>
      <c r="C7768">
        <v>0.04</v>
      </c>
    </row>
    <row r="7769" spans="1:3" x14ac:dyDescent="0.3">
      <c r="A7769" t="s">
        <v>9963</v>
      </c>
      <c r="B7769" t="s">
        <v>40</v>
      </c>
      <c r="C7769">
        <v>7.0000000000000007E-2</v>
      </c>
    </row>
    <row r="7770" spans="1:3" x14ac:dyDescent="0.3">
      <c r="A7770" t="s">
        <v>12363</v>
      </c>
      <c r="B7770" t="s">
        <v>29</v>
      </c>
      <c r="C7770">
        <v>0.1</v>
      </c>
    </row>
    <row r="7771" spans="1:3" x14ac:dyDescent="0.3">
      <c r="A7771" t="s">
        <v>8922</v>
      </c>
      <c r="B7771" t="s">
        <v>53</v>
      </c>
      <c r="C7771">
        <v>0.08</v>
      </c>
    </row>
    <row r="7772" spans="1:3" x14ac:dyDescent="0.3">
      <c r="A7772" t="s">
        <v>8922</v>
      </c>
      <c r="B7772" t="s">
        <v>53</v>
      </c>
      <c r="C7772">
        <v>0.09</v>
      </c>
    </row>
    <row r="7773" spans="1:3" x14ac:dyDescent="0.3">
      <c r="A7773" t="s">
        <v>9986</v>
      </c>
      <c r="B7773" t="s">
        <v>53</v>
      </c>
      <c r="C7773">
        <v>0.06</v>
      </c>
    </row>
    <row r="7774" spans="1:3" x14ac:dyDescent="0.3">
      <c r="A7774" t="s">
        <v>11189</v>
      </c>
      <c r="B7774" t="s">
        <v>29</v>
      </c>
      <c r="C7774">
        <v>0</v>
      </c>
    </row>
    <row r="7775" spans="1:3" x14ac:dyDescent="0.3">
      <c r="A7775" t="s">
        <v>7662</v>
      </c>
      <c r="B7775" t="s">
        <v>40</v>
      </c>
      <c r="C7775">
        <v>0.1</v>
      </c>
    </row>
    <row r="7776" spans="1:3" x14ac:dyDescent="0.3">
      <c r="A7776" t="s">
        <v>8005</v>
      </c>
      <c r="B7776" t="s">
        <v>40</v>
      </c>
      <c r="C7776">
        <v>0.04</v>
      </c>
    </row>
    <row r="7777" spans="1:3" x14ac:dyDescent="0.3">
      <c r="A7777" t="s">
        <v>14925</v>
      </c>
      <c r="B7777" t="s">
        <v>40</v>
      </c>
      <c r="C7777">
        <v>0.04</v>
      </c>
    </row>
    <row r="7778" spans="1:3" x14ac:dyDescent="0.3">
      <c r="A7778" t="s">
        <v>15493</v>
      </c>
      <c r="B7778" t="s">
        <v>53</v>
      </c>
      <c r="C7778">
        <v>0.1</v>
      </c>
    </row>
    <row r="7779" spans="1:3" x14ac:dyDescent="0.3">
      <c r="A7779" t="s">
        <v>6468</v>
      </c>
      <c r="B7779" t="s">
        <v>64</v>
      </c>
      <c r="C7779">
        <v>0.01</v>
      </c>
    </row>
    <row r="7780" spans="1:3" x14ac:dyDescent="0.3">
      <c r="A7780" t="s">
        <v>6468</v>
      </c>
      <c r="B7780" t="s">
        <v>64</v>
      </c>
      <c r="C7780">
        <v>0.09</v>
      </c>
    </row>
    <row r="7781" spans="1:3" x14ac:dyDescent="0.3">
      <c r="A7781" t="s">
        <v>14466</v>
      </c>
      <c r="B7781" t="s">
        <v>53</v>
      </c>
      <c r="C7781">
        <v>0</v>
      </c>
    </row>
    <row r="7782" spans="1:3" x14ac:dyDescent="0.3">
      <c r="A7782" t="s">
        <v>14466</v>
      </c>
      <c r="B7782" t="s">
        <v>87</v>
      </c>
      <c r="C7782">
        <v>0.1</v>
      </c>
    </row>
    <row r="7783" spans="1:3" x14ac:dyDescent="0.3">
      <c r="A7783" t="s">
        <v>12369</v>
      </c>
      <c r="B7783" t="s">
        <v>225</v>
      </c>
      <c r="C7783">
        <v>0.03</v>
      </c>
    </row>
    <row r="7784" spans="1:3" x14ac:dyDescent="0.3">
      <c r="A7784" t="s">
        <v>14121</v>
      </c>
      <c r="B7784" t="s">
        <v>64</v>
      </c>
      <c r="C7784">
        <v>0.04</v>
      </c>
    </row>
    <row r="7785" spans="1:3" x14ac:dyDescent="0.3">
      <c r="A7785" t="s">
        <v>12937</v>
      </c>
      <c r="B7785" t="s">
        <v>64</v>
      </c>
      <c r="C7785">
        <v>0.05</v>
      </c>
    </row>
    <row r="7786" spans="1:3" x14ac:dyDescent="0.3">
      <c r="A7786" t="s">
        <v>14700</v>
      </c>
      <c r="B7786" t="s">
        <v>64</v>
      </c>
      <c r="C7786">
        <v>0.01</v>
      </c>
    </row>
    <row r="7787" spans="1:3" x14ac:dyDescent="0.3">
      <c r="A7787" t="s">
        <v>14700</v>
      </c>
      <c r="B7787" t="s">
        <v>64</v>
      </c>
      <c r="C7787">
        <v>0.02</v>
      </c>
    </row>
    <row r="7788" spans="1:3" x14ac:dyDescent="0.3">
      <c r="A7788" t="s">
        <v>10997</v>
      </c>
      <c r="B7788" t="s">
        <v>40</v>
      </c>
      <c r="C7788">
        <v>0.02</v>
      </c>
    </row>
    <row r="7789" spans="1:3" x14ac:dyDescent="0.3">
      <c r="A7789" t="s">
        <v>9323</v>
      </c>
      <c r="B7789" t="s">
        <v>40</v>
      </c>
      <c r="C7789">
        <v>0.05</v>
      </c>
    </row>
    <row r="7790" spans="1:3" x14ac:dyDescent="0.3">
      <c r="A7790" t="s">
        <v>13525</v>
      </c>
      <c r="B7790" t="s">
        <v>29</v>
      </c>
      <c r="C7790">
        <v>0.09</v>
      </c>
    </row>
    <row r="7791" spans="1:3" x14ac:dyDescent="0.3">
      <c r="A7791" t="s">
        <v>14698</v>
      </c>
      <c r="B7791" t="s">
        <v>29</v>
      </c>
      <c r="C7791">
        <v>0.01</v>
      </c>
    </row>
    <row r="7792" spans="1:3" x14ac:dyDescent="0.3">
      <c r="A7792" t="s">
        <v>10083</v>
      </c>
      <c r="B7792" t="s">
        <v>64</v>
      </c>
      <c r="C7792">
        <v>0.03</v>
      </c>
    </row>
    <row r="7793" spans="1:3" x14ac:dyDescent="0.3">
      <c r="A7793" t="s">
        <v>9357</v>
      </c>
      <c r="B7793" t="s">
        <v>64</v>
      </c>
      <c r="C7793">
        <v>0.03</v>
      </c>
    </row>
    <row r="7794" spans="1:3" x14ac:dyDescent="0.3">
      <c r="A7794" t="s">
        <v>9357</v>
      </c>
      <c r="B7794" t="s">
        <v>64</v>
      </c>
      <c r="C7794">
        <v>0.05</v>
      </c>
    </row>
    <row r="7795" spans="1:3" x14ac:dyDescent="0.3">
      <c r="A7795" t="s">
        <v>9357</v>
      </c>
      <c r="B7795" t="s">
        <v>53</v>
      </c>
      <c r="C7795">
        <v>0.02</v>
      </c>
    </row>
    <row r="7796" spans="1:3" x14ac:dyDescent="0.3">
      <c r="A7796" t="s">
        <v>2908</v>
      </c>
      <c r="B7796" t="s">
        <v>29</v>
      </c>
      <c r="C7796">
        <v>0.09</v>
      </c>
    </row>
    <row r="7797" spans="1:3" x14ac:dyDescent="0.3">
      <c r="A7797" t="s">
        <v>3611</v>
      </c>
      <c r="B7797" t="s">
        <v>87</v>
      </c>
      <c r="C7797">
        <v>7.0000000000000007E-2</v>
      </c>
    </row>
    <row r="7798" spans="1:3" x14ac:dyDescent="0.3">
      <c r="A7798" t="s">
        <v>13651</v>
      </c>
      <c r="B7798" t="s">
        <v>225</v>
      </c>
      <c r="C7798">
        <v>0.05</v>
      </c>
    </row>
    <row r="7799" spans="1:3" x14ac:dyDescent="0.3">
      <c r="A7799" t="s">
        <v>2961</v>
      </c>
      <c r="B7799" t="s">
        <v>87</v>
      </c>
      <c r="C7799">
        <v>0.01</v>
      </c>
    </row>
    <row r="7800" spans="1:3" x14ac:dyDescent="0.3">
      <c r="A7800" t="s">
        <v>2961</v>
      </c>
      <c r="B7800" t="s">
        <v>87</v>
      </c>
      <c r="C7800">
        <v>0.05</v>
      </c>
    </row>
    <row r="7801" spans="1:3" x14ac:dyDescent="0.3">
      <c r="A7801" t="s">
        <v>2961</v>
      </c>
      <c r="B7801" t="s">
        <v>87</v>
      </c>
      <c r="C7801">
        <v>7.0000000000000007E-2</v>
      </c>
    </row>
    <row r="7802" spans="1:3" x14ac:dyDescent="0.3">
      <c r="A7802" t="s">
        <v>15842</v>
      </c>
      <c r="B7802" t="s">
        <v>29</v>
      </c>
      <c r="C7802">
        <v>7.0000000000000007E-2</v>
      </c>
    </row>
    <row r="7803" spans="1:3" x14ac:dyDescent="0.3">
      <c r="A7803" t="s">
        <v>6128</v>
      </c>
      <c r="B7803" t="s">
        <v>29</v>
      </c>
      <c r="C7803">
        <v>0</v>
      </c>
    </row>
    <row r="7804" spans="1:3" x14ac:dyDescent="0.3">
      <c r="A7804" t="s">
        <v>3074</v>
      </c>
      <c r="B7804" t="s">
        <v>87</v>
      </c>
      <c r="C7804">
        <v>7.0000000000000007E-2</v>
      </c>
    </row>
    <row r="7805" spans="1:3" x14ac:dyDescent="0.3">
      <c r="A7805" t="s">
        <v>11469</v>
      </c>
      <c r="B7805" t="s">
        <v>225</v>
      </c>
      <c r="C7805">
        <v>0.05</v>
      </c>
    </row>
    <row r="7806" spans="1:3" x14ac:dyDescent="0.3">
      <c r="A7806" t="s">
        <v>11469</v>
      </c>
      <c r="B7806" t="s">
        <v>225</v>
      </c>
      <c r="C7806">
        <v>0.09</v>
      </c>
    </row>
    <row r="7807" spans="1:3" x14ac:dyDescent="0.3">
      <c r="A7807" t="s">
        <v>2979</v>
      </c>
      <c r="B7807" t="s">
        <v>87</v>
      </c>
      <c r="C7807">
        <v>0.04</v>
      </c>
    </row>
    <row r="7808" spans="1:3" x14ac:dyDescent="0.3">
      <c r="A7808" t="s">
        <v>13522</v>
      </c>
      <c r="B7808" t="s">
        <v>64</v>
      </c>
      <c r="C7808">
        <v>0.05</v>
      </c>
    </row>
    <row r="7809" spans="1:3" x14ac:dyDescent="0.3">
      <c r="A7809" t="s">
        <v>13522</v>
      </c>
      <c r="B7809" t="s">
        <v>64</v>
      </c>
      <c r="C7809">
        <v>0.09</v>
      </c>
    </row>
    <row r="7810" spans="1:3" x14ac:dyDescent="0.3">
      <c r="A7810" t="s">
        <v>9150</v>
      </c>
      <c r="B7810" t="s">
        <v>64</v>
      </c>
      <c r="C7810">
        <v>0.05</v>
      </c>
    </row>
    <row r="7811" spans="1:3" x14ac:dyDescent="0.3">
      <c r="A7811" t="s">
        <v>9150</v>
      </c>
      <c r="B7811" t="s">
        <v>64</v>
      </c>
      <c r="C7811">
        <v>0.09</v>
      </c>
    </row>
    <row r="7812" spans="1:3" x14ac:dyDescent="0.3">
      <c r="A7812" t="s">
        <v>15028</v>
      </c>
      <c r="B7812" t="s">
        <v>29</v>
      </c>
      <c r="C7812">
        <v>0.08</v>
      </c>
    </row>
    <row r="7813" spans="1:3" x14ac:dyDescent="0.3">
      <c r="A7813" t="s">
        <v>15028</v>
      </c>
      <c r="B7813" t="s">
        <v>29</v>
      </c>
      <c r="C7813">
        <v>0.09</v>
      </c>
    </row>
    <row r="7814" spans="1:3" x14ac:dyDescent="0.3">
      <c r="A7814" t="s">
        <v>2990</v>
      </c>
      <c r="B7814" t="s">
        <v>29</v>
      </c>
      <c r="C7814">
        <v>7.0000000000000007E-2</v>
      </c>
    </row>
    <row r="7815" spans="1:3" x14ac:dyDescent="0.3">
      <c r="A7815" t="s">
        <v>2990</v>
      </c>
      <c r="B7815" t="s">
        <v>53</v>
      </c>
      <c r="C7815">
        <v>0.05</v>
      </c>
    </row>
    <row r="7816" spans="1:3" x14ac:dyDescent="0.3">
      <c r="A7816" t="s">
        <v>2990</v>
      </c>
      <c r="B7816" t="s">
        <v>53</v>
      </c>
      <c r="C7816">
        <v>0.06</v>
      </c>
    </row>
    <row r="7817" spans="1:3" x14ac:dyDescent="0.3">
      <c r="A7817" t="s">
        <v>9748</v>
      </c>
      <c r="B7817" t="s">
        <v>40</v>
      </c>
      <c r="C7817">
        <v>0.02</v>
      </c>
    </row>
    <row r="7818" spans="1:3" x14ac:dyDescent="0.3">
      <c r="A7818" t="s">
        <v>9628</v>
      </c>
      <c r="B7818" t="s">
        <v>40</v>
      </c>
      <c r="C7818">
        <v>7.0000000000000007E-2</v>
      </c>
    </row>
    <row r="7819" spans="1:3" x14ac:dyDescent="0.3">
      <c r="A7819" t="s">
        <v>4402</v>
      </c>
      <c r="B7819" t="s">
        <v>87</v>
      </c>
      <c r="C7819">
        <v>0.1</v>
      </c>
    </row>
    <row r="7820" spans="1:3" x14ac:dyDescent="0.3">
      <c r="A7820" t="s">
        <v>15785</v>
      </c>
      <c r="B7820" t="s">
        <v>87</v>
      </c>
      <c r="C7820">
        <v>0.02</v>
      </c>
    </row>
    <row r="7821" spans="1:3" x14ac:dyDescent="0.3">
      <c r="A7821" t="s">
        <v>6793</v>
      </c>
      <c r="B7821" t="s">
        <v>40</v>
      </c>
      <c r="C7821">
        <v>7.0000000000000007E-2</v>
      </c>
    </row>
    <row r="7822" spans="1:3" x14ac:dyDescent="0.3">
      <c r="A7822" t="s">
        <v>10554</v>
      </c>
      <c r="B7822" t="s">
        <v>64</v>
      </c>
      <c r="C7822">
        <v>0.05</v>
      </c>
    </row>
    <row r="7823" spans="1:3" x14ac:dyDescent="0.3">
      <c r="A7823" t="s">
        <v>11490</v>
      </c>
      <c r="B7823" t="s">
        <v>64</v>
      </c>
      <c r="C7823">
        <v>0.04</v>
      </c>
    </row>
    <row r="7824" spans="1:3" x14ac:dyDescent="0.3">
      <c r="A7824" t="s">
        <v>8084</v>
      </c>
      <c r="B7824" t="s">
        <v>64</v>
      </c>
      <c r="C7824">
        <v>0</v>
      </c>
    </row>
    <row r="7825" spans="1:3" x14ac:dyDescent="0.3">
      <c r="A7825" t="s">
        <v>8084</v>
      </c>
      <c r="B7825" t="s">
        <v>64</v>
      </c>
      <c r="C7825">
        <v>0.08</v>
      </c>
    </row>
    <row r="7826" spans="1:3" x14ac:dyDescent="0.3">
      <c r="A7826" t="s">
        <v>13565</v>
      </c>
      <c r="B7826" t="s">
        <v>225</v>
      </c>
      <c r="C7826">
        <v>0.02</v>
      </c>
    </row>
    <row r="7827" spans="1:3" x14ac:dyDescent="0.3">
      <c r="A7827" t="s">
        <v>12519</v>
      </c>
      <c r="B7827" t="s">
        <v>225</v>
      </c>
      <c r="C7827">
        <v>0.02</v>
      </c>
    </row>
    <row r="7828" spans="1:3" x14ac:dyDescent="0.3">
      <c r="A7828" t="s">
        <v>7299</v>
      </c>
      <c r="B7828" t="s">
        <v>87</v>
      </c>
      <c r="C7828">
        <v>7.0000000000000007E-2</v>
      </c>
    </row>
    <row r="7829" spans="1:3" x14ac:dyDescent="0.3">
      <c r="A7829" t="s">
        <v>7299</v>
      </c>
      <c r="B7829" t="s">
        <v>87</v>
      </c>
      <c r="C7829">
        <v>0.08</v>
      </c>
    </row>
    <row r="7830" spans="1:3" x14ac:dyDescent="0.3">
      <c r="A7830" t="s">
        <v>11033</v>
      </c>
      <c r="B7830" t="s">
        <v>87</v>
      </c>
      <c r="C7830">
        <v>0.04</v>
      </c>
    </row>
    <row r="7831" spans="1:3" x14ac:dyDescent="0.3">
      <c r="A7831" t="s">
        <v>3043</v>
      </c>
      <c r="B7831" t="s">
        <v>225</v>
      </c>
      <c r="C7831">
        <v>0</v>
      </c>
    </row>
    <row r="7832" spans="1:3" x14ac:dyDescent="0.3">
      <c r="A7832" t="s">
        <v>11478</v>
      </c>
      <c r="B7832" t="s">
        <v>87</v>
      </c>
      <c r="C7832">
        <v>0.01</v>
      </c>
    </row>
    <row r="7833" spans="1:3" x14ac:dyDescent="0.3">
      <c r="A7833" t="s">
        <v>11136</v>
      </c>
      <c r="B7833" t="s">
        <v>29</v>
      </c>
      <c r="C7833">
        <v>0.02</v>
      </c>
    </row>
    <row r="7834" spans="1:3" x14ac:dyDescent="0.3">
      <c r="A7834" t="s">
        <v>13802</v>
      </c>
      <c r="B7834" t="s">
        <v>87</v>
      </c>
      <c r="C7834">
        <v>0.1</v>
      </c>
    </row>
    <row r="7835" spans="1:3" x14ac:dyDescent="0.3">
      <c r="A7835" t="s">
        <v>10310</v>
      </c>
      <c r="B7835" t="s">
        <v>225</v>
      </c>
      <c r="C7835">
        <v>0.09</v>
      </c>
    </row>
    <row r="7836" spans="1:3" x14ac:dyDescent="0.3">
      <c r="A7836" t="s">
        <v>8637</v>
      </c>
      <c r="B7836" t="s">
        <v>225</v>
      </c>
      <c r="C7836">
        <v>0.1</v>
      </c>
    </row>
    <row r="7837" spans="1:3" x14ac:dyDescent="0.3">
      <c r="A7837" t="s">
        <v>13078</v>
      </c>
      <c r="B7837" t="s">
        <v>225</v>
      </c>
      <c r="C7837">
        <v>7.0000000000000007E-2</v>
      </c>
    </row>
    <row r="7838" spans="1:3" x14ac:dyDescent="0.3">
      <c r="A7838" t="s">
        <v>12425</v>
      </c>
      <c r="B7838" t="s">
        <v>87</v>
      </c>
      <c r="C7838">
        <v>0</v>
      </c>
    </row>
    <row r="7839" spans="1:3" x14ac:dyDescent="0.3">
      <c r="A7839" t="s">
        <v>11903</v>
      </c>
      <c r="B7839" t="s">
        <v>87</v>
      </c>
      <c r="C7839">
        <v>0.01</v>
      </c>
    </row>
    <row r="7840" spans="1:3" x14ac:dyDescent="0.3">
      <c r="A7840" t="s">
        <v>11903</v>
      </c>
      <c r="B7840" t="s">
        <v>87</v>
      </c>
      <c r="C7840">
        <v>7.0000000000000007E-2</v>
      </c>
    </row>
    <row r="7841" spans="1:3" x14ac:dyDescent="0.3">
      <c r="A7841" t="s">
        <v>11903</v>
      </c>
      <c r="B7841" t="s">
        <v>87</v>
      </c>
      <c r="C7841">
        <v>0.09</v>
      </c>
    </row>
    <row r="7842" spans="1:3" x14ac:dyDescent="0.3">
      <c r="A7842" t="s">
        <v>10094</v>
      </c>
      <c r="B7842" t="s">
        <v>87</v>
      </c>
      <c r="C7842">
        <v>0.05</v>
      </c>
    </row>
    <row r="7843" spans="1:3" x14ac:dyDescent="0.3">
      <c r="A7843" t="s">
        <v>15392</v>
      </c>
      <c r="B7843" t="s">
        <v>40</v>
      </c>
      <c r="C7843">
        <v>0.1</v>
      </c>
    </row>
    <row r="7844" spans="1:3" x14ac:dyDescent="0.3">
      <c r="A7844" t="s">
        <v>15123</v>
      </c>
      <c r="B7844" t="s">
        <v>64</v>
      </c>
      <c r="C7844">
        <v>0.05</v>
      </c>
    </row>
    <row r="7845" spans="1:3" x14ac:dyDescent="0.3">
      <c r="A7845" t="s">
        <v>15123</v>
      </c>
      <c r="B7845" t="s">
        <v>53</v>
      </c>
      <c r="C7845">
        <v>0.08</v>
      </c>
    </row>
    <row r="7846" spans="1:3" x14ac:dyDescent="0.3">
      <c r="A7846" t="s">
        <v>14802</v>
      </c>
      <c r="B7846" t="s">
        <v>225</v>
      </c>
      <c r="C7846">
        <v>0.01</v>
      </c>
    </row>
    <row r="7847" spans="1:3" x14ac:dyDescent="0.3">
      <c r="A7847" t="s">
        <v>14802</v>
      </c>
      <c r="B7847" t="s">
        <v>225</v>
      </c>
      <c r="C7847">
        <v>0.04</v>
      </c>
    </row>
    <row r="7848" spans="1:3" x14ac:dyDescent="0.3">
      <c r="A7848" t="s">
        <v>14802</v>
      </c>
      <c r="B7848" t="s">
        <v>225</v>
      </c>
      <c r="C7848">
        <v>0.08</v>
      </c>
    </row>
    <row r="7849" spans="1:3" x14ac:dyDescent="0.3">
      <c r="A7849" t="s">
        <v>11107</v>
      </c>
      <c r="B7849" t="s">
        <v>225</v>
      </c>
      <c r="C7849">
        <v>0.02</v>
      </c>
    </row>
    <row r="7850" spans="1:3" x14ac:dyDescent="0.3">
      <c r="A7850" t="s">
        <v>3071</v>
      </c>
      <c r="B7850" t="s">
        <v>225</v>
      </c>
      <c r="C7850">
        <v>0.01</v>
      </c>
    </row>
    <row r="7851" spans="1:3" x14ac:dyDescent="0.3">
      <c r="A7851" t="s">
        <v>11052</v>
      </c>
      <c r="B7851" t="s">
        <v>225</v>
      </c>
      <c r="C7851">
        <v>0.02</v>
      </c>
    </row>
    <row r="7852" spans="1:3" x14ac:dyDescent="0.3">
      <c r="A7852" t="s">
        <v>11052</v>
      </c>
      <c r="B7852" t="s">
        <v>225</v>
      </c>
      <c r="C7852">
        <v>0.08</v>
      </c>
    </row>
    <row r="7853" spans="1:3" x14ac:dyDescent="0.3">
      <c r="A7853" t="s">
        <v>8355</v>
      </c>
      <c r="B7853" t="s">
        <v>53</v>
      </c>
      <c r="C7853">
        <v>0.04</v>
      </c>
    </row>
    <row r="7854" spans="1:3" x14ac:dyDescent="0.3">
      <c r="A7854" t="s">
        <v>15457</v>
      </c>
      <c r="B7854" t="s">
        <v>53</v>
      </c>
      <c r="C7854">
        <v>0.08</v>
      </c>
    </row>
    <row r="7855" spans="1:3" x14ac:dyDescent="0.3">
      <c r="A7855" t="s">
        <v>15457</v>
      </c>
      <c r="B7855" t="s">
        <v>53</v>
      </c>
      <c r="C7855">
        <v>0.09</v>
      </c>
    </row>
    <row r="7856" spans="1:3" x14ac:dyDescent="0.3">
      <c r="A7856" t="s">
        <v>11318</v>
      </c>
      <c r="B7856" t="s">
        <v>40</v>
      </c>
      <c r="C7856">
        <v>0.09</v>
      </c>
    </row>
    <row r="7857" spans="1:3" x14ac:dyDescent="0.3">
      <c r="A7857" t="s">
        <v>8461</v>
      </c>
      <c r="B7857" t="s">
        <v>29</v>
      </c>
      <c r="C7857">
        <v>0.02</v>
      </c>
    </row>
    <row r="7858" spans="1:3" x14ac:dyDescent="0.3">
      <c r="A7858" t="s">
        <v>12152</v>
      </c>
      <c r="B7858" t="s">
        <v>64</v>
      </c>
      <c r="C7858">
        <v>0.03</v>
      </c>
    </row>
    <row r="7859" spans="1:3" x14ac:dyDescent="0.3">
      <c r="A7859" t="s">
        <v>10649</v>
      </c>
      <c r="B7859" t="s">
        <v>64</v>
      </c>
      <c r="C7859">
        <v>0.05</v>
      </c>
    </row>
    <row r="7860" spans="1:3" x14ac:dyDescent="0.3">
      <c r="A7860" t="s">
        <v>9403</v>
      </c>
      <c r="B7860" t="s">
        <v>87</v>
      </c>
      <c r="C7860">
        <v>0.01</v>
      </c>
    </row>
    <row r="7861" spans="1:3" x14ac:dyDescent="0.3">
      <c r="A7861" t="s">
        <v>12926</v>
      </c>
      <c r="B7861" t="s">
        <v>87</v>
      </c>
      <c r="C7861">
        <v>0.06</v>
      </c>
    </row>
    <row r="7862" spans="1:3" x14ac:dyDescent="0.3">
      <c r="A7862" t="s">
        <v>3110</v>
      </c>
      <c r="B7862" t="s">
        <v>40</v>
      </c>
      <c r="C7862">
        <v>0.08</v>
      </c>
    </row>
    <row r="7863" spans="1:3" x14ac:dyDescent="0.3">
      <c r="A7863" t="s">
        <v>15518</v>
      </c>
      <c r="B7863" t="s">
        <v>29</v>
      </c>
      <c r="C7863">
        <v>0.04</v>
      </c>
    </row>
    <row r="7864" spans="1:3" x14ac:dyDescent="0.3">
      <c r="A7864" t="s">
        <v>14919</v>
      </c>
      <c r="B7864" t="s">
        <v>87</v>
      </c>
      <c r="C7864">
        <v>0.1</v>
      </c>
    </row>
    <row r="7865" spans="1:3" x14ac:dyDescent="0.3">
      <c r="A7865" t="s">
        <v>4388</v>
      </c>
      <c r="B7865" t="s">
        <v>40</v>
      </c>
      <c r="C7865">
        <v>0.02</v>
      </c>
    </row>
    <row r="7866" spans="1:3" x14ac:dyDescent="0.3">
      <c r="A7866" t="s">
        <v>4388</v>
      </c>
      <c r="B7866" t="s">
        <v>40</v>
      </c>
      <c r="C7866">
        <v>7.0000000000000007E-2</v>
      </c>
    </row>
    <row r="7867" spans="1:3" x14ac:dyDescent="0.3">
      <c r="A7867" t="s">
        <v>4715</v>
      </c>
      <c r="B7867" t="s">
        <v>225</v>
      </c>
      <c r="C7867">
        <v>0.01</v>
      </c>
    </row>
    <row r="7868" spans="1:3" x14ac:dyDescent="0.3">
      <c r="A7868" t="s">
        <v>9583</v>
      </c>
      <c r="B7868" t="s">
        <v>87</v>
      </c>
      <c r="C7868">
        <v>0</v>
      </c>
    </row>
    <row r="7869" spans="1:3" x14ac:dyDescent="0.3">
      <c r="A7869" t="s">
        <v>4948</v>
      </c>
      <c r="B7869" t="s">
        <v>87</v>
      </c>
      <c r="C7869">
        <v>0.1</v>
      </c>
    </row>
    <row r="7870" spans="1:3" x14ac:dyDescent="0.3">
      <c r="A7870" t="s">
        <v>9983</v>
      </c>
      <c r="B7870" t="s">
        <v>87</v>
      </c>
      <c r="C7870">
        <v>0.03</v>
      </c>
    </row>
    <row r="7871" spans="1:3" x14ac:dyDescent="0.3">
      <c r="A7871" t="s">
        <v>6032</v>
      </c>
      <c r="B7871" t="s">
        <v>87</v>
      </c>
      <c r="C7871">
        <v>0.05</v>
      </c>
    </row>
    <row r="7872" spans="1:3" x14ac:dyDescent="0.3">
      <c r="A7872" t="s">
        <v>15268</v>
      </c>
      <c r="B7872" t="s">
        <v>87</v>
      </c>
      <c r="C7872">
        <v>0.01</v>
      </c>
    </row>
    <row r="7873" spans="1:3" x14ac:dyDescent="0.3">
      <c r="A7873" t="s">
        <v>9158</v>
      </c>
      <c r="B7873" t="s">
        <v>87</v>
      </c>
      <c r="C7873">
        <v>0.02</v>
      </c>
    </row>
    <row r="7874" spans="1:3" x14ac:dyDescent="0.3">
      <c r="A7874" t="s">
        <v>4736</v>
      </c>
      <c r="B7874" t="s">
        <v>87</v>
      </c>
      <c r="C7874">
        <v>0.02</v>
      </c>
    </row>
    <row r="7875" spans="1:3" x14ac:dyDescent="0.3">
      <c r="A7875" t="s">
        <v>5824</v>
      </c>
      <c r="B7875" t="s">
        <v>87</v>
      </c>
      <c r="C7875">
        <v>0.01</v>
      </c>
    </row>
    <row r="7876" spans="1:3" x14ac:dyDescent="0.3">
      <c r="A7876" t="s">
        <v>10692</v>
      </c>
      <c r="B7876" t="s">
        <v>87</v>
      </c>
      <c r="C7876">
        <v>0.1</v>
      </c>
    </row>
    <row r="7877" spans="1:3" x14ac:dyDescent="0.3">
      <c r="A7877" t="s">
        <v>6346</v>
      </c>
      <c r="B7877" t="s">
        <v>87</v>
      </c>
      <c r="C7877">
        <v>0.1</v>
      </c>
    </row>
    <row r="7878" spans="1:3" x14ac:dyDescent="0.3">
      <c r="A7878" t="s">
        <v>12232</v>
      </c>
      <c r="B7878" t="s">
        <v>40</v>
      </c>
      <c r="C7878">
        <v>0.01</v>
      </c>
    </row>
    <row r="7879" spans="1:3" x14ac:dyDescent="0.3">
      <c r="A7879" t="s">
        <v>9033</v>
      </c>
      <c r="B7879" t="s">
        <v>87</v>
      </c>
      <c r="C7879">
        <v>0</v>
      </c>
    </row>
    <row r="7880" spans="1:3" x14ac:dyDescent="0.3">
      <c r="A7880" t="s">
        <v>11504</v>
      </c>
      <c r="B7880" t="s">
        <v>40</v>
      </c>
      <c r="C7880">
        <v>0.02</v>
      </c>
    </row>
    <row r="7881" spans="1:3" x14ac:dyDescent="0.3">
      <c r="A7881" t="s">
        <v>11504</v>
      </c>
      <c r="B7881" t="s">
        <v>40</v>
      </c>
      <c r="C7881">
        <v>7.0000000000000007E-2</v>
      </c>
    </row>
    <row r="7882" spans="1:3" x14ac:dyDescent="0.3">
      <c r="A7882" t="s">
        <v>11504</v>
      </c>
      <c r="B7882" t="s">
        <v>40</v>
      </c>
      <c r="C7882">
        <v>0.1</v>
      </c>
    </row>
    <row r="7883" spans="1:3" x14ac:dyDescent="0.3">
      <c r="A7883" t="s">
        <v>12414</v>
      </c>
      <c r="B7883" t="s">
        <v>53</v>
      </c>
      <c r="C7883">
        <v>0.01</v>
      </c>
    </row>
    <row r="7884" spans="1:3" x14ac:dyDescent="0.3">
      <c r="A7884" t="s">
        <v>3152</v>
      </c>
      <c r="B7884" t="s">
        <v>40</v>
      </c>
      <c r="C7884">
        <v>0.01</v>
      </c>
    </row>
    <row r="7885" spans="1:3" x14ac:dyDescent="0.3">
      <c r="A7885" t="s">
        <v>3159</v>
      </c>
      <c r="B7885" t="s">
        <v>64</v>
      </c>
      <c r="C7885">
        <v>0.01</v>
      </c>
    </row>
    <row r="7886" spans="1:3" x14ac:dyDescent="0.3">
      <c r="A7886" t="s">
        <v>6724</v>
      </c>
      <c r="B7886" t="s">
        <v>64</v>
      </c>
      <c r="C7886">
        <v>0.09</v>
      </c>
    </row>
    <row r="7887" spans="1:3" x14ac:dyDescent="0.3">
      <c r="A7887" t="s">
        <v>10683</v>
      </c>
      <c r="B7887" t="s">
        <v>87</v>
      </c>
      <c r="C7887">
        <v>0.01</v>
      </c>
    </row>
    <row r="7888" spans="1:3" x14ac:dyDescent="0.3">
      <c r="A7888" t="s">
        <v>14798</v>
      </c>
      <c r="B7888" t="s">
        <v>87</v>
      </c>
      <c r="C7888">
        <v>0.05</v>
      </c>
    </row>
    <row r="7889" spans="1:3" x14ac:dyDescent="0.3">
      <c r="A7889" t="s">
        <v>8929</v>
      </c>
      <c r="B7889" t="s">
        <v>87</v>
      </c>
      <c r="C7889">
        <v>0.09</v>
      </c>
    </row>
    <row r="7890" spans="1:3" x14ac:dyDescent="0.3">
      <c r="A7890" t="s">
        <v>12797</v>
      </c>
      <c r="B7890" t="s">
        <v>40</v>
      </c>
      <c r="C7890">
        <v>0.02</v>
      </c>
    </row>
    <row r="7891" spans="1:3" x14ac:dyDescent="0.3">
      <c r="A7891" t="s">
        <v>12797</v>
      </c>
      <c r="B7891" t="s">
        <v>53</v>
      </c>
      <c r="C7891">
        <v>0.08</v>
      </c>
    </row>
    <row r="7892" spans="1:3" x14ac:dyDescent="0.3">
      <c r="A7892" t="s">
        <v>14125</v>
      </c>
      <c r="B7892" t="s">
        <v>40</v>
      </c>
      <c r="C7892">
        <v>0</v>
      </c>
    </row>
    <row r="7893" spans="1:3" x14ac:dyDescent="0.3">
      <c r="A7893" t="s">
        <v>8980</v>
      </c>
      <c r="B7893" t="s">
        <v>40</v>
      </c>
      <c r="C7893">
        <v>0.09</v>
      </c>
    </row>
    <row r="7894" spans="1:3" x14ac:dyDescent="0.3">
      <c r="A7894" t="s">
        <v>3191</v>
      </c>
      <c r="B7894" t="s">
        <v>87</v>
      </c>
      <c r="C7894">
        <v>0.09</v>
      </c>
    </row>
    <row r="7895" spans="1:3" x14ac:dyDescent="0.3">
      <c r="A7895" t="s">
        <v>12603</v>
      </c>
      <c r="B7895" t="s">
        <v>40</v>
      </c>
      <c r="C7895">
        <v>0</v>
      </c>
    </row>
    <row r="7896" spans="1:3" x14ac:dyDescent="0.3">
      <c r="A7896" t="s">
        <v>12603</v>
      </c>
      <c r="B7896" t="s">
        <v>87</v>
      </c>
      <c r="C7896">
        <v>0.03</v>
      </c>
    </row>
    <row r="7897" spans="1:3" x14ac:dyDescent="0.3">
      <c r="A7897" t="s">
        <v>5414</v>
      </c>
      <c r="B7897" t="s">
        <v>87</v>
      </c>
      <c r="C7897">
        <v>0</v>
      </c>
    </row>
    <row r="7898" spans="1:3" x14ac:dyDescent="0.3">
      <c r="A7898" t="s">
        <v>9707</v>
      </c>
      <c r="B7898" t="s">
        <v>64</v>
      </c>
      <c r="C7898">
        <v>0.05</v>
      </c>
    </row>
    <row r="7899" spans="1:3" x14ac:dyDescent="0.3">
      <c r="A7899" t="s">
        <v>12908</v>
      </c>
      <c r="B7899" t="s">
        <v>64</v>
      </c>
      <c r="C7899">
        <v>0.04</v>
      </c>
    </row>
    <row r="7900" spans="1:3" x14ac:dyDescent="0.3">
      <c r="A7900" t="s">
        <v>9176</v>
      </c>
      <c r="B7900" t="s">
        <v>64</v>
      </c>
      <c r="C7900">
        <v>0.08</v>
      </c>
    </row>
    <row r="7901" spans="1:3" x14ac:dyDescent="0.3">
      <c r="A7901" t="s">
        <v>10137</v>
      </c>
      <c r="B7901" t="s">
        <v>64</v>
      </c>
      <c r="C7901">
        <v>0.02</v>
      </c>
    </row>
    <row r="7902" spans="1:3" x14ac:dyDescent="0.3">
      <c r="A7902" t="s">
        <v>5912</v>
      </c>
      <c r="B7902" t="s">
        <v>53</v>
      </c>
      <c r="C7902">
        <v>0.09</v>
      </c>
    </row>
    <row r="7903" spans="1:3" x14ac:dyDescent="0.3">
      <c r="A7903" t="s">
        <v>6792</v>
      </c>
      <c r="B7903" t="s">
        <v>53</v>
      </c>
      <c r="C7903">
        <v>0.01</v>
      </c>
    </row>
    <row r="7904" spans="1:3" x14ac:dyDescent="0.3">
      <c r="A7904" t="s">
        <v>6792</v>
      </c>
      <c r="B7904" t="s">
        <v>53</v>
      </c>
      <c r="C7904">
        <v>0.03</v>
      </c>
    </row>
    <row r="7905" spans="1:3" x14ac:dyDescent="0.3">
      <c r="A7905" t="s">
        <v>6792</v>
      </c>
      <c r="B7905" t="s">
        <v>53</v>
      </c>
      <c r="C7905">
        <v>7.0000000000000007E-2</v>
      </c>
    </row>
    <row r="7906" spans="1:3" x14ac:dyDescent="0.3">
      <c r="A7906" t="s">
        <v>6164</v>
      </c>
      <c r="B7906" t="s">
        <v>53</v>
      </c>
      <c r="C7906">
        <v>0.09</v>
      </c>
    </row>
    <row r="7907" spans="1:3" x14ac:dyDescent="0.3">
      <c r="A7907" t="s">
        <v>13259</v>
      </c>
      <c r="B7907" t="s">
        <v>87</v>
      </c>
      <c r="C7907">
        <v>7.0000000000000007E-2</v>
      </c>
    </row>
    <row r="7908" spans="1:3" x14ac:dyDescent="0.3">
      <c r="A7908" t="s">
        <v>12101</v>
      </c>
      <c r="B7908" t="s">
        <v>87</v>
      </c>
      <c r="C7908">
        <v>0.02</v>
      </c>
    </row>
    <row r="7909" spans="1:3" x14ac:dyDescent="0.3">
      <c r="A7909" t="s">
        <v>12101</v>
      </c>
      <c r="B7909" t="s">
        <v>87</v>
      </c>
      <c r="C7909">
        <v>0.03</v>
      </c>
    </row>
    <row r="7910" spans="1:3" x14ac:dyDescent="0.3">
      <c r="A7910" t="s">
        <v>5345</v>
      </c>
      <c r="B7910" t="s">
        <v>40</v>
      </c>
      <c r="C7910">
        <v>0.03</v>
      </c>
    </row>
    <row r="7911" spans="1:3" x14ac:dyDescent="0.3">
      <c r="A7911" t="s">
        <v>15316</v>
      </c>
      <c r="B7911" t="s">
        <v>40</v>
      </c>
      <c r="C7911">
        <v>0.03</v>
      </c>
    </row>
    <row r="7912" spans="1:3" x14ac:dyDescent="0.3">
      <c r="A7912" t="s">
        <v>11769</v>
      </c>
      <c r="B7912" t="s">
        <v>29</v>
      </c>
      <c r="C7912">
        <v>7.0000000000000007E-2</v>
      </c>
    </row>
    <row r="7913" spans="1:3" x14ac:dyDescent="0.3">
      <c r="A7913" t="s">
        <v>8948</v>
      </c>
      <c r="B7913" t="s">
        <v>29</v>
      </c>
      <c r="C7913">
        <v>0.03</v>
      </c>
    </row>
    <row r="7914" spans="1:3" x14ac:dyDescent="0.3">
      <c r="A7914" t="s">
        <v>8948</v>
      </c>
      <c r="B7914" t="s">
        <v>29</v>
      </c>
      <c r="C7914">
        <v>0.09</v>
      </c>
    </row>
    <row r="7915" spans="1:3" x14ac:dyDescent="0.3">
      <c r="A7915" t="s">
        <v>9384</v>
      </c>
      <c r="B7915" t="s">
        <v>40</v>
      </c>
      <c r="C7915">
        <v>0</v>
      </c>
    </row>
    <row r="7916" spans="1:3" x14ac:dyDescent="0.3">
      <c r="A7916" t="s">
        <v>6656</v>
      </c>
      <c r="B7916" t="s">
        <v>40</v>
      </c>
      <c r="C7916">
        <v>0</v>
      </c>
    </row>
    <row r="7917" spans="1:3" x14ac:dyDescent="0.3">
      <c r="A7917" t="s">
        <v>6656</v>
      </c>
      <c r="B7917" t="s">
        <v>40</v>
      </c>
      <c r="C7917">
        <v>7.0000000000000007E-2</v>
      </c>
    </row>
    <row r="7918" spans="1:3" x14ac:dyDescent="0.3">
      <c r="A7918" t="s">
        <v>13016</v>
      </c>
      <c r="B7918" t="s">
        <v>40</v>
      </c>
      <c r="C7918">
        <v>0</v>
      </c>
    </row>
    <row r="7919" spans="1:3" x14ac:dyDescent="0.3">
      <c r="A7919" t="s">
        <v>13016</v>
      </c>
      <c r="B7919" t="s">
        <v>40</v>
      </c>
      <c r="C7919">
        <v>0.08</v>
      </c>
    </row>
    <row r="7920" spans="1:3" x14ac:dyDescent="0.3">
      <c r="A7920" t="s">
        <v>4120</v>
      </c>
      <c r="B7920" t="s">
        <v>29</v>
      </c>
      <c r="C7920">
        <v>0</v>
      </c>
    </row>
    <row r="7921" spans="1:3" x14ac:dyDescent="0.3">
      <c r="A7921" t="s">
        <v>9675</v>
      </c>
      <c r="B7921" t="s">
        <v>53</v>
      </c>
      <c r="C7921">
        <v>0.04</v>
      </c>
    </row>
    <row r="7922" spans="1:3" x14ac:dyDescent="0.3">
      <c r="A7922" t="s">
        <v>9675</v>
      </c>
      <c r="B7922" t="s">
        <v>53</v>
      </c>
      <c r="C7922">
        <v>0.09</v>
      </c>
    </row>
    <row r="7923" spans="1:3" x14ac:dyDescent="0.3">
      <c r="A7923" t="s">
        <v>15539</v>
      </c>
      <c r="B7923" t="s">
        <v>87</v>
      </c>
      <c r="C7923">
        <v>0.01</v>
      </c>
    </row>
    <row r="7924" spans="1:3" x14ac:dyDescent="0.3">
      <c r="A7924" t="s">
        <v>7911</v>
      </c>
      <c r="B7924" t="s">
        <v>29</v>
      </c>
      <c r="C7924">
        <v>7.0000000000000007E-2</v>
      </c>
    </row>
    <row r="7925" spans="1:3" x14ac:dyDescent="0.3">
      <c r="A7925" t="s">
        <v>3251</v>
      </c>
      <c r="B7925" t="s">
        <v>87</v>
      </c>
      <c r="C7925">
        <v>0.1</v>
      </c>
    </row>
    <row r="7926" spans="1:3" x14ac:dyDescent="0.3">
      <c r="A7926" t="s">
        <v>10294</v>
      </c>
      <c r="B7926" t="s">
        <v>53</v>
      </c>
      <c r="C7926">
        <v>0.06</v>
      </c>
    </row>
    <row r="7927" spans="1:3" x14ac:dyDescent="0.3">
      <c r="A7927" t="s">
        <v>6597</v>
      </c>
      <c r="B7927" t="s">
        <v>40</v>
      </c>
      <c r="C7927">
        <v>0.1</v>
      </c>
    </row>
    <row r="7928" spans="1:3" x14ac:dyDescent="0.3">
      <c r="A7928" t="s">
        <v>15714</v>
      </c>
      <c r="B7928" t="s">
        <v>87</v>
      </c>
      <c r="C7928">
        <v>0.04</v>
      </c>
    </row>
    <row r="7929" spans="1:3" x14ac:dyDescent="0.3">
      <c r="A7929" t="s">
        <v>13258</v>
      </c>
      <c r="B7929" t="s">
        <v>87</v>
      </c>
      <c r="C7929">
        <v>0.02</v>
      </c>
    </row>
    <row r="7930" spans="1:3" x14ac:dyDescent="0.3">
      <c r="A7930" t="s">
        <v>5464</v>
      </c>
      <c r="B7930" t="s">
        <v>40</v>
      </c>
      <c r="C7930">
        <v>0.01</v>
      </c>
    </row>
    <row r="7931" spans="1:3" x14ac:dyDescent="0.3">
      <c r="A7931" t="s">
        <v>5464</v>
      </c>
      <c r="B7931" t="s">
        <v>87</v>
      </c>
      <c r="C7931">
        <v>0.02</v>
      </c>
    </row>
    <row r="7932" spans="1:3" x14ac:dyDescent="0.3">
      <c r="A7932" t="s">
        <v>10255</v>
      </c>
      <c r="B7932" t="s">
        <v>40</v>
      </c>
      <c r="C7932">
        <v>0</v>
      </c>
    </row>
    <row r="7933" spans="1:3" x14ac:dyDescent="0.3">
      <c r="A7933" t="s">
        <v>10255</v>
      </c>
      <c r="B7933" t="s">
        <v>40</v>
      </c>
      <c r="C7933">
        <v>0.03</v>
      </c>
    </row>
    <row r="7934" spans="1:3" x14ac:dyDescent="0.3">
      <c r="A7934" t="s">
        <v>10255</v>
      </c>
      <c r="B7934" t="s">
        <v>40</v>
      </c>
      <c r="C7934">
        <v>0.1</v>
      </c>
    </row>
    <row r="7935" spans="1:3" x14ac:dyDescent="0.3">
      <c r="A7935" t="s">
        <v>6416</v>
      </c>
      <c r="B7935" t="s">
        <v>87</v>
      </c>
      <c r="C7935">
        <v>0.02</v>
      </c>
    </row>
    <row r="7936" spans="1:3" x14ac:dyDescent="0.3">
      <c r="A7936" t="s">
        <v>3262</v>
      </c>
      <c r="B7936" t="s">
        <v>87</v>
      </c>
      <c r="C7936">
        <v>0.02</v>
      </c>
    </row>
    <row r="7937" spans="1:3" x14ac:dyDescent="0.3">
      <c r="A7937" t="s">
        <v>3262</v>
      </c>
      <c r="B7937" t="s">
        <v>87</v>
      </c>
      <c r="C7937">
        <v>0.09</v>
      </c>
    </row>
    <row r="7938" spans="1:3" x14ac:dyDescent="0.3">
      <c r="A7938" t="s">
        <v>13482</v>
      </c>
      <c r="B7938" t="s">
        <v>87</v>
      </c>
      <c r="C7938">
        <v>0.03</v>
      </c>
    </row>
    <row r="7939" spans="1:3" x14ac:dyDescent="0.3">
      <c r="A7939" t="s">
        <v>14521</v>
      </c>
      <c r="B7939" t="s">
        <v>29</v>
      </c>
      <c r="C7939">
        <v>0.08</v>
      </c>
    </row>
    <row r="7940" spans="1:3" x14ac:dyDescent="0.3">
      <c r="A7940" t="s">
        <v>14521</v>
      </c>
      <c r="B7940" t="s">
        <v>29</v>
      </c>
      <c r="C7940">
        <v>0.1</v>
      </c>
    </row>
    <row r="7941" spans="1:3" x14ac:dyDescent="0.3">
      <c r="A7941" t="s">
        <v>6193</v>
      </c>
      <c r="B7941" t="s">
        <v>53</v>
      </c>
      <c r="C7941">
        <v>0</v>
      </c>
    </row>
    <row r="7942" spans="1:3" x14ac:dyDescent="0.3">
      <c r="A7942" t="s">
        <v>6193</v>
      </c>
      <c r="B7942" t="s">
        <v>53</v>
      </c>
      <c r="C7942">
        <v>0.01</v>
      </c>
    </row>
    <row r="7943" spans="1:3" x14ac:dyDescent="0.3">
      <c r="A7943" t="s">
        <v>6193</v>
      </c>
      <c r="B7943" t="s">
        <v>53</v>
      </c>
      <c r="C7943">
        <v>0.06</v>
      </c>
    </row>
    <row r="7944" spans="1:3" x14ac:dyDescent="0.3">
      <c r="A7944" t="s">
        <v>10142</v>
      </c>
      <c r="B7944" t="s">
        <v>64</v>
      </c>
      <c r="C7944">
        <v>0.08</v>
      </c>
    </row>
    <row r="7945" spans="1:3" x14ac:dyDescent="0.3">
      <c r="A7945" t="s">
        <v>14720</v>
      </c>
      <c r="B7945" t="s">
        <v>225</v>
      </c>
      <c r="C7945">
        <v>0.08</v>
      </c>
    </row>
    <row r="7946" spans="1:3" x14ac:dyDescent="0.3">
      <c r="A7946" t="s">
        <v>7857</v>
      </c>
      <c r="B7946" t="s">
        <v>87</v>
      </c>
      <c r="C7946">
        <v>0.02</v>
      </c>
    </row>
    <row r="7947" spans="1:3" x14ac:dyDescent="0.3">
      <c r="A7947" t="s">
        <v>15502</v>
      </c>
      <c r="B7947" t="s">
        <v>225</v>
      </c>
      <c r="C7947">
        <v>0.03</v>
      </c>
    </row>
    <row r="7948" spans="1:3" x14ac:dyDescent="0.3">
      <c r="A7948" t="s">
        <v>15502</v>
      </c>
      <c r="B7948" t="s">
        <v>225</v>
      </c>
      <c r="C7948">
        <v>0.09</v>
      </c>
    </row>
    <row r="7949" spans="1:3" x14ac:dyDescent="0.3">
      <c r="A7949" t="s">
        <v>10750</v>
      </c>
      <c r="B7949" t="s">
        <v>87</v>
      </c>
      <c r="C7949">
        <v>0.05</v>
      </c>
    </row>
    <row r="7950" spans="1:3" x14ac:dyDescent="0.3">
      <c r="A7950" t="s">
        <v>13013</v>
      </c>
      <c r="B7950" t="s">
        <v>64</v>
      </c>
      <c r="C7950">
        <v>0.05</v>
      </c>
    </row>
    <row r="7951" spans="1:3" x14ac:dyDescent="0.3">
      <c r="A7951" t="s">
        <v>10760</v>
      </c>
      <c r="B7951" t="s">
        <v>87</v>
      </c>
      <c r="C7951">
        <v>0.02</v>
      </c>
    </row>
    <row r="7952" spans="1:3" x14ac:dyDescent="0.3">
      <c r="A7952" t="s">
        <v>10882</v>
      </c>
      <c r="B7952" t="s">
        <v>87</v>
      </c>
      <c r="C7952">
        <v>0.06</v>
      </c>
    </row>
    <row r="7953" spans="1:3" x14ac:dyDescent="0.3">
      <c r="A7953" t="s">
        <v>12793</v>
      </c>
      <c r="B7953" t="s">
        <v>87</v>
      </c>
      <c r="C7953">
        <v>0.09</v>
      </c>
    </row>
    <row r="7954" spans="1:3" x14ac:dyDescent="0.3">
      <c r="A7954" t="s">
        <v>13216</v>
      </c>
      <c r="B7954" t="s">
        <v>64</v>
      </c>
      <c r="C7954">
        <v>0.1</v>
      </c>
    </row>
    <row r="7955" spans="1:3" x14ac:dyDescent="0.3">
      <c r="A7955" t="s">
        <v>15658</v>
      </c>
      <c r="B7955" t="s">
        <v>64</v>
      </c>
      <c r="C7955">
        <v>0.09</v>
      </c>
    </row>
    <row r="7956" spans="1:3" x14ac:dyDescent="0.3">
      <c r="A7956" t="s">
        <v>8710</v>
      </c>
      <c r="B7956" t="s">
        <v>87</v>
      </c>
      <c r="C7956">
        <v>0.02</v>
      </c>
    </row>
    <row r="7957" spans="1:3" x14ac:dyDescent="0.3">
      <c r="A7957" t="s">
        <v>8710</v>
      </c>
      <c r="B7957" t="s">
        <v>87</v>
      </c>
      <c r="C7957">
        <v>0.03</v>
      </c>
    </row>
    <row r="7958" spans="1:3" x14ac:dyDescent="0.3">
      <c r="A7958" t="s">
        <v>8710</v>
      </c>
      <c r="B7958" t="s">
        <v>87</v>
      </c>
      <c r="C7958">
        <v>0.08</v>
      </c>
    </row>
    <row r="7959" spans="1:3" x14ac:dyDescent="0.3">
      <c r="A7959" t="s">
        <v>6645</v>
      </c>
      <c r="B7959" t="s">
        <v>87</v>
      </c>
      <c r="C7959">
        <v>0.03</v>
      </c>
    </row>
    <row r="7960" spans="1:3" x14ac:dyDescent="0.3">
      <c r="A7960" t="s">
        <v>13916</v>
      </c>
      <c r="B7960" t="s">
        <v>87</v>
      </c>
      <c r="C7960">
        <v>0.03</v>
      </c>
    </row>
    <row r="7961" spans="1:3" x14ac:dyDescent="0.3">
      <c r="A7961" t="s">
        <v>13916</v>
      </c>
      <c r="B7961" t="s">
        <v>87</v>
      </c>
      <c r="C7961">
        <v>0.05</v>
      </c>
    </row>
    <row r="7962" spans="1:3" x14ac:dyDescent="0.3">
      <c r="A7962" t="s">
        <v>14762</v>
      </c>
      <c r="B7962" t="s">
        <v>87</v>
      </c>
      <c r="C7962">
        <v>7.0000000000000007E-2</v>
      </c>
    </row>
    <row r="7963" spans="1:3" x14ac:dyDescent="0.3">
      <c r="A7963" t="s">
        <v>3299</v>
      </c>
      <c r="B7963" t="s">
        <v>87</v>
      </c>
      <c r="C7963">
        <v>0.01</v>
      </c>
    </row>
    <row r="7964" spans="1:3" x14ac:dyDescent="0.3">
      <c r="A7964" t="s">
        <v>3299</v>
      </c>
      <c r="B7964" t="s">
        <v>87</v>
      </c>
      <c r="C7964">
        <v>0.09</v>
      </c>
    </row>
    <row r="7965" spans="1:3" x14ac:dyDescent="0.3">
      <c r="A7965" t="s">
        <v>13376</v>
      </c>
      <c r="B7965" t="s">
        <v>87</v>
      </c>
      <c r="C7965">
        <v>0</v>
      </c>
    </row>
    <row r="7966" spans="1:3" x14ac:dyDescent="0.3">
      <c r="A7966" t="s">
        <v>13376</v>
      </c>
      <c r="B7966" t="s">
        <v>87</v>
      </c>
      <c r="C7966">
        <v>0.04</v>
      </c>
    </row>
    <row r="7967" spans="1:3" x14ac:dyDescent="0.3">
      <c r="A7967" t="s">
        <v>4569</v>
      </c>
      <c r="B7967" t="s">
        <v>87</v>
      </c>
      <c r="C7967">
        <v>0.05</v>
      </c>
    </row>
    <row r="7968" spans="1:3" x14ac:dyDescent="0.3">
      <c r="A7968" t="s">
        <v>15830</v>
      </c>
      <c r="B7968" t="s">
        <v>87</v>
      </c>
      <c r="C7968">
        <v>0</v>
      </c>
    </row>
    <row r="7969" spans="1:3" x14ac:dyDescent="0.3">
      <c r="A7969" t="s">
        <v>15830</v>
      </c>
      <c r="B7969" t="s">
        <v>87</v>
      </c>
      <c r="C7969">
        <v>0.01</v>
      </c>
    </row>
    <row r="7970" spans="1:3" x14ac:dyDescent="0.3">
      <c r="A7970" t="s">
        <v>15830</v>
      </c>
      <c r="B7970" t="s">
        <v>87</v>
      </c>
      <c r="C7970">
        <v>0.09</v>
      </c>
    </row>
    <row r="7971" spans="1:3" x14ac:dyDescent="0.3">
      <c r="A7971" t="s">
        <v>10636</v>
      </c>
      <c r="B7971" t="s">
        <v>87</v>
      </c>
      <c r="C7971">
        <v>7.0000000000000007E-2</v>
      </c>
    </row>
    <row r="7972" spans="1:3" x14ac:dyDescent="0.3">
      <c r="A7972" t="s">
        <v>9683</v>
      </c>
      <c r="B7972" t="s">
        <v>29</v>
      </c>
      <c r="C7972">
        <v>0.1</v>
      </c>
    </row>
    <row r="7973" spans="1:3" x14ac:dyDescent="0.3">
      <c r="A7973" t="s">
        <v>3330</v>
      </c>
      <c r="B7973" t="s">
        <v>87</v>
      </c>
      <c r="C7973">
        <v>0.03</v>
      </c>
    </row>
    <row r="7974" spans="1:3" x14ac:dyDescent="0.3">
      <c r="A7974" t="s">
        <v>3330</v>
      </c>
      <c r="B7974" t="s">
        <v>87</v>
      </c>
      <c r="C7974">
        <v>0.08</v>
      </c>
    </row>
    <row r="7975" spans="1:3" x14ac:dyDescent="0.3">
      <c r="A7975" t="s">
        <v>12030</v>
      </c>
      <c r="B7975" t="s">
        <v>53</v>
      </c>
      <c r="C7975">
        <v>0.02</v>
      </c>
    </row>
    <row r="7976" spans="1:3" x14ac:dyDescent="0.3">
      <c r="A7976" t="s">
        <v>11695</v>
      </c>
      <c r="B7976" t="s">
        <v>64</v>
      </c>
      <c r="C7976">
        <v>0.01</v>
      </c>
    </row>
    <row r="7977" spans="1:3" x14ac:dyDescent="0.3">
      <c r="A7977" t="s">
        <v>15031</v>
      </c>
      <c r="B7977" t="s">
        <v>87</v>
      </c>
      <c r="C7977">
        <v>0.02</v>
      </c>
    </row>
    <row r="7978" spans="1:3" x14ac:dyDescent="0.3">
      <c r="A7978" t="s">
        <v>14391</v>
      </c>
      <c r="B7978" t="s">
        <v>40</v>
      </c>
      <c r="C7978">
        <v>0.09</v>
      </c>
    </row>
    <row r="7979" spans="1:3" x14ac:dyDescent="0.3">
      <c r="A7979" t="s">
        <v>10469</v>
      </c>
      <c r="B7979" t="s">
        <v>40</v>
      </c>
      <c r="C7979">
        <v>7.0000000000000007E-2</v>
      </c>
    </row>
    <row r="7980" spans="1:3" x14ac:dyDescent="0.3">
      <c r="A7980" t="s">
        <v>12760</v>
      </c>
      <c r="B7980" t="s">
        <v>40</v>
      </c>
      <c r="C7980">
        <v>0.01</v>
      </c>
    </row>
    <row r="7981" spans="1:3" x14ac:dyDescent="0.3">
      <c r="A7981" t="s">
        <v>3356</v>
      </c>
      <c r="B7981" t="s">
        <v>87</v>
      </c>
      <c r="C7981">
        <v>0</v>
      </c>
    </row>
    <row r="7982" spans="1:3" x14ac:dyDescent="0.3">
      <c r="A7982" t="s">
        <v>9024</v>
      </c>
      <c r="B7982" t="s">
        <v>40</v>
      </c>
      <c r="C7982">
        <v>0.04</v>
      </c>
    </row>
    <row r="7983" spans="1:3" x14ac:dyDescent="0.3">
      <c r="A7983" t="s">
        <v>9024</v>
      </c>
      <c r="B7983" t="s">
        <v>40</v>
      </c>
      <c r="C7983">
        <v>0.08</v>
      </c>
    </row>
    <row r="7984" spans="1:3" x14ac:dyDescent="0.3">
      <c r="A7984" t="s">
        <v>14639</v>
      </c>
      <c r="B7984" t="s">
        <v>225</v>
      </c>
      <c r="C7984">
        <v>0.03</v>
      </c>
    </row>
    <row r="7985" spans="1:3" x14ac:dyDescent="0.3">
      <c r="A7985" t="s">
        <v>10878</v>
      </c>
      <c r="B7985" t="s">
        <v>225</v>
      </c>
      <c r="C7985">
        <v>0.04</v>
      </c>
    </row>
    <row r="7986" spans="1:3" x14ac:dyDescent="0.3">
      <c r="A7986" t="s">
        <v>6576</v>
      </c>
      <c r="B7986" t="s">
        <v>64</v>
      </c>
      <c r="C7986">
        <v>0.09</v>
      </c>
    </row>
    <row r="7987" spans="1:3" x14ac:dyDescent="0.3">
      <c r="A7987" t="s">
        <v>13511</v>
      </c>
      <c r="B7987" t="s">
        <v>64</v>
      </c>
      <c r="C7987">
        <v>0</v>
      </c>
    </row>
    <row r="7988" spans="1:3" x14ac:dyDescent="0.3">
      <c r="A7988" t="s">
        <v>4605</v>
      </c>
      <c r="B7988" t="s">
        <v>40</v>
      </c>
      <c r="C7988">
        <v>0.02</v>
      </c>
    </row>
    <row r="7989" spans="1:3" x14ac:dyDescent="0.3">
      <c r="A7989" t="s">
        <v>4605</v>
      </c>
      <c r="B7989" t="s">
        <v>40</v>
      </c>
      <c r="C7989">
        <v>0.1</v>
      </c>
    </row>
    <row r="7990" spans="1:3" x14ac:dyDescent="0.3">
      <c r="A7990" t="s">
        <v>3406</v>
      </c>
      <c r="B7990" t="s">
        <v>29</v>
      </c>
      <c r="C7990">
        <v>0.03</v>
      </c>
    </row>
    <row r="7991" spans="1:3" x14ac:dyDescent="0.3">
      <c r="A7991" t="s">
        <v>3406</v>
      </c>
      <c r="B7991" t="s">
        <v>29</v>
      </c>
      <c r="C7991">
        <v>0.05</v>
      </c>
    </row>
    <row r="7992" spans="1:3" x14ac:dyDescent="0.3">
      <c r="A7992" t="s">
        <v>3406</v>
      </c>
      <c r="B7992" t="s">
        <v>29</v>
      </c>
      <c r="C7992">
        <v>0.08</v>
      </c>
    </row>
    <row r="7993" spans="1:3" x14ac:dyDescent="0.3">
      <c r="A7993" t="s">
        <v>12783</v>
      </c>
      <c r="B7993" t="s">
        <v>225</v>
      </c>
      <c r="C7993">
        <v>0</v>
      </c>
    </row>
    <row r="7994" spans="1:3" x14ac:dyDescent="0.3">
      <c r="A7994" t="s">
        <v>14283</v>
      </c>
      <c r="B7994" t="s">
        <v>87</v>
      </c>
      <c r="C7994">
        <v>0.02</v>
      </c>
    </row>
    <row r="7995" spans="1:3" x14ac:dyDescent="0.3">
      <c r="A7995" t="s">
        <v>14283</v>
      </c>
      <c r="B7995" t="s">
        <v>87</v>
      </c>
      <c r="C7995">
        <v>0.03</v>
      </c>
    </row>
    <row r="7996" spans="1:3" x14ac:dyDescent="0.3">
      <c r="A7996" t="s">
        <v>14303</v>
      </c>
      <c r="B7996" t="s">
        <v>64</v>
      </c>
      <c r="C7996">
        <v>0.02</v>
      </c>
    </row>
    <row r="7997" spans="1:3" x14ac:dyDescent="0.3">
      <c r="A7997" t="s">
        <v>10940</v>
      </c>
      <c r="B7997" t="s">
        <v>29</v>
      </c>
      <c r="C7997">
        <v>0.02</v>
      </c>
    </row>
    <row r="7998" spans="1:3" x14ac:dyDescent="0.3">
      <c r="A7998" t="s">
        <v>3425</v>
      </c>
      <c r="B7998" t="s">
        <v>53</v>
      </c>
      <c r="C7998">
        <v>7.0000000000000007E-2</v>
      </c>
    </row>
    <row r="7999" spans="1:3" x14ac:dyDescent="0.3">
      <c r="A7999" t="s">
        <v>5848</v>
      </c>
      <c r="B7999" t="s">
        <v>87</v>
      </c>
      <c r="C7999">
        <v>0.04</v>
      </c>
    </row>
    <row r="8000" spans="1:3" x14ac:dyDescent="0.3">
      <c r="A8000" t="s">
        <v>14177</v>
      </c>
      <c r="B8000" t="s">
        <v>40</v>
      </c>
      <c r="C8000">
        <v>0.05</v>
      </c>
    </row>
    <row r="8001" spans="1:3" x14ac:dyDescent="0.3">
      <c r="A8001" t="s">
        <v>8576</v>
      </c>
      <c r="B8001" t="s">
        <v>40</v>
      </c>
      <c r="C8001">
        <v>0.1</v>
      </c>
    </row>
    <row r="8002" spans="1:3" x14ac:dyDescent="0.3">
      <c r="A8002" t="s">
        <v>3431</v>
      </c>
      <c r="B8002" t="s">
        <v>40</v>
      </c>
      <c r="C8002">
        <v>7.0000000000000007E-2</v>
      </c>
    </row>
    <row r="8003" spans="1:3" x14ac:dyDescent="0.3">
      <c r="A8003" t="s">
        <v>3431</v>
      </c>
      <c r="B8003" t="s">
        <v>87</v>
      </c>
      <c r="C8003">
        <v>0</v>
      </c>
    </row>
    <row r="8004" spans="1:3" x14ac:dyDescent="0.3">
      <c r="A8004" t="s">
        <v>15063</v>
      </c>
      <c r="B8004" t="s">
        <v>40</v>
      </c>
      <c r="C8004">
        <v>0.02</v>
      </c>
    </row>
    <row r="8005" spans="1:3" x14ac:dyDescent="0.3">
      <c r="A8005" t="s">
        <v>3594</v>
      </c>
      <c r="B8005" t="s">
        <v>64</v>
      </c>
      <c r="C8005">
        <v>0.06</v>
      </c>
    </row>
    <row r="8006" spans="1:3" x14ac:dyDescent="0.3">
      <c r="A8006" t="s">
        <v>3594</v>
      </c>
      <c r="B8006" t="s">
        <v>64</v>
      </c>
      <c r="C8006">
        <v>0.09</v>
      </c>
    </row>
    <row r="8007" spans="1:3" x14ac:dyDescent="0.3">
      <c r="A8007" t="s">
        <v>12614</v>
      </c>
      <c r="B8007" t="s">
        <v>40</v>
      </c>
      <c r="C8007">
        <v>0.02</v>
      </c>
    </row>
    <row r="8008" spans="1:3" x14ac:dyDescent="0.3">
      <c r="A8008" t="s">
        <v>12614</v>
      </c>
      <c r="B8008" t="s">
        <v>40</v>
      </c>
      <c r="C8008">
        <v>0.05</v>
      </c>
    </row>
    <row r="8009" spans="1:3" x14ac:dyDescent="0.3">
      <c r="A8009" t="s">
        <v>9696</v>
      </c>
      <c r="B8009" t="s">
        <v>87</v>
      </c>
      <c r="C8009">
        <v>0.08</v>
      </c>
    </row>
    <row r="8010" spans="1:3" x14ac:dyDescent="0.3">
      <c r="A8010" t="s">
        <v>4106</v>
      </c>
      <c r="B8010" t="s">
        <v>87</v>
      </c>
      <c r="C8010">
        <v>0.01</v>
      </c>
    </row>
    <row r="8011" spans="1:3" x14ac:dyDescent="0.3">
      <c r="A8011" t="s">
        <v>3791</v>
      </c>
      <c r="B8011" t="s">
        <v>29</v>
      </c>
      <c r="C8011">
        <v>7.0000000000000007E-2</v>
      </c>
    </row>
    <row r="8012" spans="1:3" x14ac:dyDescent="0.3">
      <c r="A8012" t="s">
        <v>8302</v>
      </c>
      <c r="B8012" t="s">
        <v>29</v>
      </c>
      <c r="C8012">
        <v>0.1</v>
      </c>
    </row>
    <row r="8013" spans="1:3" x14ac:dyDescent="0.3">
      <c r="A8013" t="s">
        <v>10123</v>
      </c>
      <c r="B8013" t="s">
        <v>29</v>
      </c>
      <c r="C8013">
        <v>0.05</v>
      </c>
    </row>
    <row r="8014" spans="1:3" x14ac:dyDescent="0.3">
      <c r="A8014" t="s">
        <v>6980</v>
      </c>
      <c r="B8014" t="s">
        <v>225</v>
      </c>
      <c r="C8014">
        <v>0.1</v>
      </c>
    </row>
    <row r="8015" spans="1:3" x14ac:dyDescent="0.3">
      <c r="A8015" t="s">
        <v>6980</v>
      </c>
      <c r="B8015" t="s">
        <v>64</v>
      </c>
      <c r="C8015">
        <v>0.04</v>
      </c>
    </row>
    <row r="8016" spans="1:3" x14ac:dyDescent="0.3">
      <c r="A8016" t="s">
        <v>6980</v>
      </c>
      <c r="B8016" t="s">
        <v>87</v>
      </c>
      <c r="C8016">
        <v>0.08</v>
      </c>
    </row>
    <row r="8017" spans="1:3" x14ac:dyDescent="0.3">
      <c r="A8017" t="s">
        <v>12946</v>
      </c>
      <c r="B8017" t="s">
        <v>40</v>
      </c>
      <c r="C8017">
        <v>0.08</v>
      </c>
    </row>
    <row r="8018" spans="1:3" x14ac:dyDescent="0.3">
      <c r="A8018" t="s">
        <v>14655</v>
      </c>
      <c r="B8018" t="s">
        <v>87</v>
      </c>
      <c r="C8018">
        <v>0.06</v>
      </c>
    </row>
    <row r="8019" spans="1:3" x14ac:dyDescent="0.3">
      <c r="A8019" t="s">
        <v>11259</v>
      </c>
      <c r="B8019" t="s">
        <v>225</v>
      </c>
      <c r="C8019">
        <v>0.05</v>
      </c>
    </row>
    <row r="8020" spans="1:3" x14ac:dyDescent="0.3">
      <c r="A8020" t="s">
        <v>5189</v>
      </c>
      <c r="B8020" t="s">
        <v>29</v>
      </c>
      <c r="C8020">
        <v>0.05</v>
      </c>
    </row>
    <row r="8021" spans="1:3" x14ac:dyDescent="0.3">
      <c r="A8021" t="s">
        <v>13057</v>
      </c>
      <c r="B8021" t="s">
        <v>225</v>
      </c>
      <c r="C8021">
        <v>0.09</v>
      </c>
    </row>
    <row r="8022" spans="1:3" x14ac:dyDescent="0.3">
      <c r="A8022" t="s">
        <v>8307</v>
      </c>
      <c r="B8022" t="s">
        <v>225</v>
      </c>
      <c r="C8022">
        <v>0.1</v>
      </c>
    </row>
    <row r="8023" spans="1:3" x14ac:dyDescent="0.3">
      <c r="A8023" t="s">
        <v>7547</v>
      </c>
      <c r="B8023" t="s">
        <v>87</v>
      </c>
      <c r="C8023">
        <v>0</v>
      </c>
    </row>
    <row r="8024" spans="1:3" x14ac:dyDescent="0.3">
      <c r="A8024" t="s">
        <v>11945</v>
      </c>
      <c r="B8024" t="s">
        <v>40</v>
      </c>
      <c r="C8024">
        <v>0.04</v>
      </c>
    </row>
    <row r="8025" spans="1:3" x14ac:dyDescent="0.3">
      <c r="A8025" t="s">
        <v>14336</v>
      </c>
      <c r="B8025" t="s">
        <v>53</v>
      </c>
      <c r="C8025">
        <v>0.08</v>
      </c>
    </row>
    <row r="8026" spans="1:3" x14ac:dyDescent="0.3">
      <c r="A8026" t="s">
        <v>14336</v>
      </c>
      <c r="B8026" t="s">
        <v>87</v>
      </c>
      <c r="C8026">
        <v>0</v>
      </c>
    </row>
    <row r="8027" spans="1:3" x14ac:dyDescent="0.3">
      <c r="A8027" t="s">
        <v>8324</v>
      </c>
      <c r="B8027" t="s">
        <v>225</v>
      </c>
      <c r="C8027">
        <v>0.08</v>
      </c>
    </row>
    <row r="8028" spans="1:3" x14ac:dyDescent="0.3">
      <c r="A8028" t="s">
        <v>12093</v>
      </c>
      <c r="B8028" t="s">
        <v>87</v>
      </c>
      <c r="C8028">
        <v>0.05</v>
      </c>
    </row>
    <row r="8029" spans="1:3" x14ac:dyDescent="0.3">
      <c r="A8029" t="s">
        <v>3488</v>
      </c>
      <c r="B8029" t="s">
        <v>40</v>
      </c>
      <c r="C8029">
        <v>0.06</v>
      </c>
    </row>
    <row r="8030" spans="1:3" x14ac:dyDescent="0.3">
      <c r="A8030" t="s">
        <v>15767</v>
      </c>
      <c r="B8030" t="s">
        <v>87</v>
      </c>
      <c r="C8030">
        <v>0</v>
      </c>
    </row>
    <row r="8031" spans="1:3" x14ac:dyDescent="0.3">
      <c r="A8031" t="s">
        <v>9985</v>
      </c>
      <c r="B8031" t="s">
        <v>29</v>
      </c>
      <c r="C8031">
        <v>0.06</v>
      </c>
    </row>
    <row r="8032" spans="1:3" x14ac:dyDescent="0.3">
      <c r="A8032" t="s">
        <v>13429</v>
      </c>
      <c r="B8032" t="s">
        <v>64</v>
      </c>
      <c r="C8032">
        <v>0.05</v>
      </c>
    </row>
    <row r="8033" spans="1:3" x14ac:dyDescent="0.3">
      <c r="A8033" t="s">
        <v>12564</v>
      </c>
      <c r="B8033" t="s">
        <v>225</v>
      </c>
      <c r="C8033">
        <v>0.09</v>
      </c>
    </row>
    <row r="8034" spans="1:3" x14ac:dyDescent="0.3">
      <c r="A8034" t="s">
        <v>12564</v>
      </c>
      <c r="B8034" t="s">
        <v>87</v>
      </c>
      <c r="C8034">
        <v>0.04</v>
      </c>
    </row>
    <row r="8035" spans="1:3" x14ac:dyDescent="0.3">
      <c r="A8035" t="s">
        <v>7019</v>
      </c>
      <c r="B8035" t="s">
        <v>29</v>
      </c>
      <c r="C8035">
        <v>0</v>
      </c>
    </row>
    <row r="8036" spans="1:3" x14ac:dyDescent="0.3">
      <c r="A8036" t="s">
        <v>7019</v>
      </c>
      <c r="B8036" t="s">
        <v>29</v>
      </c>
      <c r="C8036">
        <v>0.06</v>
      </c>
    </row>
    <row r="8037" spans="1:3" x14ac:dyDescent="0.3">
      <c r="A8037" t="s">
        <v>3894</v>
      </c>
      <c r="B8037" t="s">
        <v>29</v>
      </c>
      <c r="C8037">
        <v>0.01</v>
      </c>
    </row>
    <row r="8038" spans="1:3" x14ac:dyDescent="0.3">
      <c r="A8038" t="s">
        <v>3894</v>
      </c>
      <c r="B8038" t="s">
        <v>29</v>
      </c>
      <c r="C8038">
        <v>0.09</v>
      </c>
    </row>
    <row r="8039" spans="1:3" x14ac:dyDescent="0.3">
      <c r="A8039" t="s">
        <v>14746</v>
      </c>
      <c r="B8039" t="s">
        <v>29</v>
      </c>
      <c r="C8039">
        <v>0.03</v>
      </c>
    </row>
    <row r="8040" spans="1:3" x14ac:dyDescent="0.3">
      <c r="A8040" t="s">
        <v>11281</v>
      </c>
      <c r="B8040" t="s">
        <v>64</v>
      </c>
      <c r="C8040">
        <v>0.01</v>
      </c>
    </row>
    <row r="8041" spans="1:3" x14ac:dyDescent="0.3">
      <c r="A8041" t="s">
        <v>11281</v>
      </c>
      <c r="B8041" t="s">
        <v>64</v>
      </c>
      <c r="C8041">
        <v>0.03</v>
      </c>
    </row>
    <row r="8042" spans="1:3" x14ac:dyDescent="0.3">
      <c r="A8042" t="s">
        <v>3684</v>
      </c>
      <c r="B8042" t="s">
        <v>225</v>
      </c>
      <c r="C8042">
        <v>0.03</v>
      </c>
    </row>
    <row r="8043" spans="1:3" x14ac:dyDescent="0.3">
      <c r="A8043" t="s">
        <v>13826</v>
      </c>
      <c r="B8043" t="s">
        <v>53</v>
      </c>
      <c r="C8043">
        <v>0.01</v>
      </c>
    </row>
    <row r="8044" spans="1:3" x14ac:dyDescent="0.3">
      <c r="A8044" t="s">
        <v>14554</v>
      </c>
      <c r="B8044" t="s">
        <v>53</v>
      </c>
      <c r="C8044">
        <v>0.09</v>
      </c>
    </row>
    <row r="8045" spans="1:3" x14ac:dyDescent="0.3">
      <c r="A8045" t="s">
        <v>9330</v>
      </c>
      <c r="B8045" t="s">
        <v>29</v>
      </c>
      <c r="C8045">
        <v>0.03</v>
      </c>
    </row>
    <row r="8046" spans="1:3" x14ac:dyDescent="0.3">
      <c r="A8046" t="s">
        <v>12174</v>
      </c>
      <c r="B8046" t="s">
        <v>53</v>
      </c>
      <c r="C8046">
        <v>0.04</v>
      </c>
    </row>
    <row r="8047" spans="1:3" x14ac:dyDescent="0.3">
      <c r="A8047" t="s">
        <v>6639</v>
      </c>
      <c r="B8047" t="s">
        <v>225</v>
      </c>
      <c r="C8047">
        <v>0.04</v>
      </c>
    </row>
    <row r="8048" spans="1:3" x14ac:dyDescent="0.3">
      <c r="A8048" t="s">
        <v>8447</v>
      </c>
      <c r="B8048" t="s">
        <v>64</v>
      </c>
      <c r="C8048">
        <v>0.09</v>
      </c>
    </row>
    <row r="8049" spans="1:3" x14ac:dyDescent="0.3">
      <c r="A8049" t="s">
        <v>8479</v>
      </c>
      <c r="B8049" t="s">
        <v>40</v>
      </c>
      <c r="C8049">
        <v>0.02</v>
      </c>
    </row>
    <row r="8050" spans="1:3" x14ac:dyDescent="0.3">
      <c r="A8050" t="s">
        <v>14204</v>
      </c>
      <c r="B8050" t="s">
        <v>29</v>
      </c>
      <c r="C8050">
        <v>7.0000000000000007E-2</v>
      </c>
    </row>
    <row r="8051" spans="1:3" x14ac:dyDescent="0.3">
      <c r="A8051" t="s">
        <v>13034</v>
      </c>
      <c r="B8051" t="s">
        <v>53</v>
      </c>
      <c r="C8051">
        <v>0.02</v>
      </c>
    </row>
    <row r="8052" spans="1:3" x14ac:dyDescent="0.3">
      <c r="A8052" t="s">
        <v>13534</v>
      </c>
      <c r="B8052" t="s">
        <v>53</v>
      </c>
      <c r="C8052">
        <v>0.08</v>
      </c>
    </row>
    <row r="8053" spans="1:3" x14ac:dyDescent="0.3">
      <c r="A8053" t="s">
        <v>11837</v>
      </c>
      <c r="B8053" t="s">
        <v>40</v>
      </c>
      <c r="C8053">
        <v>0.04</v>
      </c>
    </row>
    <row r="8054" spans="1:3" x14ac:dyDescent="0.3">
      <c r="A8054" t="s">
        <v>11837</v>
      </c>
      <c r="B8054" t="s">
        <v>53</v>
      </c>
      <c r="C8054">
        <v>0.08</v>
      </c>
    </row>
    <row r="8055" spans="1:3" x14ac:dyDescent="0.3">
      <c r="A8055" t="s">
        <v>12085</v>
      </c>
      <c r="B8055" t="s">
        <v>53</v>
      </c>
      <c r="C8055">
        <v>0.1</v>
      </c>
    </row>
    <row r="8056" spans="1:3" x14ac:dyDescent="0.3">
      <c r="A8056" t="s">
        <v>7370</v>
      </c>
      <c r="B8056" t="s">
        <v>40</v>
      </c>
      <c r="C8056">
        <v>0.09</v>
      </c>
    </row>
    <row r="8057" spans="1:3" x14ac:dyDescent="0.3">
      <c r="A8057" t="s">
        <v>5160</v>
      </c>
      <c r="B8057" t="s">
        <v>40</v>
      </c>
      <c r="C8057">
        <v>0.1</v>
      </c>
    </row>
    <row r="8058" spans="1:3" x14ac:dyDescent="0.3">
      <c r="A8058" t="s">
        <v>5933</v>
      </c>
      <c r="B8058" t="s">
        <v>40</v>
      </c>
      <c r="C8058">
        <v>0.09</v>
      </c>
    </row>
    <row r="8059" spans="1:3" x14ac:dyDescent="0.3">
      <c r="A8059" t="s">
        <v>8205</v>
      </c>
      <c r="B8059" t="s">
        <v>29</v>
      </c>
      <c r="C8059">
        <v>0.06</v>
      </c>
    </row>
    <row r="8060" spans="1:3" x14ac:dyDescent="0.3">
      <c r="A8060" t="s">
        <v>8205</v>
      </c>
      <c r="B8060" t="s">
        <v>29</v>
      </c>
      <c r="C8060">
        <v>0.09</v>
      </c>
    </row>
    <row r="8061" spans="1:3" x14ac:dyDescent="0.3">
      <c r="A8061" t="s">
        <v>3600</v>
      </c>
      <c r="B8061" t="s">
        <v>87</v>
      </c>
      <c r="C8061">
        <v>0.04</v>
      </c>
    </row>
    <row r="8062" spans="1:3" x14ac:dyDescent="0.3">
      <c r="A8062" t="s">
        <v>10311</v>
      </c>
      <c r="B8062" t="s">
        <v>29</v>
      </c>
      <c r="C8062">
        <v>0</v>
      </c>
    </row>
    <row r="8063" spans="1:3" x14ac:dyDescent="0.3">
      <c r="A8063" t="s">
        <v>10311</v>
      </c>
      <c r="B8063" t="s">
        <v>29</v>
      </c>
      <c r="C8063">
        <v>0.02</v>
      </c>
    </row>
    <row r="8064" spans="1:3" x14ac:dyDescent="0.3">
      <c r="A8064" t="s">
        <v>5947</v>
      </c>
      <c r="B8064" t="s">
        <v>40</v>
      </c>
      <c r="C8064">
        <v>0.02</v>
      </c>
    </row>
    <row r="8065" spans="1:3" x14ac:dyDescent="0.3">
      <c r="A8065" t="s">
        <v>15759</v>
      </c>
      <c r="B8065" t="s">
        <v>29</v>
      </c>
      <c r="C8065">
        <v>0.02</v>
      </c>
    </row>
    <row r="8066" spans="1:3" x14ac:dyDescent="0.3">
      <c r="A8066" t="s">
        <v>15200</v>
      </c>
      <c r="B8066" t="s">
        <v>87</v>
      </c>
      <c r="C8066">
        <v>0</v>
      </c>
    </row>
    <row r="8067" spans="1:3" x14ac:dyDescent="0.3">
      <c r="A8067" t="s">
        <v>14092</v>
      </c>
      <c r="B8067" t="s">
        <v>53</v>
      </c>
      <c r="C8067">
        <v>0.09</v>
      </c>
    </row>
    <row r="8068" spans="1:3" x14ac:dyDescent="0.3">
      <c r="A8068" t="s">
        <v>4760</v>
      </c>
      <c r="B8068" t="s">
        <v>40</v>
      </c>
      <c r="C8068">
        <v>0.02</v>
      </c>
    </row>
    <row r="8069" spans="1:3" x14ac:dyDescent="0.3">
      <c r="A8069" t="s">
        <v>4760</v>
      </c>
      <c r="B8069" t="s">
        <v>40</v>
      </c>
      <c r="C8069">
        <v>7.0000000000000007E-2</v>
      </c>
    </row>
    <row r="8070" spans="1:3" x14ac:dyDescent="0.3">
      <c r="A8070" t="s">
        <v>4760</v>
      </c>
      <c r="B8070" t="s">
        <v>40</v>
      </c>
      <c r="C8070">
        <v>0.1</v>
      </c>
    </row>
    <row r="8071" spans="1:3" x14ac:dyDescent="0.3">
      <c r="A8071" t="s">
        <v>4728</v>
      </c>
      <c r="B8071" t="s">
        <v>40</v>
      </c>
      <c r="C8071">
        <v>0.1</v>
      </c>
    </row>
    <row r="8072" spans="1:3" x14ac:dyDescent="0.3">
      <c r="A8072" t="s">
        <v>3650</v>
      </c>
      <c r="B8072" t="s">
        <v>64</v>
      </c>
      <c r="C8072">
        <v>0.09</v>
      </c>
    </row>
    <row r="8073" spans="1:3" x14ac:dyDescent="0.3">
      <c r="A8073" t="s">
        <v>12895</v>
      </c>
      <c r="B8073" t="s">
        <v>64</v>
      </c>
      <c r="C8073">
        <v>7.0000000000000007E-2</v>
      </c>
    </row>
    <row r="8074" spans="1:3" x14ac:dyDescent="0.3">
      <c r="A8074" t="s">
        <v>3655</v>
      </c>
      <c r="B8074" t="s">
        <v>64</v>
      </c>
      <c r="C8074">
        <v>0.08</v>
      </c>
    </row>
    <row r="8075" spans="1:3" x14ac:dyDescent="0.3">
      <c r="A8075" t="s">
        <v>6806</v>
      </c>
      <c r="B8075" t="s">
        <v>225</v>
      </c>
      <c r="C8075">
        <v>0.04</v>
      </c>
    </row>
    <row r="8076" spans="1:3" x14ac:dyDescent="0.3">
      <c r="A8076" t="s">
        <v>6504</v>
      </c>
      <c r="B8076" t="s">
        <v>225</v>
      </c>
      <c r="C8076">
        <v>7.0000000000000007E-2</v>
      </c>
    </row>
    <row r="8077" spans="1:3" x14ac:dyDescent="0.3">
      <c r="A8077" t="s">
        <v>8780</v>
      </c>
      <c r="B8077" t="s">
        <v>64</v>
      </c>
      <c r="C8077">
        <v>0.02</v>
      </c>
    </row>
    <row r="8078" spans="1:3" x14ac:dyDescent="0.3">
      <c r="A8078" t="s">
        <v>8780</v>
      </c>
      <c r="B8078" t="s">
        <v>64</v>
      </c>
      <c r="C8078">
        <v>0.06</v>
      </c>
    </row>
    <row r="8079" spans="1:3" x14ac:dyDescent="0.3">
      <c r="A8079" t="s">
        <v>8780</v>
      </c>
      <c r="B8079" t="s">
        <v>64</v>
      </c>
      <c r="C8079">
        <v>0.09</v>
      </c>
    </row>
    <row r="8080" spans="1:3" x14ac:dyDescent="0.3">
      <c r="A8080" t="s">
        <v>13972</v>
      </c>
      <c r="B8080" t="s">
        <v>64</v>
      </c>
      <c r="C8080">
        <v>0.04</v>
      </c>
    </row>
    <row r="8081" spans="1:3" x14ac:dyDescent="0.3">
      <c r="A8081" t="s">
        <v>7727</v>
      </c>
      <c r="B8081" t="s">
        <v>64</v>
      </c>
      <c r="C8081">
        <v>0.1</v>
      </c>
    </row>
    <row r="8082" spans="1:3" x14ac:dyDescent="0.3">
      <c r="A8082" t="s">
        <v>7727</v>
      </c>
      <c r="B8082" t="s">
        <v>29</v>
      </c>
      <c r="C8082">
        <v>0.04</v>
      </c>
    </row>
    <row r="8083" spans="1:3" x14ac:dyDescent="0.3">
      <c r="A8083" t="s">
        <v>7727</v>
      </c>
      <c r="B8083" t="s">
        <v>29</v>
      </c>
      <c r="C8083">
        <v>0.1</v>
      </c>
    </row>
    <row r="8084" spans="1:3" x14ac:dyDescent="0.3">
      <c r="A8084" t="s">
        <v>14147</v>
      </c>
      <c r="B8084" t="s">
        <v>29</v>
      </c>
      <c r="C8084">
        <v>0.06</v>
      </c>
    </row>
    <row r="8085" spans="1:3" x14ac:dyDescent="0.3">
      <c r="A8085" t="s">
        <v>14147</v>
      </c>
      <c r="B8085" t="s">
        <v>53</v>
      </c>
      <c r="C8085">
        <v>0.06</v>
      </c>
    </row>
    <row r="8086" spans="1:3" x14ac:dyDescent="0.3">
      <c r="A8086" t="s">
        <v>13343</v>
      </c>
      <c r="B8086" t="s">
        <v>29</v>
      </c>
      <c r="C8086">
        <v>0</v>
      </c>
    </row>
    <row r="8087" spans="1:3" x14ac:dyDescent="0.3">
      <c r="A8087" t="s">
        <v>3678</v>
      </c>
      <c r="B8087" t="s">
        <v>29</v>
      </c>
      <c r="C8087">
        <v>0.1</v>
      </c>
    </row>
    <row r="8088" spans="1:3" x14ac:dyDescent="0.3">
      <c r="A8088" t="s">
        <v>10450</v>
      </c>
      <c r="B8088" t="s">
        <v>40</v>
      </c>
      <c r="C8088">
        <v>0.03</v>
      </c>
    </row>
    <row r="8089" spans="1:3" x14ac:dyDescent="0.3">
      <c r="A8089" t="s">
        <v>9051</v>
      </c>
      <c r="B8089" t="s">
        <v>29</v>
      </c>
      <c r="C8089">
        <v>0.03</v>
      </c>
    </row>
    <row r="8090" spans="1:3" x14ac:dyDescent="0.3">
      <c r="A8090" t="s">
        <v>7974</v>
      </c>
      <c r="B8090" t="s">
        <v>29</v>
      </c>
      <c r="C8090">
        <v>0.01</v>
      </c>
    </row>
    <row r="8091" spans="1:3" x14ac:dyDescent="0.3">
      <c r="A8091" t="s">
        <v>9599</v>
      </c>
      <c r="B8091" t="s">
        <v>40</v>
      </c>
      <c r="C8091">
        <v>0</v>
      </c>
    </row>
    <row r="8092" spans="1:3" x14ac:dyDescent="0.3">
      <c r="A8092" t="s">
        <v>12949</v>
      </c>
      <c r="B8092" t="s">
        <v>225</v>
      </c>
      <c r="C8092">
        <v>0.09</v>
      </c>
    </row>
    <row r="8093" spans="1:3" x14ac:dyDescent="0.3">
      <c r="A8093" t="s">
        <v>13175</v>
      </c>
      <c r="B8093" t="s">
        <v>40</v>
      </c>
      <c r="C8093">
        <v>7.0000000000000007E-2</v>
      </c>
    </row>
    <row r="8094" spans="1:3" x14ac:dyDescent="0.3">
      <c r="A8094" t="s">
        <v>11218</v>
      </c>
      <c r="B8094" t="s">
        <v>40</v>
      </c>
      <c r="C8094">
        <v>0.1</v>
      </c>
    </row>
    <row r="8095" spans="1:3" x14ac:dyDescent="0.3">
      <c r="A8095" t="s">
        <v>3930</v>
      </c>
      <c r="B8095" t="s">
        <v>53</v>
      </c>
      <c r="C8095">
        <v>0.08</v>
      </c>
    </row>
    <row r="8096" spans="1:3" x14ac:dyDescent="0.3">
      <c r="A8096" t="s">
        <v>3943</v>
      </c>
      <c r="B8096" t="s">
        <v>53</v>
      </c>
      <c r="C8096">
        <v>0.02</v>
      </c>
    </row>
    <row r="8097" spans="1:3" x14ac:dyDescent="0.3">
      <c r="A8097" t="s">
        <v>3943</v>
      </c>
      <c r="B8097" t="s">
        <v>53</v>
      </c>
      <c r="C8097">
        <v>0.09</v>
      </c>
    </row>
    <row r="8098" spans="1:3" x14ac:dyDescent="0.3">
      <c r="A8098" t="s">
        <v>14434</v>
      </c>
      <c r="B8098" t="s">
        <v>64</v>
      </c>
      <c r="C8098">
        <v>0.1</v>
      </c>
    </row>
    <row r="8099" spans="1:3" x14ac:dyDescent="0.3">
      <c r="A8099" t="s">
        <v>7500</v>
      </c>
      <c r="B8099" t="s">
        <v>225</v>
      </c>
      <c r="C8099">
        <v>0.03</v>
      </c>
    </row>
    <row r="8100" spans="1:3" x14ac:dyDescent="0.3">
      <c r="A8100" t="s">
        <v>13232</v>
      </c>
      <c r="B8100" t="s">
        <v>29</v>
      </c>
      <c r="C8100">
        <v>0.02</v>
      </c>
    </row>
    <row r="8101" spans="1:3" x14ac:dyDescent="0.3">
      <c r="A8101" t="s">
        <v>7611</v>
      </c>
      <c r="B8101" t="s">
        <v>29</v>
      </c>
      <c r="C8101">
        <v>0.03</v>
      </c>
    </row>
    <row r="8102" spans="1:3" x14ac:dyDescent="0.3">
      <c r="A8102" t="s">
        <v>3729</v>
      </c>
      <c r="B8102" t="s">
        <v>40</v>
      </c>
      <c r="C8102">
        <v>0.09</v>
      </c>
    </row>
    <row r="8103" spans="1:3" x14ac:dyDescent="0.3">
      <c r="A8103" t="s">
        <v>3729</v>
      </c>
      <c r="B8103" t="s">
        <v>64</v>
      </c>
      <c r="C8103">
        <v>0.02</v>
      </c>
    </row>
    <row r="8104" spans="1:3" x14ac:dyDescent="0.3">
      <c r="A8104" t="s">
        <v>15359</v>
      </c>
      <c r="B8104" t="s">
        <v>40</v>
      </c>
      <c r="C8104">
        <v>0.04</v>
      </c>
    </row>
    <row r="8105" spans="1:3" x14ac:dyDescent="0.3">
      <c r="A8105" t="s">
        <v>10368</v>
      </c>
      <c r="B8105" t="s">
        <v>64</v>
      </c>
      <c r="C8105">
        <v>0.04</v>
      </c>
    </row>
    <row r="8106" spans="1:3" x14ac:dyDescent="0.3">
      <c r="A8106" t="s">
        <v>10368</v>
      </c>
      <c r="B8106" t="s">
        <v>53</v>
      </c>
      <c r="C8106">
        <v>0.05</v>
      </c>
    </row>
    <row r="8107" spans="1:3" x14ac:dyDescent="0.3">
      <c r="A8107" t="s">
        <v>15700</v>
      </c>
      <c r="B8107" t="s">
        <v>87</v>
      </c>
      <c r="C8107">
        <v>0.03</v>
      </c>
    </row>
    <row r="8108" spans="1:3" x14ac:dyDescent="0.3">
      <c r="A8108" t="s">
        <v>15700</v>
      </c>
      <c r="B8108" t="s">
        <v>87</v>
      </c>
      <c r="C8108">
        <v>0.09</v>
      </c>
    </row>
    <row r="8109" spans="1:3" x14ac:dyDescent="0.3">
      <c r="A8109" t="s">
        <v>11744</v>
      </c>
      <c r="B8109" t="s">
        <v>87</v>
      </c>
      <c r="C8109">
        <v>0.03</v>
      </c>
    </row>
    <row r="8110" spans="1:3" x14ac:dyDescent="0.3">
      <c r="A8110" t="s">
        <v>7518</v>
      </c>
      <c r="B8110" t="s">
        <v>87</v>
      </c>
      <c r="C8110">
        <v>0.06</v>
      </c>
    </row>
    <row r="8111" spans="1:3" x14ac:dyDescent="0.3">
      <c r="A8111" t="s">
        <v>11208</v>
      </c>
      <c r="B8111" t="s">
        <v>40</v>
      </c>
      <c r="C8111">
        <v>0.04</v>
      </c>
    </row>
    <row r="8112" spans="1:3" x14ac:dyDescent="0.3">
      <c r="A8112" t="s">
        <v>3764</v>
      </c>
      <c r="B8112" t="s">
        <v>64</v>
      </c>
      <c r="C8112">
        <v>0.08</v>
      </c>
    </row>
    <row r="8113" spans="1:3" x14ac:dyDescent="0.3">
      <c r="A8113" t="s">
        <v>9531</v>
      </c>
      <c r="B8113" t="s">
        <v>40</v>
      </c>
      <c r="C8113">
        <v>0.01</v>
      </c>
    </row>
    <row r="8114" spans="1:3" x14ac:dyDescent="0.3">
      <c r="A8114" t="s">
        <v>9531</v>
      </c>
      <c r="B8114" t="s">
        <v>40</v>
      </c>
      <c r="C8114">
        <v>0.02</v>
      </c>
    </row>
    <row r="8115" spans="1:3" x14ac:dyDescent="0.3">
      <c r="A8115" t="s">
        <v>5099</v>
      </c>
      <c r="B8115" t="s">
        <v>53</v>
      </c>
      <c r="C8115">
        <v>0.04</v>
      </c>
    </row>
    <row r="8116" spans="1:3" x14ac:dyDescent="0.3">
      <c r="A8116" t="s">
        <v>6260</v>
      </c>
      <c r="B8116" t="s">
        <v>53</v>
      </c>
      <c r="C8116">
        <v>7.0000000000000007E-2</v>
      </c>
    </row>
    <row r="8117" spans="1:3" x14ac:dyDescent="0.3">
      <c r="A8117" t="s">
        <v>9664</v>
      </c>
      <c r="B8117" t="s">
        <v>53</v>
      </c>
      <c r="C8117">
        <v>0.1</v>
      </c>
    </row>
    <row r="8118" spans="1:3" x14ac:dyDescent="0.3">
      <c r="A8118" t="s">
        <v>3785</v>
      </c>
      <c r="B8118" t="s">
        <v>29</v>
      </c>
      <c r="C8118">
        <v>7.0000000000000007E-2</v>
      </c>
    </row>
    <row r="8119" spans="1:3" x14ac:dyDescent="0.3">
      <c r="A8119" t="s">
        <v>9579</v>
      </c>
      <c r="B8119" t="s">
        <v>225</v>
      </c>
      <c r="C8119">
        <v>0</v>
      </c>
    </row>
    <row r="8120" spans="1:3" x14ac:dyDescent="0.3">
      <c r="A8120" t="s">
        <v>14011</v>
      </c>
      <c r="B8120" t="s">
        <v>225</v>
      </c>
      <c r="C8120">
        <v>0.06</v>
      </c>
    </row>
    <row r="8121" spans="1:3" x14ac:dyDescent="0.3">
      <c r="A8121" t="s">
        <v>15023</v>
      </c>
      <c r="B8121" t="s">
        <v>29</v>
      </c>
      <c r="C8121">
        <v>0.05</v>
      </c>
    </row>
    <row r="8122" spans="1:3" x14ac:dyDescent="0.3">
      <c r="A8122" t="s">
        <v>15023</v>
      </c>
      <c r="B8122" t="s">
        <v>29</v>
      </c>
      <c r="C8122">
        <v>0.06</v>
      </c>
    </row>
    <row r="8123" spans="1:3" x14ac:dyDescent="0.3">
      <c r="A8123" t="s">
        <v>15023</v>
      </c>
      <c r="B8123" t="s">
        <v>29</v>
      </c>
      <c r="C8123">
        <v>0.09</v>
      </c>
    </row>
    <row r="8124" spans="1:3" x14ac:dyDescent="0.3">
      <c r="A8124" t="s">
        <v>3816</v>
      </c>
      <c r="B8124" t="s">
        <v>87</v>
      </c>
      <c r="C8124">
        <v>0.01</v>
      </c>
    </row>
    <row r="8125" spans="1:3" x14ac:dyDescent="0.3">
      <c r="A8125" t="s">
        <v>3816</v>
      </c>
      <c r="B8125" t="s">
        <v>87</v>
      </c>
      <c r="C8125">
        <v>0.05</v>
      </c>
    </row>
    <row r="8126" spans="1:3" x14ac:dyDescent="0.3">
      <c r="A8126" t="s">
        <v>3824</v>
      </c>
      <c r="B8126" t="s">
        <v>87</v>
      </c>
      <c r="C8126">
        <v>0.02</v>
      </c>
    </row>
    <row r="8127" spans="1:3" x14ac:dyDescent="0.3">
      <c r="A8127" t="s">
        <v>3824</v>
      </c>
      <c r="B8127" t="s">
        <v>87</v>
      </c>
      <c r="C8127">
        <v>0.06</v>
      </c>
    </row>
    <row r="8128" spans="1:3" x14ac:dyDescent="0.3">
      <c r="A8128" t="s">
        <v>3824</v>
      </c>
      <c r="B8128" t="s">
        <v>87</v>
      </c>
      <c r="C8128">
        <v>0.1</v>
      </c>
    </row>
    <row r="8129" spans="1:3" x14ac:dyDescent="0.3">
      <c r="A8129" t="s">
        <v>6269</v>
      </c>
      <c r="B8129" t="s">
        <v>87</v>
      </c>
      <c r="C8129">
        <v>0.06</v>
      </c>
    </row>
    <row r="8130" spans="1:3" x14ac:dyDescent="0.3">
      <c r="A8130" t="s">
        <v>10336</v>
      </c>
      <c r="B8130" t="s">
        <v>29</v>
      </c>
      <c r="C8130">
        <v>0.02</v>
      </c>
    </row>
    <row r="8131" spans="1:3" x14ac:dyDescent="0.3">
      <c r="A8131" t="s">
        <v>13136</v>
      </c>
      <c r="B8131" t="s">
        <v>87</v>
      </c>
      <c r="C8131">
        <v>7.0000000000000007E-2</v>
      </c>
    </row>
    <row r="8132" spans="1:3" x14ac:dyDescent="0.3">
      <c r="A8132" t="s">
        <v>13136</v>
      </c>
      <c r="B8132" t="s">
        <v>87</v>
      </c>
      <c r="C8132">
        <v>0.08</v>
      </c>
    </row>
    <row r="8133" spans="1:3" x14ac:dyDescent="0.3">
      <c r="A8133" t="s">
        <v>13480</v>
      </c>
      <c r="B8133" t="s">
        <v>87</v>
      </c>
      <c r="C8133">
        <v>0.04</v>
      </c>
    </row>
    <row r="8134" spans="1:3" x14ac:dyDescent="0.3">
      <c r="A8134" t="s">
        <v>4114</v>
      </c>
      <c r="B8134" t="s">
        <v>53</v>
      </c>
      <c r="C8134">
        <v>0</v>
      </c>
    </row>
    <row r="8135" spans="1:3" x14ac:dyDescent="0.3">
      <c r="A8135" t="s">
        <v>8954</v>
      </c>
      <c r="B8135" t="s">
        <v>64</v>
      </c>
      <c r="C8135">
        <v>0.05</v>
      </c>
    </row>
    <row r="8136" spans="1:3" x14ac:dyDescent="0.3">
      <c r="A8136" t="s">
        <v>8954</v>
      </c>
      <c r="B8136" t="s">
        <v>64</v>
      </c>
      <c r="C8136">
        <v>0.08</v>
      </c>
    </row>
    <row r="8137" spans="1:3" x14ac:dyDescent="0.3">
      <c r="A8137" t="s">
        <v>10687</v>
      </c>
      <c r="B8137" t="s">
        <v>40</v>
      </c>
      <c r="C8137">
        <v>7.0000000000000007E-2</v>
      </c>
    </row>
    <row r="8138" spans="1:3" x14ac:dyDescent="0.3">
      <c r="A8138" t="s">
        <v>5286</v>
      </c>
      <c r="B8138" t="s">
        <v>40</v>
      </c>
      <c r="C8138">
        <v>0.09</v>
      </c>
    </row>
    <row r="8139" spans="1:3" x14ac:dyDescent="0.3">
      <c r="A8139" t="s">
        <v>5286</v>
      </c>
      <c r="B8139" t="s">
        <v>40</v>
      </c>
      <c r="C8139">
        <v>0.1</v>
      </c>
    </row>
    <row r="8140" spans="1:3" x14ac:dyDescent="0.3">
      <c r="A8140" t="s">
        <v>14697</v>
      </c>
      <c r="B8140" t="s">
        <v>40</v>
      </c>
      <c r="C8140">
        <v>0.02</v>
      </c>
    </row>
    <row r="8141" spans="1:3" x14ac:dyDescent="0.3">
      <c r="A8141" t="s">
        <v>13595</v>
      </c>
      <c r="B8141" t="s">
        <v>64</v>
      </c>
      <c r="C8141">
        <v>0.03</v>
      </c>
    </row>
    <row r="8142" spans="1:3" x14ac:dyDescent="0.3">
      <c r="A8142" t="s">
        <v>13106</v>
      </c>
      <c r="B8142" t="s">
        <v>64</v>
      </c>
      <c r="C8142">
        <v>0.02</v>
      </c>
    </row>
    <row r="8143" spans="1:3" x14ac:dyDescent="0.3">
      <c r="A8143" t="s">
        <v>10404</v>
      </c>
      <c r="B8143" t="s">
        <v>53</v>
      </c>
      <c r="C8143">
        <v>7.0000000000000007E-2</v>
      </c>
    </row>
    <row r="8144" spans="1:3" x14ac:dyDescent="0.3">
      <c r="A8144" t="s">
        <v>12203</v>
      </c>
      <c r="B8144" t="s">
        <v>29</v>
      </c>
      <c r="C8144">
        <v>0.1</v>
      </c>
    </row>
    <row r="8145" spans="1:3" x14ac:dyDescent="0.3">
      <c r="A8145" t="s">
        <v>7790</v>
      </c>
      <c r="B8145" t="s">
        <v>225</v>
      </c>
      <c r="C8145">
        <v>0.02</v>
      </c>
    </row>
    <row r="8146" spans="1:3" x14ac:dyDescent="0.3">
      <c r="A8146" t="s">
        <v>7790</v>
      </c>
      <c r="B8146" t="s">
        <v>87</v>
      </c>
      <c r="C8146">
        <v>0.02</v>
      </c>
    </row>
    <row r="8147" spans="1:3" x14ac:dyDescent="0.3">
      <c r="A8147" t="s">
        <v>4194</v>
      </c>
      <c r="B8147" t="s">
        <v>225</v>
      </c>
      <c r="C8147">
        <v>0</v>
      </c>
    </row>
    <row r="8148" spans="1:3" x14ac:dyDescent="0.3">
      <c r="A8148" t="s">
        <v>3955</v>
      </c>
      <c r="B8148" t="s">
        <v>225</v>
      </c>
      <c r="C8148">
        <v>0.1</v>
      </c>
    </row>
    <row r="8149" spans="1:3" x14ac:dyDescent="0.3">
      <c r="A8149" t="s">
        <v>12173</v>
      </c>
      <c r="B8149" t="s">
        <v>29</v>
      </c>
      <c r="C8149">
        <v>0.04</v>
      </c>
    </row>
    <row r="8150" spans="1:3" x14ac:dyDescent="0.3">
      <c r="A8150" t="s">
        <v>12173</v>
      </c>
      <c r="B8150" t="s">
        <v>29</v>
      </c>
      <c r="C8150">
        <v>0.05</v>
      </c>
    </row>
    <row r="8151" spans="1:3" x14ac:dyDescent="0.3">
      <c r="A8151" t="s">
        <v>12173</v>
      </c>
      <c r="B8151" t="s">
        <v>29</v>
      </c>
      <c r="C8151">
        <v>0.08</v>
      </c>
    </row>
    <row r="8152" spans="1:3" x14ac:dyDescent="0.3">
      <c r="A8152" t="s">
        <v>10540</v>
      </c>
      <c r="B8152" t="s">
        <v>29</v>
      </c>
      <c r="C8152">
        <v>0.09</v>
      </c>
    </row>
    <row r="8153" spans="1:3" x14ac:dyDescent="0.3">
      <c r="A8153" t="s">
        <v>8529</v>
      </c>
      <c r="B8153" t="s">
        <v>225</v>
      </c>
      <c r="C8153">
        <v>0.02</v>
      </c>
    </row>
    <row r="8154" spans="1:3" x14ac:dyDescent="0.3">
      <c r="A8154" t="s">
        <v>14794</v>
      </c>
      <c r="B8154" t="s">
        <v>29</v>
      </c>
      <c r="C8154">
        <v>0.04</v>
      </c>
    </row>
    <row r="8155" spans="1:3" x14ac:dyDescent="0.3">
      <c r="A8155" t="s">
        <v>13336</v>
      </c>
      <c r="B8155" t="s">
        <v>29</v>
      </c>
      <c r="C8155">
        <v>7.0000000000000007E-2</v>
      </c>
    </row>
    <row r="8156" spans="1:3" x14ac:dyDescent="0.3">
      <c r="A8156" t="s">
        <v>6364</v>
      </c>
      <c r="B8156" t="s">
        <v>29</v>
      </c>
      <c r="C8156">
        <v>0.09</v>
      </c>
    </row>
    <row r="8157" spans="1:3" x14ac:dyDescent="0.3">
      <c r="A8157" t="s">
        <v>6527</v>
      </c>
      <c r="B8157" t="s">
        <v>64</v>
      </c>
      <c r="C8157">
        <v>0.1</v>
      </c>
    </row>
    <row r="8158" spans="1:3" x14ac:dyDescent="0.3">
      <c r="A8158" t="s">
        <v>7920</v>
      </c>
      <c r="B8158" t="s">
        <v>64</v>
      </c>
      <c r="C8158">
        <v>0.04</v>
      </c>
    </row>
    <row r="8159" spans="1:3" x14ac:dyDescent="0.3">
      <c r="A8159" t="s">
        <v>4157</v>
      </c>
      <c r="B8159" t="s">
        <v>64</v>
      </c>
      <c r="C8159">
        <v>0.06</v>
      </c>
    </row>
    <row r="8160" spans="1:3" x14ac:dyDescent="0.3">
      <c r="A8160" t="s">
        <v>4157</v>
      </c>
      <c r="B8160" t="s">
        <v>64</v>
      </c>
      <c r="C8160">
        <v>0.1</v>
      </c>
    </row>
    <row r="8161" spans="1:3" x14ac:dyDescent="0.3">
      <c r="A8161" t="s">
        <v>10624</v>
      </c>
      <c r="B8161" t="s">
        <v>40</v>
      </c>
      <c r="C8161">
        <v>0</v>
      </c>
    </row>
    <row r="8162" spans="1:3" x14ac:dyDescent="0.3">
      <c r="A8162" t="s">
        <v>10624</v>
      </c>
      <c r="B8162" t="s">
        <v>64</v>
      </c>
      <c r="C8162">
        <v>0.03</v>
      </c>
    </row>
    <row r="8163" spans="1:3" x14ac:dyDescent="0.3">
      <c r="A8163" t="s">
        <v>10624</v>
      </c>
      <c r="B8163" t="s">
        <v>64</v>
      </c>
      <c r="C8163">
        <v>0.04</v>
      </c>
    </row>
    <row r="8164" spans="1:3" x14ac:dyDescent="0.3">
      <c r="A8164" t="s">
        <v>13231</v>
      </c>
      <c r="B8164" t="s">
        <v>87</v>
      </c>
      <c r="C8164">
        <v>0</v>
      </c>
    </row>
    <row r="8165" spans="1:3" x14ac:dyDescent="0.3">
      <c r="A8165" t="s">
        <v>13849</v>
      </c>
      <c r="B8165" t="s">
        <v>87</v>
      </c>
      <c r="C8165">
        <v>0.03</v>
      </c>
    </row>
    <row r="8166" spans="1:3" x14ac:dyDescent="0.3">
      <c r="A8166" t="s">
        <v>7591</v>
      </c>
      <c r="B8166" t="s">
        <v>64</v>
      </c>
      <c r="C8166">
        <v>0.02</v>
      </c>
    </row>
    <row r="8167" spans="1:3" x14ac:dyDescent="0.3">
      <c r="A8167" t="s">
        <v>13970</v>
      </c>
      <c r="B8167" t="s">
        <v>29</v>
      </c>
      <c r="C8167">
        <v>0.06</v>
      </c>
    </row>
    <row r="8168" spans="1:3" x14ac:dyDescent="0.3">
      <c r="A8168" t="s">
        <v>9062</v>
      </c>
      <c r="B8168" t="s">
        <v>29</v>
      </c>
      <c r="C8168">
        <v>0.05</v>
      </c>
    </row>
    <row r="8169" spans="1:3" x14ac:dyDescent="0.3">
      <c r="A8169" t="s">
        <v>3992</v>
      </c>
      <c r="B8169" t="s">
        <v>225</v>
      </c>
      <c r="C8169">
        <v>0.03</v>
      </c>
    </row>
    <row r="8170" spans="1:3" x14ac:dyDescent="0.3">
      <c r="A8170" t="s">
        <v>13697</v>
      </c>
      <c r="B8170" t="s">
        <v>29</v>
      </c>
      <c r="C8170">
        <v>0.03</v>
      </c>
    </row>
    <row r="8171" spans="1:3" x14ac:dyDescent="0.3">
      <c r="A8171" t="s">
        <v>12259</v>
      </c>
      <c r="B8171" t="s">
        <v>29</v>
      </c>
      <c r="C8171">
        <v>0.03</v>
      </c>
    </row>
    <row r="8172" spans="1:3" x14ac:dyDescent="0.3">
      <c r="A8172" t="s">
        <v>12259</v>
      </c>
      <c r="B8172" t="s">
        <v>29</v>
      </c>
      <c r="C8172">
        <v>0.05</v>
      </c>
    </row>
    <row r="8173" spans="1:3" x14ac:dyDescent="0.3">
      <c r="A8173" t="s">
        <v>10322</v>
      </c>
      <c r="B8173" t="s">
        <v>40</v>
      </c>
      <c r="C8173">
        <v>0</v>
      </c>
    </row>
    <row r="8174" spans="1:3" x14ac:dyDescent="0.3">
      <c r="A8174" t="s">
        <v>10322</v>
      </c>
      <c r="B8174" t="s">
        <v>40</v>
      </c>
      <c r="C8174">
        <v>0.05</v>
      </c>
    </row>
    <row r="8175" spans="1:3" x14ac:dyDescent="0.3">
      <c r="A8175" t="s">
        <v>13301</v>
      </c>
      <c r="B8175" t="s">
        <v>53</v>
      </c>
      <c r="C8175">
        <v>0.03</v>
      </c>
    </row>
    <row r="8176" spans="1:3" x14ac:dyDescent="0.3">
      <c r="A8176" t="s">
        <v>14593</v>
      </c>
      <c r="B8176" t="s">
        <v>29</v>
      </c>
      <c r="C8176">
        <v>0.01</v>
      </c>
    </row>
    <row r="8177" spans="1:3" x14ac:dyDescent="0.3">
      <c r="A8177" t="s">
        <v>12932</v>
      </c>
      <c r="B8177" t="s">
        <v>53</v>
      </c>
      <c r="C8177">
        <v>0</v>
      </c>
    </row>
    <row r="8178" spans="1:3" x14ac:dyDescent="0.3">
      <c r="A8178" t="s">
        <v>12932</v>
      </c>
      <c r="B8178" t="s">
        <v>53</v>
      </c>
      <c r="C8178">
        <v>0.06</v>
      </c>
    </row>
    <row r="8179" spans="1:3" x14ac:dyDescent="0.3">
      <c r="A8179" t="s">
        <v>12932</v>
      </c>
      <c r="B8179" t="s">
        <v>53</v>
      </c>
      <c r="C8179">
        <v>7.0000000000000007E-2</v>
      </c>
    </row>
    <row r="8180" spans="1:3" x14ac:dyDescent="0.3">
      <c r="A8180" t="s">
        <v>15439</v>
      </c>
      <c r="B8180" t="s">
        <v>53</v>
      </c>
      <c r="C8180">
        <v>0.08</v>
      </c>
    </row>
    <row r="8181" spans="1:3" x14ac:dyDescent="0.3">
      <c r="A8181" t="s">
        <v>15369</v>
      </c>
      <c r="B8181" t="s">
        <v>53</v>
      </c>
      <c r="C8181">
        <v>0.06</v>
      </c>
    </row>
    <row r="8182" spans="1:3" x14ac:dyDescent="0.3">
      <c r="A8182" t="s">
        <v>15369</v>
      </c>
      <c r="B8182" t="s">
        <v>53</v>
      </c>
      <c r="C8182">
        <v>7.0000000000000007E-2</v>
      </c>
    </row>
    <row r="8183" spans="1:3" x14ac:dyDescent="0.3">
      <c r="A8183" t="s">
        <v>15369</v>
      </c>
      <c r="B8183" t="s">
        <v>53</v>
      </c>
      <c r="C8183">
        <v>0.08</v>
      </c>
    </row>
    <row r="8184" spans="1:3" x14ac:dyDescent="0.3">
      <c r="A8184" t="s">
        <v>13712</v>
      </c>
      <c r="B8184" t="s">
        <v>87</v>
      </c>
      <c r="C8184">
        <v>0.04</v>
      </c>
    </row>
    <row r="8185" spans="1:3" x14ac:dyDescent="0.3">
      <c r="A8185" t="s">
        <v>13712</v>
      </c>
      <c r="B8185" t="s">
        <v>87</v>
      </c>
      <c r="C8185">
        <v>0.05</v>
      </c>
    </row>
    <row r="8186" spans="1:3" x14ac:dyDescent="0.3">
      <c r="A8186" t="s">
        <v>6750</v>
      </c>
      <c r="B8186" t="s">
        <v>53</v>
      </c>
      <c r="C8186">
        <v>0.06</v>
      </c>
    </row>
    <row r="8187" spans="1:3" x14ac:dyDescent="0.3">
      <c r="A8187" t="s">
        <v>14003</v>
      </c>
      <c r="B8187" t="s">
        <v>87</v>
      </c>
      <c r="C8187">
        <v>0.08</v>
      </c>
    </row>
    <row r="8188" spans="1:3" x14ac:dyDescent="0.3">
      <c r="A8188" t="s">
        <v>10582</v>
      </c>
      <c r="B8188" t="s">
        <v>87</v>
      </c>
      <c r="C8188">
        <v>0.02</v>
      </c>
    </row>
    <row r="8189" spans="1:3" x14ac:dyDescent="0.3">
      <c r="A8189" t="s">
        <v>15510</v>
      </c>
      <c r="B8189" t="s">
        <v>40</v>
      </c>
      <c r="C8189">
        <v>0</v>
      </c>
    </row>
    <row r="8190" spans="1:3" x14ac:dyDescent="0.3">
      <c r="A8190" t="s">
        <v>4006</v>
      </c>
      <c r="B8190" t="s">
        <v>40</v>
      </c>
      <c r="C8190">
        <v>0.01</v>
      </c>
    </row>
    <row r="8191" spans="1:3" x14ac:dyDescent="0.3">
      <c r="A8191" t="s">
        <v>4006</v>
      </c>
      <c r="B8191" t="s">
        <v>40</v>
      </c>
      <c r="C8191">
        <v>7.0000000000000007E-2</v>
      </c>
    </row>
    <row r="8192" spans="1:3" x14ac:dyDescent="0.3">
      <c r="A8192" t="s">
        <v>12380</v>
      </c>
      <c r="B8192" t="s">
        <v>40</v>
      </c>
      <c r="C8192">
        <v>0.02</v>
      </c>
    </row>
    <row r="8193" spans="1:3" x14ac:dyDescent="0.3">
      <c r="A8193" t="s">
        <v>12380</v>
      </c>
      <c r="B8193" t="s">
        <v>40</v>
      </c>
      <c r="C8193">
        <v>0.09</v>
      </c>
    </row>
    <row r="8194" spans="1:3" x14ac:dyDescent="0.3">
      <c r="A8194" t="s">
        <v>11089</v>
      </c>
      <c r="B8194" t="s">
        <v>87</v>
      </c>
      <c r="C8194">
        <v>0.02</v>
      </c>
    </row>
    <row r="8195" spans="1:3" x14ac:dyDescent="0.3">
      <c r="A8195" t="s">
        <v>7014</v>
      </c>
      <c r="B8195" t="s">
        <v>225</v>
      </c>
      <c r="C8195">
        <v>0.02</v>
      </c>
    </row>
    <row r="8196" spans="1:3" x14ac:dyDescent="0.3">
      <c r="A8196" t="s">
        <v>11183</v>
      </c>
      <c r="B8196" t="s">
        <v>40</v>
      </c>
      <c r="C8196">
        <v>0.05</v>
      </c>
    </row>
    <row r="8197" spans="1:3" x14ac:dyDescent="0.3">
      <c r="A8197" t="s">
        <v>6987</v>
      </c>
      <c r="B8197" t="s">
        <v>225</v>
      </c>
      <c r="C8197">
        <v>0.03</v>
      </c>
    </row>
    <row r="8198" spans="1:3" x14ac:dyDescent="0.3">
      <c r="A8198" t="s">
        <v>4586</v>
      </c>
      <c r="B8198" t="s">
        <v>40</v>
      </c>
      <c r="C8198">
        <v>0.1</v>
      </c>
    </row>
    <row r="8199" spans="1:3" x14ac:dyDescent="0.3">
      <c r="A8199" t="s">
        <v>8582</v>
      </c>
      <c r="B8199" t="s">
        <v>87</v>
      </c>
      <c r="C8199">
        <v>0.01</v>
      </c>
    </row>
    <row r="8200" spans="1:3" x14ac:dyDescent="0.3">
      <c r="A8200" t="s">
        <v>7909</v>
      </c>
      <c r="B8200" t="s">
        <v>225</v>
      </c>
      <c r="C8200">
        <v>0.01</v>
      </c>
    </row>
    <row r="8201" spans="1:3" x14ac:dyDescent="0.3">
      <c r="A8201" t="s">
        <v>9318</v>
      </c>
      <c r="B8201" t="s">
        <v>53</v>
      </c>
      <c r="C8201">
        <v>0.05</v>
      </c>
    </row>
    <row r="8202" spans="1:3" x14ac:dyDescent="0.3">
      <c r="A8202" t="s">
        <v>9318</v>
      </c>
      <c r="B8202" t="s">
        <v>53</v>
      </c>
      <c r="C8202">
        <v>0.09</v>
      </c>
    </row>
    <row r="8203" spans="1:3" x14ac:dyDescent="0.3">
      <c r="A8203" t="s">
        <v>11791</v>
      </c>
      <c r="B8203" t="s">
        <v>53</v>
      </c>
      <c r="C8203">
        <v>0.05</v>
      </c>
    </row>
    <row r="8204" spans="1:3" x14ac:dyDescent="0.3">
      <c r="A8204" t="s">
        <v>6045</v>
      </c>
      <c r="B8204" t="s">
        <v>53</v>
      </c>
      <c r="C8204">
        <v>0.05</v>
      </c>
    </row>
    <row r="8205" spans="1:3" x14ac:dyDescent="0.3">
      <c r="A8205" t="s">
        <v>10084</v>
      </c>
      <c r="B8205" t="s">
        <v>53</v>
      </c>
      <c r="C8205">
        <v>7.0000000000000007E-2</v>
      </c>
    </row>
    <row r="8206" spans="1:3" x14ac:dyDescent="0.3">
      <c r="A8206" t="s">
        <v>13531</v>
      </c>
      <c r="B8206" t="s">
        <v>40</v>
      </c>
      <c r="C8206">
        <v>0.08</v>
      </c>
    </row>
    <row r="8207" spans="1:3" x14ac:dyDescent="0.3">
      <c r="A8207" t="s">
        <v>9584</v>
      </c>
      <c r="B8207" t="s">
        <v>87</v>
      </c>
      <c r="C8207">
        <v>0</v>
      </c>
    </row>
    <row r="8208" spans="1:3" x14ac:dyDescent="0.3">
      <c r="A8208" t="s">
        <v>15064</v>
      </c>
      <c r="B8208" t="s">
        <v>40</v>
      </c>
      <c r="C8208">
        <v>0.02</v>
      </c>
    </row>
    <row r="8209" spans="1:3" x14ac:dyDescent="0.3">
      <c r="A8209" t="s">
        <v>15064</v>
      </c>
      <c r="B8209" t="s">
        <v>29</v>
      </c>
      <c r="C8209">
        <v>0.02</v>
      </c>
    </row>
    <row r="8210" spans="1:3" x14ac:dyDescent="0.3">
      <c r="A8210" t="s">
        <v>12715</v>
      </c>
      <c r="B8210" t="s">
        <v>29</v>
      </c>
      <c r="C8210">
        <v>7.0000000000000007E-2</v>
      </c>
    </row>
    <row r="8211" spans="1:3" x14ac:dyDescent="0.3">
      <c r="A8211" t="s">
        <v>15647</v>
      </c>
      <c r="B8211" t="s">
        <v>40</v>
      </c>
      <c r="C8211">
        <v>7.0000000000000007E-2</v>
      </c>
    </row>
    <row r="8212" spans="1:3" x14ac:dyDescent="0.3">
      <c r="A8212" t="s">
        <v>8414</v>
      </c>
      <c r="B8212" t="s">
        <v>64</v>
      </c>
      <c r="C8212">
        <v>7.0000000000000007E-2</v>
      </c>
    </row>
    <row r="8213" spans="1:3" x14ac:dyDescent="0.3">
      <c r="A8213" t="s">
        <v>11271</v>
      </c>
      <c r="B8213" t="s">
        <v>64</v>
      </c>
      <c r="C8213">
        <v>0.02</v>
      </c>
    </row>
    <row r="8214" spans="1:3" x14ac:dyDescent="0.3">
      <c r="A8214" t="s">
        <v>6805</v>
      </c>
      <c r="B8214" t="s">
        <v>53</v>
      </c>
      <c r="C8214">
        <v>0.04</v>
      </c>
    </row>
    <row r="8215" spans="1:3" x14ac:dyDescent="0.3">
      <c r="A8215" t="s">
        <v>4080</v>
      </c>
      <c r="B8215" t="s">
        <v>53</v>
      </c>
      <c r="C8215">
        <v>0.09</v>
      </c>
    </row>
    <row r="8216" spans="1:3" x14ac:dyDescent="0.3">
      <c r="A8216" t="s">
        <v>15341</v>
      </c>
      <c r="B8216" t="s">
        <v>53</v>
      </c>
      <c r="C8216">
        <v>0.01</v>
      </c>
    </row>
    <row r="8217" spans="1:3" x14ac:dyDescent="0.3">
      <c r="A8217" t="s">
        <v>15643</v>
      </c>
      <c r="B8217" t="s">
        <v>53</v>
      </c>
      <c r="C8217">
        <v>0</v>
      </c>
    </row>
    <row r="8218" spans="1:3" x14ac:dyDescent="0.3">
      <c r="A8218" t="s">
        <v>9373</v>
      </c>
      <c r="B8218" t="s">
        <v>53</v>
      </c>
      <c r="C8218">
        <v>0.04</v>
      </c>
    </row>
    <row r="8219" spans="1:3" x14ac:dyDescent="0.3">
      <c r="A8219" t="s">
        <v>9373</v>
      </c>
      <c r="B8219" t="s">
        <v>53</v>
      </c>
      <c r="C8219">
        <v>0.08</v>
      </c>
    </row>
    <row r="8220" spans="1:3" x14ac:dyDescent="0.3">
      <c r="A8220" t="s">
        <v>4089</v>
      </c>
      <c r="B8220" t="s">
        <v>87</v>
      </c>
      <c r="C8220">
        <v>0.06</v>
      </c>
    </row>
    <row r="8221" spans="1:3" x14ac:dyDescent="0.3">
      <c r="A8221" t="s">
        <v>13283</v>
      </c>
      <c r="B8221" t="s">
        <v>225</v>
      </c>
      <c r="C8221">
        <v>0.02</v>
      </c>
    </row>
    <row r="8222" spans="1:3" x14ac:dyDescent="0.3">
      <c r="A8222" t="s">
        <v>10122</v>
      </c>
      <c r="B8222" t="s">
        <v>53</v>
      </c>
      <c r="C8222">
        <v>0.03</v>
      </c>
    </row>
    <row r="8223" spans="1:3" x14ac:dyDescent="0.3">
      <c r="A8223" t="s">
        <v>10122</v>
      </c>
      <c r="B8223" t="s">
        <v>53</v>
      </c>
      <c r="C8223">
        <v>7.0000000000000007E-2</v>
      </c>
    </row>
    <row r="8224" spans="1:3" x14ac:dyDescent="0.3">
      <c r="A8224" t="s">
        <v>4093</v>
      </c>
      <c r="B8224" t="s">
        <v>87</v>
      </c>
      <c r="C8224">
        <v>0.01</v>
      </c>
    </row>
    <row r="8225" spans="1:3" x14ac:dyDescent="0.3">
      <c r="A8225" t="s">
        <v>4093</v>
      </c>
      <c r="B8225" t="s">
        <v>87</v>
      </c>
      <c r="C8225">
        <v>0.02</v>
      </c>
    </row>
    <row r="8226" spans="1:3" x14ac:dyDescent="0.3">
      <c r="A8226" t="s">
        <v>4093</v>
      </c>
      <c r="B8226" t="s">
        <v>87</v>
      </c>
      <c r="C8226">
        <v>0.08</v>
      </c>
    </row>
    <row r="8227" spans="1:3" x14ac:dyDescent="0.3">
      <c r="A8227" t="s">
        <v>15370</v>
      </c>
      <c r="B8227" t="s">
        <v>53</v>
      </c>
      <c r="C8227">
        <v>0.03</v>
      </c>
    </row>
    <row r="8228" spans="1:3" x14ac:dyDescent="0.3">
      <c r="A8228" t="s">
        <v>10682</v>
      </c>
      <c r="B8228" t="s">
        <v>53</v>
      </c>
      <c r="C8228">
        <v>0</v>
      </c>
    </row>
    <row r="8229" spans="1:3" x14ac:dyDescent="0.3">
      <c r="A8229" t="s">
        <v>10682</v>
      </c>
      <c r="B8229" t="s">
        <v>53</v>
      </c>
      <c r="C8229">
        <v>0.09</v>
      </c>
    </row>
    <row r="8230" spans="1:3" x14ac:dyDescent="0.3">
      <c r="A8230" t="s">
        <v>12643</v>
      </c>
      <c r="B8230" t="s">
        <v>29</v>
      </c>
      <c r="C8230">
        <v>0.08</v>
      </c>
    </row>
    <row r="8231" spans="1:3" x14ac:dyDescent="0.3">
      <c r="A8231" t="s">
        <v>12643</v>
      </c>
      <c r="B8231" t="s">
        <v>53</v>
      </c>
      <c r="C8231">
        <v>0</v>
      </c>
    </row>
    <row r="8232" spans="1:3" x14ac:dyDescent="0.3">
      <c r="A8232" t="s">
        <v>13135</v>
      </c>
      <c r="B8232" t="s">
        <v>53</v>
      </c>
      <c r="C8232">
        <v>0.03</v>
      </c>
    </row>
    <row r="8233" spans="1:3" x14ac:dyDescent="0.3">
      <c r="A8233" t="s">
        <v>13135</v>
      </c>
      <c r="B8233" t="s">
        <v>53</v>
      </c>
      <c r="C8233">
        <v>0.1</v>
      </c>
    </row>
    <row r="8234" spans="1:3" x14ac:dyDescent="0.3">
      <c r="A8234" t="s">
        <v>4101</v>
      </c>
      <c r="B8234" t="s">
        <v>53</v>
      </c>
      <c r="C8234">
        <v>7.0000000000000007E-2</v>
      </c>
    </row>
    <row r="8235" spans="1:3" x14ac:dyDescent="0.3">
      <c r="A8235" t="s">
        <v>8788</v>
      </c>
      <c r="B8235" t="s">
        <v>225</v>
      </c>
      <c r="C8235">
        <v>0</v>
      </c>
    </row>
    <row r="8236" spans="1:3" x14ac:dyDescent="0.3">
      <c r="A8236" t="s">
        <v>8788</v>
      </c>
      <c r="B8236" t="s">
        <v>225</v>
      </c>
      <c r="C8236">
        <v>0.1</v>
      </c>
    </row>
    <row r="8237" spans="1:3" x14ac:dyDescent="0.3">
      <c r="A8237" t="s">
        <v>8023</v>
      </c>
      <c r="B8237" t="s">
        <v>53</v>
      </c>
      <c r="C8237">
        <v>0</v>
      </c>
    </row>
    <row r="8238" spans="1:3" x14ac:dyDescent="0.3">
      <c r="A8238" t="s">
        <v>8023</v>
      </c>
      <c r="B8238" t="s">
        <v>53</v>
      </c>
      <c r="C8238">
        <v>0.04</v>
      </c>
    </row>
    <row r="8239" spans="1:3" x14ac:dyDescent="0.3">
      <c r="A8239" t="s">
        <v>8023</v>
      </c>
      <c r="B8239" t="s">
        <v>53</v>
      </c>
      <c r="C8239">
        <v>0.05</v>
      </c>
    </row>
    <row r="8240" spans="1:3" x14ac:dyDescent="0.3">
      <c r="A8240" t="s">
        <v>5743</v>
      </c>
      <c r="B8240" t="s">
        <v>40</v>
      </c>
      <c r="C8240">
        <v>0.02</v>
      </c>
    </row>
    <row r="8241" spans="1:3" x14ac:dyDescent="0.3">
      <c r="A8241" t="s">
        <v>7045</v>
      </c>
      <c r="B8241" t="s">
        <v>40</v>
      </c>
      <c r="C8241">
        <v>0.01</v>
      </c>
    </row>
    <row r="8242" spans="1:3" x14ac:dyDescent="0.3">
      <c r="A8242" t="s">
        <v>7045</v>
      </c>
      <c r="B8242" t="s">
        <v>53</v>
      </c>
      <c r="C8242">
        <v>0.05</v>
      </c>
    </row>
    <row r="8243" spans="1:3" x14ac:dyDescent="0.3">
      <c r="A8243" t="s">
        <v>6872</v>
      </c>
      <c r="B8243" t="s">
        <v>53</v>
      </c>
      <c r="C8243">
        <v>0.09</v>
      </c>
    </row>
    <row r="8244" spans="1:3" x14ac:dyDescent="0.3">
      <c r="A8244" t="s">
        <v>9877</v>
      </c>
      <c r="B8244" t="s">
        <v>87</v>
      </c>
      <c r="C8244">
        <v>0.01</v>
      </c>
    </row>
    <row r="8245" spans="1:3" x14ac:dyDescent="0.3">
      <c r="A8245" t="s">
        <v>4134</v>
      </c>
      <c r="B8245" t="s">
        <v>87</v>
      </c>
      <c r="C8245">
        <v>0.03</v>
      </c>
    </row>
    <row r="8246" spans="1:3" x14ac:dyDescent="0.3">
      <c r="A8246" t="s">
        <v>13893</v>
      </c>
      <c r="B8246" t="s">
        <v>87</v>
      </c>
      <c r="C8246">
        <v>0.08</v>
      </c>
    </row>
    <row r="8247" spans="1:3" x14ac:dyDescent="0.3">
      <c r="A8247" t="s">
        <v>15432</v>
      </c>
      <c r="B8247" t="s">
        <v>87</v>
      </c>
      <c r="C8247">
        <v>7.0000000000000007E-2</v>
      </c>
    </row>
    <row r="8248" spans="1:3" x14ac:dyDescent="0.3">
      <c r="A8248" t="s">
        <v>7784</v>
      </c>
      <c r="B8248" t="s">
        <v>87</v>
      </c>
      <c r="C8248">
        <v>0.02</v>
      </c>
    </row>
    <row r="8249" spans="1:3" x14ac:dyDescent="0.3">
      <c r="A8249" t="s">
        <v>9154</v>
      </c>
      <c r="B8249" t="s">
        <v>87</v>
      </c>
      <c r="C8249">
        <v>0.04</v>
      </c>
    </row>
    <row r="8250" spans="1:3" x14ac:dyDescent="0.3">
      <c r="A8250" t="s">
        <v>9154</v>
      </c>
      <c r="B8250" t="s">
        <v>87</v>
      </c>
      <c r="C8250">
        <v>0.1</v>
      </c>
    </row>
    <row r="8251" spans="1:3" x14ac:dyDescent="0.3">
      <c r="A8251" t="s">
        <v>15582</v>
      </c>
      <c r="B8251" t="s">
        <v>29</v>
      </c>
      <c r="C8251">
        <v>7.0000000000000007E-2</v>
      </c>
    </row>
    <row r="8252" spans="1:3" x14ac:dyDescent="0.3">
      <c r="A8252" t="s">
        <v>4167</v>
      </c>
      <c r="B8252" t="s">
        <v>40</v>
      </c>
      <c r="C8252">
        <v>0.03</v>
      </c>
    </row>
    <row r="8253" spans="1:3" x14ac:dyDescent="0.3">
      <c r="A8253" t="s">
        <v>14954</v>
      </c>
      <c r="B8253" t="s">
        <v>87</v>
      </c>
      <c r="C8253">
        <v>0.08</v>
      </c>
    </row>
    <row r="8254" spans="1:3" x14ac:dyDescent="0.3">
      <c r="A8254" t="s">
        <v>11481</v>
      </c>
      <c r="B8254" t="s">
        <v>40</v>
      </c>
      <c r="C8254">
        <v>0.06</v>
      </c>
    </row>
    <row r="8255" spans="1:3" x14ac:dyDescent="0.3">
      <c r="A8255" t="s">
        <v>13347</v>
      </c>
      <c r="B8255" t="s">
        <v>87</v>
      </c>
      <c r="C8255">
        <v>0.04</v>
      </c>
    </row>
    <row r="8256" spans="1:3" x14ac:dyDescent="0.3">
      <c r="A8256" t="s">
        <v>13617</v>
      </c>
      <c r="B8256" t="s">
        <v>87</v>
      </c>
      <c r="C8256">
        <v>0.03</v>
      </c>
    </row>
    <row r="8257" spans="1:3" x14ac:dyDescent="0.3">
      <c r="A8257" t="s">
        <v>14162</v>
      </c>
      <c r="B8257" t="s">
        <v>87</v>
      </c>
      <c r="C8257">
        <v>0</v>
      </c>
    </row>
    <row r="8258" spans="1:3" x14ac:dyDescent="0.3">
      <c r="A8258" t="s">
        <v>4205</v>
      </c>
      <c r="B8258" t="s">
        <v>225</v>
      </c>
      <c r="C8258">
        <v>0.04</v>
      </c>
    </row>
    <row r="8259" spans="1:3" x14ac:dyDescent="0.3">
      <c r="A8259" t="s">
        <v>4205</v>
      </c>
      <c r="B8259" t="s">
        <v>87</v>
      </c>
      <c r="C8259">
        <v>0.02</v>
      </c>
    </row>
    <row r="8260" spans="1:3" x14ac:dyDescent="0.3">
      <c r="A8260" t="s">
        <v>10870</v>
      </c>
      <c r="B8260" t="s">
        <v>29</v>
      </c>
      <c r="C8260">
        <v>0.05</v>
      </c>
    </row>
    <row r="8261" spans="1:3" x14ac:dyDescent="0.3">
      <c r="A8261" t="s">
        <v>10870</v>
      </c>
      <c r="B8261" t="s">
        <v>29</v>
      </c>
      <c r="C8261">
        <v>0.06</v>
      </c>
    </row>
    <row r="8262" spans="1:3" x14ac:dyDescent="0.3">
      <c r="A8262" t="s">
        <v>8174</v>
      </c>
      <c r="B8262" t="s">
        <v>40</v>
      </c>
      <c r="C8262">
        <v>7.0000000000000007E-2</v>
      </c>
    </row>
    <row r="8263" spans="1:3" x14ac:dyDescent="0.3">
      <c r="A8263" t="s">
        <v>8174</v>
      </c>
      <c r="B8263" t="s">
        <v>40</v>
      </c>
      <c r="C8263">
        <v>0.1</v>
      </c>
    </row>
    <row r="8264" spans="1:3" x14ac:dyDescent="0.3">
      <c r="A8264" t="s">
        <v>8639</v>
      </c>
      <c r="B8264" t="s">
        <v>40</v>
      </c>
      <c r="C8264">
        <v>7.0000000000000007E-2</v>
      </c>
    </row>
    <row r="8265" spans="1:3" x14ac:dyDescent="0.3">
      <c r="A8265" t="s">
        <v>4212</v>
      </c>
      <c r="B8265" t="s">
        <v>29</v>
      </c>
      <c r="C8265">
        <v>0.05</v>
      </c>
    </row>
    <row r="8266" spans="1:3" x14ac:dyDescent="0.3">
      <c r="A8266" t="s">
        <v>14712</v>
      </c>
      <c r="B8266" t="s">
        <v>29</v>
      </c>
      <c r="C8266">
        <v>0.05</v>
      </c>
    </row>
    <row r="8267" spans="1:3" x14ac:dyDescent="0.3">
      <c r="A8267" t="s">
        <v>7463</v>
      </c>
      <c r="B8267" t="s">
        <v>29</v>
      </c>
      <c r="C8267">
        <v>0.1</v>
      </c>
    </row>
    <row r="8268" spans="1:3" x14ac:dyDescent="0.3">
      <c r="A8268" t="s">
        <v>14134</v>
      </c>
      <c r="B8268" t="s">
        <v>29</v>
      </c>
      <c r="C8268">
        <v>0.03</v>
      </c>
    </row>
    <row r="8269" spans="1:3" x14ac:dyDescent="0.3">
      <c r="A8269" t="s">
        <v>14134</v>
      </c>
      <c r="B8269" t="s">
        <v>29</v>
      </c>
      <c r="C8269">
        <v>0.05</v>
      </c>
    </row>
    <row r="8270" spans="1:3" x14ac:dyDescent="0.3">
      <c r="A8270" t="s">
        <v>14718</v>
      </c>
      <c r="B8270" t="s">
        <v>29</v>
      </c>
      <c r="C8270">
        <v>0.06</v>
      </c>
    </row>
    <row r="8271" spans="1:3" x14ac:dyDescent="0.3">
      <c r="A8271" t="s">
        <v>9844</v>
      </c>
      <c r="B8271" t="s">
        <v>29</v>
      </c>
      <c r="C8271">
        <v>0.09</v>
      </c>
    </row>
    <row r="8272" spans="1:3" x14ac:dyDescent="0.3">
      <c r="A8272" t="s">
        <v>15483</v>
      </c>
      <c r="B8272" t="s">
        <v>53</v>
      </c>
      <c r="C8272">
        <v>0.09</v>
      </c>
    </row>
    <row r="8273" spans="1:3" x14ac:dyDescent="0.3">
      <c r="A8273" t="s">
        <v>12169</v>
      </c>
      <c r="B8273" t="s">
        <v>29</v>
      </c>
      <c r="C8273">
        <v>0.08</v>
      </c>
    </row>
    <row r="8274" spans="1:3" x14ac:dyDescent="0.3">
      <c r="A8274" t="s">
        <v>12223</v>
      </c>
      <c r="B8274" t="s">
        <v>64</v>
      </c>
      <c r="C8274">
        <v>0</v>
      </c>
    </row>
    <row r="8275" spans="1:3" x14ac:dyDescent="0.3">
      <c r="A8275" t="s">
        <v>12223</v>
      </c>
      <c r="B8275" t="s">
        <v>64</v>
      </c>
      <c r="C8275">
        <v>0.1</v>
      </c>
    </row>
    <row r="8276" spans="1:3" x14ac:dyDescent="0.3">
      <c r="A8276" t="s">
        <v>12178</v>
      </c>
      <c r="B8276" t="s">
        <v>64</v>
      </c>
      <c r="C8276">
        <v>0.05</v>
      </c>
    </row>
    <row r="8277" spans="1:3" x14ac:dyDescent="0.3">
      <c r="A8277" t="s">
        <v>12917</v>
      </c>
      <c r="B8277" t="s">
        <v>40</v>
      </c>
      <c r="C8277">
        <v>0.09</v>
      </c>
    </row>
    <row r="8278" spans="1:3" x14ac:dyDescent="0.3">
      <c r="A8278" t="s">
        <v>12917</v>
      </c>
      <c r="B8278" t="s">
        <v>64</v>
      </c>
      <c r="C8278">
        <v>0.04</v>
      </c>
    </row>
    <row r="8279" spans="1:3" x14ac:dyDescent="0.3">
      <c r="A8279" t="s">
        <v>12976</v>
      </c>
      <c r="B8279" t="s">
        <v>87</v>
      </c>
      <c r="C8279">
        <v>0</v>
      </c>
    </row>
    <row r="8280" spans="1:3" x14ac:dyDescent="0.3">
      <c r="A8280" t="s">
        <v>7476</v>
      </c>
      <c r="B8280" t="s">
        <v>87</v>
      </c>
      <c r="C8280">
        <v>0.01</v>
      </c>
    </row>
    <row r="8281" spans="1:3" x14ac:dyDescent="0.3">
      <c r="A8281" t="s">
        <v>7476</v>
      </c>
      <c r="B8281" t="s">
        <v>87</v>
      </c>
      <c r="C8281">
        <v>0.05</v>
      </c>
    </row>
    <row r="8282" spans="1:3" x14ac:dyDescent="0.3">
      <c r="A8282" t="s">
        <v>14868</v>
      </c>
      <c r="B8282" t="s">
        <v>40</v>
      </c>
      <c r="C8282">
        <v>0.09</v>
      </c>
    </row>
    <row r="8283" spans="1:3" x14ac:dyDescent="0.3">
      <c r="A8283" t="s">
        <v>8525</v>
      </c>
      <c r="B8283" t="s">
        <v>40</v>
      </c>
      <c r="C8283">
        <v>0.09</v>
      </c>
    </row>
    <row r="8284" spans="1:3" x14ac:dyDescent="0.3">
      <c r="A8284" t="s">
        <v>6649</v>
      </c>
      <c r="B8284" t="s">
        <v>64</v>
      </c>
      <c r="C8284">
        <v>0.03</v>
      </c>
    </row>
    <row r="8285" spans="1:3" x14ac:dyDescent="0.3">
      <c r="A8285" t="s">
        <v>6649</v>
      </c>
      <c r="B8285" t="s">
        <v>64</v>
      </c>
      <c r="C8285">
        <v>7.0000000000000007E-2</v>
      </c>
    </row>
    <row r="8286" spans="1:3" x14ac:dyDescent="0.3">
      <c r="A8286" t="s">
        <v>6649</v>
      </c>
      <c r="B8286" t="s">
        <v>64</v>
      </c>
      <c r="C8286">
        <v>0.08</v>
      </c>
    </row>
    <row r="8287" spans="1:3" x14ac:dyDescent="0.3">
      <c r="A8287" t="s">
        <v>4269</v>
      </c>
      <c r="B8287" t="s">
        <v>64</v>
      </c>
      <c r="C8287">
        <v>0.02</v>
      </c>
    </row>
    <row r="8288" spans="1:3" x14ac:dyDescent="0.3">
      <c r="A8288" t="s">
        <v>4269</v>
      </c>
      <c r="B8288" t="s">
        <v>64</v>
      </c>
      <c r="C8288">
        <v>0.09</v>
      </c>
    </row>
    <row r="8289" spans="1:3" x14ac:dyDescent="0.3">
      <c r="A8289" t="s">
        <v>13473</v>
      </c>
      <c r="B8289" t="s">
        <v>29</v>
      </c>
      <c r="C8289">
        <v>0.03</v>
      </c>
    </row>
    <row r="8290" spans="1:3" x14ac:dyDescent="0.3">
      <c r="A8290" t="s">
        <v>15303</v>
      </c>
      <c r="B8290" t="s">
        <v>29</v>
      </c>
      <c r="C8290">
        <v>7.0000000000000007E-2</v>
      </c>
    </row>
    <row r="8291" spans="1:3" x14ac:dyDescent="0.3">
      <c r="A8291" t="s">
        <v>15303</v>
      </c>
      <c r="B8291" t="s">
        <v>53</v>
      </c>
      <c r="C8291">
        <v>0.03</v>
      </c>
    </row>
    <row r="8292" spans="1:3" x14ac:dyDescent="0.3">
      <c r="A8292" t="s">
        <v>4276</v>
      </c>
      <c r="B8292" t="s">
        <v>29</v>
      </c>
      <c r="C8292">
        <v>0.03</v>
      </c>
    </row>
    <row r="8293" spans="1:3" x14ac:dyDescent="0.3">
      <c r="A8293" t="s">
        <v>11364</v>
      </c>
      <c r="B8293" t="s">
        <v>225</v>
      </c>
      <c r="C8293">
        <v>0.08</v>
      </c>
    </row>
    <row r="8294" spans="1:3" x14ac:dyDescent="0.3">
      <c r="A8294" t="s">
        <v>9422</v>
      </c>
      <c r="B8294" t="s">
        <v>64</v>
      </c>
      <c r="C8294">
        <v>0.02</v>
      </c>
    </row>
    <row r="8295" spans="1:3" x14ac:dyDescent="0.3">
      <c r="A8295" t="s">
        <v>10539</v>
      </c>
      <c r="B8295" t="s">
        <v>64</v>
      </c>
      <c r="C8295">
        <v>0.01</v>
      </c>
    </row>
    <row r="8296" spans="1:3" x14ac:dyDescent="0.3">
      <c r="A8296" t="s">
        <v>5759</v>
      </c>
      <c r="B8296" t="s">
        <v>87</v>
      </c>
      <c r="C8296">
        <v>0.03</v>
      </c>
    </row>
    <row r="8297" spans="1:3" x14ac:dyDescent="0.3">
      <c r="A8297" t="s">
        <v>12435</v>
      </c>
      <c r="B8297" t="s">
        <v>87</v>
      </c>
      <c r="C8297">
        <v>0.04</v>
      </c>
    </row>
    <row r="8298" spans="1:3" x14ac:dyDescent="0.3">
      <c r="A8298" t="s">
        <v>5125</v>
      </c>
      <c r="B8298" t="s">
        <v>40</v>
      </c>
      <c r="C8298">
        <v>0.04</v>
      </c>
    </row>
    <row r="8299" spans="1:3" x14ac:dyDescent="0.3">
      <c r="A8299" t="s">
        <v>5125</v>
      </c>
      <c r="B8299" t="s">
        <v>64</v>
      </c>
      <c r="C8299">
        <v>0.1</v>
      </c>
    </row>
    <row r="8300" spans="1:3" x14ac:dyDescent="0.3">
      <c r="A8300" t="s">
        <v>5125</v>
      </c>
      <c r="B8300" t="s">
        <v>29</v>
      </c>
      <c r="C8300">
        <v>0.1</v>
      </c>
    </row>
    <row r="8301" spans="1:3" x14ac:dyDescent="0.3">
      <c r="A8301" t="s">
        <v>10918</v>
      </c>
      <c r="B8301" t="s">
        <v>87</v>
      </c>
      <c r="C8301">
        <v>0</v>
      </c>
    </row>
    <row r="8302" spans="1:3" x14ac:dyDescent="0.3">
      <c r="A8302" t="s">
        <v>11220</v>
      </c>
      <c r="B8302" t="s">
        <v>64</v>
      </c>
      <c r="C8302">
        <v>0.09</v>
      </c>
    </row>
    <row r="8303" spans="1:3" x14ac:dyDescent="0.3">
      <c r="A8303" t="s">
        <v>13929</v>
      </c>
      <c r="B8303" t="s">
        <v>40</v>
      </c>
      <c r="C8303">
        <v>0.05</v>
      </c>
    </row>
    <row r="8304" spans="1:3" x14ac:dyDescent="0.3">
      <c r="A8304" t="s">
        <v>6043</v>
      </c>
      <c r="B8304" t="s">
        <v>225</v>
      </c>
      <c r="C8304">
        <v>0</v>
      </c>
    </row>
    <row r="8305" spans="1:3" x14ac:dyDescent="0.3">
      <c r="A8305" t="s">
        <v>6043</v>
      </c>
      <c r="B8305" t="s">
        <v>225</v>
      </c>
      <c r="C8305">
        <v>7.0000000000000007E-2</v>
      </c>
    </row>
    <row r="8306" spans="1:3" x14ac:dyDescent="0.3">
      <c r="A8306" t="s">
        <v>13397</v>
      </c>
      <c r="B8306" t="s">
        <v>29</v>
      </c>
      <c r="C8306">
        <v>0</v>
      </c>
    </row>
    <row r="8307" spans="1:3" x14ac:dyDescent="0.3">
      <c r="A8307" t="s">
        <v>11686</v>
      </c>
      <c r="B8307" t="s">
        <v>29</v>
      </c>
      <c r="C8307">
        <v>0.08</v>
      </c>
    </row>
    <row r="8308" spans="1:3" x14ac:dyDescent="0.3">
      <c r="A8308" t="s">
        <v>10718</v>
      </c>
      <c r="B8308" t="s">
        <v>87</v>
      </c>
      <c r="C8308">
        <v>0.1</v>
      </c>
    </row>
    <row r="8309" spans="1:3" x14ac:dyDescent="0.3">
      <c r="A8309" t="s">
        <v>8206</v>
      </c>
      <c r="B8309" t="s">
        <v>29</v>
      </c>
      <c r="C8309">
        <v>0.06</v>
      </c>
    </row>
    <row r="8310" spans="1:3" x14ac:dyDescent="0.3">
      <c r="A8310" t="s">
        <v>11488</v>
      </c>
      <c r="B8310" t="s">
        <v>87</v>
      </c>
      <c r="C8310">
        <v>0.09</v>
      </c>
    </row>
    <row r="8311" spans="1:3" x14ac:dyDescent="0.3">
      <c r="A8311" t="s">
        <v>4350</v>
      </c>
      <c r="B8311" t="s">
        <v>40</v>
      </c>
      <c r="C8311">
        <v>0.1</v>
      </c>
    </row>
    <row r="8312" spans="1:3" x14ac:dyDescent="0.3">
      <c r="A8312" t="s">
        <v>4356</v>
      </c>
      <c r="B8312" t="s">
        <v>53</v>
      </c>
      <c r="C8312">
        <v>0.01</v>
      </c>
    </row>
    <row r="8313" spans="1:3" x14ac:dyDescent="0.3">
      <c r="A8313" t="s">
        <v>14527</v>
      </c>
      <c r="B8313" t="s">
        <v>53</v>
      </c>
      <c r="C8313">
        <v>0.1</v>
      </c>
    </row>
    <row r="8314" spans="1:3" x14ac:dyDescent="0.3">
      <c r="A8314" t="s">
        <v>6005</v>
      </c>
      <c r="B8314" t="s">
        <v>29</v>
      </c>
      <c r="C8314">
        <v>0.04</v>
      </c>
    </row>
    <row r="8315" spans="1:3" x14ac:dyDescent="0.3">
      <c r="A8315" t="s">
        <v>6005</v>
      </c>
      <c r="B8315" t="s">
        <v>29</v>
      </c>
      <c r="C8315">
        <v>0.05</v>
      </c>
    </row>
    <row r="8316" spans="1:3" x14ac:dyDescent="0.3">
      <c r="A8316" t="s">
        <v>4703</v>
      </c>
      <c r="B8316" t="s">
        <v>29</v>
      </c>
      <c r="C8316">
        <v>0.03</v>
      </c>
    </row>
    <row r="8317" spans="1:3" x14ac:dyDescent="0.3">
      <c r="A8317" t="s">
        <v>10065</v>
      </c>
      <c r="B8317" t="s">
        <v>87</v>
      </c>
      <c r="C8317">
        <v>0.1</v>
      </c>
    </row>
    <row r="8318" spans="1:3" x14ac:dyDescent="0.3">
      <c r="A8318" t="s">
        <v>4377</v>
      </c>
      <c r="B8318" t="s">
        <v>87</v>
      </c>
      <c r="C8318">
        <v>0</v>
      </c>
    </row>
    <row r="8319" spans="1:3" x14ac:dyDescent="0.3">
      <c r="A8319" t="s">
        <v>4377</v>
      </c>
      <c r="B8319" t="s">
        <v>87</v>
      </c>
      <c r="C8319">
        <v>0.06</v>
      </c>
    </row>
    <row r="8320" spans="1:3" x14ac:dyDescent="0.3">
      <c r="A8320" t="s">
        <v>10230</v>
      </c>
      <c r="B8320" t="s">
        <v>40</v>
      </c>
      <c r="C8320">
        <v>0.09</v>
      </c>
    </row>
    <row r="8321" spans="1:3" x14ac:dyDescent="0.3">
      <c r="A8321" t="s">
        <v>8067</v>
      </c>
      <c r="B8321" t="s">
        <v>40</v>
      </c>
      <c r="C8321">
        <v>0.03</v>
      </c>
    </row>
    <row r="8322" spans="1:3" x14ac:dyDescent="0.3">
      <c r="A8322" t="s">
        <v>15225</v>
      </c>
      <c r="B8322" t="s">
        <v>64</v>
      </c>
      <c r="C8322">
        <v>0.03</v>
      </c>
    </row>
    <row r="8323" spans="1:3" x14ac:dyDescent="0.3">
      <c r="A8323" t="s">
        <v>5518</v>
      </c>
      <c r="B8323" t="s">
        <v>87</v>
      </c>
      <c r="C8323">
        <v>0.1</v>
      </c>
    </row>
    <row r="8324" spans="1:3" x14ac:dyDescent="0.3">
      <c r="A8324" t="s">
        <v>4540</v>
      </c>
      <c r="B8324" t="s">
        <v>87</v>
      </c>
      <c r="C8324">
        <v>0.1</v>
      </c>
    </row>
    <row r="8325" spans="1:3" x14ac:dyDescent="0.3">
      <c r="A8325" t="s">
        <v>13344</v>
      </c>
      <c r="B8325" t="s">
        <v>64</v>
      </c>
      <c r="C8325">
        <v>0.05</v>
      </c>
    </row>
    <row r="8326" spans="1:3" x14ac:dyDescent="0.3">
      <c r="A8326" t="s">
        <v>13344</v>
      </c>
      <c r="B8326" t="s">
        <v>53</v>
      </c>
      <c r="C8326">
        <v>0</v>
      </c>
    </row>
    <row r="8327" spans="1:3" x14ac:dyDescent="0.3">
      <c r="A8327" t="s">
        <v>9089</v>
      </c>
      <c r="B8327" t="s">
        <v>87</v>
      </c>
      <c r="C8327">
        <v>0.08</v>
      </c>
    </row>
    <row r="8328" spans="1:3" x14ac:dyDescent="0.3">
      <c r="A8328" t="s">
        <v>10472</v>
      </c>
      <c r="B8328" t="s">
        <v>87</v>
      </c>
      <c r="C8328">
        <v>0.01</v>
      </c>
    </row>
    <row r="8329" spans="1:3" x14ac:dyDescent="0.3">
      <c r="A8329" t="s">
        <v>11784</v>
      </c>
      <c r="B8329" t="s">
        <v>87</v>
      </c>
      <c r="C8329">
        <v>0.04</v>
      </c>
    </row>
    <row r="8330" spans="1:3" x14ac:dyDescent="0.3">
      <c r="A8330" t="s">
        <v>9087</v>
      </c>
      <c r="B8330" t="s">
        <v>29</v>
      </c>
      <c r="C8330">
        <v>0.08</v>
      </c>
    </row>
    <row r="8331" spans="1:3" x14ac:dyDescent="0.3">
      <c r="A8331" t="s">
        <v>13357</v>
      </c>
      <c r="B8331" t="s">
        <v>40</v>
      </c>
      <c r="C8331">
        <v>0.02</v>
      </c>
    </row>
    <row r="8332" spans="1:3" x14ac:dyDescent="0.3">
      <c r="A8332" t="s">
        <v>14270</v>
      </c>
      <c r="B8332" t="s">
        <v>40</v>
      </c>
      <c r="C8332">
        <v>0.06</v>
      </c>
    </row>
    <row r="8333" spans="1:3" x14ac:dyDescent="0.3">
      <c r="A8333" t="s">
        <v>14270</v>
      </c>
      <c r="B8333" t="s">
        <v>40</v>
      </c>
      <c r="C8333">
        <v>0.1</v>
      </c>
    </row>
    <row r="8334" spans="1:3" x14ac:dyDescent="0.3">
      <c r="A8334" t="s">
        <v>14674</v>
      </c>
      <c r="B8334" t="s">
        <v>225</v>
      </c>
      <c r="C8334">
        <v>0.08</v>
      </c>
    </row>
    <row r="8335" spans="1:3" x14ac:dyDescent="0.3">
      <c r="A8335" t="s">
        <v>8171</v>
      </c>
      <c r="B8335" t="s">
        <v>225</v>
      </c>
      <c r="C8335">
        <v>0.05</v>
      </c>
    </row>
    <row r="8336" spans="1:3" x14ac:dyDescent="0.3">
      <c r="A8336" t="s">
        <v>10621</v>
      </c>
      <c r="B8336" t="s">
        <v>53</v>
      </c>
      <c r="C8336">
        <v>0.01</v>
      </c>
    </row>
    <row r="8337" spans="1:3" x14ac:dyDescent="0.3">
      <c r="A8337" t="s">
        <v>14874</v>
      </c>
      <c r="B8337" t="s">
        <v>87</v>
      </c>
      <c r="C8337">
        <v>0.06</v>
      </c>
    </row>
    <row r="8338" spans="1:3" x14ac:dyDescent="0.3">
      <c r="A8338" t="s">
        <v>12668</v>
      </c>
      <c r="B8338" t="s">
        <v>53</v>
      </c>
      <c r="C8338">
        <v>0.01</v>
      </c>
    </row>
    <row r="8339" spans="1:3" x14ac:dyDescent="0.3">
      <c r="A8339" t="s">
        <v>9104</v>
      </c>
      <c r="B8339" t="s">
        <v>225</v>
      </c>
      <c r="C8339">
        <v>0.04</v>
      </c>
    </row>
    <row r="8340" spans="1:3" x14ac:dyDescent="0.3">
      <c r="A8340" t="s">
        <v>15805</v>
      </c>
      <c r="B8340" t="s">
        <v>40</v>
      </c>
      <c r="C8340">
        <v>0.04</v>
      </c>
    </row>
    <row r="8341" spans="1:3" x14ac:dyDescent="0.3">
      <c r="A8341" t="s">
        <v>15805</v>
      </c>
      <c r="B8341" t="s">
        <v>53</v>
      </c>
      <c r="C8341">
        <v>0</v>
      </c>
    </row>
    <row r="8342" spans="1:3" x14ac:dyDescent="0.3">
      <c r="A8342" t="s">
        <v>15805</v>
      </c>
      <c r="B8342" t="s">
        <v>53</v>
      </c>
      <c r="C8342">
        <v>0.1</v>
      </c>
    </row>
    <row r="8343" spans="1:3" x14ac:dyDescent="0.3">
      <c r="A8343" t="s">
        <v>15805</v>
      </c>
      <c r="B8343" t="s">
        <v>87</v>
      </c>
      <c r="C8343">
        <v>0.02</v>
      </c>
    </row>
    <row r="8344" spans="1:3" x14ac:dyDescent="0.3">
      <c r="A8344" t="s">
        <v>15805</v>
      </c>
      <c r="B8344" t="s">
        <v>87</v>
      </c>
      <c r="C8344">
        <v>0.04</v>
      </c>
    </row>
    <row r="8345" spans="1:3" x14ac:dyDescent="0.3">
      <c r="A8345" t="s">
        <v>15794</v>
      </c>
      <c r="B8345" t="s">
        <v>40</v>
      </c>
      <c r="C8345">
        <v>0.03</v>
      </c>
    </row>
    <row r="8346" spans="1:3" x14ac:dyDescent="0.3">
      <c r="A8346" t="s">
        <v>9271</v>
      </c>
      <c r="B8346" t="s">
        <v>40</v>
      </c>
      <c r="C8346">
        <v>0</v>
      </c>
    </row>
    <row r="8347" spans="1:3" x14ac:dyDescent="0.3">
      <c r="A8347" t="s">
        <v>15203</v>
      </c>
      <c r="B8347" t="s">
        <v>225</v>
      </c>
      <c r="C8347">
        <v>0.04</v>
      </c>
    </row>
    <row r="8348" spans="1:3" x14ac:dyDescent="0.3">
      <c r="A8348" t="s">
        <v>15203</v>
      </c>
      <c r="B8348" t="s">
        <v>225</v>
      </c>
      <c r="C8348">
        <v>0.08</v>
      </c>
    </row>
    <row r="8349" spans="1:3" x14ac:dyDescent="0.3">
      <c r="A8349" t="s">
        <v>12716</v>
      </c>
      <c r="B8349" t="s">
        <v>87</v>
      </c>
      <c r="C8349">
        <v>7.0000000000000007E-2</v>
      </c>
    </row>
    <row r="8350" spans="1:3" x14ac:dyDescent="0.3">
      <c r="A8350" t="s">
        <v>15642</v>
      </c>
      <c r="B8350" t="s">
        <v>87</v>
      </c>
      <c r="C8350">
        <v>7.0000000000000007E-2</v>
      </c>
    </row>
    <row r="8351" spans="1:3" x14ac:dyDescent="0.3">
      <c r="A8351" t="s">
        <v>13775</v>
      </c>
      <c r="B8351" t="s">
        <v>87</v>
      </c>
      <c r="C8351">
        <v>0.04</v>
      </c>
    </row>
    <row r="8352" spans="1:3" x14ac:dyDescent="0.3">
      <c r="A8352" t="s">
        <v>8960</v>
      </c>
      <c r="B8352" t="s">
        <v>40</v>
      </c>
      <c r="C8352">
        <v>0.05</v>
      </c>
    </row>
    <row r="8353" spans="1:3" x14ac:dyDescent="0.3">
      <c r="A8353" t="s">
        <v>8960</v>
      </c>
      <c r="B8353" t="s">
        <v>40</v>
      </c>
      <c r="C8353">
        <v>0.09</v>
      </c>
    </row>
    <row r="8354" spans="1:3" x14ac:dyDescent="0.3">
      <c r="A8354" t="s">
        <v>14844</v>
      </c>
      <c r="B8354" t="s">
        <v>53</v>
      </c>
      <c r="C8354">
        <v>0.01</v>
      </c>
    </row>
    <row r="8355" spans="1:3" x14ac:dyDescent="0.3">
      <c r="A8355" t="s">
        <v>14666</v>
      </c>
      <c r="B8355" t="s">
        <v>53</v>
      </c>
      <c r="C8355">
        <v>7.0000000000000007E-2</v>
      </c>
    </row>
    <row r="8356" spans="1:3" x14ac:dyDescent="0.3">
      <c r="A8356" t="s">
        <v>6721</v>
      </c>
      <c r="B8356" t="s">
        <v>53</v>
      </c>
      <c r="C8356">
        <v>0.05</v>
      </c>
    </row>
    <row r="8357" spans="1:3" x14ac:dyDescent="0.3">
      <c r="A8357" t="s">
        <v>10648</v>
      </c>
      <c r="B8357" t="s">
        <v>87</v>
      </c>
      <c r="C8357">
        <v>0.01</v>
      </c>
    </row>
    <row r="8358" spans="1:3" x14ac:dyDescent="0.3">
      <c r="A8358" t="s">
        <v>10648</v>
      </c>
      <c r="B8358" t="s">
        <v>87</v>
      </c>
      <c r="C8358">
        <v>0.08</v>
      </c>
    </row>
    <row r="8359" spans="1:3" x14ac:dyDescent="0.3">
      <c r="A8359" t="s">
        <v>4582</v>
      </c>
      <c r="B8359" t="s">
        <v>87</v>
      </c>
      <c r="C8359">
        <v>0.05</v>
      </c>
    </row>
    <row r="8360" spans="1:3" x14ac:dyDescent="0.3">
      <c r="A8360" t="s">
        <v>12220</v>
      </c>
      <c r="B8360" t="s">
        <v>53</v>
      </c>
      <c r="C8360">
        <v>0.04</v>
      </c>
    </row>
    <row r="8361" spans="1:3" x14ac:dyDescent="0.3">
      <c r="A8361" t="s">
        <v>12220</v>
      </c>
      <c r="B8361" t="s">
        <v>53</v>
      </c>
      <c r="C8361">
        <v>0.06</v>
      </c>
    </row>
    <row r="8362" spans="1:3" x14ac:dyDescent="0.3">
      <c r="A8362" t="s">
        <v>10503</v>
      </c>
      <c r="B8362" t="s">
        <v>53</v>
      </c>
      <c r="C8362">
        <v>0</v>
      </c>
    </row>
    <row r="8363" spans="1:3" x14ac:dyDescent="0.3">
      <c r="A8363" t="s">
        <v>8598</v>
      </c>
      <c r="B8363" t="s">
        <v>53</v>
      </c>
      <c r="C8363">
        <v>0</v>
      </c>
    </row>
    <row r="8364" spans="1:3" x14ac:dyDescent="0.3">
      <c r="A8364" t="s">
        <v>8598</v>
      </c>
      <c r="B8364" t="s">
        <v>53</v>
      </c>
      <c r="C8364">
        <v>0.03</v>
      </c>
    </row>
    <row r="8365" spans="1:3" x14ac:dyDescent="0.3">
      <c r="A8365" t="s">
        <v>8598</v>
      </c>
      <c r="B8365" t="s">
        <v>53</v>
      </c>
      <c r="C8365">
        <v>0.1</v>
      </c>
    </row>
    <row r="8366" spans="1:3" x14ac:dyDescent="0.3">
      <c r="A8366" t="s">
        <v>15337</v>
      </c>
      <c r="B8366" t="s">
        <v>53</v>
      </c>
      <c r="C8366">
        <v>0.03</v>
      </c>
    </row>
    <row r="8367" spans="1:3" x14ac:dyDescent="0.3">
      <c r="A8367" t="s">
        <v>15337</v>
      </c>
      <c r="B8367" t="s">
        <v>53</v>
      </c>
      <c r="C8367">
        <v>0.08</v>
      </c>
    </row>
    <row r="8368" spans="1:3" x14ac:dyDescent="0.3">
      <c r="A8368" t="s">
        <v>14903</v>
      </c>
      <c r="B8368" t="s">
        <v>53</v>
      </c>
      <c r="C8368">
        <v>0.01</v>
      </c>
    </row>
    <row r="8369" spans="1:3" x14ac:dyDescent="0.3">
      <c r="A8369" t="s">
        <v>14903</v>
      </c>
      <c r="B8369" t="s">
        <v>53</v>
      </c>
      <c r="C8369">
        <v>0.09</v>
      </c>
    </row>
    <row r="8370" spans="1:3" x14ac:dyDescent="0.3">
      <c r="A8370" t="s">
        <v>4588</v>
      </c>
      <c r="B8370" t="s">
        <v>87</v>
      </c>
      <c r="C8370">
        <v>0.1</v>
      </c>
    </row>
    <row r="8371" spans="1:3" x14ac:dyDescent="0.3">
      <c r="A8371" t="s">
        <v>9320</v>
      </c>
      <c r="B8371" t="s">
        <v>29</v>
      </c>
      <c r="C8371">
        <v>0.04</v>
      </c>
    </row>
    <row r="8372" spans="1:3" x14ac:dyDescent="0.3">
      <c r="A8372" t="s">
        <v>9320</v>
      </c>
      <c r="B8372" t="s">
        <v>53</v>
      </c>
      <c r="C8372">
        <v>0.08</v>
      </c>
    </row>
    <row r="8373" spans="1:3" x14ac:dyDescent="0.3">
      <c r="A8373" t="s">
        <v>9793</v>
      </c>
      <c r="B8373" t="s">
        <v>87</v>
      </c>
      <c r="C8373">
        <v>0.04</v>
      </c>
    </row>
    <row r="8374" spans="1:3" x14ac:dyDescent="0.3">
      <c r="A8374" t="s">
        <v>12863</v>
      </c>
      <c r="B8374" t="s">
        <v>87</v>
      </c>
      <c r="C8374">
        <v>0.03</v>
      </c>
    </row>
    <row r="8375" spans="1:3" x14ac:dyDescent="0.3">
      <c r="A8375" t="s">
        <v>10589</v>
      </c>
      <c r="B8375" t="s">
        <v>87</v>
      </c>
      <c r="C8375">
        <v>0.06</v>
      </c>
    </row>
    <row r="8376" spans="1:3" x14ac:dyDescent="0.3">
      <c r="A8376" t="s">
        <v>14703</v>
      </c>
      <c r="B8376" t="s">
        <v>87</v>
      </c>
      <c r="C8376">
        <v>0.01</v>
      </c>
    </row>
    <row r="8377" spans="1:3" x14ac:dyDescent="0.3">
      <c r="A8377" t="s">
        <v>14703</v>
      </c>
      <c r="B8377" t="s">
        <v>87</v>
      </c>
      <c r="C8377">
        <v>0.06</v>
      </c>
    </row>
    <row r="8378" spans="1:3" x14ac:dyDescent="0.3">
      <c r="A8378" t="s">
        <v>14703</v>
      </c>
      <c r="B8378" t="s">
        <v>87</v>
      </c>
      <c r="C8378">
        <v>7.0000000000000007E-2</v>
      </c>
    </row>
    <row r="8379" spans="1:3" x14ac:dyDescent="0.3">
      <c r="A8379" t="s">
        <v>10616</v>
      </c>
      <c r="B8379" t="s">
        <v>87</v>
      </c>
      <c r="C8379">
        <v>0.05</v>
      </c>
    </row>
    <row r="8380" spans="1:3" x14ac:dyDescent="0.3">
      <c r="A8380" t="s">
        <v>14704</v>
      </c>
      <c r="B8380" t="s">
        <v>87</v>
      </c>
      <c r="C8380">
        <v>0.03</v>
      </c>
    </row>
    <row r="8381" spans="1:3" x14ac:dyDescent="0.3">
      <c r="A8381" t="s">
        <v>5795</v>
      </c>
      <c r="B8381" t="s">
        <v>40</v>
      </c>
      <c r="C8381">
        <v>0</v>
      </c>
    </row>
    <row r="8382" spans="1:3" x14ac:dyDescent="0.3">
      <c r="A8382" t="s">
        <v>9007</v>
      </c>
      <c r="B8382" t="s">
        <v>40</v>
      </c>
      <c r="C8382">
        <v>0.1</v>
      </c>
    </row>
    <row r="8383" spans="1:3" x14ac:dyDescent="0.3">
      <c r="A8383" t="s">
        <v>9007</v>
      </c>
      <c r="B8383" t="s">
        <v>225</v>
      </c>
      <c r="C8383">
        <v>0.06</v>
      </c>
    </row>
    <row r="8384" spans="1:3" x14ac:dyDescent="0.3">
      <c r="A8384" t="s">
        <v>4627</v>
      </c>
      <c r="B8384" t="s">
        <v>40</v>
      </c>
      <c r="C8384">
        <v>0.02</v>
      </c>
    </row>
    <row r="8385" spans="1:3" x14ac:dyDescent="0.3">
      <c r="A8385" t="s">
        <v>4627</v>
      </c>
      <c r="B8385" t="s">
        <v>64</v>
      </c>
      <c r="C8385">
        <v>0.01</v>
      </c>
    </row>
    <row r="8386" spans="1:3" x14ac:dyDescent="0.3">
      <c r="A8386" t="s">
        <v>4627</v>
      </c>
      <c r="B8386" t="s">
        <v>87</v>
      </c>
      <c r="C8386">
        <v>0.05</v>
      </c>
    </row>
    <row r="8387" spans="1:3" x14ac:dyDescent="0.3">
      <c r="A8387" t="s">
        <v>4643</v>
      </c>
      <c r="B8387" t="s">
        <v>40</v>
      </c>
      <c r="C8387">
        <v>0.09</v>
      </c>
    </row>
    <row r="8388" spans="1:3" x14ac:dyDescent="0.3">
      <c r="A8388" t="s">
        <v>14010</v>
      </c>
      <c r="B8388" t="s">
        <v>64</v>
      </c>
      <c r="C8388">
        <v>0.03</v>
      </c>
    </row>
    <row r="8389" spans="1:3" x14ac:dyDescent="0.3">
      <c r="A8389" t="s">
        <v>15664</v>
      </c>
      <c r="B8389" t="s">
        <v>87</v>
      </c>
      <c r="C8389">
        <v>0.02</v>
      </c>
    </row>
    <row r="8390" spans="1:3" x14ac:dyDescent="0.3">
      <c r="A8390" t="s">
        <v>15664</v>
      </c>
      <c r="B8390" t="s">
        <v>87</v>
      </c>
      <c r="C8390">
        <v>0.09</v>
      </c>
    </row>
    <row r="8391" spans="1:3" x14ac:dyDescent="0.3">
      <c r="A8391" t="s">
        <v>9781</v>
      </c>
      <c r="B8391" t="s">
        <v>40</v>
      </c>
      <c r="C8391">
        <v>0.04</v>
      </c>
    </row>
    <row r="8392" spans="1:3" x14ac:dyDescent="0.3">
      <c r="A8392" t="s">
        <v>9781</v>
      </c>
      <c r="B8392" t="s">
        <v>29</v>
      </c>
      <c r="C8392">
        <v>0.02</v>
      </c>
    </row>
    <row r="8393" spans="1:3" x14ac:dyDescent="0.3">
      <c r="A8393" t="s">
        <v>8318</v>
      </c>
      <c r="B8393" t="s">
        <v>40</v>
      </c>
      <c r="C8393">
        <v>0.05</v>
      </c>
    </row>
    <row r="8394" spans="1:3" x14ac:dyDescent="0.3">
      <c r="A8394" t="s">
        <v>12852</v>
      </c>
      <c r="B8394" t="s">
        <v>40</v>
      </c>
      <c r="C8394">
        <v>0.01</v>
      </c>
    </row>
    <row r="8395" spans="1:3" x14ac:dyDescent="0.3">
      <c r="A8395" t="s">
        <v>9475</v>
      </c>
      <c r="B8395" t="s">
        <v>40</v>
      </c>
      <c r="C8395">
        <v>0.05</v>
      </c>
    </row>
    <row r="8396" spans="1:3" x14ac:dyDescent="0.3">
      <c r="A8396" t="s">
        <v>9475</v>
      </c>
      <c r="B8396" t="s">
        <v>87</v>
      </c>
      <c r="C8396">
        <v>0</v>
      </c>
    </row>
    <row r="8397" spans="1:3" x14ac:dyDescent="0.3">
      <c r="A8397" t="s">
        <v>9475</v>
      </c>
      <c r="B8397" t="s">
        <v>87</v>
      </c>
      <c r="C8397">
        <v>0.02</v>
      </c>
    </row>
    <row r="8398" spans="1:3" x14ac:dyDescent="0.3">
      <c r="A8398" t="s">
        <v>12812</v>
      </c>
      <c r="B8398" t="s">
        <v>40</v>
      </c>
      <c r="C8398">
        <v>0.1</v>
      </c>
    </row>
    <row r="8399" spans="1:3" x14ac:dyDescent="0.3">
      <c r="A8399" t="s">
        <v>14640</v>
      </c>
      <c r="B8399" t="s">
        <v>87</v>
      </c>
      <c r="C8399">
        <v>0.04</v>
      </c>
    </row>
    <row r="8400" spans="1:3" x14ac:dyDescent="0.3">
      <c r="A8400" t="s">
        <v>14640</v>
      </c>
      <c r="B8400" t="s">
        <v>87</v>
      </c>
      <c r="C8400">
        <v>0.05</v>
      </c>
    </row>
    <row r="8401" spans="1:3" x14ac:dyDescent="0.3">
      <c r="A8401" t="s">
        <v>14640</v>
      </c>
      <c r="B8401" t="s">
        <v>87</v>
      </c>
      <c r="C8401">
        <v>0.1</v>
      </c>
    </row>
    <row r="8402" spans="1:3" x14ac:dyDescent="0.3">
      <c r="A8402" t="s">
        <v>15636</v>
      </c>
      <c r="B8402" t="s">
        <v>40</v>
      </c>
      <c r="C8402">
        <v>0.09</v>
      </c>
    </row>
    <row r="8403" spans="1:3" x14ac:dyDescent="0.3">
      <c r="A8403" t="s">
        <v>12584</v>
      </c>
      <c r="B8403" t="s">
        <v>87</v>
      </c>
      <c r="C8403">
        <v>0.04</v>
      </c>
    </row>
    <row r="8404" spans="1:3" x14ac:dyDescent="0.3">
      <c r="A8404" t="s">
        <v>10605</v>
      </c>
      <c r="B8404" t="s">
        <v>87</v>
      </c>
      <c r="C8404">
        <v>7.0000000000000007E-2</v>
      </c>
    </row>
    <row r="8405" spans="1:3" x14ac:dyDescent="0.3">
      <c r="A8405" t="s">
        <v>12849</v>
      </c>
      <c r="B8405" t="s">
        <v>53</v>
      </c>
      <c r="C8405">
        <v>0.06</v>
      </c>
    </row>
    <row r="8406" spans="1:3" x14ac:dyDescent="0.3">
      <c r="A8406" t="s">
        <v>15020</v>
      </c>
      <c r="B8406" t="s">
        <v>40</v>
      </c>
      <c r="C8406">
        <v>0</v>
      </c>
    </row>
    <row r="8407" spans="1:3" x14ac:dyDescent="0.3">
      <c r="A8407" t="s">
        <v>12212</v>
      </c>
      <c r="B8407" t="s">
        <v>87</v>
      </c>
      <c r="C8407">
        <v>0.02</v>
      </c>
    </row>
    <row r="8408" spans="1:3" x14ac:dyDescent="0.3">
      <c r="A8408" t="s">
        <v>14253</v>
      </c>
      <c r="B8408" t="s">
        <v>40</v>
      </c>
      <c r="C8408">
        <v>0.04</v>
      </c>
    </row>
    <row r="8409" spans="1:3" x14ac:dyDescent="0.3">
      <c r="A8409" t="s">
        <v>14012</v>
      </c>
      <c r="B8409" t="s">
        <v>53</v>
      </c>
      <c r="C8409">
        <v>0.02</v>
      </c>
    </row>
    <row r="8410" spans="1:3" x14ac:dyDescent="0.3">
      <c r="A8410" t="s">
        <v>14012</v>
      </c>
      <c r="B8410" t="s">
        <v>87</v>
      </c>
      <c r="C8410">
        <v>0.05</v>
      </c>
    </row>
    <row r="8411" spans="1:3" x14ac:dyDescent="0.3">
      <c r="A8411" t="s">
        <v>14012</v>
      </c>
      <c r="B8411" t="s">
        <v>87</v>
      </c>
      <c r="C8411">
        <v>0.06</v>
      </c>
    </row>
    <row r="8412" spans="1:3" x14ac:dyDescent="0.3">
      <c r="A8412" t="s">
        <v>13055</v>
      </c>
      <c r="B8412" t="s">
        <v>87</v>
      </c>
      <c r="C8412">
        <v>0.1</v>
      </c>
    </row>
    <row r="8413" spans="1:3" x14ac:dyDescent="0.3">
      <c r="A8413" t="s">
        <v>9000</v>
      </c>
      <c r="B8413" t="s">
        <v>87</v>
      </c>
      <c r="C8413">
        <v>0.04</v>
      </c>
    </row>
    <row r="8414" spans="1:3" x14ac:dyDescent="0.3">
      <c r="A8414" t="s">
        <v>9000</v>
      </c>
      <c r="B8414" t="s">
        <v>87</v>
      </c>
      <c r="C8414">
        <v>0.09</v>
      </c>
    </row>
    <row r="8415" spans="1:3" x14ac:dyDescent="0.3">
      <c r="A8415" t="s">
        <v>12147</v>
      </c>
      <c r="B8415" t="s">
        <v>225</v>
      </c>
      <c r="C8415">
        <v>0.02</v>
      </c>
    </row>
    <row r="8416" spans="1:3" x14ac:dyDescent="0.3">
      <c r="A8416" t="s">
        <v>12147</v>
      </c>
      <c r="B8416" t="s">
        <v>225</v>
      </c>
      <c r="C8416">
        <v>0.04</v>
      </c>
    </row>
    <row r="8417" spans="1:3" x14ac:dyDescent="0.3">
      <c r="A8417" t="s">
        <v>14957</v>
      </c>
      <c r="B8417" t="s">
        <v>87</v>
      </c>
      <c r="C8417">
        <v>0</v>
      </c>
    </row>
    <row r="8418" spans="1:3" x14ac:dyDescent="0.3">
      <c r="A8418" t="s">
        <v>12786</v>
      </c>
      <c r="B8418" t="s">
        <v>40</v>
      </c>
      <c r="C8418">
        <v>0.08</v>
      </c>
    </row>
    <row r="8419" spans="1:3" x14ac:dyDescent="0.3">
      <c r="A8419" t="s">
        <v>7210</v>
      </c>
      <c r="B8419" t="s">
        <v>40</v>
      </c>
      <c r="C8419">
        <v>0.01</v>
      </c>
    </row>
    <row r="8420" spans="1:3" x14ac:dyDescent="0.3">
      <c r="A8420" t="s">
        <v>7210</v>
      </c>
      <c r="B8420" t="s">
        <v>40</v>
      </c>
      <c r="C8420">
        <v>0.02</v>
      </c>
    </row>
    <row r="8421" spans="1:3" x14ac:dyDescent="0.3">
      <c r="A8421" t="s">
        <v>12968</v>
      </c>
      <c r="B8421" t="s">
        <v>40</v>
      </c>
      <c r="C8421">
        <v>0.09</v>
      </c>
    </row>
    <row r="8422" spans="1:3" x14ac:dyDescent="0.3">
      <c r="A8422" t="s">
        <v>12745</v>
      </c>
      <c r="B8422" t="s">
        <v>64</v>
      </c>
      <c r="C8422">
        <v>0.02</v>
      </c>
    </row>
    <row r="8423" spans="1:3" x14ac:dyDescent="0.3">
      <c r="A8423" t="s">
        <v>4797</v>
      </c>
      <c r="B8423" t="s">
        <v>64</v>
      </c>
      <c r="C8423">
        <v>0</v>
      </c>
    </row>
    <row r="8424" spans="1:3" x14ac:dyDescent="0.3">
      <c r="A8424" t="s">
        <v>15282</v>
      </c>
      <c r="B8424" t="s">
        <v>87</v>
      </c>
      <c r="C8424">
        <v>0.01</v>
      </c>
    </row>
    <row r="8425" spans="1:3" x14ac:dyDescent="0.3">
      <c r="A8425" t="s">
        <v>15739</v>
      </c>
      <c r="B8425" t="s">
        <v>64</v>
      </c>
      <c r="C8425">
        <v>0.05</v>
      </c>
    </row>
    <row r="8426" spans="1:3" x14ac:dyDescent="0.3">
      <c r="A8426" t="s">
        <v>12092</v>
      </c>
      <c r="B8426" t="s">
        <v>64</v>
      </c>
      <c r="C8426">
        <v>0.1</v>
      </c>
    </row>
    <row r="8427" spans="1:3" x14ac:dyDescent="0.3">
      <c r="A8427" t="s">
        <v>5935</v>
      </c>
      <c r="B8427" t="s">
        <v>225</v>
      </c>
      <c r="C8427">
        <v>0.03</v>
      </c>
    </row>
    <row r="8428" spans="1:3" x14ac:dyDescent="0.3">
      <c r="A8428" t="s">
        <v>13922</v>
      </c>
      <c r="B8428" t="s">
        <v>87</v>
      </c>
      <c r="C8428">
        <v>0.03</v>
      </c>
    </row>
    <row r="8429" spans="1:3" x14ac:dyDescent="0.3">
      <c r="A8429" t="s">
        <v>12225</v>
      </c>
      <c r="B8429" t="s">
        <v>40</v>
      </c>
      <c r="C8429">
        <v>0</v>
      </c>
    </row>
    <row r="8430" spans="1:3" x14ac:dyDescent="0.3">
      <c r="A8430" t="s">
        <v>14111</v>
      </c>
      <c r="B8430" t="s">
        <v>225</v>
      </c>
      <c r="C8430">
        <v>0</v>
      </c>
    </row>
    <row r="8431" spans="1:3" x14ac:dyDescent="0.3">
      <c r="A8431" t="s">
        <v>15675</v>
      </c>
      <c r="B8431" t="s">
        <v>225</v>
      </c>
      <c r="C8431">
        <v>0</v>
      </c>
    </row>
    <row r="8432" spans="1:3" x14ac:dyDescent="0.3">
      <c r="A8432" t="s">
        <v>7571</v>
      </c>
      <c r="B8432" t="s">
        <v>40</v>
      </c>
      <c r="C8432">
        <v>0.1</v>
      </c>
    </row>
    <row r="8433" spans="1:3" x14ac:dyDescent="0.3">
      <c r="A8433" t="s">
        <v>9597</v>
      </c>
      <c r="B8433" t="s">
        <v>40</v>
      </c>
      <c r="C8433">
        <v>0.01</v>
      </c>
    </row>
    <row r="8434" spans="1:3" x14ac:dyDescent="0.3">
      <c r="A8434" t="s">
        <v>8301</v>
      </c>
      <c r="B8434" t="s">
        <v>64</v>
      </c>
      <c r="C8434">
        <v>7.0000000000000007E-2</v>
      </c>
    </row>
    <row r="8435" spans="1:3" x14ac:dyDescent="0.3">
      <c r="A8435" t="s">
        <v>8301</v>
      </c>
      <c r="B8435" t="s">
        <v>64</v>
      </c>
      <c r="C8435">
        <v>0.08</v>
      </c>
    </row>
    <row r="8436" spans="1:3" x14ac:dyDescent="0.3">
      <c r="A8436" t="s">
        <v>13373</v>
      </c>
      <c r="B8436" t="s">
        <v>40</v>
      </c>
      <c r="C8436">
        <v>0.02</v>
      </c>
    </row>
    <row r="8437" spans="1:3" x14ac:dyDescent="0.3">
      <c r="A8437" t="s">
        <v>13373</v>
      </c>
      <c r="B8437" t="s">
        <v>40</v>
      </c>
      <c r="C8437">
        <v>0.03</v>
      </c>
    </row>
    <row r="8438" spans="1:3" x14ac:dyDescent="0.3">
      <c r="A8438" t="s">
        <v>13373</v>
      </c>
      <c r="B8438" t="s">
        <v>40</v>
      </c>
      <c r="C8438">
        <v>0.05</v>
      </c>
    </row>
    <row r="8439" spans="1:3" x14ac:dyDescent="0.3">
      <c r="A8439" t="s">
        <v>14789</v>
      </c>
      <c r="B8439" t="s">
        <v>40</v>
      </c>
      <c r="C8439">
        <v>0.1</v>
      </c>
    </row>
    <row r="8440" spans="1:3" x14ac:dyDescent="0.3">
      <c r="A8440" t="s">
        <v>13535</v>
      </c>
      <c r="B8440" t="s">
        <v>40</v>
      </c>
      <c r="C8440">
        <v>0.03</v>
      </c>
    </row>
    <row r="8441" spans="1:3" x14ac:dyDescent="0.3">
      <c r="A8441" t="s">
        <v>7871</v>
      </c>
      <c r="B8441" t="s">
        <v>29</v>
      </c>
      <c r="C8441">
        <v>0.04</v>
      </c>
    </row>
    <row r="8442" spans="1:3" x14ac:dyDescent="0.3">
      <c r="A8442" t="s">
        <v>12542</v>
      </c>
      <c r="B8442" t="s">
        <v>29</v>
      </c>
      <c r="C8442">
        <v>0.02</v>
      </c>
    </row>
    <row r="8443" spans="1:3" x14ac:dyDescent="0.3">
      <c r="A8443" t="s">
        <v>14165</v>
      </c>
      <c r="B8443" t="s">
        <v>225</v>
      </c>
      <c r="C8443">
        <v>0.05</v>
      </c>
    </row>
    <row r="8444" spans="1:3" x14ac:dyDescent="0.3">
      <c r="A8444" t="s">
        <v>14165</v>
      </c>
      <c r="B8444" t="s">
        <v>29</v>
      </c>
      <c r="C8444">
        <v>0.08</v>
      </c>
    </row>
    <row r="8445" spans="1:3" x14ac:dyDescent="0.3">
      <c r="A8445" t="s">
        <v>14572</v>
      </c>
      <c r="B8445" t="s">
        <v>225</v>
      </c>
      <c r="C8445">
        <v>0.02</v>
      </c>
    </row>
    <row r="8446" spans="1:3" x14ac:dyDescent="0.3">
      <c r="A8446" t="s">
        <v>14572</v>
      </c>
      <c r="B8446" t="s">
        <v>225</v>
      </c>
      <c r="C8446">
        <v>0.04</v>
      </c>
    </row>
    <row r="8447" spans="1:3" x14ac:dyDescent="0.3">
      <c r="A8447" t="s">
        <v>12341</v>
      </c>
      <c r="B8447" t="s">
        <v>53</v>
      </c>
      <c r="C8447">
        <v>0.04</v>
      </c>
    </row>
    <row r="8448" spans="1:3" x14ac:dyDescent="0.3">
      <c r="A8448" t="s">
        <v>4942</v>
      </c>
      <c r="B8448" t="s">
        <v>40</v>
      </c>
      <c r="C8448">
        <v>0.02</v>
      </c>
    </row>
    <row r="8449" spans="1:3" x14ac:dyDescent="0.3">
      <c r="A8449" t="s">
        <v>4942</v>
      </c>
      <c r="B8449" t="s">
        <v>40</v>
      </c>
      <c r="C8449">
        <v>0.03</v>
      </c>
    </row>
    <row r="8450" spans="1:3" x14ac:dyDescent="0.3">
      <c r="A8450" t="s">
        <v>4942</v>
      </c>
      <c r="B8450" t="s">
        <v>40</v>
      </c>
      <c r="C8450">
        <v>0.09</v>
      </c>
    </row>
    <row r="8451" spans="1:3" x14ac:dyDescent="0.3">
      <c r="A8451" t="s">
        <v>9982</v>
      </c>
      <c r="B8451" t="s">
        <v>87</v>
      </c>
      <c r="C8451">
        <v>0.06</v>
      </c>
    </row>
    <row r="8452" spans="1:3" x14ac:dyDescent="0.3">
      <c r="A8452" t="s">
        <v>13517</v>
      </c>
      <c r="B8452" t="s">
        <v>40</v>
      </c>
      <c r="C8452">
        <v>7.0000000000000007E-2</v>
      </c>
    </row>
    <row r="8453" spans="1:3" x14ac:dyDescent="0.3">
      <c r="A8453" t="s">
        <v>15550</v>
      </c>
      <c r="B8453" t="s">
        <v>29</v>
      </c>
      <c r="C8453">
        <v>0</v>
      </c>
    </row>
    <row r="8454" spans="1:3" x14ac:dyDescent="0.3">
      <c r="A8454" t="s">
        <v>15550</v>
      </c>
      <c r="B8454" t="s">
        <v>29</v>
      </c>
      <c r="C8454">
        <v>0.02</v>
      </c>
    </row>
    <row r="8455" spans="1:3" x14ac:dyDescent="0.3">
      <c r="A8455" t="s">
        <v>15550</v>
      </c>
      <c r="B8455" t="s">
        <v>29</v>
      </c>
      <c r="C8455">
        <v>0.09</v>
      </c>
    </row>
    <row r="8456" spans="1:3" x14ac:dyDescent="0.3">
      <c r="A8456" t="s">
        <v>14737</v>
      </c>
      <c r="B8456" t="s">
        <v>29</v>
      </c>
      <c r="C8456">
        <v>0.01</v>
      </c>
    </row>
    <row r="8457" spans="1:3" x14ac:dyDescent="0.3">
      <c r="A8457" t="s">
        <v>14988</v>
      </c>
      <c r="B8457" t="s">
        <v>29</v>
      </c>
      <c r="C8457">
        <v>0.1</v>
      </c>
    </row>
    <row r="8458" spans="1:3" x14ac:dyDescent="0.3">
      <c r="A8458" t="s">
        <v>13688</v>
      </c>
      <c r="B8458" t="s">
        <v>29</v>
      </c>
      <c r="C8458">
        <v>0.08</v>
      </c>
    </row>
    <row r="8459" spans="1:3" x14ac:dyDescent="0.3">
      <c r="A8459" t="s">
        <v>5858</v>
      </c>
      <c r="B8459" t="s">
        <v>225</v>
      </c>
      <c r="C8459">
        <v>0.09</v>
      </c>
    </row>
    <row r="8460" spans="1:3" x14ac:dyDescent="0.3">
      <c r="A8460" t="s">
        <v>14331</v>
      </c>
      <c r="B8460" t="s">
        <v>53</v>
      </c>
      <c r="C8460">
        <v>0.04</v>
      </c>
    </row>
    <row r="8461" spans="1:3" x14ac:dyDescent="0.3">
      <c r="A8461" t="s">
        <v>7692</v>
      </c>
      <c r="B8461" t="s">
        <v>29</v>
      </c>
      <c r="C8461">
        <v>0</v>
      </c>
    </row>
    <row r="8462" spans="1:3" x14ac:dyDescent="0.3">
      <c r="A8462" t="s">
        <v>7692</v>
      </c>
      <c r="B8462" t="s">
        <v>29</v>
      </c>
      <c r="C8462">
        <v>0.08</v>
      </c>
    </row>
    <row r="8463" spans="1:3" x14ac:dyDescent="0.3">
      <c r="A8463" t="s">
        <v>6831</v>
      </c>
      <c r="B8463" t="s">
        <v>29</v>
      </c>
      <c r="C8463">
        <v>0.06</v>
      </c>
    </row>
    <row r="8464" spans="1:3" x14ac:dyDescent="0.3">
      <c r="A8464" t="s">
        <v>6831</v>
      </c>
      <c r="B8464" t="s">
        <v>29</v>
      </c>
      <c r="C8464">
        <v>0.09</v>
      </c>
    </row>
    <row r="8465" spans="1:3" x14ac:dyDescent="0.3">
      <c r="A8465" t="s">
        <v>15545</v>
      </c>
      <c r="B8465" t="s">
        <v>29</v>
      </c>
      <c r="C8465">
        <v>7.0000000000000007E-2</v>
      </c>
    </row>
    <row r="8466" spans="1:3" x14ac:dyDescent="0.3">
      <c r="A8466" t="s">
        <v>11337</v>
      </c>
      <c r="B8466" t="s">
        <v>29</v>
      </c>
      <c r="C8466">
        <v>0.04</v>
      </c>
    </row>
    <row r="8467" spans="1:3" x14ac:dyDescent="0.3">
      <c r="A8467" t="s">
        <v>4973</v>
      </c>
      <c r="B8467" t="s">
        <v>64</v>
      </c>
      <c r="C8467">
        <v>0.09</v>
      </c>
    </row>
    <row r="8468" spans="1:3" x14ac:dyDescent="0.3">
      <c r="A8468" t="s">
        <v>11229</v>
      </c>
      <c r="B8468" t="s">
        <v>64</v>
      </c>
      <c r="C8468">
        <v>0.03</v>
      </c>
    </row>
    <row r="8469" spans="1:3" x14ac:dyDescent="0.3">
      <c r="A8469" t="s">
        <v>9432</v>
      </c>
      <c r="B8469" t="s">
        <v>64</v>
      </c>
      <c r="C8469">
        <v>0.09</v>
      </c>
    </row>
    <row r="8470" spans="1:3" x14ac:dyDescent="0.3">
      <c r="A8470" t="s">
        <v>11868</v>
      </c>
      <c r="B8470" t="s">
        <v>53</v>
      </c>
      <c r="C8470">
        <v>0.02</v>
      </c>
    </row>
    <row r="8471" spans="1:3" x14ac:dyDescent="0.3">
      <c r="A8471" t="s">
        <v>15087</v>
      </c>
      <c r="B8471" t="s">
        <v>53</v>
      </c>
      <c r="C8471">
        <v>0.08</v>
      </c>
    </row>
    <row r="8472" spans="1:3" x14ac:dyDescent="0.3">
      <c r="A8472" t="s">
        <v>14133</v>
      </c>
      <c r="B8472" t="s">
        <v>53</v>
      </c>
      <c r="C8472">
        <v>0.05</v>
      </c>
    </row>
    <row r="8473" spans="1:3" x14ac:dyDescent="0.3">
      <c r="A8473" t="s">
        <v>10494</v>
      </c>
      <c r="B8473" t="s">
        <v>53</v>
      </c>
      <c r="C8473">
        <v>0</v>
      </c>
    </row>
    <row r="8474" spans="1:3" x14ac:dyDescent="0.3">
      <c r="A8474" t="s">
        <v>7400</v>
      </c>
      <c r="B8474" t="s">
        <v>225</v>
      </c>
      <c r="C8474">
        <v>0.05</v>
      </c>
    </row>
    <row r="8475" spans="1:3" x14ac:dyDescent="0.3">
      <c r="A8475" t="s">
        <v>8781</v>
      </c>
      <c r="B8475" t="s">
        <v>87</v>
      </c>
      <c r="C8475">
        <v>0.05</v>
      </c>
    </row>
    <row r="8476" spans="1:3" x14ac:dyDescent="0.3">
      <c r="A8476" t="s">
        <v>10917</v>
      </c>
      <c r="B8476" t="s">
        <v>87</v>
      </c>
      <c r="C8476">
        <v>0.1</v>
      </c>
    </row>
    <row r="8477" spans="1:3" x14ac:dyDescent="0.3">
      <c r="A8477" t="s">
        <v>14947</v>
      </c>
      <c r="B8477" t="s">
        <v>87</v>
      </c>
      <c r="C8477">
        <v>0.02</v>
      </c>
    </row>
    <row r="8478" spans="1:3" x14ac:dyDescent="0.3">
      <c r="A8478" t="s">
        <v>14947</v>
      </c>
      <c r="B8478" t="s">
        <v>87</v>
      </c>
      <c r="C8478">
        <v>7.0000000000000007E-2</v>
      </c>
    </row>
    <row r="8479" spans="1:3" x14ac:dyDescent="0.3">
      <c r="A8479" t="s">
        <v>13971</v>
      </c>
      <c r="B8479" t="s">
        <v>87</v>
      </c>
      <c r="C8479">
        <v>0.02</v>
      </c>
    </row>
    <row r="8480" spans="1:3" x14ac:dyDescent="0.3">
      <c r="A8480" t="s">
        <v>14182</v>
      </c>
      <c r="B8480" t="s">
        <v>225</v>
      </c>
      <c r="C8480">
        <v>0.02</v>
      </c>
    </row>
    <row r="8481" spans="1:3" x14ac:dyDescent="0.3">
      <c r="A8481" t="s">
        <v>15718</v>
      </c>
      <c r="B8481" t="s">
        <v>64</v>
      </c>
      <c r="C8481">
        <v>0.08</v>
      </c>
    </row>
    <row r="8482" spans="1:3" x14ac:dyDescent="0.3">
      <c r="A8482" t="s">
        <v>15718</v>
      </c>
      <c r="B8482" t="s">
        <v>29</v>
      </c>
      <c r="C8482">
        <v>0.01</v>
      </c>
    </row>
    <row r="8483" spans="1:3" x14ac:dyDescent="0.3">
      <c r="A8483" t="s">
        <v>15718</v>
      </c>
      <c r="B8483" t="s">
        <v>53</v>
      </c>
      <c r="C8483">
        <v>0.01</v>
      </c>
    </row>
    <row r="8484" spans="1:3" x14ac:dyDescent="0.3">
      <c r="A8484" t="s">
        <v>9538</v>
      </c>
      <c r="B8484" t="s">
        <v>225</v>
      </c>
      <c r="C8484">
        <v>0.03</v>
      </c>
    </row>
    <row r="8485" spans="1:3" x14ac:dyDescent="0.3">
      <c r="A8485" t="s">
        <v>12915</v>
      </c>
      <c r="B8485" t="s">
        <v>87</v>
      </c>
      <c r="C8485">
        <v>0.02</v>
      </c>
    </row>
    <row r="8486" spans="1:3" x14ac:dyDescent="0.3">
      <c r="A8486" t="s">
        <v>9731</v>
      </c>
      <c r="B8486" t="s">
        <v>53</v>
      </c>
      <c r="C8486">
        <v>0.08</v>
      </c>
    </row>
    <row r="8487" spans="1:3" x14ac:dyDescent="0.3">
      <c r="A8487" t="s">
        <v>9731</v>
      </c>
      <c r="B8487" t="s">
        <v>87</v>
      </c>
      <c r="C8487">
        <v>0.09</v>
      </c>
    </row>
    <row r="8488" spans="1:3" x14ac:dyDescent="0.3">
      <c r="A8488" t="s">
        <v>15113</v>
      </c>
      <c r="B8488" t="s">
        <v>29</v>
      </c>
      <c r="C8488">
        <v>0.06</v>
      </c>
    </row>
    <row r="8489" spans="1:3" x14ac:dyDescent="0.3">
      <c r="A8489" t="s">
        <v>12082</v>
      </c>
      <c r="B8489" t="s">
        <v>87</v>
      </c>
      <c r="C8489">
        <v>0.03</v>
      </c>
    </row>
    <row r="8490" spans="1:3" x14ac:dyDescent="0.3">
      <c r="A8490" t="s">
        <v>12082</v>
      </c>
      <c r="B8490" t="s">
        <v>87</v>
      </c>
      <c r="C8490">
        <v>0.06</v>
      </c>
    </row>
    <row r="8491" spans="1:3" x14ac:dyDescent="0.3">
      <c r="A8491" t="s">
        <v>14248</v>
      </c>
      <c r="B8491" t="s">
        <v>225</v>
      </c>
      <c r="C8491">
        <v>7.0000000000000007E-2</v>
      </c>
    </row>
    <row r="8492" spans="1:3" x14ac:dyDescent="0.3">
      <c r="A8492" t="s">
        <v>9799</v>
      </c>
      <c r="B8492" t="s">
        <v>225</v>
      </c>
      <c r="C8492">
        <v>0.01</v>
      </c>
    </row>
    <row r="8493" spans="1:3" x14ac:dyDescent="0.3">
      <c r="A8493" t="s">
        <v>6120</v>
      </c>
      <c r="B8493" t="s">
        <v>64</v>
      </c>
      <c r="C8493">
        <v>0</v>
      </c>
    </row>
    <row r="8494" spans="1:3" x14ac:dyDescent="0.3">
      <c r="A8494" t="s">
        <v>6120</v>
      </c>
      <c r="B8494" t="s">
        <v>53</v>
      </c>
      <c r="C8494">
        <v>0.02</v>
      </c>
    </row>
    <row r="8495" spans="1:3" x14ac:dyDescent="0.3">
      <c r="A8495" t="s">
        <v>9552</v>
      </c>
      <c r="B8495" t="s">
        <v>53</v>
      </c>
      <c r="C8495">
        <v>0.02</v>
      </c>
    </row>
    <row r="8496" spans="1:3" x14ac:dyDescent="0.3">
      <c r="A8496" t="s">
        <v>15770</v>
      </c>
      <c r="B8496" t="s">
        <v>87</v>
      </c>
      <c r="C8496">
        <v>0.05</v>
      </c>
    </row>
    <row r="8497" spans="1:3" x14ac:dyDescent="0.3">
      <c r="A8497" t="s">
        <v>8547</v>
      </c>
      <c r="B8497" t="s">
        <v>64</v>
      </c>
      <c r="C8497">
        <v>0</v>
      </c>
    </row>
    <row r="8498" spans="1:3" x14ac:dyDescent="0.3">
      <c r="A8498" t="s">
        <v>12357</v>
      </c>
      <c r="B8498" t="s">
        <v>87</v>
      </c>
      <c r="C8498">
        <v>0.06</v>
      </c>
    </row>
    <row r="8499" spans="1:3" x14ac:dyDescent="0.3">
      <c r="A8499" t="s">
        <v>5346</v>
      </c>
      <c r="B8499" t="s">
        <v>64</v>
      </c>
      <c r="C8499">
        <v>0</v>
      </c>
    </row>
    <row r="8500" spans="1:3" x14ac:dyDescent="0.3">
      <c r="A8500" t="s">
        <v>13132</v>
      </c>
      <c r="B8500" t="s">
        <v>40</v>
      </c>
      <c r="C8500">
        <v>0.06</v>
      </c>
    </row>
    <row r="8501" spans="1:3" x14ac:dyDescent="0.3">
      <c r="A8501" t="s">
        <v>13132</v>
      </c>
      <c r="B8501" t="s">
        <v>29</v>
      </c>
      <c r="C8501">
        <v>0.05</v>
      </c>
    </row>
    <row r="8502" spans="1:3" x14ac:dyDescent="0.3">
      <c r="A8502" t="s">
        <v>14070</v>
      </c>
      <c r="B8502" t="s">
        <v>53</v>
      </c>
      <c r="C8502">
        <v>0.08</v>
      </c>
    </row>
    <row r="8503" spans="1:3" x14ac:dyDescent="0.3">
      <c r="A8503" t="s">
        <v>9554</v>
      </c>
      <c r="B8503" t="s">
        <v>53</v>
      </c>
      <c r="C8503">
        <v>0</v>
      </c>
    </row>
    <row r="8504" spans="1:3" x14ac:dyDescent="0.3">
      <c r="A8504" t="s">
        <v>14558</v>
      </c>
      <c r="B8504" t="s">
        <v>40</v>
      </c>
      <c r="C8504">
        <v>0.08</v>
      </c>
    </row>
    <row r="8505" spans="1:3" x14ac:dyDescent="0.3">
      <c r="A8505" t="s">
        <v>14716</v>
      </c>
      <c r="B8505" t="s">
        <v>40</v>
      </c>
      <c r="C8505">
        <v>0.03</v>
      </c>
    </row>
    <row r="8506" spans="1:3" x14ac:dyDescent="0.3">
      <c r="A8506" t="s">
        <v>9350</v>
      </c>
      <c r="B8506" t="s">
        <v>40</v>
      </c>
      <c r="C8506">
        <v>0.01</v>
      </c>
    </row>
    <row r="8507" spans="1:3" x14ac:dyDescent="0.3">
      <c r="A8507" t="s">
        <v>9350</v>
      </c>
      <c r="B8507" t="s">
        <v>40</v>
      </c>
      <c r="C8507">
        <v>0.02</v>
      </c>
    </row>
    <row r="8508" spans="1:3" x14ac:dyDescent="0.3">
      <c r="A8508" t="s">
        <v>9102</v>
      </c>
      <c r="B8508" t="s">
        <v>40</v>
      </c>
      <c r="C8508">
        <v>7.0000000000000007E-2</v>
      </c>
    </row>
    <row r="8509" spans="1:3" x14ac:dyDescent="0.3">
      <c r="A8509" t="s">
        <v>8548</v>
      </c>
      <c r="B8509" t="s">
        <v>40</v>
      </c>
      <c r="C8509">
        <v>0.08</v>
      </c>
    </row>
    <row r="8510" spans="1:3" x14ac:dyDescent="0.3">
      <c r="A8510" t="s">
        <v>13030</v>
      </c>
      <c r="B8510" t="s">
        <v>64</v>
      </c>
      <c r="C8510">
        <v>0.09</v>
      </c>
    </row>
    <row r="8511" spans="1:3" x14ac:dyDescent="0.3">
      <c r="A8511" t="s">
        <v>14098</v>
      </c>
      <c r="B8511" t="s">
        <v>225</v>
      </c>
      <c r="C8511">
        <v>0</v>
      </c>
    </row>
    <row r="8512" spans="1:3" x14ac:dyDescent="0.3">
      <c r="A8512" t="s">
        <v>5183</v>
      </c>
      <c r="B8512" t="s">
        <v>87</v>
      </c>
      <c r="C8512">
        <v>0.08</v>
      </c>
    </row>
    <row r="8513" spans="1:3" x14ac:dyDescent="0.3">
      <c r="A8513" t="s">
        <v>5210</v>
      </c>
      <c r="B8513" t="s">
        <v>29</v>
      </c>
      <c r="C8513">
        <v>0.03</v>
      </c>
    </row>
    <row r="8514" spans="1:3" x14ac:dyDescent="0.3">
      <c r="A8514" t="s">
        <v>13291</v>
      </c>
      <c r="B8514" t="s">
        <v>29</v>
      </c>
      <c r="C8514">
        <v>0.04</v>
      </c>
    </row>
    <row r="8515" spans="1:3" x14ac:dyDescent="0.3">
      <c r="A8515" t="s">
        <v>13291</v>
      </c>
      <c r="B8515" t="s">
        <v>29</v>
      </c>
      <c r="C8515">
        <v>0.1</v>
      </c>
    </row>
    <row r="8516" spans="1:3" x14ac:dyDescent="0.3">
      <c r="A8516" t="s">
        <v>14371</v>
      </c>
      <c r="B8516" t="s">
        <v>64</v>
      </c>
      <c r="C8516">
        <v>0</v>
      </c>
    </row>
    <row r="8517" spans="1:3" x14ac:dyDescent="0.3">
      <c r="A8517" t="s">
        <v>14371</v>
      </c>
      <c r="B8517" t="s">
        <v>64</v>
      </c>
      <c r="C8517">
        <v>0.04</v>
      </c>
    </row>
    <row r="8518" spans="1:3" x14ac:dyDescent="0.3">
      <c r="A8518" t="s">
        <v>14371</v>
      </c>
      <c r="B8518" t="s">
        <v>64</v>
      </c>
      <c r="C8518">
        <v>0.09</v>
      </c>
    </row>
    <row r="8519" spans="1:3" x14ac:dyDescent="0.3">
      <c r="A8519" t="s">
        <v>12636</v>
      </c>
      <c r="B8519" t="s">
        <v>64</v>
      </c>
      <c r="C8519">
        <v>0.03</v>
      </c>
    </row>
    <row r="8520" spans="1:3" x14ac:dyDescent="0.3">
      <c r="A8520" t="s">
        <v>12636</v>
      </c>
      <c r="B8520" t="s">
        <v>64</v>
      </c>
      <c r="C8520">
        <v>0.04</v>
      </c>
    </row>
    <row r="8521" spans="1:3" x14ac:dyDescent="0.3">
      <c r="A8521" t="s">
        <v>5225</v>
      </c>
      <c r="B8521" t="s">
        <v>40</v>
      </c>
      <c r="C8521">
        <v>0.04</v>
      </c>
    </row>
    <row r="8522" spans="1:3" x14ac:dyDescent="0.3">
      <c r="A8522" t="s">
        <v>12039</v>
      </c>
      <c r="B8522" t="s">
        <v>40</v>
      </c>
      <c r="C8522">
        <v>0</v>
      </c>
    </row>
    <row r="8523" spans="1:3" x14ac:dyDescent="0.3">
      <c r="A8523" t="s">
        <v>12039</v>
      </c>
      <c r="B8523" t="s">
        <v>40</v>
      </c>
      <c r="C8523">
        <v>0.06</v>
      </c>
    </row>
    <row r="8524" spans="1:3" x14ac:dyDescent="0.3">
      <c r="A8524" t="s">
        <v>12039</v>
      </c>
      <c r="B8524" t="s">
        <v>40</v>
      </c>
      <c r="C8524">
        <v>7.0000000000000007E-2</v>
      </c>
    </row>
    <row r="8525" spans="1:3" x14ac:dyDescent="0.3">
      <c r="A8525" t="s">
        <v>13681</v>
      </c>
      <c r="B8525" t="s">
        <v>29</v>
      </c>
      <c r="C8525">
        <v>0.01</v>
      </c>
    </row>
    <row r="8526" spans="1:3" x14ac:dyDescent="0.3">
      <c r="A8526" t="s">
        <v>13681</v>
      </c>
      <c r="B8526" t="s">
        <v>29</v>
      </c>
      <c r="C8526">
        <v>0.03</v>
      </c>
    </row>
    <row r="8527" spans="1:3" x14ac:dyDescent="0.3">
      <c r="A8527" t="s">
        <v>13681</v>
      </c>
      <c r="B8527" t="s">
        <v>29</v>
      </c>
      <c r="C8527">
        <v>0.06</v>
      </c>
    </row>
    <row r="8528" spans="1:3" x14ac:dyDescent="0.3">
      <c r="A8528" t="s">
        <v>13681</v>
      </c>
      <c r="B8528" t="s">
        <v>29</v>
      </c>
      <c r="C8528">
        <v>0.08</v>
      </c>
    </row>
    <row r="8529" spans="1:3" x14ac:dyDescent="0.3">
      <c r="A8529" t="s">
        <v>5241</v>
      </c>
      <c r="B8529" t="s">
        <v>40</v>
      </c>
      <c r="C8529">
        <v>0.02</v>
      </c>
    </row>
    <row r="8530" spans="1:3" x14ac:dyDescent="0.3">
      <c r="A8530" t="s">
        <v>5241</v>
      </c>
      <c r="B8530" t="s">
        <v>40</v>
      </c>
      <c r="C8530">
        <v>0.04</v>
      </c>
    </row>
    <row r="8531" spans="1:3" x14ac:dyDescent="0.3">
      <c r="A8531" t="s">
        <v>5241</v>
      </c>
      <c r="B8531" t="s">
        <v>87</v>
      </c>
      <c r="C8531">
        <v>7.0000000000000007E-2</v>
      </c>
    </row>
    <row r="8532" spans="1:3" x14ac:dyDescent="0.3">
      <c r="A8532" t="s">
        <v>5241</v>
      </c>
      <c r="B8532" t="s">
        <v>87</v>
      </c>
      <c r="C8532">
        <v>0.09</v>
      </c>
    </row>
    <row r="8533" spans="1:3" x14ac:dyDescent="0.3">
      <c r="A8533" t="s">
        <v>12330</v>
      </c>
      <c r="B8533" t="s">
        <v>87</v>
      </c>
      <c r="C8533">
        <v>7.0000000000000007E-2</v>
      </c>
    </row>
    <row r="8534" spans="1:3" x14ac:dyDescent="0.3">
      <c r="A8534" t="s">
        <v>12460</v>
      </c>
      <c r="B8534" t="s">
        <v>40</v>
      </c>
      <c r="C8534">
        <v>0</v>
      </c>
    </row>
    <row r="8535" spans="1:3" x14ac:dyDescent="0.3">
      <c r="A8535" t="s">
        <v>12460</v>
      </c>
      <c r="B8535" t="s">
        <v>40</v>
      </c>
      <c r="C8535">
        <v>0.09</v>
      </c>
    </row>
    <row r="8536" spans="1:3" x14ac:dyDescent="0.3">
      <c r="A8536" t="s">
        <v>5254</v>
      </c>
      <c r="B8536" t="s">
        <v>87</v>
      </c>
      <c r="C8536">
        <v>7.0000000000000007E-2</v>
      </c>
    </row>
    <row r="8537" spans="1:3" x14ac:dyDescent="0.3">
      <c r="A8537" t="s">
        <v>9966</v>
      </c>
      <c r="B8537" t="s">
        <v>87</v>
      </c>
      <c r="C8537">
        <v>0.05</v>
      </c>
    </row>
    <row r="8538" spans="1:3" x14ac:dyDescent="0.3">
      <c r="A8538" t="s">
        <v>8879</v>
      </c>
      <c r="B8538" t="s">
        <v>87</v>
      </c>
      <c r="C8538">
        <v>7.0000000000000007E-2</v>
      </c>
    </row>
    <row r="8539" spans="1:3" x14ac:dyDescent="0.3">
      <c r="A8539" t="s">
        <v>5259</v>
      </c>
      <c r="B8539" t="s">
        <v>64</v>
      </c>
      <c r="C8539">
        <v>0.03</v>
      </c>
    </row>
    <row r="8540" spans="1:3" x14ac:dyDescent="0.3">
      <c r="A8540" t="s">
        <v>12586</v>
      </c>
      <c r="B8540" t="s">
        <v>225</v>
      </c>
      <c r="C8540">
        <v>0.01</v>
      </c>
    </row>
    <row r="8541" spans="1:3" x14ac:dyDescent="0.3">
      <c r="A8541" t="s">
        <v>13727</v>
      </c>
      <c r="B8541" t="s">
        <v>40</v>
      </c>
      <c r="C8541">
        <v>0.03</v>
      </c>
    </row>
    <row r="8542" spans="1:3" x14ac:dyDescent="0.3">
      <c r="A8542" t="s">
        <v>5279</v>
      </c>
      <c r="B8542" t="s">
        <v>87</v>
      </c>
      <c r="C8542">
        <v>0</v>
      </c>
    </row>
    <row r="8543" spans="1:3" x14ac:dyDescent="0.3">
      <c r="A8543" t="s">
        <v>12479</v>
      </c>
      <c r="B8543" t="s">
        <v>87</v>
      </c>
      <c r="C8543">
        <v>0.03</v>
      </c>
    </row>
    <row r="8544" spans="1:3" x14ac:dyDescent="0.3">
      <c r="A8544" t="s">
        <v>11095</v>
      </c>
      <c r="B8544" t="s">
        <v>40</v>
      </c>
      <c r="C8544">
        <v>0</v>
      </c>
    </row>
    <row r="8545" spans="1:3" x14ac:dyDescent="0.3">
      <c r="A8545" t="s">
        <v>11095</v>
      </c>
      <c r="B8545" t="s">
        <v>40</v>
      </c>
      <c r="C8545">
        <v>0.04</v>
      </c>
    </row>
    <row r="8546" spans="1:3" x14ac:dyDescent="0.3">
      <c r="A8546" t="s">
        <v>15153</v>
      </c>
      <c r="B8546" t="s">
        <v>87</v>
      </c>
      <c r="C8546">
        <v>0.01</v>
      </c>
    </row>
    <row r="8547" spans="1:3" x14ac:dyDescent="0.3">
      <c r="A8547" t="s">
        <v>5856</v>
      </c>
      <c r="B8547" t="s">
        <v>40</v>
      </c>
      <c r="C8547">
        <v>0.02</v>
      </c>
    </row>
    <row r="8548" spans="1:3" x14ac:dyDescent="0.3">
      <c r="A8548" t="s">
        <v>5856</v>
      </c>
      <c r="B8548" t="s">
        <v>40</v>
      </c>
      <c r="C8548">
        <v>0.1</v>
      </c>
    </row>
    <row r="8549" spans="1:3" x14ac:dyDescent="0.3">
      <c r="A8549" t="s">
        <v>9617</v>
      </c>
      <c r="B8549" t="s">
        <v>40</v>
      </c>
      <c r="C8549">
        <v>0.08</v>
      </c>
    </row>
    <row r="8550" spans="1:3" x14ac:dyDescent="0.3">
      <c r="A8550" t="s">
        <v>15788</v>
      </c>
      <c r="B8550" t="s">
        <v>87</v>
      </c>
      <c r="C8550">
        <v>0.05</v>
      </c>
    </row>
    <row r="8551" spans="1:3" x14ac:dyDescent="0.3">
      <c r="A8551" t="s">
        <v>11625</v>
      </c>
      <c r="B8551" t="s">
        <v>40</v>
      </c>
      <c r="C8551">
        <v>7.0000000000000007E-2</v>
      </c>
    </row>
    <row r="8552" spans="1:3" x14ac:dyDescent="0.3">
      <c r="A8552" t="s">
        <v>12144</v>
      </c>
      <c r="B8552" t="s">
        <v>225</v>
      </c>
      <c r="C8552">
        <v>0.04</v>
      </c>
    </row>
    <row r="8553" spans="1:3" x14ac:dyDescent="0.3">
      <c r="A8553" t="s">
        <v>10072</v>
      </c>
      <c r="B8553" t="s">
        <v>29</v>
      </c>
      <c r="C8553">
        <v>0</v>
      </c>
    </row>
    <row r="8554" spans="1:3" x14ac:dyDescent="0.3">
      <c r="A8554" t="s">
        <v>10072</v>
      </c>
      <c r="B8554" t="s">
        <v>29</v>
      </c>
      <c r="C8554">
        <v>0.08</v>
      </c>
    </row>
    <row r="8555" spans="1:3" x14ac:dyDescent="0.3">
      <c r="A8555" t="s">
        <v>13601</v>
      </c>
      <c r="B8555" t="s">
        <v>29</v>
      </c>
      <c r="C8555">
        <v>0.08</v>
      </c>
    </row>
    <row r="8556" spans="1:3" x14ac:dyDescent="0.3">
      <c r="A8556" t="s">
        <v>13976</v>
      </c>
      <c r="B8556" t="s">
        <v>40</v>
      </c>
      <c r="C8556">
        <v>0.03</v>
      </c>
    </row>
    <row r="8557" spans="1:3" x14ac:dyDescent="0.3">
      <c r="A8557" t="s">
        <v>5326</v>
      </c>
      <c r="B8557" t="s">
        <v>40</v>
      </c>
      <c r="C8557">
        <v>0.08</v>
      </c>
    </row>
    <row r="8558" spans="1:3" x14ac:dyDescent="0.3">
      <c r="A8558" t="s">
        <v>5326</v>
      </c>
      <c r="B8558" t="s">
        <v>64</v>
      </c>
      <c r="C8558">
        <v>0.06</v>
      </c>
    </row>
    <row r="8559" spans="1:3" x14ac:dyDescent="0.3">
      <c r="A8559" t="s">
        <v>12522</v>
      </c>
      <c r="B8559" t="s">
        <v>87</v>
      </c>
      <c r="C8559">
        <v>0</v>
      </c>
    </row>
    <row r="8560" spans="1:3" x14ac:dyDescent="0.3">
      <c r="A8560" t="s">
        <v>12522</v>
      </c>
      <c r="B8560" t="s">
        <v>87</v>
      </c>
      <c r="C8560">
        <v>0.04</v>
      </c>
    </row>
    <row r="8561" spans="1:3" x14ac:dyDescent="0.3">
      <c r="A8561" t="s">
        <v>12522</v>
      </c>
      <c r="B8561" t="s">
        <v>87</v>
      </c>
      <c r="C8561">
        <v>0.05</v>
      </c>
    </row>
    <row r="8562" spans="1:3" x14ac:dyDescent="0.3">
      <c r="A8562" t="s">
        <v>12522</v>
      </c>
      <c r="B8562" t="s">
        <v>87</v>
      </c>
      <c r="C8562">
        <v>0.08</v>
      </c>
    </row>
    <row r="8563" spans="1:3" x14ac:dyDescent="0.3">
      <c r="A8563" t="s">
        <v>15103</v>
      </c>
      <c r="B8563" t="s">
        <v>40</v>
      </c>
      <c r="C8563">
        <v>0</v>
      </c>
    </row>
    <row r="8564" spans="1:3" x14ac:dyDescent="0.3">
      <c r="A8564" t="s">
        <v>15103</v>
      </c>
      <c r="B8564" t="s">
        <v>87</v>
      </c>
      <c r="C8564">
        <v>0.06</v>
      </c>
    </row>
    <row r="8565" spans="1:3" x14ac:dyDescent="0.3">
      <c r="A8565" t="s">
        <v>6994</v>
      </c>
      <c r="B8565" t="s">
        <v>29</v>
      </c>
      <c r="C8565">
        <v>0.09</v>
      </c>
    </row>
    <row r="8566" spans="1:3" x14ac:dyDescent="0.3">
      <c r="A8566" t="s">
        <v>6994</v>
      </c>
      <c r="B8566" t="s">
        <v>53</v>
      </c>
      <c r="C8566">
        <v>0.02</v>
      </c>
    </row>
    <row r="8567" spans="1:3" x14ac:dyDescent="0.3">
      <c r="A8567" t="s">
        <v>13152</v>
      </c>
      <c r="B8567" t="s">
        <v>29</v>
      </c>
      <c r="C8567">
        <v>0.02</v>
      </c>
    </row>
    <row r="8568" spans="1:3" x14ac:dyDescent="0.3">
      <c r="A8568" t="s">
        <v>12461</v>
      </c>
      <c r="B8568" t="s">
        <v>29</v>
      </c>
      <c r="C8568">
        <v>7.0000000000000007E-2</v>
      </c>
    </row>
    <row r="8569" spans="1:3" x14ac:dyDescent="0.3">
      <c r="A8569" t="s">
        <v>13950</v>
      </c>
      <c r="B8569" t="s">
        <v>29</v>
      </c>
      <c r="C8569">
        <v>0.09</v>
      </c>
    </row>
    <row r="8570" spans="1:3" x14ac:dyDescent="0.3">
      <c r="A8570" t="s">
        <v>8745</v>
      </c>
      <c r="B8570" t="s">
        <v>64</v>
      </c>
      <c r="C8570">
        <v>0.01</v>
      </c>
    </row>
    <row r="8571" spans="1:3" x14ac:dyDescent="0.3">
      <c r="A8571" t="s">
        <v>8745</v>
      </c>
      <c r="B8571" t="s">
        <v>53</v>
      </c>
      <c r="C8571">
        <v>0.08</v>
      </c>
    </row>
    <row r="8572" spans="1:3" x14ac:dyDescent="0.3">
      <c r="A8572" t="s">
        <v>5363</v>
      </c>
      <c r="B8572" t="s">
        <v>40</v>
      </c>
      <c r="C8572">
        <v>0.06</v>
      </c>
    </row>
    <row r="8573" spans="1:3" x14ac:dyDescent="0.3">
      <c r="A8573" t="s">
        <v>10012</v>
      </c>
      <c r="B8573" t="s">
        <v>29</v>
      </c>
      <c r="C8573">
        <v>0.1</v>
      </c>
    </row>
    <row r="8574" spans="1:3" x14ac:dyDescent="0.3">
      <c r="A8574" t="s">
        <v>5382</v>
      </c>
      <c r="B8574" t="s">
        <v>40</v>
      </c>
      <c r="C8574">
        <v>0.02</v>
      </c>
    </row>
    <row r="8575" spans="1:3" x14ac:dyDescent="0.3">
      <c r="A8575" t="s">
        <v>5382</v>
      </c>
      <c r="B8575" t="s">
        <v>40</v>
      </c>
      <c r="C8575">
        <v>7.0000000000000007E-2</v>
      </c>
    </row>
    <row r="8576" spans="1:3" x14ac:dyDescent="0.3">
      <c r="A8576" t="s">
        <v>9927</v>
      </c>
      <c r="B8576" t="s">
        <v>29</v>
      </c>
      <c r="C8576">
        <v>0.06</v>
      </c>
    </row>
    <row r="8577" spans="1:3" x14ac:dyDescent="0.3">
      <c r="A8577" t="s">
        <v>9927</v>
      </c>
      <c r="B8577" t="s">
        <v>53</v>
      </c>
      <c r="C8577">
        <v>0.02</v>
      </c>
    </row>
    <row r="8578" spans="1:3" x14ac:dyDescent="0.3">
      <c r="A8578" t="s">
        <v>9927</v>
      </c>
      <c r="B8578" t="s">
        <v>53</v>
      </c>
      <c r="C8578">
        <v>0.03</v>
      </c>
    </row>
    <row r="8579" spans="1:3" x14ac:dyDescent="0.3">
      <c r="A8579" t="s">
        <v>6738</v>
      </c>
      <c r="B8579" t="s">
        <v>29</v>
      </c>
      <c r="C8579">
        <v>0.03</v>
      </c>
    </row>
    <row r="8580" spans="1:3" x14ac:dyDescent="0.3">
      <c r="A8580" t="s">
        <v>5437</v>
      </c>
      <c r="B8580" t="s">
        <v>40</v>
      </c>
      <c r="C8580">
        <v>0.03</v>
      </c>
    </row>
    <row r="8581" spans="1:3" x14ac:dyDescent="0.3">
      <c r="A8581" t="s">
        <v>5437</v>
      </c>
      <c r="B8581" t="s">
        <v>40</v>
      </c>
      <c r="C8581">
        <v>0.08</v>
      </c>
    </row>
    <row r="8582" spans="1:3" x14ac:dyDescent="0.3">
      <c r="A8582" t="s">
        <v>5437</v>
      </c>
      <c r="B8582" t="s">
        <v>40</v>
      </c>
      <c r="C8582">
        <v>0.1</v>
      </c>
    </row>
    <row r="8583" spans="1:3" x14ac:dyDescent="0.3">
      <c r="A8583" t="s">
        <v>14733</v>
      </c>
      <c r="B8583" t="s">
        <v>225</v>
      </c>
      <c r="C8583">
        <v>7.0000000000000007E-2</v>
      </c>
    </row>
    <row r="8584" spans="1:3" x14ac:dyDescent="0.3">
      <c r="A8584" t="s">
        <v>10841</v>
      </c>
      <c r="B8584" t="s">
        <v>225</v>
      </c>
      <c r="C8584">
        <v>0.05</v>
      </c>
    </row>
    <row r="8585" spans="1:3" x14ac:dyDescent="0.3">
      <c r="A8585" t="s">
        <v>6855</v>
      </c>
      <c r="B8585" t="s">
        <v>87</v>
      </c>
      <c r="C8585">
        <v>0.01</v>
      </c>
    </row>
    <row r="8586" spans="1:3" x14ac:dyDescent="0.3">
      <c r="A8586" t="s">
        <v>14618</v>
      </c>
      <c r="B8586" t="s">
        <v>53</v>
      </c>
      <c r="C8586">
        <v>0.03</v>
      </c>
    </row>
    <row r="8587" spans="1:3" x14ac:dyDescent="0.3">
      <c r="A8587" t="s">
        <v>11279</v>
      </c>
      <c r="B8587" t="s">
        <v>87</v>
      </c>
      <c r="C8587">
        <v>0.09</v>
      </c>
    </row>
    <row r="8588" spans="1:3" x14ac:dyDescent="0.3">
      <c r="A8588" t="s">
        <v>10521</v>
      </c>
      <c r="B8588" t="s">
        <v>87</v>
      </c>
      <c r="C8588">
        <v>0.08</v>
      </c>
    </row>
    <row r="8589" spans="1:3" x14ac:dyDescent="0.3">
      <c r="A8589" t="s">
        <v>10521</v>
      </c>
      <c r="B8589" t="s">
        <v>87</v>
      </c>
      <c r="C8589">
        <v>0.09</v>
      </c>
    </row>
    <row r="8590" spans="1:3" x14ac:dyDescent="0.3">
      <c r="A8590" t="s">
        <v>14272</v>
      </c>
      <c r="B8590" t="s">
        <v>225</v>
      </c>
      <c r="C8590">
        <v>0.05</v>
      </c>
    </row>
    <row r="8591" spans="1:3" x14ac:dyDescent="0.3">
      <c r="A8591" t="s">
        <v>6195</v>
      </c>
      <c r="B8591" t="s">
        <v>29</v>
      </c>
      <c r="C8591">
        <v>0.09</v>
      </c>
    </row>
    <row r="8592" spans="1:3" x14ac:dyDescent="0.3">
      <c r="A8592" t="s">
        <v>10907</v>
      </c>
      <c r="B8592" t="s">
        <v>87</v>
      </c>
      <c r="C8592">
        <v>0.05</v>
      </c>
    </row>
    <row r="8593" spans="1:3" x14ac:dyDescent="0.3">
      <c r="A8593" t="s">
        <v>13053</v>
      </c>
      <c r="B8593" t="s">
        <v>87</v>
      </c>
      <c r="C8593">
        <v>0.04</v>
      </c>
    </row>
    <row r="8594" spans="1:3" x14ac:dyDescent="0.3">
      <c r="A8594" t="s">
        <v>13053</v>
      </c>
      <c r="B8594" t="s">
        <v>87</v>
      </c>
      <c r="C8594">
        <v>0.09</v>
      </c>
    </row>
    <row r="8595" spans="1:3" x14ac:dyDescent="0.3">
      <c r="A8595" t="s">
        <v>15078</v>
      </c>
      <c r="B8595" t="s">
        <v>87</v>
      </c>
      <c r="C8595">
        <v>0.01</v>
      </c>
    </row>
    <row r="8596" spans="1:3" x14ac:dyDescent="0.3">
      <c r="A8596" t="s">
        <v>9541</v>
      </c>
      <c r="B8596" t="s">
        <v>87</v>
      </c>
      <c r="C8596">
        <v>0.01</v>
      </c>
    </row>
    <row r="8597" spans="1:3" x14ac:dyDescent="0.3">
      <c r="A8597" t="s">
        <v>6804</v>
      </c>
      <c r="B8597" t="s">
        <v>87</v>
      </c>
      <c r="C8597">
        <v>0.02</v>
      </c>
    </row>
    <row r="8598" spans="1:3" x14ac:dyDescent="0.3">
      <c r="A8598" t="s">
        <v>7033</v>
      </c>
      <c r="B8598" t="s">
        <v>40</v>
      </c>
      <c r="C8598">
        <v>0.03</v>
      </c>
    </row>
    <row r="8599" spans="1:3" x14ac:dyDescent="0.3">
      <c r="A8599" t="s">
        <v>7033</v>
      </c>
      <c r="B8599" t="s">
        <v>29</v>
      </c>
      <c r="C8599">
        <v>0</v>
      </c>
    </row>
    <row r="8600" spans="1:3" x14ac:dyDescent="0.3">
      <c r="A8600" t="s">
        <v>7033</v>
      </c>
      <c r="B8600" t="s">
        <v>87</v>
      </c>
      <c r="C8600">
        <v>0.01</v>
      </c>
    </row>
    <row r="8601" spans="1:3" x14ac:dyDescent="0.3">
      <c r="A8601" t="s">
        <v>12236</v>
      </c>
      <c r="B8601" t="s">
        <v>40</v>
      </c>
      <c r="C8601">
        <v>0.04</v>
      </c>
    </row>
    <row r="8602" spans="1:3" x14ac:dyDescent="0.3">
      <c r="A8602" t="s">
        <v>12236</v>
      </c>
      <c r="B8602" t="s">
        <v>87</v>
      </c>
      <c r="C8602">
        <v>0.09</v>
      </c>
    </row>
    <row r="8603" spans="1:3" x14ac:dyDescent="0.3">
      <c r="A8603" t="s">
        <v>5533</v>
      </c>
      <c r="B8603" t="s">
        <v>40</v>
      </c>
      <c r="C8603">
        <v>7.0000000000000007E-2</v>
      </c>
    </row>
    <row r="8604" spans="1:3" x14ac:dyDescent="0.3">
      <c r="A8604" t="s">
        <v>10800</v>
      </c>
      <c r="B8604" t="s">
        <v>29</v>
      </c>
      <c r="C8604">
        <v>0.03</v>
      </c>
    </row>
    <row r="8605" spans="1:3" x14ac:dyDescent="0.3">
      <c r="A8605" t="s">
        <v>13784</v>
      </c>
      <c r="B8605" t="s">
        <v>29</v>
      </c>
      <c r="C8605">
        <v>0.09</v>
      </c>
    </row>
    <row r="8606" spans="1:3" x14ac:dyDescent="0.3">
      <c r="A8606" t="s">
        <v>12749</v>
      </c>
      <c r="B8606" t="s">
        <v>87</v>
      </c>
      <c r="C8606">
        <v>0.1</v>
      </c>
    </row>
    <row r="8607" spans="1:3" x14ac:dyDescent="0.3">
      <c r="A8607" t="s">
        <v>14892</v>
      </c>
      <c r="B8607" t="s">
        <v>87</v>
      </c>
      <c r="C8607">
        <v>0.06</v>
      </c>
    </row>
    <row r="8608" spans="1:3" x14ac:dyDescent="0.3">
      <c r="A8608" t="s">
        <v>10781</v>
      </c>
      <c r="B8608" t="s">
        <v>87</v>
      </c>
      <c r="C8608">
        <v>7.0000000000000007E-2</v>
      </c>
    </row>
    <row r="8609" spans="1:3" x14ac:dyDescent="0.3">
      <c r="A8609" t="s">
        <v>15477</v>
      </c>
      <c r="B8609" t="s">
        <v>87</v>
      </c>
      <c r="C8609">
        <v>0</v>
      </c>
    </row>
    <row r="8610" spans="1:3" x14ac:dyDescent="0.3">
      <c r="A8610" t="s">
        <v>13666</v>
      </c>
      <c r="B8610" t="s">
        <v>225</v>
      </c>
      <c r="C8610">
        <v>0.05</v>
      </c>
    </row>
    <row r="8611" spans="1:3" x14ac:dyDescent="0.3">
      <c r="A8611" t="s">
        <v>14909</v>
      </c>
      <c r="B8611" t="s">
        <v>40</v>
      </c>
      <c r="C8611">
        <v>0.08</v>
      </c>
    </row>
    <row r="8612" spans="1:3" x14ac:dyDescent="0.3">
      <c r="A8612" t="s">
        <v>15252</v>
      </c>
      <c r="B8612" t="s">
        <v>40</v>
      </c>
      <c r="C8612">
        <v>0.08</v>
      </c>
    </row>
    <row r="8613" spans="1:3" x14ac:dyDescent="0.3">
      <c r="A8613" t="s">
        <v>15471</v>
      </c>
      <c r="B8613" t="s">
        <v>29</v>
      </c>
      <c r="C8613">
        <v>0.02</v>
      </c>
    </row>
    <row r="8614" spans="1:3" x14ac:dyDescent="0.3">
      <c r="A8614" t="s">
        <v>8101</v>
      </c>
      <c r="B8614" t="s">
        <v>64</v>
      </c>
      <c r="C8614">
        <v>0.01</v>
      </c>
    </row>
    <row r="8615" spans="1:3" x14ac:dyDescent="0.3">
      <c r="A8615" t="s">
        <v>8101</v>
      </c>
      <c r="B8615" t="s">
        <v>64</v>
      </c>
      <c r="C8615">
        <v>0.04</v>
      </c>
    </row>
    <row r="8616" spans="1:3" x14ac:dyDescent="0.3">
      <c r="A8616" t="s">
        <v>8101</v>
      </c>
      <c r="B8616" t="s">
        <v>29</v>
      </c>
      <c r="C8616">
        <v>7.0000000000000007E-2</v>
      </c>
    </row>
    <row r="8617" spans="1:3" x14ac:dyDescent="0.3">
      <c r="A8617" t="s">
        <v>8101</v>
      </c>
      <c r="B8617" t="s">
        <v>29</v>
      </c>
      <c r="C8617">
        <v>0.1</v>
      </c>
    </row>
    <row r="8618" spans="1:3" x14ac:dyDescent="0.3">
      <c r="A8618" t="s">
        <v>7011</v>
      </c>
      <c r="B8618" t="s">
        <v>64</v>
      </c>
      <c r="C8618">
        <v>0</v>
      </c>
    </row>
    <row r="8619" spans="1:3" x14ac:dyDescent="0.3">
      <c r="A8619" t="s">
        <v>7011</v>
      </c>
      <c r="B8619" t="s">
        <v>64</v>
      </c>
      <c r="C8619">
        <v>0.02</v>
      </c>
    </row>
    <row r="8620" spans="1:3" x14ac:dyDescent="0.3">
      <c r="A8620" t="s">
        <v>14091</v>
      </c>
      <c r="B8620" t="s">
        <v>40</v>
      </c>
      <c r="C8620">
        <v>7.0000000000000007E-2</v>
      </c>
    </row>
    <row r="8621" spans="1:3" x14ac:dyDescent="0.3">
      <c r="A8621" t="s">
        <v>14091</v>
      </c>
      <c r="B8621" t="s">
        <v>40</v>
      </c>
      <c r="C8621">
        <v>0.1</v>
      </c>
    </row>
    <row r="8622" spans="1:3" x14ac:dyDescent="0.3">
      <c r="A8622" t="s">
        <v>7150</v>
      </c>
      <c r="B8622" t="s">
        <v>64</v>
      </c>
      <c r="C8622">
        <v>0.09</v>
      </c>
    </row>
    <row r="8623" spans="1:3" x14ac:dyDescent="0.3">
      <c r="A8623" t="s">
        <v>13257</v>
      </c>
      <c r="B8623" t="s">
        <v>64</v>
      </c>
      <c r="C8623">
        <v>0.08</v>
      </c>
    </row>
    <row r="8624" spans="1:3" x14ac:dyDescent="0.3">
      <c r="A8624" t="s">
        <v>7058</v>
      </c>
      <c r="B8624" t="s">
        <v>64</v>
      </c>
      <c r="C8624">
        <v>0.05</v>
      </c>
    </row>
    <row r="8625" spans="1:3" x14ac:dyDescent="0.3">
      <c r="A8625" t="s">
        <v>5611</v>
      </c>
      <c r="B8625" t="s">
        <v>64</v>
      </c>
      <c r="C8625">
        <v>0.01</v>
      </c>
    </row>
    <row r="8626" spans="1:3" x14ac:dyDescent="0.3">
      <c r="A8626" t="s">
        <v>13223</v>
      </c>
      <c r="B8626" t="s">
        <v>64</v>
      </c>
      <c r="C8626">
        <v>0</v>
      </c>
    </row>
    <row r="8627" spans="1:3" x14ac:dyDescent="0.3">
      <c r="A8627" t="s">
        <v>15754</v>
      </c>
      <c r="B8627" t="s">
        <v>53</v>
      </c>
      <c r="C8627">
        <v>0.06</v>
      </c>
    </row>
    <row r="8628" spans="1:3" x14ac:dyDescent="0.3">
      <c r="A8628" t="s">
        <v>10086</v>
      </c>
      <c r="B8628" t="s">
        <v>53</v>
      </c>
      <c r="C8628">
        <v>0.05</v>
      </c>
    </row>
    <row r="8629" spans="1:3" x14ac:dyDescent="0.3">
      <c r="A8629" t="s">
        <v>15773</v>
      </c>
      <c r="B8629" t="s">
        <v>64</v>
      </c>
      <c r="C8629">
        <v>7.0000000000000007E-2</v>
      </c>
    </row>
    <row r="8630" spans="1:3" x14ac:dyDescent="0.3">
      <c r="A8630" t="s">
        <v>14926</v>
      </c>
      <c r="B8630" t="s">
        <v>64</v>
      </c>
      <c r="C8630">
        <v>0.05</v>
      </c>
    </row>
    <row r="8631" spans="1:3" x14ac:dyDescent="0.3">
      <c r="A8631" t="s">
        <v>14926</v>
      </c>
      <c r="B8631" t="s">
        <v>64</v>
      </c>
      <c r="C8631">
        <v>0.06</v>
      </c>
    </row>
    <row r="8632" spans="1:3" x14ac:dyDescent="0.3">
      <c r="A8632" t="s">
        <v>9780</v>
      </c>
      <c r="B8632" t="s">
        <v>40</v>
      </c>
      <c r="C8632">
        <v>0.04</v>
      </c>
    </row>
    <row r="8633" spans="1:3" x14ac:dyDescent="0.3">
      <c r="A8633" t="s">
        <v>9780</v>
      </c>
      <c r="B8633" t="s">
        <v>40</v>
      </c>
      <c r="C8633">
        <v>0.1</v>
      </c>
    </row>
    <row r="8634" spans="1:3" x14ac:dyDescent="0.3">
      <c r="A8634" t="s">
        <v>14389</v>
      </c>
      <c r="B8634" t="s">
        <v>53</v>
      </c>
      <c r="C8634">
        <v>0</v>
      </c>
    </row>
    <row r="8635" spans="1:3" x14ac:dyDescent="0.3">
      <c r="A8635" t="s">
        <v>14256</v>
      </c>
      <c r="B8635" t="s">
        <v>53</v>
      </c>
      <c r="C8635">
        <v>0</v>
      </c>
    </row>
    <row r="8636" spans="1:3" x14ac:dyDescent="0.3">
      <c r="A8636" t="s">
        <v>5692</v>
      </c>
      <c r="B8636" t="s">
        <v>29</v>
      </c>
      <c r="C8636">
        <v>0</v>
      </c>
    </row>
    <row r="8637" spans="1:3" x14ac:dyDescent="0.3">
      <c r="A8637" t="s">
        <v>5692</v>
      </c>
      <c r="B8637" t="s">
        <v>29</v>
      </c>
      <c r="C8637">
        <v>0.02</v>
      </c>
    </row>
    <row r="8638" spans="1:3" x14ac:dyDescent="0.3">
      <c r="A8638" t="s">
        <v>5692</v>
      </c>
      <c r="B8638" t="s">
        <v>29</v>
      </c>
      <c r="C8638">
        <v>0.08</v>
      </c>
    </row>
    <row r="8639" spans="1:3" x14ac:dyDescent="0.3">
      <c r="A8639" t="s">
        <v>12134</v>
      </c>
      <c r="B8639" t="s">
        <v>87</v>
      </c>
      <c r="C8639">
        <v>0</v>
      </c>
    </row>
    <row r="8640" spans="1:3" x14ac:dyDescent="0.3">
      <c r="A8640" t="s">
        <v>12134</v>
      </c>
      <c r="B8640" t="s">
        <v>87</v>
      </c>
      <c r="C8640">
        <v>0.06</v>
      </c>
    </row>
    <row r="8641" spans="1:3" x14ac:dyDescent="0.3">
      <c r="A8641" t="s">
        <v>11714</v>
      </c>
      <c r="B8641" t="s">
        <v>87</v>
      </c>
      <c r="C8641">
        <v>0.09</v>
      </c>
    </row>
    <row r="8642" spans="1:3" x14ac:dyDescent="0.3">
      <c r="A8642" t="s">
        <v>14046</v>
      </c>
      <c r="B8642" t="s">
        <v>87</v>
      </c>
      <c r="C8642">
        <v>0.09</v>
      </c>
    </row>
    <row r="8643" spans="1:3" x14ac:dyDescent="0.3">
      <c r="A8643" t="s">
        <v>6465</v>
      </c>
      <c r="B8643" t="s">
        <v>29</v>
      </c>
      <c r="C8643">
        <v>0.01</v>
      </c>
    </row>
    <row r="8644" spans="1:3" x14ac:dyDescent="0.3">
      <c r="A8644" t="s">
        <v>10706</v>
      </c>
      <c r="B8644" t="s">
        <v>64</v>
      </c>
      <c r="C8644">
        <v>0.01</v>
      </c>
    </row>
    <row r="8645" spans="1:3" x14ac:dyDescent="0.3">
      <c r="A8645" t="s">
        <v>13528</v>
      </c>
      <c r="B8645" t="s">
        <v>29</v>
      </c>
      <c r="C8645">
        <v>0.08</v>
      </c>
    </row>
    <row r="8646" spans="1:3" x14ac:dyDescent="0.3">
      <c r="A8646" t="s">
        <v>10754</v>
      </c>
      <c r="B8646" t="s">
        <v>64</v>
      </c>
      <c r="C8646">
        <v>7.0000000000000007E-2</v>
      </c>
    </row>
    <row r="8647" spans="1:3" x14ac:dyDescent="0.3">
      <c r="A8647" t="s">
        <v>12213</v>
      </c>
      <c r="B8647" t="s">
        <v>225</v>
      </c>
      <c r="C8647">
        <v>0.06</v>
      </c>
    </row>
    <row r="8648" spans="1:3" x14ac:dyDescent="0.3">
      <c r="A8648" t="s">
        <v>11458</v>
      </c>
      <c r="B8648" t="s">
        <v>40</v>
      </c>
      <c r="C8648">
        <v>0.1</v>
      </c>
    </row>
    <row r="8649" spans="1:3" x14ac:dyDescent="0.3">
      <c r="A8649" t="s">
        <v>13832</v>
      </c>
      <c r="B8649" t="s">
        <v>64</v>
      </c>
      <c r="C8649">
        <v>0.06</v>
      </c>
    </row>
    <row r="8650" spans="1:3" x14ac:dyDescent="0.3">
      <c r="A8650" t="s">
        <v>13832</v>
      </c>
      <c r="B8650" t="s">
        <v>29</v>
      </c>
      <c r="C8650">
        <v>0</v>
      </c>
    </row>
    <row r="8651" spans="1:3" x14ac:dyDescent="0.3">
      <c r="A8651" t="s">
        <v>13832</v>
      </c>
      <c r="B8651" t="s">
        <v>29</v>
      </c>
      <c r="C8651">
        <v>0.06</v>
      </c>
    </row>
    <row r="8652" spans="1:3" x14ac:dyDescent="0.3">
      <c r="A8652" t="s">
        <v>13318</v>
      </c>
      <c r="B8652" t="s">
        <v>64</v>
      </c>
      <c r="C8652">
        <v>0.02</v>
      </c>
    </row>
    <row r="8653" spans="1:3" x14ac:dyDescent="0.3">
      <c r="A8653" t="s">
        <v>9605</v>
      </c>
      <c r="B8653" t="s">
        <v>64</v>
      </c>
      <c r="C8653">
        <v>0.02</v>
      </c>
    </row>
    <row r="8654" spans="1:3" x14ac:dyDescent="0.3">
      <c r="A8654" t="s">
        <v>8769</v>
      </c>
      <c r="B8654" t="s">
        <v>64</v>
      </c>
      <c r="C8654">
        <v>0</v>
      </c>
    </row>
    <row r="8655" spans="1:3" x14ac:dyDescent="0.3">
      <c r="A8655" t="s">
        <v>12395</v>
      </c>
      <c r="B8655" t="s">
        <v>64</v>
      </c>
      <c r="C8655">
        <v>0.08</v>
      </c>
    </row>
    <row r="8656" spans="1:3" x14ac:dyDescent="0.3">
      <c r="A8656" t="s">
        <v>8542</v>
      </c>
      <c r="B8656" t="s">
        <v>53</v>
      </c>
      <c r="C8656">
        <v>0.01</v>
      </c>
    </row>
    <row r="8657" spans="1:3" x14ac:dyDescent="0.3">
      <c r="A8657" t="s">
        <v>8542</v>
      </c>
      <c r="B8657" t="s">
        <v>53</v>
      </c>
      <c r="C8657">
        <v>0.1</v>
      </c>
    </row>
    <row r="8658" spans="1:3" x14ac:dyDescent="0.3">
      <c r="A8658" t="s">
        <v>14803</v>
      </c>
      <c r="B8658" t="s">
        <v>29</v>
      </c>
      <c r="C8658">
        <v>0.05</v>
      </c>
    </row>
    <row r="8659" spans="1:3" x14ac:dyDescent="0.3">
      <c r="A8659" t="s">
        <v>14759</v>
      </c>
      <c r="B8659" t="s">
        <v>87</v>
      </c>
      <c r="C8659">
        <v>0.05</v>
      </c>
    </row>
    <row r="8660" spans="1:3" x14ac:dyDescent="0.3">
      <c r="A8660" t="s">
        <v>14759</v>
      </c>
      <c r="B8660" t="s">
        <v>87</v>
      </c>
      <c r="C8660">
        <v>0.09</v>
      </c>
    </row>
    <row r="8661" spans="1:3" x14ac:dyDescent="0.3">
      <c r="A8661" t="s">
        <v>11441</v>
      </c>
      <c r="B8661" t="s">
        <v>87</v>
      </c>
      <c r="C8661">
        <v>0.05</v>
      </c>
    </row>
    <row r="8662" spans="1:3" x14ac:dyDescent="0.3">
      <c r="A8662" t="s">
        <v>8004</v>
      </c>
      <c r="B8662" t="s">
        <v>64</v>
      </c>
      <c r="C8662">
        <v>7.0000000000000007E-2</v>
      </c>
    </row>
    <row r="8663" spans="1:3" x14ac:dyDescent="0.3">
      <c r="A8663" t="s">
        <v>15260</v>
      </c>
      <c r="B8663" t="s">
        <v>40</v>
      </c>
      <c r="C8663">
        <v>0.02</v>
      </c>
    </row>
    <row r="8664" spans="1:3" x14ac:dyDescent="0.3">
      <c r="A8664" t="s">
        <v>15260</v>
      </c>
      <c r="B8664" t="s">
        <v>40</v>
      </c>
      <c r="C8664">
        <v>0.08</v>
      </c>
    </row>
    <row r="8665" spans="1:3" x14ac:dyDescent="0.3">
      <c r="A8665" t="s">
        <v>15260</v>
      </c>
      <c r="B8665" t="s">
        <v>87</v>
      </c>
      <c r="C8665">
        <v>0.08</v>
      </c>
    </row>
    <row r="8666" spans="1:3" x14ac:dyDescent="0.3">
      <c r="A8666" t="s">
        <v>6088</v>
      </c>
      <c r="B8666" t="s">
        <v>40</v>
      </c>
      <c r="C8666">
        <v>0.06</v>
      </c>
    </row>
    <row r="8667" spans="1:3" x14ac:dyDescent="0.3">
      <c r="A8667" t="s">
        <v>15791</v>
      </c>
      <c r="B8667" t="s">
        <v>87</v>
      </c>
      <c r="C8667">
        <v>0.05</v>
      </c>
    </row>
    <row r="8668" spans="1:3" x14ac:dyDescent="0.3">
      <c r="A8668" t="s">
        <v>15791</v>
      </c>
      <c r="B8668" t="s">
        <v>87</v>
      </c>
      <c r="C8668">
        <v>0.1</v>
      </c>
    </row>
    <row r="8669" spans="1:3" x14ac:dyDescent="0.3">
      <c r="A8669" t="s">
        <v>11876</v>
      </c>
      <c r="B8669" t="s">
        <v>29</v>
      </c>
      <c r="C8669">
        <v>7.0000000000000007E-2</v>
      </c>
    </row>
    <row r="8670" spans="1:3" x14ac:dyDescent="0.3">
      <c r="A8670" t="s">
        <v>5926</v>
      </c>
      <c r="B8670" t="s">
        <v>29</v>
      </c>
      <c r="C8670">
        <v>0.03</v>
      </c>
    </row>
    <row r="8671" spans="1:3" x14ac:dyDescent="0.3">
      <c r="A8671" t="s">
        <v>6466</v>
      </c>
      <c r="B8671" t="s">
        <v>29</v>
      </c>
      <c r="C8671">
        <v>0.03</v>
      </c>
    </row>
    <row r="8672" spans="1:3" x14ac:dyDescent="0.3">
      <c r="A8672" t="s">
        <v>8428</v>
      </c>
      <c r="B8672" t="s">
        <v>64</v>
      </c>
      <c r="C8672">
        <v>0.02</v>
      </c>
    </row>
    <row r="8673" spans="1:3" x14ac:dyDescent="0.3">
      <c r="A8673" t="s">
        <v>8428</v>
      </c>
      <c r="B8673" t="s">
        <v>64</v>
      </c>
      <c r="C8673">
        <v>0.09</v>
      </c>
    </row>
    <row r="8674" spans="1:3" x14ac:dyDescent="0.3">
      <c r="A8674" t="s">
        <v>5930</v>
      </c>
      <c r="B8674" t="s">
        <v>87</v>
      </c>
      <c r="C8674">
        <v>7.0000000000000007E-2</v>
      </c>
    </row>
    <row r="8675" spans="1:3" x14ac:dyDescent="0.3">
      <c r="A8675" t="s">
        <v>10789</v>
      </c>
      <c r="B8675" t="s">
        <v>40</v>
      </c>
      <c r="C8675">
        <v>0.06</v>
      </c>
    </row>
    <row r="8676" spans="1:3" x14ac:dyDescent="0.3">
      <c r="A8676" t="s">
        <v>11928</v>
      </c>
      <c r="B8676" t="s">
        <v>40</v>
      </c>
      <c r="C8676">
        <v>0</v>
      </c>
    </row>
    <row r="8677" spans="1:3" x14ac:dyDescent="0.3">
      <c r="A8677" t="s">
        <v>11928</v>
      </c>
      <c r="B8677" t="s">
        <v>40</v>
      </c>
      <c r="C8677">
        <v>0.09</v>
      </c>
    </row>
    <row r="8678" spans="1:3" x14ac:dyDescent="0.3">
      <c r="A8678" t="s">
        <v>15082</v>
      </c>
      <c r="B8678" t="s">
        <v>64</v>
      </c>
      <c r="C8678">
        <v>0.08</v>
      </c>
    </row>
    <row r="8679" spans="1:3" x14ac:dyDescent="0.3">
      <c r="A8679" t="s">
        <v>8703</v>
      </c>
      <c r="B8679" t="s">
        <v>87</v>
      </c>
      <c r="C8679">
        <v>0.1</v>
      </c>
    </row>
    <row r="8680" spans="1:3" x14ac:dyDescent="0.3">
      <c r="A8680" t="s">
        <v>6939</v>
      </c>
      <c r="B8680" t="s">
        <v>29</v>
      </c>
      <c r="C8680">
        <v>7.0000000000000007E-2</v>
      </c>
    </row>
    <row r="8681" spans="1:3" x14ac:dyDescent="0.3">
      <c r="A8681" t="s">
        <v>6939</v>
      </c>
      <c r="B8681" t="s">
        <v>29</v>
      </c>
      <c r="C8681">
        <v>0.1</v>
      </c>
    </row>
    <row r="8682" spans="1:3" x14ac:dyDescent="0.3">
      <c r="A8682" t="s">
        <v>12662</v>
      </c>
      <c r="B8682" t="s">
        <v>53</v>
      </c>
      <c r="C8682">
        <v>0.03</v>
      </c>
    </row>
    <row r="8683" spans="1:3" x14ac:dyDescent="0.3">
      <c r="A8683" t="s">
        <v>12662</v>
      </c>
      <c r="B8683" t="s">
        <v>53</v>
      </c>
      <c r="C8683">
        <v>0.06</v>
      </c>
    </row>
    <row r="8684" spans="1:3" x14ac:dyDescent="0.3">
      <c r="A8684" t="s">
        <v>13284</v>
      </c>
      <c r="B8684" t="s">
        <v>53</v>
      </c>
      <c r="C8684">
        <v>0.1</v>
      </c>
    </row>
    <row r="8685" spans="1:3" x14ac:dyDescent="0.3">
      <c r="A8685" t="s">
        <v>9811</v>
      </c>
      <c r="B8685" t="s">
        <v>40</v>
      </c>
      <c r="C8685">
        <v>0.1</v>
      </c>
    </row>
    <row r="8686" spans="1:3" x14ac:dyDescent="0.3">
      <c r="A8686" t="s">
        <v>15371</v>
      </c>
      <c r="B8686" t="s">
        <v>64</v>
      </c>
      <c r="C8686">
        <v>7.0000000000000007E-2</v>
      </c>
    </row>
    <row r="8687" spans="1:3" x14ac:dyDescent="0.3">
      <c r="A8687" t="s">
        <v>15331</v>
      </c>
      <c r="B8687" t="s">
        <v>87</v>
      </c>
      <c r="C8687">
        <v>0</v>
      </c>
    </row>
    <row r="8688" spans="1:3" x14ac:dyDescent="0.3">
      <c r="A8688" t="s">
        <v>15331</v>
      </c>
      <c r="B8688" t="s">
        <v>87</v>
      </c>
      <c r="C8688">
        <v>0.05</v>
      </c>
    </row>
    <row r="8689" spans="1:3" x14ac:dyDescent="0.3">
      <c r="A8689" t="s">
        <v>13451</v>
      </c>
      <c r="B8689" t="s">
        <v>87</v>
      </c>
      <c r="C8689">
        <v>0.04</v>
      </c>
    </row>
    <row r="8690" spans="1:3" x14ac:dyDescent="0.3">
      <c r="A8690" t="s">
        <v>10449</v>
      </c>
      <c r="B8690" t="s">
        <v>87</v>
      </c>
      <c r="C8690">
        <v>0.02</v>
      </c>
    </row>
    <row r="8691" spans="1:3" x14ac:dyDescent="0.3">
      <c r="A8691" t="s">
        <v>10449</v>
      </c>
      <c r="B8691" t="s">
        <v>87</v>
      </c>
      <c r="C8691">
        <v>0.06</v>
      </c>
    </row>
    <row r="8692" spans="1:3" x14ac:dyDescent="0.3">
      <c r="A8692" t="s">
        <v>9459</v>
      </c>
      <c r="B8692" t="s">
        <v>87</v>
      </c>
      <c r="C8692">
        <v>0</v>
      </c>
    </row>
    <row r="8693" spans="1:3" x14ac:dyDescent="0.3">
      <c r="A8693" t="s">
        <v>9459</v>
      </c>
      <c r="B8693" t="s">
        <v>87</v>
      </c>
      <c r="C8693">
        <v>0.09</v>
      </c>
    </row>
    <row r="8694" spans="1:3" x14ac:dyDescent="0.3">
      <c r="A8694" t="s">
        <v>14030</v>
      </c>
      <c r="B8694" t="s">
        <v>87</v>
      </c>
      <c r="C8694">
        <v>0.1</v>
      </c>
    </row>
    <row r="8695" spans="1:3" x14ac:dyDescent="0.3">
      <c r="A8695" t="s">
        <v>6000</v>
      </c>
      <c r="B8695" t="s">
        <v>40</v>
      </c>
      <c r="C8695">
        <v>0</v>
      </c>
    </row>
    <row r="8696" spans="1:3" x14ac:dyDescent="0.3">
      <c r="A8696" t="s">
        <v>7429</v>
      </c>
      <c r="B8696" t="s">
        <v>87</v>
      </c>
      <c r="C8696">
        <v>0.02</v>
      </c>
    </row>
    <row r="8697" spans="1:3" x14ac:dyDescent="0.3">
      <c r="A8697" t="s">
        <v>15551</v>
      </c>
      <c r="B8697" t="s">
        <v>29</v>
      </c>
      <c r="C8697">
        <v>0.01</v>
      </c>
    </row>
    <row r="8698" spans="1:3" x14ac:dyDescent="0.3">
      <c r="A8698" t="s">
        <v>15551</v>
      </c>
      <c r="B8698" t="s">
        <v>29</v>
      </c>
      <c r="C8698">
        <v>0.1</v>
      </c>
    </row>
    <row r="8699" spans="1:3" x14ac:dyDescent="0.3">
      <c r="A8699" t="s">
        <v>6008</v>
      </c>
      <c r="B8699" t="s">
        <v>87</v>
      </c>
      <c r="C8699">
        <v>0.1</v>
      </c>
    </row>
    <row r="8700" spans="1:3" x14ac:dyDescent="0.3">
      <c r="A8700" t="s">
        <v>12907</v>
      </c>
      <c r="B8700" t="s">
        <v>87</v>
      </c>
      <c r="C8700">
        <v>0.09</v>
      </c>
    </row>
    <row r="8701" spans="1:3" x14ac:dyDescent="0.3">
      <c r="A8701" t="s">
        <v>13887</v>
      </c>
      <c r="B8701" t="s">
        <v>87</v>
      </c>
      <c r="C8701">
        <v>0</v>
      </c>
    </row>
    <row r="8702" spans="1:3" x14ac:dyDescent="0.3">
      <c r="A8702" t="s">
        <v>7880</v>
      </c>
      <c r="B8702" t="s">
        <v>87</v>
      </c>
      <c r="C8702">
        <v>0.01</v>
      </c>
    </row>
    <row r="8703" spans="1:3" x14ac:dyDescent="0.3">
      <c r="A8703" t="s">
        <v>14790</v>
      </c>
      <c r="B8703" t="s">
        <v>87</v>
      </c>
      <c r="C8703">
        <v>0.08</v>
      </c>
    </row>
    <row r="8704" spans="1:3" x14ac:dyDescent="0.3">
      <c r="A8704" t="s">
        <v>13742</v>
      </c>
      <c r="B8704" t="s">
        <v>87</v>
      </c>
      <c r="C8704">
        <v>0</v>
      </c>
    </row>
    <row r="8705" spans="1:3" x14ac:dyDescent="0.3">
      <c r="A8705" t="s">
        <v>8404</v>
      </c>
      <c r="B8705" t="s">
        <v>29</v>
      </c>
      <c r="C8705">
        <v>0.02</v>
      </c>
    </row>
    <row r="8706" spans="1:3" x14ac:dyDescent="0.3">
      <c r="A8706" t="s">
        <v>8404</v>
      </c>
      <c r="B8706" t="s">
        <v>29</v>
      </c>
      <c r="C8706">
        <v>0.05</v>
      </c>
    </row>
    <row r="8707" spans="1:3" x14ac:dyDescent="0.3">
      <c r="A8707" t="s">
        <v>6129</v>
      </c>
      <c r="B8707" t="s">
        <v>29</v>
      </c>
      <c r="C8707">
        <v>0.03</v>
      </c>
    </row>
    <row r="8708" spans="1:3" x14ac:dyDescent="0.3">
      <c r="A8708" t="s">
        <v>6034</v>
      </c>
      <c r="B8708" t="s">
        <v>29</v>
      </c>
      <c r="C8708">
        <v>0.04</v>
      </c>
    </row>
    <row r="8709" spans="1:3" x14ac:dyDescent="0.3">
      <c r="A8709" t="s">
        <v>6034</v>
      </c>
      <c r="B8709" t="s">
        <v>87</v>
      </c>
      <c r="C8709">
        <v>0</v>
      </c>
    </row>
    <row r="8710" spans="1:3" x14ac:dyDescent="0.3">
      <c r="A8710" t="s">
        <v>6034</v>
      </c>
      <c r="B8710" t="s">
        <v>87</v>
      </c>
      <c r="C8710">
        <v>0.01</v>
      </c>
    </row>
    <row r="8711" spans="1:3" x14ac:dyDescent="0.3">
      <c r="A8711" t="s">
        <v>12499</v>
      </c>
      <c r="B8711" t="s">
        <v>29</v>
      </c>
      <c r="C8711">
        <v>0.03</v>
      </c>
    </row>
    <row r="8712" spans="1:3" x14ac:dyDescent="0.3">
      <c r="A8712" t="s">
        <v>14302</v>
      </c>
      <c r="B8712" t="s">
        <v>87</v>
      </c>
      <c r="C8712">
        <v>0.04</v>
      </c>
    </row>
    <row r="8713" spans="1:3" x14ac:dyDescent="0.3">
      <c r="A8713" t="s">
        <v>13864</v>
      </c>
      <c r="B8713" t="s">
        <v>53</v>
      </c>
      <c r="C8713">
        <v>0.02</v>
      </c>
    </row>
    <row r="8714" spans="1:3" x14ac:dyDescent="0.3">
      <c r="A8714" t="s">
        <v>11472</v>
      </c>
      <c r="B8714" t="s">
        <v>53</v>
      </c>
      <c r="C8714">
        <v>0.06</v>
      </c>
    </row>
    <row r="8715" spans="1:3" x14ac:dyDescent="0.3">
      <c r="A8715" t="s">
        <v>11472</v>
      </c>
      <c r="B8715" t="s">
        <v>53</v>
      </c>
      <c r="C8715">
        <v>0.09</v>
      </c>
    </row>
    <row r="8716" spans="1:3" x14ac:dyDescent="0.3">
      <c r="A8716" t="s">
        <v>6261</v>
      </c>
      <c r="B8716" t="s">
        <v>225</v>
      </c>
      <c r="C8716">
        <v>0.04</v>
      </c>
    </row>
    <row r="8717" spans="1:3" x14ac:dyDescent="0.3">
      <c r="A8717" t="s">
        <v>6261</v>
      </c>
      <c r="B8717" t="s">
        <v>87</v>
      </c>
      <c r="C8717">
        <v>0.05</v>
      </c>
    </row>
    <row r="8718" spans="1:3" x14ac:dyDescent="0.3">
      <c r="A8718" t="s">
        <v>7938</v>
      </c>
      <c r="B8718" t="s">
        <v>53</v>
      </c>
      <c r="C8718">
        <v>0.08</v>
      </c>
    </row>
    <row r="8719" spans="1:3" x14ac:dyDescent="0.3">
      <c r="A8719" t="s">
        <v>7938</v>
      </c>
      <c r="B8719" t="s">
        <v>87</v>
      </c>
      <c r="C8719">
        <v>0.01</v>
      </c>
    </row>
    <row r="8720" spans="1:3" x14ac:dyDescent="0.3">
      <c r="A8720" t="s">
        <v>7938</v>
      </c>
      <c r="B8720" t="s">
        <v>87</v>
      </c>
      <c r="C8720">
        <v>0.05</v>
      </c>
    </row>
    <row r="8721" spans="1:3" x14ac:dyDescent="0.3">
      <c r="A8721" t="s">
        <v>8038</v>
      </c>
      <c r="B8721" t="s">
        <v>53</v>
      </c>
      <c r="C8721">
        <v>0.1</v>
      </c>
    </row>
    <row r="8722" spans="1:3" x14ac:dyDescent="0.3">
      <c r="A8722" t="s">
        <v>8038</v>
      </c>
      <c r="B8722" t="s">
        <v>87</v>
      </c>
      <c r="C8722">
        <v>0.08</v>
      </c>
    </row>
    <row r="8723" spans="1:3" x14ac:dyDescent="0.3">
      <c r="A8723" t="s">
        <v>13518</v>
      </c>
      <c r="B8723" t="s">
        <v>29</v>
      </c>
      <c r="C8723">
        <v>0.1</v>
      </c>
    </row>
    <row r="8724" spans="1:3" x14ac:dyDescent="0.3">
      <c r="A8724" t="s">
        <v>10258</v>
      </c>
      <c r="B8724" t="s">
        <v>29</v>
      </c>
      <c r="C8724">
        <v>0.08</v>
      </c>
    </row>
    <row r="8725" spans="1:3" x14ac:dyDescent="0.3">
      <c r="A8725" t="s">
        <v>10258</v>
      </c>
      <c r="B8725" t="s">
        <v>53</v>
      </c>
      <c r="C8725">
        <v>0.01</v>
      </c>
    </row>
    <row r="8726" spans="1:3" x14ac:dyDescent="0.3">
      <c r="A8726" t="s">
        <v>12342</v>
      </c>
      <c r="B8726" t="s">
        <v>87</v>
      </c>
      <c r="C8726">
        <v>0.06</v>
      </c>
    </row>
    <row r="8727" spans="1:3" x14ac:dyDescent="0.3">
      <c r="A8727" t="s">
        <v>6868</v>
      </c>
      <c r="B8727" t="s">
        <v>225</v>
      </c>
      <c r="C8727">
        <v>0.09</v>
      </c>
    </row>
    <row r="8728" spans="1:3" x14ac:dyDescent="0.3">
      <c r="A8728" t="s">
        <v>13365</v>
      </c>
      <c r="B8728" t="s">
        <v>53</v>
      </c>
      <c r="C8728">
        <v>0.1</v>
      </c>
    </row>
    <row r="8729" spans="1:3" x14ac:dyDescent="0.3">
      <c r="A8729" t="s">
        <v>11343</v>
      </c>
      <c r="B8729" t="s">
        <v>225</v>
      </c>
      <c r="C8729">
        <v>7.0000000000000007E-2</v>
      </c>
    </row>
    <row r="8730" spans="1:3" x14ac:dyDescent="0.3">
      <c r="A8730" t="s">
        <v>13783</v>
      </c>
      <c r="B8730" t="s">
        <v>225</v>
      </c>
      <c r="C8730">
        <v>0.08</v>
      </c>
    </row>
    <row r="8731" spans="1:3" x14ac:dyDescent="0.3">
      <c r="A8731" t="s">
        <v>13885</v>
      </c>
      <c r="B8731" t="s">
        <v>40</v>
      </c>
      <c r="C8731">
        <v>0.01</v>
      </c>
    </row>
    <row r="8732" spans="1:3" x14ac:dyDescent="0.3">
      <c r="A8732" t="s">
        <v>13885</v>
      </c>
      <c r="B8732" t="s">
        <v>53</v>
      </c>
      <c r="C8732">
        <v>0</v>
      </c>
    </row>
    <row r="8733" spans="1:3" x14ac:dyDescent="0.3">
      <c r="A8733" t="s">
        <v>12933</v>
      </c>
      <c r="B8733" t="s">
        <v>53</v>
      </c>
      <c r="C8733">
        <v>0.06</v>
      </c>
    </row>
    <row r="8734" spans="1:3" x14ac:dyDescent="0.3">
      <c r="A8734" t="s">
        <v>8416</v>
      </c>
      <c r="B8734" t="s">
        <v>53</v>
      </c>
      <c r="C8734">
        <v>0.03</v>
      </c>
    </row>
    <row r="8735" spans="1:3" x14ac:dyDescent="0.3">
      <c r="A8735" t="s">
        <v>8416</v>
      </c>
      <c r="B8735" t="s">
        <v>53</v>
      </c>
      <c r="C8735">
        <v>0.06</v>
      </c>
    </row>
    <row r="8736" spans="1:3" x14ac:dyDescent="0.3">
      <c r="A8736" t="s">
        <v>11222</v>
      </c>
      <c r="B8736" t="s">
        <v>53</v>
      </c>
      <c r="C8736">
        <v>0.06</v>
      </c>
    </row>
    <row r="8737" spans="1:3" x14ac:dyDescent="0.3">
      <c r="A8737" t="s">
        <v>6955</v>
      </c>
      <c r="B8737" t="s">
        <v>40</v>
      </c>
      <c r="C8737">
        <v>0.06</v>
      </c>
    </row>
    <row r="8738" spans="1:3" x14ac:dyDescent="0.3">
      <c r="A8738" t="s">
        <v>6955</v>
      </c>
      <c r="B8738" t="s">
        <v>40</v>
      </c>
      <c r="C8738">
        <v>0.09</v>
      </c>
    </row>
    <row r="8739" spans="1:3" x14ac:dyDescent="0.3">
      <c r="A8739" t="s">
        <v>6955</v>
      </c>
      <c r="B8739" t="s">
        <v>40</v>
      </c>
      <c r="C8739">
        <v>0.1</v>
      </c>
    </row>
    <row r="8740" spans="1:3" x14ac:dyDescent="0.3">
      <c r="A8740" t="s">
        <v>12771</v>
      </c>
      <c r="B8740" t="s">
        <v>87</v>
      </c>
      <c r="C8740">
        <v>0.01</v>
      </c>
    </row>
    <row r="8741" spans="1:3" x14ac:dyDescent="0.3">
      <c r="A8741" t="s">
        <v>12771</v>
      </c>
      <c r="B8741" t="s">
        <v>87</v>
      </c>
      <c r="C8741">
        <v>0.04</v>
      </c>
    </row>
    <row r="8742" spans="1:3" x14ac:dyDescent="0.3">
      <c r="A8742" t="s">
        <v>12418</v>
      </c>
      <c r="B8742" t="s">
        <v>87</v>
      </c>
      <c r="C8742">
        <v>0.09</v>
      </c>
    </row>
    <row r="8743" spans="1:3" x14ac:dyDescent="0.3">
      <c r="A8743" t="s">
        <v>8799</v>
      </c>
      <c r="B8743" t="s">
        <v>40</v>
      </c>
      <c r="C8743">
        <v>0</v>
      </c>
    </row>
    <row r="8744" spans="1:3" x14ac:dyDescent="0.3">
      <c r="A8744" t="s">
        <v>8799</v>
      </c>
      <c r="B8744" t="s">
        <v>40</v>
      </c>
      <c r="C8744">
        <v>0.06</v>
      </c>
    </row>
    <row r="8745" spans="1:3" x14ac:dyDescent="0.3">
      <c r="A8745" t="s">
        <v>15677</v>
      </c>
      <c r="B8745" t="s">
        <v>40</v>
      </c>
      <c r="C8745">
        <v>0.02</v>
      </c>
    </row>
    <row r="8746" spans="1:3" x14ac:dyDescent="0.3">
      <c r="A8746" t="s">
        <v>15677</v>
      </c>
      <c r="B8746" t="s">
        <v>87</v>
      </c>
      <c r="C8746">
        <v>0.02</v>
      </c>
    </row>
    <row r="8747" spans="1:3" x14ac:dyDescent="0.3">
      <c r="A8747" t="s">
        <v>10446</v>
      </c>
      <c r="B8747" t="s">
        <v>40</v>
      </c>
      <c r="C8747">
        <v>0.03</v>
      </c>
    </row>
    <row r="8748" spans="1:3" x14ac:dyDescent="0.3">
      <c r="A8748" t="s">
        <v>13045</v>
      </c>
      <c r="B8748" t="s">
        <v>40</v>
      </c>
      <c r="C8748">
        <v>0.01</v>
      </c>
    </row>
    <row r="8749" spans="1:3" x14ac:dyDescent="0.3">
      <c r="A8749" t="s">
        <v>13045</v>
      </c>
      <c r="B8749" t="s">
        <v>40</v>
      </c>
      <c r="C8749">
        <v>0.05</v>
      </c>
    </row>
    <row r="8750" spans="1:3" x14ac:dyDescent="0.3">
      <c r="A8750" t="s">
        <v>13045</v>
      </c>
      <c r="B8750" t="s">
        <v>40</v>
      </c>
      <c r="C8750">
        <v>7.0000000000000007E-2</v>
      </c>
    </row>
    <row r="8751" spans="1:3" x14ac:dyDescent="0.3">
      <c r="A8751" t="s">
        <v>6291</v>
      </c>
      <c r="B8751" t="s">
        <v>40</v>
      </c>
      <c r="C8751">
        <v>0.08</v>
      </c>
    </row>
    <row r="8752" spans="1:3" x14ac:dyDescent="0.3">
      <c r="A8752" t="s">
        <v>10725</v>
      </c>
      <c r="B8752" t="s">
        <v>40</v>
      </c>
      <c r="C8752">
        <v>0.01</v>
      </c>
    </row>
    <row r="8753" spans="1:3" x14ac:dyDescent="0.3">
      <c r="A8753" t="s">
        <v>10725</v>
      </c>
      <c r="B8753" t="s">
        <v>40</v>
      </c>
      <c r="C8753">
        <v>0.05</v>
      </c>
    </row>
    <row r="8754" spans="1:3" x14ac:dyDescent="0.3">
      <c r="A8754" t="s">
        <v>10725</v>
      </c>
      <c r="B8754" t="s">
        <v>40</v>
      </c>
      <c r="C8754">
        <v>7.0000000000000007E-2</v>
      </c>
    </row>
    <row r="8755" spans="1:3" x14ac:dyDescent="0.3">
      <c r="A8755" t="s">
        <v>13621</v>
      </c>
      <c r="B8755" t="s">
        <v>40</v>
      </c>
      <c r="C8755">
        <v>0.03</v>
      </c>
    </row>
    <row r="8756" spans="1:3" x14ac:dyDescent="0.3">
      <c r="A8756" t="s">
        <v>6375</v>
      </c>
      <c r="B8756" t="s">
        <v>40</v>
      </c>
      <c r="C8756">
        <v>0.1</v>
      </c>
    </row>
    <row r="8757" spans="1:3" x14ac:dyDescent="0.3">
      <c r="A8757" t="s">
        <v>11670</v>
      </c>
      <c r="B8757" t="s">
        <v>53</v>
      </c>
      <c r="C8757">
        <v>0.09</v>
      </c>
    </row>
    <row r="8758" spans="1:3" x14ac:dyDescent="0.3">
      <c r="A8758" t="s">
        <v>9957</v>
      </c>
      <c r="B8758" t="s">
        <v>53</v>
      </c>
      <c r="C8758">
        <v>7.0000000000000007E-2</v>
      </c>
    </row>
    <row r="8759" spans="1:3" x14ac:dyDescent="0.3">
      <c r="A8759" t="s">
        <v>12227</v>
      </c>
      <c r="B8759" t="s">
        <v>29</v>
      </c>
      <c r="C8759">
        <v>0.1</v>
      </c>
    </row>
    <row r="8760" spans="1:3" x14ac:dyDescent="0.3">
      <c r="A8760" t="s">
        <v>12997</v>
      </c>
      <c r="B8760" t="s">
        <v>29</v>
      </c>
      <c r="C8760">
        <v>0.03</v>
      </c>
    </row>
    <row r="8761" spans="1:3" x14ac:dyDescent="0.3">
      <c r="A8761" t="s">
        <v>12997</v>
      </c>
      <c r="B8761" t="s">
        <v>29</v>
      </c>
      <c r="C8761">
        <v>0.05</v>
      </c>
    </row>
    <row r="8762" spans="1:3" x14ac:dyDescent="0.3">
      <c r="A8762" t="s">
        <v>10749</v>
      </c>
      <c r="B8762" t="s">
        <v>29</v>
      </c>
      <c r="C8762">
        <v>0.04</v>
      </c>
    </row>
    <row r="8763" spans="1:3" x14ac:dyDescent="0.3">
      <c r="A8763" t="s">
        <v>13838</v>
      </c>
      <c r="B8763" t="s">
        <v>40</v>
      </c>
      <c r="C8763">
        <v>0.09</v>
      </c>
    </row>
    <row r="8764" spans="1:3" x14ac:dyDescent="0.3">
      <c r="A8764" t="s">
        <v>13838</v>
      </c>
      <c r="B8764" t="s">
        <v>29</v>
      </c>
      <c r="C8764">
        <v>0.09</v>
      </c>
    </row>
    <row r="8765" spans="1:3" x14ac:dyDescent="0.3">
      <c r="A8765" t="s">
        <v>10988</v>
      </c>
      <c r="B8765" t="s">
        <v>29</v>
      </c>
      <c r="C8765">
        <v>0.09</v>
      </c>
    </row>
    <row r="8766" spans="1:3" x14ac:dyDescent="0.3">
      <c r="A8766" t="s">
        <v>12678</v>
      </c>
      <c r="B8766" t="s">
        <v>29</v>
      </c>
      <c r="C8766">
        <v>0.09</v>
      </c>
    </row>
    <row r="8767" spans="1:3" x14ac:dyDescent="0.3">
      <c r="A8767" t="s">
        <v>14047</v>
      </c>
      <c r="B8767" t="s">
        <v>29</v>
      </c>
      <c r="C8767">
        <v>0.08</v>
      </c>
    </row>
    <row r="8768" spans="1:3" x14ac:dyDescent="0.3">
      <c r="A8768" t="s">
        <v>14812</v>
      </c>
      <c r="B8768" t="s">
        <v>29</v>
      </c>
      <c r="C8768">
        <v>0.05</v>
      </c>
    </row>
    <row r="8769" spans="1:3" x14ac:dyDescent="0.3">
      <c r="A8769" t="s">
        <v>14812</v>
      </c>
      <c r="B8769" t="s">
        <v>87</v>
      </c>
      <c r="C8769">
        <v>0</v>
      </c>
    </row>
    <row r="8770" spans="1:3" x14ac:dyDescent="0.3">
      <c r="A8770" t="s">
        <v>14573</v>
      </c>
      <c r="B8770" t="s">
        <v>53</v>
      </c>
      <c r="C8770">
        <v>0.05</v>
      </c>
    </row>
    <row r="8771" spans="1:3" x14ac:dyDescent="0.3">
      <c r="A8771" t="s">
        <v>15737</v>
      </c>
      <c r="B8771" t="s">
        <v>53</v>
      </c>
      <c r="C8771">
        <v>0.09</v>
      </c>
    </row>
    <row r="8772" spans="1:3" x14ac:dyDescent="0.3">
      <c r="A8772" t="s">
        <v>7269</v>
      </c>
      <c r="B8772" t="s">
        <v>64</v>
      </c>
      <c r="C8772">
        <v>0.04</v>
      </c>
    </row>
    <row r="8773" spans="1:3" x14ac:dyDescent="0.3">
      <c r="A8773" t="s">
        <v>15504</v>
      </c>
      <c r="B8773" t="s">
        <v>64</v>
      </c>
      <c r="C8773">
        <v>0.05</v>
      </c>
    </row>
    <row r="8774" spans="1:3" x14ac:dyDescent="0.3">
      <c r="A8774" t="s">
        <v>15504</v>
      </c>
      <c r="B8774" t="s">
        <v>64</v>
      </c>
      <c r="C8774">
        <v>7.0000000000000007E-2</v>
      </c>
    </row>
    <row r="8775" spans="1:3" x14ac:dyDescent="0.3">
      <c r="A8775" t="s">
        <v>11656</v>
      </c>
      <c r="B8775" t="s">
        <v>87</v>
      </c>
      <c r="C8775">
        <v>0.02</v>
      </c>
    </row>
    <row r="8776" spans="1:3" x14ac:dyDescent="0.3">
      <c r="A8776" t="s">
        <v>6486</v>
      </c>
      <c r="B8776" t="s">
        <v>87</v>
      </c>
      <c r="C8776">
        <v>0.05</v>
      </c>
    </row>
    <row r="8777" spans="1:3" x14ac:dyDescent="0.3">
      <c r="A8777" t="s">
        <v>6486</v>
      </c>
      <c r="B8777" t="s">
        <v>87</v>
      </c>
      <c r="C8777">
        <v>7.0000000000000007E-2</v>
      </c>
    </row>
    <row r="8778" spans="1:3" x14ac:dyDescent="0.3">
      <c r="A8778" t="s">
        <v>6486</v>
      </c>
      <c r="B8778" t="s">
        <v>87</v>
      </c>
      <c r="C8778">
        <v>0.1</v>
      </c>
    </row>
    <row r="8779" spans="1:3" x14ac:dyDescent="0.3">
      <c r="A8779" t="s">
        <v>11912</v>
      </c>
      <c r="B8779" t="s">
        <v>53</v>
      </c>
      <c r="C8779">
        <v>0.04</v>
      </c>
    </row>
    <row r="8780" spans="1:3" x14ac:dyDescent="0.3">
      <c r="A8780" t="s">
        <v>11912</v>
      </c>
      <c r="B8780" t="s">
        <v>53</v>
      </c>
      <c r="C8780">
        <v>0.09</v>
      </c>
    </row>
    <row r="8781" spans="1:3" x14ac:dyDescent="0.3">
      <c r="A8781" t="s">
        <v>8551</v>
      </c>
      <c r="B8781" t="s">
        <v>53</v>
      </c>
      <c r="C8781">
        <v>0</v>
      </c>
    </row>
    <row r="8782" spans="1:3" x14ac:dyDescent="0.3">
      <c r="A8782" t="s">
        <v>8551</v>
      </c>
      <c r="B8782" t="s">
        <v>53</v>
      </c>
      <c r="C8782">
        <v>0.06</v>
      </c>
    </row>
    <row r="8783" spans="1:3" x14ac:dyDescent="0.3">
      <c r="A8783" t="s">
        <v>10877</v>
      </c>
      <c r="B8783" t="s">
        <v>64</v>
      </c>
      <c r="C8783">
        <v>0.02</v>
      </c>
    </row>
    <row r="8784" spans="1:3" x14ac:dyDescent="0.3">
      <c r="A8784" t="s">
        <v>8402</v>
      </c>
      <c r="B8784" t="s">
        <v>64</v>
      </c>
      <c r="C8784">
        <v>0.01</v>
      </c>
    </row>
    <row r="8785" spans="1:3" x14ac:dyDescent="0.3">
      <c r="A8785" t="s">
        <v>6751</v>
      </c>
      <c r="B8785" t="s">
        <v>53</v>
      </c>
      <c r="C8785">
        <v>0.04</v>
      </c>
    </row>
    <row r="8786" spans="1:3" x14ac:dyDescent="0.3">
      <c r="A8786" t="s">
        <v>6725</v>
      </c>
      <c r="B8786" t="s">
        <v>53</v>
      </c>
      <c r="C8786">
        <v>0.05</v>
      </c>
    </row>
    <row r="8787" spans="1:3" x14ac:dyDescent="0.3">
      <c r="A8787" t="s">
        <v>6522</v>
      </c>
      <c r="B8787" t="s">
        <v>225</v>
      </c>
      <c r="C8787">
        <v>0.01</v>
      </c>
    </row>
    <row r="8788" spans="1:3" x14ac:dyDescent="0.3">
      <c r="A8788" t="s">
        <v>9858</v>
      </c>
      <c r="B8788" t="s">
        <v>87</v>
      </c>
      <c r="C8788">
        <v>0.02</v>
      </c>
    </row>
    <row r="8789" spans="1:3" x14ac:dyDescent="0.3">
      <c r="A8789" t="s">
        <v>9858</v>
      </c>
      <c r="B8789" t="s">
        <v>87</v>
      </c>
      <c r="C8789">
        <v>0.04</v>
      </c>
    </row>
    <row r="8790" spans="1:3" x14ac:dyDescent="0.3">
      <c r="A8790" t="s">
        <v>9858</v>
      </c>
      <c r="B8790" t="s">
        <v>87</v>
      </c>
      <c r="C8790">
        <v>7.0000000000000007E-2</v>
      </c>
    </row>
    <row r="8791" spans="1:3" x14ac:dyDescent="0.3">
      <c r="A8791" t="s">
        <v>8561</v>
      </c>
      <c r="B8791" t="s">
        <v>87</v>
      </c>
      <c r="C8791">
        <v>0.02</v>
      </c>
    </row>
    <row r="8792" spans="1:3" x14ac:dyDescent="0.3">
      <c r="A8792" t="s">
        <v>12112</v>
      </c>
      <c r="B8792" t="s">
        <v>87</v>
      </c>
      <c r="C8792">
        <v>0.01</v>
      </c>
    </row>
    <row r="8793" spans="1:3" x14ac:dyDescent="0.3">
      <c r="A8793" t="s">
        <v>9230</v>
      </c>
      <c r="B8793" t="s">
        <v>40</v>
      </c>
      <c r="C8793">
        <v>0.02</v>
      </c>
    </row>
    <row r="8794" spans="1:3" x14ac:dyDescent="0.3">
      <c r="A8794" t="s">
        <v>6610</v>
      </c>
      <c r="B8794" t="s">
        <v>40</v>
      </c>
      <c r="C8794">
        <v>0.06</v>
      </c>
    </row>
    <row r="8795" spans="1:3" x14ac:dyDescent="0.3">
      <c r="A8795" t="s">
        <v>6610</v>
      </c>
      <c r="B8795" t="s">
        <v>64</v>
      </c>
      <c r="C8795">
        <v>0.09</v>
      </c>
    </row>
    <row r="8796" spans="1:3" x14ac:dyDescent="0.3">
      <c r="A8796" t="s">
        <v>12751</v>
      </c>
      <c r="B8796" t="s">
        <v>53</v>
      </c>
      <c r="C8796">
        <v>0.04</v>
      </c>
    </row>
    <row r="8797" spans="1:3" x14ac:dyDescent="0.3">
      <c r="A8797" t="s">
        <v>11157</v>
      </c>
      <c r="B8797" t="s">
        <v>29</v>
      </c>
      <c r="C8797">
        <v>0.01</v>
      </c>
    </row>
    <row r="8798" spans="1:3" x14ac:dyDescent="0.3">
      <c r="A8798" t="s">
        <v>9001</v>
      </c>
      <c r="B8798" t="s">
        <v>29</v>
      </c>
      <c r="C8798">
        <v>0.1</v>
      </c>
    </row>
    <row r="8799" spans="1:3" x14ac:dyDescent="0.3">
      <c r="A8799" t="s">
        <v>12337</v>
      </c>
      <c r="B8799" t="s">
        <v>29</v>
      </c>
      <c r="C8799">
        <v>0.03</v>
      </c>
    </row>
    <row r="8800" spans="1:3" x14ac:dyDescent="0.3">
      <c r="A8800" t="s">
        <v>8655</v>
      </c>
      <c r="B8800" t="s">
        <v>64</v>
      </c>
      <c r="C8800">
        <v>0.02</v>
      </c>
    </row>
    <row r="8801" spans="1:3" x14ac:dyDescent="0.3">
      <c r="A8801" t="s">
        <v>8655</v>
      </c>
      <c r="B8801" t="s">
        <v>64</v>
      </c>
      <c r="C8801">
        <v>0.05</v>
      </c>
    </row>
    <row r="8802" spans="1:3" x14ac:dyDescent="0.3">
      <c r="A8802" t="s">
        <v>12427</v>
      </c>
      <c r="B8802" t="s">
        <v>29</v>
      </c>
      <c r="C8802">
        <v>0.04</v>
      </c>
    </row>
    <row r="8803" spans="1:3" x14ac:dyDescent="0.3">
      <c r="A8803" t="s">
        <v>8037</v>
      </c>
      <c r="B8803" t="s">
        <v>29</v>
      </c>
      <c r="C8803">
        <v>0.02</v>
      </c>
    </row>
    <row r="8804" spans="1:3" x14ac:dyDescent="0.3">
      <c r="A8804" t="s">
        <v>15771</v>
      </c>
      <c r="B8804" t="s">
        <v>53</v>
      </c>
      <c r="C8804">
        <v>0.06</v>
      </c>
    </row>
    <row r="8805" spans="1:3" x14ac:dyDescent="0.3">
      <c r="A8805" t="s">
        <v>13468</v>
      </c>
      <c r="B8805" t="s">
        <v>29</v>
      </c>
      <c r="C8805">
        <v>0.01</v>
      </c>
    </row>
    <row r="8806" spans="1:3" x14ac:dyDescent="0.3">
      <c r="A8806" t="s">
        <v>15782</v>
      </c>
      <c r="B8806" t="s">
        <v>53</v>
      </c>
      <c r="C8806">
        <v>0.05</v>
      </c>
    </row>
    <row r="8807" spans="1:3" x14ac:dyDescent="0.3">
      <c r="A8807" t="s">
        <v>14309</v>
      </c>
      <c r="B8807" t="s">
        <v>40</v>
      </c>
      <c r="C8807">
        <v>0.04</v>
      </c>
    </row>
    <row r="8808" spans="1:3" x14ac:dyDescent="0.3">
      <c r="A8808" t="s">
        <v>14309</v>
      </c>
      <c r="B8808" t="s">
        <v>40</v>
      </c>
      <c r="C8808">
        <v>0.06</v>
      </c>
    </row>
    <row r="8809" spans="1:3" x14ac:dyDescent="0.3">
      <c r="A8809" t="s">
        <v>6668</v>
      </c>
      <c r="B8809" t="s">
        <v>40</v>
      </c>
      <c r="C8809">
        <v>0</v>
      </c>
    </row>
    <row r="8810" spans="1:3" x14ac:dyDescent="0.3">
      <c r="A8810" t="s">
        <v>6668</v>
      </c>
      <c r="B8810" t="s">
        <v>40</v>
      </c>
      <c r="C8810">
        <v>0.08</v>
      </c>
    </row>
    <row r="8811" spans="1:3" x14ac:dyDescent="0.3">
      <c r="A8811" t="s">
        <v>6684</v>
      </c>
      <c r="B8811" t="s">
        <v>64</v>
      </c>
      <c r="C8811">
        <v>0.03</v>
      </c>
    </row>
    <row r="8812" spans="1:3" x14ac:dyDescent="0.3">
      <c r="A8812" t="s">
        <v>11394</v>
      </c>
      <c r="B8812" t="s">
        <v>29</v>
      </c>
      <c r="C8812">
        <v>0.01</v>
      </c>
    </row>
    <row r="8813" spans="1:3" x14ac:dyDescent="0.3">
      <c r="A8813" t="s">
        <v>14515</v>
      </c>
      <c r="B8813" t="s">
        <v>29</v>
      </c>
      <c r="C8813">
        <v>0.06</v>
      </c>
    </row>
    <row r="8814" spans="1:3" x14ac:dyDescent="0.3">
      <c r="A8814" t="s">
        <v>15736</v>
      </c>
      <c r="B8814" t="s">
        <v>87</v>
      </c>
      <c r="C8814">
        <v>0.01</v>
      </c>
    </row>
    <row r="8815" spans="1:3" x14ac:dyDescent="0.3">
      <c r="A8815" t="s">
        <v>15736</v>
      </c>
      <c r="B8815" t="s">
        <v>87</v>
      </c>
      <c r="C8815">
        <v>0.03</v>
      </c>
    </row>
    <row r="8816" spans="1:3" x14ac:dyDescent="0.3">
      <c r="A8816" t="s">
        <v>15736</v>
      </c>
      <c r="B8816" t="s">
        <v>87</v>
      </c>
      <c r="C8816">
        <v>0.05</v>
      </c>
    </row>
    <row r="8817" spans="1:3" x14ac:dyDescent="0.3">
      <c r="A8817" t="s">
        <v>15736</v>
      </c>
      <c r="B8817" t="s">
        <v>87</v>
      </c>
      <c r="C8817">
        <v>0.08</v>
      </c>
    </row>
    <row r="8818" spans="1:3" x14ac:dyDescent="0.3">
      <c r="A8818" t="s">
        <v>8672</v>
      </c>
      <c r="B8818" t="s">
        <v>87</v>
      </c>
      <c r="C8818">
        <v>0.04</v>
      </c>
    </row>
    <row r="8819" spans="1:3" x14ac:dyDescent="0.3">
      <c r="A8819" t="s">
        <v>13065</v>
      </c>
      <c r="B8819" t="s">
        <v>29</v>
      </c>
      <c r="C8819">
        <v>0.01</v>
      </c>
    </row>
    <row r="8820" spans="1:3" x14ac:dyDescent="0.3">
      <c r="A8820" t="s">
        <v>13065</v>
      </c>
      <c r="B8820" t="s">
        <v>29</v>
      </c>
      <c r="C8820">
        <v>0.1</v>
      </c>
    </row>
    <row r="8821" spans="1:3" x14ac:dyDescent="0.3">
      <c r="A8821" t="s">
        <v>6728</v>
      </c>
      <c r="B8821" t="s">
        <v>40</v>
      </c>
      <c r="C8821">
        <v>0.04</v>
      </c>
    </row>
    <row r="8822" spans="1:3" x14ac:dyDescent="0.3">
      <c r="A8822" t="s">
        <v>15184</v>
      </c>
      <c r="B8822" t="s">
        <v>87</v>
      </c>
      <c r="C8822">
        <v>0.02</v>
      </c>
    </row>
    <row r="8823" spans="1:3" x14ac:dyDescent="0.3">
      <c r="A8823" t="s">
        <v>13773</v>
      </c>
      <c r="B8823" t="s">
        <v>87</v>
      </c>
      <c r="C8823">
        <v>0.05</v>
      </c>
    </row>
    <row r="8824" spans="1:3" x14ac:dyDescent="0.3">
      <c r="A8824" t="s">
        <v>15388</v>
      </c>
      <c r="B8824" t="s">
        <v>87</v>
      </c>
      <c r="C8824">
        <v>0.06</v>
      </c>
    </row>
    <row r="8825" spans="1:3" x14ac:dyDescent="0.3">
      <c r="A8825" t="s">
        <v>6795</v>
      </c>
      <c r="B8825" t="s">
        <v>225</v>
      </c>
      <c r="C8825">
        <v>0.1</v>
      </c>
    </row>
    <row r="8826" spans="1:3" x14ac:dyDescent="0.3">
      <c r="A8826" t="s">
        <v>13324</v>
      </c>
      <c r="B8826" t="s">
        <v>40</v>
      </c>
      <c r="C8826">
        <v>0.01</v>
      </c>
    </row>
    <row r="8827" spans="1:3" x14ac:dyDescent="0.3">
      <c r="A8827" t="s">
        <v>11176</v>
      </c>
      <c r="B8827" t="s">
        <v>29</v>
      </c>
      <c r="C8827">
        <v>0.02</v>
      </c>
    </row>
    <row r="8828" spans="1:3" x14ac:dyDescent="0.3">
      <c r="A8828" t="s">
        <v>6858</v>
      </c>
      <c r="B8828" t="s">
        <v>225</v>
      </c>
      <c r="C8828">
        <v>0.1</v>
      </c>
    </row>
    <row r="8829" spans="1:3" x14ac:dyDescent="0.3">
      <c r="A8829" t="s">
        <v>15130</v>
      </c>
      <c r="B8829" t="s">
        <v>87</v>
      </c>
      <c r="C8829">
        <v>0.03</v>
      </c>
    </row>
    <row r="8830" spans="1:3" x14ac:dyDescent="0.3">
      <c r="A8830" t="s">
        <v>8466</v>
      </c>
      <c r="B8830" t="s">
        <v>225</v>
      </c>
      <c r="C8830">
        <v>0.01</v>
      </c>
    </row>
    <row r="8831" spans="1:3" x14ac:dyDescent="0.3">
      <c r="A8831" t="s">
        <v>8466</v>
      </c>
      <c r="B8831" t="s">
        <v>87</v>
      </c>
      <c r="C8831">
        <v>0.08</v>
      </c>
    </row>
    <row r="8832" spans="1:3" x14ac:dyDescent="0.3">
      <c r="A8832" t="s">
        <v>14274</v>
      </c>
      <c r="B8832" t="s">
        <v>87</v>
      </c>
      <c r="C8832">
        <v>0.05</v>
      </c>
    </row>
    <row r="8833" spans="1:3" x14ac:dyDescent="0.3">
      <c r="A8833" t="s">
        <v>15249</v>
      </c>
      <c r="B8833" t="s">
        <v>225</v>
      </c>
      <c r="C8833">
        <v>0.02</v>
      </c>
    </row>
    <row r="8834" spans="1:3" x14ac:dyDescent="0.3">
      <c r="A8834" t="s">
        <v>15249</v>
      </c>
      <c r="B8834" t="s">
        <v>225</v>
      </c>
      <c r="C8834">
        <v>0.1</v>
      </c>
    </row>
    <row r="8835" spans="1:3" x14ac:dyDescent="0.3">
      <c r="A8835" t="s">
        <v>15249</v>
      </c>
      <c r="B8835" t="s">
        <v>87</v>
      </c>
      <c r="C8835">
        <v>0.1</v>
      </c>
    </row>
    <row r="8836" spans="1:3" x14ac:dyDescent="0.3">
      <c r="A8836" t="s">
        <v>6877</v>
      </c>
      <c r="B8836" t="s">
        <v>87</v>
      </c>
      <c r="C8836">
        <v>0.06</v>
      </c>
    </row>
    <row r="8837" spans="1:3" x14ac:dyDescent="0.3">
      <c r="A8837" t="s">
        <v>11270</v>
      </c>
      <c r="B8837" t="s">
        <v>87</v>
      </c>
      <c r="C8837">
        <v>0</v>
      </c>
    </row>
    <row r="8838" spans="1:3" x14ac:dyDescent="0.3">
      <c r="A8838" t="s">
        <v>14430</v>
      </c>
      <c r="B8838" t="s">
        <v>225</v>
      </c>
      <c r="C8838">
        <v>0</v>
      </c>
    </row>
    <row r="8839" spans="1:3" x14ac:dyDescent="0.3">
      <c r="A8839" t="s">
        <v>14430</v>
      </c>
      <c r="B8839" t="s">
        <v>225</v>
      </c>
      <c r="C8839">
        <v>0.09</v>
      </c>
    </row>
    <row r="8840" spans="1:3" x14ac:dyDescent="0.3">
      <c r="A8840" t="s">
        <v>14430</v>
      </c>
      <c r="B8840" t="s">
        <v>29</v>
      </c>
      <c r="C8840">
        <v>0.06</v>
      </c>
    </row>
    <row r="8841" spans="1:3" x14ac:dyDescent="0.3">
      <c r="A8841" t="s">
        <v>12319</v>
      </c>
      <c r="B8841" t="s">
        <v>53</v>
      </c>
      <c r="C8841">
        <v>0</v>
      </c>
    </row>
    <row r="8842" spans="1:3" x14ac:dyDescent="0.3">
      <c r="A8842" t="s">
        <v>14806</v>
      </c>
      <c r="B8842" t="s">
        <v>87</v>
      </c>
      <c r="C8842">
        <v>0.02</v>
      </c>
    </row>
    <row r="8843" spans="1:3" x14ac:dyDescent="0.3">
      <c r="A8843" t="s">
        <v>8099</v>
      </c>
      <c r="B8843" t="s">
        <v>87</v>
      </c>
      <c r="C8843">
        <v>0.09</v>
      </c>
    </row>
    <row r="8844" spans="1:3" x14ac:dyDescent="0.3">
      <c r="A8844" t="s">
        <v>12508</v>
      </c>
      <c r="B8844" t="s">
        <v>225</v>
      </c>
      <c r="C8844">
        <v>0.1</v>
      </c>
    </row>
    <row r="8845" spans="1:3" x14ac:dyDescent="0.3">
      <c r="A8845" t="s">
        <v>7016</v>
      </c>
      <c r="B8845" t="s">
        <v>29</v>
      </c>
      <c r="C8845">
        <v>0.04</v>
      </c>
    </row>
    <row r="8846" spans="1:3" x14ac:dyDescent="0.3">
      <c r="A8846" t="s">
        <v>14126</v>
      </c>
      <c r="B8846" t="s">
        <v>29</v>
      </c>
      <c r="C8846">
        <v>0</v>
      </c>
    </row>
    <row r="8847" spans="1:3" x14ac:dyDescent="0.3">
      <c r="A8847" t="s">
        <v>14670</v>
      </c>
      <c r="B8847" t="s">
        <v>29</v>
      </c>
      <c r="C8847">
        <v>0.1</v>
      </c>
    </row>
    <row r="8848" spans="1:3" x14ac:dyDescent="0.3">
      <c r="A8848" t="s">
        <v>15179</v>
      </c>
      <c r="B8848" t="s">
        <v>29</v>
      </c>
      <c r="C8848">
        <v>0.01</v>
      </c>
    </row>
    <row r="8849" spans="1:3" x14ac:dyDescent="0.3">
      <c r="A8849" t="s">
        <v>15179</v>
      </c>
      <c r="B8849" t="s">
        <v>29</v>
      </c>
      <c r="C8849">
        <v>0.04</v>
      </c>
    </row>
    <row r="8850" spans="1:3" x14ac:dyDescent="0.3">
      <c r="A8850" t="s">
        <v>15179</v>
      </c>
      <c r="B8850" t="s">
        <v>29</v>
      </c>
      <c r="C8850">
        <v>0.1</v>
      </c>
    </row>
    <row r="8851" spans="1:3" x14ac:dyDescent="0.3">
      <c r="A8851" t="s">
        <v>7076</v>
      </c>
      <c r="B8851" t="s">
        <v>53</v>
      </c>
      <c r="C8851">
        <v>0.08</v>
      </c>
    </row>
    <row r="8852" spans="1:3" x14ac:dyDescent="0.3">
      <c r="A8852" t="s">
        <v>11962</v>
      </c>
      <c r="B8852" t="s">
        <v>53</v>
      </c>
      <c r="C8852">
        <v>0.04</v>
      </c>
    </row>
    <row r="8853" spans="1:3" x14ac:dyDescent="0.3">
      <c r="A8853" t="s">
        <v>14791</v>
      </c>
      <c r="B8853" t="s">
        <v>40</v>
      </c>
      <c r="C8853">
        <v>0.03</v>
      </c>
    </row>
    <row r="8854" spans="1:3" x14ac:dyDescent="0.3">
      <c r="A8854" t="s">
        <v>13704</v>
      </c>
      <c r="B8854" t="s">
        <v>40</v>
      </c>
      <c r="C8854">
        <v>0.09</v>
      </c>
    </row>
    <row r="8855" spans="1:3" x14ac:dyDescent="0.3">
      <c r="A8855" t="s">
        <v>13146</v>
      </c>
      <c r="B8855" t="s">
        <v>40</v>
      </c>
      <c r="C8855">
        <v>0.02</v>
      </c>
    </row>
    <row r="8856" spans="1:3" x14ac:dyDescent="0.3">
      <c r="A8856" t="s">
        <v>11970</v>
      </c>
      <c r="B8856" t="s">
        <v>87</v>
      </c>
      <c r="C8856">
        <v>0.02</v>
      </c>
    </row>
    <row r="8857" spans="1:3" x14ac:dyDescent="0.3">
      <c r="A8857" t="s">
        <v>8006</v>
      </c>
      <c r="B8857" t="s">
        <v>64</v>
      </c>
      <c r="C8857">
        <v>0.04</v>
      </c>
    </row>
    <row r="8858" spans="1:3" x14ac:dyDescent="0.3">
      <c r="A8858" t="s">
        <v>11978</v>
      </c>
      <c r="B8858" t="s">
        <v>53</v>
      </c>
      <c r="C8858">
        <v>0.08</v>
      </c>
    </row>
    <row r="8859" spans="1:3" x14ac:dyDescent="0.3">
      <c r="A8859" t="s">
        <v>7130</v>
      </c>
      <c r="B8859" t="s">
        <v>40</v>
      </c>
      <c r="C8859">
        <v>0.06</v>
      </c>
    </row>
    <row r="8860" spans="1:3" x14ac:dyDescent="0.3">
      <c r="A8860" t="s">
        <v>7130</v>
      </c>
      <c r="B8860" t="s">
        <v>53</v>
      </c>
      <c r="C8860">
        <v>0</v>
      </c>
    </row>
    <row r="8861" spans="1:3" x14ac:dyDescent="0.3">
      <c r="A8861" t="s">
        <v>7130</v>
      </c>
      <c r="B8861" t="s">
        <v>53</v>
      </c>
      <c r="C8861">
        <v>0.08</v>
      </c>
    </row>
    <row r="8862" spans="1:3" x14ac:dyDescent="0.3">
      <c r="A8862" t="s">
        <v>10219</v>
      </c>
      <c r="B8862" t="s">
        <v>29</v>
      </c>
      <c r="C8862">
        <v>0</v>
      </c>
    </row>
    <row r="8863" spans="1:3" x14ac:dyDescent="0.3">
      <c r="A8863" t="s">
        <v>10219</v>
      </c>
      <c r="B8863" t="s">
        <v>87</v>
      </c>
      <c r="C8863">
        <v>0</v>
      </c>
    </row>
    <row r="8864" spans="1:3" x14ac:dyDescent="0.3">
      <c r="A8864" t="s">
        <v>10219</v>
      </c>
      <c r="B8864" t="s">
        <v>87</v>
      </c>
      <c r="C8864">
        <v>0.01</v>
      </c>
    </row>
    <row r="8865" spans="1:3" x14ac:dyDescent="0.3">
      <c r="A8865" t="s">
        <v>10219</v>
      </c>
      <c r="B8865" t="s">
        <v>87</v>
      </c>
      <c r="C8865">
        <v>0.03</v>
      </c>
    </row>
    <row r="8866" spans="1:3" x14ac:dyDescent="0.3">
      <c r="A8866" t="s">
        <v>8912</v>
      </c>
      <c r="B8866" t="s">
        <v>87</v>
      </c>
      <c r="C8866">
        <v>0</v>
      </c>
    </row>
    <row r="8867" spans="1:3" x14ac:dyDescent="0.3">
      <c r="A8867" t="s">
        <v>12906</v>
      </c>
      <c r="B8867" t="s">
        <v>29</v>
      </c>
      <c r="C8867">
        <v>0.03</v>
      </c>
    </row>
    <row r="8868" spans="1:3" x14ac:dyDescent="0.3">
      <c r="A8868" t="s">
        <v>12906</v>
      </c>
      <c r="B8868" t="s">
        <v>29</v>
      </c>
      <c r="C8868">
        <v>0.05</v>
      </c>
    </row>
    <row r="8869" spans="1:3" x14ac:dyDescent="0.3">
      <c r="A8869" t="s">
        <v>12906</v>
      </c>
      <c r="B8869" t="s">
        <v>29</v>
      </c>
      <c r="C8869">
        <v>0.1</v>
      </c>
    </row>
    <row r="8870" spans="1:3" x14ac:dyDescent="0.3">
      <c r="A8870" t="s">
        <v>13306</v>
      </c>
      <c r="B8870" t="s">
        <v>40</v>
      </c>
      <c r="C8870">
        <v>0.05</v>
      </c>
    </row>
    <row r="8871" spans="1:3" x14ac:dyDescent="0.3">
      <c r="A8871" t="s">
        <v>7142</v>
      </c>
      <c r="B8871" t="s">
        <v>53</v>
      </c>
      <c r="C8871">
        <v>0.09</v>
      </c>
    </row>
    <row r="8872" spans="1:3" x14ac:dyDescent="0.3">
      <c r="A8872" t="s">
        <v>7158</v>
      </c>
      <c r="B8872" t="s">
        <v>225</v>
      </c>
      <c r="C8872">
        <v>0.01</v>
      </c>
    </row>
    <row r="8873" spans="1:3" x14ac:dyDescent="0.3">
      <c r="A8873" t="s">
        <v>7158</v>
      </c>
      <c r="B8873" t="s">
        <v>225</v>
      </c>
      <c r="C8873">
        <v>0.02</v>
      </c>
    </row>
    <row r="8874" spans="1:3" x14ac:dyDescent="0.3">
      <c r="A8874" t="s">
        <v>7158</v>
      </c>
      <c r="B8874" t="s">
        <v>225</v>
      </c>
      <c r="C8874">
        <v>0.05</v>
      </c>
    </row>
    <row r="8875" spans="1:3" x14ac:dyDescent="0.3">
      <c r="A8875" t="s">
        <v>13328</v>
      </c>
      <c r="B8875" t="s">
        <v>53</v>
      </c>
      <c r="C8875">
        <v>0.01</v>
      </c>
    </row>
    <row r="8876" spans="1:3" x14ac:dyDescent="0.3">
      <c r="A8876" t="s">
        <v>13969</v>
      </c>
      <c r="B8876" t="s">
        <v>53</v>
      </c>
      <c r="C8876">
        <v>0.01</v>
      </c>
    </row>
    <row r="8877" spans="1:3" x14ac:dyDescent="0.3">
      <c r="A8877" t="s">
        <v>14734</v>
      </c>
      <c r="B8877" t="s">
        <v>53</v>
      </c>
      <c r="C8877">
        <v>7.0000000000000007E-2</v>
      </c>
    </row>
    <row r="8878" spans="1:3" x14ac:dyDescent="0.3">
      <c r="A8878" t="s">
        <v>12311</v>
      </c>
      <c r="B8878" t="s">
        <v>225</v>
      </c>
      <c r="C8878">
        <v>0.08</v>
      </c>
    </row>
    <row r="8879" spans="1:3" x14ac:dyDescent="0.3">
      <c r="A8879" t="s">
        <v>13475</v>
      </c>
      <c r="B8879" t="s">
        <v>225</v>
      </c>
      <c r="C8879">
        <v>0.1</v>
      </c>
    </row>
    <row r="8880" spans="1:3" x14ac:dyDescent="0.3">
      <c r="A8880" t="s">
        <v>7204</v>
      </c>
      <c r="B8880" t="s">
        <v>87</v>
      </c>
      <c r="C8880">
        <v>0.04</v>
      </c>
    </row>
    <row r="8881" spans="1:3" x14ac:dyDescent="0.3">
      <c r="A8881" t="s">
        <v>12419</v>
      </c>
      <c r="B8881" t="s">
        <v>64</v>
      </c>
      <c r="C8881">
        <v>0.05</v>
      </c>
    </row>
    <row r="8882" spans="1:3" x14ac:dyDescent="0.3">
      <c r="A8882" t="s">
        <v>14872</v>
      </c>
      <c r="B8882" t="s">
        <v>64</v>
      </c>
      <c r="C8882">
        <v>0.08</v>
      </c>
    </row>
    <row r="8883" spans="1:3" x14ac:dyDescent="0.3">
      <c r="A8883" t="s">
        <v>7673</v>
      </c>
      <c r="B8883" t="s">
        <v>225</v>
      </c>
      <c r="C8883">
        <v>0.01</v>
      </c>
    </row>
    <row r="8884" spans="1:3" x14ac:dyDescent="0.3">
      <c r="A8884" t="s">
        <v>14717</v>
      </c>
      <c r="B8884" t="s">
        <v>87</v>
      </c>
      <c r="C8884">
        <v>0.03</v>
      </c>
    </row>
    <row r="8885" spans="1:3" x14ac:dyDescent="0.3">
      <c r="A8885" t="s">
        <v>9245</v>
      </c>
      <c r="B8885" t="s">
        <v>225</v>
      </c>
      <c r="C8885">
        <v>0.02</v>
      </c>
    </row>
    <row r="8886" spans="1:3" x14ac:dyDescent="0.3">
      <c r="A8886" t="s">
        <v>9245</v>
      </c>
      <c r="B8886" t="s">
        <v>225</v>
      </c>
      <c r="C8886">
        <v>0.05</v>
      </c>
    </row>
    <row r="8887" spans="1:3" x14ac:dyDescent="0.3">
      <c r="A8887" t="s">
        <v>9245</v>
      </c>
      <c r="B8887" t="s">
        <v>225</v>
      </c>
      <c r="C8887">
        <v>0.08</v>
      </c>
    </row>
    <row r="8888" spans="1:3" x14ac:dyDescent="0.3">
      <c r="A8888" t="s">
        <v>7235</v>
      </c>
      <c r="B8888" t="s">
        <v>40</v>
      </c>
      <c r="C8888">
        <v>0.02</v>
      </c>
    </row>
    <row r="8889" spans="1:3" x14ac:dyDescent="0.3">
      <c r="A8889" t="s">
        <v>7235</v>
      </c>
      <c r="B8889" t="s">
        <v>40</v>
      </c>
      <c r="C8889">
        <v>0.03</v>
      </c>
    </row>
    <row r="8890" spans="1:3" x14ac:dyDescent="0.3">
      <c r="A8890" t="s">
        <v>7235</v>
      </c>
      <c r="B8890" t="s">
        <v>87</v>
      </c>
      <c r="C8890">
        <v>0.01</v>
      </c>
    </row>
    <row r="8891" spans="1:3" x14ac:dyDescent="0.3">
      <c r="A8891" t="s">
        <v>13312</v>
      </c>
      <c r="B8891" t="s">
        <v>87</v>
      </c>
      <c r="C8891">
        <v>0.01</v>
      </c>
    </row>
    <row r="8892" spans="1:3" x14ac:dyDescent="0.3">
      <c r="A8892" t="s">
        <v>12293</v>
      </c>
      <c r="B8892" t="s">
        <v>87</v>
      </c>
      <c r="C8892">
        <v>0.06</v>
      </c>
    </row>
    <row r="8893" spans="1:3" x14ac:dyDescent="0.3">
      <c r="A8893" t="s">
        <v>12731</v>
      </c>
      <c r="B8893" t="s">
        <v>29</v>
      </c>
      <c r="C8893">
        <v>0.06</v>
      </c>
    </row>
    <row r="8894" spans="1:3" x14ac:dyDescent="0.3">
      <c r="A8894" t="s">
        <v>14867</v>
      </c>
      <c r="B8894" t="s">
        <v>53</v>
      </c>
      <c r="C8894">
        <v>0.06</v>
      </c>
    </row>
    <row r="8895" spans="1:3" x14ac:dyDescent="0.3">
      <c r="A8895" t="s">
        <v>14244</v>
      </c>
      <c r="B8895" t="s">
        <v>29</v>
      </c>
      <c r="C8895">
        <v>0.04</v>
      </c>
    </row>
    <row r="8896" spans="1:3" x14ac:dyDescent="0.3">
      <c r="A8896" t="s">
        <v>14546</v>
      </c>
      <c r="B8896" t="s">
        <v>87</v>
      </c>
      <c r="C8896">
        <v>0.09</v>
      </c>
    </row>
    <row r="8897" spans="1:3" x14ac:dyDescent="0.3">
      <c r="A8897" t="s">
        <v>14900</v>
      </c>
      <c r="B8897" t="s">
        <v>87</v>
      </c>
      <c r="C8897">
        <v>0.03</v>
      </c>
    </row>
    <row r="8898" spans="1:3" x14ac:dyDescent="0.3">
      <c r="A8898" t="s">
        <v>7357</v>
      </c>
      <c r="B8898" t="s">
        <v>40</v>
      </c>
      <c r="C8898">
        <v>0.1</v>
      </c>
    </row>
    <row r="8899" spans="1:3" x14ac:dyDescent="0.3">
      <c r="A8899" t="s">
        <v>8272</v>
      </c>
      <c r="B8899" t="s">
        <v>29</v>
      </c>
      <c r="C8899">
        <v>0.04</v>
      </c>
    </row>
    <row r="8900" spans="1:3" x14ac:dyDescent="0.3">
      <c r="A8900" t="s">
        <v>12148</v>
      </c>
      <c r="B8900" t="s">
        <v>225</v>
      </c>
      <c r="C8900">
        <v>0.03</v>
      </c>
    </row>
    <row r="8901" spans="1:3" x14ac:dyDescent="0.3">
      <c r="A8901" t="s">
        <v>13705</v>
      </c>
      <c r="B8901" t="s">
        <v>225</v>
      </c>
      <c r="C8901">
        <v>0.02</v>
      </c>
    </row>
    <row r="8902" spans="1:3" x14ac:dyDescent="0.3">
      <c r="A8902" t="s">
        <v>9146</v>
      </c>
      <c r="B8902" t="s">
        <v>64</v>
      </c>
      <c r="C8902">
        <v>0</v>
      </c>
    </row>
    <row r="8903" spans="1:3" x14ac:dyDescent="0.3">
      <c r="A8903" t="s">
        <v>9146</v>
      </c>
      <c r="B8903" t="s">
        <v>29</v>
      </c>
      <c r="C8903">
        <v>0.05</v>
      </c>
    </row>
    <row r="8904" spans="1:3" x14ac:dyDescent="0.3">
      <c r="A8904" t="s">
        <v>7402</v>
      </c>
      <c r="B8904" t="s">
        <v>64</v>
      </c>
      <c r="C8904">
        <v>0</v>
      </c>
    </row>
    <row r="8905" spans="1:3" x14ac:dyDescent="0.3">
      <c r="A8905" t="s">
        <v>13862</v>
      </c>
      <c r="B8905" t="s">
        <v>64</v>
      </c>
      <c r="C8905">
        <v>0.01</v>
      </c>
    </row>
    <row r="8906" spans="1:3" x14ac:dyDescent="0.3">
      <c r="A8906" t="s">
        <v>13904</v>
      </c>
      <c r="B8906" t="s">
        <v>40</v>
      </c>
      <c r="C8906">
        <v>0.06</v>
      </c>
    </row>
    <row r="8907" spans="1:3" x14ac:dyDescent="0.3">
      <c r="A8907" t="s">
        <v>12326</v>
      </c>
      <c r="B8907" t="s">
        <v>29</v>
      </c>
      <c r="C8907">
        <v>0.05</v>
      </c>
    </row>
    <row r="8908" spans="1:3" x14ac:dyDescent="0.3">
      <c r="A8908" t="s">
        <v>11492</v>
      </c>
      <c r="B8908" t="s">
        <v>87</v>
      </c>
      <c r="C8908">
        <v>0</v>
      </c>
    </row>
    <row r="8909" spans="1:3" x14ac:dyDescent="0.3">
      <c r="A8909" t="s">
        <v>11492</v>
      </c>
      <c r="B8909" t="s">
        <v>87</v>
      </c>
      <c r="C8909">
        <v>0.04</v>
      </c>
    </row>
    <row r="8910" spans="1:3" x14ac:dyDescent="0.3">
      <c r="A8910" t="s">
        <v>13795</v>
      </c>
      <c r="B8910" t="s">
        <v>40</v>
      </c>
      <c r="C8910">
        <v>0.06</v>
      </c>
    </row>
    <row r="8911" spans="1:3" x14ac:dyDescent="0.3">
      <c r="A8911" t="s">
        <v>14787</v>
      </c>
      <c r="B8911" t="s">
        <v>87</v>
      </c>
      <c r="C8911">
        <v>0.03</v>
      </c>
    </row>
    <row r="8912" spans="1:3" x14ac:dyDescent="0.3">
      <c r="A8912" t="s">
        <v>14787</v>
      </c>
      <c r="B8912" t="s">
        <v>87</v>
      </c>
      <c r="C8912">
        <v>7.0000000000000007E-2</v>
      </c>
    </row>
    <row r="8913" spans="1:3" x14ac:dyDescent="0.3">
      <c r="A8913" t="s">
        <v>11762</v>
      </c>
      <c r="B8913" t="s">
        <v>87</v>
      </c>
      <c r="C8913">
        <v>7.0000000000000007E-2</v>
      </c>
    </row>
    <row r="8914" spans="1:3" x14ac:dyDescent="0.3">
      <c r="A8914" t="s">
        <v>11050</v>
      </c>
      <c r="B8914" t="s">
        <v>87</v>
      </c>
      <c r="C8914">
        <v>0.01</v>
      </c>
    </row>
    <row r="8915" spans="1:3" x14ac:dyDescent="0.3">
      <c r="A8915" t="s">
        <v>14876</v>
      </c>
      <c r="B8915" t="s">
        <v>225</v>
      </c>
      <c r="C8915">
        <v>0.08</v>
      </c>
    </row>
    <row r="8916" spans="1:3" x14ac:dyDescent="0.3">
      <c r="A8916" t="s">
        <v>10502</v>
      </c>
      <c r="B8916" t="s">
        <v>53</v>
      </c>
      <c r="C8916">
        <v>0.08</v>
      </c>
    </row>
    <row r="8917" spans="1:3" x14ac:dyDescent="0.3">
      <c r="A8917" t="s">
        <v>10502</v>
      </c>
      <c r="B8917" t="s">
        <v>53</v>
      </c>
      <c r="C8917">
        <v>0.1</v>
      </c>
    </row>
    <row r="8918" spans="1:3" x14ac:dyDescent="0.3">
      <c r="A8918" t="s">
        <v>13961</v>
      </c>
      <c r="B8918" t="s">
        <v>225</v>
      </c>
      <c r="C8918">
        <v>0</v>
      </c>
    </row>
    <row r="8919" spans="1:3" x14ac:dyDescent="0.3">
      <c r="A8919" t="s">
        <v>13961</v>
      </c>
      <c r="B8919" t="s">
        <v>225</v>
      </c>
      <c r="C8919">
        <v>0.09</v>
      </c>
    </row>
    <row r="8920" spans="1:3" x14ac:dyDescent="0.3">
      <c r="A8920" t="s">
        <v>13292</v>
      </c>
      <c r="B8920" t="s">
        <v>53</v>
      </c>
      <c r="C8920">
        <v>0.02</v>
      </c>
    </row>
    <row r="8921" spans="1:3" x14ac:dyDescent="0.3">
      <c r="A8921" t="s">
        <v>14322</v>
      </c>
      <c r="B8921" t="s">
        <v>53</v>
      </c>
      <c r="C8921">
        <v>0</v>
      </c>
    </row>
    <row r="8922" spans="1:3" x14ac:dyDescent="0.3">
      <c r="A8922" t="s">
        <v>14322</v>
      </c>
      <c r="B8922" t="s">
        <v>53</v>
      </c>
      <c r="C8922">
        <v>0.04</v>
      </c>
    </row>
    <row r="8923" spans="1:3" x14ac:dyDescent="0.3">
      <c r="A8923" t="s">
        <v>14411</v>
      </c>
      <c r="B8923" t="s">
        <v>40</v>
      </c>
      <c r="C8923">
        <v>0.02</v>
      </c>
    </row>
    <row r="8924" spans="1:3" x14ac:dyDescent="0.3">
      <c r="A8924" t="s">
        <v>7502</v>
      </c>
      <c r="B8924" t="s">
        <v>29</v>
      </c>
      <c r="C8924">
        <v>0</v>
      </c>
    </row>
    <row r="8925" spans="1:3" x14ac:dyDescent="0.3">
      <c r="A8925" t="s">
        <v>7502</v>
      </c>
      <c r="B8925" t="s">
        <v>29</v>
      </c>
      <c r="C8925">
        <v>0.03</v>
      </c>
    </row>
    <row r="8926" spans="1:3" x14ac:dyDescent="0.3">
      <c r="A8926" t="s">
        <v>7502</v>
      </c>
      <c r="B8926" t="s">
        <v>87</v>
      </c>
      <c r="C8926">
        <v>0.09</v>
      </c>
    </row>
    <row r="8927" spans="1:3" x14ac:dyDescent="0.3">
      <c r="A8927" t="s">
        <v>11935</v>
      </c>
      <c r="B8927" t="s">
        <v>64</v>
      </c>
      <c r="C8927">
        <v>0.09</v>
      </c>
    </row>
    <row r="8928" spans="1:3" x14ac:dyDescent="0.3">
      <c r="A8928" t="s">
        <v>10289</v>
      </c>
      <c r="B8928" t="s">
        <v>29</v>
      </c>
      <c r="C8928">
        <v>0.08</v>
      </c>
    </row>
    <row r="8929" spans="1:3" x14ac:dyDescent="0.3">
      <c r="A8929" t="s">
        <v>13877</v>
      </c>
      <c r="B8929" t="s">
        <v>64</v>
      </c>
      <c r="C8929">
        <v>0.01</v>
      </c>
    </row>
    <row r="8930" spans="1:3" x14ac:dyDescent="0.3">
      <c r="A8930" t="s">
        <v>7572</v>
      </c>
      <c r="B8930" t="s">
        <v>40</v>
      </c>
      <c r="C8930">
        <v>0.09</v>
      </c>
    </row>
    <row r="8931" spans="1:3" x14ac:dyDescent="0.3">
      <c r="A8931" t="s">
        <v>7572</v>
      </c>
      <c r="B8931" t="s">
        <v>29</v>
      </c>
      <c r="C8931">
        <v>0.05</v>
      </c>
    </row>
    <row r="8932" spans="1:3" x14ac:dyDescent="0.3">
      <c r="A8932" t="s">
        <v>14732</v>
      </c>
      <c r="B8932" t="s">
        <v>40</v>
      </c>
      <c r="C8932">
        <v>0.05</v>
      </c>
    </row>
    <row r="8933" spans="1:3" x14ac:dyDescent="0.3">
      <c r="A8933" t="s">
        <v>14750</v>
      </c>
      <c r="B8933" t="s">
        <v>29</v>
      </c>
      <c r="C8933">
        <v>0.05</v>
      </c>
    </row>
    <row r="8934" spans="1:3" x14ac:dyDescent="0.3">
      <c r="A8934" t="s">
        <v>7597</v>
      </c>
      <c r="B8934" t="s">
        <v>29</v>
      </c>
      <c r="C8934">
        <v>0</v>
      </c>
    </row>
    <row r="8935" spans="1:3" x14ac:dyDescent="0.3">
      <c r="A8935" t="s">
        <v>7597</v>
      </c>
      <c r="B8935" t="s">
        <v>29</v>
      </c>
      <c r="C8935">
        <v>0.02</v>
      </c>
    </row>
    <row r="8936" spans="1:3" x14ac:dyDescent="0.3">
      <c r="A8936" t="s">
        <v>11524</v>
      </c>
      <c r="B8936" t="s">
        <v>225</v>
      </c>
      <c r="C8936">
        <v>0.04</v>
      </c>
    </row>
    <row r="8937" spans="1:3" x14ac:dyDescent="0.3">
      <c r="A8937" t="s">
        <v>9229</v>
      </c>
      <c r="B8937" t="s">
        <v>53</v>
      </c>
      <c r="C8937">
        <v>0.1</v>
      </c>
    </row>
    <row r="8938" spans="1:3" x14ac:dyDescent="0.3">
      <c r="A8938" t="s">
        <v>11037</v>
      </c>
      <c r="B8938" t="s">
        <v>225</v>
      </c>
      <c r="C8938">
        <v>0.03</v>
      </c>
    </row>
    <row r="8939" spans="1:3" x14ac:dyDescent="0.3">
      <c r="A8939" t="s">
        <v>15135</v>
      </c>
      <c r="B8939" t="s">
        <v>225</v>
      </c>
      <c r="C8939">
        <v>0.05</v>
      </c>
    </row>
    <row r="8940" spans="1:3" x14ac:dyDescent="0.3">
      <c r="A8940" t="s">
        <v>13664</v>
      </c>
      <c r="B8940" t="s">
        <v>53</v>
      </c>
      <c r="C8940">
        <v>0.04</v>
      </c>
    </row>
    <row r="8941" spans="1:3" x14ac:dyDescent="0.3">
      <c r="A8941" t="s">
        <v>15748</v>
      </c>
      <c r="B8941" t="s">
        <v>225</v>
      </c>
      <c r="C8941">
        <v>0.06</v>
      </c>
    </row>
    <row r="8942" spans="1:3" x14ac:dyDescent="0.3">
      <c r="A8942" t="s">
        <v>14598</v>
      </c>
      <c r="B8942" t="s">
        <v>53</v>
      </c>
      <c r="C8942">
        <v>0.02</v>
      </c>
    </row>
    <row r="8943" spans="1:3" x14ac:dyDescent="0.3">
      <c r="A8943" t="s">
        <v>13458</v>
      </c>
      <c r="B8943" t="s">
        <v>225</v>
      </c>
      <c r="C8943">
        <v>7.0000000000000007E-2</v>
      </c>
    </row>
    <row r="8944" spans="1:3" x14ac:dyDescent="0.3">
      <c r="A8944" t="s">
        <v>11321</v>
      </c>
      <c r="B8944" t="s">
        <v>225</v>
      </c>
      <c r="C8944">
        <v>0.01</v>
      </c>
    </row>
    <row r="8945" spans="1:3" x14ac:dyDescent="0.3">
      <c r="A8945" t="s">
        <v>11321</v>
      </c>
      <c r="B8945" t="s">
        <v>225</v>
      </c>
      <c r="C8945">
        <v>0.02</v>
      </c>
    </row>
    <row r="8946" spans="1:3" x14ac:dyDescent="0.3">
      <c r="A8946" t="s">
        <v>15522</v>
      </c>
      <c r="B8946" t="s">
        <v>40</v>
      </c>
      <c r="C8946">
        <v>0.03</v>
      </c>
    </row>
    <row r="8947" spans="1:3" x14ac:dyDescent="0.3">
      <c r="A8947" t="s">
        <v>12515</v>
      </c>
      <c r="B8947" t="s">
        <v>64</v>
      </c>
      <c r="C8947">
        <v>0.03</v>
      </c>
    </row>
    <row r="8948" spans="1:3" x14ac:dyDescent="0.3">
      <c r="A8948" t="s">
        <v>14966</v>
      </c>
      <c r="B8948" t="s">
        <v>64</v>
      </c>
      <c r="C8948">
        <v>0.01</v>
      </c>
    </row>
    <row r="8949" spans="1:3" x14ac:dyDescent="0.3">
      <c r="A8949" t="s">
        <v>13036</v>
      </c>
      <c r="B8949" t="s">
        <v>64</v>
      </c>
      <c r="C8949">
        <v>0.04</v>
      </c>
    </row>
    <row r="8950" spans="1:3" x14ac:dyDescent="0.3">
      <c r="A8950" t="s">
        <v>7693</v>
      </c>
      <c r="B8950" t="s">
        <v>40</v>
      </c>
      <c r="C8950">
        <v>0.06</v>
      </c>
    </row>
    <row r="8951" spans="1:3" x14ac:dyDescent="0.3">
      <c r="A8951" t="s">
        <v>14001</v>
      </c>
      <c r="B8951" t="s">
        <v>87</v>
      </c>
      <c r="C8951">
        <v>0.04</v>
      </c>
    </row>
    <row r="8952" spans="1:3" x14ac:dyDescent="0.3">
      <c r="A8952" t="s">
        <v>11564</v>
      </c>
      <c r="B8952" t="s">
        <v>87</v>
      </c>
      <c r="C8952">
        <v>0.05</v>
      </c>
    </row>
    <row r="8953" spans="1:3" x14ac:dyDescent="0.3">
      <c r="A8953" t="s">
        <v>11564</v>
      </c>
      <c r="B8953" t="s">
        <v>87</v>
      </c>
      <c r="C8953">
        <v>0.1</v>
      </c>
    </row>
    <row r="8954" spans="1:3" x14ac:dyDescent="0.3">
      <c r="A8954" t="s">
        <v>11061</v>
      </c>
      <c r="B8954" t="s">
        <v>87</v>
      </c>
      <c r="C8954">
        <v>0.09</v>
      </c>
    </row>
    <row r="8955" spans="1:3" x14ac:dyDescent="0.3">
      <c r="A8955" t="s">
        <v>8734</v>
      </c>
      <c r="B8955" t="s">
        <v>225</v>
      </c>
      <c r="C8955">
        <v>0.03</v>
      </c>
    </row>
    <row r="8956" spans="1:3" x14ac:dyDescent="0.3">
      <c r="A8956" t="s">
        <v>8734</v>
      </c>
      <c r="B8956" t="s">
        <v>29</v>
      </c>
      <c r="C8956">
        <v>0.05</v>
      </c>
    </row>
    <row r="8957" spans="1:3" x14ac:dyDescent="0.3">
      <c r="A8957" t="s">
        <v>14508</v>
      </c>
      <c r="B8957" t="s">
        <v>53</v>
      </c>
      <c r="C8957">
        <v>0.01</v>
      </c>
    </row>
    <row r="8958" spans="1:3" x14ac:dyDescent="0.3">
      <c r="A8958" t="s">
        <v>14508</v>
      </c>
      <c r="B8958" t="s">
        <v>53</v>
      </c>
      <c r="C8958">
        <v>0.06</v>
      </c>
    </row>
    <row r="8959" spans="1:3" x14ac:dyDescent="0.3">
      <c r="A8959" t="s">
        <v>13740</v>
      </c>
      <c r="B8959" t="s">
        <v>53</v>
      </c>
      <c r="C8959">
        <v>0.06</v>
      </c>
    </row>
    <row r="8960" spans="1:3" x14ac:dyDescent="0.3">
      <c r="A8960" t="s">
        <v>11491</v>
      </c>
      <c r="B8960" t="s">
        <v>53</v>
      </c>
      <c r="C8960">
        <v>0.08</v>
      </c>
    </row>
    <row r="8961" spans="1:3" x14ac:dyDescent="0.3">
      <c r="A8961" t="s">
        <v>12164</v>
      </c>
      <c r="B8961" t="s">
        <v>87</v>
      </c>
      <c r="C8961">
        <v>0.06</v>
      </c>
    </row>
    <row r="8962" spans="1:3" x14ac:dyDescent="0.3">
      <c r="A8962" t="s">
        <v>10681</v>
      </c>
      <c r="B8962" t="s">
        <v>87</v>
      </c>
      <c r="C8962">
        <v>0.01</v>
      </c>
    </row>
    <row r="8963" spans="1:3" x14ac:dyDescent="0.3">
      <c r="A8963" t="s">
        <v>10283</v>
      </c>
      <c r="B8963" t="s">
        <v>87</v>
      </c>
      <c r="C8963">
        <v>0.04</v>
      </c>
    </row>
    <row r="8964" spans="1:3" x14ac:dyDescent="0.3">
      <c r="A8964" t="s">
        <v>10283</v>
      </c>
      <c r="B8964" t="s">
        <v>87</v>
      </c>
      <c r="C8964">
        <v>0.09</v>
      </c>
    </row>
    <row r="8965" spans="1:3" x14ac:dyDescent="0.3">
      <c r="A8965" t="s">
        <v>7885</v>
      </c>
      <c r="B8965" t="s">
        <v>40</v>
      </c>
      <c r="C8965">
        <v>0.04</v>
      </c>
    </row>
    <row r="8966" spans="1:3" x14ac:dyDescent="0.3">
      <c r="A8966" t="s">
        <v>14160</v>
      </c>
      <c r="B8966" t="s">
        <v>40</v>
      </c>
      <c r="C8966">
        <v>0.1</v>
      </c>
    </row>
    <row r="8967" spans="1:3" x14ac:dyDescent="0.3">
      <c r="A8967" t="s">
        <v>13453</v>
      </c>
      <c r="B8967" t="s">
        <v>29</v>
      </c>
      <c r="C8967">
        <v>0.05</v>
      </c>
    </row>
    <row r="8968" spans="1:3" x14ac:dyDescent="0.3">
      <c r="A8968" t="s">
        <v>12155</v>
      </c>
      <c r="B8968" t="s">
        <v>64</v>
      </c>
      <c r="C8968">
        <v>0.08</v>
      </c>
    </row>
    <row r="8969" spans="1:3" x14ac:dyDescent="0.3">
      <c r="A8969" t="s">
        <v>14475</v>
      </c>
      <c r="B8969" t="s">
        <v>29</v>
      </c>
      <c r="C8969">
        <v>0</v>
      </c>
    </row>
    <row r="8970" spans="1:3" x14ac:dyDescent="0.3">
      <c r="A8970" t="s">
        <v>13423</v>
      </c>
      <c r="B8970" t="s">
        <v>53</v>
      </c>
      <c r="C8970">
        <v>0.05</v>
      </c>
    </row>
    <row r="8971" spans="1:3" x14ac:dyDescent="0.3">
      <c r="A8971" t="s">
        <v>8979</v>
      </c>
      <c r="B8971" t="s">
        <v>53</v>
      </c>
      <c r="C8971">
        <v>0.09</v>
      </c>
    </row>
    <row r="8972" spans="1:3" x14ac:dyDescent="0.3">
      <c r="A8972" t="s">
        <v>8640</v>
      </c>
      <c r="B8972" t="s">
        <v>64</v>
      </c>
      <c r="C8972">
        <v>0.03</v>
      </c>
    </row>
    <row r="8973" spans="1:3" x14ac:dyDescent="0.3">
      <c r="A8973" t="s">
        <v>8640</v>
      </c>
      <c r="B8973" t="s">
        <v>64</v>
      </c>
      <c r="C8973">
        <v>7.0000000000000007E-2</v>
      </c>
    </row>
    <row r="8974" spans="1:3" x14ac:dyDescent="0.3">
      <c r="A8974" t="s">
        <v>8640</v>
      </c>
      <c r="B8974" t="s">
        <v>53</v>
      </c>
      <c r="C8974">
        <v>7.0000000000000007E-2</v>
      </c>
    </row>
    <row r="8975" spans="1:3" x14ac:dyDescent="0.3">
      <c r="A8975" t="s">
        <v>14385</v>
      </c>
      <c r="B8975" t="s">
        <v>29</v>
      </c>
      <c r="C8975">
        <v>0.01</v>
      </c>
    </row>
    <row r="8976" spans="1:3" x14ac:dyDescent="0.3">
      <c r="A8976" t="s">
        <v>8045</v>
      </c>
      <c r="B8976" t="s">
        <v>225</v>
      </c>
      <c r="C8976">
        <v>0.09</v>
      </c>
    </row>
    <row r="8977" spans="1:3" x14ac:dyDescent="0.3">
      <c r="A8977" t="s">
        <v>12219</v>
      </c>
      <c r="B8977" t="s">
        <v>40</v>
      </c>
      <c r="C8977">
        <v>0.02</v>
      </c>
    </row>
    <row r="8978" spans="1:3" x14ac:dyDescent="0.3">
      <c r="A8978" t="s">
        <v>15833</v>
      </c>
      <c r="B8978" t="s">
        <v>87</v>
      </c>
      <c r="C8978">
        <v>0.03</v>
      </c>
    </row>
    <row r="8979" spans="1:3" x14ac:dyDescent="0.3">
      <c r="A8979" t="s">
        <v>10030</v>
      </c>
      <c r="B8979" t="s">
        <v>225</v>
      </c>
      <c r="C8979">
        <v>0.1</v>
      </c>
    </row>
    <row r="8980" spans="1:3" x14ac:dyDescent="0.3">
      <c r="A8980" t="s">
        <v>11282</v>
      </c>
      <c r="B8980" t="s">
        <v>87</v>
      </c>
      <c r="C8980">
        <v>0.1</v>
      </c>
    </row>
    <row r="8981" spans="1:3" x14ac:dyDescent="0.3">
      <c r="A8981" t="s">
        <v>9434</v>
      </c>
      <c r="B8981" t="s">
        <v>225</v>
      </c>
      <c r="C8981">
        <v>0.02</v>
      </c>
    </row>
    <row r="8982" spans="1:3" x14ac:dyDescent="0.3">
      <c r="A8982" t="s">
        <v>8052</v>
      </c>
      <c r="B8982" t="s">
        <v>225</v>
      </c>
      <c r="C8982">
        <v>7.0000000000000007E-2</v>
      </c>
    </row>
    <row r="8983" spans="1:3" x14ac:dyDescent="0.3">
      <c r="A8983" t="s">
        <v>8052</v>
      </c>
      <c r="B8983" t="s">
        <v>225</v>
      </c>
      <c r="C8983">
        <v>0.1</v>
      </c>
    </row>
    <row r="8984" spans="1:3" x14ac:dyDescent="0.3">
      <c r="A8984" t="s">
        <v>12862</v>
      </c>
      <c r="B8984" t="s">
        <v>87</v>
      </c>
      <c r="C8984">
        <v>0.03</v>
      </c>
    </row>
    <row r="8985" spans="1:3" x14ac:dyDescent="0.3">
      <c r="A8985" t="s">
        <v>8058</v>
      </c>
      <c r="B8985" t="s">
        <v>225</v>
      </c>
      <c r="C8985">
        <v>0</v>
      </c>
    </row>
    <row r="8986" spans="1:3" x14ac:dyDescent="0.3">
      <c r="A8986" t="s">
        <v>14870</v>
      </c>
      <c r="B8986" t="s">
        <v>40</v>
      </c>
      <c r="C8986">
        <v>0.05</v>
      </c>
    </row>
    <row r="8987" spans="1:3" x14ac:dyDescent="0.3">
      <c r="A8987" t="s">
        <v>8089</v>
      </c>
      <c r="B8987" t="s">
        <v>64</v>
      </c>
      <c r="C8987">
        <v>7.0000000000000007E-2</v>
      </c>
    </row>
    <row r="8988" spans="1:3" x14ac:dyDescent="0.3">
      <c r="A8988" t="s">
        <v>8113</v>
      </c>
      <c r="B8988" t="s">
        <v>53</v>
      </c>
      <c r="C8988">
        <v>0.06</v>
      </c>
    </row>
    <row r="8989" spans="1:3" x14ac:dyDescent="0.3">
      <c r="A8989" t="s">
        <v>11658</v>
      </c>
      <c r="B8989" t="s">
        <v>40</v>
      </c>
      <c r="C8989">
        <v>0.01</v>
      </c>
    </row>
    <row r="8990" spans="1:3" x14ac:dyDescent="0.3">
      <c r="A8990" t="s">
        <v>11658</v>
      </c>
      <c r="B8990" t="s">
        <v>53</v>
      </c>
      <c r="C8990">
        <v>0.01</v>
      </c>
    </row>
    <row r="8991" spans="1:3" x14ac:dyDescent="0.3">
      <c r="A8991" t="s">
        <v>11658</v>
      </c>
      <c r="B8991" t="s">
        <v>53</v>
      </c>
      <c r="C8991">
        <v>0.09</v>
      </c>
    </row>
    <row r="8992" spans="1:3" x14ac:dyDescent="0.3">
      <c r="A8992" t="s">
        <v>8549</v>
      </c>
      <c r="B8992" t="s">
        <v>29</v>
      </c>
      <c r="C8992">
        <v>0.05</v>
      </c>
    </row>
    <row r="8993" spans="1:3" x14ac:dyDescent="0.3">
      <c r="A8993" t="s">
        <v>14965</v>
      </c>
      <c r="B8993" t="s">
        <v>225</v>
      </c>
      <c r="C8993">
        <v>0.1</v>
      </c>
    </row>
    <row r="8994" spans="1:3" x14ac:dyDescent="0.3">
      <c r="A8994" t="s">
        <v>14357</v>
      </c>
      <c r="B8994" t="s">
        <v>225</v>
      </c>
      <c r="C8994">
        <v>0.09</v>
      </c>
    </row>
    <row r="8995" spans="1:3" x14ac:dyDescent="0.3">
      <c r="A8995" t="s">
        <v>10001</v>
      </c>
      <c r="B8995" t="s">
        <v>64</v>
      </c>
      <c r="C8995">
        <v>0.02</v>
      </c>
    </row>
    <row r="8996" spans="1:3" x14ac:dyDescent="0.3">
      <c r="A8996" t="s">
        <v>8523</v>
      </c>
      <c r="B8996" t="s">
        <v>64</v>
      </c>
      <c r="C8996">
        <v>0.06</v>
      </c>
    </row>
    <row r="8997" spans="1:3" x14ac:dyDescent="0.3">
      <c r="A8997" t="s">
        <v>8286</v>
      </c>
      <c r="B8997" t="s">
        <v>29</v>
      </c>
      <c r="C8997">
        <v>0.06</v>
      </c>
    </row>
    <row r="8998" spans="1:3" x14ac:dyDescent="0.3">
      <c r="A8998" t="s">
        <v>13337</v>
      </c>
      <c r="B8998" t="s">
        <v>29</v>
      </c>
      <c r="C8998">
        <v>0.05</v>
      </c>
    </row>
    <row r="8999" spans="1:3" x14ac:dyDescent="0.3">
      <c r="A8999" t="s">
        <v>13337</v>
      </c>
      <c r="B8999" t="s">
        <v>29</v>
      </c>
      <c r="C8999">
        <v>0.08</v>
      </c>
    </row>
    <row r="9000" spans="1:3" x14ac:dyDescent="0.3">
      <c r="A9000" t="s">
        <v>15320</v>
      </c>
      <c r="B9000" t="s">
        <v>87</v>
      </c>
      <c r="C9000">
        <v>0.01</v>
      </c>
    </row>
    <row r="9001" spans="1:3" x14ac:dyDescent="0.3">
      <c r="A9001" t="s">
        <v>10163</v>
      </c>
      <c r="B9001" t="s">
        <v>225</v>
      </c>
      <c r="C9001">
        <v>7.0000000000000007E-2</v>
      </c>
    </row>
    <row r="9002" spans="1:3" x14ac:dyDescent="0.3">
      <c r="A9002" t="s">
        <v>14792</v>
      </c>
      <c r="B9002" t="s">
        <v>29</v>
      </c>
      <c r="C9002">
        <v>0.02</v>
      </c>
    </row>
    <row r="9003" spans="1:3" x14ac:dyDescent="0.3">
      <c r="A9003" t="s">
        <v>13711</v>
      </c>
      <c r="B9003" t="s">
        <v>64</v>
      </c>
      <c r="C9003">
        <v>0.06</v>
      </c>
    </row>
    <row r="9004" spans="1:3" x14ac:dyDescent="0.3">
      <c r="A9004" t="s">
        <v>10672</v>
      </c>
      <c r="B9004" t="s">
        <v>29</v>
      </c>
      <c r="C9004">
        <v>0.01</v>
      </c>
    </row>
    <row r="9005" spans="1:3" x14ac:dyDescent="0.3">
      <c r="A9005" t="s">
        <v>15037</v>
      </c>
      <c r="B9005" t="s">
        <v>40</v>
      </c>
      <c r="C9005">
        <v>0.04</v>
      </c>
    </row>
    <row r="9006" spans="1:3" x14ac:dyDescent="0.3">
      <c r="A9006" t="s">
        <v>15037</v>
      </c>
      <c r="B9006" t="s">
        <v>40</v>
      </c>
      <c r="C9006">
        <v>0.05</v>
      </c>
    </row>
    <row r="9007" spans="1:3" x14ac:dyDescent="0.3">
      <c r="A9007" t="s">
        <v>13936</v>
      </c>
      <c r="B9007" t="s">
        <v>40</v>
      </c>
      <c r="C9007">
        <v>0.01</v>
      </c>
    </row>
    <row r="9008" spans="1:3" x14ac:dyDescent="0.3">
      <c r="A9008" t="s">
        <v>13936</v>
      </c>
      <c r="B9008" t="s">
        <v>53</v>
      </c>
      <c r="C9008">
        <v>0.06</v>
      </c>
    </row>
    <row r="9009" spans="1:3" x14ac:dyDescent="0.3">
      <c r="A9009" t="s">
        <v>8986</v>
      </c>
      <c r="B9009" t="s">
        <v>53</v>
      </c>
      <c r="C9009">
        <v>0</v>
      </c>
    </row>
    <row r="9010" spans="1:3" x14ac:dyDescent="0.3">
      <c r="A9010" t="s">
        <v>14494</v>
      </c>
      <c r="B9010" t="s">
        <v>29</v>
      </c>
      <c r="C9010">
        <v>0.04</v>
      </c>
    </row>
    <row r="9011" spans="1:3" x14ac:dyDescent="0.3">
      <c r="A9011" t="s">
        <v>11115</v>
      </c>
      <c r="B9011" t="s">
        <v>87</v>
      </c>
      <c r="C9011">
        <v>0.02</v>
      </c>
    </row>
    <row r="9012" spans="1:3" x14ac:dyDescent="0.3">
      <c r="A9012" t="s">
        <v>11115</v>
      </c>
      <c r="B9012" t="s">
        <v>87</v>
      </c>
      <c r="C9012">
        <v>0.09</v>
      </c>
    </row>
    <row r="9013" spans="1:3" x14ac:dyDescent="0.3">
      <c r="A9013" t="s">
        <v>12717</v>
      </c>
      <c r="B9013" t="s">
        <v>29</v>
      </c>
      <c r="C9013">
        <v>0.02</v>
      </c>
    </row>
    <row r="9014" spans="1:3" x14ac:dyDescent="0.3">
      <c r="A9014" t="s">
        <v>15823</v>
      </c>
      <c r="B9014" t="s">
        <v>40</v>
      </c>
      <c r="C9014">
        <v>0.08</v>
      </c>
    </row>
    <row r="9015" spans="1:3" x14ac:dyDescent="0.3">
      <c r="A9015" t="s">
        <v>15823</v>
      </c>
      <c r="B9015" t="s">
        <v>40</v>
      </c>
      <c r="C9015">
        <v>0.1</v>
      </c>
    </row>
    <row r="9016" spans="1:3" x14ac:dyDescent="0.3">
      <c r="A9016" t="s">
        <v>14447</v>
      </c>
      <c r="B9016" t="s">
        <v>87</v>
      </c>
      <c r="C9016">
        <v>0.08</v>
      </c>
    </row>
    <row r="9017" spans="1:3" x14ac:dyDescent="0.3">
      <c r="A9017" t="s">
        <v>13827</v>
      </c>
      <c r="B9017" t="s">
        <v>29</v>
      </c>
      <c r="C9017">
        <v>0.04</v>
      </c>
    </row>
    <row r="9018" spans="1:3" x14ac:dyDescent="0.3">
      <c r="A9018" t="s">
        <v>13827</v>
      </c>
      <c r="B9018" t="s">
        <v>29</v>
      </c>
      <c r="C9018">
        <v>0.08</v>
      </c>
    </row>
    <row r="9019" spans="1:3" x14ac:dyDescent="0.3">
      <c r="A9019" t="s">
        <v>13645</v>
      </c>
      <c r="B9019" t="s">
        <v>40</v>
      </c>
      <c r="C9019">
        <v>0.04</v>
      </c>
    </row>
    <row r="9020" spans="1:3" x14ac:dyDescent="0.3">
      <c r="A9020" t="s">
        <v>10200</v>
      </c>
      <c r="B9020" t="s">
        <v>29</v>
      </c>
      <c r="C9020">
        <v>0.03</v>
      </c>
    </row>
    <row r="9021" spans="1:3" x14ac:dyDescent="0.3">
      <c r="A9021" t="s">
        <v>10240</v>
      </c>
      <c r="B9021" t="s">
        <v>87</v>
      </c>
      <c r="C9021">
        <v>0.01</v>
      </c>
    </row>
    <row r="9022" spans="1:3" x14ac:dyDescent="0.3">
      <c r="A9022" t="s">
        <v>11681</v>
      </c>
      <c r="B9022" t="s">
        <v>87</v>
      </c>
      <c r="C9022">
        <v>0</v>
      </c>
    </row>
    <row r="9023" spans="1:3" x14ac:dyDescent="0.3">
      <c r="A9023" t="s">
        <v>9260</v>
      </c>
      <c r="B9023" t="s">
        <v>29</v>
      </c>
      <c r="C9023">
        <v>0.05</v>
      </c>
    </row>
    <row r="9024" spans="1:3" x14ac:dyDescent="0.3">
      <c r="A9024" t="s">
        <v>9260</v>
      </c>
      <c r="B9024" t="s">
        <v>87</v>
      </c>
      <c r="C9024">
        <v>0.01</v>
      </c>
    </row>
    <row r="9025" spans="1:3" x14ac:dyDescent="0.3">
      <c r="A9025" t="s">
        <v>9260</v>
      </c>
      <c r="B9025" t="s">
        <v>87</v>
      </c>
      <c r="C9025">
        <v>0.1</v>
      </c>
    </row>
    <row r="9026" spans="1:3" x14ac:dyDescent="0.3">
      <c r="A9026" t="s">
        <v>11272</v>
      </c>
      <c r="B9026" t="s">
        <v>87</v>
      </c>
      <c r="C9026">
        <v>0.03</v>
      </c>
    </row>
    <row r="9027" spans="1:3" x14ac:dyDescent="0.3">
      <c r="A9027" t="s">
        <v>13857</v>
      </c>
      <c r="B9027" t="s">
        <v>87</v>
      </c>
      <c r="C9027">
        <v>0.04</v>
      </c>
    </row>
    <row r="9028" spans="1:3" x14ac:dyDescent="0.3">
      <c r="A9028" t="s">
        <v>15324</v>
      </c>
      <c r="B9028" t="s">
        <v>40</v>
      </c>
      <c r="C9028">
        <v>7.0000000000000007E-2</v>
      </c>
    </row>
    <row r="9029" spans="1:3" x14ac:dyDescent="0.3">
      <c r="A9029" t="s">
        <v>13304</v>
      </c>
      <c r="B9029" t="s">
        <v>29</v>
      </c>
      <c r="C9029">
        <v>0</v>
      </c>
    </row>
    <row r="9030" spans="1:3" x14ac:dyDescent="0.3">
      <c r="A9030" t="s">
        <v>12409</v>
      </c>
      <c r="B9030" t="s">
        <v>29</v>
      </c>
      <c r="C9030">
        <v>0</v>
      </c>
    </row>
    <row r="9031" spans="1:3" x14ac:dyDescent="0.3">
      <c r="A9031" t="s">
        <v>12099</v>
      </c>
      <c r="B9031" t="s">
        <v>40</v>
      </c>
      <c r="C9031">
        <v>0.02</v>
      </c>
    </row>
    <row r="9032" spans="1:3" x14ac:dyDescent="0.3">
      <c r="A9032" t="s">
        <v>12099</v>
      </c>
      <c r="B9032" t="s">
        <v>40</v>
      </c>
      <c r="C9032">
        <v>0.09</v>
      </c>
    </row>
    <row r="9033" spans="1:3" x14ac:dyDescent="0.3">
      <c r="A9033" t="s">
        <v>14393</v>
      </c>
      <c r="B9033" t="s">
        <v>40</v>
      </c>
      <c r="C9033">
        <v>0.03</v>
      </c>
    </row>
    <row r="9034" spans="1:3" x14ac:dyDescent="0.3">
      <c r="A9034" t="s">
        <v>14393</v>
      </c>
      <c r="B9034" t="s">
        <v>40</v>
      </c>
      <c r="C9034">
        <v>7.0000000000000007E-2</v>
      </c>
    </row>
    <row r="9035" spans="1:3" x14ac:dyDescent="0.3">
      <c r="A9035" t="s">
        <v>14393</v>
      </c>
      <c r="B9035" t="s">
        <v>40</v>
      </c>
      <c r="C9035">
        <v>0.09</v>
      </c>
    </row>
    <row r="9036" spans="1:3" x14ac:dyDescent="0.3">
      <c r="A9036" t="s">
        <v>9368</v>
      </c>
      <c r="B9036" t="s">
        <v>40</v>
      </c>
      <c r="C9036">
        <v>0.04</v>
      </c>
    </row>
    <row r="9037" spans="1:3" x14ac:dyDescent="0.3">
      <c r="A9037" t="s">
        <v>9368</v>
      </c>
      <c r="B9037" t="s">
        <v>40</v>
      </c>
      <c r="C9037">
        <v>0.1</v>
      </c>
    </row>
    <row r="9038" spans="1:3" x14ac:dyDescent="0.3">
      <c r="A9038" t="s">
        <v>14897</v>
      </c>
      <c r="B9038" t="s">
        <v>40</v>
      </c>
      <c r="C9038">
        <v>0.08</v>
      </c>
    </row>
    <row r="9039" spans="1:3" x14ac:dyDescent="0.3">
      <c r="A9039" t="s">
        <v>9404</v>
      </c>
      <c r="B9039" t="s">
        <v>225</v>
      </c>
      <c r="C9039">
        <v>0.02</v>
      </c>
    </row>
    <row r="9040" spans="1:3" x14ac:dyDescent="0.3">
      <c r="A9040" t="s">
        <v>11471</v>
      </c>
      <c r="B9040" t="s">
        <v>225</v>
      </c>
      <c r="C9040">
        <v>0.1</v>
      </c>
    </row>
    <row r="9041" spans="1:3" x14ac:dyDescent="0.3">
      <c r="A9041" t="s">
        <v>15428</v>
      </c>
      <c r="B9041" t="s">
        <v>225</v>
      </c>
      <c r="C9041">
        <v>0.09</v>
      </c>
    </row>
    <row r="9042" spans="1:3" x14ac:dyDescent="0.3">
      <c r="A9042" t="s">
        <v>15428</v>
      </c>
      <c r="B9042" t="s">
        <v>29</v>
      </c>
      <c r="C9042">
        <v>0.1</v>
      </c>
    </row>
    <row r="9043" spans="1:3" x14ac:dyDescent="0.3">
      <c r="A9043" t="s">
        <v>13286</v>
      </c>
      <c r="B9043" t="s">
        <v>40</v>
      </c>
      <c r="C9043">
        <v>0.01</v>
      </c>
    </row>
    <row r="9044" spans="1:3" x14ac:dyDescent="0.3">
      <c r="A9044" t="s">
        <v>14155</v>
      </c>
      <c r="B9044" t="s">
        <v>40</v>
      </c>
      <c r="C9044">
        <v>0.03</v>
      </c>
    </row>
    <row r="9045" spans="1:3" x14ac:dyDescent="0.3">
      <c r="A9045" t="s">
        <v>11305</v>
      </c>
      <c r="B9045" t="s">
        <v>64</v>
      </c>
      <c r="C9045">
        <v>0.03</v>
      </c>
    </row>
    <row r="9046" spans="1:3" x14ac:dyDescent="0.3">
      <c r="A9046" t="s">
        <v>9609</v>
      </c>
      <c r="B9046" t="s">
        <v>87</v>
      </c>
      <c r="C9046">
        <v>0.1</v>
      </c>
    </row>
    <row r="9047" spans="1:3" x14ac:dyDescent="0.3">
      <c r="A9047" t="s">
        <v>15436</v>
      </c>
      <c r="B9047" t="s">
        <v>29</v>
      </c>
      <c r="C9047">
        <v>0.02</v>
      </c>
    </row>
    <row r="9048" spans="1:3" x14ac:dyDescent="0.3">
      <c r="A9048" t="s">
        <v>10352</v>
      </c>
      <c r="B9048" t="s">
        <v>64</v>
      </c>
      <c r="C9048">
        <v>0</v>
      </c>
    </row>
    <row r="9049" spans="1:3" x14ac:dyDescent="0.3">
      <c r="A9049" t="s">
        <v>15505</v>
      </c>
      <c r="B9049" t="s">
        <v>53</v>
      </c>
      <c r="C9049">
        <v>0.01</v>
      </c>
    </row>
    <row r="9050" spans="1:3" x14ac:dyDescent="0.3">
      <c r="A9050" t="s">
        <v>15079</v>
      </c>
      <c r="B9050" t="s">
        <v>53</v>
      </c>
      <c r="C9050">
        <v>0.08</v>
      </c>
    </row>
    <row r="9051" spans="1:3" x14ac:dyDescent="0.3">
      <c r="A9051" t="s">
        <v>10934</v>
      </c>
      <c r="B9051" t="s">
        <v>225</v>
      </c>
      <c r="C9051">
        <v>0.01</v>
      </c>
    </row>
    <row r="9052" spans="1:3" x14ac:dyDescent="0.3">
      <c r="A9052" t="s">
        <v>10934</v>
      </c>
      <c r="B9052" t="s">
        <v>225</v>
      </c>
      <c r="C9052">
        <v>0.04</v>
      </c>
    </row>
    <row r="9053" spans="1:3" x14ac:dyDescent="0.3">
      <c r="A9053" t="s">
        <v>12513</v>
      </c>
      <c r="B9053" t="s">
        <v>29</v>
      </c>
      <c r="C9053">
        <v>0.03</v>
      </c>
    </row>
    <row r="9054" spans="1:3" x14ac:dyDescent="0.3">
      <c r="A9054" t="s">
        <v>14195</v>
      </c>
      <c r="B9054" t="s">
        <v>53</v>
      </c>
      <c r="C9054">
        <v>0.02</v>
      </c>
    </row>
    <row r="9055" spans="1:3" x14ac:dyDescent="0.3">
      <c r="A9055" t="s">
        <v>14195</v>
      </c>
      <c r="B9055" t="s">
        <v>53</v>
      </c>
      <c r="C9055">
        <v>0.09</v>
      </c>
    </row>
    <row r="9056" spans="1:3" x14ac:dyDescent="0.3">
      <c r="A9056" t="s">
        <v>10306</v>
      </c>
      <c r="B9056" t="s">
        <v>53</v>
      </c>
      <c r="C9056">
        <v>0</v>
      </c>
    </row>
    <row r="9057" spans="1:3" x14ac:dyDescent="0.3">
      <c r="A9057" t="s">
        <v>10306</v>
      </c>
      <c r="B9057" t="s">
        <v>53</v>
      </c>
      <c r="C9057">
        <v>0.1</v>
      </c>
    </row>
    <row r="9058" spans="1:3" x14ac:dyDescent="0.3">
      <c r="A9058" t="s">
        <v>9901</v>
      </c>
      <c r="B9058" t="s">
        <v>53</v>
      </c>
      <c r="C9058">
        <v>0.08</v>
      </c>
    </row>
    <row r="9059" spans="1:3" x14ac:dyDescent="0.3">
      <c r="A9059" t="s">
        <v>10077</v>
      </c>
      <c r="B9059" t="s">
        <v>64</v>
      </c>
      <c r="C9059">
        <v>0.09</v>
      </c>
    </row>
    <row r="9060" spans="1:3" x14ac:dyDescent="0.3">
      <c r="A9060" t="s">
        <v>10406</v>
      </c>
      <c r="B9060" t="s">
        <v>225</v>
      </c>
      <c r="C9060">
        <v>0.02</v>
      </c>
    </row>
    <row r="9061" spans="1:3" x14ac:dyDescent="0.3">
      <c r="A9061" t="s">
        <v>10406</v>
      </c>
      <c r="B9061" t="s">
        <v>225</v>
      </c>
      <c r="C9061">
        <v>0.05</v>
      </c>
    </row>
    <row r="9062" spans="1:3" x14ac:dyDescent="0.3">
      <c r="A9062" t="s">
        <v>13868</v>
      </c>
      <c r="B9062" t="s">
        <v>87</v>
      </c>
      <c r="C9062">
        <v>0.05</v>
      </c>
    </row>
    <row r="9063" spans="1:3" x14ac:dyDescent="0.3">
      <c r="A9063" t="s">
        <v>13868</v>
      </c>
      <c r="B9063" t="s">
        <v>87</v>
      </c>
      <c r="C9063">
        <v>7.0000000000000007E-2</v>
      </c>
    </row>
    <row r="9064" spans="1:3" x14ac:dyDescent="0.3">
      <c r="A9064" t="s">
        <v>14063</v>
      </c>
      <c r="B9064" t="s">
        <v>87</v>
      </c>
      <c r="C9064">
        <v>0.01</v>
      </c>
    </row>
    <row r="9065" spans="1:3" x14ac:dyDescent="0.3">
      <c r="A9065" t="s">
        <v>14063</v>
      </c>
      <c r="B9065" t="s">
        <v>87</v>
      </c>
      <c r="C9065">
        <v>0.04</v>
      </c>
    </row>
    <row r="9066" spans="1:3" x14ac:dyDescent="0.3">
      <c r="A9066" t="s">
        <v>14063</v>
      </c>
      <c r="B9066" t="s">
        <v>87</v>
      </c>
      <c r="C9066">
        <v>0.08</v>
      </c>
    </row>
    <row r="9067" spans="1:3" x14ac:dyDescent="0.3">
      <c r="A9067" t="s">
        <v>10741</v>
      </c>
      <c r="B9067" t="s">
        <v>87</v>
      </c>
      <c r="C9067">
        <v>0.01</v>
      </c>
    </row>
    <row r="9068" spans="1:3" x14ac:dyDescent="0.3">
      <c r="A9068" t="s">
        <v>10741</v>
      </c>
      <c r="B9068" t="s">
        <v>87</v>
      </c>
      <c r="C9068">
        <v>0.02</v>
      </c>
    </row>
    <row r="9069" spans="1:3" x14ac:dyDescent="0.3">
      <c r="A9069" t="s">
        <v>14645</v>
      </c>
      <c r="B9069" t="s">
        <v>40</v>
      </c>
      <c r="C9069">
        <v>0.05</v>
      </c>
    </row>
    <row r="9070" spans="1:3" x14ac:dyDescent="0.3">
      <c r="A9070" t="s">
        <v>14512</v>
      </c>
      <c r="B9070" t="s">
        <v>40</v>
      </c>
      <c r="C9070">
        <v>0.06</v>
      </c>
    </row>
    <row r="9071" spans="1:3" x14ac:dyDescent="0.3">
      <c r="A9071" t="s">
        <v>12340</v>
      </c>
      <c r="B9071" t="s">
        <v>53</v>
      </c>
      <c r="C9071">
        <v>0.03</v>
      </c>
    </row>
    <row r="9072" spans="1:3" x14ac:dyDescent="0.3">
      <c r="A9072" t="s">
        <v>12340</v>
      </c>
      <c r="B9072" t="s">
        <v>53</v>
      </c>
      <c r="C9072">
        <v>7.0000000000000007E-2</v>
      </c>
    </row>
    <row r="9073" spans="1:3" x14ac:dyDescent="0.3">
      <c r="A9073" t="s">
        <v>15756</v>
      </c>
      <c r="B9073" t="s">
        <v>64</v>
      </c>
      <c r="C9073">
        <v>0.03</v>
      </c>
    </row>
    <row r="9074" spans="1:3" x14ac:dyDescent="0.3">
      <c r="A9074" t="s">
        <v>15756</v>
      </c>
      <c r="B9074" t="s">
        <v>64</v>
      </c>
      <c r="C9074">
        <v>0.06</v>
      </c>
    </row>
    <row r="9075" spans="1:3" x14ac:dyDescent="0.3">
      <c r="A9075" t="s">
        <v>15756</v>
      </c>
      <c r="B9075" t="s">
        <v>64</v>
      </c>
      <c r="C9075">
        <v>0.09</v>
      </c>
    </row>
    <row r="9076" spans="1:3" x14ac:dyDescent="0.3">
      <c r="A9076" t="s">
        <v>15756</v>
      </c>
      <c r="B9076" t="s">
        <v>87</v>
      </c>
      <c r="C9076">
        <v>0.04</v>
      </c>
    </row>
    <row r="9077" spans="1:3" x14ac:dyDescent="0.3">
      <c r="A9077" t="s">
        <v>15407</v>
      </c>
      <c r="B9077" t="s">
        <v>64</v>
      </c>
      <c r="C9077">
        <v>0.1</v>
      </c>
    </row>
    <row r="9078" spans="1:3" x14ac:dyDescent="0.3">
      <c r="A9078" t="s">
        <v>10358</v>
      </c>
      <c r="B9078" t="s">
        <v>53</v>
      </c>
      <c r="C9078">
        <v>0.03</v>
      </c>
    </row>
    <row r="9079" spans="1:3" x14ac:dyDescent="0.3">
      <c r="A9079" t="s">
        <v>14032</v>
      </c>
      <c r="B9079" t="s">
        <v>225</v>
      </c>
      <c r="C9079">
        <v>0.03</v>
      </c>
    </row>
    <row r="9080" spans="1:3" x14ac:dyDescent="0.3">
      <c r="A9080" t="s">
        <v>14032</v>
      </c>
      <c r="B9080" t="s">
        <v>225</v>
      </c>
      <c r="C9080">
        <v>0.09</v>
      </c>
    </row>
    <row r="9081" spans="1:3" x14ac:dyDescent="0.3">
      <c r="A9081" t="s">
        <v>15019</v>
      </c>
      <c r="B9081" t="s">
        <v>64</v>
      </c>
      <c r="C9081">
        <v>0</v>
      </c>
    </row>
    <row r="9082" spans="1:3" x14ac:dyDescent="0.3">
      <c r="A9082" t="s">
        <v>15019</v>
      </c>
      <c r="B9082" t="s">
        <v>64</v>
      </c>
      <c r="C9082">
        <v>7.0000000000000007E-2</v>
      </c>
    </row>
    <row r="9083" spans="1:3" x14ac:dyDescent="0.3">
      <c r="A9083" t="s">
        <v>10382</v>
      </c>
      <c r="B9083" t="s">
        <v>53</v>
      </c>
      <c r="C9083">
        <v>0.06</v>
      </c>
    </row>
    <row r="9084" spans="1:3" x14ac:dyDescent="0.3">
      <c r="A9084" t="s">
        <v>12070</v>
      </c>
      <c r="B9084" t="s">
        <v>225</v>
      </c>
      <c r="C9084">
        <v>0.01</v>
      </c>
    </row>
    <row r="9085" spans="1:3" x14ac:dyDescent="0.3">
      <c r="A9085" t="s">
        <v>10433</v>
      </c>
      <c r="B9085" t="s">
        <v>53</v>
      </c>
      <c r="C9085">
        <v>0.08</v>
      </c>
    </row>
    <row r="9086" spans="1:3" x14ac:dyDescent="0.3">
      <c r="A9086" t="s">
        <v>10952</v>
      </c>
      <c r="B9086" t="s">
        <v>64</v>
      </c>
      <c r="C9086">
        <v>0.08</v>
      </c>
    </row>
    <row r="9087" spans="1:3" x14ac:dyDescent="0.3">
      <c r="A9087" t="s">
        <v>14211</v>
      </c>
      <c r="B9087" t="s">
        <v>40</v>
      </c>
      <c r="C9087">
        <v>0.1</v>
      </c>
    </row>
    <row r="9088" spans="1:3" x14ac:dyDescent="0.3">
      <c r="A9088" t="s">
        <v>10440</v>
      </c>
      <c r="B9088" t="s">
        <v>64</v>
      </c>
      <c r="C9088">
        <v>0.02</v>
      </c>
    </row>
    <row r="9089" spans="1:3" x14ac:dyDescent="0.3">
      <c r="A9089" t="s">
        <v>12900</v>
      </c>
      <c r="B9089" t="s">
        <v>29</v>
      </c>
      <c r="C9089">
        <v>0</v>
      </c>
    </row>
    <row r="9090" spans="1:3" x14ac:dyDescent="0.3">
      <c r="A9090" t="s">
        <v>12900</v>
      </c>
      <c r="B9090" t="s">
        <v>29</v>
      </c>
      <c r="C9090">
        <v>0.08</v>
      </c>
    </row>
    <row r="9091" spans="1:3" x14ac:dyDescent="0.3">
      <c r="A9091" t="s">
        <v>12900</v>
      </c>
      <c r="B9091" t="s">
        <v>29</v>
      </c>
      <c r="C9091">
        <v>0.1</v>
      </c>
    </row>
    <row r="9092" spans="1:3" x14ac:dyDescent="0.3">
      <c r="A9092" t="s">
        <v>12900</v>
      </c>
      <c r="B9092" t="s">
        <v>53</v>
      </c>
      <c r="C9092">
        <v>0.05</v>
      </c>
    </row>
    <row r="9093" spans="1:3" x14ac:dyDescent="0.3">
      <c r="A9093" t="s">
        <v>12900</v>
      </c>
      <c r="B9093" t="s">
        <v>53</v>
      </c>
      <c r="C9093">
        <v>0.06</v>
      </c>
    </row>
    <row r="9094" spans="1:3" x14ac:dyDescent="0.3">
      <c r="A9094" t="s">
        <v>12338</v>
      </c>
      <c r="B9094" t="s">
        <v>29</v>
      </c>
      <c r="C9094">
        <v>0.04</v>
      </c>
    </row>
    <row r="9095" spans="1:3" x14ac:dyDescent="0.3">
      <c r="A9095" t="s">
        <v>15516</v>
      </c>
      <c r="B9095" t="s">
        <v>53</v>
      </c>
      <c r="C9095">
        <v>0.02</v>
      </c>
    </row>
    <row r="9096" spans="1:3" x14ac:dyDescent="0.3">
      <c r="A9096" t="s">
        <v>14884</v>
      </c>
      <c r="B9096" t="s">
        <v>87</v>
      </c>
      <c r="C9096">
        <v>0.02</v>
      </c>
    </row>
    <row r="9097" spans="1:3" x14ac:dyDescent="0.3">
      <c r="A9097" t="s">
        <v>10473</v>
      </c>
      <c r="B9097" t="s">
        <v>87</v>
      </c>
      <c r="C9097">
        <v>0.01</v>
      </c>
    </row>
    <row r="9098" spans="1:3" x14ac:dyDescent="0.3">
      <c r="A9098" t="s">
        <v>14533</v>
      </c>
      <c r="B9098" t="s">
        <v>64</v>
      </c>
      <c r="C9098">
        <v>7.0000000000000007E-2</v>
      </c>
    </row>
    <row r="9099" spans="1:3" x14ac:dyDescent="0.3">
      <c r="A9099" t="s">
        <v>14694</v>
      </c>
      <c r="B9099" t="s">
        <v>64</v>
      </c>
      <c r="C9099">
        <v>0</v>
      </c>
    </row>
    <row r="9100" spans="1:3" x14ac:dyDescent="0.3">
      <c r="A9100" t="s">
        <v>13600</v>
      </c>
      <c r="B9100" t="s">
        <v>64</v>
      </c>
      <c r="C9100">
        <v>0</v>
      </c>
    </row>
    <row r="9101" spans="1:3" x14ac:dyDescent="0.3">
      <c r="A9101" t="s">
        <v>13271</v>
      </c>
      <c r="B9101" t="s">
        <v>64</v>
      </c>
      <c r="C9101">
        <v>0.1</v>
      </c>
    </row>
    <row r="9102" spans="1:3" x14ac:dyDescent="0.3">
      <c r="A9102" t="s">
        <v>13271</v>
      </c>
      <c r="B9102" t="s">
        <v>29</v>
      </c>
      <c r="C9102">
        <v>0.05</v>
      </c>
    </row>
    <row r="9103" spans="1:3" x14ac:dyDescent="0.3">
      <c r="A9103" t="s">
        <v>13271</v>
      </c>
      <c r="B9103" t="s">
        <v>29</v>
      </c>
      <c r="C9103">
        <v>0.06</v>
      </c>
    </row>
    <row r="9104" spans="1:3" x14ac:dyDescent="0.3">
      <c r="A9104" t="s">
        <v>10628</v>
      </c>
      <c r="B9104" t="s">
        <v>40</v>
      </c>
      <c r="C9104">
        <v>0.03</v>
      </c>
    </row>
    <row r="9105" spans="1:3" x14ac:dyDescent="0.3">
      <c r="A9105" t="s">
        <v>10628</v>
      </c>
      <c r="B9105" t="s">
        <v>87</v>
      </c>
      <c r="C9105">
        <v>0.03</v>
      </c>
    </row>
    <row r="9106" spans="1:3" x14ac:dyDescent="0.3">
      <c r="A9106" t="s">
        <v>10628</v>
      </c>
      <c r="B9106" t="s">
        <v>87</v>
      </c>
      <c r="C9106">
        <v>0.05</v>
      </c>
    </row>
    <row r="9107" spans="1:3" x14ac:dyDescent="0.3">
      <c r="A9107" t="s">
        <v>11152</v>
      </c>
      <c r="B9107" t="s">
        <v>87</v>
      </c>
      <c r="C9107">
        <v>0.09</v>
      </c>
    </row>
    <row r="9108" spans="1:3" x14ac:dyDescent="0.3">
      <c r="A9108" t="s">
        <v>14333</v>
      </c>
      <c r="B9108" t="s">
        <v>40</v>
      </c>
      <c r="C9108">
        <v>0.08</v>
      </c>
    </row>
    <row r="9109" spans="1:3" x14ac:dyDescent="0.3">
      <c r="A9109" t="s">
        <v>13230</v>
      </c>
      <c r="B9109" t="s">
        <v>87</v>
      </c>
      <c r="C9109">
        <v>0.06</v>
      </c>
    </row>
    <row r="9110" spans="1:3" x14ac:dyDescent="0.3">
      <c r="A9110" t="s">
        <v>10886</v>
      </c>
      <c r="B9110" t="s">
        <v>87</v>
      </c>
      <c r="C9110">
        <v>0.02</v>
      </c>
    </row>
    <row r="9111" spans="1:3" x14ac:dyDescent="0.3">
      <c r="A9111" t="s">
        <v>12514</v>
      </c>
      <c r="B9111" t="s">
        <v>29</v>
      </c>
      <c r="C9111">
        <v>0.02</v>
      </c>
    </row>
    <row r="9112" spans="1:3" x14ac:dyDescent="0.3">
      <c r="A9112" t="s">
        <v>11015</v>
      </c>
      <c r="B9112" t="s">
        <v>87</v>
      </c>
      <c r="C9112">
        <v>0.1</v>
      </c>
    </row>
    <row r="9113" spans="1:3" x14ac:dyDescent="0.3">
      <c r="A9113" t="s">
        <v>13122</v>
      </c>
      <c r="B9113" t="s">
        <v>87</v>
      </c>
      <c r="C9113">
        <v>0.03</v>
      </c>
    </row>
    <row r="9114" spans="1:3" x14ac:dyDescent="0.3">
      <c r="A9114" t="s">
        <v>14250</v>
      </c>
      <c r="B9114" t="s">
        <v>87</v>
      </c>
      <c r="C9114">
        <v>0.1</v>
      </c>
    </row>
    <row r="9115" spans="1:3" x14ac:dyDescent="0.3">
      <c r="A9115" t="s">
        <v>11004</v>
      </c>
      <c r="B9115" t="s">
        <v>87</v>
      </c>
      <c r="C9115">
        <v>0.06</v>
      </c>
    </row>
    <row r="9116" spans="1:3" x14ac:dyDescent="0.3">
      <c r="A9116" t="s">
        <v>11004</v>
      </c>
      <c r="B9116" t="s">
        <v>87</v>
      </c>
      <c r="C9116">
        <v>0.09</v>
      </c>
    </row>
    <row r="9117" spans="1:3" x14ac:dyDescent="0.3">
      <c r="A9117" t="s">
        <v>15532</v>
      </c>
      <c r="B9117" t="s">
        <v>225</v>
      </c>
      <c r="C9117">
        <v>0.03</v>
      </c>
    </row>
    <row r="9118" spans="1:3" x14ac:dyDescent="0.3">
      <c r="A9118" t="s">
        <v>13975</v>
      </c>
      <c r="B9118" t="s">
        <v>53</v>
      </c>
      <c r="C9118">
        <v>7.0000000000000007E-2</v>
      </c>
    </row>
    <row r="9119" spans="1:3" x14ac:dyDescent="0.3">
      <c r="A9119" t="s">
        <v>15827</v>
      </c>
      <c r="B9119" t="s">
        <v>225</v>
      </c>
      <c r="C9119">
        <v>0.04</v>
      </c>
    </row>
    <row r="9120" spans="1:3" x14ac:dyDescent="0.3">
      <c r="A9120" t="s">
        <v>12308</v>
      </c>
      <c r="B9120" t="s">
        <v>87</v>
      </c>
      <c r="C9120">
        <v>0.01</v>
      </c>
    </row>
    <row r="9121" spans="1:3" x14ac:dyDescent="0.3">
      <c r="A9121" t="s">
        <v>14610</v>
      </c>
      <c r="B9121" t="s">
        <v>53</v>
      </c>
      <c r="C9121">
        <v>0.08</v>
      </c>
    </row>
    <row r="9122" spans="1:3" x14ac:dyDescent="0.3">
      <c r="A9122" t="s">
        <v>11515</v>
      </c>
      <c r="B9122" t="s">
        <v>87</v>
      </c>
      <c r="C9122">
        <v>0.1</v>
      </c>
    </row>
    <row r="9123" spans="1:3" x14ac:dyDescent="0.3">
      <c r="A9123" t="s">
        <v>11168</v>
      </c>
      <c r="B9123" t="s">
        <v>87</v>
      </c>
      <c r="C9123">
        <v>0.08</v>
      </c>
    </row>
    <row r="9124" spans="1:3" x14ac:dyDescent="0.3">
      <c r="A9124" t="s">
        <v>15181</v>
      </c>
      <c r="B9124" t="s">
        <v>64</v>
      </c>
      <c r="C9124">
        <v>0.03</v>
      </c>
    </row>
    <row r="9125" spans="1:3" x14ac:dyDescent="0.3">
      <c r="A9125" t="s">
        <v>12770</v>
      </c>
      <c r="B9125" t="s">
        <v>87</v>
      </c>
      <c r="C9125">
        <v>0.02</v>
      </c>
    </row>
    <row r="9126" spans="1:3" x14ac:dyDescent="0.3">
      <c r="A9126" t="s">
        <v>15623</v>
      </c>
      <c r="B9126" t="s">
        <v>87</v>
      </c>
      <c r="C9126">
        <v>0.02</v>
      </c>
    </row>
    <row r="9127" spans="1:3" x14ac:dyDescent="0.3">
      <c r="A9127" t="s">
        <v>15623</v>
      </c>
      <c r="B9127" t="s">
        <v>87</v>
      </c>
      <c r="C9127">
        <v>0.06</v>
      </c>
    </row>
    <row r="9128" spans="1:3" x14ac:dyDescent="0.3">
      <c r="A9128" t="s">
        <v>13496</v>
      </c>
      <c r="B9128" t="s">
        <v>29</v>
      </c>
      <c r="C9128">
        <v>0.03</v>
      </c>
    </row>
    <row r="9129" spans="1:3" x14ac:dyDescent="0.3">
      <c r="A9129" t="s">
        <v>14681</v>
      </c>
      <c r="B9129" t="s">
        <v>29</v>
      </c>
      <c r="C9129">
        <v>0.04</v>
      </c>
    </row>
    <row r="9130" spans="1:3" x14ac:dyDescent="0.3">
      <c r="A9130" t="s">
        <v>14065</v>
      </c>
      <c r="B9130" t="s">
        <v>64</v>
      </c>
      <c r="C9130">
        <v>0.09</v>
      </c>
    </row>
    <row r="9131" spans="1:3" x14ac:dyDescent="0.3">
      <c r="A9131" t="s">
        <v>14065</v>
      </c>
      <c r="B9131" t="s">
        <v>64</v>
      </c>
      <c r="C9131">
        <v>0.1</v>
      </c>
    </row>
    <row r="9132" spans="1:3" x14ac:dyDescent="0.3">
      <c r="A9132" t="s">
        <v>11482</v>
      </c>
      <c r="B9132" t="s">
        <v>29</v>
      </c>
      <c r="C9132">
        <v>0.05</v>
      </c>
    </row>
    <row r="9133" spans="1:3" x14ac:dyDescent="0.3">
      <c r="A9133" t="s">
        <v>12794</v>
      </c>
      <c r="B9133" t="s">
        <v>29</v>
      </c>
      <c r="C9133">
        <v>0.09</v>
      </c>
    </row>
    <row r="9134" spans="1:3" x14ac:dyDescent="0.3">
      <c r="A9134" t="s">
        <v>15061</v>
      </c>
      <c r="B9134" t="s">
        <v>64</v>
      </c>
      <c r="C9134">
        <v>0.04</v>
      </c>
    </row>
    <row r="9135" spans="1:3" x14ac:dyDescent="0.3">
      <c r="A9135" t="s">
        <v>15490</v>
      </c>
      <c r="B9135" t="s">
        <v>64</v>
      </c>
      <c r="C9135">
        <v>7.0000000000000007E-2</v>
      </c>
    </row>
    <row r="9136" spans="1:3" x14ac:dyDescent="0.3">
      <c r="A9136" t="s">
        <v>15490</v>
      </c>
      <c r="B9136" t="s">
        <v>87</v>
      </c>
      <c r="C9136">
        <v>7.0000000000000007E-2</v>
      </c>
    </row>
    <row r="9137" spans="1:3" x14ac:dyDescent="0.3">
      <c r="A9137" t="s">
        <v>11739</v>
      </c>
      <c r="B9137" t="s">
        <v>225</v>
      </c>
      <c r="C9137">
        <v>0.05</v>
      </c>
    </row>
    <row r="9138" spans="1:3" x14ac:dyDescent="0.3">
      <c r="A9138" t="s">
        <v>13131</v>
      </c>
      <c r="B9138" t="s">
        <v>225</v>
      </c>
      <c r="C9138">
        <v>0.08</v>
      </c>
    </row>
    <row r="9139" spans="1:3" x14ac:dyDescent="0.3">
      <c r="A9139" t="s">
        <v>15766</v>
      </c>
      <c r="B9139" t="s">
        <v>225</v>
      </c>
      <c r="C9139">
        <v>0</v>
      </c>
    </row>
    <row r="9140" spans="1:3" x14ac:dyDescent="0.3">
      <c r="A9140" t="s">
        <v>12052</v>
      </c>
      <c r="B9140" t="s">
        <v>40</v>
      </c>
      <c r="C9140">
        <v>0.02</v>
      </c>
    </row>
    <row r="9141" spans="1:3" x14ac:dyDescent="0.3">
      <c r="A9141" t="s">
        <v>13899</v>
      </c>
      <c r="B9141" t="s">
        <v>40</v>
      </c>
      <c r="C9141">
        <v>0.04</v>
      </c>
    </row>
    <row r="9142" spans="1:3" x14ac:dyDescent="0.3">
      <c r="A9142" t="s">
        <v>15215</v>
      </c>
      <c r="B9142" t="s">
        <v>87</v>
      </c>
      <c r="C9142">
        <v>0.02</v>
      </c>
    </row>
    <row r="9143" spans="1:3" x14ac:dyDescent="0.3">
      <c r="A9143" t="s">
        <v>15188</v>
      </c>
      <c r="B9143" t="s">
        <v>87</v>
      </c>
      <c r="C9143">
        <v>0.04</v>
      </c>
    </row>
    <row r="9144" spans="1:3" x14ac:dyDescent="0.3">
      <c r="A9144" t="s">
        <v>15188</v>
      </c>
      <c r="B9144" t="s">
        <v>87</v>
      </c>
      <c r="C9144">
        <v>0.06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 2 0 1 9 - 0 9 - 2 0 T 1 9 : 4 9 : 2 8 . 4 4 5 9 0 8 9 + 0 2 : 0 0 < / L a s t P r o c e s s e d T i m e > < / D a t a M o d e l i n g S a n d b o x . S e r i a l i z e d S a n d b o x E r r o r C a c h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 d a n e 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 d a n e 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 C o l u m n s \ N r   w i e r s z a 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 C o l u m n s \ N r   z a m � w i e n i a 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  z a m � w i e n i a 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 C o l u m n s \ P r i o r y t e t   z a m � w i e n i a 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 C o l u m n s \ W i e l k o [  z a m � w i e n i a 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  w y s y Bk i 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 C o l u m n s \ R o d z a j   t r a n s p o r t u 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 C o l u m n s \ R o d z a j   o p a k o w a n i a 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 C o l u m n s \ S e g m e n t   r y n k u 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 C o l u m n s \ S p r z e d a |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 C o l u m n s \ R a b a t   p r o c e n t o w y 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 C o l u m n s \ M a r |a   p o d s t a w o w a 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 C o l u m n s \ K o s z t   d o s t a w y 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 C o l u m n s \ Z y s k 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 C o l u m n s \ N r   k l i e n t a 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 C o l u m n s \ K l i e n t 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 C o l u m n s \ W o j e w � d z t w o 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 C o l u m n s \ M i a s t o 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 C o l u m n s \ K o d   p o c z t o w y 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 C o l u m n s \ N a z w a   p r o d u k t u 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 C o l u m n s \ K a t e g o r i a   p r o d u k t u 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 C o l u m n s \ P o d k a t e g o r i a   p r o d u k t u 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 C o l u m n s \ C e n a   j e d n o s t k o w a 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 C o l u m n s \ C z a s   d o s t a w y 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d a n e _ c 7 2 6 2 0 0 d - b 8 9 0 - 4 9 5 1 - 9 8 f 1 - d 1 c 7 a 9 4 e f 2 1 d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 d a n e 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 d a n e 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 M e a s u r e s \ M e d i a n a < / K e y > < / D i a g r a m O b j e c t K e y > < D i a g r a m O b j e c t K e y > < K e y > M e a s u r e s \ M e d i a n a \ T a g I n f o \ F o r m u Ba < / K e y > < / D i a g r a m O b j e c t K e y > < D i a g r a m O b j e c t K e y > < K e y > M e a s u r e s \ M e d i a n a \ T a g I n f o \ W a r t o [< / K e y > < / D i a g r a m O b j e c t K e y > < D i a g r a m O b j e c t K e y > < K e y > M e a s u r e s \ m i n < / K e y > < / D i a g r a m O b j e c t K e y > < D i a g r a m O b j e c t K e y > < K e y > M e a s u r e s \ m i n \ T a g I n f o \ F o r m u Ba < / K e y > < / D i a g r a m O b j e c t K e y > < D i a g r a m O b j e c t K e y > < K e y > M e a s u r e s \ m i n \ T a g I n f o \ W a r t o [< / K e y > < / D i a g r a m O b j e c t K e y > < D i a g r a m O b j e c t K e y > < K e y > M e a s u r e s \ m a x < / K e y > < / D i a g r a m O b j e c t K e y > < D i a g r a m O b j e c t K e y > < K e y > M e a s u r e s \ m a x \ T a g I n f o \ F o r m u Ba < / K e y > < / D i a g r a m O b j e c t K e y > < D i a g r a m O b j e c t K e y > < K e y > M e a s u r e s \ m a x \ T a g I n f o \ W a r t o [< / K e y > < / D i a g r a m O b j e c t K e y > < D i a g r a m O b j e c t K e y > < K e y > M e a s u r e s \ 3 k w a r t y l < / K e y > < / D i a g r a m O b j e c t K e y > < D i a g r a m O b j e c t K e y > < K e y > M e a s u r e s \ 3 k w a r t y l \ T a g I n f o \ F o r m u Ba < / K e y > < / D i a g r a m O b j e c t K e y > < D i a g r a m O b j e c t K e y > < K e y > M e a s u r e s \ 3 k w a r t y l \ T a g I n f o \ W a r t o [< / K e y > < / D i a g r a m O b j e c t K e y > < D i a g r a m O b j e c t K e y > < K e y > C o l u m n s \ N r   w i e r s z a < / K e y > < / D i a g r a m O b j e c t K e y > < D i a g r a m O b j e c t K e y > < K e y > C o l u m n s \ N r   z a m � w i e n i a < / K e y > < / D i a g r a m O b j e c t K e y > < D i a g r a m O b j e c t K e y > < K e y > C o l u m n s \ D a t a   z a m � w i e n i a < / K e y > < / D i a g r a m O b j e c t K e y > < D i a g r a m O b j e c t K e y > < K e y > C o l u m n s \ P r i o r y t e t   z a m � w i e n i a < / K e y > < / D i a g r a m O b j e c t K e y > < D i a g r a m O b j e c t K e y > < K e y > C o l u m n s \ W i e l k o [  z a m � w i e n i a < / K e y > < / D i a g r a m O b j e c t K e y > < D i a g r a m O b j e c t K e y > < K e y > C o l u m n s \ D a t a   w y s y Bk i < / K e y > < / D i a g r a m O b j e c t K e y > < D i a g r a m O b j e c t K e y > < K e y > C o l u m n s \ R o d z a j   t r a n s p o r t u < / K e y > < / D i a g r a m O b j e c t K e y > < D i a g r a m O b j e c t K e y > < K e y > C o l u m n s \ R o d z a j   o p a k o w a n i a < / K e y > < / D i a g r a m O b j e c t K e y > < D i a g r a m O b j e c t K e y > < K e y > C o l u m n s \ S e g m e n t   r y n k u < / K e y > < / D i a g r a m O b j e c t K e y > < D i a g r a m O b j e c t K e y > < K e y > C o l u m n s \ S p r z e d a |< / K e y > < / D i a g r a m O b j e c t K e y > < D i a g r a m O b j e c t K e y > < K e y > C o l u m n s \ R a b a t   p r o c e n t o w y < / K e y > < / D i a g r a m O b j e c t K e y > < D i a g r a m O b j e c t K e y > < K e y > C o l u m n s \ M a r |a   p o d s t a w o w a < / K e y > < / D i a g r a m O b j e c t K e y > < D i a g r a m O b j e c t K e y > < K e y > C o l u m n s \ K o s z t   d o s t a w y < / K e y > < / D i a g r a m O b j e c t K e y > < D i a g r a m O b j e c t K e y > < K e y > C o l u m n s \ Z y s k < / K e y > < / D i a g r a m O b j e c t K e y > < D i a g r a m O b j e c t K e y > < K e y > C o l u m n s \ R e g i o n < / K e y > < / D i a g r a m O b j e c t K e y > < D i a g r a m O b j e c t K e y > < K e y > C o l u m n s \ N r   k l i e n t a < / K e y > < / D i a g r a m O b j e c t K e y > < D i a g r a m O b j e c t K e y > < K e y > C o l u m n s \ K l i e n t < / K e y > < / D i a g r a m O b j e c t K e y > < D i a g r a m O b j e c t K e y > < K e y > C o l u m n s \ W o j e w � d z t w o < / K e y > < / D i a g r a m O b j e c t K e y > < D i a g r a m O b j e c t K e y > < K e y > C o l u m n s \ M i a s t o < / K e y > < / D i a g r a m O b j e c t K e y > < D i a g r a m O b j e c t K e y > < K e y > C o l u m n s \ K o d   p o c z t o w y < / K e y > < / D i a g r a m O b j e c t K e y > < D i a g r a m O b j e c t K e y > < K e y > C o l u m n s \ N a z w a   p r o d u k t u < / K e y > < / D i a g r a m O b j e c t K e y > < D i a g r a m O b j e c t K e y > < K e y > C o l u m n s \ K a t e g o r i a   p r o d u k t u < / K e y > < / D i a g r a m O b j e c t K e y > < D i a g r a m O b j e c t K e y > < K e y > C o l u m n s \ P o d k a t e g o r i a   p r o d u k t u < / K e y > < / D i a g r a m O b j e c t K e y > < D i a g r a m O b j e c t K e y > < K e y > C o l u m n s \ C e n a   j e d n o s t k o w a < / K e y > < / D i a g r a m O b j e c t K e y > < D i a g r a m O b j e c t K e y > < K e y > C o l u m n s \ C z a s   d o s t a w y < / K e y > < / D i a g r a m O b j e c t K e y > < D i a g r a m O b j e c t K e y > < K e y > M e a s u r e s \ 1 k w a r t y l < / K e y > < / D i a g r a m O b j e c t K e y > < D i a g r a m O b j e c t K e y > < K e y > M e a s u r e s \ 1 k w a r t y l \ T a g I n f o \ F o r m u Ba < / K e y > < / D i a g r a m O b j e c t K e y > < D i a g r a m O b j e c t K e y > < K e y > M e a s u r e s \ 1 k w a r t y l \ T a g I n f o \ W a r t o [< / K e y > < / D i a g r a m O b j e c t K e y > < D i a g r a m O b j e c t K e y > < K e y > M e a s u r e s \ d o l n y < / K e y > < / D i a g r a m O b j e c t K e y > < D i a g r a m O b j e c t K e y > < K e y > M e a s u r e s \ d o l n y \ T a g I n f o \ F o r m u Ba < / K e y > < / D i a g r a m O b j e c t K e y > < D i a g r a m O b j e c t K e y > < K e y > M e a s u r e s \ d o l n y \ T a g I n f o \ W a r t o [< / K e y > < / D i a g r a m O b j e c t K e y > < D i a g r a m O b j e c t K e y > < K e y > M e a s u r e s \ g � r n y < / K e y > < / D i a g r a m O b j e c t K e y > < D i a g r a m O b j e c t K e y > < K e y > M e a s u r e s \ g � r n y \ T a g I n f o \ F o r m u Ba < / K e y > < / D i a g r a m O b j e c t K e y > < D i a g r a m O b j e c t K e y > < K e y > M e a s u r e s \ g � r n y \ T a g I n f o \ W a r t o [< / K e y > < / D i a g r a m O b j e c t K e y > < D i a g r a m O b j e c t K e y > < K e y > M e a s u r e s \ l i n i a   d o l n a < / K e y > < / D i a g r a m O b j e c t K e y > < D i a g r a m O b j e c t K e y > < K e y > M e a s u r e s \ l i n i a   d o l n a \ T a g I n f o \ F o r m u Ba < / K e y > < / D i a g r a m O b j e c t K e y > < D i a g r a m O b j e c t K e y > < K e y > M e a s u r e s \ l i n i a   d o l n a \ T a g I n f o \ W a r t o [< / K e y > < / D i a g r a m O b j e c t K e y > < D i a g r a m O b j e c t K e y > < K e y > M e a s u r e s \ l i n i a   g � r n a < / K e y > < / D i a g r a m O b j e c t K e y > < D i a g r a m O b j e c t K e y > < K e y > M e a s u r e s \ l i n i a   g � r n a \ T a g I n f o \ F o r m u Ba < / K e y > < / D i a g r a m O b j e c t K e y > < D i a g r a m O b j e c t K e y > < K e y > M e a s u r e s \ l i n i a   g � r n a \ T a g I n f o \ W a r t o [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R o w > 4 < / F o c u s R o w > < S e l e c t i o n E n d R o w > 4 < / S e l e c t i o n E n d R o w > < S e l e c t i o n S t a r t R o w > 4 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 M e a s u r e s \ M e d i a n a 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 M e a s u r e s \ M e d i a n a \ T a g I n f o \ F o r m u Ba 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 M e a s u r e s \ M e d i a n a \ T a g I n f o \ W a r t o [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 M e a s u r e s \ m i n 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 M e a s u r e s \ m i n \ T a g I n f o \ F o r m u Ba 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 M e a s u r e s \ m i n \ T a g I n f o \ W a r t o [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 M e a s u r e s \ m a x 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 M e a s u r e s \ m a x \ T a g I n f o \ F o r m u Ba 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 M e a s u r e s \ m a x \ T a g I n f o \ W a r t o [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 M e a s u r e s \ 3 k w a r t y l 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 M e a s u r e s \ 3 k w a r t y l \ T a g I n f o \ F o r m u Ba 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 M e a s u r e s \ 3 k w a r t y l \ T a g I n f o \ W a r t o [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 C o l u m n s \ N r   w i e r s z a 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 C o l u m n s \ N r   z a m � w i e n i a 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 C o l u m n s \ D a t a   z a m � w i e n i a 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 C o l u m n s \ P r i o r y t e t   z a m � w i e n i a 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 C o l u m n s \ W i e l k o [  z a m � w i e n i a 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 C o l u m n s \ D a t a   w y s y Bk i 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 C o l u m n s \ R o d z a j   t r a n s p o r t u 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 C o l u m n s \ R o d z a j   o p a k o w a n i a 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 C o l u m n s \ S e g m e n t   r y n k u 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 C o l u m n s \ S p r z e d a |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 C o l u m n s \ R a b a t   p r o c e n t o w y 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 C o l u m n s \ M a r |a   p o d s t a w o w a 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 C o l u m n s \ K o s z t   d o s t a w y 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 C o l u m n s \ Z y s k 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 C o l u m n s \ N r   k l i e n t a 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 C o l u m n s \ K l i e n t 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 C o l u m n s \ W o j e w � d z t w o 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 C o l u m n s \ M i a s t o 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 C o l u m n s \ K o d   p o c z t o w y 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 C o l u m n s \ N a z w a   p r o d u k t u 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 C o l u m n s \ K a t e g o r i a   p r o d u k t u 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 C o l u m n s \ P o d k a t e g o r i a   p r o d u k t u 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 C o l u m n s \ C e n a   j e d n o s t k o w a 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 C o l u m n s \ C z a s   d o s t a w y 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 M e a s u r e s \ 1 k w a r t y l 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 M e a s u r e s \ 1 k w a r t y l \ T a g I n f o \ F o r m u Ba 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 M e a s u r e s \ 1 k w a r t y l \ T a g I n f o \ W a r t o [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 M e a s u r e s \ d o l n y 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 M e a s u r e s \ d o l n y \ T a g I n f o \ F o r m u Ba 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 M e a s u r e s \ d o l n y \ T a g I n f o \ W a r t o [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 M e a s u r e s \ g � r n y 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 M e a s u r e s \ g � r n y \ T a g I n f o \ F o r m u Ba 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 M e a s u r e s \ g � r n y \ T a g I n f o \ W a r t o [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 M e a s u r e s \ l i n i a   d o l n a 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 M e a s u r e s \ l i n i a   d o l n a \ T a g I n f o \ F o r m u Ba 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 M e a s u r e s \ l i n i a   d o l n a \ T a g I n f o \ W a r t o [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 M e a s u r e s \ l i n i a   g � r n a < / K e y > < / a : K e y > < a : V a l u e   i : t y p e = " M e a s u r e G r i d N o d e V i e w S t a t e "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 M e a s u r e s \ l i n i a   g � r n a \ T a g I n f o \ F o r m u Ba 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 M e a s u r e s \ l i n i a   g � r n a \ T a g I n f o \ W a r t o [< / K e y > < / a : K e y > < a : V a l u e   i : t y p e = " M e a s u r e G r i d V i e w S t a t e I D i a g r a m T a g A d d i t i o n a l I n f o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0 6 8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O r d e r " > < C u s t o m C o n t e n t > < ! [ C D A T A [ d a n e _ c 7 2 6 2 0 0 d - b 8 9 0 - 4 9 5 1 - 9 8 f 1 - d 1 c 7 a 9 4 e f 2 1 d ] ] > < / C u s t o m C o n t e n t > < / G e m i n i > 
</file>

<file path=customXml/item2.xml>��< ? x m l   v e r s i o n = " 1 . 0 "   e n c o d i n g = " u t f - 1 6 " ? > < D a t a M a s h u p   s q m i d = " f 0 b 9 3 5 0 a - f 6 d f - 4 e f 4 - 9 8 1 9 - 4 5 f c 8 5 8 d e 7 5 d "   x m l n s = " h t t p : / / s c h e m a s . m i c r o s o f t . c o m / D a t a M a s h u p " > A A A A A H g F A A B Q S w M E F A A C A A g A n J s 0 T 9 X q l H C o A A A A + A A A A B I A H A B D b 2 5 m a W c v U G F j a 2 F n Z S 5 4 b W w g o h g A K K A U A A A A A A A A A A A A A A A A A A A A A A A A A A A A h Y 9 B D o I w F E S v Q r q n L R X U m E 9 Z u I W E x M S 4 J a V C I x R C i + V u L j y S V 5 B E U X c u Z / I m e f O 4 3 S G Z 2 s a 7 y s G o T s c o w B R 5 U o u u V L q K 0 W j P / h Y l H P J C X I p K e j O s z W 4 y K k a 1 t f 2 O E O c c d i v c D R V h l A b k l K U H U c u 2 8 J U 2 t t B C o s + q / L 9 C H I 4 v G c 7 w h u E o i t Y 4 D A M g S w 2 Z 0 l + E z c a Y A v k p Y T 8 2 d h w k 7 x s / T 4 E s E c j 7 B X 8 C U E s D B B Q A A g A I A J y b N E 8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c m z R P l j e 1 8 2 4 C A A B Z B g A A E w A c A E Z v c m 1 1 b G F z L 1 N l Y 3 R p b 2 4 x L m 0 g o h g A K K A U A A A A A A A A A A A A A A A A A A A A A A A A A A A A h V T B b t p A E L 0 j 8 Q 8 r 9 4 I l g o p C U K U 0 l S r o o Y q S o h A p U h C H g Z 0 Q Y 3 v H 2 l 3 k 2 I h L L v 2 G q p + R U 6 X c E v 9 X 1 z Y B g m 3 C x W L f 2 5 k 3 b 2 Z W 4 V Q 7 J N g w / 7 Z P 6 7 V 6 T d 2 D R M 4 4 C G R n z E N d r z H z S / 7 J l y e e P J I 5 / P E w R a / V W 0 i J Q t + Q d C d E b s N e j i 7 B x z P r G i b o Q d s a r 0 Y 9 E t p w x s 0 8 y C f r 1 n d Q m F z E d B R Y J p Y h e 9 i 6 l i D U H U m / R 9 7 C F 9 d R g K q x S d l c L q 1 L y U I H p Y r B a r K f Q n c 7 r Z S 1 a r I M i 8 F / e Q r T 2 C l u Y i P T + K A z u A 8 a y g g c d H 5 / I B 2 S k U Z 9 M M y N g 5 5 L y d / X 3 3 u 0 P T V Z u j B S U f L o O o V c V 8 R j m D O d F h y Q 1 I t C n j W D A n A p h D I l Q 5 z 5 x l U m I + E W 7 w 8 D G S O H 5 P k N E Q t / g j K P D R P Q L J A 0 N f c p j E o o F y C T Z 2 A B c a U h N A r e O C C i j H B O K t a M U w q X B b i N l F u W G m e m 7 w W 1 p n e u Z 5 z U x T L P s / N i H 2 i O o R m M W I d U A C 8 c U L p 4 f E 7 c V D S N d 2 v e S o A 4 h N Q U v n C 3 / d i U a z o 3 I + k U G Z s A A + L u x 6 w e C m B z 5 M I 4 5 + 7 4 u v Z o Z W + W 5 C a 1 N l s S s w D J s 3 C m r 3 / S C d r u y 3 f O 8 0 1 p 7 K 9 U k 1 m / O M 7 9 b H T Q / E W Y 3 r P + Q k K 6 4 q 0 + R K o x e j e i Y 3 b E R v s 7 M r Z 3 5 3 o r b W B m 6 8 7 x t E z j 0 3 o l c S t s i J 5 5 T K 4 o V I 0 D d a x V N U Y 7 U s f s 6 z d 2 d N w 9 N s 5 z V o J 0 v l Q i X d s u e W G E 6 W v E 3 M y n r c I r 0 w Y f c / d S k R U V p W / O e y O t X g x q M / e 7 / S o P 0 a 5 w p U L g x p P d N O s C T 7 p 5 6 W X Q S T V 0 X A l 1 O t X Q g V u f b b t e c 8 R H d Z / + B 1 B L A Q I t A B Q A A g A I A J y b N E / V 6 p R w q A A A A P g A A A A S A A A A A A A A A A A A A A A A A A A A A A B D b 2 5 m a W c v U G F j a 2 F n Z S 5 4 b W x Q S w E C L Q A U A A I A C A C c m z R P D 8 r p q 6 Q A A A D p A A A A E w A A A A A A A A A A A A A A A A D 0 A A A A W 0 N v b n R l b n R f V H l w Z X N d L n h t b F B L A Q I t A B Q A A g A I A J y b N E + W N 7 X z b g I A A F k G A A A T A A A A A A A A A A A A A A A A A O U B A A B G b 3 J t d W x h c y 9 T Z W N 0 a W 9 u M S 5 t U E s F B g A A A A A D A A M A w g A A A K A E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Q Y A A A A A A A A E h g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W 5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d p Z 2 F j a m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T Q y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O S 0 y M F Q x N z o y O D o 1 N S 4 1 M T A 0 O D I 2 W i I g L z 4 8 R W 5 0 c n k g V H l w Z T 0 i R m l s b E N v b H V t b l R 5 c G V z I i B W Y W x 1 Z T 0 i c 0 F 3 W U p C Z 0 1 K Q m d Z R 0 J R V U F C U V V H Q m d Z R 0 J n W U F C Z 1 l G Q X c 9 P S I g L z 4 8 R W 5 0 c n k g V H l w Z T 0 i R m l s b E N v b H V t b k 5 h b W V z I i B W Y W x 1 Z T 0 i c 1 s m c X V v d D t O c i B 3 a W V y c 3 p h J n F 1 b 3 Q 7 L C Z x d W 9 0 O 0 5 y I H p h b c O z d 2 l l b m l h J n F 1 b 3 Q 7 L C Z x d W 9 0 O 0 R h d G E g e m F t w 7 N 3 a W V u a W E m c X V v d D s s J n F 1 b 3 Q 7 U H J p b 3 J 5 d G V 0 I H p h b c O z d 2 l l b m l h J n F 1 b 3 Q 7 L C Z x d W 9 0 O 1 d p Z W x r b 8 W b x I c g e m F t w 7 N 3 a W V u a W E m c X V v d D s s J n F 1 b 3 Q 7 R G F 0 Y S B 3 e X N 5 x Y J r a S Z x d W 9 0 O y w m c X V v d D t S b 2 R 6 Y W o g d H J h b n N w b 3 J 0 d S Z x d W 9 0 O y w m c X V v d D t S b 2 R 6 Y W o g b 3 B h a 2 9 3 Y W 5 p Y S Z x d W 9 0 O y w m c X V v d D t T Z W d t Z W 5 0 I H J 5 b m t 1 J n F 1 b 3 Q 7 L C Z x d W 9 0 O 1 N w c n p l Z G H F v C Z x d W 9 0 O y w m c X V v d D t S Y W J h d C B w c m 9 j Z W 5 0 b 3 d 5 J n F 1 b 3 Q 7 L C Z x d W 9 0 O 0 1 h c s W 8 Y S B w b 2 R z d G F 3 b 3 d h J n F 1 b 3 Q 7 L C Z x d W 9 0 O 0 t v c 3 p 0 I G R v c 3 R h d 3 k m c X V v d D s s J n F 1 b 3 Q 7 W n l z a y Z x d W 9 0 O y w m c X V v d D t S Z W d p b 2 4 m c X V v d D s s J n F 1 b 3 Q 7 T n I g a 2 x p Z W 5 0 Y S Z x d W 9 0 O y w m c X V v d D t L b G l l b n Q m c X V v d D s s J n F 1 b 3 Q 7 V 2 9 q Z X f D s 2 R 6 d H d v J n F 1 b 3 Q 7 L C Z x d W 9 0 O 0 1 p Y X N 0 b y Z x d W 9 0 O y w m c X V v d D t L b 2 Q g c G 9 j e n R v d 3 k m c X V v d D s s J n F 1 b 3 Q 7 T m F 6 d 2 E g c H J v Z H V r d H U m c X V v d D s s J n F 1 b 3 Q 7 S 2 F 0 Z W d v c m l h I H B y b 2 R 1 a 3 R 1 J n F 1 b 3 Q 7 L C Z x d W 9 0 O 1 B v Z G t h d G V n b 3 J p Y S B w c m 9 k d W t 0 d S Z x d W 9 0 O y w m c X V v d D t D Z W 5 h I G p l Z G 5 v c 3 R r b 3 d h J n F 1 b 3 Q 7 L C Z x d W 9 0 O 0 N 6 Y X M g Z G 9 z d G F 3 e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Y W 5 l L 1 p t a W V u a W 9 u b y B 0 e X A u e 0 5 y I H d p Z X J z e m E s M H 0 m c X V v d D s s J n F 1 b 3 Q 7 U 2 V j d G l v b j E v Z G F u Z S 9 a b W l l b m l v b m 8 g d H l w L n t O c i B 6 Y W 3 D s 3 d p Z W 5 p Y S w x f S Z x d W 9 0 O y w m c X V v d D t T Z W N 0 a W 9 u M S 9 k Y W 5 l L 1 p t a W V u a W 9 u b y B 0 e X A u e 0 R h d G E g e m F t w 7 N 3 a W V u a W E s M n 0 m c X V v d D s s J n F 1 b 3 Q 7 U 2 V j d G l v b j E v Z G F u Z S 9 a b W l l b m l v b m 8 g d H l w L n t Q c m l v c n l 0 Z X Q g e m F t w 7 N 3 a W V u a W E s M 3 0 m c X V v d D s s J n F 1 b 3 Q 7 U 2 V j d G l v b j E v Z G F u Z S 9 a b W l l b m l v b m 8 g d H l w L n t X a W V s a 2 / F m 8 S H I H p h b c O z d 2 l l b m l h L D R 9 J n F 1 b 3 Q 7 L C Z x d W 9 0 O 1 N l Y 3 R p b 2 4 x L 2 R h b m U v W m 1 p Z W 5 p b 2 5 v I H R 5 c C 5 7 R G F 0 Y S B 3 e X N 5 x Y J r a S w 1 f S Z x d W 9 0 O y w m c X V v d D t T Z W N 0 a W 9 u M S 9 k Y W 5 l L 1 p t a W V u a W 9 u b y B 0 e X A u e 1 J v Z H p h a i B 0 c m F u c 3 B v c n R 1 L D Z 9 J n F 1 b 3 Q 7 L C Z x d W 9 0 O 1 N l Y 3 R p b 2 4 x L 2 R h b m U v W m 1 p Z W 5 p b 2 5 v I H R 5 c C 5 7 U m 9 k e m F q I G 9 w Y W t v d 2 F u a W E s N 3 0 m c X V v d D s s J n F 1 b 3 Q 7 U 2 V j d G l v b j E v Z G F u Z S 9 a b W l l b m l v b m 8 g d H l w L n t T Z W d t Z W 5 0 I H J 5 b m t 1 L D h 9 J n F 1 b 3 Q 7 L C Z x d W 9 0 O 1 N l Y 3 R p b 2 4 x L 2 R h b m U v W m 1 p Z W 5 p b 2 5 v I H R 5 c C 5 7 U 3 B y e m V k Y c W 8 L D l 9 J n F 1 b 3 Q 7 L C Z x d W 9 0 O 1 N l Y 3 R p b 2 4 x L 2 R h b m U v W m 1 p Z W 5 p b 2 5 v I H R 5 c C 5 7 U m F i Y X Q g c H J v Y 2 V u d G 9 3 e S w x M H 0 m c X V v d D s s J n F 1 b 3 Q 7 U 2 V j d G l v b j E v Z G F u Z S 9 a b W l l b m l v b m 8 g d H l w L n t N Y X L F v G E g c G 9 k c 3 R h d 2 9 3 Y S w x M X 0 m c X V v d D s s J n F 1 b 3 Q 7 U 2 V j d G l v b j E v Z G F u Z S 9 a b W l l b m l v b m 8 g d H l w L n t L b 3 N 6 d C B k b 3 N 0 Y X d 5 L D E y f S Z x d W 9 0 O y w m c X V v d D t T Z W N 0 a W 9 u M S 9 k Y W 5 l L 1 p t a W V u a W 9 u b y B 0 e X A u e 1 p 5 c 2 s s M T N 9 J n F 1 b 3 Q 7 L C Z x d W 9 0 O 1 N l Y 3 R p b 2 4 x L 2 R h b m U v W m 1 p Z W 5 p b 2 5 v I H R 5 c C 5 7 U m V n a W 9 u L D E 0 f S Z x d W 9 0 O y w m c X V v d D t T Z W N 0 a W 9 u M S 9 k Y W 5 l L 1 p t a W V u a W 9 u b y B 0 e X A u e 0 5 y I G t s a W V u d G E s M T V 9 J n F 1 b 3 Q 7 L C Z x d W 9 0 O 1 N l Y 3 R p b 2 4 x L 2 R h b m U v W m 1 p Z W 5 p b 2 5 v I H R 5 c C 5 7 S 2 x p Z W 5 0 L D E 2 f S Z x d W 9 0 O y w m c X V v d D t T Z W N 0 a W 9 u M S 9 k Y W 5 l L 1 p t a W V u a W 9 u b y B 0 e X A u e 1 d v a m V 3 w 7 N k e n R 3 b y w x N 3 0 m c X V v d D s s J n F 1 b 3 Q 7 U 2 V j d G l v b j E v Z G F u Z S 9 a b W l l b m l v b m 8 g d H l w L n t N a W F z d G 8 s M T h 9 J n F 1 b 3 Q 7 L C Z x d W 9 0 O 1 N l Y 3 R p b 2 4 x L 2 R h b m U v W m 1 p Z W 5 p b 2 5 v I H R 5 c C 5 7 S 2 9 k I H B v Y 3 p 0 b 3 d 5 L D E 5 f S Z x d W 9 0 O y w m c X V v d D t T Z W N 0 a W 9 u M S 9 k Y W 5 l L 1 p t a W V u a W 9 u b y B 0 e X A u e 0 5 h e n d h I H B y b 2 R 1 a 3 R 1 L D I w f S Z x d W 9 0 O y w m c X V v d D t T Z W N 0 a W 9 u M S 9 k Y W 5 l L 1 p t a W V u a W 9 u b y B 0 e X A u e 0 t h d G V n b 3 J p Y S B w c m 9 k d W t 0 d S w y M X 0 m c X V v d D s s J n F 1 b 3 Q 7 U 2 V j d G l v b j E v Z G F u Z S 9 a b W l l b m l v b m 8 g d H l w L n t Q b 2 R r Y X R l Z 2 9 y a W E g c H J v Z H V r d H U s M j J 9 J n F 1 b 3 Q 7 L C Z x d W 9 0 O 1 N l Y 3 R p b 2 4 x L 2 R h b m U v W m 1 p Z W 5 p b 2 5 v I H R 5 c C 5 7 Q 2 V u Y S B q Z W R u b 3 N 0 a 2 9 3 Y S w y M 3 0 m c X V v d D s s J n F 1 b 3 Q 7 U 2 V j d G l v b j E v Z G F u Z S 9 X c 3 R h d 2 l v b m 8 g c s O z x b x u a W P E m S B k Y X Q u e 0 9 k Z W p t b 3 d h b m l l L D I 0 f S Z x d W 9 0 O 1 0 s J n F 1 b 3 Q 7 Q 2 9 s d W 1 u Q 2 9 1 b n Q m c X V v d D s 6 M j U s J n F 1 b 3 Q 7 S 2 V 5 Q 2 9 s d W 1 u T m F t Z X M m c X V v d D s 6 W 1 0 s J n F 1 b 3 Q 7 Q 2 9 s d W 1 u S W R l b n R p d G l l c y Z x d W 9 0 O z p b J n F 1 b 3 Q 7 U 2 V j d G l v b j E v Z G F u Z S 9 a b W l l b m l v b m 8 g d H l w L n t O c i B 3 a W V y c 3 p h L D B 9 J n F 1 b 3 Q 7 L C Z x d W 9 0 O 1 N l Y 3 R p b 2 4 x L 2 R h b m U v W m 1 p Z W 5 p b 2 5 v I H R 5 c C 5 7 T n I g e m F t w 7 N 3 a W V u a W E s M X 0 m c X V v d D s s J n F 1 b 3 Q 7 U 2 V j d G l v b j E v Z G F u Z S 9 a b W l l b m l v b m 8 g d H l w L n t E Y X R h I H p h b c O z d 2 l l b m l h L D J 9 J n F 1 b 3 Q 7 L C Z x d W 9 0 O 1 N l Y 3 R p b 2 4 x L 2 R h b m U v W m 1 p Z W 5 p b 2 5 v I H R 5 c C 5 7 U H J p b 3 J 5 d G V 0 I H p h b c O z d 2 l l b m l h L D N 9 J n F 1 b 3 Q 7 L C Z x d W 9 0 O 1 N l Y 3 R p b 2 4 x L 2 R h b m U v W m 1 p Z W 5 p b 2 5 v I H R 5 c C 5 7 V 2 l l b G t v x Z v E h y B 6 Y W 3 D s 3 d p Z W 5 p Y S w 0 f S Z x d W 9 0 O y w m c X V v d D t T Z W N 0 a W 9 u M S 9 k Y W 5 l L 1 p t a W V u a W 9 u b y B 0 e X A u e 0 R h d G E g d 3 l z e c W C a 2 k s N X 0 m c X V v d D s s J n F 1 b 3 Q 7 U 2 V j d G l v b j E v Z G F u Z S 9 a b W l l b m l v b m 8 g d H l w L n t S b 2 R 6 Y W o g d H J h b n N w b 3 J 0 d S w 2 f S Z x d W 9 0 O y w m c X V v d D t T Z W N 0 a W 9 u M S 9 k Y W 5 l L 1 p t a W V u a W 9 u b y B 0 e X A u e 1 J v Z H p h a i B v c G F r b 3 d h b m l h L D d 9 J n F 1 b 3 Q 7 L C Z x d W 9 0 O 1 N l Y 3 R p b 2 4 x L 2 R h b m U v W m 1 p Z W 5 p b 2 5 v I H R 5 c C 5 7 U 2 V n b W V u d C B y e W 5 r d S w 4 f S Z x d W 9 0 O y w m c X V v d D t T Z W N 0 a W 9 u M S 9 k Y W 5 l L 1 p t a W V u a W 9 u b y B 0 e X A u e 1 N w c n p l Z G H F v C w 5 f S Z x d W 9 0 O y w m c X V v d D t T Z W N 0 a W 9 u M S 9 k Y W 5 l L 1 p t a W V u a W 9 u b y B 0 e X A u e 1 J h Y m F 0 I H B y b 2 N l b n R v d 3 k s M T B 9 J n F 1 b 3 Q 7 L C Z x d W 9 0 O 1 N l Y 3 R p b 2 4 x L 2 R h b m U v W m 1 p Z W 5 p b 2 5 v I H R 5 c C 5 7 T W F y x b x h I H B v Z H N 0 Y X d v d 2 E s M T F 9 J n F 1 b 3 Q 7 L C Z x d W 9 0 O 1 N l Y 3 R p b 2 4 x L 2 R h b m U v W m 1 p Z W 5 p b 2 5 v I H R 5 c C 5 7 S 2 9 z e n Q g Z G 9 z d G F 3 e S w x M n 0 m c X V v d D s s J n F 1 b 3 Q 7 U 2 V j d G l v b j E v Z G F u Z S 9 a b W l l b m l v b m 8 g d H l w L n t a e X N r L D E z f S Z x d W 9 0 O y w m c X V v d D t T Z W N 0 a W 9 u M S 9 k Y W 5 l L 1 p t a W V u a W 9 u b y B 0 e X A u e 1 J l Z 2 l v b i w x N H 0 m c X V v d D s s J n F 1 b 3 Q 7 U 2 V j d G l v b j E v Z G F u Z S 9 a b W l l b m l v b m 8 g d H l w L n t O c i B r b G l l b n R h L D E 1 f S Z x d W 9 0 O y w m c X V v d D t T Z W N 0 a W 9 u M S 9 k Y W 5 l L 1 p t a W V u a W 9 u b y B 0 e X A u e 0 t s a W V u d C w x N n 0 m c X V v d D s s J n F 1 b 3 Q 7 U 2 V j d G l v b j E v Z G F u Z S 9 a b W l l b m l v b m 8 g d H l w L n t X b 2 p l d 8 O z Z H p 0 d 2 8 s M T d 9 J n F 1 b 3 Q 7 L C Z x d W 9 0 O 1 N l Y 3 R p b 2 4 x L 2 R h b m U v W m 1 p Z W 5 p b 2 5 v I H R 5 c C 5 7 T W l h c 3 R v L D E 4 f S Z x d W 9 0 O y w m c X V v d D t T Z W N 0 a W 9 u M S 9 k Y W 5 l L 1 p t a W V u a W 9 u b y B 0 e X A u e 0 t v Z C B w b 2 N 6 d G 9 3 e S w x O X 0 m c X V v d D s s J n F 1 b 3 Q 7 U 2 V j d G l v b j E v Z G F u Z S 9 a b W l l b m l v b m 8 g d H l w L n t O Y X p 3 Y S B w c m 9 k d W t 0 d S w y M H 0 m c X V v d D s s J n F 1 b 3 Q 7 U 2 V j d G l v b j E v Z G F u Z S 9 a b W l l b m l v b m 8 g d H l w L n t L Y X R l Z 2 9 y a W E g c H J v Z H V r d H U s M j F 9 J n F 1 b 3 Q 7 L C Z x d W 9 0 O 1 N l Y 3 R p b 2 4 x L 2 R h b m U v W m 1 p Z W 5 p b 2 5 v I H R 5 c C 5 7 U G 9 k a 2 F 0 Z W d v c m l h I H B y b 2 R 1 a 3 R 1 L D I y f S Z x d W 9 0 O y w m c X V v d D t T Z W N 0 a W 9 u M S 9 k Y W 5 l L 1 p t a W V u a W 9 u b y B 0 e X A u e 0 N l b m E g a m V k b m 9 z d G t v d 2 E s M j N 9 J n F 1 b 3 Q 7 L C Z x d W 9 0 O 1 N l Y 3 R p b 2 4 x L 2 R h b m U v V 3 N 0 Y X d p b 2 5 v I H L D s 8 W 8 b m l j x J k g Z G F 0 L n t P Z G V q b W 9 3 Y W 5 p Z S w y N H 0 m c X V v d D t d L C Z x d W 9 0 O 1 J l b G F 0 a W 9 u c 2 h p c E l u Z m 8 m c X V v d D s 6 W 1 1 9 I i A v P j x F b n R y e S B U e X B l P S J R d W V y e U l E I i B W Y W x 1 Z T 0 i c 2 I z N T E z Y T Q y L T A 5 Z W Y t N G V k N i 1 h O W Q w L T Z m Z T Z k N j U w N D E 0 M C I g L z 4 8 L 1 N 0 Y W J s Z U V u d H J p Z X M + P C 9 J d G V t P j x J d G V t P j x J d G V t T G 9 j Y X R p b 2 4 + P E l 0 Z W 1 U e X B l P k Z v c m 1 1 b G E 8 L 0 l 0 Z W 1 U e X B l P j x J d G V t U G F 0 a D 5 T Z W N 0 a W 9 u M S 9 k Y W 5 l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b m U v W m 1 p Z W 5 p b 2 5 v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u Z S 9 X c 3 R h d 2 l v b m 8 l M j B y J U M z J U I z J U M 1 J U J D b m l j J U M 0 J T k 5 J T I w Z G F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u Z S 9 Q c n p l Z m l s d H J v d 2 F u b y U y M H d p Z X J z e m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W 5 l L 1 p t a W V u a W 9 u b y U y M G 5 h e n d 5 J T I w a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u Z S 9 Q c n p l Z m l s d H J v d 2 F u b y U y M H d p Z X J z e m U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G x S n U 3 1 F A 5 C q C 8 4 3 z P n p l Q A A A A A A g A A A A A A E G Y A A A A B A A A g A A A A c f I o b o k p D E S N 6 f l K x 4 a 8 8 D m G 5 5 a O x 6 + c y v / B 7 r p x y B Q A A A A A D o A A A A A C A A A g A A A A 8 a F S / 8 w Z X F Q o P 4 h W n P l Y V x t K + d 6 c V D z c 6 S 6 M j z W w 5 5 x Q A A A A t T z A W g U d v a z + h O b b F 2 p u I E Q N 9 C Q l D T I s 8 5 2 m A z E 8 f a S j f P i B s g S J K s j P Z 0 e n u h A 3 5 4 S 6 / 5 2 2 G s M p m z P K 4 B c O z p 8 B H A H T q f f U j v d Q b S 2 r z m 9 A A A A A g U Q 1 m r o H a 6 r D p x U 4 L Q W E n S k s 3 8 j B D J C u 6 L z m L V O n P w i M M V W S 2 o K P v a x 5 M 0 9 j C x E P I z B s 1 C 6 J p 6 Z 2 k P 8 o d C r a 3 w = = < / D a t a M a s h u p > 
</file>

<file path=customXml/item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d a n e _ c 7 2 6 2 0 0 d - b 8 9 0 - 4 9 5 1 - 9 8 f 1 - d 1 c 7 a 9 4 e f 2 1 d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 N r   w i e r s z a < / s t r i n g > < / k e y > < v a l u e > < i n t > 1 2 5 < / i n t > < / v a l u e > < / i t e m > < i t e m > < k e y > < s t r i n g > N r   z a m � w i e n i a < / s t r i n g > < / k e y > < v a l u e > < i n t > 1 5 8 < / i n t > < / v a l u e > < / i t e m > < i t e m > < k e y > < s t r i n g > D a t a   z a m � w i e n i a < / s t r i n g > < / k e y > < v a l u e > < i n t > 1 7 5 < / i n t > < / v a l u e > < / i t e m > < i t e m > < k e y > < s t r i n g > P r i o r y t e t   z a m � w i e n i a < / s t r i n g > < / k e y > < v a l u e > < i n t > 2 0 7 < / i n t > < / v a l u e > < / i t e m > < i t e m > < k e y > < s t r i n g > W i e l k o [  z a m � w i e n i a < / s t r i n g > < / k e y > < v a l u e > < i n t > 2 0 7 < / i n t > < / v a l u e > < / i t e m > < i t e m > < k e y > < s t r i n g > D a t a   w y s y Bk i < / s t r i n g > < / k e y > < v a l u e > < i n t > 1 4 1 < / i n t > < / v a l u e > < / i t e m > < i t e m > < k e y > < s t r i n g > R o d z a j   t r a n s p o r t u < / s t r i n g > < / k e y > < v a l u e > < i n t > 1 8 2 < / i n t > < / v a l u e > < / i t e m > < i t e m > < k e y > < s t r i n g > R o d z a j   o p a k o w a n i a < / s t r i n g > < / k e y > < v a l u e > < i n t > 1 9 2 < / i n t > < / v a l u e > < / i t e m > < i t e m > < k e y > < s t r i n g > S e g m e n t   r y n k u < / s t r i n g > < / k e y > < v a l u e > < i n t > 1 5 9 < / i n t > < / v a l u e > < / i t e m > < i t e m > < k e y > < s t r i n g > S p r z e d a |< / s t r i n g > < / k e y > < v a l u e > < i n t > 1 1 3 < / i n t > < / v a l u e > < / i t e m > < i t e m > < k e y > < s t r i n g > R a b a t   p r o c e n t o w y < / s t r i n g > < / k e y > < v a l u e > < i n t > 1 8 4 < / i n t > < / v a l u e > < / i t e m > < i t e m > < k e y > < s t r i n g > M a r |a   p o d s t a w o w a < / s t r i n g > < / k e y > < v a l u e > < i n t > 1 9 6 < / i n t > < / v a l u e > < / i t e m > < i t e m > < k e y > < s t r i n g > K o s z t   d o s t a w y < / s t r i n g > < / k e y > < v a l u e > < i n t > 1 5 5 < / i n t > < / v a l u e > < / i t e m > < i t e m > < k e y > < s t r i n g > Z y s k < / s t r i n g > < / k e y > < v a l u e > < i n t > 7 8 < / i n t > < / v a l u e > < / i t e m > < i t e m > < k e y > < s t r i n g > R e g i o n < / s t r i n g > < / k e y > < v a l u e > < i n t > 9 5 < / i n t > < / v a l u e > < / i t e m > < i t e m > < k e y > < s t r i n g > N r   k l i e n t a < / s t r i n g > < / k e y > < v a l u e > < i n t > 1 1 7 < / i n t > < / v a l u e > < / i t e m > < i t e m > < k e y > < s t r i n g > K l i e n t < / s t r i n g > < / k e y > < v a l u e > < i n t > 8 6 < / i n t > < / v a l u e > < / i t e m > < i t e m > < k e y > < s t r i n g > W o j e w � d z t w o < / s t r i n g > < / k e y > < v a l u e > < i n t > 1 5 5 < / i n t > < / v a l u e > < / i t e m > < i t e m > < k e y > < s t r i n g > M i a s t o < / s t r i n g > < / k e y > < v a l u e > < i n t > 9 6 < / i n t > < / v a l u e > < / i t e m > < i t e m > < k e y > < s t r i n g > K o d   p o c z t o w y < / s t r i n g > < / k e y > < v a l u e > < i n t > 1 5 2 < / i n t > < / v a l u e > < / i t e m > < i t e m > < k e y > < s t r i n g > N a z w a   p r o d u k t u < / s t r i n g > < / k e y > < v a l u e > < i n t > 1 7 1 < / i n t > < / v a l u e > < / i t e m > < i t e m > < k e y > < s t r i n g > K a t e g o r i a   p r o d u k t u < / s t r i n g > < / k e y > < v a l u e > < i n t > 1 9 2 < / i n t > < / v a l u e > < / i t e m > < i t e m > < k e y > < s t r i n g > P o d k a t e g o r i a   p r o d u k t u < / s t r i n g > < / k e y > < v a l u e > < i n t > 2 2 1 < / i n t > < / v a l u e > < / i t e m > < i t e m > < k e y > < s t r i n g > C e n a   j e d n o s t k o w a < / s t r i n g > < / k e y > < v a l u e > < i n t > 1 8 4 < / i n t > < / v a l u e > < / i t e m > < i t e m > < k e y > < s t r i n g > C z a s   d o s t a w y < / s t r i n g > < / k e y > < v a l u e > < i n t > 1 4 8 < / i n t > < / v a l u e > < / i t e m > < / C o l u m n W i d t h s > < C o l u m n D i s p l a y I n d e x > < i t e m > < k e y > < s t r i n g > N r   w i e r s z a < / s t r i n g > < / k e y > < v a l u e > < i n t > 0 < / i n t > < / v a l u e > < / i t e m > < i t e m > < k e y > < s t r i n g > N r   z a m � w i e n i a < / s t r i n g > < / k e y > < v a l u e > < i n t > 1 < / i n t > < / v a l u e > < / i t e m > < i t e m > < k e y > < s t r i n g > D a t a   z a m � w i e n i a < / s t r i n g > < / k e y > < v a l u e > < i n t > 2 < / i n t > < / v a l u e > < / i t e m > < i t e m > < k e y > < s t r i n g > P r i o r y t e t   z a m � w i e n i a < / s t r i n g > < / k e y > < v a l u e > < i n t > 3 < / i n t > < / v a l u e > < / i t e m > < i t e m > < k e y > < s t r i n g > W i e l k o [  z a m � w i e n i a < / s t r i n g > < / k e y > < v a l u e > < i n t > 4 < / i n t > < / v a l u e > < / i t e m > < i t e m > < k e y > < s t r i n g > D a t a   w y s y Bk i < / s t r i n g > < / k e y > < v a l u e > < i n t > 5 < / i n t > < / v a l u e > < / i t e m > < i t e m > < k e y > < s t r i n g > R o d z a j   t r a n s p o r t u < / s t r i n g > < / k e y > < v a l u e > < i n t > 6 < / i n t > < / v a l u e > < / i t e m > < i t e m > < k e y > < s t r i n g > R o d z a j   o p a k o w a n i a < / s t r i n g > < / k e y > < v a l u e > < i n t > 7 < / i n t > < / v a l u e > < / i t e m > < i t e m > < k e y > < s t r i n g > S e g m e n t   r y n k u < / s t r i n g > < / k e y > < v a l u e > < i n t > 8 < / i n t > < / v a l u e > < / i t e m > < i t e m > < k e y > < s t r i n g > S p r z e d a |< / s t r i n g > < / k e y > < v a l u e > < i n t > 9 < / i n t > < / v a l u e > < / i t e m > < i t e m > < k e y > < s t r i n g > R a b a t   p r o c e n t o w y < / s t r i n g > < / k e y > < v a l u e > < i n t > 1 0 < / i n t > < / v a l u e > < / i t e m > < i t e m > < k e y > < s t r i n g > M a r |a   p o d s t a w o w a < / s t r i n g > < / k e y > < v a l u e > < i n t > 1 1 < / i n t > < / v a l u e > < / i t e m > < i t e m > < k e y > < s t r i n g > K o s z t   d o s t a w y < / s t r i n g > < / k e y > < v a l u e > < i n t > 1 2 < / i n t > < / v a l u e > < / i t e m > < i t e m > < k e y > < s t r i n g > Z y s k < / s t r i n g > < / k e y > < v a l u e > < i n t > 1 3 < / i n t > < / v a l u e > < / i t e m > < i t e m > < k e y > < s t r i n g > R e g i o n < / s t r i n g > < / k e y > < v a l u e > < i n t > 1 4 < / i n t > < / v a l u e > < / i t e m > < i t e m > < k e y > < s t r i n g > N r   k l i e n t a < / s t r i n g > < / k e y > < v a l u e > < i n t > 1 5 < / i n t > < / v a l u e > < / i t e m > < i t e m > < k e y > < s t r i n g > K l i e n t < / s t r i n g > < / k e y > < v a l u e > < i n t > 1 6 < / i n t > < / v a l u e > < / i t e m > < i t e m > < k e y > < s t r i n g > W o j e w � d z t w o < / s t r i n g > < / k e y > < v a l u e > < i n t > 1 7 < / i n t > < / v a l u e > < / i t e m > < i t e m > < k e y > < s t r i n g > M i a s t o < / s t r i n g > < / k e y > < v a l u e > < i n t > 1 8 < / i n t > < / v a l u e > < / i t e m > < i t e m > < k e y > < s t r i n g > K o d   p o c z t o w y < / s t r i n g > < / k e y > < v a l u e > < i n t > 1 9 < / i n t > < / v a l u e > < / i t e m > < i t e m > < k e y > < s t r i n g > N a z w a   p r o d u k t u < / s t r i n g > < / k e y > < v a l u e > < i n t > 2 0 < / i n t > < / v a l u e > < / i t e m > < i t e m > < k e y > < s t r i n g > K a t e g o r i a   p r o d u k t u < / s t r i n g > < / k e y > < v a l u e > < i n t > 2 1 < / i n t > < / v a l u e > < / i t e m > < i t e m > < k e y > < s t r i n g > P o d k a t e g o r i a   p r o d u k t u < / s t r i n g > < / k e y > < v a l u e > < i n t > 2 2 < / i n t > < / v a l u e > < / i t e m > < i t e m > < k e y > < s t r i n g > C e n a   j e d n o s t k o w a < / s t r i n g > < / k e y > < v a l u e > < i n t > 2 3 < / i n t > < / v a l u e > < / i t e m > < i t e m > < k e y > < s t r i n g > C z a s   d o s t a w y < / s t r i n g > < / k e y > < v a l u e > < i n t > 2 4 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 d a n e _ c 7 2 6 2 0 0 d - b 8 9 0 - 4 9 5 1 - 9 8 f 1 - d 1 c 7 a 9 4 e f 2 1 d 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1 8 1 e e e 2 3 - 4 4 9 2 - 4 5 d d - 9 0 0 1 - 5 d e 1 a 5 5 b 2 b 2 5 " > < C u s t o m C o n t e n t > < ! [ C D A T A [ < ? x m l   v e r s i o n = " 1 . 0 "   e n c o d i n g = " u t f - 1 6 " ? > < S e t t i n g s > < C a l c u l a t e d F i e l d s > < i t e m > < M e a s u r e N a m e > M e d i a n a < / M e a s u r e N a m e > < D i s p l a y N a m e > M e d i a n a < / D i s p l a y N a m e > < V i s i b l e > F a l s e < / V i s i b l e > < / i t e m > < i t e m > < M e a s u r e N a m e > 3 k w a r t y l < / M e a s u r e N a m e > < D i s p l a y N a m e > 3 k w a r t y l < / D i s p l a y N a m e > < V i s i b l e > F a l s e < / V i s i b l e > < / i t e m > < i t e m > < M e a s u r e N a m e > 1 k w a r t y l < / M e a s u r e N a m e > < D i s p l a y N a m e > 1 k w a r t y l < / D i s p l a y N a m e > < V i s i b l e > F a l s e < / V i s i b l e > < / i t e m > < i t e m > < M e a s u r e N a m e > d o l n y < / M e a s u r e N a m e > < D i s p l a y N a m e > d o l n y < / D i s p l a y N a m e > < V i s i b l e > T r u e < / V i s i b l e > < / i t e m > < i t e m > < M e a s u r e N a m e > m i n < / M e a s u r e N a m e > < D i s p l a y N a m e > m i n < / D i s p l a y N a m e > < V i s i b l e > F a l s e < / V i s i b l e > < / i t e m > < i t e m > < M e a s u r e N a m e > m a x < / M e a s u r e N a m e > < D i s p l a y N a m e > m a x < / D i s p l a y N a m e > < V i s i b l e > F a l s e < / V i s i b l e > < / i t e m > < i t e m > < M e a s u r e N a m e > g � r n y < / M e a s u r e N a m e > < D i s p l a y N a m e > g � r n y < / D i s p l a y N a m e > < V i s i b l e > T r u e < / V i s i b l e > < / i t e m > < i t e m > < M e a s u r e N a m e > l i n i a   d o l n a < / M e a s u r e N a m e > < D i s p l a y N a m e > l i n i a   d o l n a < / D i s p l a y N a m e > < V i s i b l e > T r u e < / V i s i b l e > < / i t e m > < i t e m > < M e a s u r e N a m e > l i n i a   g � r n a < / M e a s u r e N a m e > < D i s p l a y N a m e > l i n i a   g � r n a < / D i s p l a y N a m e > < V i s i b l e > T r u e 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CC569B1E-9CA4-4AAF-BF07-2A38BB70AC14}">
  <ds:schemaRefs/>
</ds:datastoreItem>
</file>

<file path=customXml/itemProps10.xml><?xml version="1.0" encoding="utf-8"?>
<ds:datastoreItem xmlns:ds="http://schemas.openxmlformats.org/officeDocument/2006/customXml" ds:itemID="{6C0FC437-1E3E-4AA8-B796-05CDD1866412}">
  <ds:schemaRefs/>
</ds:datastoreItem>
</file>

<file path=customXml/itemProps11.xml><?xml version="1.0" encoding="utf-8"?>
<ds:datastoreItem xmlns:ds="http://schemas.openxmlformats.org/officeDocument/2006/customXml" ds:itemID="{68627D46-6034-4FE4-872F-85AF2833BB8C}">
  <ds:schemaRefs/>
</ds:datastoreItem>
</file>

<file path=customXml/itemProps12.xml><?xml version="1.0" encoding="utf-8"?>
<ds:datastoreItem xmlns:ds="http://schemas.openxmlformats.org/officeDocument/2006/customXml" ds:itemID="{DCE5CEB1-10D0-4C9B-9800-B0A6756C3819}">
  <ds:schemaRefs/>
</ds:datastoreItem>
</file>

<file path=customXml/itemProps13.xml><?xml version="1.0" encoding="utf-8"?>
<ds:datastoreItem xmlns:ds="http://schemas.openxmlformats.org/officeDocument/2006/customXml" ds:itemID="{1AC6B0AF-948A-4B3D-B6C6-E0A91111D24C}">
  <ds:schemaRefs/>
</ds:datastoreItem>
</file>

<file path=customXml/itemProps14.xml><?xml version="1.0" encoding="utf-8"?>
<ds:datastoreItem xmlns:ds="http://schemas.openxmlformats.org/officeDocument/2006/customXml" ds:itemID="{E2A832A3-E806-4C73-9477-6FC9910D389C}">
  <ds:schemaRefs/>
</ds:datastoreItem>
</file>

<file path=customXml/itemProps15.xml><?xml version="1.0" encoding="utf-8"?>
<ds:datastoreItem xmlns:ds="http://schemas.openxmlformats.org/officeDocument/2006/customXml" ds:itemID="{7F61F1CC-A794-4EE9-B8F7-B97D4801B848}">
  <ds:schemaRefs/>
</ds:datastoreItem>
</file>

<file path=customXml/itemProps16.xml><?xml version="1.0" encoding="utf-8"?>
<ds:datastoreItem xmlns:ds="http://schemas.openxmlformats.org/officeDocument/2006/customXml" ds:itemID="{B44E8A95-ABE9-4B7D-A23F-E5E522C1E493}">
  <ds:schemaRefs/>
</ds:datastoreItem>
</file>

<file path=customXml/itemProps17.xml><?xml version="1.0" encoding="utf-8"?>
<ds:datastoreItem xmlns:ds="http://schemas.openxmlformats.org/officeDocument/2006/customXml" ds:itemID="{804BA001-D14E-477F-A1F4-7DAA2C9C2F93}">
  <ds:schemaRefs/>
</ds:datastoreItem>
</file>

<file path=customXml/itemProps18.xml><?xml version="1.0" encoding="utf-8"?>
<ds:datastoreItem xmlns:ds="http://schemas.openxmlformats.org/officeDocument/2006/customXml" ds:itemID="{1F9CFA91-82C7-47F1-8D6E-AF2051B3AEC7}">
  <ds:schemaRefs/>
</ds:datastoreItem>
</file>

<file path=customXml/itemProps2.xml><?xml version="1.0" encoding="utf-8"?>
<ds:datastoreItem xmlns:ds="http://schemas.openxmlformats.org/officeDocument/2006/customXml" ds:itemID="{67E84140-0A8D-4F04-8CD4-29E27970FB4B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7F52D1F3-AD0B-4432-BD6E-3E0EDE0007FF}">
  <ds:schemaRefs/>
</ds:datastoreItem>
</file>

<file path=customXml/itemProps4.xml><?xml version="1.0" encoding="utf-8"?>
<ds:datastoreItem xmlns:ds="http://schemas.openxmlformats.org/officeDocument/2006/customXml" ds:itemID="{04FACE98-C94F-47BA-B79F-6D7B66B243DC}">
  <ds:schemaRefs/>
</ds:datastoreItem>
</file>

<file path=customXml/itemProps5.xml><?xml version="1.0" encoding="utf-8"?>
<ds:datastoreItem xmlns:ds="http://schemas.openxmlformats.org/officeDocument/2006/customXml" ds:itemID="{F2452A76-C5A1-4C29-BD8C-5B6D69B85B8B}">
  <ds:schemaRefs/>
</ds:datastoreItem>
</file>

<file path=customXml/itemProps6.xml><?xml version="1.0" encoding="utf-8"?>
<ds:datastoreItem xmlns:ds="http://schemas.openxmlformats.org/officeDocument/2006/customXml" ds:itemID="{A250F4F4-D53F-493E-85EB-1C38D66F1794}">
  <ds:schemaRefs/>
</ds:datastoreItem>
</file>

<file path=customXml/itemProps7.xml><?xml version="1.0" encoding="utf-8"?>
<ds:datastoreItem xmlns:ds="http://schemas.openxmlformats.org/officeDocument/2006/customXml" ds:itemID="{EE44FE02-546B-4C03-A7AD-4266F97EDD02}">
  <ds:schemaRefs/>
</ds:datastoreItem>
</file>

<file path=customXml/itemProps8.xml><?xml version="1.0" encoding="utf-8"?>
<ds:datastoreItem xmlns:ds="http://schemas.openxmlformats.org/officeDocument/2006/customXml" ds:itemID="{D46106DC-3A27-4189-B3B5-AC25D6E6471C}">
  <ds:schemaRefs/>
</ds:datastoreItem>
</file>

<file path=customXml/itemProps9.xml><?xml version="1.0" encoding="utf-8"?>
<ds:datastoreItem xmlns:ds="http://schemas.openxmlformats.org/officeDocument/2006/customXml" ds:itemID="{07A26085-E623-4F62-86B7-FFA1304D00C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dane</vt:lpstr>
      <vt:lpstr>pivot</vt:lpstr>
      <vt:lpstr>pivot2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Bartosz Czapiewski</dc:creator>
  <cp:lastModifiedBy>Bartosz Czapiewski</cp:lastModifiedBy>
  <dcterms:created xsi:type="dcterms:W3CDTF">2019-09-20T17:05:56Z</dcterms:created>
  <dcterms:modified xsi:type="dcterms:W3CDTF">2019-09-27T17:20:17Z</dcterms:modified>
</cp:coreProperties>
</file>